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drawings/drawing4.xml" ContentType="application/vnd.openxmlformats-officedocument.drawing+xml"/>
  <Override PartName="/xl/comments/comment1.xml" ContentType="application/vnd.openxmlformats-officedocument.spreadsheetml.comments+xml"/>
  <Override PartName="/xl/worksheets/sheet6.xml" ContentType="application/vnd.openxmlformats-officedocument.spreadsheetml.worksheet+xml"/>
  <Override PartName="/xl/drawings/drawing5.xml" ContentType="application/vnd.openxmlformats-officedocument.drawing+xml"/>
  <Override PartName="/xl/worksheets/sheet7.xml" ContentType="application/vnd.openxmlformats-officedocument.spreadsheetml.worksheet+xml"/>
  <Override PartName="/xl/drawings/drawing6.xml" ContentType="application/vnd.openxmlformats-officedocument.drawing+xml"/>
  <Override PartName="/xl/worksheets/sheet8.xml" ContentType="application/vnd.openxmlformats-officedocument.spreadsheetml.worksheet+xml"/>
  <Override PartName="/xl/drawings/drawing7.xml" ContentType="application/vnd.openxmlformats-officedocument.drawing+xml"/>
  <Override PartName="/xl/worksheets/sheet9.xml" ContentType="application/vnd.openxmlformats-officedocument.spreadsheetml.worksheet+xml"/>
  <Override PartName="/xl/drawings/drawing8.xml" ContentType="application/vnd.openxmlformats-officedocument.drawing+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9.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drawings/drawing10.xml" ContentType="application/vnd.openxmlformats-officedocument.drawing+xml"/>
  <Override PartName="/xl/worksheets/sheet15.xml" ContentType="application/vnd.openxmlformats-officedocument.spreadsheetml.worksheet+xml"/>
  <Override PartName="/xl/drawings/drawing11.xml" ContentType="application/vnd.openxmlformats-officedocument.drawing+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drawings/drawing12.xml" ContentType="application/vnd.openxmlformats-officedocument.drawing+xml"/>
  <Override PartName="/xl/worksheets/sheet20.xml" ContentType="application/vnd.openxmlformats-officedocument.spreadsheetml.worksheet+xml"/>
  <Override PartName="/xl/worksheets/sheet21.xml" ContentType="application/vnd.openxmlformats-officedocument.spreadsheetml.worksheet+xml"/>
  <Override PartName="/xl/drawings/drawing13.xml" ContentType="application/vnd.openxmlformats-officedocument.drawing+xml"/>
  <Override PartName="/xl/worksheets/sheet22.xml" ContentType="application/vnd.openxmlformats-officedocument.spreadsheetml.worksheet+xml"/>
  <Override PartName="/xl/drawings/drawing14.xml" ContentType="application/vnd.openxmlformats-officedocument.drawing+xml"/>
  <Override PartName="/xl/worksheets/sheet23.xml" ContentType="application/vnd.openxmlformats-officedocument.spreadsheetml.worksheet+xml"/>
  <Override PartName="/xl/drawings/drawing15.xml" ContentType="application/vnd.openxmlformats-officedocument.drawing+xml"/>
  <Override PartName="/xl/worksheets/sheet24.xml" ContentType="application/vnd.openxmlformats-officedocument.spreadsheetml.worksheet+xml"/>
  <Override PartName="/xl/drawings/drawing16.xml" ContentType="application/vnd.openxmlformats-officedocument.drawing+xml"/>
  <Override PartName="/xl/worksheets/sheet25.xml" ContentType="application/vnd.openxmlformats-officedocument.spreadsheetml.worksheet+xml"/>
  <Override PartName="/xl/drawings/drawing17.xml" ContentType="application/vnd.openxmlformats-officedocument.drawing+xml"/>
  <Override PartName="/xl/worksheets/sheet26.xml" ContentType="application/vnd.openxmlformats-officedocument.spreadsheetml.worksheet+xml"/>
  <Override PartName="/xl/drawings/drawing18.xml" ContentType="application/vnd.openxmlformats-officedocument.drawing+xml"/>
  <Override PartName="/xl/worksheets/sheet27.xml" ContentType="application/vnd.openxmlformats-officedocument.spreadsheetml.worksheet+xml"/>
  <Override PartName="/xl/drawings/drawing19.xml" ContentType="application/vnd.openxmlformats-officedocument.drawing+xml"/>
  <Override PartName="/xl/worksheets/sheet28.xml" ContentType="application/vnd.openxmlformats-officedocument.spreadsheetml.worksheet+xml"/>
  <Override PartName="/xl/drawings/drawing20.xml" ContentType="application/vnd.openxmlformats-officedocument.drawing+xml"/>
  <Override PartName="/xl/worksheets/sheet29.xml" ContentType="application/vnd.openxmlformats-officedocument.spreadsheetml.worksheet+xml"/>
  <Override PartName="/xl/drawings/drawing21.xml" ContentType="application/vnd.openxmlformats-officedocument.drawing+xml"/>
  <Override PartName="/xl/worksheets/sheet30.xml" ContentType="application/vnd.openxmlformats-officedocument.spreadsheetml.worksheet+xml"/>
  <Override PartName="/xl/worksheets/sheet31.xml" ContentType="application/vnd.openxmlformats-officedocument.spreadsheetml.worksheet+xml"/>
  <Override PartName="/xl/drawings/drawing22.xml" ContentType="application/vnd.openxmlformats-officedocument.drawing+xml"/>
  <Override PartName="/xl/worksheets/sheet32.xml" ContentType="application/vnd.openxmlformats-officedocument.spreadsheetml.worksheet+xml"/>
  <Override PartName="/xl/drawings/drawing23.xml" ContentType="application/vnd.openxmlformats-officedocument.drawing+xml"/>
  <Override PartName="/xl/worksheets/sheet33.xml" ContentType="application/vnd.openxmlformats-officedocument.spreadsheetml.worksheet+xml"/>
  <Override PartName="/xl/drawings/drawing24.xml" ContentType="application/vnd.openxmlformats-officedocument.drawing+xml"/>
  <Override PartName="/xl/worksheets/sheet34.xml" ContentType="application/vnd.openxmlformats-officedocument.spreadsheetml.worksheet+xml"/>
  <Override PartName="/xl/drawings/drawing25.xml" ContentType="application/vnd.openxmlformats-officedocument.drawing+xml"/>
  <Override PartName="/xl/worksheets/sheet35.xml" ContentType="application/vnd.openxmlformats-officedocument.spreadsheetml.worksheet+xml"/>
  <Override PartName="/xl/drawings/drawing26.xml" ContentType="application/vnd.openxmlformats-officedocument.drawing+xml"/>
  <Override PartName="/xl/worksheets/sheet36.xml" ContentType="application/vnd.openxmlformats-officedocument.spreadsheetml.worksheet+xml"/>
  <Override PartName="/xl/drawings/drawing27.xml" ContentType="application/vnd.openxmlformats-officedocument.drawing+xml"/>
  <Override PartName="/xl/worksheets/sheet37.xml" ContentType="application/vnd.openxmlformats-officedocument.spreadsheetml.worksheet+xml"/>
  <Override PartName="/xl/drawings/drawing28.xml" ContentType="application/vnd.openxmlformats-officedocument.drawing+xml"/>
  <Override PartName="/xl/comments/comment2.xml" ContentType="application/vnd.openxmlformats-officedocument.spreadsheetml.comments+xml"/>
  <Override PartName="/xl/worksheets/sheet38.xml" ContentType="application/vnd.openxmlformats-officedocument.spreadsheetml.worksheet+xml"/>
  <Override PartName="/xl/drawings/drawing29.xml" ContentType="application/vnd.openxmlformats-officedocument.drawing+xml"/>
  <Override PartName="/xl/worksheets/sheet39.xml" ContentType="application/vnd.openxmlformats-officedocument.spreadsheetml.worksheet+xml"/>
  <Override PartName="/xl/drawings/drawing30.xml" ContentType="application/vnd.openxmlformats-officedocument.drawing+xml"/>
  <Override PartName="/xl/worksheets/sheet40.xml" ContentType="application/vnd.openxmlformats-officedocument.spreadsheetml.worksheet+xml"/>
  <Override PartName="/xl/drawings/drawing31.xml" ContentType="application/vnd.openxmlformats-officedocument.drawing+xml"/>
  <Override PartName="/xl/worksheets/sheet41.xml" ContentType="application/vnd.openxmlformats-officedocument.spreadsheetml.worksheet+xml"/>
  <Override PartName="/xl/drawings/drawing32.xml" ContentType="application/vnd.openxmlformats-officedocument.drawing+xml"/>
  <Override PartName="/xl/comments/comment3.xml" ContentType="application/vnd.openxmlformats-officedocument.spreadsheetml.comments+xml"/>
  <Override PartName="/xl/worksheets/sheet42.xml" ContentType="application/vnd.openxmlformats-officedocument.spreadsheetml.worksheet+xml"/>
  <Override PartName="/xl/drawings/drawing33.xml" ContentType="application/vnd.openxmlformats-officedocument.drawing+xml"/>
  <Override PartName="/xl/comments/comment4.xml" ContentType="application/vnd.openxmlformats-officedocument.spreadsheetml.comments+xml"/>
  <Override PartName="/xl/worksheets/sheet43.xml" ContentType="application/vnd.openxmlformats-officedocument.spreadsheetml.worksheet+xml"/>
  <Override PartName="/xl/drawings/drawing34.xml" ContentType="application/vnd.openxmlformats-officedocument.drawing+xml"/>
  <Override PartName="/xl/comments/comment5.xml" ContentType="application/vnd.openxmlformats-officedocument.spreadsheetml.comment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codeName="ThisWorkbook"/>
  <bookViews>
    <workbookView visibility="visible" minimized="0" showHorizontalScroll="1" showVerticalScroll="1" showSheetTabs="1" windowWidth="27660" windowHeight="13060" tabRatio="884" firstSheet="1" activeTab="1" autoFilterDateGrouping="1"/>
  </bookViews>
  <sheets>
    <sheet xmlns:r="http://schemas.openxmlformats.org/officeDocument/2006/relationships" name="选择主体清单" sheetId="1" state="hidden" r:id="rId1"/>
    <sheet xmlns:r="http://schemas.openxmlformats.org/officeDocument/2006/relationships" name="JNJTC1001-资产负债表" sheetId="2" state="visible" r:id="rId2"/>
    <sheet xmlns:r="http://schemas.openxmlformats.org/officeDocument/2006/relationships" name="JNJTC1002-利润表" sheetId="3" state="visible" r:id="rId3"/>
    <sheet xmlns:r="http://schemas.openxmlformats.org/officeDocument/2006/relationships" name="JNJTC1003-现金流量表" sheetId="4" state="visible" r:id="rId4"/>
    <sheet xmlns:r="http://schemas.openxmlformats.org/officeDocument/2006/relationships" name="JNJTC1004-所有者权益变动表" sheetId="5" state="visible" r:id="rId5"/>
    <sheet xmlns:r="http://schemas.openxmlformats.org/officeDocument/2006/relationships" name="JNJTC1005-资产负债比较表" sheetId="6" state="visible" r:id="rId6"/>
    <sheet xmlns:r="http://schemas.openxmlformats.org/officeDocument/2006/relationships" name="JNJTC1006-资产负债比较表二" sheetId="7" state="visible" r:id="rId7"/>
    <sheet xmlns:r="http://schemas.openxmlformats.org/officeDocument/2006/relationships" name="JNJTC1007-利润表比较表" sheetId="8" state="visible" r:id="rId8"/>
    <sheet xmlns:r="http://schemas.openxmlformats.org/officeDocument/2006/relationships" name="JNJTC1008-现金流量表比较表" sheetId="9" state="visible" r:id="rId9"/>
    <sheet xmlns:r="http://schemas.openxmlformats.org/officeDocument/2006/relationships" name="JNJTC1009-主要财务指标评价表" sheetId="10" state="visible" r:id="rId10"/>
    <sheet xmlns:r="http://schemas.openxmlformats.org/officeDocument/2006/relationships" name="枚举值-债权投资" sheetId="11" state="hidden" r:id="rId11"/>
    <sheet xmlns:r="http://schemas.openxmlformats.org/officeDocument/2006/relationships" name="JNJTC1011-长投-集团内-子公司" sheetId="12" state="visible" r:id="rId12"/>
    <sheet xmlns:r="http://schemas.openxmlformats.org/officeDocument/2006/relationships" name="枚举值-其他权益工具" sheetId="13" state="hidden" r:id="rId13"/>
    <sheet xmlns:r="http://schemas.openxmlformats.org/officeDocument/2006/relationships" name="JNJTC1013-应交款项明细表" sheetId="14" state="visible" r:id="rId14"/>
    <sheet xmlns:r="http://schemas.openxmlformats.org/officeDocument/2006/relationships" name="JNJTC1014-实收资本表-单体" sheetId="15" state="visible" r:id="rId15"/>
    <sheet xmlns:r="http://schemas.openxmlformats.org/officeDocument/2006/relationships" name="枚举值 (3)" sheetId="16" state="hidden" r:id="rId16"/>
    <sheet xmlns:r="http://schemas.openxmlformats.org/officeDocument/2006/relationships" name="枚举值 (2)" sheetId="17" state="hidden" r:id="rId17"/>
    <sheet xmlns:r="http://schemas.openxmlformats.org/officeDocument/2006/relationships" name="枚举值" sheetId="18" state="hidden" r:id="rId18"/>
    <sheet xmlns:r="http://schemas.openxmlformats.org/officeDocument/2006/relationships" name="JNJTC1015-人工成本明细表" sheetId="19" state="visible" r:id="rId19"/>
    <sheet xmlns:r="http://schemas.openxmlformats.org/officeDocument/2006/relationships" name="枚举字典" sheetId="20" state="hidden" r:id="rId20"/>
    <sheet xmlns:r="http://schemas.openxmlformats.org/officeDocument/2006/relationships" name="JNJTC1018-受限资金表" sheetId="21" state="visible" r:id="rId21"/>
    <sheet xmlns:r="http://schemas.openxmlformats.org/officeDocument/2006/relationships" name="JNJTC1019-主营业务收入成本明细表" sheetId="22" state="visible" r:id="rId22"/>
    <sheet xmlns:r="http://schemas.openxmlformats.org/officeDocument/2006/relationships" name="JNJTC1021-管理费用明细表" sheetId="23" state="visible" r:id="rId23"/>
    <sheet xmlns:r="http://schemas.openxmlformats.org/officeDocument/2006/relationships" name="JNJTC1022-财务费用明细表" sheetId="24" state="visible" r:id="rId24"/>
    <sheet xmlns:r="http://schemas.openxmlformats.org/officeDocument/2006/relationships" name="JNJTC1023-投资收益明细比较表" sheetId="25" state="visible" r:id="rId25"/>
    <sheet xmlns:r="http://schemas.openxmlformats.org/officeDocument/2006/relationships" name="JNJTC1024-营业外收支明细表" sheetId="26" state="visible" r:id="rId26"/>
    <sheet xmlns:r="http://schemas.openxmlformats.org/officeDocument/2006/relationships" name="JNJTC5001-企业财务快报（国资委）" sheetId="27" state="visible" r:id="rId27"/>
    <sheet xmlns:r="http://schemas.openxmlformats.org/officeDocument/2006/relationships" name="JNJTC5001-企业财务快报（国资委） -万元" sheetId="28" state="visible" r:id="rId28"/>
    <sheet xmlns:r="http://schemas.openxmlformats.org/officeDocument/2006/relationships" name="JNJTC5002-企业财务快报（财政局）" sheetId="29" state="visible" r:id="rId29"/>
    <sheet xmlns:r="http://schemas.openxmlformats.org/officeDocument/2006/relationships" name="JNJTC5002-企业财务快报（财政局）-万元" sheetId="30" state="visible" r:id="rId30"/>
    <sheet xmlns:r="http://schemas.openxmlformats.org/officeDocument/2006/relationships" name="JNJTC5005-补充指标表（国资委）" sheetId="31" state="visible" r:id="rId31"/>
    <sheet xmlns:r="http://schemas.openxmlformats.org/officeDocument/2006/relationships" name="JNJTC5005-补充指标表（国资委）-万元" sheetId="32" state="visible" r:id="rId32"/>
    <sheet xmlns:r="http://schemas.openxmlformats.org/officeDocument/2006/relationships" name="JNJTC-5003-主要经营指标表" sheetId="33" state="visible" r:id="rId33"/>
    <sheet xmlns:r="http://schemas.openxmlformats.org/officeDocument/2006/relationships" name="JNJTC5004-生产经营重点指标表" sheetId="34" state="visible" r:id="rId34"/>
    <sheet xmlns:r="http://schemas.openxmlformats.org/officeDocument/2006/relationships" name="资产负债主要指标表" sheetId="35" state="visible" r:id="rId35"/>
    <sheet xmlns:r="http://schemas.openxmlformats.org/officeDocument/2006/relationships" name="收入明细表（发电企业）" sheetId="36" state="visible" r:id="rId36"/>
    <sheet xmlns:r="http://schemas.openxmlformats.org/officeDocument/2006/relationships" name="主营业务成本表（发电企业）" sheetId="37" state="visible" r:id="rId37"/>
    <sheet xmlns:r="http://schemas.openxmlformats.org/officeDocument/2006/relationships" name="其他费用表（发电企业）" sheetId="38" state="visible" r:id="rId38"/>
    <sheet xmlns:r="http://schemas.openxmlformats.org/officeDocument/2006/relationships" name="计划检修费表（发电企业） " sheetId="39" state="visible" r:id="rId39"/>
    <sheet xmlns:r="http://schemas.openxmlformats.org/officeDocument/2006/relationships" name="电量电价影响收入表（发电企业）" sheetId="40" state="visible" r:id="rId40"/>
    <sheet xmlns:r="http://schemas.openxmlformats.org/officeDocument/2006/relationships" name="生产业务指标表（发电企业）" sheetId="41" state="visible" r:id="rId41"/>
    <sheet xmlns:r="http://schemas.openxmlformats.org/officeDocument/2006/relationships" name="分板块利润表（发电企业）" sheetId="42" state="visible" r:id="rId42"/>
    <sheet xmlns:r="http://schemas.openxmlformats.org/officeDocument/2006/relationships" name="发电企业应收账款及政府补贴情况表（查询表）" sheetId="43" state="visible" r:id="rId43"/>
  </sheets>
  <externalReferences>
    <externalReference xmlns:r="http://schemas.openxmlformats.org/officeDocument/2006/relationships" r:id="rId44"/>
    <externalReference xmlns:r="http://schemas.openxmlformats.org/officeDocument/2006/relationships" r:id="rId45"/>
    <externalReference xmlns:r="http://schemas.openxmlformats.org/officeDocument/2006/relationships" r:id="rId46"/>
  </externalReferences>
  <definedNames>
    <definedName name="__FPMExcelClient_Connection" localSheetId="3">"_FPM_BPCNW10_[https://bppascs:44301/sap/bpc/]_[JNJTBPC]_[JN_CONSOLIDATION]_[false]_[false]"</definedName>
    <definedName name="__FPMExcelClient_Connection" localSheetId="4">"_FPM_BPCNW10_[https://bppascs:44301/sap/bpc/]_[JNJTBPC]_[JN_CONSOLIDATION]_[false]_[false]"</definedName>
    <definedName name="__FPMExcelClient_Connection" localSheetId="8">"_FPM_BPCNW10_[https://bppascs:44301/sap/bpc/]_[JNJTBPC]_[JN_CONSOLIDATION]_[false]_[false]"</definedName>
    <definedName name="__FPMExcelClient_Connection" localSheetId="9">"_FPM_BPCNW10_[https://bppascs:44301/sap/bpc/]_[JNJTBPC]_[JN_CONSOLIDATION]_[false]_[false]"</definedName>
    <definedName name="__FPMExcelClient_Connection" localSheetId="11">"_FPM_BPCNW10_[https://bppascs:44301/sap/bpc/]_[JNJTBPC]_[JN_CONSOLIDATION]_[false]_[false]"</definedName>
    <definedName name="__FPMExcelClient_Connection" localSheetId="14">"_FPM_BPCNW10_[https://bppascs:44301/sap/bpc/]_[JNJTBPC]_[JN_CONSOLIDATION]_[false]_[false]"</definedName>
    <definedName name="__FPMExcelClient_Connection" localSheetId="20">"_FPM_BPCNW10_[https://bppascs:44301/sap/bpc/]_[JNJTBPC]_[JN_CONSOLIDATION]_[false]_[false]"</definedName>
    <definedName name="__FPMExcelClient_Connection" localSheetId="26">"_FPM_BPCNW10_[https://bppascs:44301/sap/bpc/]_[JNJTBPC]_[JN_CONSOLIDATION]_[false]_[false]"</definedName>
    <definedName name="__FPMExcelClient_Connection" localSheetId="27">"_FPM_BPCNW10_[https://bppascs:44301/sap/bpc/]_[JNJTBPC]_[JN_CONSOLIDATION]_[false]_[false]"</definedName>
    <definedName name="__FPMExcelClient_Connection" localSheetId="32">"_FPM_BPCNW10_[https://bppascs:44301/sap/bpc/]_[JNJTBPC]_[JN_CONSOLIDATION]_[false]_[false]"</definedName>
    <definedName name="__FPMExcelClient_Connection" localSheetId="33">"_FPM_BPCNW10_[https://bppascs:44301/sap/bpc/]_[JNJTBPC]_[JN_CONSOLIDATION]_[false]_[false]"</definedName>
    <definedName name="__FPMExcelClient_Connection" localSheetId="30">"_FPM_BPCNW10_[https://bppascs:44301/sap/bpc/]_[JNJTBPC]_[JN_CONSOLIDATION]_[false]_[false]"</definedName>
    <definedName name="__FPMExcelClient_Connection" localSheetId="31">"_FPM_BPCNW10_[https://bppascs:44301/sap/bpc/]_[JNJTBPC]_[JN_CONSOLIDATION]_[false]_[false]"</definedName>
    <definedName name="__FPMExcelClient_Connection" localSheetId="42">"_FPM_BPCNW10_[https://bppascs:44301/sap/bpc/]_[JNJTBPC]_[JN_CONSOLIDATION]_[false]_[false]"</definedName>
    <definedName name="__FPMExcelClient_Connection" localSheetId="41">"_FPM_BPCNW10_[https://bppascs:44301/sap/bpc/]_[JNJTBPC]_[JN_CONSOLIDATION]_[false]_[false]"</definedName>
    <definedName name="__FPMExcelClient_Connection" localSheetId="35">"_FPM_BPCNW10_[https://bppascs:44301/sap/bpc/]_[JNJTBPC]_[JN_CONSOLIDATION]_[false]_[false]"</definedName>
    <definedName name="__FPMExcelClient_Connection" localSheetId="36">"_FPM_BPCNW10_[https://bppascs:44301/sap/bpc/]_[JNJTBPC]_[JN_CONSOLIDATION]_[false]_[false]"</definedName>
    <definedName name="_epmOfflineCondition_" localSheetId="1" hidden="1">1</definedName>
    <definedName name="_epmOfflineCondition_" localSheetId="2" hidden="1">1</definedName>
    <definedName name="_epmOfflineCondition_" localSheetId="3" hidden="1">1</definedName>
    <definedName name="_epmOfflineCondition_" localSheetId="4" hidden="1">1</definedName>
    <definedName name="_epmOfflineCondition_" localSheetId="5" hidden="1">1</definedName>
    <definedName name="_epmOfflineCondition_" localSheetId="6" hidden="1">1</definedName>
    <definedName name="_epmOfflineCondition_" localSheetId="7" hidden="1">1</definedName>
    <definedName name="_epmOfflineCondition_" localSheetId="8" hidden="1">1</definedName>
    <definedName name="_epmOfflineCondition_" localSheetId="9" hidden="1">1</definedName>
    <definedName name="_epmOfflineCondition_" localSheetId="11" hidden="1">1</definedName>
    <definedName name="_epmOfflineCondition_" localSheetId="13" hidden="1">1</definedName>
    <definedName name="_epmOfflineCondition_" localSheetId="14" hidden="1">1</definedName>
    <definedName name="_epmOfflineCondition_" localSheetId="18" hidden="1">1</definedName>
    <definedName name="_epmOfflineCondition_" localSheetId="20" hidden="1">1</definedName>
    <definedName name="_epmOfflineCondition_" localSheetId="21" hidden="1">1</definedName>
    <definedName name="_epmOfflineCondition_" localSheetId="22" hidden="1">1</definedName>
    <definedName name="_epmOfflineCondition_" localSheetId="23" hidden="1">1</definedName>
    <definedName name="_epmOfflineCondition_" localSheetId="24" hidden="1">1</definedName>
    <definedName name="_epmOfflineCondition_" localSheetId="25" hidden="1">1</definedName>
    <definedName name="_epmOfflineCondition_" localSheetId="26" hidden="1">1</definedName>
    <definedName name="_epmOfflineCondition_" localSheetId="27" hidden="1">1</definedName>
    <definedName name="_epmOfflineCondition_" localSheetId="28" hidden="1">1</definedName>
    <definedName name="_epmOfflineCondition_" localSheetId="29" hidden="1">1</definedName>
    <definedName name="_epmOfflineCondition_" localSheetId="32" hidden="1">1</definedName>
    <definedName name="_epmOfflineCondition_" localSheetId="33" hidden="1">1</definedName>
    <definedName name="_epmOfflineCondition_" localSheetId="30" hidden="1">1</definedName>
    <definedName name="_epmOfflineCondition_" localSheetId="31" hidden="1">1</definedName>
    <definedName name="_epmOfflineCondition_" localSheetId="39" hidden="1">1</definedName>
    <definedName name="_epmOfflineCondition_" localSheetId="42" hidden="1">1</definedName>
    <definedName name="_epmOfflineCondition_" localSheetId="41" hidden="1">1</definedName>
    <definedName name="_epmOfflineCondition_" localSheetId="38" hidden="1">1</definedName>
    <definedName name="_epmOfflineCondition_" localSheetId="17" hidden="1">1</definedName>
    <definedName name="_epmOfflineCondition_" localSheetId="16" hidden="1">1</definedName>
    <definedName name="_epmOfflineCondition_" localSheetId="15" hidden="1">1</definedName>
    <definedName name="_epmOfflineCondition_" localSheetId="12" hidden="1">1</definedName>
    <definedName name="_epmOfflineCondition_" localSheetId="10" hidden="1">1</definedName>
    <definedName name="_epmOfflineCondition_" localSheetId="19" hidden="1">1</definedName>
    <definedName name="_epmOfflineCondition_" localSheetId="37" hidden="1">1</definedName>
    <definedName name="_epmOfflineCondition_" localSheetId="40" hidden="1">1</definedName>
    <definedName name="_epmOfflineCondition_" localSheetId="35" hidden="1">1</definedName>
    <definedName name="_epmOfflineCondition_" localSheetId="0" hidden="1">1</definedName>
    <definedName name="_epmOfflineCondition_" localSheetId="36" hidden="1">1</definedName>
    <definedName name="_epmOfflineCondition_" localSheetId="34" hidden="1">1</definedName>
    <definedName name="ABC" localSheetId="5">#REF!</definedName>
    <definedName name="ABC" localSheetId="6">#REF!</definedName>
    <definedName name="ABC" localSheetId="7">#REF!</definedName>
    <definedName name="ABC" localSheetId="8">#REF!</definedName>
    <definedName name="ABC" localSheetId="18">#REF!</definedName>
    <definedName name="ABC" localSheetId="22">#REF!</definedName>
    <definedName name="ABC" localSheetId="23">#REF!</definedName>
    <definedName name="ABC" localSheetId="28">#REF!</definedName>
    <definedName name="ABC" localSheetId="29">#REF!</definedName>
    <definedName name="ABC" localSheetId="17">#REF!</definedName>
    <definedName name="ABC" localSheetId="12">#REF!</definedName>
    <definedName name="ABC" localSheetId="10">#REF!</definedName>
    <definedName name="ABC" localSheetId="19">#REF!</definedName>
    <definedName name="ABC">#REF!</definedName>
    <definedName name="EPMWorkbookOptions_1" hidden="1">"ZVMAAB+LCAAAAAAABADtXG1zokgQ/r5V+x8svysgoCRl3OLQbMyJWIrJ5VJbFuoYqUXgBhKTf38DgvJqcI+7E5wPqeBMT0/3wzPNNDNM+9v7Rqu8AWiphn5TpepktQL0hbFU9Zeb6qu9qlHN6rfO1y/tRwP+nBvGT8m0kahVQe106/rdWt5U17ZtXhPEdrutb+m6AV+IBklSxB/iYLJYg41S3QurnwvXVN2yFX0BqqjXSqUtGLoOFk6fsiG8"</definedName>
    <definedName name="EPMWorkbookOptions_2" hidden="1">"Qgh0+0EFW7cyVN1VbMUrReVDZQN23e67tMHGfIWq2+fUAnAEwQogfQtQR25UO7PbkTj7bSQMHyly9uw1mpumYi2sa45haMJSTFSwIH7Mnu+H9zKSda9mgjScSIN+l5f70hAVrRTNAvv/bcIx5mAab5qaulACMGY20dcR1hIo9jzvRI2K2LCDLoZmhipUKYLNHMCprv71Clytz8JsIkij3o/684gf94byHYUuv8+6U1F8Qu7HGsRU3qkAKnCx"</definedName>
    <definedName name="EPMWorkbookOptions_3" hidden="1">"/ggI+araRFJtTEVX3QDdYXFAyLOrTSRVRlwm0nw+UhOouFOXS6Dv+7GOILoXelAtda5qqv2R1R1eEKTpUM7ikIuqY1PHhq/AAdH9ccTrz+3Ky4tpty/LY74/KLgjAi/3vkvjp4K7cTuQHgvuQn8o98aCVHQv5J5YcBfE/uT3grswGkv3PaHoQXY8koXpGD1ChaKHp8zP8LP1Qezxk+m4N/l/nAgJH52nBJ09TD1jc5nJ2jh0KhiaAT1bEyqO"</definedName>
    <definedName name="EPMWorkbookOptions_4" hidden="1">"NXW9T2iZND1zBNBc3wbv9q3yZkDVRna58+td41hdpP2d+rLW0J89ARrKF8DSn1SqBz1HZTLYc6tCyw44lFwfUbT3Oh3wrFL5TBuDWnb3EOWALEnRHBVQkHR33bYSXALYIdvE7iJRu2VqyscIGiaAiKsU22RXYL6qsc0lU2Maq6saxwJQIxXQYJbzFtOa007P4VYJigeKtb91u5wjCaNP0htPJCnJ8WAMpzn8jB8MsiQ5nuKEZKaCEuNrXdVu"</definedName>
    <definedName name="EPMWorkbookOptions_5" hidden="1">"qg53qhUirW3C7cvWNj2H8euzYBe4/f8mWU/MDpL4SpIMR5LZ6UqVkq57IMOM7cqSzGPKJpv5S5Q9LQ9MICxNsyzDMNkJ2ygjYX0Yw3QV0Gimis7W3EGhSbKBQYmAwpJkC4MSAQXPT/IN9gjYvvzrob7ZokiOa2UP9XQZQ/0OxDBTe9kXDDzNZ8nVnEGhSKpxxWJQIqCQNEdiUKKgcDQGJc4UmsagRGMKReOYEg+0TQ6DEh0+DH3B2VdqTCHx"</definedName>
    <definedName name="EPMWorkbookOptions_6" hidden="1">"8Ik/fZjCZ1/nlGhkX5ZPfgXabNL0Ce9AmTLmGQ6GYaLe4refOfP0pL0XuawusWWkqgdjmK19/PYmZ7Jm3mKTC1ObpWQqwjBM0z8xT3PmafZ9VLnwtFVGnjoYRngqYp7my9OTNsvlQlWujFT1YIywdYTZmi9bT94UmQtjr8rI2ACUiKrOQuPwgpduYmjw027R0TingXvCHuBchixVyg2M/+wrLU/xWXI1X0yct96X/II3BROavuAtR8mYUI0m"</definedName>
    <definedName name="EPMWorkbookOptions_7" hidden="1">"5kmMJyR7h0GJgHLRmxhTMKEYPHiiAYW6usKYRAMKh8dOFJMS7FU4pwRD7ov/aX5Ryi9OHBDDTG2QDaZ+yVPpNEguOKAlQkLXqQtOLtJYwmBIIizBsSTOkiaGJMoSPHBi4fWCd4anQYIfwrFYUviH8PkkFaed+pFPWlHC74J9GHfrak8yXlc7SShkTapQSMbYmMiwvWYr5GebSDp5MFTq60Zdx09nDBbGT3Rsj8EKAmst6ZIJdP9glnChKydo"</definedName>
    <definedName name="EPMWorkbookOptions_8" hidden="1">"QIGOUkmfKG/Al4wWu7L+0ZXIM9vF3JeOV4Tlt0vP9XbfelCgqsw1IAL4ctAQK//65aDWOyqz8zc7uoPgZVMAAA=="</definedName>
    <definedName name="待删除1" hidden="1">"ETQAAB+LCAAAAAAABADtW21vokoY/b7J/gfDd+VVxIa64SJuaeQlitu7aTYGdaxkEbgD1vbf3xHxZRS81usapSQ22pnzPPPM4ZxBkBG/vU3d0iuAoeN79wRdoYgS8Ib+yPFe7olZNC7TPPGt8fWL+OTD3wPf/20EEYKGJRTnhXdv4eiemERRcEeS8/m8MmcrPnwhGYqiyb+1dnc4AVObWIOd/waXHS+MbG8ICDRqqSTKvueB4WJMy5dnEAIv"</definedName>
    <definedName name="可供出售金融资产公允价值计量">[1]可供出售金融资产基础信息!$A$1:$G$65536</definedName>
    <definedName name="可供出售金融资产公允价值计量单位名称">[1]可供出售金融资产基础信息!$E$1:$F$65536</definedName>
    <definedName name="可供出售金融资产历史成本计量">[1]可供出售金融资产基础信息!$I$1:$N$65536</definedName>
    <definedName name="可供出售金融资产历史成本计量单位">[1]可供出售金融资产基础信息!$M$1:$N$65536</definedName>
    <definedName name="可供出售金融资产历史成本计量新">[2]可供出售金融资产基础信息!$I$1:$N$65536</definedName>
    <definedName name="其他权益工具投资集团内被投资单位">[1]其他权益工具投资明细表固化信息!$A$1:$E$65536</definedName>
    <definedName name="其他权益工具投资集团外被投资单位">[1]其他权益工具投资明细表固化信息!$G$1:$K$65536</definedName>
    <definedName name="有效实体">[1]有效实体列表!$H$2:$P$519</definedName>
    <definedName name="月份">[1]报表封面!$BL$1:$BM$15</definedName>
    <definedName name="债权投资明细表集团内被投资单位">[1]债权投资明细表固化信息!$A$1:$E$405</definedName>
    <definedName name="债权投资明细表集团外被投资单位">[1]债权投资明细表固化信息!$G$1:$K$65536</definedName>
    <definedName name="债券投资明细表集团外被投资单位新">[2]债权投资明细表固化信息!$G$1:$K$65536</definedName>
    <definedName name="长投实体" localSheetId="5">#REF!</definedName>
    <definedName name="长投实体" localSheetId="6">#REF!</definedName>
    <definedName name="长投实体" localSheetId="7">#REF!</definedName>
    <definedName name="长投实体" localSheetId="8">#REF!</definedName>
    <definedName name="长投实体" localSheetId="18">#REF!</definedName>
    <definedName name="长投实体" localSheetId="22">#REF!</definedName>
    <definedName name="长投实体" localSheetId="23">#REF!</definedName>
    <definedName name="长投实体" localSheetId="28">#REF!</definedName>
    <definedName name="长投实体" localSheetId="29">#REF!</definedName>
    <definedName name="长投实体" localSheetId="17">#REF!</definedName>
    <definedName name="长投实体" localSheetId="12">#REF!</definedName>
    <definedName name="长投实体" localSheetId="10">#REF!</definedName>
    <definedName name="长投实体" localSheetId="19">#REF!</definedName>
    <definedName name="长投实体">#REF!</definedName>
    <definedName name="_xlnm._FilterDatabase" localSheetId="0" hidden="1">'选择主体清单'!$A$3:$D$821</definedName>
    <definedName name="_xlnm._FilterDatabase" localSheetId="15" hidden="1">'枚举值 (3)'!$A$1:$H$238</definedName>
    <definedName name="_xlnm._FilterDatabase" localSheetId="16" hidden="1">'枚举值 (2)'!$A$2:$E$1279</definedName>
    <definedName name="_xlnm._FilterDatabase" localSheetId="17" hidden="1">'枚举值'!$A$2:$H$1279</definedName>
  </definedNames>
  <calcPr calcId="191029" fullCalcOnLoad="1"/>
</workbook>
</file>

<file path=xl/styles.xml><?xml version="1.0" encoding="utf-8"?>
<styleSheet xmlns="http://schemas.openxmlformats.org/spreadsheetml/2006/main">
  <numFmts count="12">
    <numFmt numFmtId="164" formatCode="0.00_ ;[Red]\-0.00\ "/>
    <numFmt numFmtId="165" formatCode="0_ "/>
    <numFmt numFmtId="166" formatCode="#,##0.00_ "/>
    <numFmt numFmtId="167" formatCode="_(\¥* #,##0.00_);_(\¥* \(#,##0.00\);_(\¥* &quot;-&quot;??_);_(@_)"/>
    <numFmt numFmtId="168" formatCode="#,##0.000000_ "/>
    <numFmt numFmtId="169" formatCode="_([$€-2]* #,##0.00_);_([$€-2]* \(#,##0.00\);_([$€-2]* &quot;-&quot;??_)"/>
    <numFmt numFmtId="170" formatCode="yyyy\-m\-d"/>
    <numFmt numFmtId="171" formatCode="#,##0.00_ ;[Red]\-#,##0.00\ "/>
    <numFmt numFmtId="172" formatCode="#,##0.00_);\(#,##0.00\)"/>
    <numFmt numFmtId="173" formatCode="0.00_ "/>
    <numFmt numFmtId="174" formatCode="0.00_);[Red]\(0.00\)"/>
    <numFmt numFmtId="175" formatCode="#,##0.00000000_ "/>
  </numFmts>
  <fonts count="79">
    <font>
      <name val="等线"/>
      <charset val="134"/>
      <color theme="1"/>
      <sz val="11"/>
      <scheme val="minor"/>
    </font>
    <font>
      <name val="微软雅黑"/>
      <charset val="134"/>
      <color theme="1"/>
      <sz val="11"/>
    </font>
    <font>
      <name val="微软雅黑"/>
      <charset val="134"/>
      <color theme="1"/>
      <sz val="10"/>
    </font>
    <font>
      <name val="等线"/>
      <charset val="134"/>
      <sz val="11"/>
      <scheme val="minor"/>
    </font>
    <font>
      <name val="微软雅黑"/>
      <charset val="134"/>
      <sz val="10"/>
    </font>
    <font>
      <name val="微软雅黑"/>
      <charset val="134"/>
      <sz val="11"/>
    </font>
    <font>
      <name val="宋体"/>
      <charset val="134"/>
      <color indexed="8"/>
      <sz val="11"/>
    </font>
    <font>
      <name val="微软雅黑"/>
      <charset val="134"/>
      <b val="1"/>
      <sz val="10"/>
    </font>
    <font>
      <name val="微软雅黑"/>
      <charset val="134"/>
      <color indexed="8"/>
      <sz val="10"/>
    </font>
    <font>
      <name val="微软雅黑"/>
      <charset val="134"/>
      <b val="1"/>
      <color rgb="FFFF0000"/>
      <sz val="11"/>
    </font>
    <font>
      <name val="微软雅黑"/>
      <charset val="134"/>
      <color rgb="FFFF0000"/>
      <sz val="10"/>
    </font>
    <font>
      <name val="微软雅黑"/>
      <charset val="134"/>
      <b val="1"/>
      <color indexed="8"/>
      <sz val="10"/>
    </font>
    <font>
      <name val="微软雅黑"/>
      <charset val="134"/>
      <b val="1"/>
      <color indexed="8"/>
      <sz val="20"/>
    </font>
    <font>
      <name val="微软雅黑"/>
      <charset val="134"/>
      <b val="1"/>
      <color theme="1"/>
      <sz val="10"/>
    </font>
    <font>
      <name val="等线"/>
      <charset val="134"/>
      <color indexed="8"/>
      <sz val="11"/>
    </font>
    <font>
      <name val="微软雅黑"/>
      <charset val="134"/>
      <b val="1"/>
      <color rgb="FFFF0000"/>
      <sz val="10"/>
    </font>
    <font>
      <name val="等线"/>
      <charset val="134"/>
      <b val="1"/>
      <color theme="1"/>
      <sz val="12"/>
      <scheme val="minor"/>
    </font>
    <font>
      <name val="微软雅黑"/>
      <charset val="134"/>
      <color indexed="8"/>
      <sz val="11"/>
    </font>
    <font>
      <name val="微软雅黑"/>
      <charset val="134"/>
      <color rgb="FF000000"/>
      <sz val="10"/>
    </font>
    <font>
      <name val="微软雅黑"/>
      <charset val="134"/>
      <color rgb="FFFF0000"/>
      <sz val="11"/>
    </font>
    <font>
      <name val="微软雅黑"/>
      <charset val="134"/>
      <b val="1"/>
      <color rgb="FF000000"/>
      <sz val="10"/>
    </font>
    <font>
      <name val="Calibri"/>
      <charset val="134"/>
      <color theme="1"/>
      <sz val="11"/>
    </font>
    <font>
      <name val="等线"/>
      <charset val="134"/>
      <color rgb="FFFF0000"/>
      <sz val="11"/>
      <scheme val="minor"/>
    </font>
    <font>
      <name val="微软雅黑"/>
      <charset val="134"/>
      <color theme="1"/>
      <sz val="18"/>
    </font>
    <font>
      <name val="微软雅黑"/>
      <charset val="134"/>
      <b val="1"/>
      <color theme="1"/>
      <sz val="20"/>
    </font>
    <font>
      <name val="宋体"/>
      <charset val="134"/>
      <color rgb="FF000000"/>
      <sz val="12"/>
    </font>
    <font>
      <name val="等线"/>
      <charset val="134"/>
      <b val="1"/>
      <color theme="1"/>
      <sz val="20"/>
      <scheme val="minor"/>
    </font>
    <font>
      <name val="等线"/>
      <charset val="134"/>
      <sz val="10"/>
      <scheme val="minor"/>
    </font>
    <font>
      <name val="宋体"/>
      <charset val="134"/>
      <b val="1"/>
      <color indexed="8"/>
      <sz val="11"/>
    </font>
    <font>
      <name val="宋体"/>
      <charset val="134"/>
      <color rgb="FF000000"/>
      <sz val="10"/>
    </font>
    <font>
      <name val="微软雅黑"/>
      <charset val="134"/>
      <sz val="18"/>
    </font>
    <font>
      <name val="微软雅黑"/>
      <charset val="134"/>
      <b val="1"/>
      <sz val="20"/>
    </font>
    <font>
      <name val="微软雅黑"/>
      <charset val="134"/>
      <b val="1"/>
      <color theme="1"/>
      <sz val="18"/>
    </font>
    <font>
      <name val="等线"/>
      <charset val="134"/>
      <color theme="1"/>
      <sz val="10"/>
      <scheme val="minor"/>
    </font>
    <font>
      <name val="微软雅黑"/>
      <charset val="134"/>
      <b val="1"/>
      <sz val="18"/>
    </font>
    <font>
      <name val="等线"/>
      <charset val="134"/>
      <b val="1"/>
      <color theme="1"/>
      <sz val="11"/>
      <scheme val="minor"/>
    </font>
    <font>
      <name val="微软雅黑"/>
      <charset val="134"/>
      <b val="1"/>
      <sz val="11"/>
    </font>
    <font>
      <name val="微软雅黑"/>
      <charset val="134"/>
      <b val="1"/>
      <color theme="0"/>
      <sz val="10"/>
    </font>
    <font>
      <name val="等线"/>
      <charset val="134"/>
      <color rgb="FF000000"/>
      <sz val="11"/>
      <scheme val="minor"/>
    </font>
    <font>
      <name val="Arial"/>
      <charset val="134"/>
      <color theme="1"/>
      <sz val="11"/>
    </font>
    <font>
      <name val="等线"/>
      <charset val="134"/>
      <color theme="10"/>
      <sz val="11"/>
      <u val="single"/>
      <scheme val="minor"/>
    </font>
    <font>
      <name val="微软雅黑"/>
      <charset val="134"/>
      <b val="1"/>
      <color rgb="FFFF0000"/>
      <sz val="9"/>
    </font>
    <font>
      <name val="微软雅黑"/>
      <charset val="134"/>
      <color rgb="FF000000"/>
      <sz val="11"/>
    </font>
    <font>
      <name val="等线"/>
      <charset val="134"/>
      <b val="1"/>
      <color rgb="FFFF0000"/>
      <sz val="11"/>
      <scheme val="minor"/>
    </font>
    <font>
      <name val="华文中宋"/>
      <charset val="134"/>
      <sz val="10"/>
    </font>
    <font>
      <name val="等线"/>
      <charset val="134"/>
      <color theme="1"/>
      <sz val="9"/>
      <scheme val="minor"/>
    </font>
    <font>
      <name val="微软雅黑"/>
      <charset val="134"/>
      <b val="1"/>
      <color rgb="FFFF0000"/>
      <sz val="14"/>
    </font>
    <font>
      <name val="微软雅黑"/>
      <charset val="134"/>
      <b val="1"/>
      <color theme="1"/>
      <sz val="11"/>
    </font>
    <font>
      <name val="等线"/>
      <charset val="134"/>
      <b val="1"/>
      <color rgb="FFFF0000"/>
      <sz val="11"/>
      <scheme val="minor"/>
    </font>
    <font>
      <name val="等线"/>
      <charset val="134"/>
      <color theme="1"/>
      <sz val="9"/>
      <scheme val="minor"/>
    </font>
    <font>
      <name val="微软雅黑"/>
      <charset val="134"/>
      <b val="1"/>
      <color theme="8"/>
      <sz val="10"/>
    </font>
    <font>
      <name val="等线"/>
      <charset val="134"/>
      <b val="1"/>
      <color theme="1"/>
      <sz val="11"/>
      <scheme val="minor"/>
    </font>
    <font>
      <name val="等线"/>
      <charset val="134"/>
      <color theme="1"/>
      <sz val="11"/>
      <scheme val="minor"/>
    </font>
    <font>
      <name val="等线"/>
      <charset val="0"/>
      <color rgb="FF800080"/>
      <sz val="11"/>
      <u val="single"/>
      <scheme val="minor"/>
    </font>
    <font>
      <name val="等线"/>
      <charset val="0"/>
      <color rgb="FFFF0000"/>
      <sz val="11"/>
      <scheme val="minor"/>
    </font>
    <font>
      <name val="等线"/>
      <charset val="134"/>
      <b val="1"/>
      <color theme="3"/>
      <sz val="18"/>
      <scheme val="minor"/>
    </font>
    <font>
      <name val="等线"/>
      <charset val="0"/>
      <i val="1"/>
      <color rgb="FF7F7F7F"/>
      <sz val="11"/>
      <scheme val="minor"/>
    </font>
    <font>
      <name val="等线"/>
      <charset val="134"/>
      <b val="1"/>
      <color theme="3"/>
      <sz val="15"/>
      <scheme val="minor"/>
    </font>
    <font>
      <name val="等线"/>
      <charset val="134"/>
      <b val="1"/>
      <color theme="3"/>
      <sz val="13"/>
      <scheme val="minor"/>
    </font>
    <font>
      <name val="等线"/>
      <charset val="134"/>
      <b val="1"/>
      <color theme="3"/>
      <sz val="11"/>
      <scheme val="minor"/>
    </font>
    <font>
      <name val="等线"/>
      <charset val="0"/>
      <color rgb="FF3F3F76"/>
      <sz val="11"/>
      <scheme val="minor"/>
    </font>
    <font>
      <name val="等线"/>
      <charset val="0"/>
      <b val="1"/>
      <color rgb="FF3F3F3F"/>
      <sz val="11"/>
      <scheme val="minor"/>
    </font>
    <font>
      <name val="等线"/>
      <charset val="0"/>
      <b val="1"/>
      <color rgb="FFFA7D00"/>
      <sz val="11"/>
      <scheme val="minor"/>
    </font>
    <font>
      <name val="等线"/>
      <charset val="0"/>
      <b val="1"/>
      <color rgb="FFFFFFFF"/>
      <sz val="11"/>
      <scheme val="minor"/>
    </font>
    <font>
      <name val="等线"/>
      <charset val="0"/>
      <color rgb="FFFA7D00"/>
      <sz val="11"/>
      <scheme val="minor"/>
    </font>
    <font>
      <name val="等线"/>
      <charset val="0"/>
      <b val="1"/>
      <color theme="1"/>
      <sz val="11"/>
      <scheme val="minor"/>
    </font>
    <font>
      <name val="等线"/>
      <charset val="0"/>
      <color rgb="FF006100"/>
      <sz val="11"/>
      <scheme val="minor"/>
    </font>
    <font>
      <name val="等线"/>
      <charset val="0"/>
      <color rgb="FF9C0006"/>
      <sz val="11"/>
      <scheme val="minor"/>
    </font>
    <font>
      <name val="等线"/>
      <charset val="0"/>
      <color rgb="FF9C6500"/>
      <sz val="11"/>
      <scheme val="minor"/>
    </font>
    <font>
      <name val="等线"/>
      <charset val="0"/>
      <color theme="0"/>
      <sz val="11"/>
      <scheme val="minor"/>
    </font>
    <font>
      <name val="等线"/>
      <charset val="0"/>
      <color theme="1"/>
      <sz val="11"/>
      <scheme val="minor"/>
    </font>
    <font>
      <name val="Arial"/>
      <charset val="134"/>
      <sz val="10"/>
    </font>
    <font>
      <name val="等线"/>
      <charset val="134"/>
      <color theme="1"/>
      <sz val="11"/>
      <scheme val="minor"/>
    </font>
    <font>
      <name val="宋体"/>
      <charset val="134"/>
      <sz val="9"/>
    </font>
    <font>
      <name val="宋体"/>
      <charset val="134"/>
      <sz val="12"/>
    </font>
    <font>
      <name val="Arial"/>
      <charset val="134"/>
      <color indexed="8"/>
      <sz val="10"/>
    </font>
    <font>
      <name val="微软雅黑"/>
      <charset val="134"/>
      <b val="1"/>
      <sz val="9"/>
    </font>
    <font>
      <name val="宋体"/>
      <charset val="134"/>
      <sz val="9"/>
    </font>
    <font>
      <name val="宋体"/>
      <charset val="134"/>
      <b val="1"/>
      <sz val="9"/>
    </font>
  </fonts>
  <fills count="71">
    <fill>
      <patternFill/>
    </fill>
    <fill>
      <patternFill patternType="gray125"/>
    </fill>
    <fill>
      <patternFill patternType="solid">
        <fgColor theme="0"/>
        <bgColor indexed="64"/>
      </patternFill>
    </fill>
    <fill>
      <patternFill patternType="solid">
        <fgColor theme="9" tint="0.599993896298105"/>
        <bgColor indexed="64"/>
      </patternFill>
    </fill>
    <fill>
      <patternFill patternType="solid">
        <fgColor rgb="FFFFC000"/>
        <bgColor indexed="64"/>
      </patternFill>
    </fill>
    <fill>
      <patternFill patternType="solid">
        <fgColor theme="0" tint="-0.249977111117893"/>
        <bgColor indexed="64"/>
      </patternFill>
    </fill>
    <fill>
      <patternFill patternType="solid">
        <fgColor rgb="FFFFFF00"/>
        <bgColor indexed="64"/>
      </patternFill>
    </fill>
    <fill>
      <patternFill patternType="solid">
        <fgColor theme="8" tint="0.799981688894314"/>
        <bgColor indexed="64"/>
      </patternFill>
    </fill>
    <fill>
      <patternFill patternType="solid">
        <fgColor rgb="FFB4C6E7"/>
        <bgColor indexed="64"/>
      </patternFill>
    </fill>
    <fill>
      <patternFill patternType="solid">
        <fgColor rgb="FFFFFFFF"/>
        <bgColor indexed="64"/>
      </patternFill>
    </fill>
    <fill>
      <patternFill patternType="solid">
        <fgColor theme="8" tint="0.599993896298105"/>
        <bgColor indexed="64"/>
      </patternFill>
    </fill>
    <fill>
      <patternFill patternType="solid">
        <fgColor rgb="FFD9D9D9"/>
        <bgColor indexed="64"/>
      </patternFill>
    </fill>
    <fill>
      <patternFill patternType="solid">
        <fgColor theme="0" tint="-0.149998474074526"/>
        <bgColor indexed="64"/>
      </patternFill>
    </fill>
    <fill>
      <patternFill patternType="solid">
        <fgColor rgb="FF92D050"/>
        <bgColor indexed="64"/>
      </patternFill>
    </fill>
    <fill>
      <patternFill patternType="solid">
        <fgColor rgb="FFFF0000"/>
        <bgColor indexed="64"/>
      </patternFill>
    </fill>
    <fill>
      <patternFill patternType="solid">
        <fgColor theme="9" tint="0.799981688894314"/>
        <bgColor indexed="64"/>
      </patternFill>
    </fill>
    <fill>
      <patternFill patternType="solid">
        <fgColor rgb="FFBDD7EE"/>
        <bgColor indexed="64"/>
      </patternFill>
    </fill>
    <fill>
      <patternFill patternType="solid">
        <fgColor rgb="FFC9C9C9"/>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2" tint="-0.249977111117893"/>
        <bgColor indexed="64"/>
      </patternFill>
    </fill>
    <fill>
      <patternFill patternType="solid">
        <fgColor theme="4" tint="0.599993896298105"/>
        <bgColor indexed="9"/>
      </patternFill>
    </fill>
    <fill>
      <patternFill patternType="solid">
        <fgColor theme="0" tint="-0.0499893185216834"/>
        <bgColor indexed="64"/>
      </patternFill>
    </fill>
    <fill>
      <patternFill patternType="solid">
        <fgColor theme="0" tint="-0.149998474074526"/>
        <bgColor indexed="9"/>
      </patternFill>
    </fill>
    <fill>
      <patternFill patternType="solid">
        <fgColor theme="6" tint="0.599993896298105"/>
        <bgColor indexed="64"/>
      </patternFill>
    </fill>
    <fill>
      <patternFill patternType="solid">
        <fgColor theme="9" tint="-0.499984740745262"/>
        <bgColor indexed="64"/>
      </patternFill>
    </fill>
    <fill>
      <patternFill patternType="solid">
        <fgColor rgb="FFBFBFBF"/>
        <bgColor indexed="64"/>
      </patternFill>
    </fill>
    <fill>
      <patternFill patternType="solid">
        <fgColor rgb="FFBDD7EE"/>
        <bgColor rgb="FFFFFFFF"/>
      </patternFill>
    </fill>
    <fill>
      <patternFill patternType="solid">
        <fgColor theme="4" tint="0.599993896298105"/>
        <bgColor rgb="FFFFFFFF"/>
      </patternFill>
    </fill>
    <fill>
      <patternFill patternType="solid">
        <fgColor rgb="FFD9E1F2"/>
        <bgColor indexed="64"/>
      </patternFill>
    </fill>
    <fill>
      <patternFill patternType="solid">
        <fgColor theme="2"/>
        <bgColor indexed="64"/>
      </patternFill>
    </fill>
    <fill>
      <patternFill patternType="solid">
        <fgColor theme="2" tint="-0.09997863704336681"/>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theme="5" tint="0.799981688894314"/>
        <bgColor indexed="9"/>
      </patternFill>
    </fill>
    <fill>
      <patternFill patternType="solid">
        <fgColor rgb="FFFCE4D6"/>
        <bgColor indexed="64"/>
      </patternFill>
    </fill>
    <fill>
      <patternFill patternType="solid">
        <fgColor theme="7" tint="0.799981688894314"/>
        <bgColor indexed="64"/>
      </patternFill>
    </fill>
    <fill>
      <patternFill patternType="solid">
        <fgColor rgb="FFFFFF00"/>
        <bgColor indexed="9"/>
      </patternFill>
    </fill>
    <fill>
      <patternFill patternType="solid">
        <fgColor theme="0"/>
        <bgColor indexed="9"/>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75">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top style="thin">
        <color indexed="8"/>
      </top>
      <bottom style="thin">
        <color indexed="8"/>
      </bottom>
      <diagonal/>
    </border>
    <border>
      <left style="medium">
        <color auto="1"/>
      </left>
      <right/>
      <top style="thin">
        <color indexed="8"/>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top style="thin">
        <color auto="1"/>
      </top>
      <bottom style="thin">
        <color auto="1"/>
      </bottom>
      <diagonal/>
    </border>
    <border>
      <left style="medium">
        <color auto="1"/>
      </left>
      <right style="thin">
        <color auto="1"/>
      </right>
      <top style="medium">
        <color auto="1"/>
      </top>
      <bottom/>
      <diagonal/>
    </border>
    <border>
      <left style="medium">
        <color auto="1"/>
      </left>
      <right style="thin">
        <color auto="1"/>
      </right>
      <top/>
      <bottom style="thin">
        <color auto="1"/>
      </bottom>
      <diagonal/>
    </border>
    <border>
      <left style="medium">
        <color auto="1"/>
      </left>
      <right/>
      <top/>
      <bottom/>
      <diagonal/>
    </border>
    <border>
      <left style="medium">
        <color auto="1"/>
      </left>
      <right style="thin">
        <color rgb="FF000000"/>
      </right>
      <top style="thin">
        <color rgb="FF000000"/>
      </top>
      <bottom style="thin">
        <color rgb="FF000000"/>
      </bottom>
      <diagonal/>
    </border>
    <border>
      <left/>
      <right style="thin">
        <color rgb="FF000000"/>
      </right>
      <top style="medium">
        <color auto="1"/>
      </top>
      <bottom/>
      <diagonal/>
    </border>
    <border>
      <left style="thin">
        <color rgb="FF000000"/>
      </left>
      <right/>
      <top style="medium">
        <color auto="1"/>
      </top>
      <bottom style="thin">
        <color auto="1"/>
      </bottom>
      <diagonal/>
    </border>
    <border>
      <left/>
      <right style="thin">
        <color rgb="FF000000"/>
      </right>
      <top style="medium">
        <color auto="1"/>
      </top>
      <bottom style="thin">
        <color auto="1"/>
      </bottom>
      <diagonal/>
    </border>
    <border>
      <left style="thin">
        <color auto="1"/>
      </left>
      <right/>
      <top style="medium">
        <color auto="1"/>
      </top>
      <bottom style="thin">
        <color auto="1"/>
      </bottom>
      <diagonal/>
    </border>
    <border>
      <left style="thin">
        <color rgb="FF000000"/>
      </left>
      <right style="thin">
        <color rgb="FF000000"/>
      </right>
      <top/>
      <bottom/>
      <diagonal/>
    </border>
    <border>
      <left style="thin">
        <color auto="1"/>
      </left>
      <right style="thin">
        <color auto="1"/>
      </right>
      <top/>
      <bottom style="thin">
        <color auto="1"/>
      </bottom>
      <diagonal/>
    </border>
    <border>
      <left style="thin">
        <color rgb="FF000000"/>
      </left>
      <right/>
      <top style="thin">
        <color rgb="FF000000"/>
      </top>
      <bottom style="thin">
        <color rgb="FF000000"/>
      </bottom>
      <diagonal/>
    </border>
    <border>
      <left/>
      <right/>
      <top style="medium">
        <color auto="1"/>
      </top>
      <bottom style="thin">
        <color auto="1"/>
      </bottom>
      <diagonal/>
    </border>
    <border>
      <left/>
      <right style="thin">
        <color auto="1"/>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medium">
        <color auto="1"/>
      </top>
      <bottom/>
      <diagonal/>
    </border>
    <border>
      <left style="thin">
        <color rgb="FF000000"/>
      </left>
      <right style="medium">
        <color auto="1"/>
      </right>
      <top/>
      <bottom/>
      <diagonal/>
    </border>
    <border>
      <left style="medium">
        <color auto="1"/>
      </left>
      <right style="medium">
        <color auto="1"/>
      </right>
      <top/>
      <bottom style="thin">
        <color auto="1"/>
      </bottom>
      <diagonal/>
    </border>
    <border>
      <left/>
      <right style="medium">
        <color auto="1"/>
      </right>
      <top/>
      <bottom/>
      <diagonal/>
    </border>
    <border>
      <left style="medium">
        <color auto="1"/>
      </left>
      <right style="medium">
        <color auto="1"/>
      </right>
      <top style="thin">
        <color auto="1"/>
      </top>
      <bottom style="thin">
        <color auto="1"/>
      </bottom>
      <diagonal/>
    </border>
    <border>
      <left style="medium">
        <color auto="1"/>
      </left>
      <right style="thin">
        <color rgb="FF000000"/>
      </right>
      <top style="thin">
        <color rgb="FF000000"/>
      </top>
      <bottom style="medium">
        <color auto="1"/>
      </bottom>
      <diagonal/>
    </border>
    <border>
      <left style="thin">
        <color rgb="FF000000"/>
      </left>
      <right/>
      <top style="thin">
        <color rgb="FF000000"/>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auto="1"/>
      </bottom>
      <diagonal/>
    </border>
    <border>
      <left style="thin">
        <color auto="1"/>
      </left>
      <right style="medium">
        <color auto="1"/>
      </right>
      <top/>
      <bottom style="thin">
        <color auto="1"/>
      </bottom>
      <diagonal/>
    </border>
    <border>
      <left style="thin">
        <color rgb="FF000000"/>
      </left>
      <right style="medium">
        <color auto="1"/>
      </right>
      <top style="thin">
        <color rgb="FF000000"/>
      </top>
      <bottom style="thin">
        <color rgb="FF000000"/>
      </bottom>
      <diagonal/>
    </border>
    <border>
      <left/>
      <right/>
      <top style="thin">
        <color auto="1"/>
      </top>
      <bottom style="thin">
        <color auto="1"/>
      </bottom>
      <diagonal/>
    </border>
    <border>
      <left style="thin">
        <color auto="1"/>
      </left>
      <right/>
      <top style="medium">
        <color auto="1"/>
      </top>
      <bottom/>
      <diagonal/>
    </border>
    <border>
      <left/>
      <right/>
      <top style="medium">
        <color auto="1"/>
      </top>
      <bottom/>
      <diagonal/>
    </border>
    <border>
      <left style="thin">
        <color auto="1"/>
      </left>
      <right/>
      <top/>
      <bottom style="thin">
        <color auto="1"/>
      </bottom>
      <diagonal/>
    </border>
    <border>
      <left/>
      <right style="thin">
        <color auto="1"/>
      </right>
      <top style="medium">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indexed="8"/>
      </left>
      <right style="thin">
        <color indexed="8"/>
      </right>
      <top/>
      <bottom style="thin">
        <color indexed="8"/>
      </bottom>
      <diagonal/>
    </border>
    <border>
      <left style="thin">
        <color rgb="FF000000"/>
      </left>
      <right style="thin">
        <color rgb="FF000000"/>
      </right>
      <top/>
      <bottom style="thin">
        <color rgb="FF000000"/>
      </bottom>
      <diagonal/>
    </border>
    <border>
      <left/>
      <right style="thin">
        <color indexed="8"/>
      </right>
      <top/>
      <bottom style="thin">
        <color indexed="8"/>
      </bottom>
      <diagonal/>
    </border>
    <border>
      <left/>
      <right/>
      <top style="thin">
        <color auto="1"/>
      </top>
      <bottom/>
      <diagonal/>
    </border>
    <border>
      <left style="thin">
        <color auto="1"/>
      </left>
      <right/>
      <top style="thin">
        <color auto="1"/>
      </top>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color auto="1"/>
      </left>
      <right style="medium">
        <color auto="1"/>
      </right>
      <top/>
      <bottom/>
      <diagonal/>
    </border>
    <border>
      <left/>
      <right style="medium">
        <color auto="1"/>
      </right>
      <top style="medium">
        <color auto="1"/>
      </top>
      <bottom/>
      <diagonal/>
    </border>
    <border>
      <left style="thin">
        <color rgb="FF000000"/>
      </left>
      <right style="thin">
        <color rgb="FF000000"/>
      </right>
      <top style="medium">
        <color auto="1"/>
      </top>
      <bottom style="thin">
        <color auto="1"/>
      </bottom>
      <diagonal/>
    </border>
    <border>
      <left/>
      <right style="thin">
        <color rgb="FF000000"/>
      </right>
      <top/>
      <bottom/>
      <diagonal/>
    </border>
    <border>
      <left style="medium">
        <color auto="1"/>
      </left>
      <right style="medium">
        <color auto="1"/>
      </right>
      <top style="medium">
        <color auto="1"/>
      </top>
      <bottom style="thin">
        <color auto="1"/>
      </bottom>
      <diagonal/>
    </border>
    <border>
      <left style="medium">
        <color auto="1"/>
      </left>
      <right style="medium">
        <color auto="1"/>
      </right>
      <top/>
      <bottom/>
      <diagonal/>
    </border>
  </borders>
  <cellStyleXfs count="58">
    <xf numFmtId="0" fontId="72" fillId="0" borderId="0" applyAlignment="1">
      <alignment vertical="center"/>
    </xf>
    <xf numFmtId="43" fontId="72" fillId="0" borderId="0" applyAlignment="1">
      <alignment vertical="center"/>
    </xf>
    <xf numFmtId="44" fontId="72" fillId="0" borderId="0" applyAlignment="1">
      <alignment vertical="center"/>
    </xf>
    <xf numFmtId="9" fontId="72" fillId="0" borderId="0" applyAlignment="1">
      <alignment vertical="center"/>
    </xf>
    <xf numFmtId="41" fontId="72" fillId="0" borderId="0" applyAlignment="1">
      <alignment vertical="center"/>
    </xf>
    <xf numFmtId="42" fontId="72" fillId="0" borderId="0" applyAlignment="1">
      <alignment vertical="center"/>
    </xf>
    <xf numFmtId="0" fontId="40" fillId="0" borderId="0" applyAlignment="1">
      <alignment vertical="center"/>
    </xf>
    <xf numFmtId="0" fontId="53" fillId="0" borderId="0" applyAlignment="1">
      <alignment vertical="center"/>
    </xf>
    <xf numFmtId="0" fontId="72" fillId="40" borderId="61" applyAlignment="1">
      <alignment vertical="center"/>
    </xf>
    <xf numFmtId="0" fontId="54" fillId="0" borderId="0" applyAlignment="1">
      <alignment vertical="center"/>
    </xf>
    <xf numFmtId="0" fontId="55" fillId="0" borderId="0" applyAlignment="1">
      <alignment vertical="center"/>
    </xf>
    <xf numFmtId="0" fontId="56" fillId="0" borderId="0" applyAlignment="1">
      <alignment vertical="center"/>
    </xf>
    <xf numFmtId="0" fontId="57" fillId="0" borderId="62" applyAlignment="1">
      <alignment vertical="center"/>
    </xf>
    <xf numFmtId="0" fontId="58" fillId="0" borderId="62" applyAlignment="1">
      <alignment vertical="center"/>
    </xf>
    <xf numFmtId="0" fontId="59" fillId="0" borderId="63" applyAlignment="1">
      <alignment vertical="center"/>
    </xf>
    <xf numFmtId="0" fontId="59" fillId="0" borderId="0" applyAlignment="1">
      <alignment vertical="center"/>
    </xf>
    <xf numFmtId="0" fontId="60" fillId="41" borderId="64" applyAlignment="1">
      <alignment vertical="center"/>
    </xf>
    <xf numFmtId="0" fontId="61" fillId="42" borderId="65" applyAlignment="1">
      <alignment vertical="center"/>
    </xf>
    <xf numFmtId="0" fontId="62" fillId="42" borderId="64" applyAlignment="1">
      <alignment vertical="center"/>
    </xf>
    <xf numFmtId="0" fontId="63" fillId="43" borderId="66" applyAlignment="1">
      <alignment vertical="center"/>
    </xf>
    <xf numFmtId="0" fontId="64" fillId="0" borderId="67" applyAlignment="1">
      <alignment vertical="center"/>
    </xf>
    <xf numFmtId="0" fontId="65" fillId="0" borderId="68" applyAlignment="1">
      <alignment vertical="center"/>
    </xf>
    <xf numFmtId="0" fontId="66" fillId="44" borderId="0" applyAlignment="1">
      <alignment vertical="center"/>
    </xf>
    <xf numFmtId="0" fontId="67" fillId="45" borderId="0" applyAlignment="1">
      <alignment vertical="center"/>
    </xf>
    <xf numFmtId="0" fontId="68" fillId="46" borderId="0" applyAlignment="1">
      <alignment vertical="center"/>
    </xf>
    <xf numFmtId="0" fontId="69" fillId="47" borderId="0" applyAlignment="1">
      <alignment vertical="center"/>
    </xf>
    <xf numFmtId="0" fontId="70" fillId="48" borderId="0" applyAlignment="1">
      <alignment vertical="center"/>
    </xf>
    <xf numFmtId="0" fontId="70" fillId="49" borderId="0" applyAlignment="1">
      <alignment vertical="center"/>
    </xf>
    <xf numFmtId="0" fontId="69" fillId="50" borderId="0" applyAlignment="1">
      <alignment vertical="center"/>
    </xf>
    <xf numFmtId="0" fontId="69" fillId="51" borderId="0" applyAlignment="1">
      <alignment vertical="center"/>
    </xf>
    <xf numFmtId="0" fontId="70" fillId="52" borderId="0" applyAlignment="1">
      <alignment vertical="center"/>
    </xf>
    <xf numFmtId="0" fontId="70" fillId="53" borderId="0" applyAlignment="1">
      <alignment vertical="center"/>
    </xf>
    <xf numFmtId="0" fontId="69" fillId="54" borderId="0" applyAlignment="1">
      <alignment vertical="center"/>
    </xf>
    <xf numFmtId="0" fontId="69" fillId="55" borderId="0" applyAlignment="1">
      <alignment vertical="center"/>
    </xf>
    <xf numFmtId="0" fontId="70" fillId="56" borderId="0" applyAlignment="1">
      <alignment vertical="center"/>
    </xf>
    <xf numFmtId="0" fontId="70" fillId="57" borderId="0" applyAlignment="1">
      <alignment vertical="center"/>
    </xf>
    <xf numFmtId="0" fontId="69" fillId="58" borderId="0" applyAlignment="1">
      <alignment vertical="center"/>
    </xf>
    <xf numFmtId="0" fontId="69" fillId="59" borderId="0" applyAlignment="1">
      <alignment vertical="center"/>
    </xf>
    <xf numFmtId="0" fontId="70" fillId="60" borderId="0" applyAlignment="1">
      <alignment vertical="center"/>
    </xf>
    <xf numFmtId="0" fontId="70" fillId="61" borderId="0" applyAlignment="1">
      <alignment vertical="center"/>
    </xf>
    <xf numFmtId="0" fontId="69" fillId="62" borderId="0" applyAlignment="1">
      <alignment vertical="center"/>
    </xf>
    <xf numFmtId="0" fontId="69" fillId="63" borderId="0" applyAlignment="1">
      <alignment vertical="center"/>
    </xf>
    <xf numFmtId="0" fontId="70" fillId="64" borderId="0" applyAlignment="1">
      <alignment vertical="center"/>
    </xf>
    <xf numFmtId="0" fontId="70" fillId="65" borderId="0" applyAlignment="1">
      <alignment vertical="center"/>
    </xf>
    <xf numFmtId="0" fontId="69" fillId="66" borderId="0" applyAlignment="1">
      <alignment vertical="center"/>
    </xf>
    <xf numFmtId="0" fontId="69" fillId="67" borderId="0" applyAlignment="1">
      <alignment vertical="center"/>
    </xf>
    <xf numFmtId="0" fontId="70" fillId="68" borderId="0" applyAlignment="1">
      <alignment vertical="center"/>
    </xf>
    <xf numFmtId="0" fontId="70" fillId="69" borderId="0" applyAlignment="1">
      <alignment vertical="center"/>
    </xf>
    <xf numFmtId="0" fontId="69" fillId="70" borderId="0" applyAlignment="1">
      <alignment vertical="center"/>
    </xf>
    <xf numFmtId="9" fontId="71" fillId="0" borderId="0"/>
    <xf numFmtId="169" fontId="71" fillId="0" borderId="0"/>
    <xf numFmtId="0" fontId="72" fillId="0" borderId="0" applyAlignment="1">
      <alignment vertical="center"/>
    </xf>
    <xf numFmtId="169" fontId="71" fillId="0" borderId="0"/>
    <xf numFmtId="0" fontId="77" fillId="0" borderId="0" applyProtection="1">
      <protection locked="0" hidden="0"/>
    </xf>
    <xf numFmtId="169" fontId="74" fillId="0" borderId="0" applyAlignment="1">
      <alignment vertical="center"/>
    </xf>
    <xf numFmtId="0" fontId="74" fillId="0" borderId="0" applyAlignment="1">
      <alignment vertical="center"/>
    </xf>
    <xf numFmtId="0" fontId="75" fillId="0" borderId="0"/>
    <xf numFmtId="43" fontId="71" fillId="0" borderId="0"/>
  </cellStyleXfs>
  <cellXfs count="1555">
    <xf numFmtId="0" fontId="0" fillId="0" borderId="0" applyAlignment="1" pivotButton="0" quotePrefix="0" xfId="0">
      <alignment vertical="center"/>
    </xf>
    <xf numFmtId="0" fontId="1" fillId="0" borderId="0" applyAlignment="1" pivotButton="0" quotePrefix="0" xfId="0">
      <alignment vertical="center"/>
    </xf>
    <xf numFmtId="0" fontId="2" fillId="0" borderId="0" applyAlignment="1" pivotButton="0" quotePrefix="0" xfId="0">
      <alignment vertical="center"/>
    </xf>
    <xf numFmtId="0" fontId="2" fillId="2" borderId="0" applyAlignment="1" pivotButton="0" quotePrefix="0" xfId="0">
      <alignment horizontal="left" vertical="center"/>
    </xf>
    <xf numFmtId="0" fontId="0" fillId="0" borderId="0" applyAlignment="1" pivotButton="0" quotePrefix="0" xfId="0">
      <alignment horizontal="left" vertical="center"/>
    </xf>
    <xf numFmtId="0" fontId="0" fillId="0" borderId="0" applyAlignment="1" pivotButton="0" quotePrefix="0" xfId="0">
      <alignment horizontal="right" vertical="center"/>
    </xf>
    <xf numFmtId="0" fontId="3" fillId="0" borderId="0" applyAlignment="1" pivotButton="0" quotePrefix="0" xfId="0">
      <alignment vertical="center"/>
    </xf>
    <xf numFmtId="0" fontId="4" fillId="3" borderId="1" applyAlignment="1" pivotButton="0" quotePrefix="0" xfId="0">
      <alignment vertical="center"/>
    </xf>
    <xf numFmtId="0" fontId="2" fillId="0" borderId="0" applyAlignment="1" pivotButton="0" quotePrefix="0" xfId="0">
      <alignment horizontal="left" vertical="center"/>
    </xf>
    <xf numFmtId="0" fontId="2" fillId="0" borderId="1" applyAlignment="1" pivotButton="0" quotePrefix="0" xfId="0">
      <alignment horizontal="left" vertical="center"/>
    </xf>
    <xf numFmtId="0" fontId="4" fillId="4" borderId="2" applyAlignment="1" pivotButton="0" quotePrefix="0" xfId="0">
      <alignment horizontal="center" vertical="center"/>
    </xf>
    <xf numFmtId="0" fontId="2" fillId="5" borderId="2" applyAlignment="1" pivotButton="0" quotePrefix="0" xfId="0">
      <alignment horizontal="center" vertical="center"/>
    </xf>
    <xf numFmtId="0" fontId="2" fillId="5" borderId="2" applyAlignment="1" pivotButton="0" quotePrefix="0" xfId="0">
      <alignment horizontal="left" vertical="center"/>
    </xf>
    <xf numFmtId="0" fontId="1" fillId="0" borderId="0" applyAlignment="1" pivotButton="0" quotePrefix="0" xfId="0">
      <alignment vertical="center"/>
    </xf>
    <xf numFmtId="0" fontId="1" fillId="0" borderId="0" applyAlignment="1" pivotButton="0" quotePrefix="0" xfId="0">
      <alignment horizontal="left" vertical="center"/>
    </xf>
    <xf numFmtId="0" fontId="4" fillId="4" borderId="3" applyAlignment="1" pivotButton="0" quotePrefix="0" xfId="0">
      <alignment horizontal="center" vertical="center"/>
    </xf>
    <xf numFmtId="0" fontId="2" fillId="6" borderId="2" applyAlignment="1" pivotButton="0" quotePrefix="0" xfId="0">
      <alignment vertical="center"/>
    </xf>
    <xf numFmtId="0" fontId="2" fillId="0" borderId="2" applyAlignment="1" pivotButton="0" quotePrefix="0" xfId="0">
      <alignment vertical="center"/>
    </xf>
    <xf numFmtId="0" fontId="1" fillId="0" borderId="2" applyAlignment="1" pivotButton="0" quotePrefix="0" xfId="0">
      <alignment vertical="center"/>
    </xf>
    <xf numFmtId="0" fontId="2" fillId="0" borderId="2" applyAlignment="1" pivotButton="0" quotePrefix="0" xfId="0">
      <alignment horizontal="left" vertical="center"/>
    </xf>
    <xf numFmtId="0" fontId="2" fillId="0" borderId="2" applyAlignment="1" pivotButton="0" quotePrefix="0" xfId="0">
      <alignment vertical="center"/>
    </xf>
    <xf numFmtId="0" fontId="0" fillId="0" borderId="2" applyAlignment="1" pivotButton="0" quotePrefix="0" xfId="0">
      <alignment vertical="center"/>
    </xf>
    <xf numFmtId="0" fontId="0" fillId="0" borderId="0" applyAlignment="1" pivotButton="0" quotePrefix="0" xfId="0">
      <alignment vertical="center"/>
    </xf>
    <xf numFmtId="0" fontId="2" fillId="0" borderId="0" applyAlignment="1" pivotButton="0" quotePrefix="0" xfId="0">
      <alignment vertical="center"/>
    </xf>
    <xf numFmtId="0" fontId="2" fillId="2" borderId="0" applyAlignment="1" pivotButton="0" quotePrefix="0" xfId="0">
      <alignment horizontal="left" vertical="center"/>
    </xf>
    <xf numFmtId="0" fontId="2" fillId="7" borderId="2" applyAlignment="1" pivotButton="0" quotePrefix="0" xfId="0">
      <alignment horizontal="center" vertical="center"/>
    </xf>
    <xf numFmtId="0" fontId="2" fillId="7" borderId="2" applyAlignment="1" pivotButton="0" quotePrefix="0" xfId="0">
      <alignment vertical="center"/>
    </xf>
    <xf numFmtId="0" fontId="2" fillId="6" borderId="2" applyAlignment="1" pivotButton="0" quotePrefix="0" xfId="0">
      <alignment horizontal="left" vertical="center"/>
    </xf>
    <xf numFmtId="0" fontId="1" fillId="6" borderId="0" applyAlignment="1" pivotButton="0" quotePrefix="0" xfId="0">
      <alignment vertical="center"/>
    </xf>
    <xf numFmtId="0" fontId="1" fillId="5" borderId="2" applyAlignment="1" pivotButton="0" quotePrefix="0" xfId="0">
      <alignment vertical="center"/>
    </xf>
    <xf numFmtId="0" fontId="4" fillId="4" borderId="4" applyAlignment="1" pivotButton="0" quotePrefix="0" xfId="0">
      <alignment horizontal="center" vertical="center"/>
    </xf>
    <xf numFmtId="0" fontId="2" fillId="7" borderId="2" applyAlignment="1" pivotButton="0" quotePrefix="0" xfId="0">
      <alignment horizontal="left" vertical="center"/>
    </xf>
    <xf numFmtId="0" fontId="0" fillId="0" borderId="0" applyAlignment="1" pivotButton="0" quotePrefix="0" xfId="0">
      <alignment horizontal="left" vertical="center"/>
    </xf>
    <xf numFmtId="0" fontId="1" fillId="0" borderId="0" applyAlignment="1" pivotButton="0" quotePrefix="0" xfId="0">
      <alignment horizontal="right" vertical="center"/>
    </xf>
    <xf numFmtId="0" fontId="5" fillId="0" borderId="0" applyAlignment="1" pivotButton="0" quotePrefix="0" xfId="0">
      <alignment vertical="center"/>
    </xf>
    <xf numFmtId="0" fontId="6" fillId="0" borderId="0" applyAlignment="1" pivotButton="0" quotePrefix="0" xfId="0">
      <alignment vertical="center"/>
    </xf>
    <xf numFmtId="0" fontId="6" fillId="0" borderId="0" applyAlignment="1" pivotButton="0" quotePrefix="0" xfId="0">
      <alignment horizontal="right" vertical="center"/>
    </xf>
    <xf numFmtId="0" fontId="0" fillId="0" borderId="0" applyAlignment="1" pivotButton="0" quotePrefix="0" xfId="0">
      <alignment horizontal="right" vertical="center"/>
    </xf>
    <xf numFmtId="0" fontId="3" fillId="0" borderId="0" applyAlignment="1" pivotButton="0" quotePrefix="0" xfId="0">
      <alignment vertical="center"/>
    </xf>
    <xf numFmtId="0" fontId="2" fillId="0" borderId="0" applyAlignment="1" pivotButton="0" quotePrefix="0" xfId="0">
      <alignment horizontal="right" vertical="center"/>
    </xf>
    <xf numFmtId="0" fontId="7" fillId="0" borderId="0" applyAlignment="1" pivotButton="0" quotePrefix="0" xfId="0">
      <alignment vertical="center"/>
    </xf>
    <xf numFmtId="0" fontId="7" fillId="8" borderId="5" applyAlignment="1" pivotButton="0" quotePrefix="0" xfId="0">
      <alignment horizontal="center" vertical="center"/>
    </xf>
    <xf numFmtId="0" fontId="8" fillId="9" borderId="6" applyAlignment="1" pivotButton="0" quotePrefix="0" xfId="0">
      <alignment vertical="center"/>
    </xf>
    <xf numFmtId="0" fontId="4" fillId="10" borderId="6" applyAlignment="1" pivotButton="0" quotePrefix="0" xfId="0">
      <alignment horizontal="center" vertical="center"/>
    </xf>
    <xf numFmtId="43" fontId="0" fillId="0" borderId="0" pivotButton="0" quotePrefix="0" xfId="0"/>
    <xf numFmtId="0" fontId="8" fillId="0" borderId="0" applyAlignment="1" pivotButton="0" quotePrefix="0" xfId="0">
      <alignment horizontal="right" vertical="center"/>
    </xf>
    <xf numFmtId="43" fontId="7" fillId="10" borderId="7" applyAlignment="1" pivotButton="0" quotePrefix="0" xfId="0">
      <alignment horizontal="left" vertical="top"/>
    </xf>
    <xf numFmtId="0" fontId="8" fillId="0" borderId="0" applyAlignment="1" pivotButton="0" quotePrefix="0" xfId="0">
      <alignment horizontal="right" vertical="center" indent="1"/>
    </xf>
    <xf numFmtId="0" fontId="8" fillId="0" borderId="0" applyAlignment="1" pivotButton="0" quotePrefix="0" xfId="0">
      <alignment horizontal="right" vertical="center" indent="2"/>
    </xf>
    <xf numFmtId="43" fontId="4" fillId="10" borderId="7" applyAlignment="1" pivotButton="0" quotePrefix="0" xfId="0">
      <alignment horizontal="left" vertical="top"/>
    </xf>
    <xf numFmtId="43" fontId="4" fillId="10" borderId="8" applyAlignment="1" pivotButton="0" quotePrefix="0" xfId="0">
      <alignment horizontal="left" vertical="top"/>
    </xf>
    <xf numFmtId="0" fontId="1" fillId="6" borderId="2" applyAlignment="1" pivotButton="0" quotePrefix="0" xfId="0">
      <alignment vertical="center"/>
    </xf>
    <xf numFmtId="0" fontId="9" fillId="0" borderId="0" applyAlignment="1" pivotButton="0" quotePrefix="0" xfId="0">
      <alignment vertical="center"/>
    </xf>
    <xf numFmtId="164" fontId="8" fillId="0" borderId="0" applyAlignment="1" pivotButton="0" quotePrefix="0" xfId="0">
      <alignment horizontal="left" vertical="center" wrapText="1"/>
    </xf>
    <xf numFmtId="0" fontId="2" fillId="0" borderId="2" applyAlignment="1" pivotButton="0" quotePrefix="0" xfId="0">
      <alignment horizontal="right" vertical="center"/>
    </xf>
    <xf numFmtId="0" fontId="2" fillId="0" borderId="0" applyAlignment="1" pivotButton="0" quotePrefix="0" xfId="0">
      <alignment horizontal="center" vertical="center"/>
    </xf>
    <xf numFmtId="164" fontId="10" fillId="0" borderId="9" applyAlignment="1" pivotButton="0" quotePrefix="0" xfId="0">
      <alignment horizontal="left" vertical="center" wrapText="1"/>
    </xf>
    <xf numFmtId="0" fontId="11" fillId="8" borderId="10" applyAlignment="1" pivotButton="0" quotePrefix="0" xfId="0">
      <alignment horizontal="center" vertical="center"/>
    </xf>
    <xf numFmtId="43" fontId="4" fillId="10" borderId="10" applyAlignment="1" pivotButton="0" quotePrefix="0" xfId="0">
      <alignment horizontal="center" vertical="center"/>
    </xf>
    <xf numFmtId="0" fontId="8" fillId="9" borderId="2" applyAlignment="1" pivotButton="0" quotePrefix="0" xfId="0">
      <alignment vertical="center"/>
    </xf>
    <xf numFmtId="43" fontId="4" fillId="10" borderId="2" applyAlignment="1" pivotButton="0" quotePrefix="0" xfId="0">
      <alignment horizontal="center" vertical="center"/>
    </xf>
    <xf numFmtId="0" fontId="2" fillId="10" borderId="2" applyAlignment="1" pivotButton="0" quotePrefix="0" xfId="0">
      <alignment horizontal="right" vertical="center"/>
    </xf>
    <xf numFmtId="0" fontId="2" fillId="10" borderId="2" applyAlignment="1" pivotButton="0" quotePrefix="0" xfId="0">
      <alignment horizontal="right" vertical="center"/>
    </xf>
    <xf numFmtId="0" fontId="4" fillId="10" borderId="2" applyAlignment="1" pivotButton="0" quotePrefix="0" xfId="50">
      <alignment horizontal="right" vertical="center"/>
    </xf>
    <xf numFmtId="165" fontId="8" fillId="11" borderId="2" applyAlignment="1" pivotButton="0" quotePrefix="0" xfId="0">
      <alignment horizontal="center" vertical="center"/>
    </xf>
    <xf numFmtId="43" fontId="0" fillId="12" borderId="2" applyAlignment="1" applyProtection="1" pivotButton="0" quotePrefix="0" xfId="0">
      <alignment horizontal="center" vertical="center"/>
      <protection locked="0" hidden="0"/>
    </xf>
    <xf numFmtId="165" fontId="8" fillId="11" borderId="11" applyAlignment="1" pivotButton="0" quotePrefix="0" xfId="0">
      <alignment horizontal="center" vertical="center"/>
    </xf>
    <xf numFmtId="43" fontId="0" fillId="12" borderId="11" applyAlignment="1" applyProtection="1" pivotButton="0" quotePrefix="0" xfId="0">
      <alignment horizontal="center" vertical="center"/>
      <protection locked="0" hidden="0"/>
    </xf>
    <xf numFmtId="0" fontId="1" fillId="0" borderId="0" applyAlignment="1" pivotButton="0" quotePrefix="0" xfId="0">
      <alignment horizontal="center" vertical="center"/>
    </xf>
    <xf numFmtId="0" fontId="12" fillId="0" borderId="0" applyAlignment="1" pivotButton="0" quotePrefix="0" xfId="0">
      <alignment vertical="center"/>
    </xf>
    <xf numFmtId="43" fontId="4" fillId="13" borderId="2" applyAlignment="1" pivotButton="0" quotePrefix="0" xfId="0">
      <alignment horizontal="center" vertical="center"/>
    </xf>
    <xf numFmtId="43" fontId="2" fillId="0" borderId="0" applyAlignment="1" pivotButton="0" quotePrefix="0" xfId="0">
      <alignment vertical="center"/>
    </xf>
    <xf numFmtId="0" fontId="13" fillId="0" borderId="0" applyAlignment="1" pivotButton="0" quotePrefix="0" xfId="0">
      <alignment horizontal="right" vertical="center"/>
    </xf>
    <xf numFmtId="43" fontId="4" fillId="10" borderId="12" applyAlignment="1" pivotButton="0" quotePrefix="0" xfId="0">
      <alignment horizontal="center" vertical="center"/>
    </xf>
    <xf numFmtId="43" fontId="4" fillId="3" borderId="4" applyAlignment="1" pivotButton="0" quotePrefix="0" xfId="0">
      <alignment horizontal="center" vertical="center"/>
    </xf>
    <xf numFmtId="43" fontId="4" fillId="3" borderId="2" applyAlignment="1" pivotButton="0" quotePrefix="0" xfId="0">
      <alignment horizontal="center" vertical="center" wrapText="1"/>
    </xf>
    <xf numFmtId="43" fontId="4" fillId="10" borderId="13" applyAlignment="1" pivotButton="0" quotePrefix="0" xfId="0">
      <alignment horizontal="center" vertical="center"/>
    </xf>
    <xf numFmtId="43" fontId="4" fillId="3" borderId="2" applyAlignment="1" pivotButton="0" quotePrefix="0" xfId="0">
      <alignment horizontal="center" vertical="center"/>
    </xf>
    <xf numFmtId="0" fontId="2" fillId="10" borderId="13" applyAlignment="1" pivotButton="0" quotePrefix="0" xfId="0">
      <alignment horizontal="right" vertical="center"/>
    </xf>
    <xf numFmtId="0" fontId="2" fillId="3" borderId="4" applyAlignment="1" pivotButton="0" quotePrefix="0" xfId="0">
      <alignment horizontal="right" vertical="center"/>
    </xf>
    <xf numFmtId="0" fontId="2" fillId="3" borderId="2" applyAlignment="1" pivotButton="0" quotePrefix="0" xfId="0">
      <alignment vertical="center"/>
    </xf>
    <xf numFmtId="0" fontId="4" fillId="10" borderId="13" applyAlignment="1" pivotButton="0" quotePrefix="0" xfId="50">
      <alignment horizontal="right" vertical="center"/>
    </xf>
    <xf numFmtId="0" fontId="4" fillId="3" borderId="4" applyAlignment="1" pivotButton="0" quotePrefix="0" xfId="50">
      <alignment horizontal="right" vertical="center"/>
    </xf>
    <xf numFmtId="0" fontId="2" fillId="3" borderId="2" applyAlignment="1" pivotButton="0" quotePrefix="0" xfId="0">
      <alignment horizontal="left" vertical="center"/>
    </xf>
    <xf numFmtId="43" fontId="0" fillId="12" borderId="13" applyAlignment="1" applyProtection="1" pivotButton="0" quotePrefix="0" xfId="0">
      <alignment horizontal="center" vertical="center"/>
      <protection locked="0" hidden="0"/>
    </xf>
    <xf numFmtId="43" fontId="0" fillId="3" borderId="4" applyAlignment="1" applyProtection="1" pivotButton="0" quotePrefix="0" xfId="0">
      <alignment horizontal="center" vertical="center"/>
      <protection locked="0" hidden="0"/>
    </xf>
    <xf numFmtId="43" fontId="2" fillId="3" borderId="2" applyAlignment="1" pivotButton="0" quotePrefix="0" xfId="0">
      <alignment vertical="center"/>
    </xf>
    <xf numFmtId="43" fontId="0" fillId="12" borderId="14" applyAlignment="1" applyProtection="1" pivotButton="0" quotePrefix="0" xfId="0">
      <alignment horizontal="center" vertical="center"/>
      <protection locked="0" hidden="0"/>
    </xf>
    <xf numFmtId="0" fontId="2" fillId="0" borderId="0" applyAlignment="1" pivotButton="0" quotePrefix="0" xfId="0">
      <alignment horizontal="left" vertical="center"/>
    </xf>
    <xf numFmtId="0" fontId="0" fillId="0" borderId="0" applyAlignment="1" pivotButton="0" quotePrefix="0" xfId="0">
      <alignment vertical="center" wrapText="1"/>
    </xf>
    <xf numFmtId="0" fontId="8" fillId="0" borderId="0" applyAlignment="1" pivotButton="0" quotePrefix="0" xfId="0">
      <alignment vertical="center"/>
    </xf>
    <xf numFmtId="0" fontId="1" fillId="3" borderId="0" applyAlignment="1" pivotButton="0" quotePrefix="0" xfId="0">
      <alignment horizontal="left" vertical="center"/>
    </xf>
    <xf numFmtId="0" fontId="14" fillId="0" borderId="0" applyAlignment="1" pivotButton="0" quotePrefix="0" xfId="0">
      <alignment horizontal="left" vertical="center" indent="1"/>
    </xf>
    <xf numFmtId="0" fontId="14" fillId="0" borderId="0" applyAlignment="1" pivotButton="0" quotePrefix="0" xfId="0">
      <alignment horizontal="left" vertical="center" indent="4"/>
    </xf>
    <xf numFmtId="0" fontId="14" fillId="0" borderId="0" applyAlignment="1" pivotButton="0" quotePrefix="0" xfId="0">
      <alignment vertical="center"/>
    </xf>
    <xf numFmtId="0" fontId="14" fillId="0" borderId="0" applyAlignment="1" pivotButton="0" quotePrefix="0" xfId="0">
      <alignment horizontal="left" vertical="center"/>
    </xf>
    <xf numFmtId="0" fontId="14" fillId="0" borderId="0" applyAlignment="1" pivotButton="0" quotePrefix="0" xfId="0">
      <alignment horizontal="left" vertical="center" indent="2"/>
    </xf>
    <xf numFmtId="0" fontId="14" fillId="0" borderId="0" applyAlignment="1" pivotButton="0" quotePrefix="0" xfId="0">
      <alignment horizontal="left" vertical="center" indent="1"/>
    </xf>
    <xf numFmtId="0" fontId="13" fillId="0" borderId="0" applyAlignment="1" pivotButton="0" quotePrefix="0" xfId="0">
      <alignment vertical="center"/>
    </xf>
    <xf numFmtId="0" fontId="13" fillId="8" borderId="5" applyAlignment="1" pivotButton="0" quotePrefix="0" xfId="0">
      <alignment horizontal="center" vertical="center"/>
    </xf>
    <xf numFmtId="0" fontId="7" fillId="8" borderId="10" applyAlignment="1" pivotButton="0" quotePrefix="0" xfId="0">
      <alignment horizontal="center" vertical="center"/>
    </xf>
    <xf numFmtId="0" fontId="13" fillId="8" borderId="6" applyAlignment="1" pivotButton="0" quotePrefix="0" xfId="0">
      <alignment horizontal="center" vertical="center"/>
    </xf>
    <xf numFmtId="0" fontId="7" fillId="8" borderId="2" applyAlignment="1" pivotButton="0" quotePrefix="0" xfId="0">
      <alignment horizontal="center" vertical="center"/>
    </xf>
    <xf numFmtId="0" fontId="7" fillId="8" borderId="2" applyAlignment="1" pivotButton="0" quotePrefix="0" xfId="0">
      <alignment horizontal="center" vertical="center" wrapText="1"/>
    </xf>
    <xf numFmtId="0" fontId="2" fillId="10" borderId="6" applyAlignment="1" pivotButton="0" quotePrefix="0" xfId="0">
      <alignment horizontal="center" vertical="center"/>
    </xf>
    <xf numFmtId="166" fontId="13" fillId="8" borderId="6" applyAlignment="1" pivotButton="0" quotePrefix="0" xfId="0">
      <alignment horizontal="center" vertical="center"/>
    </xf>
    <xf numFmtId="43" fontId="8" fillId="11" borderId="2" applyAlignment="1" applyProtection="1" pivotButton="0" quotePrefix="0" xfId="0">
      <alignment horizontal="right" vertical="center"/>
      <protection locked="0" hidden="0"/>
    </xf>
    <xf numFmtId="43" fontId="8" fillId="12" borderId="2" applyAlignment="1" applyProtection="1" pivotButton="0" quotePrefix="0" xfId="0">
      <alignment horizontal="right" vertical="center"/>
      <protection locked="0" hidden="0"/>
    </xf>
    <xf numFmtId="0" fontId="13" fillId="8" borderId="6" applyAlignment="1" pivotButton="0" quotePrefix="0" xfId="0">
      <alignment horizontal="left" vertical="center"/>
    </xf>
    <xf numFmtId="0" fontId="2" fillId="8" borderId="6" applyAlignment="1" pivotButton="0" quotePrefix="0" xfId="0">
      <alignment horizontal="left" vertical="center" indent="1"/>
    </xf>
    <xf numFmtId="0" fontId="2" fillId="8" borderId="6" applyAlignment="1" pivotButton="0" quotePrefix="0" xfId="0">
      <alignment horizontal="left" vertical="center" indent="2"/>
    </xf>
    <xf numFmtId="0" fontId="2" fillId="8" borderId="6" applyAlignment="1" pivotButton="0" quotePrefix="0" xfId="0">
      <alignment horizontal="left" vertical="center" indent="5"/>
    </xf>
    <xf numFmtId="0" fontId="2" fillId="8" borderId="6" applyAlignment="1" pivotButton="0" quotePrefix="0" xfId="0">
      <alignment horizontal="left" vertical="center" indent="6"/>
    </xf>
    <xf numFmtId="0" fontId="2" fillId="8" borderId="6" applyAlignment="1" pivotButton="0" quotePrefix="0" xfId="0">
      <alignment horizontal="left" vertical="center" indent="9"/>
    </xf>
    <xf numFmtId="0" fontId="15" fillId="0" borderId="0" applyAlignment="1" pivotButton="0" quotePrefix="0" xfId="0">
      <alignment horizontal="left" vertical="center" wrapText="1"/>
    </xf>
    <xf numFmtId="0" fontId="15" fillId="0" borderId="0" applyAlignment="1" pivotButton="0" quotePrefix="0" xfId="0">
      <alignment vertical="center" wrapText="1"/>
    </xf>
    <xf numFmtId="0" fontId="15" fillId="0" borderId="0" applyAlignment="1" pivotButton="0" quotePrefix="0" xfId="0">
      <alignment vertical="center"/>
    </xf>
    <xf numFmtId="43" fontId="8" fillId="2" borderId="2" applyAlignment="1" applyProtection="1" pivotButton="0" quotePrefix="0" xfId="0">
      <alignment horizontal="right" vertical="center"/>
      <protection locked="0" hidden="0"/>
    </xf>
    <xf numFmtId="43" fontId="2" fillId="12" borderId="2" applyAlignment="1" applyProtection="1" pivotButton="0" quotePrefix="0" xfId="1">
      <alignment horizontal="right" vertical="center"/>
      <protection locked="0" hidden="0"/>
    </xf>
    <xf numFmtId="0" fontId="7" fillId="8" borderId="12" applyAlignment="1" pivotButton="0" quotePrefix="0" xfId="0">
      <alignment horizontal="center" vertical="center"/>
    </xf>
    <xf numFmtId="0" fontId="7" fillId="8" borderId="13" applyAlignment="1" pivotButton="0" quotePrefix="0" xfId="0">
      <alignment horizontal="center" vertical="center"/>
    </xf>
    <xf numFmtId="43" fontId="2" fillId="12" borderId="13" applyAlignment="1" applyProtection="1" pivotButton="0" quotePrefix="0" xfId="1">
      <alignment horizontal="right" vertical="center"/>
      <protection locked="0" hidden="0"/>
    </xf>
    <xf numFmtId="167" fontId="2" fillId="0" borderId="0" applyAlignment="1" pivotButton="0" quotePrefix="0" xfId="0">
      <alignment vertical="center"/>
    </xf>
    <xf numFmtId="0" fontId="8" fillId="3" borderId="0" applyAlignment="1" pivotButton="0" quotePrefix="0" xfId="0">
      <alignment vertical="center"/>
    </xf>
    <xf numFmtId="0" fontId="0" fillId="3" borderId="0" applyAlignment="1" pivotButton="0" quotePrefix="0" xfId="0">
      <alignment vertical="center"/>
    </xf>
    <xf numFmtId="0" fontId="11" fillId="3" borderId="2" applyAlignment="1" pivotButton="0" quotePrefix="0" xfId="0">
      <alignment horizontal="left" vertical="center"/>
    </xf>
    <xf numFmtId="0" fontId="14" fillId="3" borderId="0" applyAlignment="1" pivotButton="0" quotePrefix="0" xfId="0">
      <alignment vertical="center"/>
    </xf>
    <xf numFmtId="0" fontId="7" fillId="3" borderId="2" applyAlignment="1" pivotButton="0" quotePrefix="0" xfId="0">
      <alignment horizontal="left" vertical="center" wrapText="1"/>
    </xf>
    <xf numFmtId="0" fontId="0" fillId="0" borderId="0" applyAlignment="1" pivotButton="0" quotePrefix="0" xfId="0">
      <alignment vertical="center" wrapText="1"/>
    </xf>
    <xf numFmtId="0" fontId="0" fillId="6" borderId="0" applyAlignment="1" pivotButton="0" quotePrefix="0" xfId="0">
      <alignment vertical="center"/>
    </xf>
    <xf numFmtId="0" fontId="0" fillId="6" borderId="0" applyAlignment="1" pivotButton="0" quotePrefix="0" xfId="0">
      <alignment vertical="center" wrapText="1"/>
    </xf>
    <xf numFmtId="0" fontId="7" fillId="3" borderId="2" applyAlignment="1" pivotButton="0" quotePrefix="0" xfId="0">
      <alignment horizontal="left" vertical="center"/>
    </xf>
    <xf numFmtId="43" fontId="0" fillId="0" borderId="0" applyAlignment="1" pivotButton="0" quotePrefix="0" xfId="1">
      <alignment vertical="center" wrapText="1"/>
    </xf>
    <xf numFmtId="43" fontId="0" fillId="0" borderId="0" applyAlignment="1" pivotButton="0" quotePrefix="0" xfId="1">
      <alignment vertical="center"/>
    </xf>
    <xf numFmtId="0" fontId="2" fillId="8" borderId="6" applyAlignment="1" pivotButton="0" quotePrefix="0" xfId="0">
      <alignment vertical="center"/>
    </xf>
    <xf numFmtId="0" fontId="14" fillId="0" borderId="0" applyAlignment="1" pivotButton="0" quotePrefix="0" xfId="0">
      <alignment horizontal="left" vertical="center" indent="2"/>
    </xf>
    <xf numFmtId="0" fontId="14" fillId="0" borderId="0" applyAlignment="1" pivotButton="0" quotePrefix="0" xfId="0">
      <alignment horizontal="left" vertical="center" indent="3"/>
    </xf>
    <xf numFmtId="0" fontId="0" fillId="3" borderId="0" applyAlignment="1" pivotButton="0" quotePrefix="0" xfId="0">
      <alignment horizontal="left" vertical="center"/>
    </xf>
    <xf numFmtId="0" fontId="2" fillId="3" borderId="0" applyAlignment="1" pivotButton="0" quotePrefix="0" xfId="0">
      <alignment vertical="center"/>
    </xf>
    <xf numFmtId="0" fontId="14" fillId="3" borderId="0" applyAlignment="1" pivotButton="0" quotePrefix="0" xfId="0">
      <alignment horizontal="left" vertical="center" indent="4"/>
    </xf>
    <xf numFmtId="0" fontId="0" fillId="0" borderId="0" applyAlignment="1" pivotButton="0" quotePrefix="0" xfId="0">
      <alignment horizontal="left" vertical="center" wrapText="1"/>
    </xf>
    <xf numFmtId="43" fontId="8" fillId="12" borderId="2" applyAlignment="1" applyProtection="1" pivotButton="0" quotePrefix="0" xfId="0">
      <alignment vertical="center"/>
      <protection locked="0" hidden="0"/>
    </xf>
    <xf numFmtId="0" fontId="2" fillId="8" borderId="6" applyAlignment="1" pivotButton="0" quotePrefix="0" xfId="0">
      <alignment horizontal="left" vertical="center" indent="3"/>
    </xf>
    <xf numFmtId="0" fontId="13" fillId="8" borderId="6" applyAlignment="1" pivotButton="0" quotePrefix="0" xfId="0">
      <alignment vertical="center"/>
    </xf>
    <xf numFmtId="0" fontId="2" fillId="8" borderId="15" applyAlignment="1" pivotButton="0" quotePrefix="0" xfId="0">
      <alignment horizontal="left" vertical="center" indent="1"/>
    </xf>
    <xf numFmtId="43" fontId="8" fillId="0" borderId="11" applyAlignment="1" applyProtection="1" pivotButton="0" quotePrefix="0" xfId="0">
      <alignment horizontal="right" vertical="center"/>
      <protection locked="0" hidden="0"/>
    </xf>
    <xf numFmtId="43" fontId="8" fillId="0" borderId="0" applyAlignment="1" applyProtection="1" pivotButton="0" quotePrefix="0" xfId="0">
      <alignment horizontal="right" vertical="center"/>
      <protection locked="0" hidden="0"/>
    </xf>
    <xf numFmtId="0" fontId="13" fillId="8" borderId="5" applyAlignment="1" pivotButton="0" quotePrefix="0" xfId="0">
      <alignment vertical="center"/>
    </xf>
    <xf numFmtId="43" fontId="8" fillId="11" borderId="10" applyAlignment="1" applyProtection="1" pivotButton="0" quotePrefix="0" xfId="0">
      <alignment horizontal="right" vertical="center"/>
      <protection locked="0" hidden="0"/>
    </xf>
    <xf numFmtId="43" fontId="8" fillId="12" borderId="10" applyAlignment="1" applyProtection="1" pivotButton="0" quotePrefix="0" xfId="0">
      <alignment horizontal="right" vertical="center"/>
      <protection locked="0" hidden="0"/>
    </xf>
    <xf numFmtId="166" fontId="2" fillId="8" borderId="16" applyAlignment="1" pivotButton="0" quotePrefix="0" xfId="0">
      <alignment horizontal="left" vertical="center" indent="1"/>
    </xf>
    <xf numFmtId="43" fontId="8" fillId="11" borderId="11" applyAlignment="1" applyProtection="1" pivotButton="0" quotePrefix="0" xfId="0">
      <alignment horizontal="right" vertical="center"/>
      <protection locked="0" hidden="0"/>
    </xf>
    <xf numFmtId="43" fontId="8" fillId="12" borderId="11" applyAlignment="1" applyProtection="1" pivotButton="0" quotePrefix="0" xfId="0">
      <alignment horizontal="right" vertical="center"/>
      <protection locked="0" hidden="0"/>
    </xf>
    <xf numFmtId="0" fontId="2" fillId="0" borderId="0" applyAlignment="1" pivotButton="0" quotePrefix="0" xfId="0">
      <alignment horizontal="left" vertical="center" indent="1"/>
    </xf>
    <xf numFmtId="0" fontId="13" fillId="8" borderId="5" applyAlignment="1" pivotButton="0" quotePrefix="0" xfId="0">
      <alignment horizontal="left" vertical="center"/>
    </xf>
    <xf numFmtId="0" fontId="0" fillId="0" borderId="0" applyAlignment="1" applyProtection="1" pivotButton="0" quotePrefix="0" xfId="0">
      <alignment vertical="center"/>
      <protection locked="0" hidden="0"/>
    </xf>
    <xf numFmtId="0" fontId="0" fillId="3" borderId="0" applyAlignment="1" applyProtection="1" pivotButton="0" quotePrefix="0" xfId="0">
      <alignment vertical="center"/>
      <protection locked="0" hidden="0"/>
    </xf>
    <xf numFmtId="0" fontId="16" fillId="10" borderId="2" applyAlignment="1" pivotButton="0" quotePrefix="0" xfId="0">
      <alignment horizontal="left" vertical="center"/>
    </xf>
    <xf numFmtId="43" fontId="0" fillId="14" borderId="2" applyAlignment="1" pivotButton="0" quotePrefix="0" xfId="1">
      <alignment horizontal="center" vertical="center" wrapText="1"/>
    </xf>
    <xf numFmtId="0" fontId="0" fillId="14" borderId="2" applyAlignment="1" pivotButton="0" quotePrefix="0" xfId="0">
      <alignment horizontal="center" vertical="center" wrapText="1"/>
    </xf>
    <xf numFmtId="43" fontId="2" fillId="12" borderId="2" applyAlignment="1" applyProtection="1" pivotButton="0" quotePrefix="0" xfId="1">
      <alignment vertical="center"/>
      <protection locked="0" hidden="0"/>
    </xf>
    <xf numFmtId="43" fontId="8" fillId="15" borderId="2" applyAlignment="1" applyProtection="1" pivotButton="0" quotePrefix="0" xfId="0">
      <alignment horizontal="right" vertical="center"/>
      <protection locked="0" hidden="0"/>
    </xf>
    <xf numFmtId="0" fontId="3" fillId="0" borderId="0" applyAlignment="1" applyProtection="1" pivotButton="0" quotePrefix="0" xfId="0">
      <alignment vertical="center"/>
      <protection locked="0" hidden="0"/>
    </xf>
    <xf numFmtId="43" fontId="8" fillId="11" borderId="2" applyAlignment="1" applyProtection="1" pivotButton="0" quotePrefix="0" xfId="0">
      <alignment vertical="center"/>
      <protection locked="0" hidden="0"/>
    </xf>
    <xf numFmtId="43" fontId="2" fillId="12" borderId="13" applyAlignment="1" applyProtection="1" pivotButton="0" quotePrefix="0" xfId="1">
      <alignment vertical="center"/>
      <protection locked="0" hidden="0"/>
    </xf>
    <xf numFmtId="43" fontId="2" fillId="11" borderId="14" applyAlignment="1" applyProtection="1" pivotButton="0" quotePrefix="0" xfId="1">
      <alignment horizontal="right" vertical="center"/>
      <protection locked="0" hidden="0"/>
    </xf>
    <xf numFmtId="43" fontId="8" fillId="11" borderId="12" applyAlignment="1" applyProtection="1" pivotButton="0" quotePrefix="0" xfId="0">
      <alignment horizontal="right" vertical="center"/>
      <protection locked="0" hidden="0"/>
    </xf>
    <xf numFmtId="43" fontId="8" fillId="11" borderId="13" applyAlignment="1" applyProtection="1" pivotButton="0" quotePrefix="0" xfId="0">
      <alignment horizontal="right" vertical="center"/>
      <protection locked="0" hidden="0"/>
    </xf>
    <xf numFmtId="43" fontId="8" fillId="11" borderId="14" applyAlignment="1" applyProtection="1" pivotButton="0" quotePrefix="0" xfId="0">
      <alignment horizontal="right" vertical="center"/>
      <protection locked="0" hidden="0"/>
    </xf>
    <xf numFmtId="0" fontId="0" fillId="6" borderId="0" applyAlignment="1" pivotButton="0" quotePrefix="0" xfId="0">
      <alignment horizontal="center" vertical="center"/>
    </xf>
    <xf numFmtId="0" fontId="1" fillId="0" borderId="0" applyAlignment="1" pivotButton="0" quotePrefix="0" xfId="0">
      <alignment horizontal="left" vertical="center"/>
    </xf>
    <xf numFmtId="0" fontId="5" fillId="0" borderId="0" applyAlignment="1" pivotButton="0" quotePrefix="0" xfId="0">
      <alignment vertical="center"/>
    </xf>
    <xf numFmtId="0" fontId="4" fillId="3" borderId="1" applyAlignment="1" pivotButton="0" quotePrefix="0" xfId="0">
      <alignment vertical="center"/>
    </xf>
    <xf numFmtId="0" fontId="2" fillId="0" borderId="1" applyAlignment="1" pivotButton="0" quotePrefix="0" xfId="0">
      <alignment horizontal="left" vertical="center"/>
    </xf>
    <xf numFmtId="0" fontId="4" fillId="4" borderId="2" applyAlignment="1" pivotButton="0" quotePrefix="0" xfId="0">
      <alignment horizontal="center" vertical="center"/>
    </xf>
    <xf numFmtId="0" fontId="2" fillId="5" borderId="2" applyAlignment="1" pivotButton="0" quotePrefix="0" xfId="0">
      <alignment horizontal="center" vertical="center"/>
    </xf>
    <xf numFmtId="0" fontId="2" fillId="5" borderId="2" applyAlignment="1" pivotButton="0" quotePrefix="0" xfId="0">
      <alignment horizontal="left" vertical="center"/>
    </xf>
    <xf numFmtId="0" fontId="4" fillId="4" borderId="3" applyAlignment="1" pivotButton="0" quotePrefix="0" xfId="0">
      <alignment horizontal="center" vertical="center"/>
    </xf>
    <xf numFmtId="0" fontId="2" fillId="6" borderId="2" applyAlignment="1" pivotButton="0" quotePrefix="0" xfId="0">
      <alignment vertical="center"/>
    </xf>
    <xf numFmtId="0" fontId="2" fillId="0" borderId="2" applyAlignment="1" pivotButton="0" quotePrefix="0" xfId="0">
      <alignment vertical="center"/>
    </xf>
    <xf numFmtId="0" fontId="1" fillId="0" borderId="2" applyAlignment="1" pivotButton="0" quotePrefix="0" xfId="0">
      <alignment vertical="center"/>
    </xf>
    <xf numFmtId="0" fontId="2" fillId="0" borderId="2" applyAlignment="1" pivotButton="0" quotePrefix="0" xfId="0">
      <alignment horizontal="left" vertical="center"/>
    </xf>
    <xf numFmtId="0" fontId="2" fillId="0" borderId="2" applyAlignment="1" pivotButton="0" quotePrefix="0" xfId="0">
      <alignment vertical="center"/>
    </xf>
    <xf numFmtId="0" fontId="2" fillId="7" borderId="2" applyAlignment="1" pivotButton="0" quotePrefix="0" xfId="0">
      <alignment horizontal="center" vertical="center"/>
    </xf>
    <xf numFmtId="0" fontId="2" fillId="7" borderId="2" applyAlignment="1" pivotButton="0" quotePrefix="0" xfId="0">
      <alignment vertical="center"/>
    </xf>
    <xf numFmtId="0" fontId="1" fillId="6" borderId="0" applyAlignment="1" pivotButton="0" quotePrefix="0" xfId="0">
      <alignment vertical="center"/>
    </xf>
    <xf numFmtId="0" fontId="1" fillId="5" borderId="2" applyAlignment="1" pivotButton="0" quotePrefix="0" xfId="0">
      <alignment vertical="center"/>
    </xf>
    <xf numFmtId="0" fontId="4" fillId="4" borderId="4" applyAlignment="1" pivotButton="0" quotePrefix="0" xfId="0">
      <alignment horizontal="center" vertical="center"/>
    </xf>
    <xf numFmtId="0" fontId="2" fillId="7" borderId="2" applyAlignment="1" pivotButton="0" quotePrefix="0" xfId="0">
      <alignment horizontal="left" vertical="center"/>
    </xf>
    <xf numFmtId="0" fontId="17" fillId="0" borderId="0" applyAlignment="1" pivotButton="0" quotePrefix="0" xfId="0">
      <alignment vertical="center"/>
    </xf>
    <xf numFmtId="0" fontId="7" fillId="0" borderId="0" applyAlignment="1" pivotButton="0" quotePrefix="0" xfId="0">
      <alignment vertical="center"/>
    </xf>
    <xf numFmtId="43" fontId="4" fillId="16" borderId="17" applyAlignment="1" pivotButton="0" quotePrefix="0" xfId="0">
      <alignment horizontal="center" vertical="center"/>
    </xf>
    <xf numFmtId="0" fontId="8" fillId="0" borderId="18" applyAlignment="1" pivotButton="0" quotePrefix="0" xfId="0">
      <alignment vertical="center"/>
    </xf>
    <xf numFmtId="0" fontId="4" fillId="0" borderId="6" applyAlignment="1" pivotButton="0" quotePrefix="0" xfId="0">
      <alignment horizontal="center" vertical="center"/>
    </xf>
    <xf numFmtId="0" fontId="18" fillId="0" borderId="0" applyAlignment="1" pivotButton="0" quotePrefix="0" xfId="0">
      <alignment vertical="center"/>
    </xf>
    <xf numFmtId="0" fontId="4" fillId="0" borderId="19" applyAlignment="1" pivotButton="0" quotePrefix="0" xfId="0">
      <alignment horizontal="center" vertical="center"/>
    </xf>
    <xf numFmtId="0" fontId="8" fillId="0" borderId="0" applyAlignment="1" pivotButton="0" quotePrefix="0" xfId="0">
      <alignment vertical="center"/>
    </xf>
    <xf numFmtId="0" fontId="8" fillId="0" borderId="0" applyAlignment="1" pivotButton="0" quotePrefix="0" xfId="0">
      <alignment vertical="center"/>
    </xf>
    <xf numFmtId="43" fontId="4" fillId="16" borderId="20" applyAlignment="1" pivotButton="0" quotePrefix="0" xfId="0">
      <alignment horizontal="left" vertical="center"/>
    </xf>
    <xf numFmtId="0" fontId="8" fillId="0" borderId="0" applyAlignment="1" pivotButton="0" quotePrefix="0" xfId="0">
      <alignment horizontal="left" vertical="center" indent="1"/>
    </xf>
    <xf numFmtId="0" fontId="1" fillId="6" borderId="2" applyAlignment="1" pivotButton="0" quotePrefix="0" xfId="0">
      <alignment vertical="center"/>
    </xf>
    <xf numFmtId="0" fontId="12" fillId="0" borderId="0" applyAlignment="1" pivotButton="0" quotePrefix="0" xfId="0">
      <alignment vertical="center"/>
    </xf>
    <xf numFmtId="0" fontId="9" fillId="0" borderId="0" applyAlignment="1" pivotButton="0" quotePrefix="0" xfId="0">
      <alignment vertical="center"/>
    </xf>
    <xf numFmtId="0" fontId="2" fillId="0" borderId="0" applyAlignment="1" pivotButton="0" quotePrefix="0" xfId="0">
      <alignment horizontal="center" vertical="center"/>
    </xf>
    <xf numFmtId="0" fontId="2" fillId="0" borderId="2" applyAlignment="1" pivotButton="0" quotePrefix="0" xfId="0">
      <alignment horizontal="right" vertical="center"/>
    </xf>
    <xf numFmtId="0" fontId="2" fillId="0" borderId="2" applyAlignment="1" applyProtection="1" pivotButton="0" quotePrefix="0" xfId="0">
      <alignment vertical="center"/>
      <protection locked="0" hidden="0"/>
    </xf>
    <xf numFmtId="43" fontId="4" fillId="16" borderId="21" applyAlignment="1" pivotButton="0" quotePrefix="0" xfId="0">
      <alignment horizontal="center" vertical="center"/>
    </xf>
    <xf numFmtId="43" fontId="4" fillId="16" borderId="22" applyAlignment="1" pivotButton="0" quotePrefix="0" xfId="0">
      <alignment horizontal="center" vertical="center"/>
    </xf>
    <xf numFmtId="43" fontId="4" fillId="16" borderId="23" applyAlignment="1" pivotButton="0" quotePrefix="0" xfId="0">
      <alignment horizontal="center" vertical="center"/>
    </xf>
    <xf numFmtId="43" fontId="4" fillId="16" borderId="24" applyAlignment="1" pivotButton="0" quotePrefix="0" xfId="0">
      <alignment horizontal="center" vertical="center"/>
    </xf>
    <xf numFmtId="43" fontId="4" fillId="16" borderId="25" applyAlignment="1" pivotButton="0" quotePrefix="0" xfId="0">
      <alignment horizontal="center" vertical="center"/>
    </xf>
    <xf numFmtId="43" fontId="4" fillId="0" borderId="0" applyAlignment="1" pivotButton="0" quotePrefix="0" xfId="0">
      <alignment horizontal="center" vertical="center"/>
    </xf>
    <xf numFmtId="0" fontId="4" fillId="0" borderId="0" applyAlignment="1" pivotButton="0" quotePrefix="0" xfId="0">
      <alignment horizontal="center" vertical="center"/>
    </xf>
    <xf numFmtId="0" fontId="2" fillId="0" borderId="2" applyAlignment="1" pivotButton="0" quotePrefix="0" xfId="0">
      <alignment horizontal="center" vertical="center"/>
    </xf>
    <xf numFmtId="0" fontId="4" fillId="0" borderId="26" applyAlignment="1" pivotButton="0" quotePrefix="0" xfId="50">
      <alignment horizontal="right" vertical="center"/>
    </xf>
    <xf numFmtId="0" fontId="4" fillId="0" borderId="26" applyAlignment="1" pivotButton="0" quotePrefix="0" xfId="50">
      <alignment horizontal="center" vertical="center"/>
    </xf>
    <xf numFmtId="0" fontId="2" fillId="0" borderId="0" applyAlignment="1" pivotButton="0" quotePrefix="0" xfId="0">
      <alignment horizontal="right" vertical="center"/>
    </xf>
    <xf numFmtId="43" fontId="4" fillId="16" borderId="27" applyAlignment="1" pivotButton="0" quotePrefix="0" xfId="0">
      <alignment horizontal="center" vertical="center"/>
    </xf>
    <xf numFmtId="166" fontId="8" fillId="17" borderId="2" applyAlignment="1" pivotButton="0" quotePrefix="0" xfId="0">
      <alignment horizontal="center" vertical="center"/>
    </xf>
    <xf numFmtId="166" fontId="8" fillId="0" borderId="2" applyAlignment="1" applyProtection="1" pivotButton="0" quotePrefix="0" xfId="0">
      <alignment horizontal="center" vertical="center"/>
      <protection locked="0" hidden="0"/>
    </xf>
    <xf numFmtId="0" fontId="1" fillId="0" borderId="0" applyAlignment="1" pivotButton="0" quotePrefix="0" xfId="0">
      <alignment horizontal="center" vertical="center"/>
    </xf>
    <xf numFmtId="0" fontId="2" fillId="3" borderId="2" applyAlignment="1" pivotButton="0" quotePrefix="0" xfId="0">
      <alignment vertical="center"/>
    </xf>
    <xf numFmtId="168" fontId="2" fillId="0" borderId="0" applyAlignment="1" pivotButton="0" quotePrefix="0" xfId="0">
      <alignment vertical="center"/>
    </xf>
    <xf numFmtId="0" fontId="13" fillId="0" borderId="0" applyAlignment="1" pivotButton="0" quotePrefix="0" xfId="0">
      <alignment horizontal="right" vertical="center"/>
    </xf>
    <xf numFmtId="43" fontId="4" fillId="16" borderId="28" applyAlignment="1" pivotButton="0" quotePrefix="0" xfId="0">
      <alignment horizontal="center" vertical="center"/>
    </xf>
    <xf numFmtId="43" fontId="4" fillId="16" borderId="29" applyAlignment="1" pivotButton="0" quotePrefix="0" xfId="0">
      <alignment horizontal="center" vertical="center"/>
    </xf>
    <xf numFmtId="166" fontId="8" fillId="17" borderId="2" applyAlignment="1" pivotButton="0" quotePrefix="0" xfId="3">
      <alignment horizontal="center" vertical="center"/>
    </xf>
    <xf numFmtId="0" fontId="1" fillId="3" borderId="2" applyAlignment="1" pivotButton="0" quotePrefix="0" xfId="0">
      <alignment vertical="center"/>
    </xf>
    <xf numFmtId="0" fontId="1" fillId="14" borderId="2" applyAlignment="1" pivotButton="0" quotePrefix="0" xfId="0">
      <alignment vertical="center"/>
    </xf>
    <xf numFmtId="0" fontId="2" fillId="14" borderId="2" applyAlignment="1" pivotButton="0" quotePrefix="0" xfId="0">
      <alignment vertical="center"/>
    </xf>
    <xf numFmtId="0" fontId="4" fillId="0" borderId="0" applyAlignment="1" pivotButton="0" quotePrefix="0" xfId="0">
      <alignment horizontal="center" vertical="center"/>
    </xf>
    <xf numFmtId="0" fontId="2" fillId="0" borderId="2" applyAlignment="1" pivotButton="0" quotePrefix="0" xfId="0">
      <alignment horizontal="center" vertical="center"/>
    </xf>
    <xf numFmtId="43" fontId="4" fillId="16" borderId="30" applyAlignment="1" pivotButton="0" quotePrefix="0" xfId="0">
      <alignment horizontal="center" vertical="center"/>
    </xf>
    <xf numFmtId="43" fontId="4" fillId="12" borderId="31" applyAlignment="1" pivotButton="0" quotePrefix="0" xfId="0">
      <alignment horizontal="center" vertical="center" wrapText="1"/>
    </xf>
    <xf numFmtId="43" fontId="4" fillId="16" borderId="32" applyAlignment="1" pivotButton="0" quotePrefix="0" xfId="0">
      <alignment horizontal="center" vertical="center"/>
    </xf>
    <xf numFmtId="43" fontId="4" fillId="12" borderId="33" applyAlignment="1" pivotButton="0" quotePrefix="0" xfId="0">
      <alignment horizontal="center" vertical="center" wrapText="1"/>
    </xf>
    <xf numFmtId="43" fontId="4" fillId="0" borderId="34" applyAlignment="1" pivotButton="0" quotePrefix="0" xfId="0">
      <alignment horizontal="center" vertical="center"/>
    </xf>
    <xf numFmtId="43" fontId="4" fillId="0" borderId="33" applyAlignment="1" pivotButton="0" quotePrefix="0" xfId="0">
      <alignment horizontal="center" vertical="center" wrapText="1"/>
    </xf>
    <xf numFmtId="0" fontId="2" fillId="0" borderId="13" applyAlignment="1" pivotButton="0" quotePrefix="0" xfId="0">
      <alignment vertical="center"/>
    </xf>
    <xf numFmtId="0" fontId="2" fillId="0" borderId="35" applyAlignment="1" pivotButton="0" quotePrefix="0" xfId="0">
      <alignment horizontal="right" vertical="center"/>
    </xf>
    <xf numFmtId="166" fontId="8" fillId="17" borderId="13" applyAlignment="1" pivotButton="0" quotePrefix="0" xfId="0">
      <alignment horizontal="center" vertical="center"/>
    </xf>
    <xf numFmtId="43" fontId="8" fillId="12" borderId="35" applyAlignment="1" pivotButton="0" quotePrefix="0" xfId="0">
      <alignment horizontal="center" vertical="center"/>
    </xf>
    <xf numFmtId="166" fontId="8" fillId="9" borderId="2" applyAlignment="1" applyProtection="1" pivotButton="0" quotePrefix="0" xfId="0">
      <alignment horizontal="center" vertical="center"/>
      <protection locked="0" hidden="0"/>
    </xf>
    <xf numFmtId="0" fontId="8" fillId="12" borderId="35" applyAlignment="1" pivotButton="0" quotePrefix="0" xfId="0">
      <alignment horizontal="center" vertical="center"/>
    </xf>
    <xf numFmtId="43" fontId="2" fillId="0" borderId="0" applyAlignment="1" pivotButton="0" quotePrefix="0" xfId="1">
      <alignment horizontal="left" vertical="center"/>
    </xf>
    <xf numFmtId="43" fontId="2" fillId="0" borderId="0" applyAlignment="1" pivotButton="0" quotePrefix="0" xfId="1">
      <alignment vertical="center"/>
    </xf>
    <xf numFmtId="43" fontId="14" fillId="0" borderId="0" applyAlignment="1" pivotButton="0" quotePrefix="0" xfId="1">
      <alignment vertical="center"/>
    </xf>
    <xf numFmtId="0" fontId="1" fillId="3" borderId="0" applyAlignment="1" pivotButton="0" quotePrefix="0" xfId="0">
      <alignment vertical="center"/>
    </xf>
    <xf numFmtId="0" fontId="1" fillId="3" borderId="0" applyAlignment="1" pivotButton="0" quotePrefix="0" xfId="0">
      <alignment horizontal="left" vertical="center"/>
    </xf>
    <xf numFmtId="0" fontId="8" fillId="3" borderId="0" applyAlignment="1" pivotButton="0" quotePrefix="0" xfId="0">
      <alignment vertical="center"/>
    </xf>
    <xf numFmtId="43" fontId="2" fillId="3" borderId="0" applyAlignment="1" pivotButton="0" quotePrefix="0" xfId="1">
      <alignment horizontal="left" vertical="center"/>
    </xf>
    <xf numFmtId="43" fontId="1" fillId="3" borderId="0" applyAlignment="1" pivotButton="0" quotePrefix="0" xfId="1">
      <alignment vertical="center"/>
    </xf>
    <xf numFmtId="43" fontId="4" fillId="16" borderId="36" applyAlignment="1" pivotButton="0" quotePrefix="0" xfId="0">
      <alignment horizontal="left" vertical="center"/>
    </xf>
    <xf numFmtId="166" fontId="8" fillId="18" borderId="2" applyAlignment="1" pivotButton="0" quotePrefix="0" xfId="0">
      <alignment horizontal="center" vertical="center"/>
    </xf>
    <xf numFmtId="43" fontId="4" fillId="16" borderId="37" applyAlignment="1" pivotButton="0" quotePrefix="0" xfId="0">
      <alignment horizontal="center" vertical="center"/>
    </xf>
    <xf numFmtId="166" fontId="8" fillId="17" borderId="11" applyAlignment="1" pivotButton="0" quotePrefix="0" xfId="0">
      <alignment horizontal="center" vertical="center"/>
    </xf>
    <xf numFmtId="0" fontId="1" fillId="19" borderId="0" applyAlignment="1" pivotButton="0" quotePrefix="0" xfId="0">
      <alignment vertical="center"/>
    </xf>
    <xf numFmtId="43" fontId="19" fillId="19" borderId="0" applyAlignment="1" pivotButton="0" quotePrefix="0" xfId="1">
      <alignment vertical="center"/>
    </xf>
    <xf numFmtId="166" fontId="8" fillId="17" borderId="11" applyAlignment="1" pivotButton="0" quotePrefix="0" xfId="3">
      <alignment horizontal="center" vertical="center"/>
    </xf>
    <xf numFmtId="166" fontId="8" fillId="17" borderId="14" applyAlignment="1" pivotButton="0" quotePrefix="0" xfId="0">
      <alignment horizontal="center" vertical="center"/>
    </xf>
    <xf numFmtId="43" fontId="8" fillId="12" borderId="38" applyAlignment="1" pivotButton="0" quotePrefix="0" xfId="0">
      <alignment horizontal="center" vertical="center"/>
    </xf>
    <xf numFmtId="43" fontId="1" fillId="3" borderId="0" applyAlignment="1" pivotButton="0" quotePrefix="0" xfId="1">
      <alignment horizontal="left" vertical="center"/>
    </xf>
    <xf numFmtId="0" fontId="10" fillId="0" borderId="0" applyAlignment="1" pivotButton="0" quotePrefix="0" xfId="0">
      <alignment vertical="center"/>
    </xf>
    <xf numFmtId="43" fontId="10" fillId="0" borderId="0" applyAlignment="1" pivotButton="0" quotePrefix="0" xfId="1">
      <alignment vertical="center"/>
    </xf>
    <xf numFmtId="43" fontId="4" fillId="3" borderId="0" applyAlignment="1" pivotButton="0" quotePrefix="0" xfId="0">
      <alignment horizontal="left" vertical="center"/>
    </xf>
    <xf numFmtId="43" fontId="4" fillId="3" borderId="0" applyAlignment="1" pivotButton="0" quotePrefix="0" xfId="0">
      <alignment vertical="center"/>
    </xf>
    <xf numFmtId="0" fontId="17" fillId="0" borderId="0" applyAlignment="1" pivotButton="0" quotePrefix="0" xfId="0">
      <alignment vertical="center"/>
    </xf>
    <xf numFmtId="43" fontId="7" fillId="16" borderId="17" applyAlignment="1" pivotButton="0" quotePrefix="0" xfId="0">
      <alignment horizontal="center" vertical="center"/>
    </xf>
    <xf numFmtId="43" fontId="7" fillId="16" borderId="39" applyAlignment="1" pivotButton="0" quotePrefix="0" xfId="0">
      <alignment horizontal="center" vertical="center"/>
    </xf>
    <xf numFmtId="43" fontId="7" fillId="16" borderId="18" applyAlignment="1" pivotButton="0" quotePrefix="0" xfId="0">
      <alignment horizontal="center" vertical="center"/>
    </xf>
    <xf numFmtId="0" fontId="4" fillId="20" borderId="6" applyAlignment="1" pivotButton="0" quotePrefix="0" xfId="0">
      <alignment horizontal="center" vertical="center"/>
    </xf>
    <xf numFmtId="0" fontId="17" fillId="0" borderId="0" applyAlignment="1" pivotButton="0" quotePrefix="0" xfId="0">
      <alignment vertical="center"/>
    </xf>
    <xf numFmtId="43" fontId="7" fillId="16" borderId="6" applyAlignment="1" pivotButton="0" quotePrefix="0" xfId="0">
      <alignment horizontal="left" vertical="top"/>
    </xf>
    <xf numFmtId="0" fontId="17" fillId="0" borderId="0" applyAlignment="1" pivotButton="0" quotePrefix="0" xfId="0">
      <alignment horizontal="left" vertical="center" indent="1"/>
    </xf>
    <xf numFmtId="0" fontId="17" fillId="0" borderId="0" applyAlignment="1" pivotButton="0" quotePrefix="0" xfId="0">
      <alignment horizontal="left" vertical="center" indent="2"/>
    </xf>
    <xf numFmtId="43" fontId="7" fillId="16" borderId="20" applyAlignment="1" pivotButton="0" quotePrefix="0" xfId="0">
      <alignment vertical="top"/>
    </xf>
    <xf numFmtId="0" fontId="17" fillId="0" borderId="0" applyAlignment="1" pivotButton="0" quotePrefix="0" xfId="0">
      <alignment horizontal="left" vertical="center" indent="3"/>
    </xf>
    <xf numFmtId="43" fontId="7" fillId="16" borderId="6" applyAlignment="1" pivotButton="0" quotePrefix="0" xfId="0">
      <alignment vertical="top"/>
    </xf>
    <xf numFmtId="43" fontId="7" fillId="16" borderId="20" applyAlignment="1" pivotButton="0" quotePrefix="0" xfId="0">
      <alignment horizontal="left" vertical="top"/>
    </xf>
    <xf numFmtId="43" fontId="7" fillId="16" borderId="15" applyAlignment="1" pivotButton="0" quotePrefix="0" xfId="0">
      <alignment horizontal="left" vertical="top"/>
    </xf>
    <xf numFmtId="43" fontId="7" fillId="16" borderId="24" applyAlignment="1" pivotButton="0" quotePrefix="0" xfId="0">
      <alignment horizontal="center" vertical="top"/>
    </xf>
    <xf numFmtId="43" fontId="7" fillId="16" borderId="28" applyAlignment="1" pivotButton="0" quotePrefix="0" xfId="0">
      <alignment horizontal="center" vertical="top"/>
    </xf>
    <xf numFmtId="43" fontId="7" fillId="16" borderId="29" applyAlignment="1" pivotButton="0" quotePrefix="0" xfId="0">
      <alignment horizontal="center" vertical="top"/>
    </xf>
    <xf numFmtId="43" fontId="7" fillId="16" borderId="40" applyAlignment="1" pivotButton="0" quotePrefix="0" xfId="0">
      <alignment horizontal="center" vertical="center" wrapText="1"/>
    </xf>
    <xf numFmtId="43" fontId="7" fillId="16" borderId="26" applyAlignment="1" pivotButton="0" quotePrefix="0" xfId="0">
      <alignment horizontal="center" vertical="center" wrapText="1"/>
    </xf>
    <xf numFmtId="0" fontId="2" fillId="20" borderId="2" applyAlignment="1" pivotButton="0" quotePrefix="0" xfId="0">
      <alignment horizontal="right" vertical="center"/>
    </xf>
    <xf numFmtId="0" fontId="4" fillId="20" borderId="26" applyAlignment="1" pivotButton="0" quotePrefix="0" xfId="50">
      <alignment horizontal="right" vertical="center"/>
    </xf>
    <xf numFmtId="43" fontId="4" fillId="11" borderId="2" applyAlignment="1" applyProtection="1" pivotButton="0" quotePrefix="0" xfId="0">
      <alignment horizontal="center" vertical="top"/>
      <protection locked="0" hidden="0"/>
    </xf>
    <xf numFmtId="43" fontId="8" fillId="11" borderId="2" applyAlignment="1" applyProtection="1" pivotButton="0" quotePrefix="0" xfId="1">
      <alignment horizontal="right"/>
      <protection locked="0" hidden="0"/>
    </xf>
    <xf numFmtId="43" fontId="4" fillId="11" borderId="2" applyProtection="1" pivotButton="0" quotePrefix="0" xfId="1">
      <protection locked="0" hidden="0"/>
    </xf>
    <xf numFmtId="43" fontId="8" fillId="11" borderId="41" applyAlignment="1" applyProtection="1" pivotButton="0" quotePrefix="0" xfId="1">
      <alignment horizontal="center" vertical="center"/>
      <protection locked="0" hidden="0"/>
    </xf>
    <xf numFmtId="43" fontId="8" fillId="11" borderId="11" applyAlignment="1" applyProtection="1" pivotButton="0" quotePrefix="0" xfId="1">
      <alignment horizontal="right"/>
      <protection locked="0" hidden="0"/>
    </xf>
    <xf numFmtId="43" fontId="4" fillId="11" borderId="11" applyProtection="1" pivotButton="0" quotePrefix="0" xfId="1">
      <protection locked="0" hidden="0"/>
    </xf>
    <xf numFmtId="43" fontId="4" fillId="11" borderId="11" applyAlignment="1" applyProtection="1" pivotButton="0" quotePrefix="0" xfId="1">
      <alignment horizontal="right"/>
      <protection locked="0" hidden="0"/>
    </xf>
    <xf numFmtId="43" fontId="7" fillId="16" borderId="40" applyAlignment="1" pivotButton="0" quotePrefix="0" xfId="0">
      <alignment horizontal="center" vertical="center"/>
    </xf>
    <xf numFmtId="43" fontId="7" fillId="16" borderId="26" applyAlignment="1" pivotButton="0" quotePrefix="0" xfId="0">
      <alignment horizontal="center" vertical="center"/>
    </xf>
    <xf numFmtId="0" fontId="2" fillId="20" borderId="2" applyAlignment="1" pivotButton="0" quotePrefix="0" xfId="0">
      <alignment horizontal="right" vertical="center"/>
    </xf>
    <xf numFmtId="43" fontId="8" fillId="11" borderId="41" applyAlignment="1" applyProtection="1" pivotButton="0" quotePrefix="0" xfId="1">
      <alignment horizontal="right" vertical="center"/>
      <protection locked="0" hidden="0"/>
    </xf>
    <xf numFmtId="43" fontId="8" fillId="11" borderId="42" applyAlignment="1" applyProtection="1" pivotButton="0" quotePrefix="0" xfId="1">
      <alignment horizontal="center" vertical="center"/>
      <protection locked="0" hidden="0"/>
    </xf>
    <xf numFmtId="43" fontId="8" fillId="11" borderId="42" applyAlignment="1" applyProtection="1" pivotButton="0" quotePrefix="0" xfId="1">
      <alignment horizontal="right" vertical="center"/>
      <protection locked="0" hidden="0"/>
    </xf>
    <xf numFmtId="43" fontId="7" fillId="16" borderId="30" applyAlignment="1" pivotButton="0" quotePrefix="0" xfId="0">
      <alignment horizontal="center" vertical="top"/>
    </xf>
    <xf numFmtId="43" fontId="7" fillId="16" borderId="3" applyAlignment="1" pivotButton="0" quotePrefix="0" xfId="0">
      <alignment horizontal="center" vertical="center"/>
    </xf>
    <xf numFmtId="43" fontId="7" fillId="16" borderId="4" applyAlignment="1" pivotButton="0" quotePrefix="0" xfId="0">
      <alignment horizontal="center" vertical="center"/>
    </xf>
    <xf numFmtId="43" fontId="7" fillId="16" borderId="13" applyAlignment="1" pivotButton="0" quotePrefix="0" xfId="0">
      <alignment horizontal="center" vertical="center"/>
    </xf>
    <xf numFmtId="43" fontId="7" fillId="16" borderId="2" applyAlignment="1" pivotButton="0" quotePrefix="0" xfId="0">
      <alignment vertical="top"/>
    </xf>
    <xf numFmtId="43" fontId="7" fillId="16" borderId="13" applyAlignment="1" pivotButton="0" quotePrefix="0" xfId="0">
      <alignment vertical="top"/>
    </xf>
    <xf numFmtId="0" fontId="2" fillId="20" borderId="13" applyAlignment="1" pivotButton="0" quotePrefix="0" xfId="0">
      <alignment horizontal="right" vertical="center"/>
    </xf>
    <xf numFmtId="0" fontId="4" fillId="20" borderId="43" applyAlignment="1" pivotButton="0" quotePrefix="0" xfId="50">
      <alignment horizontal="right" vertical="center"/>
    </xf>
    <xf numFmtId="43" fontId="4" fillId="11" borderId="13" applyAlignment="1" applyProtection="1" pivotButton="0" quotePrefix="0" xfId="0">
      <alignment horizontal="center" vertical="top"/>
      <protection locked="0" hidden="0"/>
    </xf>
    <xf numFmtId="43" fontId="4" fillId="0" borderId="2" applyProtection="1" pivotButton="0" quotePrefix="0" xfId="1">
      <protection locked="0" hidden="0"/>
    </xf>
    <xf numFmtId="43" fontId="8" fillId="11" borderId="13" applyProtection="1" pivotButton="0" quotePrefix="0" xfId="1">
      <protection locked="0" hidden="0"/>
    </xf>
    <xf numFmtId="43" fontId="8" fillId="11" borderId="44" applyAlignment="1" applyProtection="1" pivotButton="0" quotePrefix="0" xfId="1">
      <alignment horizontal="center" vertical="center"/>
      <protection locked="0" hidden="0"/>
    </xf>
    <xf numFmtId="43" fontId="4" fillId="0" borderId="11" applyProtection="1" pivotButton="0" quotePrefix="0" xfId="1">
      <protection locked="0" hidden="0"/>
    </xf>
    <xf numFmtId="43" fontId="8" fillId="11" borderId="14" applyProtection="1" pivotButton="0" quotePrefix="0" xfId="1">
      <protection locked="0" hidden="0"/>
    </xf>
    <xf numFmtId="0" fontId="7" fillId="8" borderId="40" applyAlignment="1" pivotButton="0" quotePrefix="0" xfId="0">
      <alignment horizontal="center" vertical="center"/>
    </xf>
    <xf numFmtId="0" fontId="8" fillId="9" borderId="0" applyAlignment="1" pivotButton="0" quotePrefix="0" xfId="0">
      <alignment vertical="center"/>
    </xf>
    <xf numFmtId="0" fontId="4" fillId="20" borderId="2" applyAlignment="1" pivotButton="0" quotePrefix="0" xfId="0">
      <alignment horizontal="center" vertical="center"/>
    </xf>
    <xf numFmtId="0" fontId="14" fillId="0" borderId="0" applyAlignment="1" pivotButton="0" quotePrefix="0" xfId="0">
      <alignment vertical="center"/>
    </xf>
    <xf numFmtId="166" fontId="20" fillId="8" borderId="41" applyAlignment="1" pivotButton="0" quotePrefix="0" xfId="0">
      <alignment horizontal="left" vertical="center"/>
    </xf>
    <xf numFmtId="166" fontId="18" fillId="8" borderId="41" applyAlignment="1" pivotButton="0" quotePrefix="0" xfId="0">
      <alignment horizontal="left" vertical="center" indent="1"/>
    </xf>
    <xf numFmtId="0" fontId="7" fillId="8" borderId="3" applyAlignment="1" pivotButton="0" quotePrefix="0" xfId="0">
      <alignment horizontal="center" vertical="center"/>
    </xf>
    <xf numFmtId="0" fontId="7" fillId="8" borderId="45" applyAlignment="1" pivotButton="0" quotePrefix="0" xfId="0">
      <alignment horizontal="center" vertical="center"/>
    </xf>
    <xf numFmtId="43" fontId="4" fillId="12" borderId="40" applyAlignment="1" applyProtection="1" pivotButton="0" quotePrefix="0" xfId="1">
      <alignment horizontal="center" vertical="center"/>
      <protection locked="0" hidden="0"/>
    </xf>
    <xf numFmtId="43" fontId="8" fillId="9" borderId="2" applyAlignment="1" applyProtection="1" pivotButton="0" quotePrefix="0" xfId="0">
      <alignment horizontal="right" vertical="center"/>
      <protection locked="0" hidden="0"/>
    </xf>
    <xf numFmtId="0" fontId="7" fillId="8" borderId="4" applyAlignment="1" pivotButton="0" quotePrefix="0" xfId="0">
      <alignment horizontal="center" vertical="center"/>
    </xf>
    <xf numFmtId="0" fontId="7" fillId="8" borderId="40" applyAlignment="1" pivotButton="0" quotePrefix="0" xfId="0">
      <alignment horizontal="center" vertical="center" wrapText="1"/>
    </xf>
    <xf numFmtId="0" fontId="2" fillId="20" borderId="2" applyAlignment="1" pivotButton="0" quotePrefix="0" xfId="0">
      <alignment vertical="center"/>
    </xf>
    <xf numFmtId="43" fontId="4" fillId="12" borderId="40" applyAlignment="1" pivotButton="0" quotePrefix="0" xfId="1">
      <alignment horizontal="center" vertical="center"/>
    </xf>
    <xf numFmtId="43" fontId="8" fillId="11" borderId="2" applyAlignment="1" pivotButton="0" quotePrefix="0" xfId="0">
      <alignment horizontal="right" vertical="center"/>
    </xf>
    <xf numFmtId="43" fontId="8" fillId="12" borderId="2" applyAlignment="1" pivotButton="0" quotePrefix="0" xfId="0">
      <alignment horizontal="right" vertical="center"/>
    </xf>
    <xf numFmtId="0" fontId="4" fillId="10" borderId="2" applyAlignment="1" pivotButton="0" quotePrefix="0" xfId="0">
      <alignment horizontal="center" vertical="center"/>
    </xf>
    <xf numFmtId="166" fontId="11" fillId="8" borderId="3" applyAlignment="1" pivotButton="0" quotePrefix="0" xfId="0">
      <alignment horizontal="left" vertical="center"/>
    </xf>
    <xf numFmtId="0" fontId="11" fillId="8" borderId="2" applyAlignment="1" pivotButton="0" quotePrefix="0" xfId="0">
      <alignment vertical="center"/>
    </xf>
    <xf numFmtId="0" fontId="8" fillId="8" borderId="2" applyAlignment="1" pivotButton="0" quotePrefix="0" xfId="0">
      <alignment horizontal="left" vertical="center" indent="1"/>
    </xf>
    <xf numFmtId="0" fontId="8" fillId="8" borderId="2" applyAlignment="1" pivotButton="0" quotePrefix="0" xfId="0">
      <alignment vertical="center"/>
    </xf>
    <xf numFmtId="0" fontId="4" fillId="10" borderId="26" applyAlignment="1" pivotButton="0" quotePrefix="0" xfId="50">
      <alignment horizontal="right" vertical="center"/>
    </xf>
    <xf numFmtId="43" fontId="8" fillId="11" borderId="2" applyAlignment="1" applyProtection="1" pivotButton="0" quotePrefix="0" xfId="1">
      <alignment horizontal="right" vertical="center"/>
      <protection locked="0" hidden="0"/>
    </xf>
    <xf numFmtId="43" fontId="8" fillId="9" borderId="2" applyAlignment="1" applyProtection="1" pivotButton="0" quotePrefix="0" xfId="1">
      <alignment horizontal="right" vertical="center"/>
      <protection locked="0" hidden="0"/>
    </xf>
    <xf numFmtId="43" fontId="8" fillId="12" borderId="2" applyAlignment="1" applyProtection="1" pivotButton="0" quotePrefix="0" xfId="1">
      <alignment horizontal="right" vertical="center"/>
      <protection locked="0" hidden="0"/>
    </xf>
    <xf numFmtId="43" fontId="8" fillId="12" borderId="2" applyAlignment="1" pivotButton="0" quotePrefix="0" xfId="1">
      <alignment horizontal="right" vertical="center"/>
    </xf>
    <xf numFmtId="0" fontId="2" fillId="8" borderId="2" applyAlignment="1" pivotButton="0" quotePrefix="0" xfId="0">
      <alignment horizontal="left" vertical="center" indent="1"/>
    </xf>
    <xf numFmtId="0" fontId="2" fillId="8" borderId="2" applyAlignment="1" pivotButton="0" quotePrefix="0" xfId="0">
      <alignment vertical="center"/>
    </xf>
    <xf numFmtId="166" fontId="13" fillId="8" borderId="3" applyAlignment="1" pivotButton="0" quotePrefix="0" xfId="0">
      <alignment horizontal="left" vertical="center"/>
    </xf>
    <xf numFmtId="0" fontId="13" fillId="8" borderId="2" applyAlignment="1" pivotButton="0" quotePrefix="0" xfId="0">
      <alignment vertical="center"/>
    </xf>
    <xf numFmtId="0" fontId="2" fillId="8" borderId="2" applyAlignment="1" pivotButton="0" quotePrefix="0" xfId="0">
      <alignment horizontal="left" vertical="center"/>
    </xf>
    <xf numFmtId="0" fontId="2" fillId="8" borderId="3" applyAlignment="1" pivotButton="0" quotePrefix="0" xfId="0">
      <alignment horizontal="left" vertical="center"/>
    </xf>
    <xf numFmtId="43" fontId="8" fillId="0" borderId="2" applyAlignment="1" applyProtection="1" pivotButton="0" quotePrefix="0" xfId="1">
      <alignment vertical="center"/>
      <protection locked="0" hidden="0"/>
    </xf>
    <xf numFmtId="43" fontId="8" fillId="12" borderId="2" applyAlignment="1" applyProtection="1" pivotButton="0" quotePrefix="0" xfId="1">
      <alignment vertical="center"/>
      <protection locked="0" hidden="0"/>
    </xf>
    <xf numFmtId="43" fontId="8" fillId="12" borderId="2" applyAlignment="1" pivotButton="0" quotePrefix="0" xfId="1">
      <alignment vertical="center"/>
    </xf>
    <xf numFmtId="0" fontId="0" fillId="0" borderId="0" applyAlignment="1" pivotButton="0" quotePrefix="0" xfId="0">
      <alignment vertical="top"/>
    </xf>
    <xf numFmtId="0" fontId="7" fillId="8" borderId="6" applyAlignment="1" pivotButton="0" quotePrefix="0" xfId="0">
      <alignment horizontal="center" vertical="center"/>
    </xf>
    <xf numFmtId="166" fontId="11" fillId="8" borderId="6" applyAlignment="1" pivotButton="0" quotePrefix="0" xfId="0">
      <alignment horizontal="left" vertical="center"/>
    </xf>
    <xf numFmtId="166" fontId="8" fillId="8" borderId="6" applyAlignment="1" pivotButton="0" quotePrefix="0" xfId="0">
      <alignment horizontal="left" vertical="center"/>
    </xf>
    <xf numFmtId="0" fontId="0" fillId="6" borderId="2" applyAlignment="1" pivotButton="0" quotePrefix="0" xfId="0">
      <alignment vertical="center"/>
    </xf>
    <xf numFmtId="166" fontId="1" fillId="21" borderId="2" applyAlignment="1" pivotButton="0" quotePrefix="0" xfId="0">
      <alignment horizontal="center" vertical="center"/>
    </xf>
    <xf numFmtId="0" fontId="9" fillId="0" borderId="0" applyAlignment="1" pivotButton="0" quotePrefix="0" xfId="0">
      <alignment horizontal="center" vertical="center"/>
    </xf>
    <xf numFmtId="0" fontId="11" fillId="8" borderId="2" applyAlignment="1" pivotButton="0" quotePrefix="0" xfId="0">
      <alignment horizontal="center" vertical="center" wrapText="1"/>
    </xf>
    <xf numFmtId="43" fontId="11" fillId="8" borderId="2" applyAlignment="1" pivotButton="0" quotePrefix="0" xfId="0">
      <alignment horizontal="center" vertical="center"/>
    </xf>
    <xf numFmtId="0" fontId="0" fillId="0" borderId="0" applyAlignment="1" pivotButton="0" quotePrefix="0" xfId="0">
      <alignment vertical="center"/>
    </xf>
    <xf numFmtId="0" fontId="21" fillId="0" borderId="0" applyAlignment="1" pivotButton="0" quotePrefix="0" xfId="0">
      <alignment vertical="center"/>
    </xf>
    <xf numFmtId="43" fontId="8" fillId="11" borderId="2" applyAlignment="1" applyProtection="1" pivotButton="0" quotePrefix="0" xfId="1">
      <alignment vertical="center"/>
      <protection locked="0" hidden="0"/>
    </xf>
    <xf numFmtId="10" fontId="1" fillId="21" borderId="2" applyAlignment="1" pivotButton="0" quotePrefix="0" xfId="0">
      <alignment horizontal="center" vertical="center"/>
    </xf>
    <xf numFmtId="0" fontId="7" fillId="8" borderId="46" applyAlignment="1" pivotButton="0" quotePrefix="0" xfId="0">
      <alignment horizontal="center" vertical="center"/>
    </xf>
    <xf numFmtId="0" fontId="7" fillId="8" borderId="47" applyAlignment="1" pivotButton="0" quotePrefix="0" xfId="0">
      <alignment horizontal="center" vertical="center"/>
    </xf>
    <xf numFmtId="0" fontId="7" fillId="8" borderId="48" applyAlignment="1" pivotButton="0" quotePrefix="0" xfId="0">
      <alignment horizontal="center" vertical="center"/>
    </xf>
    <xf numFmtId="0" fontId="7" fillId="8" borderId="1" applyAlignment="1" pivotButton="0" quotePrefix="0" xfId="0">
      <alignment horizontal="center" vertical="center"/>
    </xf>
    <xf numFmtId="0" fontId="7" fillId="8" borderId="49" applyAlignment="1" pivotButton="0" quotePrefix="0" xfId="0">
      <alignment horizontal="center" vertical="center"/>
    </xf>
    <xf numFmtId="0" fontId="7" fillId="8" borderId="50" applyAlignment="1" pivotButton="0" quotePrefix="0" xfId="0">
      <alignment horizontal="center" vertical="center"/>
    </xf>
    <xf numFmtId="0" fontId="11" fillId="8" borderId="2" applyAlignment="1" pivotButton="0" quotePrefix="0" xfId="0">
      <alignment horizontal="center" vertical="center"/>
    </xf>
    <xf numFmtId="166" fontId="1" fillId="0" borderId="2" applyAlignment="1" pivotButton="0" quotePrefix="0" xfId="0">
      <alignment horizontal="center" vertical="center"/>
    </xf>
    <xf numFmtId="166" fontId="1" fillId="0" borderId="2" applyAlignment="1" applyProtection="1" pivotButton="0" quotePrefix="0" xfId="0">
      <alignment vertical="center"/>
      <protection locked="0" hidden="0"/>
    </xf>
    <xf numFmtId="0" fontId="7" fillId="10" borderId="46" applyAlignment="1" pivotButton="0" quotePrefix="0" xfId="0">
      <alignment horizontal="center" vertical="center"/>
    </xf>
    <xf numFmtId="0" fontId="7" fillId="10" borderId="47" applyAlignment="1" pivotButton="0" quotePrefix="0" xfId="0">
      <alignment horizontal="center" vertical="center"/>
    </xf>
    <xf numFmtId="0" fontId="7" fillId="10" borderId="48" applyAlignment="1" pivotButton="0" quotePrefix="0" xfId="0">
      <alignment horizontal="center" vertical="center"/>
    </xf>
    <xf numFmtId="0" fontId="7" fillId="10" borderId="1" applyAlignment="1" pivotButton="0" quotePrefix="0" xfId="0">
      <alignment horizontal="center" vertical="center"/>
    </xf>
    <xf numFmtId="0" fontId="7" fillId="10" borderId="49" applyAlignment="1" pivotButton="0" quotePrefix="0" xfId="0">
      <alignment horizontal="center" vertical="center"/>
    </xf>
    <xf numFmtId="0" fontId="7" fillId="10" borderId="50" applyAlignment="1" pivotButton="0" quotePrefix="0" xfId="0">
      <alignment horizontal="center" vertical="center"/>
    </xf>
    <xf numFmtId="0" fontId="2" fillId="3" borderId="4" applyAlignment="1" pivotButton="0" quotePrefix="0" xfId="0">
      <alignment vertical="center"/>
    </xf>
    <xf numFmtId="0" fontId="11" fillId="8" borderId="13" applyAlignment="1" pivotButton="0" quotePrefix="0" xfId="0">
      <alignment horizontal="center" vertical="center"/>
    </xf>
    <xf numFmtId="43" fontId="7" fillId="8" borderId="6" applyAlignment="1" pivotButton="0" quotePrefix="0" xfId="0">
      <alignment horizontal="left" vertical="top"/>
    </xf>
    <xf numFmtId="43" fontId="4" fillId="8" borderId="6" applyAlignment="1" pivotButton="0" quotePrefix="0" xfId="0">
      <alignment horizontal="left" vertical="top"/>
    </xf>
    <xf numFmtId="43" fontId="7" fillId="8" borderId="6" applyAlignment="1" pivotButton="0" quotePrefix="0" xfId="0">
      <alignment horizontal="center" vertical="top"/>
    </xf>
    <xf numFmtId="43" fontId="7" fillId="8" borderId="15" applyAlignment="1" pivotButton="0" quotePrefix="0" xfId="1">
      <alignment horizontal="left" vertical="top"/>
    </xf>
    <xf numFmtId="0" fontId="0" fillId="0" borderId="0" applyAlignment="1" pivotButton="0" quotePrefix="0" xfId="0">
      <alignment horizontal="left" vertical="center" indent="1"/>
    </xf>
    <xf numFmtId="0" fontId="0" fillId="0" borderId="0" applyAlignment="1" pivotButton="0" quotePrefix="0" xfId="0">
      <alignment vertical="center"/>
    </xf>
    <xf numFmtId="0" fontId="0" fillId="0" borderId="0" applyAlignment="1" pivotButton="0" quotePrefix="0" xfId="0">
      <alignment horizontal="left" vertical="center" indent="2"/>
    </xf>
    <xf numFmtId="43" fontId="8" fillId="11" borderId="40" applyAlignment="1" applyProtection="1" pivotButton="0" quotePrefix="0" xfId="1">
      <alignment vertical="center"/>
      <protection locked="0" hidden="0"/>
    </xf>
    <xf numFmtId="0" fontId="0" fillId="0" borderId="2" applyAlignment="1" applyProtection="1" pivotButton="0" quotePrefix="0" xfId="0">
      <alignment vertical="center"/>
      <protection locked="0" hidden="0"/>
    </xf>
    <xf numFmtId="0" fontId="8" fillId="6" borderId="0" applyAlignment="1" pivotButton="0" quotePrefix="0" xfId="0">
      <alignment vertical="center"/>
    </xf>
    <xf numFmtId="0" fontId="8" fillId="6" borderId="2" applyAlignment="1" pivotButton="0" quotePrefix="0" xfId="0">
      <alignment vertical="center"/>
    </xf>
    <xf numFmtId="0" fontId="0" fillId="0" borderId="2" applyAlignment="1" pivotButton="0" quotePrefix="0" xfId="0">
      <alignment vertical="center"/>
    </xf>
    <xf numFmtId="0" fontId="0" fillId="21" borderId="0" applyAlignment="1" applyProtection="1" pivotButton="0" quotePrefix="0" xfId="0">
      <alignment vertical="center"/>
      <protection locked="0" hidden="0"/>
    </xf>
    <xf numFmtId="0" fontId="0" fillId="21" borderId="2" applyAlignment="1" applyProtection="1" pivotButton="0" quotePrefix="0" xfId="0">
      <alignment vertical="center"/>
      <protection locked="0" hidden="0"/>
    </xf>
    <xf numFmtId="0" fontId="10" fillId="6" borderId="2" applyAlignment="1" pivotButton="0" quotePrefix="0" xfId="0">
      <alignment vertical="center"/>
    </xf>
    <xf numFmtId="0" fontId="0" fillId="0" borderId="50" applyAlignment="1" pivotButton="0" quotePrefix="0" xfId="0">
      <alignment vertical="center"/>
    </xf>
    <xf numFmtId="0" fontId="0" fillId="0" borderId="26" applyAlignment="1" pivotButton="0" quotePrefix="0" xfId="0">
      <alignment vertical="center"/>
    </xf>
    <xf numFmtId="0" fontId="0" fillId="0" borderId="50" applyAlignment="1" pivotButton="0" quotePrefix="0" xfId="0">
      <alignment horizontal="center" vertical="center"/>
    </xf>
    <xf numFmtId="0" fontId="0" fillId="0" borderId="26" applyAlignment="1" pivotButton="0" quotePrefix="0" xfId="0">
      <alignment horizontal="center" vertical="center"/>
    </xf>
    <xf numFmtId="0" fontId="10" fillId="6" borderId="4" applyAlignment="1" pivotButton="0" quotePrefix="0" xfId="0">
      <alignment vertical="center"/>
    </xf>
    <xf numFmtId="0" fontId="0" fillId="6" borderId="4" applyAlignment="1" pivotButton="0" quotePrefix="0" xfId="0">
      <alignment vertical="center"/>
    </xf>
    <xf numFmtId="0" fontId="0" fillId="0" borderId="4" applyAlignment="1" pivotButton="0" quotePrefix="0" xfId="0">
      <alignment vertical="center"/>
    </xf>
    <xf numFmtId="0" fontId="0" fillId="0" borderId="4" applyAlignment="1" pivotButton="0" quotePrefix="0" xfId="0">
      <alignment vertical="center"/>
    </xf>
    <xf numFmtId="0" fontId="0" fillId="0" borderId="6" applyAlignment="1" pivotButton="0" quotePrefix="0" xfId="0">
      <alignment vertical="center"/>
    </xf>
    <xf numFmtId="0" fontId="0" fillId="21" borderId="4" applyAlignment="1" applyProtection="1" pivotButton="0" quotePrefix="0" xfId="0">
      <alignment vertical="center"/>
      <protection locked="0" hidden="0"/>
    </xf>
    <xf numFmtId="0" fontId="0" fillId="0" borderId="4" applyAlignment="1" applyProtection="1" pivotButton="0" quotePrefix="0" xfId="0">
      <alignment vertical="center"/>
      <protection locked="0" hidden="0"/>
    </xf>
    <xf numFmtId="0" fontId="0" fillId="0" borderId="51" applyAlignment="1" applyProtection="1" pivotButton="0" quotePrefix="0" xfId="0">
      <alignment vertical="center"/>
      <protection locked="0" hidden="0"/>
    </xf>
    <xf numFmtId="0" fontId="0" fillId="0" borderId="11" applyAlignment="1" applyProtection="1" pivotButton="0" quotePrefix="0" xfId="0">
      <alignment vertical="center"/>
      <protection locked="0" hidden="0"/>
    </xf>
    <xf numFmtId="0" fontId="0" fillId="0" borderId="48" applyAlignment="1" pivotButton="0" quotePrefix="0" xfId="0">
      <alignment vertical="center"/>
    </xf>
    <xf numFmtId="0" fontId="0" fillId="0" borderId="43" applyAlignment="1" pivotButton="0" quotePrefix="0" xfId="0">
      <alignment horizontal="center" vertical="center"/>
    </xf>
    <xf numFmtId="0" fontId="0" fillId="0" borderId="0" applyAlignment="1" pivotButton="0" quotePrefix="0" xfId="0">
      <alignment horizontal="center" vertical="center"/>
    </xf>
    <xf numFmtId="0" fontId="10" fillId="6" borderId="13" applyAlignment="1" pivotButton="0" quotePrefix="0" xfId="0">
      <alignment vertical="center"/>
    </xf>
    <xf numFmtId="0" fontId="0" fillId="6" borderId="13" applyAlignment="1" pivotButton="0" quotePrefix="0" xfId="0">
      <alignment vertical="center"/>
    </xf>
    <xf numFmtId="0" fontId="0" fillId="0" borderId="13" applyAlignment="1" pivotButton="0" quotePrefix="0" xfId="0">
      <alignment vertical="center"/>
    </xf>
    <xf numFmtId="0" fontId="0" fillId="0" borderId="13" applyAlignment="1" pivotButton="0" quotePrefix="0" xfId="0">
      <alignment vertical="center"/>
    </xf>
    <xf numFmtId="0" fontId="0" fillId="21" borderId="13" applyAlignment="1" applyProtection="1" pivotButton="0" quotePrefix="0" xfId="0">
      <alignment vertical="center"/>
      <protection locked="0" hidden="0"/>
    </xf>
    <xf numFmtId="0" fontId="0" fillId="0" borderId="13" applyAlignment="1" applyProtection="1" pivotButton="0" quotePrefix="0" xfId="0">
      <alignment vertical="center"/>
      <protection locked="0" hidden="0"/>
    </xf>
    <xf numFmtId="0" fontId="0" fillId="0" borderId="14" applyAlignment="1" applyProtection="1" pivotButton="0" quotePrefix="0" xfId="0">
      <alignment vertical="center"/>
      <protection locked="0" hidden="0"/>
    </xf>
    <xf numFmtId="166" fontId="1" fillId="12" borderId="2" applyAlignment="1" applyProtection="1" pivotButton="0" quotePrefix="0" xfId="0">
      <alignment vertical="center"/>
      <protection locked="0" hidden="0"/>
    </xf>
    <xf numFmtId="0" fontId="4" fillId="3" borderId="1" applyAlignment="1" pivotButton="0" quotePrefix="0" xfId="0">
      <alignment horizontal="center" vertical="center"/>
    </xf>
    <xf numFmtId="0" fontId="4" fillId="10" borderId="39" applyAlignment="1" pivotButton="0" quotePrefix="0" xfId="0">
      <alignment horizontal="center" vertical="center"/>
    </xf>
    <xf numFmtId="0" fontId="22" fillId="0" borderId="0" applyAlignment="1" pivotButton="0" quotePrefix="0" xfId="0">
      <alignment vertical="center"/>
    </xf>
    <xf numFmtId="0" fontId="11" fillId="8" borderId="10" applyAlignment="1" pivotButton="0" quotePrefix="0" xfId="0">
      <alignment horizontal="center" vertical="center" wrapText="1"/>
    </xf>
    <xf numFmtId="0" fontId="7" fillId="8" borderId="6" applyAlignment="1" pivotButton="0" quotePrefix="0" xfId="0">
      <alignment horizontal="left" vertical="center"/>
    </xf>
    <xf numFmtId="0" fontId="4" fillId="8" borderId="6" applyAlignment="1" pivotButton="0" quotePrefix="0" xfId="0">
      <alignment horizontal="left" vertical="center" indent="1"/>
    </xf>
    <xf numFmtId="0" fontId="7" fillId="8" borderId="6" applyAlignment="1" pivotButton="0" quotePrefix="0" xfId="0">
      <alignment horizontal="left" vertical="center" indent="1"/>
    </xf>
    <xf numFmtId="0" fontId="8" fillId="8" borderId="6" applyAlignment="1" pivotButton="0" quotePrefix="0" xfId="0">
      <alignment horizontal="left" vertical="center" indent="3"/>
    </xf>
    <xf numFmtId="0" fontId="4" fillId="8" borderId="6" applyAlignment="1" pivotButton="0" quotePrefix="0" xfId="0">
      <alignment horizontal="left" vertical="center" indent="3"/>
    </xf>
    <xf numFmtId="166" fontId="0" fillId="5" borderId="2" applyAlignment="1" pivotButton="0" quotePrefix="0" xfId="0">
      <alignment vertical="center"/>
    </xf>
    <xf numFmtId="0" fontId="13" fillId="0" borderId="2" applyAlignment="1" pivotButton="0" quotePrefix="0" xfId="0">
      <alignment horizontal="right" vertical="center"/>
    </xf>
    <xf numFmtId="0" fontId="13" fillId="0" borderId="2" applyAlignment="1" pivotButton="0" quotePrefix="0" xfId="0">
      <alignment horizontal="left" vertical="center"/>
    </xf>
    <xf numFmtId="0" fontId="11" fillId="0" borderId="0" applyAlignment="1" pivotButton="0" quotePrefix="0" xfId="0">
      <alignment horizontal="center" vertical="center"/>
    </xf>
    <xf numFmtId="166" fontId="0" fillId="5" borderId="2" applyAlignment="1" applyProtection="1" pivotButton="0" quotePrefix="0" xfId="0">
      <alignment vertical="center"/>
      <protection locked="0" hidden="0"/>
    </xf>
    <xf numFmtId="0" fontId="10" fillId="0" borderId="0" applyAlignment="1" pivotButton="0" quotePrefix="0" xfId="0">
      <alignment horizontal="left" vertical="center" wrapText="1"/>
    </xf>
    <xf numFmtId="164" fontId="10" fillId="0" borderId="0" applyAlignment="1" pivotButton="0" quotePrefix="0" xfId="0">
      <alignment horizontal="left" vertical="center" wrapText="1"/>
    </xf>
    <xf numFmtId="0" fontId="10" fillId="0" borderId="0" applyAlignment="1" pivotButton="0" quotePrefix="0" xfId="0">
      <alignment vertical="center"/>
    </xf>
    <xf numFmtId="166" fontId="0" fillId="0" borderId="2" applyAlignment="1" pivotButton="0" quotePrefix="0" xfId="0">
      <alignment vertical="center"/>
    </xf>
    <xf numFmtId="166" fontId="0" fillId="0" borderId="2" applyAlignment="1" applyProtection="1" pivotButton="0" quotePrefix="0" xfId="0">
      <alignment vertical="center"/>
      <protection locked="0" hidden="0"/>
    </xf>
    <xf numFmtId="0" fontId="11" fillId="0" borderId="0" applyAlignment="1" pivotButton="0" quotePrefix="0" xfId="0">
      <alignment horizontal="center" vertical="center" wrapText="1"/>
    </xf>
    <xf numFmtId="0" fontId="1" fillId="3" borderId="2" applyAlignment="1" pivotButton="0" quotePrefix="0" xfId="0">
      <alignment vertical="center"/>
    </xf>
    <xf numFmtId="0" fontId="11" fillId="8" borderId="12" applyAlignment="1" pivotButton="0" quotePrefix="0" xfId="0">
      <alignment horizontal="center" vertical="center"/>
    </xf>
    <xf numFmtId="0" fontId="7" fillId="8" borderId="6" applyAlignment="1" pivotButton="0" quotePrefix="0" xfId="0">
      <alignment horizontal="left" vertical="center" indent="3"/>
    </xf>
    <xf numFmtId="0" fontId="8" fillId="8" borderId="6" applyAlignment="1" pivotButton="0" quotePrefix="0" xfId="0">
      <alignment horizontal="left" vertical="center" indent="4"/>
    </xf>
    <xf numFmtId="0" fontId="8" fillId="8" borderId="6" applyAlignment="1" pivotButton="0" quotePrefix="0" xfId="0">
      <alignment horizontal="left" vertical="center" indent="1"/>
    </xf>
    <xf numFmtId="166" fontId="7" fillId="8" borderId="6" applyAlignment="1" pivotButton="0" quotePrefix="0" xfId="0">
      <alignment horizontal="left" vertical="center"/>
    </xf>
    <xf numFmtId="166" fontId="8" fillId="11" borderId="2" applyAlignment="1" pivotButton="0" quotePrefix="0" xfId="0">
      <alignment horizontal="center" vertical="center"/>
    </xf>
    <xf numFmtId="0" fontId="4" fillId="8" borderId="6" applyAlignment="1" pivotButton="0" quotePrefix="0" xfId="0">
      <alignment horizontal="left" vertical="center"/>
    </xf>
    <xf numFmtId="0" fontId="4" fillId="8" borderId="15" applyAlignment="1" pivotButton="0" quotePrefix="0" xfId="0">
      <alignment horizontal="left" vertical="center" indent="1"/>
    </xf>
    <xf numFmtId="0" fontId="10" fillId="5" borderId="2" applyAlignment="1" pivotButton="0" quotePrefix="0" xfId="0">
      <alignment horizontal="left" vertical="center"/>
    </xf>
    <xf numFmtId="0" fontId="22" fillId="0" borderId="2" applyAlignment="1" pivotButton="0" quotePrefix="0" xfId="0">
      <alignment vertical="center"/>
    </xf>
    <xf numFmtId="0" fontId="1" fillId="0" borderId="2" applyAlignment="1" pivotButton="0" quotePrefix="0" xfId="0">
      <alignment horizontal="left" vertical="center"/>
    </xf>
    <xf numFmtId="0" fontId="7" fillId="22" borderId="2" applyAlignment="1" pivotButton="0" quotePrefix="0" xfId="0">
      <alignment horizontal="center" vertical="center"/>
    </xf>
    <xf numFmtId="0" fontId="4" fillId="0" borderId="0" applyAlignment="1" pivotButton="0" quotePrefix="0" xfId="0">
      <alignment horizontal="center" vertical="center"/>
    </xf>
    <xf numFmtId="0" fontId="23" fillId="0" borderId="0" applyAlignment="1" pivotButton="0" quotePrefix="0" xfId="0">
      <alignment horizontal="center" vertical="center"/>
    </xf>
    <xf numFmtId="0" fontId="2" fillId="0" borderId="0" applyAlignment="1" pivotButton="0" quotePrefix="0" xfId="0">
      <alignment horizontal="left" vertical="center" indent="3"/>
    </xf>
    <xf numFmtId="0" fontId="7" fillId="22" borderId="2" applyAlignment="1" pivotButton="0" quotePrefix="0" xfId="0">
      <alignment vertical="center"/>
    </xf>
    <xf numFmtId="0" fontId="2" fillId="0" borderId="0" applyAlignment="1" pivotButton="0" quotePrefix="0" xfId="0">
      <alignment horizontal="left" vertical="center" indent="1"/>
    </xf>
    <xf numFmtId="0" fontId="2" fillId="0" borderId="0" applyAlignment="1" pivotButton="0" quotePrefix="0" xfId="0">
      <alignment horizontal="left" vertical="center" indent="2"/>
    </xf>
    <xf numFmtId="0" fontId="4" fillId="22" borderId="2" applyAlignment="1" pivotButton="0" quotePrefix="0" xfId="0">
      <alignment horizontal="left" vertical="center" indent="2"/>
    </xf>
    <xf numFmtId="0" fontId="4" fillId="22" borderId="2" applyAlignment="1" pivotButton="0" quotePrefix="0" xfId="0">
      <alignment horizontal="left" vertical="center" indent="5"/>
    </xf>
    <xf numFmtId="0" fontId="2" fillId="0" borderId="0" applyAlignment="1" pivotButton="0" quotePrefix="0" xfId="0">
      <alignment horizontal="left" vertical="center" indent="3"/>
    </xf>
    <xf numFmtId="0" fontId="4" fillId="22" borderId="2" applyAlignment="1" pivotButton="0" quotePrefix="0" xfId="0">
      <alignment horizontal="left" vertical="center" indent="6"/>
    </xf>
    <xf numFmtId="0" fontId="4" fillId="22" borderId="2" applyAlignment="1" pivotButton="0" quotePrefix="0" xfId="0">
      <alignment horizontal="left" vertical="center" indent="9"/>
    </xf>
    <xf numFmtId="0" fontId="2" fillId="0" borderId="0" applyAlignment="1" pivotButton="0" quotePrefix="0" xfId="0">
      <alignment horizontal="left" vertical="center"/>
    </xf>
    <xf numFmtId="0" fontId="7" fillId="22" borderId="2" applyAlignment="1" pivotButton="0" quotePrefix="0" xfId="0">
      <alignment horizontal="left" vertical="center"/>
    </xf>
    <xf numFmtId="0" fontId="2" fillId="6" borderId="40" applyAlignment="1" pivotButton="0" quotePrefix="0" xfId="0">
      <alignment vertical="center"/>
    </xf>
    <xf numFmtId="0" fontId="24" fillId="0" borderId="0" applyAlignment="1" pivotButton="0" quotePrefix="0" xfId="0">
      <alignment vertical="center"/>
    </xf>
    <xf numFmtId="0" fontId="7" fillId="22" borderId="52" applyAlignment="1" pivotButton="0" quotePrefix="0" xfId="0">
      <alignment horizontal="center" vertical="center" wrapText="1"/>
    </xf>
    <xf numFmtId="0" fontId="7" fillId="22" borderId="52" applyAlignment="1" pivotButton="0" quotePrefix="0" xfId="0">
      <alignment horizontal="center" vertical="center"/>
    </xf>
    <xf numFmtId="0" fontId="4" fillId="0" borderId="0" applyAlignment="1" pivotButton="0" quotePrefix="0" xfId="0">
      <alignment horizontal="left" vertical="center"/>
    </xf>
    <xf numFmtId="0" fontId="4" fillId="2" borderId="2" applyAlignment="1" pivotButton="0" quotePrefix="0" xfId="52">
      <alignment horizontal="left" vertical="center"/>
    </xf>
    <xf numFmtId="165" fontId="2" fillId="12" borderId="2" applyAlignment="1" pivotButton="0" quotePrefix="0" xfId="0">
      <alignment horizontal="center" vertical="center"/>
    </xf>
    <xf numFmtId="166" fontId="2" fillId="12" borderId="2" applyAlignment="1" pivotButton="0" quotePrefix="0" xfId="0">
      <alignment horizontal="center" vertical="center"/>
    </xf>
    <xf numFmtId="166" fontId="4" fillId="12" borderId="2" applyAlignment="1" pivotButton="0" quotePrefix="0" xfId="0">
      <alignment horizontal="center" vertical="center"/>
    </xf>
    <xf numFmtId="166" fontId="2" fillId="12" borderId="2" applyAlignment="1" applyProtection="1" pivotButton="0" quotePrefix="0" xfId="0">
      <alignment horizontal="right" vertical="center"/>
      <protection locked="0" hidden="0"/>
    </xf>
    <xf numFmtId="166" fontId="4" fillId="12" borderId="2" applyAlignment="1" applyProtection="1" pivotButton="0" quotePrefix="0" xfId="0">
      <alignment horizontal="right" vertical="center"/>
      <protection locked="0" hidden="0"/>
    </xf>
    <xf numFmtId="0" fontId="4" fillId="22" borderId="2" applyAlignment="1" pivotButton="0" quotePrefix="0" xfId="0">
      <alignment vertical="center"/>
    </xf>
    <xf numFmtId="0" fontId="7" fillId="20" borderId="2" applyAlignment="1" pivotButton="0" quotePrefix="0" xfId="0">
      <alignment horizontal="center" vertical="center"/>
    </xf>
    <xf numFmtId="0" fontId="25" fillId="0" borderId="0" applyAlignment="1" pivotButton="0" quotePrefix="0" xfId="0">
      <alignment vertical="center" wrapText="1"/>
    </xf>
    <xf numFmtId="0" fontId="7" fillId="20" borderId="2" applyAlignment="1" pivotButton="0" quotePrefix="0" xfId="0">
      <alignment horizontal="left" vertical="center"/>
    </xf>
    <xf numFmtId="0" fontId="4" fillId="20" borderId="2" applyAlignment="1" pivotButton="0" quotePrefix="0" xfId="0">
      <alignment horizontal="left" vertical="center"/>
    </xf>
    <xf numFmtId="0" fontId="4" fillId="20" borderId="2" applyAlignment="1" pivotButton="0" quotePrefix="0" xfId="0">
      <alignment horizontal="left" vertical="center" indent="1"/>
    </xf>
    <xf numFmtId="0" fontId="4" fillId="20" borderId="2" applyAlignment="1" pivotButton="0" quotePrefix="0" xfId="0">
      <alignment horizontal="left" vertical="center" indent="3"/>
    </xf>
    <xf numFmtId="0" fontId="4" fillId="20" borderId="2" applyAlignment="1" pivotButton="0" quotePrefix="0" xfId="0">
      <alignment horizontal="left" vertical="center" indent="2"/>
    </xf>
    <xf numFmtId="169" fontId="7" fillId="20" borderId="2" applyAlignment="1" pivotButton="0" quotePrefix="0" xfId="50">
      <alignment horizontal="center" vertical="center"/>
    </xf>
    <xf numFmtId="43" fontId="7" fillId="20" borderId="40" applyAlignment="1" pivotButton="0" quotePrefix="0" xfId="50">
      <alignment horizontal="center" vertical="center"/>
    </xf>
    <xf numFmtId="169" fontId="7" fillId="20" borderId="48" applyAlignment="1" pivotButton="0" quotePrefix="0" xfId="50">
      <alignment horizontal="center" vertical="center"/>
    </xf>
    <xf numFmtId="165" fontId="2" fillId="20" borderId="2" applyAlignment="1" pivotButton="0" quotePrefix="0" xfId="0">
      <alignment horizontal="center" vertical="center"/>
    </xf>
    <xf numFmtId="166" fontId="4" fillId="12" borderId="2" applyAlignment="1" applyProtection="1" pivotButton="0" quotePrefix="0" xfId="0">
      <alignment horizontal="center" vertical="center"/>
      <protection locked="0" hidden="0"/>
    </xf>
    <xf numFmtId="43" fontId="2" fillId="12" borderId="2" applyAlignment="1" applyProtection="1" pivotButton="0" quotePrefix="0" xfId="0">
      <alignment horizontal="right" vertical="center"/>
      <protection locked="0" hidden="0"/>
    </xf>
    <xf numFmtId="0" fontId="2" fillId="0" borderId="0" applyAlignment="1" applyProtection="1" pivotButton="0" quotePrefix="0" xfId="0">
      <alignment vertical="center"/>
      <protection locked="0" hidden="0"/>
    </xf>
    <xf numFmtId="166" fontId="0" fillId="0" borderId="0" applyAlignment="1" applyProtection="1" pivotButton="0" quotePrefix="0" xfId="0">
      <alignment vertical="center"/>
      <protection locked="0" hidden="0"/>
    </xf>
    <xf numFmtId="0" fontId="4" fillId="5" borderId="2" applyAlignment="1" pivotButton="0" quotePrefix="0" xfId="0">
      <alignment horizontal="left" vertical="center"/>
    </xf>
    <xf numFmtId="0" fontId="5" fillId="6" borderId="0" applyAlignment="1" pivotButton="0" quotePrefix="0" xfId="0">
      <alignment vertical="center"/>
    </xf>
    <xf numFmtId="0" fontId="10" fillId="0" borderId="0" applyAlignment="1" pivotButton="0" quotePrefix="0" xfId="0">
      <alignment horizontal="left" vertical="center"/>
    </xf>
    <xf numFmtId="169" fontId="4" fillId="20" borderId="2" applyAlignment="1" pivotButton="0" quotePrefix="0" xfId="50">
      <alignment horizontal="left" vertical="center"/>
    </xf>
    <xf numFmtId="169" fontId="2" fillId="20" borderId="2" applyAlignment="1" pivotButton="0" quotePrefix="0" xfId="50">
      <alignment horizontal="left" vertical="center"/>
    </xf>
    <xf numFmtId="0" fontId="26" fillId="2" borderId="0" pivotButton="0" quotePrefix="0" xfId="0"/>
    <xf numFmtId="169" fontId="7" fillId="20" borderId="40" applyAlignment="1" pivotButton="0" quotePrefix="0" xfId="50">
      <alignment horizontal="center" vertical="center"/>
    </xf>
    <xf numFmtId="43" fontId="1" fillId="0" borderId="0" applyAlignment="1" pivotButton="0" quotePrefix="0" xfId="1">
      <alignment vertical="center"/>
    </xf>
    <xf numFmtId="43" fontId="2" fillId="6" borderId="2" applyAlignment="1" pivotButton="0" quotePrefix="0" xfId="1">
      <alignment vertical="center"/>
    </xf>
    <xf numFmtId="43" fontId="2" fillId="6" borderId="40" applyAlignment="1" pivotButton="0" quotePrefix="0" xfId="1">
      <alignment vertical="center"/>
    </xf>
    <xf numFmtId="43" fontId="7" fillId="23" borderId="40" applyAlignment="1" pivotButton="0" quotePrefix="0" xfId="50">
      <alignment horizontal="center" vertical="center"/>
    </xf>
    <xf numFmtId="43" fontId="7" fillId="23" borderId="40" applyAlignment="1" pivotButton="0" quotePrefix="0" xfId="1">
      <alignment horizontal="center" vertical="center"/>
    </xf>
    <xf numFmtId="0" fontId="2" fillId="23" borderId="2" applyAlignment="1" pivotButton="0" quotePrefix="0" xfId="0">
      <alignment vertical="center"/>
    </xf>
    <xf numFmtId="43" fontId="2" fillId="23" borderId="2" applyAlignment="1" pivotButton="0" quotePrefix="0" xfId="1">
      <alignment vertical="center"/>
    </xf>
    <xf numFmtId="0" fontId="4" fillId="23" borderId="26" applyAlignment="1" pivotButton="0" quotePrefix="0" xfId="50">
      <alignment horizontal="right" vertical="center"/>
    </xf>
    <xf numFmtId="43" fontId="4" fillId="23" borderId="26" applyAlignment="1" pivotButton="0" quotePrefix="0" xfId="1">
      <alignment horizontal="right" vertical="center"/>
    </xf>
    <xf numFmtId="0" fontId="2" fillId="23" borderId="2" applyAlignment="1" pivotButton="0" quotePrefix="0" xfId="0">
      <alignment horizontal="right" vertical="center"/>
    </xf>
    <xf numFmtId="43" fontId="2" fillId="23" borderId="2" applyAlignment="1" pivotButton="0" quotePrefix="0" xfId="1">
      <alignment horizontal="right" vertical="center"/>
    </xf>
    <xf numFmtId="166" fontId="2" fillId="23" borderId="2" applyAlignment="1" applyProtection="1" pivotButton="0" quotePrefix="0" xfId="0">
      <alignment horizontal="right" vertical="center"/>
      <protection locked="0" hidden="0"/>
    </xf>
    <xf numFmtId="0" fontId="2" fillId="3" borderId="0" applyAlignment="1" pivotButton="0" quotePrefix="0" xfId="0">
      <alignment horizontal="left" vertical="center" indent="1"/>
    </xf>
    <xf numFmtId="0" fontId="27" fillId="3" borderId="0" applyAlignment="1" pivotButton="0" quotePrefix="0" xfId="0">
      <alignment vertical="center"/>
    </xf>
    <xf numFmtId="43" fontId="0" fillId="3" borderId="0" applyAlignment="1" pivotButton="0" quotePrefix="0" xfId="1">
      <alignment vertical="center"/>
    </xf>
    <xf numFmtId="166" fontId="2" fillId="0" borderId="0" applyAlignment="1" pivotButton="0" quotePrefix="0" xfId="0">
      <alignment vertical="center"/>
    </xf>
    <xf numFmtId="0" fontId="2" fillId="6" borderId="0" applyAlignment="1" pivotButton="0" quotePrefix="0" xfId="0">
      <alignment vertical="center"/>
    </xf>
    <xf numFmtId="0" fontId="4" fillId="0" borderId="2" applyAlignment="1" pivotButton="0" quotePrefix="0" xfId="0">
      <alignment horizontal="center" vertical="center"/>
    </xf>
    <xf numFmtId="0" fontId="28" fillId="22" borderId="2" applyAlignment="1" pivotButton="0" quotePrefix="0" xfId="0">
      <alignment horizontal="left" vertical="center"/>
    </xf>
    <xf numFmtId="0" fontId="6" fillId="22" borderId="2" applyAlignment="1" pivotButton="0" quotePrefix="0" xfId="0">
      <alignment horizontal="left" vertical="center"/>
    </xf>
    <xf numFmtId="0" fontId="28" fillId="22" borderId="2" applyAlignment="1" pivotButton="0" quotePrefix="0" xfId="0">
      <alignment horizontal="center" vertical="center"/>
    </xf>
    <xf numFmtId="0" fontId="2" fillId="0" borderId="0" applyAlignment="1" pivotButton="0" quotePrefix="0" xfId="0">
      <alignment horizontal="left" vertical="center" indent="4"/>
    </xf>
    <xf numFmtId="0" fontId="24" fillId="0" borderId="0" applyAlignment="1" pivotButton="0" quotePrefix="0" xfId="0">
      <alignment horizontal="center" vertical="center"/>
    </xf>
    <xf numFmtId="0" fontId="15" fillId="0" borderId="0" applyAlignment="1" pivotButton="0" quotePrefix="0" xfId="0">
      <alignment horizontal="center" vertical="center"/>
    </xf>
    <xf numFmtId="0" fontId="7" fillId="22" borderId="2" applyAlignment="1" pivotButton="0" quotePrefix="0" xfId="0">
      <alignment horizontal="center" vertical="center" wrapText="1"/>
    </xf>
    <xf numFmtId="0" fontId="4" fillId="0" borderId="2" applyAlignment="1" pivotButton="0" quotePrefix="0" xfId="0">
      <alignment horizontal="left" vertical="center"/>
    </xf>
    <xf numFmtId="43" fontId="6" fillId="24" borderId="2" applyAlignment="1" applyProtection="1" pivotButton="0" quotePrefix="0" xfId="1">
      <alignment horizontal="center" vertical="center"/>
      <protection locked="0" hidden="0"/>
    </xf>
    <xf numFmtId="43" fontId="6" fillId="12" borderId="2" applyAlignment="1" applyProtection="1" pivotButton="0" quotePrefix="0" xfId="1">
      <alignment horizontal="right" vertical="center" shrinkToFit="1"/>
      <protection locked="0" hidden="0"/>
    </xf>
    <xf numFmtId="43" fontId="6" fillId="0" borderId="2" applyAlignment="1" applyProtection="1" pivotButton="0" quotePrefix="0" xfId="1">
      <alignment horizontal="right" vertical="center" shrinkToFit="1"/>
      <protection locked="0" hidden="0"/>
    </xf>
    <xf numFmtId="43" fontId="6" fillId="12" borderId="2" applyAlignment="1" applyProtection="1" pivotButton="0" quotePrefix="0" xfId="1">
      <alignment horizontal="center" vertical="center" shrinkToFit="1"/>
      <protection locked="0" hidden="0"/>
    </xf>
    <xf numFmtId="0" fontId="15" fillId="22" borderId="2" applyAlignment="1" pivotButton="0" quotePrefix="0" xfId="0">
      <alignment horizontal="center" vertical="center" wrapText="1"/>
    </xf>
    <xf numFmtId="166" fontId="2" fillId="0" borderId="2" applyAlignment="1" applyProtection="1" pivotButton="0" quotePrefix="0" xfId="0">
      <alignment vertical="center"/>
      <protection locked="0" hidden="0"/>
    </xf>
    <xf numFmtId="0" fontId="15" fillId="0" borderId="2" applyAlignment="1" applyProtection="1" pivotButton="0" quotePrefix="0" xfId="0">
      <alignment vertical="center"/>
      <protection locked="0" hidden="0"/>
    </xf>
    <xf numFmtId="0" fontId="29" fillId="0" borderId="2" applyProtection="1" pivotButton="0" quotePrefix="0" xfId="0">
      <protection locked="0" hidden="0"/>
    </xf>
    <xf numFmtId="0" fontId="4" fillId="0" borderId="2" applyAlignment="1" pivotButton="0" quotePrefix="0" xfId="52">
      <alignment horizontal="left" vertical="center"/>
    </xf>
    <xf numFmtId="43" fontId="2" fillId="12" borderId="2" applyAlignment="1" applyProtection="1" pivotButton="0" quotePrefix="0" xfId="1">
      <alignment vertical="center"/>
      <protection locked="0" hidden="0"/>
    </xf>
    <xf numFmtId="170" fontId="6" fillId="22" borderId="2" applyAlignment="1" pivotButton="0" quotePrefix="0" xfId="0">
      <alignment horizontal="left" vertical="center"/>
    </xf>
    <xf numFmtId="0" fontId="2" fillId="0" borderId="0" applyAlignment="1" pivotButton="0" quotePrefix="0" xfId="0">
      <alignment horizontal="left" vertical="center" indent="2"/>
    </xf>
    <xf numFmtId="0" fontId="7" fillId="22" borderId="5" applyAlignment="1" pivotButton="0" quotePrefix="0" xfId="0">
      <alignment horizontal="center" vertical="center"/>
    </xf>
    <xf numFmtId="0" fontId="7" fillId="22" borderId="6" applyAlignment="1" pivotButton="0" quotePrefix="0" xfId="0">
      <alignment horizontal="center" vertical="center"/>
    </xf>
    <xf numFmtId="0" fontId="4" fillId="0" borderId="6" applyAlignment="1" pivotButton="0" quotePrefix="0" xfId="0">
      <alignment horizontal="center" vertical="center"/>
    </xf>
    <xf numFmtId="0" fontId="28" fillId="22" borderId="6" applyAlignment="1" pivotButton="0" quotePrefix="0" xfId="0">
      <alignment horizontal="left" vertical="center"/>
    </xf>
    <xf numFmtId="0" fontId="6" fillId="22" borderId="6" applyAlignment="1" pivotButton="0" quotePrefix="0" xfId="0">
      <alignment horizontal="left" vertical="center"/>
    </xf>
    <xf numFmtId="0" fontId="28" fillId="22" borderId="6" applyAlignment="1" pivotButton="0" quotePrefix="0" xfId="0">
      <alignment horizontal="center" vertical="center"/>
    </xf>
    <xf numFmtId="0" fontId="7" fillId="22" borderId="10" applyAlignment="1" pivotButton="0" quotePrefix="0" xfId="0">
      <alignment horizontal="center" vertical="center"/>
    </xf>
    <xf numFmtId="0" fontId="7" fillId="22" borderId="10" applyAlignment="1" pivotButton="0" quotePrefix="0" xfId="0">
      <alignment horizontal="center" vertical="center" wrapText="1"/>
    </xf>
    <xf numFmtId="0" fontId="7" fillId="22" borderId="12" applyAlignment="1" pivotButton="0" quotePrefix="0" xfId="0">
      <alignment horizontal="center" vertical="center" wrapText="1"/>
    </xf>
    <xf numFmtId="0" fontId="7" fillId="22" borderId="13" applyAlignment="1" pivotButton="0" quotePrefix="0" xfId="0">
      <alignment horizontal="center" vertical="center"/>
    </xf>
    <xf numFmtId="0" fontId="4" fillId="2" borderId="13" applyAlignment="1" pivotButton="0" quotePrefix="0" xfId="52">
      <alignment horizontal="left" vertical="center"/>
    </xf>
    <xf numFmtId="0" fontId="2" fillId="0" borderId="13" applyAlignment="1" pivotButton="0" quotePrefix="0" xfId="0">
      <alignment vertical="center"/>
    </xf>
    <xf numFmtId="43" fontId="6" fillId="24" borderId="13" applyAlignment="1" applyProtection="1" pivotButton="0" quotePrefix="0" xfId="1">
      <alignment horizontal="center" vertical="center"/>
      <protection locked="0" hidden="0"/>
    </xf>
    <xf numFmtId="43" fontId="6" fillId="12" borderId="13" applyAlignment="1" applyProtection="1" pivotButton="0" quotePrefix="0" xfId="1">
      <alignment horizontal="right" vertical="center" shrinkToFit="1"/>
      <protection locked="0" hidden="0"/>
    </xf>
    <xf numFmtId="43" fontId="6" fillId="12" borderId="13" applyAlignment="1" applyProtection="1" pivotButton="0" quotePrefix="0" xfId="1">
      <alignment horizontal="center" vertical="center" shrinkToFit="1"/>
      <protection locked="0" hidden="0"/>
    </xf>
    <xf numFmtId="0" fontId="15" fillId="22" borderId="52" applyAlignment="1" pivotButton="0" quotePrefix="0" xfId="0">
      <alignment horizontal="center" vertical="center" wrapText="1"/>
    </xf>
    <xf numFmtId="0" fontId="15" fillId="22" borderId="0" applyAlignment="1" pivotButton="0" quotePrefix="0" xfId="0">
      <alignment horizontal="center" vertical="center" wrapText="1"/>
    </xf>
    <xf numFmtId="0" fontId="15" fillId="22" borderId="40" applyAlignment="1" pivotButton="0" quotePrefix="0" xfId="0">
      <alignment horizontal="center" vertical="center" wrapText="1"/>
    </xf>
    <xf numFmtId="0" fontId="15" fillId="22" borderId="53" applyAlignment="1" pivotButton="0" quotePrefix="0" xfId="0">
      <alignment horizontal="center" vertical="center" wrapText="1"/>
    </xf>
    <xf numFmtId="0" fontId="15" fillId="22" borderId="54" applyAlignment="1" pivotButton="0" quotePrefix="0" xfId="0">
      <alignment horizontal="center" vertical="center" wrapText="1"/>
    </xf>
    <xf numFmtId="0" fontId="29" fillId="0" borderId="0" pivotButton="0" quotePrefix="0" xfId="0"/>
    <xf numFmtId="170" fontId="6" fillId="22" borderId="6" applyAlignment="1" pivotButton="0" quotePrefix="0" xfId="0">
      <alignment horizontal="left" vertical="center"/>
    </xf>
    <xf numFmtId="0" fontId="6" fillId="22" borderId="15" applyAlignment="1" pivotButton="0" quotePrefix="0" xfId="0">
      <alignment horizontal="left" vertical="center"/>
    </xf>
    <xf numFmtId="165" fontId="2" fillId="20" borderId="11" applyAlignment="1" pivotButton="0" quotePrefix="0" xfId="0">
      <alignment horizontal="center" vertical="center"/>
    </xf>
    <xf numFmtId="43" fontId="6" fillId="12" borderId="11" applyAlignment="1" applyProtection="1" pivotButton="0" quotePrefix="0" xfId="1">
      <alignment horizontal="center" vertical="center" shrinkToFit="1"/>
      <protection locked="0" hidden="0"/>
    </xf>
    <xf numFmtId="43" fontId="6" fillId="12" borderId="11" applyAlignment="1" applyProtection="1" pivotButton="0" quotePrefix="0" xfId="1">
      <alignment horizontal="right" vertical="center" shrinkToFit="1"/>
      <protection locked="0" hidden="0"/>
    </xf>
    <xf numFmtId="43" fontId="6" fillId="12" borderId="14" applyAlignment="1" applyProtection="1" pivotButton="0" quotePrefix="0" xfId="1">
      <alignment horizontal="right" vertical="center" shrinkToFit="1"/>
      <protection locked="0" hidden="0"/>
    </xf>
    <xf numFmtId="0" fontId="4" fillId="0" borderId="0" applyAlignment="1" pivotButton="0" quotePrefix="0" xfId="0">
      <alignment vertical="center"/>
    </xf>
    <xf numFmtId="0" fontId="4" fillId="2" borderId="0" applyAlignment="1" pivotButton="0" quotePrefix="0" xfId="0">
      <alignment horizontal="left" vertical="center"/>
    </xf>
    <xf numFmtId="0" fontId="3" fillId="0" borderId="0" applyAlignment="1" pivotButton="0" quotePrefix="0" xfId="0">
      <alignment horizontal="left" vertical="center"/>
    </xf>
    <xf numFmtId="0" fontId="4" fillId="0" borderId="1" applyAlignment="1" pivotButton="0" quotePrefix="0" xfId="0">
      <alignment horizontal="left" vertical="center"/>
    </xf>
    <xf numFmtId="0" fontId="4" fillId="5" borderId="2" applyAlignment="1" pivotButton="0" quotePrefix="0" xfId="0">
      <alignment horizontal="center" vertical="center"/>
    </xf>
    <xf numFmtId="0" fontId="5" fillId="0" borderId="0" applyAlignment="1" pivotButton="0" quotePrefix="0" xfId="0">
      <alignment horizontal="left" vertical="center"/>
    </xf>
    <xf numFmtId="0" fontId="4" fillId="6" borderId="2" applyAlignment="1" pivotButton="0" quotePrefix="0" xfId="0">
      <alignment vertical="center"/>
    </xf>
    <xf numFmtId="0" fontId="5" fillId="0" borderId="2" applyAlignment="1" pivotButton="0" quotePrefix="0" xfId="0">
      <alignment vertical="center"/>
    </xf>
    <xf numFmtId="0" fontId="4" fillId="0" borderId="2" applyAlignment="1" pivotButton="0" quotePrefix="0" xfId="0">
      <alignment vertical="center"/>
    </xf>
    <xf numFmtId="0" fontId="3" fillId="0" borderId="2" applyAlignment="1" pivotButton="0" quotePrefix="0" xfId="0">
      <alignment vertical="center"/>
    </xf>
    <xf numFmtId="0" fontId="3" fillId="0" borderId="2" applyAlignment="1" pivotButton="0" quotePrefix="0" xfId="0">
      <alignment vertical="center"/>
    </xf>
    <xf numFmtId="0" fontId="5" fillId="0" borderId="2" applyAlignment="1" pivotButton="0" quotePrefix="0" xfId="0">
      <alignment horizontal="left" vertical="center"/>
    </xf>
    <xf numFmtId="0" fontId="4" fillId="0" borderId="0" applyAlignment="1" pivotButton="0" quotePrefix="0" xfId="0">
      <alignment vertical="center"/>
    </xf>
    <xf numFmtId="0" fontId="4" fillId="2" borderId="0" applyAlignment="1" pivotButton="0" quotePrefix="0" xfId="0">
      <alignment horizontal="left" vertical="center"/>
    </xf>
    <xf numFmtId="0" fontId="4" fillId="7" borderId="2" applyAlignment="1" pivotButton="0" quotePrefix="0" xfId="0">
      <alignment horizontal="center" vertical="center"/>
    </xf>
    <xf numFmtId="0" fontId="4" fillId="7" borderId="2" applyAlignment="1" pivotButton="0" quotePrefix="0" xfId="0">
      <alignment vertical="center"/>
    </xf>
    <xf numFmtId="0" fontId="4" fillId="7" borderId="2" applyAlignment="1" pivotButton="0" quotePrefix="0" xfId="0">
      <alignment horizontal="left" vertical="center"/>
    </xf>
    <xf numFmtId="0" fontId="3" fillId="0" borderId="0" applyAlignment="1" pivotButton="0" quotePrefix="0" xfId="0">
      <alignment horizontal="left" vertical="center"/>
    </xf>
    <xf numFmtId="0" fontId="4" fillId="6" borderId="40" applyAlignment="1" pivotButton="0" quotePrefix="0" xfId="0">
      <alignment vertical="center"/>
    </xf>
    <xf numFmtId="0" fontId="5" fillId="6" borderId="2" applyAlignment="1" pivotButton="0" quotePrefix="0" xfId="0">
      <alignment vertical="center"/>
    </xf>
    <xf numFmtId="0" fontId="30" fillId="0" borderId="0" applyAlignment="1" pivotButton="0" quotePrefix="0" xfId="0">
      <alignment horizontal="center" vertical="center"/>
    </xf>
    <xf numFmtId="0" fontId="4" fillId="0" borderId="0" applyAlignment="1" pivotButton="0" quotePrefix="0" xfId="0">
      <alignment horizontal="left" vertical="center" indent="7"/>
    </xf>
    <xf numFmtId="0" fontId="4" fillId="22" borderId="2" applyAlignment="1" pivotButton="0" quotePrefix="0" xfId="0">
      <alignment horizontal="left" vertical="center"/>
    </xf>
    <xf numFmtId="0" fontId="4" fillId="0" borderId="0" applyAlignment="1" pivotButton="0" quotePrefix="0" xfId="0">
      <alignment horizontal="left" vertical="center" indent="9"/>
    </xf>
    <xf numFmtId="0" fontId="4" fillId="0" borderId="0" applyAlignment="1" pivotButton="0" quotePrefix="0" xfId="0">
      <alignment horizontal="left" vertical="center" indent="8"/>
    </xf>
    <xf numFmtId="0" fontId="4" fillId="22" borderId="2" applyAlignment="1" pivotButton="0" quotePrefix="0" xfId="0">
      <alignment horizontal="left" vertical="center" indent="1"/>
    </xf>
    <xf numFmtId="0" fontId="4" fillId="0" borderId="0" applyAlignment="1" pivotButton="0" quotePrefix="0" xfId="0">
      <alignment horizontal="left" vertical="center" indent="10"/>
    </xf>
    <xf numFmtId="0" fontId="4" fillId="0" borderId="0" applyAlignment="1" pivotButton="0" quotePrefix="0" xfId="0">
      <alignment horizontal="left" vertical="center" indent="6"/>
    </xf>
    <xf numFmtId="0" fontId="4" fillId="0" borderId="0" applyAlignment="1" pivotButton="0" quotePrefix="0" xfId="0">
      <alignment horizontal="left" vertical="center" indent="2"/>
    </xf>
    <xf numFmtId="0" fontId="31" fillId="0" borderId="0" applyAlignment="1" pivotButton="0" quotePrefix="0" xfId="0">
      <alignment horizontal="center" vertical="center"/>
    </xf>
    <xf numFmtId="0" fontId="7" fillId="22" borderId="53" applyAlignment="1" pivotButton="0" quotePrefix="0" xfId="0">
      <alignment horizontal="center" vertical="center" wrapText="1"/>
    </xf>
    <xf numFmtId="0" fontId="7" fillId="22" borderId="53" applyAlignment="1" pivotButton="0" quotePrefix="0" xfId="0">
      <alignment horizontal="center" vertical="center"/>
    </xf>
    <xf numFmtId="0" fontId="4" fillId="0" borderId="2" applyAlignment="1" pivotButton="0" quotePrefix="0" xfId="0">
      <alignment vertical="center"/>
    </xf>
    <xf numFmtId="165" fontId="4" fillId="20" borderId="2" applyAlignment="1" pivotButton="0" quotePrefix="0" xfId="0">
      <alignment horizontal="center" vertical="center"/>
    </xf>
    <xf numFmtId="43" fontId="4" fillId="12" borderId="2" applyAlignment="1" applyProtection="1" pivotButton="0" quotePrefix="0" xfId="0">
      <alignment horizontal="right" vertical="center"/>
      <protection locked="0" hidden="0"/>
    </xf>
    <xf numFmtId="171" fontId="4" fillId="12" borderId="2" applyAlignment="1" applyProtection="1" pivotButton="0" quotePrefix="0" xfId="0">
      <alignment horizontal="right" vertical="center"/>
      <protection locked="0" hidden="0"/>
    </xf>
    <xf numFmtId="0" fontId="4" fillId="2" borderId="0" applyAlignment="1" pivotButton="0" quotePrefix="0" xfId="52">
      <alignment horizontal="left" vertical="center"/>
    </xf>
    <xf numFmtId="171" fontId="4" fillId="12" borderId="2" applyAlignment="1" pivotButton="0" quotePrefix="0" xfId="0">
      <alignment horizontal="right" vertical="center"/>
    </xf>
    <xf numFmtId="0" fontId="5" fillId="0" borderId="0" applyAlignment="1" pivotButton="0" quotePrefix="0" xfId="0">
      <alignment horizontal="center" vertical="center"/>
    </xf>
    <xf numFmtId="0" fontId="10" fillId="6" borderId="0" applyAlignment="1" pivotButton="0" quotePrefix="0" xfId="0">
      <alignment horizontal="center" vertical="center"/>
    </xf>
    <xf numFmtId="0" fontId="10" fillId="0" borderId="0" applyAlignment="1" pivotButton="0" quotePrefix="0" xfId="0">
      <alignment horizontal="center" vertical="center"/>
    </xf>
    <xf numFmtId="166" fontId="4" fillId="0" borderId="0" applyAlignment="1" pivotButton="0" quotePrefix="0" xfId="0">
      <alignment vertical="center"/>
    </xf>
    <xf numFmtId="0" fontId="8" fillId="22" borderId="55" applyAlignment="1" pivotButton="0" quotePrefix="0" xfId="0">
      <alignment horizontal="left" vertical="center"/>
    </xf>
    <xf numFmtId="166" fontId="4" fillId="20" borderId="0" applyAlignment="1" pivotButton="0" quotePrefix="0" xfId="0">
      <alignment vertical="center"/>
    </xf>
    <xf numFmtId="0" fontId="4" fillId="0" borderId="0" applyAlignment="1" pivotButton="0" quotePrefix="0" xfId="0">
      <alignment vertical="center" wrapText="1"/>
    </xf>
    <xf numFmtId="0" fontId="4" fillId="6" borderId="0" applyAlignment="1" pivotButton="0" quotePrefix="0" xfId="0">
      <alignment vertical="center"/>
    </xf>
    <xf numFmtId="0" fontId="3" fillId="6" borderId="0" applyAlignment="1" pivotButton="0" quotePrefix="0" xfId="0">
      <alignment vertical="center"/>
    </xf>
    <xf numFmtId="0" fontId="2" fillId="6" borderId="0" applyAlignment="1" pivotButton="0" quotePrefix="0" xfId="0">
      <alignment horizontal="left" vertical="center"/>
    </xf>
    <xf numFmtId="0" fontId="4" fillId="0" borderId="0" applyAlignment="1" pivotButton="0" quotePrefix="0" xfId="0">
      <alignment horizontal="left" vertical="center" indent="5"/>
    </xf>
    <xf numFmtId="0" fontId="4" fillId="0" borderId="0" applyAlignment="1" pivotButton="0" quotePrefix="0" xfId="0">
      <alignment horizontal="left" vertical="center" indent="4"/>
    </xf>
    <xf numFmtId="0" fontId="4" fillId="0" borderId="0" applyAlignment="1" pivotButton="0" quotePrefix="0" xfId="0">
      <alignment horizontal="left" vertical="center" indent="3"/>
    </xf>
    <xf numFmtId="0" fontId="4" fillId="22" borderId="2" applyAlignment="1" pivotButton="0" quotePrefix="0" xfId="0">
      <alignment horizontal="left" vertical="center" indent="3"/>
    </xf>
    <xf numFmtId="0" fontId="4" fillId="0" borderId="0" applyAlignment="1" pivotButton="0" quotePrefix="0" xfId="0">
      <alignment horizontal="left" vertical="center"/>
    </xf>
    <xf numFmtId="0" fontId="4" fillId="0" borderId="0" applyAlignment="1" pivotButton="0" quotePrefix="0" xfId="0">
      <alignment horizontal="left" vertical="center" indent="3"/>
    </xf>
    <xf numFmtId="43" fontId="4" fillId="12" borderId="2" applyAlignment="1" applyProtection="1" pivotButton="0" quotePrefix="0" xfId="0">
      <alignment horizontal="center" vertical="center"/>
      <protection locked="0" hidden="0"/>
    </xf>
    <xf numFmtId="43" fontId="4" fillId="2" borderId="2" applyAlignment="1" applyProtection="1" pivotButton="0" quotePrefix="0" xfId="0">
      <alignment horizontal="right" vertical="center"/>
      <protection locked="0" hidden="0"/>
    </xf>
    <xf numFmtId="171" fontId="4" fillId="12" borderId="2" applyAlignment="1" pivotButton="0" quotePrefix="0" xfId="0">
      <alignment horizontal="center" vertical="center"/>
    </xf>
    <xf numFmtId="0" fontId="31" fillId="0" borderId="0" applyAlignment="1" pivotButton="0" quotePrefix="0" xfId="0">
      <alignment vertical="center"/>
    </xf>
    <xf numFmtId="0" fontId="7" fillId="0" borderId="0" applyAlignment="1" pivotButton="0" quotePrefix="0" xfId="0">
      <alignment horizontal="right" vertical="center"/>
    </xf>
    <xf numFmtId="171" fontId="4" fillId="12" borderId="2" applyAlignment="1" applyProtection="1" pivotButton="0" quotePrefix="0" xfId="0">
      <alignment horizontal="center" vertical="center"/>
      <protection locked="0" hidden="0"/>
    </xf>
    <xf numFmtId="171" fontId="4" fillId="0" borderId="2" applyAlignment="1" applyProtection="1" pivotButton="0" quotePrefix="0" xfId="0">
      <alignment horizontal="right" vertical="center"/>
      <protection locked="0" hidden="0"/>
    </xf>
    <xf numFmtId="171" fontId="3" fillId="0" borderId="0" applyAlignment="1" pivotButton="0" quotePrefix="0" xfId="0">
      <alignment vertical="center"/>
    </xf>
    <xf numFmtId="171" fontId="4" fillId="0" borderId="0" applyAlignment="1" pivotButton="0" quotePrefix="0" xfId="0">
      <alignment vertical="center"/>
    </xf>
    <xf numFmtId="0" fontId="2" fillId="0" borderId="0" applyAlignment="1" pivotButton="0" quotePrefix="0" xfId="0">
      <alignment horizontal="left" vertical="center" indent="7"/>
    </xf>
    <xf numFmtId="0" fontId="2" fillId="0" borderId="0" applyAlignment="1" pivotButton="0" quotePrefix="0" xfId="0">
      <alignment horizontal="left" vertical="center" indent="8"/>
    </xf>
    <xf numFmtId="0" fontId="2" fillId="0" borderId="0" applyAlignment="1" pivotButton="0" quotePrefix="0" xfId="0">
      <alignment horizontal="left" vertical="center" indent="9"/>
    </xf>
    <xf numFmtId="0" fontId="2" fillId="0" borderId="0" applyAlignment="1" pivotButton="0" quotePrefix="0" xfId="0">
      <alignment horizontal="left" vertical="center" indent="10"/>
    </xf>
    <xf numFmtId="0" fontId="2" fillId="0" borderId="0" applyAlignment="1" pivotButton="0" quotePrefix="0" xfId="0">
      <alignment horizontal="left" vertical="center" indent="6"/>
    </xf>
    <xf numFmtId="171" fontId="2" fillId="12" borderId="2" applyAlignment="1" applyProtection="1" pivotButton="0" quotePrefix="0" xfId="0">
      <alignment horizontal="right" vertical="center"/>
      <protection locked="0" hidden="0"/>
    </xf>
    <xf numFmtId="171" fontId="2" fillId="12" borderId="2" applyAlignment="1" pivotButton="0" quotePrefix="0" xfId="0">
      <alignment horizontal="right" vertical="center"/>
    </xf>
    <xf numFmtId="166" fontId="2" fillId="6" borderId="0" applyAlignment="1" pivotButton="0" quotePrefix="0" xfId="0">
      <alignment vertical="center"/>
    </xf>
    <xf numFmtId="0" fontId="2" fillId="0" borderId="0" applyAlignment="1" pivotButton="0" quotePrefix="0" xfId="0">
      <alignment horizontal="left" vertical="center" indent="5"/>
    </xf>
    <xf numFmtId="0" fontId="2" fillId="0" borderId="0" applyAlignment="1" pivotButton="0" quotePrefix="0" xfId="0">
      <alignment horizontal="left" vertical="center" indent="4"/>
    </xf>
    <xf numFmtId="0" fontId="2" fillId="0" borderId="0" applyAlignment="1" pivotButton="0" quotePrefix="0" xfId="0">
      <alignment vertical="center" wrapText="1"/>
    </xf>
    <xf numFmtId="0" fontId="2" fillId="0" borderId="0" applyAlignment="1" pivotButton="0" quotePrefix="0" xfId="0">
      <alignment horizontal="left" vertical="center" indent="5"/>
    </xf>
    <xf numFmtId="171" fontId="2" fillId="12" borderId="2" applyAlignment="1" applyProtection="1" pivotButton="0" quotePrefix="0" xfId="0">
      <alignment horizontal="center" vertical="center"/>
      <protection locked="0" hidden="0"/>
    </xf>
    <xf numFmtId="171" fontId="2" fillId="0" borderId="2" applyAlignment="1" applyProtection="1" pivotButton="0" quotePrefix="0" xfId="0">
      <alignment horizontal="right" vertical="center"/>
      <protection locked="0" hidden="0"/>
    </xf>
    <xf numFmtId="165" fontId="2" fillId="20" borderId="4" applyAlignment="1" pivotButton="0" quotePrefix="0" xfId="0">
      <alignment horizontal="center" vertical="center"/>
    </xf>
    <xf numFmtId="171" fontId="2" fillId="2" borderId="2" applyAlignment="1" applyProtection="1" pivotButton="0" quotePrefix="0" xfId="0">
      <alignment horizontal="right" vertical="center"/>
      <protection locked="0" hidden="0"/>
    </xf>
    <xf numFmtId="171" fontId="2" fillId="12" borderId="2" applyAlignment="1" applyProtection="1" pivotButton="0" quotePrefix="0" xfId="0">
      <alignment vertical="center"/>
      <protection locked="0" hidden="0"/>
    </xf>
    <xf numFmtId="171" fontId="2" fillId="12" borderId="2" applyAlignment="1" pivotButton="0" quotePrefix="0" xfId="0">
      <alignment horizontal="center" vertical="center"/>
    </xf>
    <xf numFmtId="0" fontId="1" fillId="0" borderId="0" applyAlignment="1" applyProtection="1" pivotButton="0" quotePrefix="0" xfId="0">
      <alignment vertical="center"/>
      <protection locked="0" hidden="0"/>
    </xf>
    <xf numFmtId="0" fontId="8" fillId="22" borderId="2" applyAlignment="1" pivotButton="0" quotePrefix="0" xfId="0">
      <alignment horizontal="left" vertical="center" indent="1"/>
    </xf>
    <xf numFmtId="0" fontId="32" fillId="0" borderId="0" applyAlignment="1" pivotButton="0" quotePrefix="0" xfId="0">
      <alignment vertical="center"/>
    </xf>
    <xf numFmtId="43" fontId="7" fillId="20" borderId="2" applyAlignment="1" pivotButton="0" quotePrefix="0" xfId="52">
      <alignment horizontal="center" vertical="center"/>
    </xf>
    <xf numFmtId="0" fontId="4" fillId="2" borderId="2" applyAlignment="1" pivotButton="0" quotePrefix="0" xfId="52">
      <alignment horizontal="center" vertical="center"/>
    </xf>
    <xf numFmtId="0" fontId="8" fillId="22" borderId="2" applyAlignment="1" pivotButton="0" quotePrefix="0" xfId="0">
      <alignment horizontal="center" vertical="center"/>
    </xf>
    <xf numFmtId="43" fontId="2" fillId="12" borderId="4" applyAlignment="1" applyProtection="1" pivotButton="0" quotePrefix="0" xfId="0">
      <alignment horizontal="right" vertical="center"/>
      <protection locked="0" hidden="0"/>
    </xf>
    <xf numFmtId="0" fontId="4" fillId="22" borderId="2" applyAlignment="1" pivotButton="0" quotePrefix="0" xfId="0">
      <alignment horizontal="center" vertical="center"/>
    </xf>
    <xf numFmtId="43" fontId="2" fillId="12" borderId="4" applyAlignment="1" applyProtection="1" pivotButton="0" quotePrefix="0" xfId="0">
      <alignment vertical="center"/>
      <protection locked="0" hidden="0"/>
    </xf>
    <xf numFmtId="43" fontId="2" fillId="12" borderId="2" applyAlignment="1" applyProtection="1" pivotButton="0" quotePrefix="0" xfId="0">
      <alignment vertical="center"/>
      <protection locked="0" hidden="0"/>
    </xf>
    <xf numFmtId="0" fontId="3" fillId="20" borderId="2" applyAlignment="1" pivotButton="0" quotePrefix="0" xfId="0">
      <alignment horizontal="center" vertical="center"/>
    </xf>
    <xf numFmtId="0" fontId="2" fillId="2" borderId="2" applyAlignment="1" pivotButton="0" quotePrefix="0" xfId="0">
      <alignment vertical="center"/>
    </xf>
    <xf numFmtId="0" fontId="1" fillId="2" borderId="2" applyAlignment="1" pivotButton="0" quotePrefix="0" xfId="0">
      <alignment vertical="center"/>
    </xf>
    <xf numFmtId="0" fontId="2" fillId="2" borderId="2" applyAlignment="1" pivotButton="0" quotePrefix="0" xfId="0">
      <alignment horizontal="left" vertical="center"/>
    </xf>
    <xf numFmtId="0" fontId="10" fillId="2" borderId="2" applyAlignment="1" pivotButton="0" quotePrefix="0" xfId="0">
      <alignment horizontal="left" vertical="center"/>
    </xf>
    <xf numFmtId="0" fontId="22" fillId="2" borderId="2" applyAlignment="1" pivotButton="0" quotePrefix="0" xfId="0">
      <alignment vertical="center"/>
    </xf>
    <xf numFmtId="0" fontId="10" fillId="2" borderId="2" applyAlignment="1" pivotButton="0" quotePrefix="0" xfId="0">
      <alignment vertical="center"/>
    </xf>
    <xf numFmtId="0" fontId="0" fillId="2" borderId="2" applyAlignment="1" pivotButton="0" quotePrefix="0" xfId="0">
      <alignment vertical="center"/>
    </xf>
    <xf numFmtId="0" fontId="0" fillId="2" borderId="2" applyAlignment="1" pivotButton="0" quotePrefix="0" xfId="0">
      <alignment vertical="center"/>
    </xf>
    <xf numFmtId="0" fontId="1" fillId="2" borderId="2" applyAlignment="1" pivotButton="0" quotePrefix="0" xfId="0">
      <alignment horizontal="left" vertical="center"/>
    </xf>
    <xf numFmtId="43" fontId="7" fillId="16" borderId="2" applyAlignment="1" pivotButton="0" quotePrefix="0" xfId="52">
      <alignment horizontal="center" vertical="center"/>
    </xf>
    <xf numFmtId="43" fontId="2" fillId="20" borderId="2" applyAlignment="1" pivotButton="0" quotePrefix="0" xfId="52">
      <alignment horizontal="left"/>
    </xf>
    <xf numFmtId="43" fontId="2" fillId="16" borderId="2" applyAlignment="1" pivotButton="0" quotePrefix="0" xfId="52">
      <alignment horizontal="left" indent="2"/>
    </xf>
    <xf numFmtId="43" fontId="2" fillId="16" borderId="2" applyAlignment="1" pivotButton="0" quotePrefix="0" xfId="52">
      <alignment horizontal="left" vertical="center"/>
    </xf>
    <xf numFmtId="43" fontId="2" fillId="16" borderId="2" applyAlignment="1" pivotButton="0" quotePrefix="0" xfId="52">
      <alignment horizontal="left"/>
    </xf>
    <xf numFmtId="43" fontId="2" fillId="16" borderId="2" applyAlignment="1" pivotButton="0" quotePrefix="0" xfId="52">
      <alignment horizontal="left" vertical="center" indent="2"/>
    </xf>
    <xf numFmtId="43" fontId="7" fillId="20" borderId="3" applyAlignment="1" pivotButton="0" quotePrefix="0" xfId="52">
      <alignment horizontal="center" vertical="center"/>
    </xf>
    <xf numFmtId="43" fontId="7" fillId="20" borderId="4" applyAlignment="1" pivotButton="0" quotePrefix="0" xfId="52">
      <alignment horizontal="center" vertical="center"/>
    </xf>
    <xf numFmtId="0" fontId="2" fillId="0" borderId="2" applyAlignment="1" pivotButton="0" quotePrefix="0" xfId="0">
      <alignment horizontal="left" vertical="center"/>
    </xf>
    <xf numFmtId="0" fontId="4" fillId="16" borderId="2" applyAlignment="1" pivotButton="0" quotePrefix="0" xfId="52">
      <alignment horizontal="center" vertical="center"/>
    </xf>
    <xf numFmtId="43" fontId="7" fillId="20" borderId="45" applyAlignment="1" pivotButton="0" quotePrefix="0" xfId="52">
      <alignment horizontal="center" vertical="center"/>
    </xf>
    <xf numFmtId="43" fontId="4" fillId="2" borderId="2" applyAlignment="1" pivotButton="0" quotePrefix="0" xfId="52">
      <alignment horizontal="left" vertical="center"/>
    </xf>
    <xf numFmtId="43" fontId="4" fillId="2" borderId="2" applyAlignment="1" pivotButton="0" quotePrefix="0" xfId="52">
      <alignment horizontal="center" vertical="center"/>
    </xf>
    <xf numFmtId="43" fontId="2" fillId="25" borderId="2" applyAlignment="1" applyProtection="1" pivotButton="0" quotePrefix="0" xfId="0">
      <alignment vertical="center"/>
      <protection locked="0" hidden="0"/>
    </xf>
    <xf numFmtId="43" fontId="2" fillId="25" borderId="2" applyAlignment="1" pivotButton="0" quotePrefix="0" xfId="0">
      <alignment vertical="center"/>
    </xf>
    <xf numFmtId="0" fontId="2" fillId="2" borderId="2" applyAlignment="1" pivotButton="0" quotePrefix="0" xfId="0">
      <alignment vertical="center"/>
    </xf>
    <xf numFmtId="0" fontId="33" fillId="2" borderId="2" applyAlignment="1" pivotButton="0" quotePrefix="0" xfId="0">
      <alignment vertical="center"/>
    </xf>
    <xf numFmtId="0" fontId="19" fillId="0" borderId="0" applyAlignment="1" pivotButton="0" quotePrefix="0" xfId="0">
      <alignment vertical="center"/>
    </xf>
    <xf numFmtId="172" fontId="2" fillId="12" borderId="2" applyAlignment="1" applyProtection="1" pivotButton="0" quotePrefix="0" xfId="1">
      <alignment horizontal="right" vertical="center"/>
      <protection locked="0" hidden="0"/>
    </xf>
    <xf numFmtId="172" fontId="4" fillId="12" borderId="2" applyAlignment="1" applyProtection="1" pivotButton="0" quotePrefix="0" xfId="1">
      <alignment horizontal="right" vertical="center"/>
      <protection locked="0" hidden="0"/>
    </xf>
    <xf numFmtId="172" fontId="2" fillId="12" borderId="2" applyAlignment="1" applyProtection="1" pivotButton="0" quotePrefix="0" xfId="1">
      <alignment vertical="center"/>
      <protection locked="0" hidden="0"/>
    </xf>
    <xf numFmtId="172" fontId="2" fillId="12" borderId="2" applyAlignment="1" pivotButton="0" quotePrefix="0" xfId="1">
      <alignment vertical="center"/>
    </xf>
    <xf numFmtId="0" fontId="15" fillId="0" borderId="0" applyAlignment="1" pivotButton="0" quotePrefix="0" xfId="0">
      <alignment horizontal="left" vertical="top" wrapText="1"/>
    </xf>
    <xf numFmtId="0" fontId="15" fillId="0" borderId="0" applyAlignment="1" pivotButton="0" quotePrefix="0" xfId="0">
      <alignment horizontal="left" vertical="top"/>
    </xf>
    <xf numFmtId="0" fontId="7" fillId="22" borderId="40" applyAlignment="1" pivotButton="0" quotePrefix="0" xfId="0">
      <alignment horizontal="center" vertical="center"/>
    </xf>
    <xf numFmtId="0" fontId="7" fillId="22" borderId="26" applyAlignment="1" pivotButton="0" quotePrefix="0" xfId="0">
      <alignment horizontal="center" vertical="center"/>
    </xf>
    <xf numFmtId="171" fontId="2" fillId="12" borderId="2" applyAlignment="1" applyProtection="1" pivotButton="0" quotePrefix="0" xfId="1">
      <alignment horizontal="right" vertical="center"/>
      <protection locked="0" hidden="0"/>
    </xf>
    <xf numFmtId="171" fontId="4" fillId="12" borderId="2" applyAlignment="1" applyProtection="1" pivotButton="0" quotePrefix="0" xfId="1">
      <alignment horizontal="right" vertical="center"/>
      <protection locked="0" hidden="0"/>
    </xf>
    <xf numFmtId="0" fontId="2" fillId="25" borderId="2" applyAlignment="1" pivotButton="0" quotePrefix="0" xfId="0">
      <alignment vertical="center"/>
    </xf>
    <xf numFmtId="0" fontId="13" fillId="0" borderId="2" applyAlignment="1" pivotButton="0" quotePrefix="0" xfId="0">
      <alignment horizontal="center" vertical="center"/>
    </xf>
    <xf numFmtId="171" fontId="2" fillId="12" borderId="2" applyAlignment="1" applyProtection="1" pivotButton="0" quotePrefix="0" xfId="1">
      <alignment vertical="center"/>
      <protection locked="0" hidden="0"/>
    </xf>
    <xf numFmtId="171" fontId="2" fillId="25" borderId="2" applyAlignment="1" applyProtection="1" pivotButton="0" quotePrefix="0" xfId="1">
      <alignment vertical="center"/>
      <protection locked="0" hidden="0"/>
    </xf>
    <xf numFmtId="171" fontId="2" fillId="25" borderId="2" applyAlignment="1" pivotButton="0" quotePrefix="0" xfId="1">
      <alignment vertical="center"/>
    </xf>
    <xf numFmtId="0" fontId="4" fillId="2" borderId="0" applyAlignment="1" pivotButton="0" quotePrefix="0" xfId="52">
      <alignment horizontal="center" vertical="center"/>
    </xf>
    <xf numFmtId="0" fontId="3" fillId="0" borderId="0" applyAlignment="1" pivotButton="0" quotePrefix="0" xfId="0">
      <alignment horizontal="center" vertical="center"/>
    </xf>
    <xf numFmtId="0" fontId="2" fillId="0" borderId="0" applyAlignment="1" pivotButton="0" quotePrefix="0" xfId="0">
      <alignment horizontal="left" vertical="center" indent="7"/>
    </xf>
    <xf numFmtId="0" fontId="11" fillId="22" borderId="2" applyAlignment="1" pivotButton="0" quotePrefix="0" xfId="0">
      <alignment vertical="center"/>
    </xf>
    <xf numFmtId="0" fontId="2" fillId="0" borderId="0" applyAlignment="1" pivotButton="0" quotePrefix="0" xfId="0">
      <alignment horizontal="left" vertical="center" indent="8"/>
    </xf>
    <xf numFmtId="0" fontId="11" fillId="22" borderId="2" applyAlignment="1" pivotButton="0" quotePrefix="0" xfId="0">
      <alignment horizontal="left" vertical="center" indent="2"/>
    </xf>
    <xf numFmtId="0" fontId="2" fillId="0" borderId="0" applyAlignment="1" pivotButton="0" quotePrefix="0" xfId="0">
      <alignment horizontal="left" vertical="center" indent="9"/>
    </xf>
    <xf numFmtId="0" fontId="8" fillId="22" borderId="2" applyAlignment="1" pivotButton="0" quotePrefix="0" xfId="0">
      <alignment horizontal="left" vertical="center" indent="3"/>
    </xf>
    <xf numFmtId="0" fontId="8" fillId="22" borderId="2" applyAlignment="1" pivotButton="0" quotePrefix="0" xfId="0">
      <alignment horizontal="left" vertical="center" indent="2"/>
    </xf>
    <xf numFmtId="0" fontId="3" fillId="0" borderId="0" applyAlignment="1" pivotButton="0" quotePrefix="0" xfId="0">
      <alignment horizontal="center" vertical="center"/>
    </xf>
    <xf numFmtId="0" fontId="7" fillId="0" borderId="0" applyAlignment="1" pivotButton="0" quotePrefix="0" xfId="0">
      <alignment horizontal="center" vertical="center"/>
    </xf>
    <xf numFmtId="43" fontId="4" fillId="12" borderId="2" applyAlignment="1" applyProtection="1" pivotButton="0" quotePrefix="0" xfId="1">
      <alignment horizontal="right" vertical="center"/>
      <protection locked="0" hidden="0"/>
    </xf>
    <xf numFmtId="0" fontId="13" fillId="20" borderId="3" applyAlignment="1" pivotButton="0" quotePrefix="0" xfId="0">
      <alignment horizontal="center" vertical="center"/>
    </xf>
    <xf numFmtId="0" fontId="13" fillId="20" borderId="45" applyAlignment="1" pivotButton="0" quotePrefix="0" xfId="0">
      <alignment horizontal="center" vertical="center"/>
    </xf>
    <xf numFmtId="0" fontId="13" fillId="20" borderId="4" applyAlignment="1" pivotButton="0" quotePrefix="0" xfId="0">
      <alignment horizontal="center" vertical="center"/>
    </xf>
    <xf numFmtId="0" fontId="13" fillId="20" borderId="2" applyAlignment="1" pivotButton="0" quotePrefix="0" xfId="0">
      <alignment horizontal="center" vertical="center"/>
    </xf>
    <xf numFmtId="43" fontId="2" fillId="25" borderId="2" applyAlignment="1" applyProtection="1" pivotButton="0" quotePrefix="0" xfId="1">
      <alignment vertical="center"/>
      <protection locked="0" hidden="0"/>
    </xf>
    <xf numFmtId="43" fontId="2" fillId="25" borderId="2" applyAlignment="1" pivotButton="0" quotePrefix="0" xfId="1">
      <alignment vertical="center"/>
    </xf>
    <xf numFmtId="0" fontId="34" fillId="0" borderId="0" applyAlignment="1" pivotButton="0" quotePrefix="0" xfId="0">
      <alignment vertical="center"/>
    </xf>
    <xf numFmtId="0" fontId="2" fillId="0" borderId="0" applyAlignment="1" pivotButton="0" quotePrefix="0" xfId="0">
      <alignment vertical="center"/>
    </xf>
    <xf numFmtId="43" fontId="4" fillId="5" borderId="2" applyAlignment="1" applyProtection="1" pivotButton="0" quotePrefix="0" xfId="0">
      <alignment horizontal="right" vertical="center"/>
      <protection locked="0" hidden="0"/>
    </xf>
    <xf numFmtId="166" fontId="2" fillId="0" borderId="0" applyAlignment="1" applyProtection="1" pivotButton="0" quotePrefix="0" xfId="0">
      <alignment vertical="center"/>
      <protection locked="0" hidden="0"/>
    </xf>
    <xf numFmtId="43" fontId="2" fillId="5" borderId="4" applyAlignment="1" applyProtection="1" pivotButton="0" quotePrefix="0" xfId="0">
      <alignment horizontal="right" vertical="center"/>
      <protection locked="0" hidden="0"/>
    </xf>
    <xf numFmtId="43" fontId="0" fillId="0" borderId="0" applyAlignment="1" applyProtection="1" pivotButton="0" quotePrefix="0" xfId="0">
      <alignment vertical="center"/>
      <protection locked="0" hidden="0"/>
    </xf>
    <xf numFmtId="0" fontId="35" fillId="0" borderId="0" applyAlignment="1" pivotButton="0" quotePrefix="0" xfId="0">
      <alignment horizontal="center" vertical="center"/>
    </xf>
    <xf numFmtId="0" fontId="7" fillId="11" borderId="0" applyAlignment="1" pivotButton="0" quotePrefix="0" xfId="0">
      <alignment horizontal="center" vertical="center"/>
    </xf>
    <xf numFmtId="49" fontId="7" fillId="11" borderId="0" applyAlignment="1" pivotButton="0" quotePrefix="0" xfId="53">
      <alignment horizontal="center" vertical="center"/>
    </xf>
    <xf numFmtId="49" fontId="7" fillId="11" borderId="0" applyAlignment="1" pivotButton="0" quotePrefix="0" xfId="53">
      <alignment horizontal="center" vertical="center" wrapText="1"/>
    </xf>
    <xf numFmtId="0" fontId="0" fillId="0" borderId="0" applyAlignment="1" pivotButton="0" quotePrefix="0" xfId="0">
      <alignment horizontal="center" vertical="center"/>
    </xf>
    <xf numFmtId="0" fontId="4" fillId="0" borderId="0" applyAlignment="1" pivotButton="0" quotePrefix="0" xfId="0">
      <alignment horizontal="left" vertical="center"/>
    </xf>
    <xf numFmtId="0" fontId="5" fillId="14" borderId="2" applyAlignment="1" pivotButton="0" quotePrefix="0" xfId="0">
      <alignment vertical="center"/>
    </xf>
    <xf numFmtId="0" fontId="36" fillId="12" borderId="2" applyAlignment="1" pivotButton="0" quotePrefix="0" xfId="0">
      <alignment vertical="center"/>
    </xf>
    <xf numFmtId="166" fontId="4" fillId="0" borderId="2" applyAlignment="1" pivotButton="0" quotePrefix="0" xfId="0">
      <alignment vertical="center"/>
    </xf>
    <xf numFmtId="0" fontId="7" fillId="20" borderId="2" applyAlignment="1" pivotButton="0" quotePrefix="0" xfId="0">
      <alignment vertical="center"/>
    </xf>
    <xf numFmtId="0" fontId="4" fillId="0" borderId="0" applyAlignment="1" pivotButton="0" quotePrefix="0" xfId="0">
      <alignment horizontal="left" vertical="center" indent="1"/>
    </xf>
    <xf numFmtId="0" fontId="4" fillId="22" borderId="2" applyAlignment="1" pivotButton="0" quotePrefix="0" xfId="0">
      <alignment horizontal="left" vertical="center" indent="4"/>
    </xf>
    <xf numFmtId="0" fontId="15" fillId="0" borderId="0" applyAlignment="1" pivotButton="0" quotePrefix="0" xfId="0">
      <alignment vertical="top" wrapText="1"/>
    </xf>
    <xf numFmtId="0" fontId="37" fillId="26" borderId="0" applyAlignment="1" pivotButton="0" quotePrefix="0" xfId="0">
      <alignment horizontal="center" vertical="center"/>
    </xf>
    <xf numFmtId="0" fontId="15" fillId="0" borderId="0" applyAlignment="1" pivotButton="0" quotePrefix="0" xfId="0">
      <alignment horizontal="left" vertical="center"/>
    </xf>
    <xf numFmtId="0" fontId="7" fillId="22" borderId="3" applyAlignment="1" pivotButton="0" quotePrefix="0" xfId="0">
      <alignment horizontal="center" vertical="center" wrapText="1"/>
    </xf>
    <xf numFmtId="0" fontId="7" fillId="22" borderId="45" applyAlignment="1" pivotButton="0" quotePrefix="0" xfId="0">
      <alignment horizontal="center" vertical="center" wrapText="1"/>
    </xf>
    <xf numFmtId="0" fontId="4" fillId="0" borderId="53" applyAlignment="1" pivotButton="0" quotePrefix="0" xfId="0">
      <alignment horizontal="left" vertical="center" wrapText="1"/>
    </xf>
    <xf numFmtId="0" fontId="4" fillId="0" borderId="53" applyAlignment="1" pivotButton="0" quotePrefix="0" xfId="0">
      <alignment horizontal="left" vertical="center"/>
    </xf>
    <xf numFmtId="43" fontId="4" fillId="12" borderId="2" applyAlignment="1" applyProtection="1" pivotButton="0" quotePrefix="0" xfId="0">
      <alignment vertical="center"/>
      <protection locked="0" hidden="0"/>
    </xf>
    <xf numFmtId="0" fontId="7" fillId="22" borderId="4" applyAlignment="1" pivotButton="0" quotePrefix="0" xfId="0">
      <alignment horizontal="center" vertical="center" wrapText="1"/>
    </xf>
    <xf numFmtId="0" fontId="7" fillId="22" borderId="3" applyAlignment="1" pivotButton="0" quotePrefix="0" xfId="0">
      <alignment horizontal="center" vertical="center"/>
    </xf>
    <xf numFmtId="0" fontId="4" fillId="0" borderId="53" applyAlignment="1" pivotButton="0" quotePrefix="0" xfId="0">
      <alignment horizontal="left" vertical="center"/>
    </xf>
    <xf numFmtId="0" fontId="4" fillId="0" borderId="40" applyAlignment="1" pivotButton="0" quotePrefix="0" xfId="0">
      <alignment vertical="center"/>
    </xf>
    <xf numFmtId="10" fontId="4" fillId="12" borderId="2" applyAlignment="1" applyProtection="1" pivotButton="0" quotePrefix="0" xfId="0">
      <alignment vertical="center"/>
      <protection locked="0" hidden="0"/>
    </xf>
    <xf numFmtId="0" fontId="7" fillId="22" borderId="45" applyAlignment="1" pivotButton="0" quotePrefix="0" xfId="0">
      <alignment horizontal="center" vertical="center"/>
    </xf>
    <xf numFmtId="0" fontId="7" fillId="22" borderId="4" applyAlignment="1" pivotButton="0" quotePrefix="0" xfId="0">
      <alignment horizontal="center" vertical="center"/>
    </xf>
    <xf numFmtId="166" fontId="4" fillId="12" borderId="2" applyAlignment="1" applyProtection="1" pivotButton="0" quotePrefix="0" xfId="0">
      <alignment vertical="center"/>
      <protection locked="0" hidden="0"/>
    </xf>
    <xf numFmtId="0" fontId="2" fillId="2" borderId="0" applyAlignment="1" pivotButton="0" quotePrefix="0" xfId="0">
      <alignment vertical="center"/>
    </xf>
    <xf numFmtId="0" fontId="0" fillId="2" borderId="0" pivotButton="0" quotePrefix="0" xfId="0"/>
    <xf numFmtId="0" fontId="2" fillId="2" borderId="40" applyAlignment="1" pivotButton="0" quotePrefix="0" xfId="0">
      <alignment vertical="center"/>
    </xf>
    <xf numFmtId="0" fontId="4" fillId="22" borderId="2" applyAlignment="1" pivotButton="0" quotePrefix="0" xfId="0">
      <alignment horizontal="left" vertical="center" indent="7"/>
    </xf>
    <xf numFmtId="0" fontId="3" fillId="0" borderId="0" applyAlignment="1" pivotButton="0" quotePrefix="0" xfId="0">
      <alignment horizontal="left" vertical="center" indent="1"/>
    </xf>
    <xf numFmtId="0" fontId="3" fillId="6" borderId="0" applyAlignment="1" pivotButton="0" quotePrefix="0" xfId="0">
      <alignment horizontal="left" vertical="center"/>
    </xf>
    <xf numFmtId="43" fontId="4" fillId="0" borderId="2" applyAlignment="1" applyProtection="1" pivotButton="0" quotePrefix="0" xfId="0">
      <alignment vertical="center"/>
      <protection locked="0" hidden="0"/>
    </xf>
    <xf numFmtId="43" fontId="3" fillId="12" borderId="2" applyAlignment="1" applyProtection="1" pivotButton="0" quotePrefix="0" xfId="0">
      <alignment vertical="center"/>
      <protection locked="0" hidden="0"/>
    </xf>
    <xf numFmtId="166" fontId="4" fillId="0" borderId="2" applyAlignment="1" applyProtection="1" pivotButton="0" quotePrefix="0" xfId="0">
      <alignment vertical="center"/>
      <protection locked="0" hidden="0"/>
    </xf>
    <xf numFmtId="0" fontId="3" fillId="12" borderId="2" applyAlignment="1" applyProtection="1" pivotButton="0" quotePrefix="0" xfId="0">
      <alignment vertical="center"/>
      <protection locked="0" hidden="0"/>
    </xf>
    <xf numFmtId="166" fontId="4" fillId="2" borderId="2" applyAlignment="1" applyProtection="1" pivotButton="0" quotePrefix="0" xfId="0">
      <alignment vertical="center"/>
      <protection locked="0" hidden="0"/>
    </xf>
    <xf numFmtId="0" fontId="13" fillId="0" borderId="0" applyAlignment="1" pivotButton="0" quotePrefix="0" xfId="0">
      <alignment vertical="center"/>
    </xf>
    <xf numFmtId="0" fontId="13" fillId="6" borderId="2" applyAlignment="1" pivotButton="0" quotePrefix="0" xfId="0">
      <alignment horizontal="left" vertical="center"/>
    </xf>
    <xf numFmtId="0" fontId="13" fillId="6" borderId="2" applyAlignment="1" pivotButton="0" quotePrefix="0" xfId="0">
      <alignment horizontal="center" vertical="center"/>
    </xf>
    <xf numFmtId="0" fontId="13" fillId="6" borderId="2" applyAlignment="1" pivotButton="0" quotePrefix="0" xfId="0">
      <alignment vertical="center"/>
    </xf>
    <xf numFmtId="0" fontId="13" fillId="12" borderId="2" applyAlignment="1" pivotButton="0" quotePrefix="0" xfId="0">
      <alignment horizontal="left" vertical="center"/>
    </xf>
    <xf numFmtId="0" fontId="13" fillId="12" borderId="2" applyAlignment="1" pivotButton="0" quotePrefix="0" xfId="0">
      <alignment horizontal="center" vertical="center"/>
    </xf>
    <xf numFmtId="0" fontId="13" fillId="12" borderId="2" applyAlignment="1" pivotButton="0" quotePrefix="0" xfId="0">
      <alignment vertical="center"/>
    </xf>
    <xf numFmtId="0" fontId="2" fillId="0" borderId="2" applyAlignment="1" pivotButton="0" quotePrefix="0" xfId="0">
      <alignment horizontal="center" vertical="center"/>
    </xf>
    <xf numFmtId="0" fontId="13" fillId="0" borderId="2" applyAlignment="1" pivotButton="0" quotePrefix="0" xfId="0">
      <alignment vertical="center"/>
    </xf>
    <xf numFmtId="0" fontId="2" fillId="0" borderId="2" applyAlignment="1" pivotButton="0" quotePrefix="0" xfId="0">
      <alignment vertical="center" wrapText="1"/>
    </xf>
    <xf numFmtId="0" fontId="8" fillId="0" borderId="2" applyAlignment="1" pivotButton="0" quotePrefix="0" xfId="0">
      <alignment horizontal="left" vertical="center"/>
    </xf>
    <xf numFmtId="0" fontId="38" fillId="0" borderId="2" applyAlignment="1" pivotButton="0" quotePrefix="0" xfId="0">
      <alignment wrapText="1"/>
    </xf>
    <xf numFmtId="0" fontId="38" fillId="0" borderId="41" applyAlignment="1" pivotButton="0" quotePrefix="0" xfId="0">
      <alignment wrapText="1"/>
    </xf>
    <xf numFmtId="0" fontId="0" fillId="0" borderId="0" applyAlignment="1" pivotButton="0" quotePrefix="0" xfId="0">
      <alignment horizontal="left" vertical="center" shrinkToFit="1"/>
    </xf>
    <xf numFmtId="0" fontId="8" fillId="27" borderId="2" applyAlignment="1" pivotButton="0" quotePrefix="0" xfId="0">
      <alignment horizontal="center" vertical="center"/>
    </xf>
    <xf numFmtId="0" fontId="39" fillId="0" borderId="0" applyAlignment="1" pivotButton="0" quotePrefix="0" xfId="0">
      <alignment horizontal="left" vertical="center"/>
    </xf>
    <xf numFmtId="0" fontId="39" fillId="0" borderId="0" applyAlignment="1" pivotButton="0" quotePrefix="0" xfId="0">
      <alignment horizontal="left" vertical="center" indent="2"/>
    </xf>
    <xf numFmtId="0" fontId="39" fillId="0" borderId="0" applyAlignment="1" pivotButton="0" quotePrefix="0" xfId="0">
      <alignment horizontal="left" vertical="center"/>
    </xf>
    <xf numFmtId="0" fontId="1" fillId="0" borderId="0" applyAlignment="1" pivotButton="0" quotePrefix="0" xfId="0">
      <alignment horizontal="left" vertical="center" shrinkToFit="1"/>
    </xf>
    <xf numFmtId="0" fontId="0" fillId="0" borderId="0" applyAlignment="1" pivotButton="0" quotePrefix="0" xfId="0">
      <alignment horizontal="left" vertical="center" shrinkToFit="1"/>
    </xf>
    <xf numFmtId="0" fontId="2" fillId="6" borderId="2" applyAlignment="1" pivotButton="0" quotePrefix="0" xfId="0">
      <alignment horizontal="left" vertical="center" shrinkToFit="1"/>
    </xf>
    <xf numFmtId="0" fontId="2" fillId="6" borderId="40" applyAlignment="1" pivotButton="0" quotePrefix="0" xfId="0">
      <alignment horizontal="left" vertical="center" shrinkToFit="1"/>
    </xf>
    <xf numFmtId="0" fontId="2" fillId="6" borderId="40" applyAlignment="1" pivotButton="0" quotePrefix="0" xfId="0">
      <alignment horizontal="left" vertical="center"/>
    </xf>
    <xf numFmtId="0" fontId="1" fillId="6" borderId="2" applyAlignment="1" pivotButton="0" quotePrefix="0" xfId="0">
      <alignment horizontal="left" vertical="center" shrinkToFit="1"/>
    </xf>
    <xf numFmtId="0" fontId="1" fillId="6" borderId="2" applyAlignment="1" pivotButton="0" quotePrefix="0" xfId="0">
      <alignment horizontal="left" vertical="center"/>
    </xf>
    <xf numFmtId="0" fontId="17" fillId="0" borderId="0" applyAlignment="1" pivotButton="0" quotePrefix="0" xfId="0">
      <alignment horizontal="left" vertical="center" shrinkToFit="1"/>
    </xf>
    <xf numFmtId="0" fontId="17" fillId="0" borderId="0" applyAlignment="1" pivotButton="0" quotePrefix="0" xfId="0">
      <alignment horizontal="left" vertical="center"/>
    </xf>
    <xf numFmtId="0" fontId="15" fillId="0" borderId="0" applyAlignment="1" pivotButton="0" quotePrefix="0" xfId="0">
      <alignment horizontal="center" vertical="top" wrapText="1"/>
    </xf>
    <xf numFmtId="0" fontId="37" fillId="0" borderId="0" applyAlignment="1" pivotButton="0" quotePrefix="0" xfId="0">
      <alignment horizontal="center" vertical="center" shrinkToFit="1"/>
    </xf>
    <xf numFmtId="0" fontId="37" fillId="26" borderId="26" applyAlignment="1" pivotButton="0" quotePrefix="0" xfId="0">
      <alignment horizontal="center" vertical="center" shrinkToFit="1"/>
    </xf>
    <xf numFmtId="0" fontId="2" fillId="0" borderId="0" applyAlignment="1" pivotButton="0" quotePrefix="0" xfId="0">
      <alignment horizontal="left" vertical="center" shrinkToFit="1"/>
    </xf>
    <xf numFmtId="0" fontId="20" fillId="28" borderId="2" applyAlignment="1" pivotButton="0" quotePrefix="0" xfId="0">
      <alignment horizontal="center" vertical="center"/>
    </xf>
    <xf numFmtId="0" fontId="20" fillId="28" borderId="2" applyAlignment="1" pivotButton="0" quotePrefix="0" xfId="0">
      <alignment horizontal="center" vertical="center" shrinkToFit="1"/>
    </xf>
    <xf numFmtId="0" fontId="20" fillId="28" borderId="2" applyAlignment="1" pivotButton="0" quotePrefix="0" xfId="0">
      <alignment horizontal="center" vertical="center" wrapText="1"/>
    </xf>
    <xf numFmtId="0" fontId="39" fillId="0" borderId="0" applyAlignment="1" pivotButton="0" quotePrefix="0" xfId="0">
      <alignment horizontal="left" vertical="center" shrinkToFit="1"/>
    </xf>
    <xf numFmtId="0" fontId="13" fillId="20" borderId="2" applyAlignment="1" pivotButton="0" quotePrefix="0" xfId="0">
      <alignment horizontal="left" vertical="center" wrapText="1"/>
    </xf>
    <xf numFmtId="0" fontId="2" fillId="20" borderId="2" applyAlignment="1" pivotButton="0" quotePrefix="0" xfId="0">
      <alignment horizontal="center" vertical="center" wrapText="1"/>
    </xf>
    <xf numFmtId="0" fontId="2" fillId="12" borderId="2" applyAlignment="1" pivotButton="0" quotePrefix="0" xfId="0">
      <alignment horizontal="center" vertical="center" shrinkToFit="1"/>
    </xf>
    <xf numFmtId="0" fontId="2" fillId="12" borderId="2" applyAlignment="1" pivotButton="0" quotePrefix="0" xfId="0">
      <alignment horizontal="center" vertical="center"/>
    </xf>
    <xf numFmtId="0" fontId="2" fillId="12" borderId="2" applyAlignment="1" applyProtection="1" pivotButton="0" quotePrefix="0" xfId="0">
      <alignment horizontal="left" vertical="center" shrinkToFit="1"/>
      <protection locked="0" hidden="0"/>
    </xf>
    <xf numFmtId="10" fontId="2" fillId="12" borderId="2" applyAlignment="1" applyProtection="1" pivotButton="0" quotePrefix="0" xfId="0">
      <alignment horizontal="right" vertical="center"/>
      <protection locked="0" hidden="0"/>
    </xf>
    <xf numFmtId="0" fontId="2" fillId="12" borderId="2" applyAlignment="1" applyProtection="1" pivotButton="0" quotePrefix="0" xfId="0">
      <alignment horizontal="center" vertical="center" shrinkToFit="1"/>
      <protection locked="0" hidden="0"/>
    </xf>
    <xf numFmtId="166" fontId="2" fillId="12" borderId="2" applyAlignment="1" applyProtection="1" pivotButton="0" quotePrefix="0" xfId="0">
      <alignment horizontal="center" vertical="center"/>
      <protection locked="0" hidden="0"/>
    </xf>
    <xf numFmtId="0" fontId="13" fillId="20" borderId="2" applyAlignment="1" pivotButton="0" quotePrefix="0" xfId="0">
      <alignment vertical="center" wrapText="1"/>
    </xf>
    <xf numFmtId="0" fontId="2" fillId="20" borderId="2" applyAlignment="1" pivotButton="0" quotePrefix="0" xfId="0">
      <alignment horizontal="left" vertical="center" wrapText="1"/>
    </xf>
    <xf numFmtId="0" fontId="17" fillId="6" borderId="0" applyAlignment="1" pivotButton="0" quotePrefix="0" xfId="0">
      <alignment horizontal="left" vertical="center"/>
    </xf>
    <xf numFmtId="43" fontId="2" fillId="12" borderId="2" applyAlignment="1" pivotButton="0" quotePrefix="0" xfId="0">
      <alignment horizontal="right" vertical="center"/>
    </xf>
    <xf numFmtId="43" fontId="2" fillId="0" borderId="2" applyAlignment="1" applyProtection="1" pivotButton="0" quotePrefix="0" xfId="0">
      <alignment horizontal="right" vertical="center"/>
      <protection locked="0" hidden="0"/>
    </xf>
    <xf numFmtId="0" fontId="40" fillId="0" borderId="0" applyAlignment="1" pivotButton="0" quotePrefix="0" xfId="6">
      <alignment horizontal="left" vertical="center"/>
    </xf>
    <xf numFmtId="0" fontId="15" fillId="28" borderId="2" applyAlignment="1" pivotButton="0" quotePrefix="0" xfId="0">
      <alignment horizontal="center" vertical="center" wrapText="1"/>
    </xf>
    <xf numFmtId="0" fontId="41" fillId="0" borderId="0" applyAlignment="1" pivotButton="0" quotePrefix="0" xfId="0">
      <alignment horizontal="left" vertical="top"/>
    </xf>
    <xf numFmtId="0" fontId="41" fillId="0" borderId="0" applyAlignment="1" pivotButton="0" quotePrefix="0" xfId="0">
      <alignment horizontal="left" vertical="top" wrapText="1"/>
    </xf>
    <xf numFmtId="10" fontId="2" fillId="0" borderId="2" applyAlignment="1" applyProtection="1" pivotButton="0" quotePrefix="0" xfId="0">
      <alignment horizontal="right" vertical="center"/>
      <protection locked="0" hidden="0"/>
    </xf>
    <xf numFmtId="0" fontId="41" fillId="0" borderId="0" applyAlignment="1" applyProtection="1" pivotButton="0" quotePrefix="0" xfId="0">
      <alignment horizontal="left" vertical="top" wrapText="1"/>
      <protection locked="0" hidden="0"/>
    </xf>
    <xf numFmtId="10" fontId="0" fillId="0" borderId="0" applyAlignment="1" applyProtection="1" pivotButton="0" quotePrefix="0" xfId="0">
      <alignment vertical="center"/>
      <protection locked="0" hidden="0"/>
    </xf>
    <xf numFmtId="0" fontId="2" fillId="12" borderId="2" applyAlignment="1" applyProtection="1" pivotButton="0" quotePrefix="0" xfId="0">
      <alignment horizontal="center" vertical="center"/>
      <protection locked="0" hidden="0"/>
    </xf>
    <xf numFmtId="0" fontId="15" fillId="0" borderId="2" applyAlignment="1" pivotButton="0" quotePrefix="0" xfId="0">
      <alignment horizontal="center" vertical="center" wrapText="1"/>
    </xf>
    <xf numFmtId="10" fontId="2" fillId="0" borderId="0" applyAlignment="1" applyProtection="1" pivotButton="0" quotePrefix="0" xfId="0">
      <alignment vertical="center"/>
      <protection locked="0" hidden="0"/>
    </xf>
    <xf numFmtId="0" fontId="39" fillId="0" borderId="0" applyAlignment="1" pivotButton="0" quotePrefix="0" xfId="0">
      <alignment horizontal="left" vertical="center" indent="3"/>
    </xf>
    <xf numFmtId="0" fontId="0" fillId="0" borderId="0" applyAlignment="1" pivotButton="0" quotePrefix="0" xfId="0">
      <alignment vertical="center" shrinkToFit="1"/>
    </xf>
    <xf numFmtId="10" fontId="0" fillId="0" borderId="0" applyAlignment="1" pivotButton="0" quotePrefix="0" xfId="0">
      <alignment vertical="center"/>
    </xf>
    <xf numFmtId="0" fontId="18" fillId="29" borderId="41" applyAlignment="1" pivotButton="0" quotePrefix="0" xfId="0">
      <alignment horizontal="left" vertical="center" wrapText="1" indent="1"/>
    </xf>
    <xf numFmtId="166" fontId="1" fillId="0" borderId="0" applyAlignment="1" pivotButton="0" quotePrefix="0" xfId="0">
      <alignment vertical="center"/>
    </xf>
    <xf numFmtId="0" fontId="42" fillId="6" borderId="41" applyAlignment="1" pivotButton="0" quotePrefix="0" xfId="0">
      <alignment vertical="center" wrapText="1"/>
    </xf>
    <xf numFmtId="0" fontId="20" fillId="29" borderId="56" applyAlignment="1" pivotButton="0" quotePrefix="0" xfId="0">
      <alignment horizontal="left" vertical="center" wrapText="1"/>
    </xf>
    <xf numFmtId="0" fontId="18" fillId="0" borderId="0" applyAlignment="1" pivotButton="0" quotePrefix="0" xfId="0">
      <alignment vertical="center" wrapText="1"/>
    </xf>
    <xf numFmtId="0" fontId="20" fillId="29" borderId="41" applyAlignment="1" pivotButton="0" quotePrefix="0" xfId="0">
      <alignment horizontal="left" vertical="center" wrapText="1"/>
    </xf>
    <xf numFmtId="0" fontId="4" fillId="0" borderId="2" applyAlignment="1" pivotButton="0" quotePrefix="0" xfId="0">
      <alignment horizontal="left" vertical="center" wrapText="1"/>
    </xf>
    <xf numFmtId="165" fontId="2" fillId="5" borderId="26" applyAlignment="1" pivotButton="0" quotePrefix="0" xfId="0">
      <alignment horizontal="center" vertical="center"/>
    </xf>
    <xf numFmtId="43" fontId="2" fillId="12" borderId="26" applyAlignment="1" pivotButton="0" quotePrefix="0" xfId="0">
      <alignment horizontal="right" vertical="center"/>
    </xf>
    <xf numFmtId="165" fontId="2" fillId="5" borderId="2" applyAlignment="1" pivotButton="0" quotePrefix="0" xfId="0">
      <alignment horizontal="center" vertical="center"/>
    </xf>
    <xf numFmtId="0" fontId="4" fillId="0" borderId="2" applyAlignment="1" pivotButton="0" quotePrefix="0" xfId="0">
      <alignment horizontal="left" vertical="center" wrapText="1"/>
    </xf>
    <xf numFmtId="0" fontId="2" fillId="20" borderId="0" applyAlignment="1" pivotButton="0" quotePrefix="0" xfId="0">
      <alignment vertical="center"/>
    </xf>
    <xf numFmtId="0" fontId="13" fillId="6" borderId="0" applyAlignment="1" pivotButton="0" quotePrefix="0" xfId="0">
      <alignment horizontal="left" vertical="center"/>
    </xf>
    <xf numFmtId="0" fontId="13" fillId="6" borderId="0" applyAlignment="1" pivotButton="0" quotePrefix="0" xfId="0">
      <alignment horizontal="center" vertical="center"/>
    </xf>
    <xf numFmtId="0" fontId="13" fillId="6" borderId="0" applyAlignment="1" pivotButton="0" quotePrefix="0" xfId="0">
      <alignment vertical="center"/>
    </xf>
    <xf numFmtId="0" fontId="2" fillId="20" borderId="0" applyAlignment="1" pivotButton="0" quotePrefix="0" xfId="0">
      <alignment vertical="center"/>
    </xf>
    <xf numFmtId="0" fontId="2" fillId="20" borderId="0" applyAlignment="1" pivotButton="0" quotePrefix="0" xfId="0">
      <alignment horizontal="left" vertical="center"/>
    </xf>
    <xf numFmtId="0" fontId="2" fillId="0" borderId="40" applyAlignment="1" pivotButton="0" quotePrefix="0" xfId="0">
      <alignment horizontal="left" vertical="center"/>
    </xf>
    <xf numFmtId="0" fontId="2" fillId="0" borderId="40" applyAlignment="1" pivotButton="0" quotePrefix="0" xfId="0">
      <alignment vertical="center"/>
    </xf>
    <xf numFmtId="0" fontId="0" fillId="2" borderId="0" applyAlignment="1" pivotButton="0" quotePrefix="0" xfId="0">
      <alignment vertical="center"/>
    </xf>
    <xf numFmtId="0" fontId="35" fillId="0" borderId="0" applyAlignment="1" pivotButton="0" quotePrefix="0" xfId="0">
      <alignment vertical="center"/>
    </xf>
    <xf numFmtId="0" fontId="0" fillId="6" borderId="0" applyAlignment="1" pivotButton="0" quotePrefix="0" xfId="0">
      <alignment vertical="center"/>
    </xf>
    <xf numFmtId="10" fontId="0" fillId="0" borderId="0" applyAlignment="1" pivotButton="0" quotePrefix="0" xfId="0">
      <alignment vertical="center"/>
    </xf>
    <xf numFmtId="0" fontId="0" fillId="2" borderId="0" applyAlignment="1" pivotButton="0" quotePrefix="0" xfId="0">
      <alignment vertical="center"/>
    </xf>
    <xf numFmtId="0" fontId="35" fillId="0" borderId="0" applyAlignment="1" pivotButton="0" quotePrefix="0" xfId="0">
      <alignment vertical="center"/>
    </xf>
    <xf numFmtId="0" fontId="2" fillId="7" borderId="3" applyAlignment="1" pivotButton="0" quotePrefix="0" xfId="0">
      <alignment horizontal="center" vertical="center"/>
    </xf>
    <xf numFmtId="0" fontId="1" fillId="30" borderId="2" applyAlignment="1" pivotButton="0" quotePrefix="0" xfId="0">
      <alignment horizontal="left" vertical="center"/>
    </xf>
    <xf numFmtId="0" fontId="2" fillId="7" borderId="45" applyAlignment="1" pivotButton="0" quotePrefix="0" xfId="0">
      <alignment horizontal="center" vertical="center"/>
    </xf>
    <xf numFmtId="0" fontId="2" fillId="7" borderId="4" applyAlignment="1" pivotButton="0" quotePrefix="0" xfId="0">
      <alignment horizontal="center" vertical="center"/>
    </xf>
    <xf numFmtId="0" fontId="1" fillId="2" borderId="0" applyAlignment="1" pivotButton="0" quotePrefix="0" xfId="0">
      <alignment vertical="center"/>
    </xf>
    <xf numFmtId="0" fontId="13" fillId="2" borderId="0" applyAlignment="1" pivotButton="0" quotePrefix="0" xfId="0">
      <alignment vertical="center"/>
    </xf>
    <xf numFmtId="0" fontId="11" fillId="22" borderId="2" applyAlignment="1" pivotButton="0" quotePrefix="0" xfId="0">
      <alignment horizontal="center" vertical="center"/>
    </xf>
    <xf numFmtId="0" fontId="8" fillId="22" borderId="48" applyAlignment="1" pivotButton="0" quotePrefix="0" xfId="0">
      <alignment horizontal="center" vertical="center"/>
    </xf>
    <xf numFmtId="0" fontId="42" fillId="0" borderId="0" applyAlignment="1" pivotButton="0" quotePrefix="0" xfId="0">
      <alignment vertical="center" wrapText="1"/>
    </xf>
    <xf numFmtId="0" fontId="8" fillId="22" borderId="2" applyAlignment="1" pivotButton="0" quotePrefix="0" xfId="0">
      <alignment horizontal="left" vertical="center"/>
    </xf>
    <xf numFmtId="10" fontId="1" fillId="0" borderId="0" applyAlignment="1" pivotButton="0" quotePrefix="0" xfId="0">
      <alignment vertical="center"/>
    </xf>
    <xf numFmtId="171" fontId="2" fillId="31" borderId="2" applyAlignment="1" pivotButton="0" quotePrefix="0" xfId="0">
      <alignment horizontal="right" vertical="center"/>
    </xf>
    <xf numFmtId="10" fontId="2" fillId="0" borderId="2" applyAlignment="1" applyProtection="1" pivotButton="0" quotePrefix="0" xfId="3">
      <alignment horizontal="right" vertical="center"/>
      <protection locked="0" hidden="0"/>
    </xf>
    <xf numFmtId="0" fontId="2" fillId="6" borderId="2" applyAlignment="1" pivotButton="0" quotePrefix="0" xfId="0">
      <alignment horizontal="center" vertical="center"/>
    </xf>
    <xf numFmtId="10" fontId="1" fillId="6" borderId="0" applyAlignment="1" pivotButton="0" quotePrefix="0" xfId="0">
      <alignment vertical="center"/>
    </xf>
    <xf numFmtId="0" fontId="24" fillId="2" borderId="0" applyAlignment="1" pivotButton="0" quotePrefix="0" xfId="0">
      <alignment vertical="center"/>
    </xf>
    <xf numFmtId="0" fontId="24" fillId="2" borderId="0" applyAlignment="1" pivotButton="0" quotePrefix="0" xfId="0">
      <alignment horizontal="left" vertical="center"/>
    </xf>
    <xf numFmtId="0" fontId="43" fillId="9" borderId="0" applyAlignment="1" pivotButton="0" quotePrefix="0" xfId="0">
      <alignment vertical="center"/>
    </xf>
    <xf numFmtId="10" fontId="24" fillId="2" borderId="0" applyAlignment="1" pivotButton="0" quotePrefix="0" xfId="0">
      <alignment vertical="center"/>
    </xf>
    <xf numFmtId="10" fontId="11" fillId="22" borderId="2" applyAlignment="1" pivotButton="0" quotePrefix="0" xfId="0">
      <alignment horizontal="center" vertical="center"/>
    </xf>
    <xf numFmtId="10" fontId="11" fillId="22" borderId="2" applyAlignment="1" pivotButton="0" quotePrefix="0" xfId="0">
      <alignment vertical="center"/>
    </xf>
    <xf numFmtId="0" fontId="8" fillId="22" borderId="50" applyAlignment="1" pivotButton="0" quotePrefix="0" xfId="0">
      <alignment horizontal="center" vertical="center"/>
    </xf>
    <xf numFmtId="171" fontId="8" fillId="22" borderId="2" applyAlignment="1" pivotButton="0" quotePrefix="0" xfId="0">
      <alignment horizontal="right" vertical="center"/>
    </xf>
    <xf numFmtId="0" fontId="8" fillId="22" borderId="2" applyAlignment="1" pivotButton="0" quotePrefix="0" xfId="0">
      <alignment horizontal="left" vertical="center"/>
    </xf>
    <xf numFmtId="0" fontId="8" fillId="22" borderId="2" applyAlignment="1" applyProtection="1" pivotButton="0" quotePrefix="0" xfId="0">
      <alignment horizontal="center" vertical="center"/>
      <protection locked="0" hidden="0"/>
    </xf>
    <xf numFmtId="171" fontId="2" fillId="31" borderId="2" applyAlignment="1" applyProtection="1" pivotButton="0" quotePrefix="0" xfId="0">
      <alignment horizontal="right" vertical="center"/>
      <protection locked="0" hidden="0"/>
    </xf>
    <xf numFmtId="43" fontId="7" fillId="20" borderId="3" applyAlignment="1" pivotButton="0" quotePrefix="0" xfId="52">
      <alignment horizontal="center" vertical="center" wrapText="1"/>
    </xf>
    <xf numFmtId="43" fontId="7" fillId="20" borderId="45" applyAlignment="1" pivotButton="0" quotePrefix="0" xfId="52">
      <alignment horizontal="center" vertical="center" wrapText="1"/>
    </xf>
    <xf numFmtId="43" fontId="7" fillId="20" borderId="2" applyAlignment="1" pivotButton="0" quotePrefix="0" xfId="52">
      <alignment horizontal="center" vertical="center" wrapText="1"/>
    </xf>
    <xf numFmtId="43" fontId="7" fillId="20" borderId="4" applyAlignment="1" pivotButton="0" quotePrefix="0" xfId="52">
      <alignment horizontal="center" vertical="center" wrapText="1"/>
    </xf>
    <xf numFmtId="0" fontId="11" fillId="2" borderId="0" applyAlignment="1" pivotButton="0" quotePrefix="0" xfId="0">
      <alignment horizontal="right" vertical="center"/>
    </xf>
    <xf numFmtId="0" fontId="1" fillId="15" borderId="0" applyAlignment="1" pivotButton="0" quotePrefix="0" xfId="0">
      <alignment vertical="center"/>
    </xf>
    <xf numFmtId="0" fontId="8" fillId="22" borderId="0" applyAlignment="1" pivotButton="0" quotePrefix="0" xfId="0">
      <alignment horizontal="left" vertical="center" indent="1"/>
    </xf>
    <xf numFmtId="0" fontId="4" fillId="4" borderId="48" applyAlignment="1" pivotButton="0" quotePrefix="0" xfId="0">
      <alignment horizontal="center" vertical="center"/>
    </xf>
    <xf numFmtId="0" fontId="1" fillId="32" borderId="0" applyAlignment="1" pivotButton="0" quotePrefix="0" xfId="0">
      <alignment horizontal="left" vertical="center"/>
    </xf>
    <xf numFmtId="0" fontId="4" fillId="4" borderId="1" applyAlignment="1" pivotButton="0" quotePrefix="0" xfId="0">
      <alignment horizontal="center" vertical="center"/>
    </xf>
    <xf numFmtId="0" fontId="4" fillId="4" borderId="50" applyAlignment="1" pivotButton="0" quotePrefix="0" xfId="0">
      <alignment horizontal="center" vertical="center"/>
    </xf>
    <xf numFmtId="0" fontId="2" fillId="0" borderId="3" applyAlignment="1" pivotButton="0" quotePrefix="0" xfId="0">
      <alignment vertical="center"/>
    </xf>
    <xf numFmtId="0" fontId="33" fillId="0" borderId="2" applyAlignment="1" pivotButton="0" quotePrefix="0" xfId="0">
      <alignment vertical="center"/>
    </xf>
    <xf numFmtId="0" fontId="2" fillId="0" borderId="3" applyAlignment="1" pivotButton="0" quotePrefix="0" xfId="0">
      <alignment vertical="center"/>
    </xf>
    <xf numFmtId="169" fontId="7" fillId="20" borderId="5" applyAlignment="1" pivotButton="0" quotePrefix="0" xfId="0">
      <alignment horizontal="center" vertical="center"/>
    </xf>
    <xf numFmtId="169" fontId="7" fillId="20" borderId="6" applyAlignment="1" pivotButton="0" quotePrefix="0" xfId="0">
      <alignment horizontal="center" vertical="center"/>
    </xf>
    <xf numFmtId="0" fontId="7" fillId="16" borderId="6" applyAlignment="1" pivotButton="0" quotePrefix="0" xfId="0">
      <alignment horizontal="left" vertical="center"/>
    </xf>
    <xf numFmtId="0" fontId="14" fillId="0" borderId="0" applyAlignment="1" pivotButton="0" quotePrefix="0" xfId="0">
      <alignment vertical="center"/>
    </xf>
    <xf numFmtId="0" fontId="4" fillId="16" borderId="6" applyAlignment="1" pivotButton="0" quotePrefix="0" xfId="0">
      <alignment horizontal="left" vertical="center"/>
    </xf>
    <xf numFmtId="0" fontId="12" fillId="0" borderId="0" applyAlignment="1" pivotButton="0" quotePrefix="0" xfId="0">
      <alignment horizontal="center" vertical="center"/>
    </xf>
    <xf numFmtId="169" fontId="7" fillId="20" borderId="10" applyAlignment="1" pivotButton="0" quotePrefix="0" xfId="0">
      <alignment horizontal="center" vertical="center"/>
    </xf>
    <xf numFmtId="169" fontId="7" fillId="20" borderId="2" applyAlignment="1" pivotButton="0" quotePrefix="0" xfId="0">
      <alignment horizontal="center" vertical="center"/>
    </xf>
    <xf numFmtId="0" fontId="4" fillId="20" borderId="2" applyAlignment="1" pivotButton="0" quotePrefix="0" xfId="50">
      <alignment horizontal="right" vertical="center"/>
    </xf>
    <xf numFmtId="0" fontId="4" fillId="16" borderId="2" applyAlignment="1" pivotButton="0" quotePrefix="0" xfId="0">
      <alignment horizontal="center" vertical="center"/>
    </xf>
    <xf numFmtId="43" fontId="8" fillId="11" borderId="2" applyAlignment="1" pivotButton="0" quotePrefix="0" xfId="1">
      <alignment horizontal="right" vertical="center"/>
    </xf>
    <xf numFmtId="169" fontId="7" fillId="20" borderId="12" applyAlignment="1" pivotButton="0" quotePrefix="0" xfId="0">
      <alignment horizontal="center" vertical="center"/>
    </xf>
    <xf numFmtId="169" fontId="7" fillId="20" borderId="13" applyAlignment="1" pivotButton="0" quotePrefix="0" xfId="0">
      <alignment horizontal="center" vertical="center"/>
    </xf>
    <xf numFmtId="0" fontId="2" fillId="0" borderId="13" applyAlignment="1" pivotButton="0" quotePrefix="0" xfId="0">
      <alignment vertical="center"/>
    </xf>
    <xf numFmtId="0" fontId="2" fillId="2" borderId="13" applyAlignment="1" pivotButton="0" quotePrefix="0" xfId="0">
      <alignment horizontal="left" vertical="center"/>
    </xf>
    <xf numFmtId="0" fontId="8" fillId="12" borderId="13" applyAlignment="1" pivotButton="0" quotePrefix="0" xfId="0">
      <alignment horizontal="right" vertical="center" indent="1"/>
    </xf>
    <xf numFmtId="0" fontId="8" fillId="12" borderId="13" applyAlignment="1" pivotButton="0" quotePrefix="0" xfId="0">
      <alignment vertical="center"/>
    </xf>
    <xf numFmtId="0" fontId="8" fillId="12" borderId="13" applyAlignment="1" pivotButton="0" quotePrefix="0" xfId="0">
      <alignment horizontal="right" vertical="center"/>
    </xf>
    <xf numFmtId="0" fontId="8" fillId="33" borderId="13" applyAlignment="1" pivotButton="0" quotePrefix="0" xfId="0">
      <alignment vertical="center"/>
    </xf>
    <xf numFmtId="0" fontId="0" fillId="34" borderId="2" applyAlignment="1" pivotButton="0" quotePrefix="0" xfId="0">
      <alignment vertical="center"/>
    </xf>
    <xf numFmtId="0" fontId="2" fillId="34" borderId="2" applyAlignment="1" pivotButton="0" quotePrefix="0" xfId="0">
      <alignment vertical="center"/>
    </xf>
    <xf numFmtId="0" fontId="7" fillId="34" borderId="2" applyAlignment="1" pivotButton="0" quotePrefix="0" xfId="0">
      <alignment vertical="center"/>
    </xf>
    <xf numFmtId="0" fontId="7" fillId="35" borderId="2" applyAlignment="1" pivotButton="0" quotePrefix="0" xfId="0">
      <alignment horizontal="center" vertical="center"/>
    </xf>
    <xf numFmtId="0" fontId="2" fillId="34" borderId="2" applyAlignment="1" pivotButton="0" quotePrefix="0" xfId="0">
      <alignment horizontal="left" vertical="center"/>
    </xf>
    <xf numFmtId="0" fontId="14" fillId="34" borderId="2" applyAlignment="1" pivotButton="0" quotePrefix="0" xfId="0">
      <alignment vertical="center"/>
    </xf>
    <xf numFmtId="0" fontId="2" fillId="34" borderId="2" applyAlignment="1" pivotButton="0" quotePrefix="0" xfId="0">
      <alignment horizontal="left" vertical="center" indent="7"/>
    </xf>
    <xf numFmtId="0" fontId="7" fillId="35" borderId="2" applyAlignment="1" pivotButton="0" quotePrefix="0" xfId="0">
      <alignment vertical="center"/>
    </xf>
    <xf numFmtId="165" fontId="2" fillId="34" borderId="2" applyAlignment="1" pivotButton="0" quotePrefix="0" xfId="0">
      <alignment horizontal="center" vertical="center"/>
    </xf>
    <xf numFmtId="0" fontId="2" fillId="34" borderId="2" applyAlignment="1" pivotButton="0" quotePrefix="0" xfId="0">
      <alignment horizontal="left" vertical="center" indent="8"/>
    </xf>
    <xf numFmtId="0" fontId="4" fillId="35" borderId="2" applyAlignment="1" pivotButton="0" quotePrefix="0" xfId="0">
      <alignment horizontal="left" vertical="center"/>
    </xf>
    <xf numFmtId="0" fontId="44" fillId="35" borderId="2" applyAlignment="1" pivotButton="0" quotePrefix="0" xfId="0">
      <alignment horizontal="left" vertical="center"/>
    </xf>
    <xf numFmtId="0" fontId="2" fillId="34" borderId="2" applyAlignment="1" pivotButton="0" quotePrefix="0" xfId="0">
      <alignment horizontal="left" vertical="center" indent="9"/>
    </xf>
    <xf numFmtId="0" fontId="2" fillId="34" borderId="2" applyAlignment="1" pivotButton="0" quotePrefix="0" xfId="0">
      <alignment horizontal="left" vertical="center" indent="10"/>
    </xf>
    <xf numFmtId="0" fontId="12" fillId="34" borderId="2" applyAlignment="1" pivotButton="0" quotePrefix="0" xfId="0">
      <alignment horizontal="center" vertical="center"/>
    </xf>
    <xf numFmtId="0" fontId="2" fillId="34" borderId="2" applyAlignment="1" pivotButton="0" quotePrefix="0" xfId="0">
      <alignment vertical="center"/>
    </xf>
    <xf numFmtId="0" fontId="2" fillId="34" borderId="2" applyAlignment="1" pivotButton="0" quotePrefix="0" xfId="0">
      <alignment horizontal="left" vertical="center"/>
    </xf>
    <xf numFmtId="43" fontId="2" fillId="34" borderId="2" applyAlignment="1" applyProtection="1" pivotButton="0" quotePrefix="0" xfId="1">
      <alignment vertical="center"/>
      <protection locked="0" hidden="0"/>
    </xf>
    <xf numFmtId="43" fontId="0" fillId="34" borderId="2" applyAlignment="1" applyProtection="1" pivotButton="0" quotePrefix="0" xfId="1">
      <alignment vertical="center"/>
      <protection locked="0" hidden="0"/>
    </xf>
    <xf numFmtId="0" fontId="2" fillId="34" borderId="40" applyAlignment="1" pivotButton="0" quotePrefix="0" xfId="0">
      <alignment vertical="center"/>
    </xf>
    <xf numFmtId="0" fontId="2" fillId="34" borderId="5" applyAlignment="1" pivotButton="0" quotePrefix="0" xfId="0">
      <alignment vertical="center"/>
    </xf>
    <xf numFmtId="0" fontId="2" fillId="34" borderId="10" applyAlignment="1" pivotButton="0" quotePrefix="0" xfId="0">
      <alignment vertical="center"/>
    </xf>
    <xf numFmtId="0" fontId="2" fillId="34" borderId="6" applyAlignment="1" pivotButton="0" quotePrefix="0" xfId="0">
      <alignment vertical="center"/>
    </xf>
    <xf numFmtId="0" fontId="2" fillId="34" borderId="6" applyAlignment="1" pivotButton="0" quotePrefix="0" xfId="0">
      <alignment horizontal="left" vertical="center"/>
    </xf>
    <xf numFmtId="0" fontId="2" fillId="34" borderId="2" applyAlignment="1" pivotButton="0" quotePrefix="0" xfId="0">
      <alignment horizontal="left" vertical="center" indent="3"/>
    </xf>
    <xf numFmtId="0" fontId="2" fillId="34" borderId="2" applyAlignment="1" pivotButton="0" quotePrefix="0" xfId="0">
      <alignment horizontal="left" vertical="center" indent="4"/>
    </xf>
    <xf numFmtId="0" fontId="12" fillId="34" borderId="3" applyAlignment="1" pivotButton="0" quotePrefix="0" xfId="0">
      <alignment horizontal="center" vertical="center"/>
    </xf>
    <xf numFmtId="0" fontId="12" fillId="34" borderId="45" applyAlignment="1" pivotButton="0" quotePrefix="0" xfId="0">
      <alignment horizontal="center" vertical="center"/>
    </xf>
    <xf numFmtId="0" fontId="12" fillId="34" borderId="4" applyAlignment="1" pivotButton="0" quotePrefix="0" xfId="0">
      <alignment horizontal="center" vertical="center"/>
    </xf>
    <xf numFmtId="0" fontId="7" fillId="34" borderId="0" applyAlignment="1" pivotButton="0" quotePrefix="0" xfId="0">
      <alignment vertical="center"/>
    </xf>
    <xf numFmtId="0" fontId="2" fillId="34" borderId="26" applyAlignment="1" pivotButton="0" quotePrefix="0" xfId="0">
      <alignment vertical="center"/>
    </xf>
    <xf numFmtId="0" fontId="2" fillId="34" borderId="3" applyAlignment="1" pivotButton="0" quotePrefix="0" xfId="0">
      <alignment horizontal="center" vertical="center"/>
    </xf>
    <xf numFmtId="0" fontId="2" fillId="34" borderId="4" applyAlignment="1" pivotButton="0" quotePrefix="0" xfId="0">
      <alignment horizontal="center" vertical="center"/>
    </xf>
    <xf numFmtId="0" fontId="7" fillId="35" borderId="10" applyAlignment="1" pivotButton="0" quotePrefix="0" xfId="0">
      <alignment horizontal="center" vertical="center"/>
    </xf>
    <xf numFmtId="0" fontId="7" fillId="35" borderId="12" applyAlignment="1" pivotButton="0" quotePrefix="0" xfId="0">
      <alignment horizontal="center" vertical="center"/>
    </xf>
    <xf numFmtId="0" fontId="2" fillId="34" borderId="13" applyAlignment="1" pivotButton="0" quotePrefix="0" xfId="0">
      <alignment vertical="center"/>
    </xf>
    <xf numFmtId="0" fontId="2" fillId="36" borderId="2" applyAlignment="1" pivotButton="0" quotePrefix="0" xfId="0">
      <alignment horizontal="left" vertical="center"/>
    </xf>
    <xf numFmtId="0" fontId="2" fillId="34" borderId="13" applyAlignment="1" pivotButton="0" quotePrefix="0" xfId="0">
      <alignment horizontal="left" vertical="center"/>
    </xf>
    <xf numFmtId="43" fontId="2" fillId="34" borderId="2" applyAlignment="1" applyProtection="1" pivotButton="0" quotePrefix="0" xfId="1">
      <alignment horizontal="left" vertical="center" indent="1"/>
      <protection locked="0" hidden="0"/>
    </xf>
    <xf numFmtId="43" fontId="2" fillId="34" borderId="13" applyAlignment="1" applyProtection="1" pivotButton="0" quotePrefix="0" xfId="1">
      <alignment horizontal="left" vertical="center" indent="1"/>
      <protection locked="0" hidden="0"/>
    </xf>
    <xf numFmtId="43" fontId="0" fillId="34" borderId="2" applyAlignment="1" applyProtection="1" pivotButton="0" quotePrefix="0" xfId="1">
      <alignment horizontal="left" vertical="center" indent="1"/>
      <protection locked="0" hidden="0"/>
    </xf>
    <xf numFmtId="43" fontId="0" fillId="34" borderId="13" applyAlignment="1" applyProtection="1" pivotButton="0" quotePrefix="0" xfId="1">
      <alignment horizontal="left" vertical="center" indent="1"/>
      <protection locked="0" hidden="0"/>
    </xf>
    <xf numFmtId="0" fontId="4" fillId="16" borderId="2" applyAlignment="1" pivotButton="0" quotePrefix="0" xfId="0">
      <alignment horizontal="left" vertical="center"/>
    </xf>
    <xf numFmtId="0" fontId="13" fillId="20" borderId="6" applyAlignment="1" pivotButton="0" quotePrefix="0" xfId="0">
      <alignment horizontal="left" vertical="center"/>
    </xf>
    <xf numFmtId="0" fontId="2" fillId="33" borderId="6" applyAlignment="1" pivotButton="0" quotePrefix="0" xfId="0">
      <alignment horizontal="left" vertical="center"/>
    </xf>
    <xf numFmtId="0" fontId="2" fillId="20" borderId="6" applyAlignment="1" pivotButton="0" quotePrefix="0" xfId="0">
      <alignment horizontal="left" vertical="center"/>
    </xf>
    <xf numFmtId="0" fontId="2" fillId="16" borderId="6" applyAlignment="1" pivotButton="0" quotePrefix="0" xfId="0">
      <alignment horizontal="left" vertical="center"/>
    </xf>
    <xf numFmtId="0" fontId="8" fillId="33" borderId="13" applyAlignment="1" pivotButton="0" quotePrefix="0" xfId="0">
      <alignment vertical="center" wrapText="1"/>
    </xf>
    <xf numFmtId="0" fontId="8" fillId="12" borderId="2" applyAlignment="1" pivotButton="0" quotePrefix="0" xfId="0">
      <alignment vertical="center"/>
    </xf>
    <xf numFmtId="0" fontId="8" fillId="12" borderId="2" applyAlignment="1" pivotButton="0" quotePrefix="0" xfId="0">
      <alignment vertical="center" wrapText="1"/>
    </xf>
    <xf numFmtId="0" fontId="8" fillId="12" borderId="13" applyAlignment="1" pivotButton="0" quotePrefix="0" xfId="0">
      <alignment vertical="center" wrapText="1"/>
    </xf>
    <xf numFmtId="43" fontId="8" fillId="11" borderId="13" applyAlignment="1" pivotButton="0" quotePrefix="0" xfId="1">
      <alignment horizontal="left" vertical="center"/>
    </xf>
    <xf numFmtId="0" fontId="8" fillId="12" borderId="13" applyAlignment="1" pivotButton="0" quotePrefix="0" xfId="0">
      <alignment horizontal="left" vertical="center"/>
    </xf>
    <xf numFmtId="0" fontId="2" fillId="34" borderId="2" applyAlignment="1" pivotButton="0" quotePrefix="0" xfId="0">
      <alignment horizontal="left" vertical="center" indent="6"/>
    </xf>
    <xf numFmtId="0" fontId="2" fillId="34" borderId="2" applyAlignment="1" pivotButton="0" quotePrefix="0" xfId="0">
      <alignment horizontal="left" vertical="center" indent="5"/>
    </xf>
    <xf numFmtId="0" fontId="2" fillId="34" borderId="2" applyAlignment="1" pivotButton="0" quotePrefix="0" xfId="0">
      <alignment horizontal="left" vertical="center" indent="4"/>
    </xf>
    <xf numFmtId="0" fontId="2" fillId="34" borderId="2" applyAlignment="1" pivotButton="0" quotePrefix="0" xfId="0">
      <alignment vertical="center" wrapText="1"/>
    </xf>
    <xf numFmtId="0" fontId="2" fillId="34" borderId="2" applyAlignment="1" pivotButton="0" quotePrefix="0" xfId="0">
      <alignment horizontal="left" vertical="center" indent="3"/>
    </xf>
    <xf numFmtId="0" fontId="2" fillId="34" borderId="2" applyAlignment="1" pivotButton="0" quotePrefix="0" xfId="0">
      <alignment horizontal="left" vertical="center" indent="1"/>
    </xf>
    <xf numFmtId="0" fontId="4" fillId="35" borderId="2" applyAlignment="1" pivotButton="0" quotePrefix="0" xfId="0">
      <alignment vertical="center"/>
    </xf>
    <xf numFmtId="0" fontId="2" fillId="34" borderId="2" applyAlignment="1" pivotButton="0" quotePrefix="0" xfId="0">
      <alignment horizontal="left" vertical="center" indent="2"/>
    </xf>
    <xf numFmtId="0" fontId="7" fillId="35" borderId="2" applyAlignment="1" pivotButton="0" quotePrefix="0" xfId="0">
      <alignment horizontal="left" vertical="center"/>
    </xf>
    <xf numFmtId="0" fontId="2" fillId="34" borderId="2" applyAlignment="1" pivotButton="0" quotePrefix="0" xfId="0">
      <alignment horizontal="left" vertical="center" indent="2"/>
    </xf>
    <xf numFmtId="0" fontId="4" fillId="34" borderId="2" applyAlignment="1" pivotButton="0" quotePrefix="0" xfId="0">
      <alignment horizontal="left" vertical="center"/>
    </xf>
    <xf numFmtId="0" fontId="7" fillId="34" borderId="2" applyAlignment="1" pivotButton="0" quotePrefix="0" xfId="0">
      <alignment horizontal="left" vertical="center"/>
    </xf>
    <xf numFmtId="0" fontId="26" fillId="34" borderId="2" applyAlignment="1" pivotButton="0" quotePrefix="0" xfId="0">
      <alignment horizontal="center" vertical="center"/>
    </xf>
    <xf numFmtId="0" fontId="26" fillId="34" borderId="3" applyAlignment="1" pivotButton="0" quotePrefix="0" xfId="0">
      <alignment horizontal="center" vertical="center"/>
    </xf>
    <xf numFmtId="0" fontId="26" fillId="34" borderId="4" applyAlignment="1" pivotButton="0" quotePrefix="0" xfId="0">
      <alignment horizontal="center" vertical="center"/>
    </xf>
    <xf numFmtId="0" fontId="0" fillId="34" borderId="2" applyAlignment="1" applyProtection="1" pivotButton="0" quotePrefix="0" xfId="0">
      <alignment vertical="center"/>
      <protection locked="0" hidden="0"/>
    </xf>
    <xf numFmtId="0" fontId="26" fillId="34" borderId="2" applyAlignment="1" applyProtection="1" pivotButton="0" quotePrefix="0" xfId="0">
      <alignment horizontal="center" vertical="center"/>
      <protection locked="0" hidden="0"/>
    </xf>
    <xf numFmtId="0" fontId="2" fillId="34" borderId="2" applyAlignment="1" pivotButton="0" quotePrefix="0" xfId="0">
      <alignment horizontal="left" vertical="center" indent="5"/>
    </xf>
    <xf numFmtId="0" fontId="13" fillId="34" borderId="6" applyAlignment="1" pivotButton="0" quotePrefix="0" xfId="0">
      <alignment vertical="center"/>
    </xf>
    <xf numFmtId="0" fontId="13" fillId="34" borderId="2" applyAlignment="1" pivotButton="0" quotePrefix="0" xfId="0">
      <alignment horizontal="left" vertical="center" indent="1"/>
    </xf>
    <xf numFmtId="0" fontId="13" fillId="34" borderId="2" applyAlignment="1" pivotButton="0" quotePrefix="0" xfId="0">
      <alignment horizontal="left" vertical="center"/>
    </xf>
    <xf numFmtId="43" fontId="0" fillId="34" borderId="2" applyAlignment="1" applyProtection="1" pivotButton="0" quotePrefix="0" xfId="1">
      <alignment horizontal="left" vertical="center"/>
      <protection locked="0" hidden="0"/>
    </xf>
    <xf numFmtId="43" fontId="0" fillId="34" borderId="13" applyAlignment="1" applyProtection="1" pivotButton="0" quotePrefix="0" xfId="1">
      <alignment horizontal="left" vertical="center"/>
      <protection locked="0" hidden="0"/>
    </xf>
    <xf numFmtId="0" fontId="13" fillId="34" borderId="2" applyAlignment="1" pivotButton="0" quotePrefix="0" xfId="0">
      <alignment vertical="center"/>
    </xf>
    <xf numFmtId="43" fontId="0" fillId="34" borderId="13" applyAlignment="1" applyProtection="1" pivotButton="0" quotePrefix="0" xfId="1">
      <alignment vertical="center"/>
      <protection locked="0" hidden="0"/>
    </xf>
    <xf numFmtId="43" fontId="0" fillId="34" borderId="2" applyAlignment="1" applyProtection="1" pivotButton="0" quotePrefix="0" xfId="1">
      <alignment vertical="center"/>
      <protection locked="0" hidden="0"/>
    </xf>
    <xf numFmtId="43" fontId="0" fillId="34" borderId="13" applyAlignment="1" applyProtection="1" pivotButton="0" quotePrefix="0" xfId="1">
      <alignment vertical="center"/>
      <protection locked="0" hidden="0"/>
    </xf>
    <xf numFmtId="43" fontId="0" fillId="34" borderId="2" applyAlignment="1" pivotButton="0" quotePrefix="0" xfId="1">
      <alignment vertical="center"/>
    </xf>
    <xf numFmtId="0" fontId="4" fillId="34" borderId="2" applyAlignment="1" pivotButton="0" quotePrefix="0" xfId="0">
      <alignment vertical="center"/>
    </xf>
    <xf numFmtId="0" fontId="0" fillId="34" borderId="0" applyAlignment="1" pivotButton="0" quotePrefix="0" xfId="0">
      <alignment vertical="center"/>
    </xf>
    <xf numFmtId="43" fontId="0" fillId="6" borderId="2" applyAlignment="1" pivotButton="0" quotePrefix="0" xfId="1">
      <alignment vertical="center"/>
    </xf>
    <xf numFmtId="0" fontId="22" fillId="34" borderId="2" applyAlignment="1" pivotButton="0" quotePrefix="0" xfId="0">
      <alignment vertical="center"/>
    </xf>
    <xf numFmtId="0" fontId="2" fillId="34" borderId="15" applyAlignment="1" pivotButton="0" quotePrefix="0" xfId="0">
      <alignment vertical="center"/>
    </xf>
    <xf numFmtId="0" fontId="2" fillId="34" borderId="11" applyAlignment="1" pivotButton="0" quotePrefix="0" xfId="0">
      <alignment horizontal="left" vertical="center" indent="1"/>
    </xf>
    <xf numFmtId="0" fontId="2" fillId="34" borderId="26" applyAlignment="1" pivotButton="0" quotePrefix="0" xfId="0">
      <alignment horizontal="left" vertical="center" indent="5"/>
    </xf>
    <xf numFmtId="0" fontId="2" fillId="34" borderId="11" applyAlignment="1" pivotButton="0" quotePrefix="0" xfId="0">
      <alignment vertical="center"/>
    </xf>
    <xf numFmtId="43" fontId="0" fillId="34" borderId="11" applyAlignment="1" applyProtection="1" pivotButton="0" quotePrefix="0" xfId="1">
      <alignment vertical="center"/>
      <protection locked="0" hidden="0"/>
    </xf>
    <xf numFmtId="43" fontId="0" fillId="34" borderId="14" applyAlignment="1" applyProtection="1" pivotButton="0" quotePrefix="0" xfId="1">
      <alignment vertical="center"/>
      <protection locked="0" hidden="0"/>
    </xf>
    <xf numFmtId="43" fontId="0" fillId="34" borderId="26" applyAlignment="1" applyProtection="1" pivotButton="0" quotePrefix="0" xfId="1">
      <alignment vertical="center"/>
      <protection locked="0" hidden="0"/>
    </xf>
    <xf numFmtId="173" fontId="0" fillId="0" borderId="0" applyAlignment="1" pivotButton="0" quotePrefix="0" xfId="0">
      <alignment vertical="center"/>
    </xf>
    <xf numFmtId="0" fontId="22" fillId="0" borderId="2" applyAlignment="1" pivotButton="0" quotePrefix="0" xfId="0">
      <alignment vertical="center"/>
    </xf>
    <xf numFmtId="0" fontId="6" fillId="22" borderId="55" applyAlignment="1" pivotButton="0" quotePrefix="0" xfId="56">
      <alignment horizontal="left" vertical="center" shrinkToFit="1"/>
    </xf>
    <xf numFmtId="0" fontId="7" fillId="0" borderId="2" applyAlignment="1" pivotButton="0" quotePrefix="0" xfId="52">
      <alignment horizontal="center" vertical="center"/>
    </xf>
    <xf numFmtId="173" fontId="1" fillId="0" borderId="0" applyAlignment="1" pivotButton="0" quotePrefix="0" xfId="0">
      <alignment vertical="center"/>
    </xf>
    <xf numFmtId="173" fontId="2" fillId="6" borderId="2" applyAlignment="1" pivotButton="0" quotePrefix="0" xfId="0">
      <alignment vertical="center"/>
    </xf>
    <xf numFmtId="173" fontId="1" fillId="6" borderId="2" applyAlignment="1" pivotButton="0" quotePrefix="0" xfId="0">
      <alignment vertical="center"/>
    </xf>
    <xf numFmtId="173" fontId="24" fillId="0" borderId="0" applyAlignment="1" pivotButton="0" quotePrefix="0" xfId="0">
      <alignment vertical="center"/>
    </xf>
    <xf numFmtId="173" fontId="2" fillId="0" borderId="0" applyAlignment="1" pivotButton="0" quotePrefix="0" xfId="0">
      <alignment vertical="center"/>
    </xf>
    <xf numFmtId="173" fontId="7" fillId="20" borderId="2" applyAlignment="1" pivotButton="0" quotePrefix="0" xfId="52">
      <alignment horizontal="center" vertical="center"/>
    </xf>
    <xf numFmtId="43" fontId="7" fillId="0" borderId="2" applyAlignment="1" pivotButton="0" quotePrefix="0" xfId="52">
      <alignment horizontal="center" vertical="center"/>
    </xf>
    <xf numFmtId="173" fontId="0" fillId="0" borderId="0" applyAlignment="1" pivotButton="0" quotePrefix="0" xfId="0">
      <alignment vertical="center"/>
    </xf>
    <xf numFmtId="173" fontId="13" fillId="20" borderId="2" applyAlignment="1" pivotButton="0" quotePrefix="0" xfId="0">
      <alignment horizontal="center" vertical="center"/>
    </xf>
    <xf numFmtId="43" fontId="2" fillId="12" borderId="2" applyAlignment="1" pivotButton="0" quotePrefix="0" xfId="1">
      <alignment horizontal="right" vertical="center"/>
    </xf>
    <xf numFmtId="0" fontId="45" fillId="0" borderId="2" applyAlignment="1" pivotButton="0" quotePrefix="0" xfId="0">
      <alignment vertical="center"/>
    </xf>
    <xf numFmtId="0" fontId="0" fillId="0" borderId="2" applyAlignment="1" pivotButton="0" quotePrefix="0" xfId="0">
      <alignment horizontal="left" vertical="center"/>
    </xf>
    <xf numFmtId="166" fontId="0" fillId="6" borderId="2" applyAlignment="1" pivotButton="0" quotePrefix="0" xfId="0">
      <alignment vertical="center"/>
    </xf>
    <xf numFmtId="43" fontId="0" fillId="0" borderId="2" applyAlignment="1" pivotButton="0" quotePrefix="0" xfId="0">
      <alignment horizontal="left" vertical="center"/>
    </xf>
    <xf numFmtId="0" fontId="6" fillId="22" borderId="57" applyAlignment="1" pivotButton="0" quotePrefix="0" xfId="56">
      <alignment horizontal="left" vertical="center" shrinkToFit="1"/>
    </xf>
    <xf numFmtId="0" fontId="6" fillId="22" borderId="2" applyAlignment="1" pivotButton="0" quotePrefix="0" xfId="56">
      <alignment horizontal="left" vertical="center" shrinkToFit="1"/>
    </xf>
    <xf numFmtId="0" fontId="7" fillId="22" borderId="2" applyAlignment="1" pivotButton="0" quotePrefix="0" xfId="0">
      <alignment horizontal="left" vertical="center" indent="2"/>
    </xf>
    <xf numFmtId="0" fontId="2" fillId="0" borderId="0" applyAlignment="1" pivotButton="0" quotePrefix="0" xfId="0">
      <alignment horizontal="left" vertical="center" indent="6"/>
    </xf>
    <xf numFmtId="0" fontId="27" fillId="0" borderId="0" applyAlignment="1" pivotButton="0" quotePrefix="0" xfId="0">
      <alignment vertical="center"/>
    </xf>
    <xf numFmtId="43" fontId="0" fillId="25" borderId="2" applyAlignment="1" applyProtection="1" pivotButton="0" quotePrefix="0" xfId="1">
      <alignment vertical="center"/>
      <protection locked="0" hidden="0"/>
    </xf>
    <xf numFmtId="0" fontId="1" fillId="2" borderId="0" applyAlignment="1" applyProtection="1" pivotButton="0" quotePrefix="0" xfId="0">
      <alignment vertical="center"/>
      <protection locked="0" hidden="0"/>
    </xf>
    <xf numFmtId="0" fontId="0" fillId="2" borderId="0" applyAlignment="1" applyProtection="1" pivotButton="0" quotePrefix="0" xfId="0">
      <alignment vertical="center"/>
      <protection locked="0" hidden="0"/>
    </xf>
    <xf numFmtId="0" fontId="2" fillId="2" borderId="0" applyAlignment="1" applyProtection="1" pivotButton="0" quotePrefix="0" xfId="0">
      <alignment vertical="center"/>
      <protection locked="0" hidden="0"/>
    </xf>
    <xf numFmtId="0" fontId="2" fillId="2" borderId="0" applyAlignment="1" pivotButton="0" quotePrefix="0" xfId="0">
      <alignment vertical="center"/>
    </xf>
    <xf numFmtId="14" fontId="1" fillId="0" borderId="0" applyAlignment="1" pivotButton="0" quotePrefix="0" xfId="0">
      <alignment vertical="center"/>
    </xf>
    <xf numFmtId="14" fontId="1" fillId="6" borderId="0" applyAlignment="1" pivotButton="0" quotePrefix="0" xfId="0">
      <alignment vertical="center"/>
    </xf>
    <xf numFmtId="0" fontId="44" fillId="22" borderId="2" applyAlignment="1" pivotButton="0" quotePrefix="0" xfId="0">
      <alignment horizontal="left" vertical="center" indent="4"/>
    </xf>
    <xf numFmtId="43" fontId="7" fillId="6" borderId="2" applyAlignment="1" pivotButton="0" quotePrefix="0" xfId="52">
      <alignment horizontal="center" vertical="center"/>
    </xf>
    <xf numFmtId="0" fontId="4" fillId="22" borderId="2" applyAlignment="1" pivotButton="0" quotePrefix="0" xfId="0">
      <alignment horizontal="left" vertical="center" indent="10"/>
    </xf>
    <xf numFmtId="0" fontId="44" fillId="22" borderId="2" applyAlignment="1" pivotButton="0" quotePrefix="0" xfId="0">
      <alignment horizontal="left" vertical="center" indent="3"/>
    </xf>
    <xf numFmtId="166" fontId="2" fillId="12" borderId="2" applyAlignment="1" pivotButton="0" quotePrefix="0" xfId="0">
      <alignment horizontal="right" vertical="center"/>
    </xf>
    <xf numFmtId="0" fontId="7" fillId="2" borderId="3" applyAlignment="1" pivotButton="0" quotePrefix="0" xfId="0">
      <alignment horizontal="left" vertical="center"/>
    </xf>
    <xf numFmtId="165" fontId="2" fillId="0" borderId="0" applyAlignment="1" pivotButton="0" quotePrefix="0" xfId="0">
      <alignment horizontal="center" vertical="center"/>
    </xf>
    <xf numFmtId="166" fontId="2" fillId="0" borderId="0" applyAlignment="1" pivotButton="0" quotePrefix="0" xfId="0">
      <alignment horizontal="right" vertical="center"/>
    </xf>
    <xf numFmtId="166" fontId="2" fillId="0" borderId="0" applyAlignment="1" applyProtection="1" pivotButton="0" quotePrefix="0" xfId="0">
      <alignment horizontal="right" vertical="center"/>
      <protection locked="0" hidden="0"/>
    </xf>
    <xf numFmtId="165" fontId="2" fillId="2" borderId="2" applyAlignment="1" pivotButton="0" quotePrefix="0" xfId="0">
      <alignment horizontal="center" vertical="center"/>
    </xf>
    <xf numFmtId="166" fontId="2" fillId="2" borderId="2" applyAlignment="1" pivotButton="0" quotePrefix="0" xfId="0">
      <alignment horizontal="right" vertical="center"/>
    </xf>
    <xf numFmtId="166" fontId="2" fillId="2" borderId="2" applyAlignment="1" applyProtection="1" pivotButton="0" quotePrefix="0" xfId="0">
      <alignment horizontal="right" vertical="center"/>
      <protection locked="0" hidden="0"/>
    </xf>
    <xf numFmtId="166" fontId="4" fillId="0" borderId="0" applyAlignment="1" applyProtection="1" pivotButton="0" quotePrefix="0" xfId="0">
      <alignment horizontal="right" vertical="center"/>
      <protection locked="0" hidden="0"/>
    </xf>
    <xf numFmtId="166" fontId="4" fillId="2" borderId="2" applyAlignment="1" applyProtection="1" pivotButton="0" quotePrefix="0" xfId="0">
      <alignment horizontal="right" vertical="center"/>
      <protection locked="0" hidden="0"/>
    </xf>
    <xf numFmtId="43" fontId="2" fillId="25" borderId="2" applyAlignment="1" applyProtection="1" pivotButton="0" quotePrefix="0" xfId="1">
      <alignment horizontal="right" vertical="center"/>
      <protection locked="0" hidden="0"/>
    </xf>
    <xf numFmtId="43" fontId="0" fillId="12" borderId="2" applyAlignment="1" applyProtection="1" pivotButton="0" quotePrefix="0" xfId="1">
      <alignment vertical="center"/>
      <protection locked="0" hidden="0"/>
    </xf>
    <xf numFmtId="0" fontId="0" fillId="2" borderId="2" applyAlignment="1" applyProtection="1" pivotButton="0" quotePrefix="0" xfId="0">
      <alignment vertical="center"/>
      <protection locked="0" hidden="0"/>
    </xf>
    <xf numFmtId="0" fontId="0" fillId="2" borderId="2" applyAlignment="1" pivotButton="0" quotePrefix="0" xfId="0">
      <alignment vertical="center"/>
    </xf>
    <xf numFmtId="0" fontId="11" fillId="22" borderId="2" applyAlignment="1" pivotButton="0" quotePrefix="0" xfId="0">
      <alignment horizontal="left" vertical="center"/>
    </xf>
    <xf numFmtId="0" fontId="44" fillId="22" borderId="2" applyAlignment="1" pivotButton="0" quotePrefix="0" xfId="0">
      <alignment horizontal="left" vertical="center"/>
    </xf>
    <xf numFmtId="0" fontId="8" fillId="22" borderId="2" applyAlignment="1" pivotButton="0" quotePrefix="0" xfId="0">
      <alignment horizontal="left" vertical="center" indent="4"/>
    </xf>
    <xf numFmtId="0" fontId="8" fillId="22" borderId="2" applyAlignment="1" pivotButton="0" quotePrefix="0" xfId="0">
      <alignment horizontal="left" vertical="center" indent="7"/>
    </xf>
    <xf numFmtId="173" fontId="2" fillId="6" borderId="40" applyAlignment="1" pivotButton="0" quotePrefix="0" xfId="0">
      <alignment vertical="center"/>
    </xf>
    <xf numFmtId="173" fontId="1" fillId="6" borderId="40" applyAlignment="1" pivotButton="0" quotePrefix="0" xfId="0">
      <alignment vertical="center"/>
    </xf>
    <xf numFmtId="173" fontId="13" fillId="0" borderId="0" applyAlignment="1" pivotButton="0" quotePrefix="0" xfId="0">
      <alignment vertical="center"/>
    </xf>
    <xf numFmtId="173" fontId="7" fillId="20" borderId="40" applyAlignment="1" pivotButton="0" quotePrefix="0" xfId="52">
      <alignment horizontal="center" vertical="center"/>
    </xf>
    <xf numFmtId="173" fontId="7" fillId="20" borderId="3" applyAlignment="1" pivotButton="0" quotePrefix="0" xfId="52">
      <alignment horizontal="center" vertical="center"/>
    </xf>
    <xf numFmtId="173" fontId="7" fillId="20" borderId="45" applyAlignment="1" pivotButton="0" quotePrefix="0" xfId="52">
      <alignment horizontal="center" vertical="center"/>
    </xf>
    <xf numFmtId="173" fontId="7" fillId="20" borderId="26" applyAlignment="1" pivotButton="0" quotePrefix="0" xfId="52">
      <alignment horizontal="center" vertical="center"/>
    </xf>
    <xf numFmtId="173" fontId="4" fillId="2" borderId="2" applyAlignment="1" pivotButton="0" quotePrefix="0" xfId="52">
      <alignment horizontal="center" vertical="center"/>
    </xf>
    <xf numFmtId="173" fontId="2" fillId="0" borderId="2" applyAlignment="1" pivotButton="0" quotePrefix="0" xfId="0">
      <alignment vertical="center"/>
    </xf>
    <xf numFmtId="173" fontId="2" fillId="2" borderId="2" applyAlignment="1" pivotButton="0" quotePrefix="0" xfId="0">
      <alignment vertical="center"/>
    </xf>
    <xf numFmtId="173" fontId="7" fillId="20" borderId="4" applyAlignment="1" pivotButton="0" quotePrefix="0" xfId="52">
      <alignment horizontal="center" vertical="center"/>
    </xf>
    <xf numFmtId="173" fontId="13" fillId="20" borderId="3" applyAlignment="1" pivotButton="0" quotePrefix="0" xfId="0">
      <alignment horizontal="center" vertical="center"/>
    </xf>
    <xf numFmtId="173" fontId="7" fillId="0" borderId="0" applyAlignment="1" pivotButton="0" quotePrefix="0" xfId="0">
      <alignment vertical="center"/>
    </xf>
    <xf numFmtId="173" fontId="13" fillId="20" borderId="45" applyAlignment="1" pivotButton="0" quotePrefix="0" xfId="0">
      <alignment horizontal="center" vertical="center"/>
    </xf>
    <xf numFmtId="173" fontId="13" fillId="20" borderId="4" applyAlignment="1" pivotButton="0" quotePrefix="0" xfId="0">
      <alignment horizontal="center" vertical="center"/>
    </xf>
    <xf numFmtId="0" fontId="1" fillId="5" borderId="2" applyAlignment="1" pivotButton="0" quotePrefix="0" xfId="0">
      <alignment horizontal="center" vertical="center"/>
    </xf>
    <xf numFmtId="0" fontId="1" fillId="5" borderId="2" applyAlignment="1" pivotButton="0" quotePrefix="0" xfId="0">
      <alignment horizontal="left" vertical="center"/>
    </xf>
    <xf numFmtId="0" fontId="1" fillId="37" borderId="0" applyAlignment="1" pivotButton="0" quotePrefix="0" xfId="0">
      <alignment vertical="center"/>
    </xf>
    <xf numFmtId="0" fontId="7" fillId="20" borderId="40" applyAlignment="1" pivotButton="0" quotePrefix="0" xfId="0">
      <alignment horizontal="center" vertical="center"/>
    </xf>
    <xf numFmtId="0" fontId="7" fillId="20" borderId="54" applyAlignment="1" pivotButton="0" quotePrefix="0" xfId="0">
      <alignment horizontal="center" vertical="center"/>
    </xf>
    <xf numFmtId="0" fontId="4" fillId="37" borderId="2" applyAlignment="1" pivotButton="0" quotePrefix="0" xfId="0">
      <alignment horizontal="center" vertical="center"/>
    </xf>
    <xf numFmtId="0" fontId="1" fillId="0" borderId="0" applyAlignment="1" pivotButton="0" quotePrefix="0" xfId="0">
      <alignment horizontal="left" vertical="center" indent="2"/>
    </xf>
    <xf numFmtId="0" fontId="1" fillId="0" borderId="0" applyAlignment="1" pivotButton="0" quotePrefix="0" xfId="0">
      <alignment horizontal="left" vertical="center" indent="1"/>
    </xf>
    <xf numFmtId="0" fontId="2" fillId="20" borderId="2" pivotButton="0" quotePrefix="0" xfId="0"/>
    <xf numFmtId="0" fontId="1" fillId="0" borderId="0" applyAlignment="1" pivotButton="0" quotePrefix="0" xfId="0">
      <alignment horizontal="left" vertical="center" indent="3"/>
    </xf>
    <xf numFmtId="0" fontId="4" fillId="20" borderId="2" pivotButton="0" quotePrefix="0" xfId="0"/>
    <xf numFmtId="0" fontId="5" fillId="6" borderId="2" applyAlignment="1" pivotButton="0" quotePrefix="0" xfId="0">
      <alignment horizontal="center" vertical="center"/>
    </xf>
    <xf numFmtId="0" fontId="5" fillId="0" borderId="0" applyAlignment="1" pivotButton="0" quotePrefix="0" xfId="0">
      <alignment vertical="center" wrapText="1"/>
    </xf>
    <xf numFmtId="0" fontId="46" fillId="0" borderId="0" applyAlignment="1" pivotButton="0" quotePrefix="0" xfId="0">
      <alignment horizontal="left" vertical="center" wrapText="1"/>
    </xf>
    <xf numFmtId="0" fontId="9" fillId="0" borderId="0" applyAlignment="1" pivotButton="0" quotePrefix="0" xfId="0">
      <alignment horizontal="left" vertical="center" wrapText="1"/>
    </xf>
    <xf numFmtId="0" fontId="19" fillId="0" borderId="0" applyAlignment="1" pivotButton="0" quotePrefix="0" xfId="0">
      <alignment horizontal="left" vertical="center" wrapText="1"/>
    </xf>
    <xf numFmtId="0" fontId="7" fillId="20" borderId="3" applyAlignment="1" pivotButton="0" quotePrefix="0" xfId="0">
      <alignment horizontal="center" vertical="center"/>
    </xf>
    <xf numFmtId="0" fontId="7" fillId="20" borderId="45" applyAlignment="1" pivotButton="0" quotePrefix="0" xfId="0">
      <alignment horizontal="center" vertical="center"/>
    </xf>
    <xf numFmtId="0" fontId="11" fillId="22" borderId="3" applyAlignment="1" pivotButton="0" quotePrefix="0" xfId="0">
      <alignment horizontal="center" vertical="center" wrapText="1"/>
    </xf>
    <xf numFmtId="0" fontId="11" fillId="22" borderId="45" applyAlignment="1" pivotButton="0" quotePrefix="0" xfId="0">
      <alignment horizontal="center" vertical="center" wrapText="1"/>
    </xf>
    <xf numFmtId="0" fontId="11" fillId="22" borderId="2" applyAlignment="1" pivotButton="0" quotePrefix="0" xfId="0">
      <alignment horizontal="center" vertical="center" wrapText="1"/>
    </xf>
    <xf numFmtId="0" fontId="4" fillId="37" borderId="2" applyAlignment="1" pivotButton="0" quotePrefix="0" xfId="0">
      <alignment horizontal="center" vertical="center"/>
    </xf>
    <xf numFmtId="0" fontId="2" fillId="37" borderId="2" applyAlignment="1" pivotButton="0" quotePrefix="0" xfId="0">
      <alignment vertical="center"/>
    </xf>
    <xf numFmtId="43" fontId="1" fillId="12" borderId="2" applyAlignment="1" applyProtection="1" pivotButton="0" quotePrefix="0" xfId="1">
      <alignment horizontal="right" vertical="center" wrapText="1" shrinkToFit="1"/>
      <protection locked="0" hidden="0"/>
    </xf>
    <xf numFmtId="43" fontId="1" fillId="12" borderId="2" applyAlignment="1" applyProtection="1" pivotButton="0" quotePrefix="0" xfId="1">
      <alignment vertical="center" shrinkToFit="1"/>
      <protection locked="0" hidden="0"/>
    </xf>
    <xf numFmtId="43" fontId="1" fillId="12" borderId="2" applyAlignment="1" applyProtection="1" pivotButton="0" quotePrefix="0" xfId="1">
      <alignment horizontal="center" vertical="center" shrinkToFit="1"/>
      <protection locked="0" hidden="0"/>
    </xf>
    <xf numFmtId="43" fontId="47" fillId="12" borderId="2" applyAlignment="1" applyProtection="1" pivotButton="0" quotePrefix="0" xfId="1">
      <alignment horizontal="center" vertical="center" shrinkToFit="1"/>
      <protection locked="0" hidden="0"/>
    </xf>
    <xf numFmtId="43" fontId="1" fillId="12" borderId="2" applyAlignment="1" applyProtection="1" pivotButton="0" quotePrefix="0" xfId="1">
      <alignment horizontal="right" vertical="center" shrinkToFit="1"/>
      <protection locked="0" hidden="0"/>
    </xf>
    <xf numFmtId="0" fontId="11" fillId="22" borderId="4" applyAlignment="1" pivotButton="0" quotePrefix="0" xfId="0">
      <alignment horizontal="center" vertical="center" wrapText="1"/>
    </xf>
    <xf numFmtId="0" fontId="11" fillId="22" borderId="40" applyAlignment="1" pivotButton="0" quotePrefix="0" xfId="0">
      <alignment horizontal="center" vertical="center" wrapText="1"/>
    </xf>
    <xf numFmtId="0" fontId="7" fillId="20" borderId="26" applyAlignment="1" pivotButton="0" quotePrefix="0" xfId="0">
      <alignment horizontal="center" vertical="center"/>
    </xf>
    <xf numFmtId="0" fontId="11" fillId="22" borderId="26" applyAlignment="1" pivotButton="0" quotePrefix="0" xfId="0">
      <alignment horizontal="center" vertical="center" wrapText="1"/>
    </xf>
    <xf numFmtId="43" fontId="11" fillId="22" borderId="40" applyAlignment="1" pivotButton="0" quotePrefix="0" xfId="1">
      <alignment horizontal="center" vertical="center" wrapText="1"/>
    </xf>
    <xf numFmtId="43" fontId="11" fillId="22" borderId="26" applyAlignment="1" pivotButton="0" quotePrefix="0" xfId="1">
      <alignment horizontal="center" vertical="center" wrapText="1"/>
    </xf>
    <xf numFmtId="0" fontId="7" fillId="20" borderId="4" applyAlignment="1" pivotButton="0" quotePrefix="0" xfId="0">
      <alignment horizontal="center" vertical="center"/>
    </xf>
    <xf numFmtId="174" fontId="7" fillId="20" borderId="40" applyAlignment="1" pivotButton="0" quotePrefix="0" xfId="0">
      <alignment horizontal="center" vertical="center"/>
    </xf>
    <xf numFmtId="174" fontId="7" fillId="20" borderId="54" applyAlignment="1" pivotButton="0" quotePrefix="0" xfId="0">
      <alignment horizontal="center" vertical="center"/>
    </xf>
    <xf numFmtId="174" fontId="7" fillId="20" borderId="26" applyAlignment="1" pivotButton="0" quotePrefix="0" xfId="0">
      <alignment horizontal="center" vertical="center"/>
    </xf>
    <xf numFmtId="0" fontId="1" fillId="0" borderId="0" applyAlignment="1" pivotButton="0" quotePrefix="0" xfId="0">
      <alignment horizontal="left" vertical="center" indent="4"/>
    </xf>
    <xf numFmtId="0" fontId="1" fillId="0" borderId="0" applyAlignment="1" pivotButton="0" quotePrefix="0" xfId="0">
      <alignment horizontal="left" vertical="center"/>
    </xf>
    <xf numFmtId="0" fontId="1" fillId="0" borderId="0" applyAlignment="1" pivotButton="0" quotePrefix="0" xfId="0">
      <alignment horizontal="left" vertical="center" indent="2"/>
    </xf>
    <xf numFmtId="0" fontId="4" fillId="6" borderId="2" applyAlignment="1" pivotButton="0" quotePrefix="0" xfId="0">
      <alignment horizontal="left" vertical="center"/>
    </xf>
    <xf numFmtId="0" fontId="5" fillId="3" borderId="0" applyAlignment="1" pivotButton="0" quotePrefix="0" xfId="0">
      <alignment vertical="center"/>
    </xf>
    <xf numFmtId="0" fontId="5" fillId="3" borderId="0" applyAlignment="1" pivotButton="0" quotePrefix="0" xfId="0">
      <alignment vertical="center" wrapText="1"/>
    </xf>
    <xf numFmtId="0" fontId="4" fillId="6" borderId="2" applyAlignment="1" pivotButton="0" quotePrefix="0" xfId="0">
      <alignment horizontal="center" vertical="center"/>
    </xf>
    <xf numFmtId="43" fontId="1" fillId="0" borderId="2" applyAlignment="1" applyProtection="1" pivotButton="0" quotePrefix="0" xfId="1">
      <alignment horizontal="right" vertical="center" wrapText="1" shrinkToFit="1"/>
      <protection locked="0" hidden="0"/>
    </xf>
    <xf numFmtId="43" fontId="1" fillId="3" borderId="0" applyAlignment="1" applyProtection="1" pivotButton="0" quotePrefix="0" xfId="1">
      <alignment vertical="center"/>
      <protection locked="0" hidden="0"/>
    </xf>
    <xf numFmtId="0" fontId="4" fillId="3" borderId="0" applyAlignment="1" pivotButton="0" quotePrefix="0" xfId="0">
      <alignment vertical="center"/>
    </xf>
    <xf numFmtId="43" fontId="2" fillId="3" borderId="0" applyAlignment="1" applyProtection="1" pivotButton="0" quotePrefix="0" xfId="0">
      <alignment vertical="center"/>
      <protection locked="0" hidden="0"/>
    </xf>
    <xf numFmtId="0" fontId="2" fillId="3" borderId="0" applyAlignment="1" applyProtection="1" pivotButton="0" quotePrefix="0" xfId="0">
      <alignment vertical="center"/>
      <protection locked="0" hidden="0"/>
    </xf>
    <xf numFmtId="0" fontId="4" fillId="3" borderId="0" applyAlignment="1" pivotButton="0" quotePrefix="0" xfId="0">
      <alignment horizontal="left" vertical="center"/>
    </xf>
    <xf numFmtId="0" fontId="2" fillId="3" borderId="0" applyAlignment="1" applyProtection="1" pivotButton="0" quotePrefix="0" xfId="0">
      <alignment horizontal="left" vertical="center"/>
      <protection locked="0" hidden="0"/>
    </xf>
    <xf numFmtId="0" fontId="1" fillId="3" borderId="0" applyAlignment="1" applyProtection="1" pivotButton="0" quotePrefix="0" xfId="0">
      <alignment vertical="center"/>
      <protection locked="0" hidden="0"/>
    </xf>
    <xf numFmtId="0" fontId="1" fillId="6" borderId="0" applyAlignment="1" applyProtection="1" pivotButton="0" quotePrefix="0" xfId="0">
      <alignment vertical="center"/>
      <protection locked="0" hidden="0"/>
    </xf>
    <xf numFmtId="0" fontId="5" fillId="3" borderId="0" applyAlignment="1" applyProtection="1" pivotButton="0" quotePrefix="0" xfId="0">
      <alignment vertical="center"/>
      <protection locked="0" hidden="0"/>
    </xf>
    <xf numFmtId="43" fontId="19" fillId="0" borderId="0" applyAlignment="1" pivotButton="0" quotePrefix="0" xfId="1">
      <alignment vertical="center"/>
    </xf>
    <xf numFmtId="43" fontId="19" fillId="0" borderId="0" applyAlignment="1" pivotButton="0" quotePrefix="0" xfId="0">
      <alignment vertical="center"/>
    </xf>
    <xf numFmtId="0" fontId="1" fillId="3" borderId="0" applyAlignment="1" pivotButton="0" quotePrefix="0" xfId="0">
      <alignment vertical="center"/>
    </xf>
    <xf numFmtId="43" fontId="1" fillId="3" borderId="0" applyAlignment="1" pivotButton="0" quotePrefix="0" xfId="1">
      <alignment vertical="center"/>
    </xf>
    <xf numFmtId="43" fontId="1" fillId="3" borderId="0" applyAlignment="1" pivotButton="0" quotePrefix="0" xfId="0">
      <alignment vertical="center"/>
    </xf>
    <xf numFmtId="166" fontId="1" fillId="0" borderId="0" applyAlignment="1" applyProtection="1" pivotButton="0" quotePrefix="0" xfId="1">
      <alignment vertical="center"/>
      <protection locked="0" hidden="0"/>
    </xf>
    <xf numFmtId="43" fontId="1" fillId="3" borderId="0" applyAlignment="1" applyProtection="1" pivotButton="0" quotePrefix="0" xfId="0">
      <alignment vertical="center"/>
      <protection locked="0" hidden="0"/>
    </xf>
    <xf numFmtId="43" fontId="1" fillId="0" borderId="0" applyAlignment="1" applyProtection="1" pivotButton="0" quotePrefix="0" xfId="0">
      <alignment vertical="center"/>
      <protection locked="0" hidden="0"/>
    </xf>
    <xf numFmtId="43" fontId="2" fillId="0" borderId="0" applyAlignment="1" applyProtection="1" pivotButton="0" quotePrefix="0" xfId="0">
      <alignment vertical="center"/>
      <protection locked="0" hidden="0"/>
    </xf>
    <xf numFmtId="0" fontId="2" fillId="0" borderId="0" applyAlignment="1" applyProtection="1" pivotButton="0" quotePrefix="0" xfId="0">
      <alignment horizontal="left" vertical="center"/>
      <protection locked="0" hidden="0"/>
    </xf>
    <xf numFmtId="0" fontId="2" fillId="0" borderId="0" applyAlignment="1" applyProtection="1" pivotButton="0" quotePrefix="0" xfId="0">
      <alignment horizontal="center" vertical="center"/>
      <protection locked="0" hidden="0"/>
    </xf>
    <xf numFmtId="0" fontId="4" fillId="4" borderId="40" applyAlignment="1" pivotButton="0" quotePrefix="0" xfId="0">
      <alignment horizontal="center" vertical="center"/>
    </xf>
    <xf numFmtId="0" fontId="2" fillId="5" borderId="3" applyAlignment="1" pivotButton="0" quotePrefix="0" xfId="0">
      <alignment horizontal="left" vertical="center"/>
    </xf>
    <xf numFmtId="0" fontId="2" fillId="5" borderId="3" applyAlignment="1" pivotButton="0" quotePrefix="0" xfId="0">
      <alignment horizontal="center" vertical="center"/>
    </xf>
    <xf numFmtId="0" fontId="48" fillId="0" borderId="0" applyAlignment="1" pivotButton="0" quotePrefix="0" xfId="0">
      <alignment vertical="center"/>
    </xf>
    <xf numFmtId="0" fontId="49" fillId="0" borderId="2" applyAlignment="1" pivotButton="0" quotePrefix="0" xfId="0">
      <alignment vertical="center" wrapText="1"/>
    </xf>
    <xf numFmtId="0" fontId="45" fillId="0" borderId="2" applyAlignment="1" pivotButton="0" quotePrefix="0" xfId="0">
      <alignment vertical="center" wrapText="1"/>
    </xf>
    <xf numFmtId="4" fontId="2" fillId="0" borderId="0" applyAlignment="1" pivotButton="0" quotePrefix="0" xfId="0">
      <alignment vertical="center"/>
    </xf>
    <xf numFmtId="175" fontId="2" fillId="0" borderId="0" applyAlignment="1" pivotButton="0" quotePrefix="0" xfId="0">
      <alignment vertical="center"/>
    </xf>
    <xf numFmtId="0" fontId="7" fillId="22" borderId="40" applyAlignment="1" pivotButton="0" quotePrefix="0" xfId="0">
      <alignment horizontal="center" vertical="center" wrapText="1"/>
    </xf>
    <xf numFmtId="0" fontId="7" fillId="38" borderId="52" applyAlignment="1" pivotButton="0" quotePrefix="0" xfId="0">
      <alignment horizontal="center" vertical="center" wrapText="1"/>
    </xf>
    <xf numFmtId="0" fontId="7" fillId="22" borderId="54" applyAlignment="1" pivotButton="0" quotePrefix="0" xfId="0">
      <alignment horizontal="center" vertical="center" wrapText="1"/>
    </xf>
    <xf numFmtId="0" fontId="7" fillId="38" borderId="53" applyAlignment="1" pivotButton="0" quotePrefix="0" xfId="0">
      <alignment horizontal="center" vertical="center" wrapText="1"/>
    </xf>
    <xf numFmtId="166" fontId="4" fillId="12" borderId="2" applyAlignment="1" pivotButton="0" quotePrefix="0" xfId="0">
      <alignment horizontal="right" vertical="center"/>
    </xf>
    <xf numFmtId="0" fontId="4" fillId="0" borderId="58" applyAlignment="1" pivotButton="0" quotePrefix="0" xfId="0">
      <alignment horizontal="left" vertical="center"/>
    </xf>
    <xf numFmtId="0" fontId="7" fillId="0" borderId="0" applyAlignment="1" pivotButton="0" quotePrefix="0" xfId="0">
      <alignment horizontal="left" vertical="center"/>
    </xf>
    <xf numFmtId="0" fontId="4" fillId="0" borderId="0" applyAlignment="1" applyProtection="1" pivotButton="0" quotePrefix="0" xfId="0">
      <alignment horizontal="left" vertical="center"/>
      <protection locked="0" hidden="0"/>
    </xf>
    <xf numFmtId="0" fontId="2" fillId="6" borderId="52" applyAlignment="1" pivotButton="0" quotePrefix="0" xfId="0">
      <alignment vertical="center"/>
    </xf>
    <xf numFmtId="0" fontId="2" fillId="6" borderId="4" applyAlignment="1" pivotButton="0" quotePrefix="0" xfId="0">
      <alignment vertical="center"/>
    </xf>
    <xf numFmtId="0" fontId="7" fillId="22" borderId="26" applyAlignment="1" pivotButton="0" quotePrefix="0" xfId="0">
      <alignment horizontal="center" vertical="center" wrapText="1"/>
    </xf>
    <xf numFmtId="0" fontId="7" fillId="39" borderId="0" applyAlignment="1" pivotButton="0" quotePrefix="0" xfId="0">
      <alignment horizontal="center" vertical="center"/>
    </xf>
    <xf numFmtId="0" fontId="4" fillId="2" borderId="0" applyAlignment="1" pivotButton="0" quotePrefix="0" xfId="52">
      <alignment vertical="center"/>
    </xf>
    <xf numFmtId="0" fontId="11" fillId="0" borderId="2" applyAlignment="1" pivotButton="0" quotePrefix="0" xfId="0">
      <alignment horizontal="center" vertical="center"/>
    </xf>
    <xf numFmtId="0" fontId="4" fillId="0" borderId="0" applyAlignment="1" pivotButton="0" quotePrefix="0" xfId="52">
      <alignment horizontal="center" vertical="center"/>
    </xf>
    <xf numFmtId="166" fontId="2" fillId="12" borderId="0" applyAlignment="1" pivotButton="0" quotePrefix="0" xfId="0">
      <alignment horizontal="right" vertical="center"/>
    </xf>
    <xf numFmtId="166" fontId="2" fillId="12" borderId="2" applyAlignment="1" applyProtection="1" pivotButton="0" quotePrefix="0" xfId="0">
      <alignment vertical="center"/>
      <protection locked="0" hidden="0"/>
    </xf>
    <xf numFmtId="0" fontId="4" fillId="0" borderId="0" pivotButton="0" quotePrefix="0" xfId="0"/>
    <xf numFmtId="0" fontId="7" fillId="2" borderId="0" applyAlignment="1" pivotButton="0" quotePrefix="0" xfId="0">
      <alignment horizontal="center" vertical="top"/>
    </xf>
    <xf numFmtId="0" fontId="7" fillId="2" borderId="0" applyAlignment="1" pivotButton="0" quotePrefix="0" xfId="0">
      <alignment horizontal="left" vertical="top"/>
    </xf>
    <xf numFmtId="0" fontId="4" fillId="0" borderId="58" applyAlignment="1" applyProtection="1" pivotButton="0" quotePrefix="0" xfId="0">
      <alignment horizontal="left" vertical="center"/>
      <protection locked="0" hidden="0"/>
    </xf>
    <xf numFmtId="166" fontId="15" fillId="0" borderId="0" applyAlignment="1" applyProtection="1" pivotButton="0" quotePrefix="0" xfId="0">
      <alignment horizontal="right" vertical="center"/>
      <protection locked="0" hidden="0"/>
    </xf>
    <xf numFmtId="43" fontId="1" fillId="0" borderId="0" pivotButton="0" quotePrefix="0" xfId="0"/>
    <xf numFmtId="43" fontId="1" fillId="0" borderId="0" pivotButton="0" quotePrefix="0" xfId="1"/>
    <xf numFmtId="0" fontId="4" fillId="0" borderId="0" applyAlignment="1" pivotButton="0" quotePrefix="0" xfId="0">
      <alignment horizontal="center" vertical="top"/>
    </xf>
    <xf numFmtId="43" fontId="4" fillId="2" borderId="0" applyAlignment="1" pivotButton="0" quotePrefix="0" xfId="0">
      <alignment horizontal="center" vertical="center"/>
    </xf>
    <xf numFmtId="43" fontId="4" fillId="2" borderId="0" applyAlignment="1" pivotButton="0" quotePrefix="0" xfId="1">
      <alignment horizontal="center" vertical="center"/>
    </xf>
    <xf numFmtId="166" fontId="1" fillId="2" borderId="0" applyAlignment="1" pivotButton="0" quotePrefix="0" xfId="0">
      <alignment horizontal="center" vertical="center"/>
    </xf>
    <xf numFmtId="43" fontId="1" fillId="2" borderId="0" applyAlignment="1" pivotButton="0" quotePrefix="0" xfId="1">
      <alignment horizontal="center" vertical="center"/>
    </xf>
    <xf numFmtId="0" fontId="50" fillId="0" borderId="59" applyAlignment="1" pivotButton="0" quotePrefix="0" xfId="0">
      <alignment vertical="center"/>
    </xf>
    <xf numFmtId="166" fontId="2" fillId="0" borderId="58" applyAlignment="1" pivotButton="0" quotePrefix="0" xfId="0">
      <alignment horizontal="right" vertical="center"/>
    </xf>
    <xf numFmtId="166" fontId="2" fillId="0" borderId="52" applyAlignment="1" pivotButton="0" quotePrefix="0" xfId="0">
      <alignment horizontal="left" vertical="center"/>
    </xf>
    <xf numFmtId="0" fontId="50" fillId="0" borderId="60" applyAlignment="1" pivotButton="0" quotePrefix="0" xfId="0">
      <alignment vertical="center"/>
    </xf>
    <xf numFmtId="166" fontId="2" fillId="0" borderId="53" applyAlignment="1" pivotButton="0" quotePrefix="0" xfId="0">
      <alignment horizontal="left" vertical="center"/>
    </xf>
    <xf numFmtId="166" fontId="4" fillId="0" borderId="1" applyAlignment="1" pivotButton="0" quotePrefix="0" xfId="0">
      <alignment horizontal="right" vertical="center"/>
    </xf>
    <xf numFmtId="166" fontId="2" fillId="0" borderId="50" applyAlignment="1" pivotButton="0" quotePrefix="0" xfId="0">
      <alignment horizontal="left" vertical="center"/>
    </xf>
    <xf numFmtId="166" fontId="0" fillId="0" borderId="0" applyAlignment="1" pivotButton="0" quotePrefix="0" xfId="0">
      <alignment vertical="center"/>
    </xf>
    <xf numFmtId="0" fontId="0" fillId="2" borderId="0" applyAlignment="1" pivotButton="0" quotePrefix="0" xfId="0">
      <alignment horizontal="center" vertical="center"/>
    </xf>
    <xf numFmtId="0" fontId="51" fillId="6" borderId="0" applyAlignment="1" pivotButton="0" quotePrefix="0" xfId="0">
      <alignment horizontal="center" vertical="center"/>
    </xf>
    <xf numFmtId="0" fontId="51" fillId="2" borderId="0" applyAlignment="1" pivotButton="0" quotePrefix="0" xfId="0">
      <alignment horizontal="center" vertical="center"/>
    </xf>
    <xf numFmtId="0" fontId="0" fillId="0" borderId="0" applyAlignment="1" pivotButton="0" quotePrefix="1" xfId="0">
      <alignment vertical="center"/>
    </xf>
    <xf numFmtId="0" fontId="7" fillId="8" borderId="3" applyAlignment="1" pivotButton="0" quotePrefix="1" xfId="0">
      <alignment horizontal="center" vertical="center"/>
    </xf>
    <xf numFmtId="0" fontId="7" fillId="8" borderId="10" applyAlignment="1" pivotButton="0" quotePrefix="1" xfId="0">
      <alignment horizontal="center" vertical="center"/>
    </xf>
    <xf numFmtId="0" fontId="0" fillId="0" borderId="0" pivotButton="0" quotePrefix="0" xfId="0"/>
    <xf numFmtId="0" fontId="0" fillId="0" borderId="45" pivotButton="0" quotePrefix="0" xfId="0"/>
    <xf numFmtId="0" fontId="0" fillId="0" borderId="4" pivotButton="0" quotePrefix="0" xfId="0"/>
    <xf numFmtId="0" fontId="0" fillId="0" borderId="26" pivotButton="0" quotePrefix="0" xfId="0"/>
    <xf numFmtId="165" fontId="2" fillId="20" borderId="2" applyAlignment="1" pivotButton="0" quotePrefix="0" xfId="0">
      <alignment horizontal="center" vertical="center"/>
    </xf>
    <xf numFmtId="166" fontId="2" fillId="12" borderId="2" applyAlignment="1" applyProtection="1" pivotButton="0" quotePrefix="0" xfId="0">
      <alignment horizontal="center" vertical="center"/>
      <protection locked="0" hidden="0"/>
    </xf>
    <xf numFmtId="166" fontId="2" fillId="12" borderId="0" applyAlignment="1" pivotButton="0" quotePrefix="0" xfId="0">
      <alignment horizontal="right" vertical="center"/>
    </xf>
    <xf numFmtId="166" fontId="2" fillId="0" borderId="0" applyAlignment="1" pivotButton="0" quotePrefix="0" xfId="0">
      <alignment horizontal="right" vertical="center"/>
    </xf>
    <xf numFmtId="166" fontId="2" fillId="12" borderId="2" applyAlignment="1" applyProtection="1" pivotButton="0" quotePrefix="0" xfId="0">
      <alignment horizontal="right" vertical="center"/>
      <protection locked="0" hidden="0"/>
    </xf>
    <xf numFmtId="166" fontId="4" fillId="12" borderId="2" applyAlignment="1" applyProtection="1" pivotButton="0" quotePrefix="0" xfId="0">
      <alignment horizontal="right" vertical="center"/>
      <protection locked="0" hidden="0"/>
    </xf>
    <xf numFmtId="166" fontId="2" fillId="12" borderId="2" applyAlignment="1" applyProtection="1" pivotButton="0" quotePrefix="0" xfId="0">
      <alignment vertical="center"/>
      <protection locked="0" hidden="0"/>
    </xf>
    <xf numFmtId="166" fontId="2" fillId="0" borderId="0" applyAlignment="1" pivotButton="0" quotePrefix="0" xfId="0">
      <alignment vertical="center"/>
    </xf>
    <xf numFmtId="165" fontId="2" fillId="0" borderId="0" applyAlignment="1" pivotButton="0" quotePrefix="0" xfId="0">
      <alignment horizontal="center" vertical="center"/>
    </xf>
    <xf numFmtId="166" fontId="15" fillId="0" borderId="0" applyAlignment="1" applyProtection="1" pivotButton="0" quotePrefix="0" xfId="0">
      <alignment horizontal="right" vertical="center"/>
      <protection locked="0" hidden="0"/>
    </xf>
    <xf numFmtId="166" fontId="2" fillId="0" borderId="0" applyAlignment="1" applyProtection="1" pivotButton="0" quotePrefix="0" xfId="0">
      <alignment horizontal="right" vertical="center"/>
      <protection locked="0" hidden="0"/>
    </xf>
    <xf numFmtId="166" fontId="2" fillId="0" borderId="58" applyAlignment="1" pivotButton="0" quotePrefix="0" xfId="0">
      <alignment horizontal="right" vertical="center"/>
    </xf>
    <xf numFmtId="166" fontId="2" fillId="0" borderId="52" applyAlignment="1" pivotButton="0" quotePrefix="0" xfId="0">
      <alignment horizontal="left" vertical="center"/>
    </xf>
    <xf numFmtId="166" fontId="2" fillId="0" borderId="53" applyAlignment="1" pivotButton="0" quotePrefix="0" xfId="0">
      <alignment horizontal="left" vertical="center"/>
    </xf>
    <xf numFmtId="43" fontId="2" fillId="0" borderId="0" applyAlignment="1" pivotButton="0" quotePrefix="0" xfId="1">
      <alignment vertical="center"/>
    </xf>
    <xf numFmtId="166" fontId="4" fillId="0" borderId="1" applyAlignment="1" pivotButton="0" quotePrefix="0" xfId="0">
      <alignment horizontal="right" vertical="center"/>
    </xf>
    <xf numFmtId="166" fontId="2" fillId="0" borderId="50" applyAlignment="1" pivotButton="0" quotePrefix="0" xfId="0">
      <alignment horizontal="left" vertical="center"/>
    </xf>
    <xf numFmtId="166" fontId="4" fillId="0" borderId="0" applyAlignment="1" applyProtection="1" pivotButton="0" quotePrefix="0" xfId="0">
      <alignment horizontal="right" vertical="center"/>
      <protection locked="0" hidden="0"/>
    </xf>
    <xf numFmtId="43" fontId="1" fillId="0" borderId="0" pivotButton="0" quotePrefix="0" xfId="0"/>
    <xf numFmtId="43" fontId="1" fillId="0" borderId="0" pivotButton="0" quotePrefix="0" xfId="1"/>
    <xf numFmtId="43" fontId="4" fillId="2" borderId="0" applyAlignment="1" pivotButton="0" quotePrefix="0" xfId="0">
      <alignment horizontal="center" vertical="center"/>
    </xf>
    <xf numFmtId="43" fontId="4" fillId="2" borderId="0" applyAlignment="1" pivotButton="0" quotePrefix="0" xfId="1">
      <alignment horizontal="center" vertical="center"/>
    </xf>
    <xf numFmtId="166" fontId="1" fillId="2" borderId="0" applyAlignment="1" pivotButton="0" quotePrefix="0" xfId="0">
      <alignment horizontal="center" vertical="center"/>
    </xf>
    <xf numFmtId="43" fontId="1" fillId="2" borderId="0" applyAlignment="1" pivotButton="0" quotePrefix="0" xfId="1">
      <alignment horizontal="center" vertical="center"/>
    </xf>
    <xf numFmtId="166" fontId="0" fillId="0" borderId="0" applyAlignment="1" pivotButton="0" quotePrefix="0" xfId="0">
      <alignment vertical="center"/>
    </xf>
    <xf numFmtId="0" fontId="0" fillId="0" borderId="54" pivotButton="0" quotePrefix="0" xfId="0"/>
    <xf numFmtId="0" fontId="0" fillId="0" borderId="53" pivotButton="0" quotePrefix="0" xfId="0"/>
    <xf numFmtId="166" fontId="4" fillId="12" borderId="2" applyAlignment="1" pivotButton="0" quotePrefix="0" xfId="0">
      <alignment horizontal="right" vertical="center"/>
    </xf>
    <xf numFmtId="165" fontId="2" fillId="20" borderId="4" applyAlignment="1" pivotButton="0" quotePrefix="0" xfId="0">
      <alignment horizontal="center" vertical="center"/>
    </xf>
    <xf numFmtId="166" fontId="2" fillId="12" borderId="2" applyAlignment="1" pivotButton="0" quotePrefix="0" xfId="0">
      <alignment horizontal="right" vertical="center"/>
    </xf>
    <xf numFmtId="175" fontId="2" fillId="0" borderId="0" applyAlignment="1" pivotButton="0" quotePrefix="0" xfId="0">
      <alignment vertical="center"/>
    </xf>
    <xf numFmtId="166" fontId="4" fillId="12" borderId="2" applyAlignment="1" applyProtection="1" pivotButton="0" quotePrefix="0" xfId="0">
      <alignment horizontal="center" vertical="center"/>
      <protection locked="0" hidden="0"/>
    </xf>
    <xf numFmtId="166" fontId="0" fillId="6" borderId="2" applyAlignment="1" pivotButton="0" quotePrefix="0" xfId="0">
      <alignment vertical="center"/>
    </xf>
    <xf numFmtId="174" fontId="7" fillId="20" borderId="2" applyAlignment="1" pivotButton="0" quotePrefix="0" xfId="0">
      <alignment horizontal="center" vertical="center"/>
    </xf>
    <xf numFmtId="43" fontId="11" fillId="22" borderId="2" applyAlignment="1" pivotButton="0" quotePrefix="0" xfId="1">
      <alignment horizontal="center" vertical="center" wrapText="1"/>
    </xf>
    <xf numFmtId="43" fontId="1" fillId="12" borderId="2" applyAlignment="1" applyProtection="1" pivotButton="0" quotePrefix="0" xfId="1">
      <alignment horizontal="right" vertical="center" wrapText="1" shrinkToFit="1"/>
      <protection locked="0" hidden="0"/>
    </xf>
    <xf numFmtId="43" fontId="1" fillId="12" borderId="2" applyAlignment="1" applyProtection="1" pivotButton="0" quotePrefix="0" xfId="1">
      <alignment horizontal="right" vertical="center" shrinkToFit="1"/>
      <protection locked="0" hidden="0"/>
    </xf>
    <xf numFmtId="43" fontId="1" fillId="12" borderId="2" applyAlignment="1" applyProtection="1" pivotButton="0" quotePrefix="0" xfId="1">
      <alignment vertical="center" shrinkToFit="1"/>
      <protection locked="0" hidden="0"/>
    </xf>
    <xf numFmtId="43" fontId="1" fillId="12" borderId="2" applyAlignment="1" applyProtection="1" pivotButton="0" quotePrefix="0" xfId="1">
      <alignment horizontal="center" vertical="center" shrinkToFit="1"/>
      <protection locked="0" hidden="0"/>
    </xf>
    <xf numFmtId="43" fontId="47" fillId="12" borderId="2" applyAlignment="1" applyProtection="1" pivotButton="0" quotePrefix="0" xfId="1">
      <alignment horizontal="center" vertical="center" shrinkToFit="1"/>
      <protection locked="0" hidden="0"/>
    </xf>
    <xf numFmtId="43" fontId="1" fillId="0" borderId="2" applyAlignment="1" applyProtection="1" pivotButton="0" quotePrefix="0" xfId="1">
      <alignment horizontal="right" vertical="center" wrapText="1" shrinkToFit="1"/>
      <protection locked="0" hidden="0"/>
    </xf>
    <xf numFmtId="43" fontId="1" fillId="3" borderId="0" applyAlignment="1" applyProtection="1" pivotButton="0" quotePrefix="0" xfId="1">
      <alignment vertical="center"/>
      <protection locked="0" hidden="0"/>
    </xf>
    <xf numFmtId="43" fontId="1" fillId="3" borderId="0" applyAlignment="1" applyProtection="1" pivotButton="0" quotePrefix="0" xfId="0">
      <alignment vertical="center"/>
      <protection locked="0" hidden="0"/>
    </xf>
    <xf numFmtId="43" fontId="1" fillId="0" borderId="0" applyAlignment="1" applyProtection="1" pivotButton="0" quotePrefix="0" xfId="0">
      <alignment vertical="center"/>
      <protection locked="0" hidden="0"/>
    </xf>
    <xf numFmtId="43" fontId="2" fillId="3" borderId="0" applyAlignment="1" applyProtection="1" pivotButton="0" quotePrefix="0" xfId="0">
      <alignment vertical="center"/>
      <protection locked="0" hidden="0"/>
    </xf>
    <xf numFmtId="43" fontId="2" fillId="0" borderId="0" applyAlignment="1" applyProtection="1" pivotButton="0" quotePrefix="0" xfId="0">
      <alignment vertical="center"/>
      <protection locked="0" hidden="0"/>
    </xf>
    <xf numFmtId="166" fontId="1" fillId="0" borderId="0" applyAlignment="1" applyProtection="1" pivotButton="0" quotePrefix="0" xfId="1">
      <alignment vertical="center"/>
      <protection locked="0" hidden="0"/>
    </xf>
    <xf numFmtId="43" fontId="19" fillId="0" borderId="0" applyAlignment="1" pivotButton="0" quotePrefix="0" xfId="1">
      <alignment vertical="center"/>
    </xf>
    <xf numFmtId="43" fontId="19" fillId="0" borderId="0" applyAlignment="1" pivotButton="0" quotePrefix="0" xfId="0">
      <alignment vertical="center"/>
    </xf>
    <xf numFmtId="43" fontId="1" fillId="3" borderId="0" applyAlignment="1" pivotButton="0" quotePrefix="0" xfId="1">
      <alignment vertical="center"/>
    </xf>
    <xf numFmtId="43" fontId="1" fillId="0" borderId="0" applyAlignment="1" pivotButton="0" quotePrefix="0" xfId="1">
      <alignment vertical="center"/>
    </xf>
    <xf numFmtId="43" fontId="1" fillId="3" borderId="0" applyAlignment="1" pivotButton="0" quotePrefix="0" xfId="0">
      <alignment vertical="center"/>
    </xf>
    <xf numFmtId="173" fontId="0" fillId="0" borderId="0" applyAlignment="1" pivotButton="0" quotePrefix="0" xfId="0">
      <alignment vertical="center"/>
    </xf>
    <xf numFmtId="173" fontId="1" fillId="0" borderId="0" applyAlignment="1" pivotButton="0" quotePrefix="0" xfId="0">
      <alignment vertical="center"/>
    </xf>
    <xf numFmtId="173" fontId="2" fillId="0" borderId="2" applyAlignment="1" pivotButton="0" quotePrefix="0" xfId="0">
      <alignment vertical="center"/>
    </xf>
    <xf numFmtId="173" fontId="2" fillId="6" borderId="2" applyAlignment="1" pivotButton="0" quotePrefix="0" xfId="0">
      <alignment vertical="center"/>
    </xf>
    <xf numFmtId="173" fontId="2" fillId="6" borderId="40" applyAlignment="1" pivotButton="0" quotePrefix="0" xfId="0">
      <alignment vertical="center"/>
    </xf>
    <xf numFmtId="173" fontId="1" fillId="6" borderId="2" applyAlignment="1" pivotButton="0" quotePrefix="0" xfId="0">
      <alignment vertical="center"/>
    </xf>
    <xf numFmtId="173" fontId="13" fillId="0" borderId="0" applyAlignment="1" pivotButton="0" quotePrefix="0" xfId="0">
      <alignment vertical="center"/>
    </xf>
    <xf numFmtId="173" fontId="24" fillId="0" borderId="0" applyAlignment="1" pivotButton="0" quotePrefix="0" xfId="0">
      <alignment vertical="center"/>
    </xf>
    <xf numFmtId="173" fontId="2" fillId="0" borderId="0" applyAlignment="1" pivotButton="0" quotePrefix="0" xfId="0">
      <alignment vertical="center"/>
    </xf>
    <xf numFmtId="173" fontId="7" fillId="0" borderId="0" applyAlignment="1" pivotButton="0" quotePrefix="0" xfId="0">
      <alignment vertical="center"/>
    </xf>
    <xf numFmtId="173" fontId="7" fillId="20" borderId="2" applyAlignment="1" pivotButton="0" quotePrefix="0" xfId="52">
      <alignment horizontal="center" vertical="center"/>
    </xf>
    <xf numFmtId="173" fontId="13" fillId="20" borderId="2" applyAlignment="1" pivotButton="0" quotePrefix="0" xfId="0">
      <alignment horizontal="center" vertical="center"/>
    </xf>
    <xf numFmtId="43" fontId="2" fillId="12" borderId="2" applyAlignment="1" applyProtection="1" pivotButton="0" quotePrefix="0" xfId="1">
      <alignment horizontal="right" vertical="center"/>
      <protection locked="0" hidden="0"/>
    </xf>
    <xf numFmtId="43" fontId="4" fillId="12" borderId="2" applyAlignment="1" applyProtection="1" pivotButton="0" quotePrefix="0" xfId="1">
      <alignment horizontal="right" vertical="center"/>
      <protection locked="0" hidden="0"/>
    </xf>
    <xf numFmtId="43" fontId="2" fillId="25" borderId="2" applyAlignment="1" applyProtection="1" pivotButton="0" quotePrefix="0" xfId="1">
      <alignment vertical="center"/>
      <protection locked="0" hidden="0"/>
    </xf>
    <xf numFmtId="43" fontId="0" fillId="25" borderId="2" applyAlignment="1" applyProtection="1" pivotButton="0" quotePrefix="0" xfId="1">
      <alignment vertical="center"/>
      <protection locked="0" hidden="0"/>
    </xf>
    <xf numFmtId="173" fontId="1" fillId="6" borderId="40" applyAlignment="1" pivotButton="0" quotePrefix="0" xfId="0">
      <alignment vertical="center"/>
    </xf>
    <xf numFmtId="173" fontId="4" fillId="2" borderId="2" applyAlignment="1" pivotButton="0" quotePrefix="0" xfId="52">
      <alignment horizontal="center" vertical="center"/>
    </xf>
    <xf numFmtId="173" fontId="2" fillId="2" borderId="2" applyAlignment="1" pivotButton="0" quotePrefix="0" xfId="0">
      <alignment vertical="center"/>
    </xf>
    <xf numFmtId="43" fontId="7" fillId="20" borderId="2" applyAlignment="1" pivotButton="0" quotePrefix="0" xfId="52">
      <alignment horizontal="center" vertical="center"/>
    </xf>
    <xf numFmtId="43" fontId="7" fillId="6" borderId="2" applyAlignment="1" pivotButton="0" quotePrefix="0" xfId="52">
      <alignment horizontal="center" vertical="center"/>
    </xf>
    <xf numFmtId="43" fontId="7" fillId="0" borderId="2" applyAlignment="1" pivotButton="0" quotePrefix="0" xfId="52">
      <alignment horizontal="center" vertical="center"/>
    </xf>
    <xf numFmtId="43" fontId="2" fillId="12" borderId="2" applyAlignment="1" pivotButton="0" quotePrefix="0" xfId="1">
      <alignment horizontal="right" vertical="center"/>
    </xf>
    <xf numFmtId="43" fontId="2" fillId="25" borderId="2" applyAlignment="1" pivotButton="0" quotePrefix="0" xfId="1">
      <alignment vertical="center"/>
    </xf>
    <xf numFmtId="43" fontId="2" fillId="25" borderId="2" applyAlignment="1" applyProtection="1" pivotButton="0" quotePrefix="0" xfId="1">
      <alignment horizontal="right" vertical="center"/>
      <protection locked="0" hidden="0"/>
    </xf>
    <xf numFmtId="43" fontId="0" fillId="12" borderId="2" applyAlignment="1" applyProtection="1" pivotButton="0" quotePrefix="0" xfId="1">
      <alignment vertical="center"/>
      <protection locked="0" hidden="0"/>
    </xf>
    <xf numFmtId="165" fontId="2" fillId="2" borderId="2" applyAlignment="1" pivotButton="0" quotePrefix="0" xfId="0">
      <alignment horizontal="center" vertical="center"/>
    </xf>
    <xf numFmtId="166" fontId="2" fillId="2" borderId="2" applyAlignment="1" pivotButton="0" quotePrefix="0" xfId="0">
      <alignment horizontal="right" vertical="center"/>
    </xf>
    <xf numFmtId="166" fontId="2" fillId="2" borderId="2" applyAlignment="1" applyProtection="1" pivotButton="0" quotePrefix="0" xfId="0">
      <alignment horizontal="right" vertical="center"/>
      <protection locked="0" hidden="0"/>
    </xf>
    <xf numFmtId="166" fontId="4" fillId="2" borderId="2" applyAlignment="1" applyProtection="1" pivotButton="0" quotePrefix="0" xfId="0">
      <alignment horizontal="right" vertical="center"/>
      <protection locked="0" hidden="0"/>
    </xf>
    <xf numFmtId="43" fontId="4" fillId="2" borderId="2" applyAlignment="1" pivotButton="0" quotePrefix="0" xfId="52">
      <alignment horizontal="center" vertical="center"/>
    </xf>
    <xf numFmtId="43" fontId="0" fillId="0" borderId="2" applyAlignment="1" pivotButton="0" quotePrefix="0" xfId="0">
      <alignment horizontal="left" vertical="center"/>
    </xf>
    <xf numFmtId="0" fontId="4" fillId="4" borderId="26" applyAlignment="1" pivotButton="0" quotePrefix="0" xfId="0">
      <alignment horizontal="center" vertical="center"/>
    </xf>
    <xf numFmtId="0" fontId="0" fillId="0" borderId="1" pivotButton="0" quotePrefix="0" xfId="0"/>
    <xf numFmtId="0" fontId="0" fillId="0" borderId="50" pivotButton="0" quotePrefix="0" xfId="0"/>
    <xf numFmtId="0" fontId="2" fillId="34" borderId="2" applyAlignment="1" pivotButton="0" quotePrefix="0" xfId="0">
      <alignment horizontal="center" vertical="center"/>
    </xf>
    <xf numFmtId="169" fontId="7" fillId="20" borderId="5" applyAlignment="1" pivotButton="0" quotePrefix="0" xfId="0">
      <alignment horizontal="center" vertical="center"/>
    </xf>
    <xf numFmtId="169" fontId="7" fillId="20" borderId="10" applyAlignment="1" pivotButton="0" quotePrefix="0" xfId="0">
      <alignment horizontal="center" vertical="center"/>
    </xf>
    <xf numFmtId="169" fontId="7" fillId="20" borderId="12" applyAlignment="1" pivotButton="0" quotePrefix="0" xfId="0">
      <alignment horizontal="center" vertical="center"/>
    </xf>
    <xf numFmtId="0" fontId="0" fillId="0" borderId="18" pivotButton="0" quotePrefix="0" xfId="0"/>
    <xf numFmtId="0" fontId="0" fillId="0" borderId="43" pivotButton="0" quotePrefix="0" xfId="0"/>
    <xf numFmtId="43" fontId="8" fillId="11" borderId="2" applyAlignment="1" pivotButton="0" quotePrefix="0" xfId="1">
      <alignment horizontal="right" vertical="center"/>
    </xf>
    <xf numFmtId="43" fontId="8" fillId="11" borderId="2" applyAlignment="1" applyProtection="1" pivotButton="0" quotePrefix="0" xfId="1">
      <alignment horizontal="right" vertical="center"/>
      <protection locked="0" hidden="0"/>
    </xf>
    <xf numFmtId="165" fontId="2" fillId="34" borderId="2" applyAlignment="1" pivotButton="0" quotePrefix="0" xfId="0">
      <alignment horizontal="center" vertical="center"/>
    </xf>
    <xf numFmtId="43" fontId="2" fillId="34" borderId="2" applyAlignment="1" applyProtection="1" pivotButton="0" quotePrefix="0" xfId="1">
      <alignment vertical="center"/>
      <protection locked="0" hidden="0"/>
    </xf>
    <xf numFmtId="43" fontId="2" fillId="34" borderId="2" applyAlignment="1" applyProtection="1" pivotButton="0" quotePrefix="0" xfId="1">
      <alignment horizontal="left" vertical="center" indent="1"/>
      <protection locked="0" hidden="0"/>
    </xf>
    <xf numFmtId="43" fontId="2" fillId="34" borderId="13" applyAlignment="1" applyProtection="1" pivotButton="0" quotePrefix="0" xfId="1">
      <alignment horizontal="left" vertical="center" indent="1"/>
      <protection locked="0" hidden="0"/>
    </xf>
    <xf numFmtId="43" fontId="0" fillId="34" borderId="2" applyAlignment="1" applyProtection="1" pivotButton="0" quotePrefix="0" xfId="1">
      <alignment vertical="center"/>
      <protection locked="0" hidden="0"/>
    </xf>
    <xf numFmtId="43" fontId="0" fillId="34" borderId="2" applyAlignment="1" applyProtection="1" pivotButton="0" quotePrefix="0" xfId="1">
      <alignment horizontal="left" vertical="center" indent="1"/>
      <protection locked="0" hidden="0"/>
    </xf>
    <xf numFmtId="43" fontId="0" fillId="34" borderId="13" applyAlignment="1" applyProtection="1" pivotButton="0" quotePrefix="0" xfId="1">
      <alignment horizontal="left" vertical="center" indent="1"/>
      <protection locked="0" hidden="0"/>
    </xf>
    <xf numFmtId="43" fontId="0" fillId="34" borderId="2" applyAlignment="1" applyProtection="1" pivotButton="0" quotePrefix="0" xfId="1">
      <alignment horizontal="left" vertical="center"/>
      <protection locked="0" hidden="0"/>
    </xf>
    <xf numFmtId="43" fontId="0" fillId="34" borderId="13" applyAlignment="1" applyProtection="1" pivotButton="0" quotePrefix="0" xfId="1">
      <alignment horizontal="left" vertical="center"/>
      <protection locked="0" hidden="0"/>
    </xf>
    <xf numFmtId="43" fontId="8" fillId="11" borderId="13" applyAlignment="1" pivotButton="0" quotePrefix="0" xfId="1">
      <alignment horizontal="left" vertical="center"/>
    </xf>
    <xf numFmtId="43" fontId="0" fillId="34" borderId="13" applyAlignment="1" applyProtection="1" pivotButton="0" quotePrefix="0" xfId="1">
      <alignment vertical="center"/>
      <protection locked="0" hidden="0"/>
    </xf>
    <xf numFmtId="43" fontId="0" fillId="34" borderId="2" applyAlignment="1" pivotButton="0" quotePrefix="0" xfId="1">
      <alignment vertical="center"/>
    </xf>
    <xf numFmtId="43" fontId="0" fillId="6" borderId="2" applyAlignment="1" pivotButton="0" quotePrefix="0" xfId="1">
      <alignment vertical="center"/>
    </xf>
    <xf numFmtId="43" fontId="0" fillId="34" borderId="11" applyAlignment="1" applyProtection="1" pivotButton="0" quotePrefix="0" xfId="1">
      <alignment vertical="center"/>
      <protection locked="0" hidden="0"/>
    </xf>
    <xf numFmtId="43" fontId="0" fillId="34" borderId="14" applyAlignment="1" applyProtection="1" pivotButton="0" quotePrefix="0" xfId="1">
      <alignment vertical="center"/>
      <protection locked="0" hidden="0"/>
    </xf>
    <xf numFmtId="43" fontId="0" fillId="34" borderId="26" applyAlignment="1" applyProtection="1" pivotButton="0" quotePrefix="0" xfId="1">
      <alignment vertical="center"/>
      <protection locked="0" hidden="0"/>
    </xf>
    <xf numFmtId="171" fontId="2" fillId="31" borderId="2" applyAlignment="1" pivotButton="0" quotePrefix="0" xfId="0">
      <alignment horizontal="right" vertical="center"/>
    </xf>
    <xf numFmtId="171" fontId="2" fillId="0" borderId="2" applyAlignment="1" applyProtection="1" pivotButton="0" quotePrefix="0" xfId="0">
      <alignment horizontal="right" vertical="center"/>
      <protection locked="0" hidden="0"/>
    </xf>
    <xf numFmtId="171" fontId="2" fillId="12" borderId="2" applyAlignment="1" applyProtection="1" pivotButton="0" quotePrefix="0" xfId="0">
      <alignment horizontal="right" vertical="center"/>
      <protection locked="0" hidden="0"/>
    </xf>
    <xf numFmtId="43" fontId="7" fillId="20" borderId="2" applyAlignment="1" pivotButton="0" quotePrefix="0" xfId="52">
      <alignment horizontal="center" vertical="center" wrapText="1"/>
    </xf>
    <xf numFmtId="0" fontId="8" fillId="22" borderId="26" applyAlignment="1" pivotButton="0" quotePrefix="0" xfId="0">
      <alignment horizontal="center" vertical="center"/>
    </xf>
    <xf numFmtId="171" fontId="8" fillId="22" borderId="2" applyAlignment="1" pivotButton="0" quotePrefix="0" xfId="0">
      <alignment horizontal="right" vertical="center"/>
    </xf>
    <xf numFmtId="171" fontId="2" fillId="31" borderId="2" applyAlignment="1" applyProtection="1" pivotButton="0" quotePrefix="0" xfId="0">
      <alignment horizontal="right" vertical="center"/>
      <protection locked="0" hidden="0"/>
    </xf>
    <xf numFmtId="166" fontId="1" fillId="0" borderId="0" applyAlignment="1" pivotButton="0" quotePrefix="0" xfId="0">
      <alignment vertical="center"/>
    </xf>
    <xf numFmtId="165" fontId="2" fillId="5" borderId="26" applyAlignment="1" pivotButton="0" quotePrefix="0" xfId="0">
      <alignment horizontal="center" vertical="center"/>
    </xf>
    <xf numFmtId="43" fontId="2" fillId="12" borderId="26" applyAlignment="1" pivotButton="0" quotePrefix="0" xfId="0">
      <alignment horizontal="right" vertical="center"/>
    </xf>
    <xf numFmtId="165" fontId="2" fillId="5" borderId="2" applyAlignment="1" pivotButton="0" quotePrefix="0" xfId="0">
      <alignment horizontal="center" vertical="center"/>
    </xf>
    <xf numFmtId="43" fontId="2" fillId="12" borderId="2" applyAlignment="1" applyProtection="1" pivotButton="0" quotePrefix="0" xfId="0">
      <alignment horizontal="right" vertical="center"/>
      <protection locked="0" hidden="0"/>
    </xf>
    <xf numFmtId="166" fontId="2" fillId="0" borderId="0" applyAlignment="1" applyProtection="1" pivotButton="0" quotePrefix="0" xfId="0">
      <alignment vertical="center"/>
      <protection locked="0" hidden="0"/>
    </xf>
    <xf numFmtId="43" fontId="2" fillId="12" borderId="2" applyAlignment="1" pivotButton="0" quotePrefix="0" xfId="0">
      <alignment horizontal="right" vertical="center"/>
    </xf>
    <xf numFmtId="43" fontId="2" fillId="0" borderId="2" applyAlignment="1" applyProtection="1" pivotButton="0" quotePrefix="0" xfId="0">
      <alignment horizontal="right" vertical="center"/>
      <protection locked="0" hidden="0"/>
    </xf>
    <xf numFmtId="166" fontId="4" fillId="0" borderId="2" applyAlignment="1" pivotButton="0" quotePrefix="0" xfId="0">
      <alignment vertical="center"/>
    </xf>
    <xf numFmtId="165" fontId="4" fillId="20" borderId="2" applyAlignment="1" pivotButton="0" quotePrefix="0" xfId="0">
      <alignment horizontal="center" vertical="center"/>
    </xf>
    <xf numFmtId="43" fontId="4" fillId="12" borderId="2" applyAlignment="1" applyProtection="1" pivotButton="0" quotePrefix="0" xfId="0">
      <alignment vertical="center"/>
      <protection locked="0" hidden="0"/>
    </xf>
    <xf numFmtId="166" fontId="4" fillId="12" borderId="2" applyAlignment="1" applyProtection="1" pivotButton="0" quotePrefix="0" xfId="0">
      <alignment vertical="center"/>
      <protection locked="0" hidden="0"/>
    </xf>
    <xf numFmtId="166" fontId="4" fillId="0" borderId="2" applyAlignment="1" applyProtection="1" pivotButton="0" quotePrefix="0" xfId="0">
      <alignment vertical="center"/>
      <protection locked="0" hidden="0"/>
    </xf>
    <xf numFmtId="43" fontId="4" fillId="12" borderId="2" applyAlignment="1" applyProtection="1" pivotButton="0" quotePrefix="0" xfId="0">
      <alignment horizontal="center" vertical="center"/>
      <protection locked="0" hidden="0"/>
    </xf>
    <xf numFmtId="43" fontId="4" fillId="0" borderId="2" applyAlignment="1" applyProtection="1" pivotButton="0" quotePrefix="0" xfId="0">
      <alignment vertical="center"/>
      <protection locked="0" hidden="0"/>
    </xf>
    <xf numFmtId="166" fontId="4" fillId="2" borderId="2" applyAlignment="1" applyProtection="1" pivotButton="0" quotePrefix="0" xfId="0">
      <alignment vertical="center"/>
      <protection locked="0" hidden="0"/>
    </xf>
    <xf numFmtId="43" fontId="3" fillId="12" borderId="2" applyAlignment="1" applyProtection="1" pivotButton="0" quotePrefix="0" xfId="0">
      <alignment vertical="center"/>
      <protection locked="0" hidden="0"/>
    </xf>
    <xf numFmtId="43" fontId="4" fillId="5" borderId="2" applyAlignment="1" applyProtection="1" pivotButton="0" quotePrefix="0" xfId="0">
      <alignment horizontal="right" vertical="center"/>
      <protection locked="0" hidden="0"/>
    </xf>
    <xf numFmtId="43" fontId="2" fillId="5" borderId="4" applyAlignment="1" applyProtection="1" pivotButton="0" quotePrefix="0" xfId="0">
      <alignment horizontal="right" vertical="center"/>
      <protection locked="0" hidden="0"/>
    </xf>
    <xf numFmtId="43" fontId="0" fillId="0" borderId="0" applyAlignment="1" applyProtection="1" pivotButton="0" quotePrefix="0" xfId="0">
      <alignment vertical="center"/>
      <protection locked="0" hidden="0"/>
    </xf>
    <xf numFmtId="43" fontId="7" fillId="20" borderId="3" applyAlignment="1" pivotButton="0" quotePrefix="0" xfId="52">
      <alignment horizontal="center" vertical="center"/>
    </xf>
    <xf numFmtId="171" fontId="2" fillId="12" borderId="2" applyAlignment="1" applyProtection="1" pivotButton="0" quotePrefix="0" xfId="1">
      <alignment horizontal="right" vertical="center"/>
      <protection locked="0" hidden="0"/>
    </xf>
    <xf numFmtId="171" fontId="4" fillId="12" borderId="2" applyAlignment="1" applyProtection="1" pivotButton="0" quotePrefix="0" xfId="1">
      <alignment horizontal="right" vertical="center"/>
      <protection locked="0" hidden="0"/>
    </xf>
    <xf numFmtId="171" fontId="2" fillId="12" borderId="2" applyAlignment="1" applyProtection="1" pivotButton="0" quotePrefix="0" xfId="1">
      <alignment vertical="center"/>
      <protection locked="0" hidden="0"/>
    </xf>
    <xf numFmtId="171" fontId="2" fillId="25" borderId="2" applyAlignment="1" applyProtection="1" pivotButton="0" quotePrefix="0" xfId="1">
      <alignment vertical="center"/>
      <protection locked="0" hidden="0"/>
    </xf>
    <xf numFmtId="171" fontId="2" fillId="25" borderId="2" applyAlignment="1" pivotButton="0" quotePrefix="0" xfId="1">
      <alignment vertical="center"/>
    </xf>
    <xf numFmtId="43" fontId="4" fillId="2" borderId="2" applyAlignment="1" pivotButton="0" quotePrefix="0" xfId="52">
      <alignment horizontal="left" vertical="center"/>
    </xf>
    <xf numFmtId="172" fontId="2" fillId="12" borderId="2" applyAlignment="1" applyProtection="1" pivotButton="0" quotePrefix="0" xfId="1">
      <alignment horizontal="right" vertical="center"/>
      <protection locked="0" hidden="0"/>
    </xf>
    <xf numFmtId="172" fontId="4" fillId="12" borderId="2" applyAlignment="1" applyProtection="1" pivotButton="0" quotePrefix="0" xfId="1">
      <alignment horizontal="right" vertical="center"/>
      <protection locked="0" hidden="0"/>
    </xf>
    <xf numFmtId="172" fontId="2" fillId="12" borderId="2" applyAlignment="1" applyProtection="1" pivotButton="0" quotePrefix="0" xfId="1">
      <alignment vertical="center"/>
      <protection locked="0" hidden="0"/>
    </xf>
    <xf numFmtId="172" fontId="2" fillId="12" borderId="2" applyAlignment="1" pivotButton="0" quotePrefix="0" xfId="1">
      <alignment vertical="center"/>
    </xf>
    <xf numFmtId="43" fontId="0" fillId="0" borderId="0" applyAlignment="1" pivotButton="0" quotePrefix="0" xfId="1">
      <alignment vertical="center"/>
    </xf>
    <xf numFmtId="43" fontId="7" fillId="16" borderId="2" applyAlignment="1" pivotButton="0" quotePrefix="0" xfId="52">
      <alignment horizontal="center" vertical="center"/>
    </xf>
    <xf numFmtId="43" fontId="4" fillId="12" borderId="2" applyAlignment="1" applyProtection="1" pivotButton="0" quotePrefix="0" xfId="0">
      <alignment horizontal="right" vertical="center"/>
      <protection locked="0" hidden="0"/>
    </xf>
    <xf numFmtId="43" fontId="2" fillId="25" borderId="2" applyAlignment="1" applyProtection="1" pivotButton="0" quotePrefix="0" xfId="0">
      <alignment vertical="center"/>
      <protection locked="0" hidden="0"/>
    </xf>
    <xf numFmtId="43" fontId="2" fillId="25" borderId="2" applyAlignment="1" pivotButton="0" quotePrefix="0" xfId="0">
      <alignment vertical="center"/>
    </xf>
    <xf numFmtId="43" fontId="2" fillId="20" borderId="2" applyAlignment="1" pivotButton="0" quotePrefix="0" xfId="52">
      <alignment horizontal="left"/>
    </xf>
    <xf numFmtId="43" fontId="2" fillId="16" borderId="2" applyAlignment="1" pivotButton="0" quotePrefix="0" xfId="52">
      <alignment horizontal="left" indent="2"/>
    </xf>
    <xf numFmtId="43" fontId="2" fillId="16" borderId="2" applyAlignment="1" pivotButton="0" quotePrefix="0" xfId="52">
      <alignment horizontal="left" vertical="center"/>
    </xf>
    <xf numFmtId="43" fontId="2" fillId="16" borderId="2" applyAlignment="1" pivotButton="0" quotePrefix="0" xfId="52">
      <alignment horizontal="left"/>
    </xf>
    <xf numFmtId="43" fontId="2" fillId="16" borderId="2" applyAlignment="1" pivotButton="0" quotePrefix="0" xfId="52">
      <alignment horizontal="left" vertical="center" indent="2"/>
    </xf>
    <xf numFmtId="43" fontId="2" fillId="12" borderId="4" applyAlignment="1" applyProtection="1" pivotButton="0" quotePrefix="0" xfId="0">
      <alignment horizontal="right" vertical="center"/>
      <protection locked="0" hidden="0"/>
    </xf>
    <xf numFmtId="43" fontId="2" fillId="12" borderId="4" applyAlignment="1" applyProtection="1" pivotButton="0" quotePrefix="0" xfId="0">
      <alignment vertical="center"/>
      <protection locked="0" hidden="0"/>
    </xf>
    <xf numFmtId="43" fontId="2" fillId="12" borderId="2" applyAlignment="1" applyProtection="1" pivotButton="0" quotePrefix="0" xfId="0">
      <alignment vertical="center"/>
      <protection locked="0" hidden="0"/>
    </xf>
    <xf numFmtId="171" fontId="2" fillId="12" borderId="2" applyAlignment="1" applyProtection="1" pivotButton="0" quotePrefix="0" xfId="0">
      <alignment horizontal="center" vertical="center"/>
      <protection locked="0" hidden="0"/>
    </xf>
    <xf numFmtId="166" fontId="4" fillId="0" borderId="0" applyAlignment="1" pivotButton="0" quotePrefix="0" xfId="0">
      <alignment vertical="center"/>
    </xf>
    <xf numFmtId="171" fontId="4" fillId="12" borderId="2" applyAlignment="1" applyProtection="1" pivotButton="0" quotePrefix="0" xfId="0">
      <alignment horizontal="right" vertical="center"/>
      <protection locked="0" hidden="0"/>
    </xf>
    <xf numFmtId="166" fontId="2" fillId="6" borderId="0" applyAlignment="1" pivotButton="0" quotePrefix="0" xfId="0">
      <alignment vertical="center"/>
    </xf>
    <xf numFmtId="167" fontId="2" fillId="0" borderId="0" applyAlignment="1" pivotButton="0" quotePrefix="0" xfId="0">
      <alignment vertical="center"/>
    </xf>
    <xf numFmtId="171" fontId="2" fillId="2" borderId="2" applyAlignment="1" applyProtection="1" pivotButton="0" quotePrefix="0" xfId="0">
      <alignment horizontal="right" vertical="center"/>
      <protection locked="0" hidden="0"/>
    </xf>
    <xf numFmtId="171" fontId="2" fillId="12" borderId="2" applyAlignment="1" applyProtection="1" pivotButton="0" quotePrefix="0" xfId="0">
      <alignment vertical="center"/>
      <protection locked="0" hidden="0"/>
    </xf>
    <xf numFmtId="171" fontId="2" fillId="12" borderId="2" applyAlignment="1" pivotButton="0" quotePrefix="0" xfId="0">
      <alignment horizontal="right" vertical="center"/>
    </xf>
    <xf numFmtId="171" fontId="2" fillId="12" borderId="2" applyAlignment="1" pivotButton="0" quotePrefix="0" xfId="0">
      <alignment horizontal="center" vertical="center"/>
    </xf>
    <xf numFmtId="171" fontId="4" fillId="12" borderId="2" applyAlignment="1" applyProtection="1" pivotButton="0" quotePrefix="0" xfId="0">
      <alignment horizontal="center" vertical="center"/>
      <protection locked="0" hidden="0"/>
    </xf>
    <xf numFmtId="171" fontId="4" fillId="0" borderId="2" applyAlignment="1" applyProtection="1" pivotButton="0" quotePrefix="0" xfId="0">
      <alignment horizontal="right" vertical="center"/>
      <protection locked="0" hidden="0"/>
    </xf>
    <xf numFmtId="166" fontId="4" fillId="20" borderId="0" applyAlignment="1" pivotButton="0" quotePrefix="0" xfId="0">
      <alignment vertical="center"/>
    </xf>
    <xf numFmtId="171" fontId="4" fillId="0" borderId="0" applyAlignment="1" pivotButton="0" quotePrefix="0" xfId="0">
      <alignment vertical="center"/>
    </xf>
    <xf numFmtId="171" fontId="3" fillId="0" borderId="0" applyAlignment="1" pivotButton="0" quotePrefix="0" xfId="0">
      <alignment vertical="center"/>
    </xf>
    <xf numFmtId="171" fontId="4" fillId="12" borderId="2" applyAlignment="1" pivotButton="0" quotePrefix="0" xfId="0">
      <alignment horizontal="right" vertical="center"/>
    </xf>
    <xf numFmtId="171" fontId="4" fillId="12" borderId="2" applyAlignment="1" pivotButton="0" quotePrefix="0" xfId="0">
      <alignment horizontal="center" vertical="center"/>
    </xf>
    <xf numFmtId="43" fontId="4" fillId="2" borderId="2" applyAlignment="1" applyProtection="1" pivotButton="0" quotePrefix="0" xfId="0">
      <alignment horizontal="right" vertical="center"/>
      <protection locked="0" hidden="0"/>
    </xf>
    <xf numFmtId="43" fontId="6" fillId="24" borderId="2" applyAlignment="1" applyProtection="1" pivotButton="0" quotePrefix="0" xfId="1">
      <alignment horizontal="center" vertical="center"/>
      <protection locked="0" hidden="0"/>
    </xf>
    <xf numFmtId="43" fontId="6" fillId="24" borderId="13" applyAlignment="1" applyProtection="1" pivotButton="0" quotePrefix="0" xfId="1">
      <alignment horizontal="center" vertical="center"/>
      <protection locked="0" hidden="0"/>
    </xf>
    <xf numFmtId="43" fontId="6" fillId="12" borderId="2" applyAlignment="1" applyProtection="1" pivotButton="0" quotePrefix="0" xfId="1">
      <alignment horizontal="right" vertical="center" shrinkToFit="1"/>
      <protection locked="0" hidden="0"/>
    </xf>
    <xf numFmtId="43" fontId="6" fillId="0" borderId="2" applyAlignment="1" applyProtection="1" pivotButton="0" quotePrefix="0" xfId="1">
      <alignment horizontal="right" vertical="center" shrinkToFit="1"/>
      <protection locked="0" hidden="0"/>
    </xf>
    <xf numFmtId="43" fontId="6" fillId="12" borderId="13" applyAlignment="1" applyProtection="1" pivotButton="0" quotePrefix="0" xfId="1">
      <alignment horizontal="right" vertical="center" shrinkToFit="1"/>
      <protection locked="0" hidden="0"/>
    </xf>
    <xf numFmtId="43" fontId="6" fillId="12" borderId="2" applyAlignment="1" applyProtection="1" pivotButton="0" quotePrefix="0" xfId="1">
      <alignment horizontal="center" vertical="center" shrinkToFit="1"/>
      <protection locked="0" hidden="0"/>
    </xf>
    <xf numFmtId="43" fontId="6" fillId="12" borderId="13" applyAlignment="1" applyProtection="1" pivotButton="0" quotePrefix="0" xfId="1">
      <alignment horizontal="center" vertical="center" shrinkToFit="1"/>
      <protection locked="0" hidden="0"/>
    </xf>
    <xf numFmtId="170" fontId="6" fillId="22" borderId="6" applyAlignment="1" pivotButton="0" quotePrefix="0" xfId="0">
      <alignment horizontal="left" vertical="center"/>
    </xf>
    <xf numFmtId="165" fontId="2" fillId="20" borderId="11" applyAlignment="1" pivotButton="0" quotePrefix="0" xfId="0">
      <alignment horizontal="center" vertical="center"/>
    </xf>
    <xf numFmtId="43" fontId="6" fillId="12" borderId="11" applyAlignment="1" applyProtection="1" pivotButton="0" quotePrefix="0" xfId="1">
      <alignment horizontal="center" vertical="center" shrinkToFit="1"/>
      <protection locked="0" hidden="0"/>
    </xf>
    <xf numFmtId="43" fontId="6" fillId="12" borderId="11" applyAlignment="1" applyProtection="1" pivotButton="0" quotePrefix="0" xfId="1">
      <alignment horizontal="right" vertical="center" shrinkToFit="1"/>
      <protection locked="0" hidden="0"/>
    </xf>
    <xf numFmtId="43" fontId="6" fillId="12" borderId="14" applyAlignment="1" applyProtection="1" pivotButton="0" quotePrefix="0" xfId="1">
      <alignment horizontal="right" vertical="center" shrinkToFit="1"/>
      <protection locked="0" hidden="0"/>
    </xf>
    <xf numFmtId="166" fontId="2" fillId="0" borderId="2" applyAlignment="1" applyProtection="1" pivotButton="0" quotePrefix="0" xfId="0">
      <alignment vertical="center"/>
      <protection locked="0" hidden="0"/>
    </xf>
    <xf numFmtId="43" fontId="2" fillId="12" borderId="2" applyAlignment="1" applyProtection="1" pivotButton="0" quotePrefix="0" xfId="1">
      <alignment vertical="center"/>
      <protection locked="0" hidden="0"/>
    </xf>
    <xf numFmtId="170" fontId="6" fillId="22" borderId="2" applyAlignment="1" pivotButton="0" quotePrefix="0" xfId="0">
      <alignment horizontal="left" vertical="center"/>
    </xf>
    <xf numFmtId="43" fontId="2" fillId="6" borderId="2" applyAlignment="1" pivotButton="0" quotePrefix="0" xfId="1">
      <alignment vertical="center"/>
    </xf>
    <xf numFmtId="43" fontId="2" fillId="6" borderId="40" applyAlignment="1" pivotButton="0" quotePrefix="0" xfId="1">
      <alignment vertical="center"/>
    </xf>
    <xf numFmtId="169" fontId="7" fillId="20" borderId="40" applyAlignment="1" pivotButton="0" quotePrefix="0" xfId="50">
      <alignment horizontal="center" vertical="center"/>
    </xf>
    <xf numFmtId="43" fontId="7" fillId="20" borderId="40" applyAlignment="1" pivotButton="0" quotePrefix="0" xfId="50">
      <alignment horizontal="center" vertical="center"/>
    </xf>
    <xf numFmtId="43" fontId="7" fillId="23" borderId="40" applyAlignment="1" pivotButton="0" quotePrefix="0" xfId="50">
      <alignment horizontal="center" vertical="center"/>
    </xf>
    <xf numFmtId="43" fontId="7" fillId="23" borderId="40" applyAlignment="1" pivotButton="0" quotePrefix="0" xfId="1">
      <alignment horizontal="center" vertical="center"/>
    </xf>
    <xf numFmtId="169" fontId="7" fillId="20" borderId="48" applyAlignment="1" pivotButton="0" quotePrefix="0" xfId="50">
      <alignment horizontal="center" vertical="center"/>
    </xf>
    <xf numFmtId="43" fontId="2" fillId="23" borderId="2" applyAlignment="1" pivotButton="0" quotePrefix="0" xfId="1">
      <alignment vertical="center"/>
    </xf>
    <xf numFmtId="43" fontId="4" fillId="23" borderId="26" applyAlignment="1" pivotButton="0" quotePrefix="0" xfId="1">
      <alignment horizontal="right" vertical="center"/>
    </xf>
    <xf numFmtId="43" fontId="2" fillId="23" borderId="2" applyAlignment="1" pivotButton="0" quotePrefix="0" xfId="1">
      <alignment horizontal="right" vertical="center"/>
    </xf>
    <xf numFmtId="169" fontId="4" fillId="20" borderId="2" applyAlignment="1" pivotButton="0" quotePrefix="0" xfId="50">
      <alignment horizontal="left" vertical="center"/>
    </xf>
    <xf numFmtId="166" fontId="2" fillId="23" borderId="2" applyAlignment="1" applyProtection="1" pivotButton="0" quotePrefix="0" xfId="0">
      <alignment horizontal="right" vertical="center"/>
      <protection locked="0" hidden="0"/>
    </xf>
    <xf numFmtId="169" fontId="2" fillId="20" borderId="2" applyAlignment="1" pivotButton="0" quotePrefix="0" xfId="50">
      <alignment horizontal="left" vertical="center"/>
    </xf>
    <xf numFmtId="43" fontId="0" fillId="3" borderId="0" applyAlignment="1" pivotButton="0" quotePrefix="0" xfId="1">
      <alignment vertical="center"/>
    </xf>
    <xf numFmtId="169" fontId="7" fillId="20" borderId="2" applyAlignment="1" pivotButton="0" quotePrefix="0" xfId="50">
      <alignment horizontal="center" vertical="center"/>
    </xf>
    <xf numFmtId="166" fontId="4" fillId="12" borderId="2" applyAlignment="1" pivotButton="0" quotePrefix="0" xfId="0">
      <alignment horizontal="center" vertical="center"/>
    </xf>
    <xf numFmtId="166" fontId="0" fillId="0" borderId="0" applyAlignment="1" applyProtection="1" pivotButton="0" quotePrefix="0" xfId="0">
      <alignment vertical="center"/>
      <protection locked="0" hidden="0"/>
    </xf>
    <xf numFmtId="165" fontId="2" fillId="12" borderId="2" applyAlignment="1" pivotButton="0" quotePrefix="0" xfId="0">
      <alignment horizontal="center" vertical="center"/>
    </xf>
    <xf numFmtId="166" fontId="2" fillId="12" borderId="2" applyAlignment="1" pivotButton="0" quotePrefix="0" xfId="0">
      <alignment horizontal="center" vertical="center"/>
    </xf>
    <xf numFmtId="166" fontId="0" fillId="5" borderId="2" applyAlignment="1" pivotButton="0" quotePrefix="0" xfId="0">
      <alignment vertical="center"/>
    </xf>
    <xf numFmtId="166" fontId="0" fillId="0" borderId="2" applyAlignment="1" pivotButton="0" quotePrefix="0" xfId="0">
      <alignment vertical="center"/>
    </xf>
    <xf numFmtId="164" fontId="10" fillId="0" borderId="0" applyAlignment="1" pivotButton="0" quotePrefix="0" xfId="0">
      <alignment horizontal="left" vertical="center" wrapText="1"/>
    </xf>
    <xf numFmtId="0" fontId="0" fillId="0" borderId="28" pivotButton="0" quotePrefix="0" xfId="0"/>
    <xf numFmtId="0" fontId="0" fillId="0" borderId="29" pivotButton="0" quotePrefix="0" xfId="0"/>
    <xf numFmtId="165" fontId="8" fillId="11" borderId="2" applyAlignment="1" pivotButton="0" quotePrefix="0" xfId="0">
      <alignment horizontal="center" vertical="center"/>
    </xf>
    <xf numFmtId="166" fontId="0" fillId="5" borderId="2" applyAlignment="1" applyProtection="1" pivotButton="0" quotePrefix="0" xfId="0">
      <alignment vertical="center"/>
      <protection locked="0" hidden="0"/>
    </xf>
    <xf numFmtId="166" fontId="0" fillId="0" borderId="2" applyAlignment="1" applyProtection="1" pivotButton="0" quotePrefix="0" xfId="0">
      <alignment vertical="center"/>
      <protection locked="0" hidden="0"/>
    </xf>
    <xf numFmtId="166" fontId="7" fillId="8" borderId="6" applyAlignment="1" pivotButton="0" quotePrefix="0" xfId="0">
      <alignment horizontal="left" vertical="center"/>
    </xf>
    <xf numFmtId="166" fontId="8" fillId="11" borderId="2" applyAlignment="1" pivotButton="0" quotePrefix="0" xfId="0">
      <alignment horizontal="center" vertical="center"/>
    </xf>
    <xf numFmtId="165" fontId="8" fillId="11" borderId="11" applyAlignment="1" pivotButton="0" quotePrefix="0" xfId="0">
      <alignment horizontal="center" vertical="center"/>
    </xf>
    <xf numFmtId="166" fontId="1" fillId="21" borderId="2" applyAlignment="1" pivotButton="0" quotePrefix="0" xfId="0">
      <alignment horizontal="center" vertical="center"/>
    </xf>
    <xf numFmtId="166" fontId="1" fillId="0" borderId="2" applyAlignment="1" pivotButton="0" quotePrefix="0" xfId="0">
      <alignment horizontal="center" vertical="center"/>
    </xf>
    <xf numFmtId="0" fontId="0" fillId="0" borderId="47" pivotButton="0" quotePrefix="0" xfId="0"/>
    <xf numFmtId="0" fontId="0" fillId="0" borderId="49" pivotButton="0" quotePrefix="0" xfId="0"/>
    <xf numFmtId="0" fontId="7" fillId="10" borderId="10" applyAlignment="1" pivotButton="0" quotePrefix="0" xfId="0">
      <alignment horizontal="center" vertical="center"/>
    </xf>
    <xf numFmtId="0" fontId="0" fillId="0" borderId="58" pivotButton="0" quotePrefix="0" xfId="0"/>
    <xf numFmtId="0" fontId="0" fillId="0" borderId="52" pivotButton="0" quotePrefix="0" xfId="0"/>
    <xf numFmtId="0" fontId="0" fillId="0" borderId="39" pivotButton="0" quotePrefix="0" xfId="0"/>
    <xf numFmtId="0" fontId="0" fillId="0" borderId="48" pivotButton="0" quotePrefix="0" xfId="0"/>
    <xf numFmtId="43" fontId="11" fillId="8" borderId="2" applyAlignment="1" pivotButton="0" quotePrefix="0" xfId="0">
      <alignment horizontal="center" vertical="center"/>
    </xf>
    <xf numFmtId="166" fontId="11" fillId="8" borderId="6" applyAlignment="1" pivotButton="0" quotePrefix="0" xfId="0">
      <alignment horizontal="left" vertical="center"/>
    </xf>
    <xf numFmtId="43" fontId="8" fillId="11" borderId="2" applyAlignment="1" applyProtection="1" pivotButton="0" quotePrefix="0" xfId="1">
      <alignment vertical="center"/>
      <protection locked="0" hidden="0"/>
    </xf>
    <xf numFmtId="166" fontId="8" fillId="8" borderId="6" applyAlignment="1" pivotButton="0" quotePrefix="0" xfId="0">
      <alignment horizontal="left" vertical="center"/>
    </xf>
    <xf numFmtId="166" fontId="1" fillId="0" borderId="2" applyAlignment="1" applyProtection="1" pivotButton="0" quotePrefix="0" xfId="0">
      <alignment vertical="center"/>
      <protection locked="0" hidden="0"/>
    </xf>
    <xf numFmtId="166" fontId="1" fillId="12" borderId="2" applyAlignment="1" applyProtection="1" pivotButton="0" quotePrefix="0" xfId="0">
      <alignment vertical="center"/>
      <protection locked="0" hidden="0"/>
    </xf>
    <xf numFmtId="43" fontId="7" fillId="8" borderId="6" applyAlignment="1" pivotButton="0" quotePrefix="0" xfId="0">
      <alignment horizontal="left" vertical="top"/>
    </xf>
    <xf numFmtId="43" fontId="4" fillId="8" borderId="6" applyAlignment="1" pivotButton="0" quotePrefix="0" xfId="0">
      <alignment horizontal="left" vertical="top"/>
    </xf>
    <xf numFmtId="43" fontId="7" fillId="8" borderId="6" applyAlignment="1" pivotButton="0" quotePrefix="0" xfId="0">
      <alignment horizontal="center" vertical="top"/>
    </xf>
    <xf numFmtId="43" fontId="7" fillId="8" borderId="15" applyAlignment="1" pivotButton="0" quotePrefix="0" xfId="1">
      <alignment horizontal="left" vertical="top"/>
    </xf>
    <xf numFmtId="43" fontId="8" fillId="11" borderId="40" applyAlignment="1" applyProtection="1" pivotButton="0" quotePrefix="0" xfId="1">
      <alignment vertical="center"/>
      <protection locked="0" hidden="0"/>
    </xf>
    <xf numFmtId="0" fontId="7" fillId="8" borderId="2" applyAlignment="1" pivotButton="0" quotePrefix="1" xfId="0">
      <alignment horizontal="center" vertical="center"/>
    </xf>
    <xf numFmtId="166" fontId="11" fillId="8" borderId="3" applyAlignment="1" pivotButton="0" quotePrefix="0" xfId="0">
      <alignment horizontal="left" vertical="center"/>
    </xf>
    <xf numFmtId="43" fontId="8" fillId="12" borderId="2" applyAlignment="1" applyProtection="1" pivotButton="0" quotePrefix="0" xfId="1">
      <alignment horizontal="right" vertical="center"/>
      <protection locked="0" hidden="0"/>
    </xf>
    <xf numFmtId="43" fontId="8" fillId="12" borderId="2" applyAlignment="1" pivotButton="0" quotePrefix="0" xfId="1">
      <alignment horizontal="right" vertical="center"/>
    </xf>
    <xf numFmtId="43" fontId="8" fillId="9" borderId="2" applyAlignment="1" applyProtection="1" pivotButton="0" quotePrefix="0" xfId="1">
      <alignment horizontal="right" vertical="center"/>
      <protection locked="0" hidden="0"/>
    </xf>
    <xf numFmtId="43" fontId="8" fillId="0" borderId="2" applyAlignment="1" applyProtection="1" pivotButton="0" quotePrefix="0" xfId="1">
      <alignment vertical="center"/>
      <protection locked="0" hidden="0"/>
    </xf>
    <xf numFmtId="43" fontId="8" fillId="12" borderId="2" applyAlignment="1" applyProtection="1" pivotButton="0" quotePrefix="0" xfId="1">
      <alignment vertical="center"/>
      <protection locked="0" hidden="0"/>
    </xf>
    <xf numFmtId="43" fontId="8" fillId="12" borderId="2" applyAlignment="1" pivotButton="0" quotePrefix="0" xfId="1">
      <alignment vertical="center"/>
    </xf>
    <xf numFmtId="166" fontId="13" fillId="8" borderId="3" applyAlignment="1" pivotButton="0" quotePrefix="0" xfId="0">
      <alignment horizontal="left" vertical="center"/>
    </xf>
    <xf numFmtId="166" fontId="20" fillId="8" borderId="41" applyAlignment="1" pivotButton="0" quotePrefix="0" xfId="0">
      <alignment horizontal="left" vertical="center"/>
    </xf>
    <xf numFmtId="43" fontId="8" fillId="11" borderId="2" applyAlignment="1" applyProtection="1" pivotButton="0" quotePrefix="0" xfId="0">
      <alignment horizontal="right" vertical="center"/>
      <protection locked="0" hidden="0"/>
    </xf>
    <xf numFmtId="43" fontId="4" fillId="12" borderId="40" applyAlignment="1" applyProtection="1" pivotButton="0" quotePrefix="0" xfId="1">
      <alignment horizontal="center" vertical="center"/>
      <protection locked="0" hidden="0"/>
    </xf>
    <xf numFmtId="43" fontId="4" fillId="12" borderId="40" applyAlignment="1" pivotButton="0" quotePrefix="0" xfId="1">
      <alignment horizontal="center" vertical="center"/>
    </xf>
    <xf numFmtId="43" fontId="8" fillId="11" borderId="2" applyAlignment="1" pivotButton="0" quotePrefix="0" xfId="0">
      <alignment horizontal="right" vertical="center"/>
    </xf>
    <xf numFmtId="166" fontId="18" fillId="8" borderId="41" applyAlignment="1" pivotButton="0" quotePrefix="0" xfId="0">
      <alignment horizontal="left" vertical="center" indent="1"/>
    </xf>
    <xf numFmtId="43" fontId="8" fillId="2" borderId="2" applyAlignment="1" applyProtection="1" pivotButton="0" quotePrefix="0" xfId="0">
      <alignment horizontal="right" vertical="center"/>
      <protection locked="0" hidden="0"/>
    </xf>
    <xf numFmtId="43" fontId="8" fillId="12" borderId="2" applyAlignment="1" applyProtection="1" pivotButton="0" quotePrefix="0" xfId="0">
      <alignment horizontal="right" vertical="center"/>
      <protection locked="0" hidden="0"/>
    </xf>
    <xf numFmtId="43" fontId="8" fillId="12" borderId="2" applyAlignment="1" pivotButton="0" quotePrefix="0" xfId="0">
      <alignment horizontal="right" vertical="center"/>
    </xf>
    <xf numFmtId="43" fontId="8" fillId="9" borderId="2" applyAlignment="1" applyProtection="1" pivotButton="0" quotePrefix="0" xfId="0">
      <alignment horizontal="right" vertical="center"/>
      <protection locked="0" hidden="0"/>
    </xf>
    <xf numFmtId="43" fontId="7" fillId="16" borderId="5" applyAlignment="1" pivotButton="0" quotePrefix="0" xfId="0">
      <alignment horizontal="center" vertical="center"/>
    </xf>
    <xf numFmtId="43" fontId="7" fillId="16" borderId="10" applyAlignment="1" pivotButton="0" quotePrefix="0" xfId="0">
      <alignment horizontal="center" vertical="top"/>
    </xf>
    <xf numFmtId="43" fontId="7" fillId="16" borderId="12" applyAlignment="1" pivotButton="0" quotePrefix="0" xfId="0">
      <alignment horizontal="center" vertical="top"/>
    </xf>
    <xf numFmtId="0" fontId="0" fillId="0" borderId="30" pivotButton="0" quotePrefix="0" xfId="0"/>
    <xf numFmtId="43" fontId="7" fillId="16" borderId="2" applyAlignment="1" pivotButton="0" quotePrefix="0" xfId="0">
      <alignment horizontal="center" vertical="center" wrapText="1"/>
    </xf>
    <xf numFmtId="43" fontId="7" fillId="16" borderId="2" applyAlignment="1" pivotButton="0" quotePrefix="0" xfId="0">
      <alignment horizontal="center" vertical="center"/>
    </xf>
    <xf numFmtId="43" fontId="7" fillId="16" borderId="13" applyAlignment="1" pivotButton="0" quotePrefix="0" xfId="0">
      <alignment horizontal="center" vertical="center"/>
    </xf>
    <xf numFmtId="43" fontId="7" fillId="16" borderId="2" applyAlignment="1" pivotButton="0" quotePrefix="0" xfId="0">
      <alignment vertical="top"/>
    </xf>
    <xf numFmtId="43" fontId="7" fillId="16" borderId="13" applyAlignment="1" pivotButton="0" quotePrefix="0" xfId="0">
      <alignment vertical="top"/>
    </xf>
    <xf numFmtId="43" fontId="7" fillId="16" borderId="6" applyAlignment="1" pivotButton="0" quotePrefix="0" xfId="0">
      <alignment horizontal="left" vertical="top"/>
    </xf>
    <xf numFmtId="43" fontId="4" fillId="11" borderId="2" applyAlignment="1" applyProtection="1" pivotButton="0" quotePrefix="0" xfId="0">
      <alignment horizontal="center" vertical="top"/>
      <protection locked="0" hidden="0"/>
    </xf>
    <xf numFmtId="43" fontId="4" fillId="11" borderId="13" applyAlignment="1" applyProtection="1" pivotButton="0" quotePrefix="0" xfId="0">
      <alignment horizontal="center" vertical="top"/>
      <protection locked="0" hidden="0"/>
    </xf>
    <xf numFmtId="43" fontId="7" fillId="16" borderId="20" applyAlignment="1" pivotButton="0" quotePrefix="0" xfId="0">
      <alignment vertical="top"/>
    </xf>
    <xf numFmtId="43" fontId="8" fillId="11" borderId="2" applyAlignment="1" applyProtection="1" pivotButton="0" quotePrefix="0" xfId="1">
      <alignment horizontal="right"/>
      <protection locked="0" hidden="0"/>
    </xf>
    <xf numFmtId="43" fontId="4" fillId="11" borderId="2" applyProtection="1" pivotButton="0" quotePrefix="0" xfId="1">
      <protection locked="0" hidden="0"/>
    </xf>
    <xf numFmtId="43" fontId="8" fillId="11" borderId="41" applyAlignment="1" applyProtection="1" pivotButton="0" quotePrefix="0" xfId="1">
      <alignment horizontal="center" vertical="center"/>
      <protection locked="0" hidden="0"/>
    </xf>
    <xf numFmtId="43" fontId="8" fillId="11" borderId="41" applyAlignment="1" applyProtection="1" pivotButton="0" quotePrefix="0" xfId="1">
      <alignment horizontal="right" vertical="center"/>
      <protection locked="0" hidden="0"/>
    </xf>
    <xf numFmtId="43" fontId="4" fillId="0" borderId="2" applyProtection="1" pivotButton="0" quotePrefix="0" xfId="1">
      <protection locked="0" hidden="0"/>
    </xf>
    <xf numFmtId="43" fontId="8" fillId="11" borderId="13" applyProtection="1" pivotButton="0" quotePrefix="0" xfId="1">
      <protection locked="0" hidden="0"/>
    </xf>
    <xf numFmtId="43" fontId="7" fillId="16" borderId="6" applyAlignment="1" pivotButton="0" quotePrefix="0" xfId="0">
      <alignment vertical="top"/>
    </xf>
    <xf numFmtId="43" fontId="7" fillId="16" borderId="20" applyAlignment="1" pivotButton="0" quotePrefix="0" xfId="0">
      <alignment horizontal="left" vertical="top"/>
    </xf>
    <xf numFmtId="43" fontId="8" fillId="11" borderId="44" applyAlignment="1" applyProtection="1" pivotButton="0" quotePrefix="0" xfId="1">
      <alignment horizontal="center" vertical="center"/>
      <protection locked="0" hidden="0"/>
    </xf>
    <xf numFmtId="43" fontId="7" fillId="16" borderId="15" applyAlignment="1" pivotButton="0" quotePrefix="0" xfId="0">
      <alignment horizontal="left" vertical="top"/>
    </xf>
    <xf numFmtId="43" fontId="8" fillId="11" borderId="11" applyAlignment="1" applyProtection="1" pivotButton="0" quotePrefix="0" xfId="1">
      <alignment horizontal="right"/>
      <protection locked="0" hidden="0"/>
    </xf>
    <xf numFmtId="43" fontId="4" fillId="11" borderId="11" applyProtection="1" pivotButton="0" quotePrefix="0" xfId="1">
      <protection locked="0" hidden="0"/>
    </xf>
    <xf numFmtId="43" fontId="4" fillId="11" borderId="11" applyAlignment="1" applyProtection="1" pivotButton="0" quotePrefix="0" xfId="1">
      <alignment horizontal="right"/>
      <protection locked="0" hidden="0"/>
    </xf>
    <xf numFmtId="43" fontId="8" fillId="11" borderId="42" applyAlignment="1" applyProtection="1" pivotButton="0" quotePrefix="0" xfId="1">
      <alignment horizontal="center" vertical="center"/>
      <protection locked="0" hidden="0"/>
    </xf>
    <xf numFmtId="43" fontId="8" fillId="11" borderId="42" applyAlignment="1" applyProtection="1" pivotButton="0" quotePrefix="0" xfId="1">
      <alignment horizontal="right" vertical="center"/>
      <protection locked="0" hidden="0"/>
    </xf>
    <xf numFmtId="43" fontId="4" fillId="0" borderId="11" applyProtection="1" pivotButton="0" quotePrefix="0" xfId="1">
      <protection locked="0" hidden="0"/>
    </xf>
    <xf numFmtId="43" fontId="8" fillId="11" borderId="14" applyProtection="1" pivotButton="0" quotePrefix="0" xfId="1">
      <protection locked="0" hidden="0"/>
    </xf>
    <xf numFmtId="43" fontId="4" fillId="3" borderId="0" applyAlignment="1" pivotButton="0" quotePrefix="0" xfId="0">
      <alignment horizontal="left" vertical="center"/>
    </xf>
    <xf numFmtId="43" fontId="4" fillId="3" borderId="0" applyAlignment="1" pivotButton="0" quotePrefix="0" xfId="0">
      <alignment vertical="center"/>
    </xf>
    <xf numFmtId="168" fontId="2" fillId="0" borderId="0" applyAlignment="1" pivotButton="0" quotePrefix="0" xfId="0">
      <alignment vertical="center"/>
    </xf>
    <xf numFmtId="43" fontId="4" fillId="16" borderId="5" applyAlignment="1" pivotButton="0" quotePrefix="0" xfId="0">
      <alignment horizontal="center" vertical="center"/>
    </xf>
    <xf numFmtId="43" fontId="4" fillId="16" borderId="21" applyAlignment="1" pivotButton="0" quotePrefix="0" xfId="0">
      <alignment horizontal="center" vertical="center"/>
    </xf>
    <xf numFmtId="43" fontId="4" fillId="16" borderId="71" applyAlignment="1" pivotButton="0" quotePrefix="0" xfId="0">
      <alignment horizontal="center" vertical="center"/>
    </xf>
    <xf numFmtId="0" fontId="0" fillId="0" borderId="23" pivotButton="0" quotePrefix="0" xfId="0"/>
    <xf numFmtId="43" fontId="4" fillId="16" borderId="10" applyAlignment="1" pivotButton="0" quotePrefix="0" xfId="0">
      <alignment horizontal="center" vertical="center"/>
    </xf>
    <xf numFmtId="43" fontId="4" fillId="16" borderId="12" applyAlignment="1" pivotButton="0" quotePrefix="0" xfId="0">
      <alignment horizontal="center" vertical="center"/>
    </xf>
    <xf numFmtId="43" fontId="4" fillId="12" borderId="73" applyAlignment="1" pivotButton="0" quotePrefix="0" xfId="0">
      <alignment horizontal="center" vertical="center" wrapText="1"/>
    </xf>
    <xf numFmtId="0" fontId="0" fillId="0" borderId="72" pivotButton="0" quotePrefix="0" xfId="0"/>
    <xf numFmtId="43" fontId="4" fillId="16" borderId="25" applyAlignment="1" pivotButton="0" quotePrefix="0" xfId="0">
      <alignment horizontal="center" vertical="center"/>
    </xf>
    <xf numFmtId="43" fontId="4" fillId="16" borderId="32" applyAlignment="1" pivotButton="0" quotePrefix="0" xfId="0">
      <alignment horizontal="center" vertical="center"/>
    </xf>
    <xf numFmtId="0" fontId="0" fillId="0" borderId="33" pivotButton="0" quotePrefix="0" xfId="0"/>
    <xf numFmtId="43" fontId="4" fillId="0" borderId="0" applyAlignment="1" pivotButton="0" quotePrefix="0" xfId="0">
      <alignment horizontal="center" vertical="center"/>
    </xf>
    <xf numFmtId="43" fontId="4" fillId="0" borderId="34" applyAlignment="1" pivotButton="0" quotePrefix="0" xfId="0">
      <alignment horizontal="center" vertical="center"/>
    </xf>
    <xf numFmtId="43" fontId="4" fillId="0" borderId="33" applyAlignment="1" pivotButton="0" quotePrefix="0" xfId="0">
      <alignment horizontal="center" vertical="center" wrapText="1"/>
    </xf>
    <xf numFmtId="43" fontId="4" fillId="16" borderId="20" applyAlignment="1" pivotButton="0" quotePrefix="0" xfId="0">
      <alignment horizontal="left" vertical="center"/>
    </xf>
    <xf numFmtId="43" fontId="4" fillId="16" borderId="27" applyAlignment="1" pivotButton="0" quotePrefix="0" xfId="0">
      <alignment horizontal="center" vertical="center"/>
    </xf>
    <xf numFmtId="166" fontId="8" fillId="17" borderId="2" applyAlignment="1" pivotButton="0" quotePrefix="0" xfId="0">
      <alignment horizontal="center" vertical="center"/>
    </xf>
    <xf numFmtId="166" fontId="8" fillId="17" borderId="2" applyAlignment="1" pivotButton="0" quotePrefix="0" xfId="3">
      <alignment horizontal="center" vertical="center"/>
    </xf>
    <xf numFmtId="166" fontId="8" fillId="17" borderId="13" applyAlignment="1" pivotButton="0" quotePrefix="0" xfId="0">
      <alignment horizontal="center" vertical="center"/>
    </xf>
    <xf numFmtId="43" fontId="8" fillId="12" borderId="35" applyAlignment="1" pivotButton="0" quotePrefix="0" xfId="0">
      <alignment horizontal="center" vertical="center"/>
    </xf>
    <xf numFmtId="166" fontId="8" fillId="0" borderId="2" applyAlignment="1" applyProtection="1" pivotButton="0" quotePrefix="0" xfId="0">
      <alignment horizontal="center" vertical="center"/>
      <protection locked="0" hidden="0"/>
    </xf>
    <xf numFmtId="166" fontId="8" fillId="9" borderId="2" applyAlignment="1" applyProtection="1" pivotButton="0" quotePrefix="0" xfId="0">
      <alignment horizontal="center" vertical="center"/>
      <protection locked="0" hidden="0"/>
    </xf>
    <xf numFmtId="166" fontId="8" fillId="18" borderId="2" applyAlignment="1" pivotButton="0" quotePrefix="0" xfId="0">
      <alignment horizontal="center" vertical="center"/>
    </xf>
    <xf numFmtId="43" fontId="4" fillId="16" borderId="36" applyAlignment="1" pivotButton="0" quotePrefix="0" xfId="0">
      <alignment horizontal="left" vertical="center"/>
    </xf>
    <xf numFmtId="43" fontId="4" fillId="16" borderId="37" applyAlignment="1" pivotButton="0" quotePrefix="0" xfId="0">
      <alignment horizontal="center" vertical="center"/>
    </xf>
    <xf numFmtId="166" fontId="8" fillId="17" borderId="11" applyAlignment="1" pivotButton="0" quotePrefix="0" xfId="0">
      <alignment horizontal="center" vertical="center"/>
    </xf>
    <xf numFmtId="166" fontId="8" fillId="17" borderId="11" applyAlignment="1" pivotButton="0" quotePrefix="0" xfId="3">
      <alignment horizontal="center" vertical="center"/>
    </xf>
    <xf numFmtId="166" fontId="8" fillId="17" borderId="14" applyAlignment="1" pivotButton="0" quotePrefix="0" xfId="0">
      <alignment horizontal="center" vertical="center"/>
    </xf>
    <xf numFmtId="43" fontId="8" fillId="12" borderId="38" applyAlignment="1" pivotButton="0" quotePrefix="0" xfId="0">
      <alignment horizontal="center" vertical="center"/>
    </xf>
    <xf numFmtId="43" fontId="19" fillId="19" borderId="0" applyAlignment="1" pivotButton="0" quotePrefix="0" xfId="1">
      <alignment vertical="center"/>
    </xf>
    <xf numFmtId="43" fontId="2" fillId="3" borderId="0" applyAlignment="1" pivotButton="0" quotePrefix="0" xfId="1">
      <alignment horizontal="left" vertical="center"/>
    </xf>
    <xf numFmtId="43" fontId="14" fillId="0" borderId="0" applyAlignment="1" pivotButton="0" quotePrefix="0" xfId="1">
      <alignment vertical="center"/>
    </xf>
    <xf numFmtId="43" fontId="2" fillId="0" borderId="0" applyAlignment="1" pivotButton="0" quotePrefix="0" xfId="1">
      <alignment horizontal="left" vertical="center"/>
    </xf>
    <xf numFmtId="43" fontId="1" fillId="3" borderId="0" applyAlignment="1" pivotButton="0" quotePrefix="0" xfId="1">
      <alignment horizontal="left" vertical="center"/>
    </xf>
    <xf numFmtId="43" fontId="10" fillId="0" borderId="0" applyAlignment="1" pivotButton="0" quotePrefix="0" xfId="1">
      <alignment vertical="center"/>
    </xf>
    <xf numFmtId="166" fontId="13" fillId="8" borderId="6" applyAlignment="1" pivotButton="0" quotePrefix="0" xfId="0">
      <alignment horizontal="center" vertical="center"/>
    </xf>
    <xf numFmtId="43" fontId="2" fillId="12" borderId="13" applyAlignment="1" applyProtection="1" pivotButton="0" quotePrefix="0" xfId="1">
      <alignment horizontal="right" vertical="center"/>
      <protection locked="0" hidden="0"/>
    </xf>
    <xf numFmtId="43" fontId="8" fillId="12" borderId="2" applyAlignment="1" applyProtection="1" pivotButton="0" quotePrefix="0" xfId="0">
      <alignment vertical="center"/>
      <protection locked="0" hidden="0"/>
    </xf>
    <xf numFmtId="43" fontId="8" fillId="11" borderId="2" applyAlignment="1" applyProtection="1" pivotButton="0" quotePrefix="0" xfId="0">
      <alignment vertical="center"/>
      <protection locked="0" hidden="0"/>
    </xf>
    <xf numFmtId="43" fontId="2" fillId="12" borderId="13" applyAlignment="1" applyProtection="1" pivotButton="0" quotePrefix="0" xfId="1">
      <alignment vertical="center"/>
      <protection locked="0" hidden="0"/>
    </xf>
    <xf numFmtId="43" fontId="8" fillId="15" borderId="2" applyAlignment="1" applyProtection="1" pivotButton="0" quotePrefix="0" xfId="0">
      <alignment horizontal="right" vertical="center"/>
      <protection locked="0" hidden="0"/>
    </xf>
    <xf numFmtId="43" fontId="8" fillId="0" borderId="11" applyAlignment="1" applyProtection="1" pivotButton="0" quotePrefix="0" xfId="0">
      <alignment horizontal="right" vertical="center"/>
      <protection locked="0" hidden="0"/>
    </xf>
    <xf numFmtId="43" fontId="8" fillId="11" borderId="11" applyAlignment="1" applyProtection="1" pivotButton="0" quotePrefix="0" xfId="0">
      <alignment horizontal="right" vertical="center"/>
      <protection locked="0" hidden="0"/>
    </xf>
    <xf numFmtId="43" fontId="8" fillId="12" borderId="11" applyAlignment="1" applyProtection="1" pivotButton="0" quotePrefix="0" xfId="0">
      <alignment horizontal="right" vertical="center"/>
      <protection locked="0" hidden="0"/>
    </xf>
    <xf numFmtId="43" fontId="2" fillId="11" borderId="14" applyAlignment="1" applyProtection="1" pivotButton="0" quotePrefix="0" xfId="1">
      <alignment horizontal="right" vertical="center"/>
      <protection locked="0" hidden="0"/>
    </xf>
    <xf numFmtId="43" fontId="8" fillId="0" borderId="0" applyAlignment="1" applyProtection="1" pivotButton="0" quotePrefix="0" xfId="0">
      <alignment horizontal="right" vertical="center"/>
      <protection locked="0" hidden="0"/>
    </xf>
    <xf numFmtId="43" fontId="8" fillId="11" borderId="10" applyAlignment="1" applyProtection="1" pivotButton="0" quotePrefix="0" xfId="0">
      <alignment horizontal="right" vertical="center"/>
      <protection locked="0" hidden="0"/>
    </xf>
    <xf numFmtId="43" fontId="8" fillId="12" borderId="10" applyAlignment="1" applyProtection="1" pivotButton="0" quotePrefix="0" xfId="0">
      <alignment horizontal="right" vertical="center"/>
      <protection locked="0" hidden="0"/>
    </xf>
    <xf numFmtId="43" fontId="8" fillId="11" borderId="12" applyAlignment="1" applyProtection="1" pivotButton="0" quotePrefix="0" xfId="0">
      <alignment horizontal="right" vertical="center"/>
      <protection locked="0" hidden="0"/>
    </xf>
    <xf numFmtId="166" fontId="2" fillId="8" borderId="16" applyAlignment="1" pivotButton="0" quotePrefix="0" xfId="0">
      <alignment horizontal="left" vertical="center" indent="1"/>
    </xf>
    <xf numFmtId="43" fontId="8" fillId="11" borderId="13" applyAlignment="1" applyProtection="1" pivotButton="0" quotePrefix="0" xfId="0">
      <alignment horizontal="right" vertical="center"/>
      <protection locked="0" hidden="0"/>
    </xf>
    <xf numFmtId="43" fontId="8" fillId="11" borderId="14" applyAlignment="1" applyProtection="1" pivotButton="0" quotePrefix="0" xfId="0">
      <alignment horizontal="right" vertical="center"/>
      <protection locked="0" hidden="0"/>
    </xf>
    <xf numFmtId="43" fontId="0" fillId="14" borderId="2" applyAlignment="1" pivotButton="0" quotePrefix="0" xfId="1">
      <alignment horizontal="center" vertical="center" wrapText="1"/>
    </xf>
    <xf numFmtId="43" fontId="0" fillId="0" borderId="0" applyAlignment="1" pivotButton="0" quotePrefix="0" xfId="1">
      <alignment vertical="center" wrapText="1"/>
    </xf>
    <xf numFmtId="164" fontId="8" fillId="0" borderId="0" applyAlignment="1" pivotButton="0" quotePrefix="0" xfId="0">
      <alignment horizontal="left" vertical="center" wrapText="1"/>
    </xf>
    <xf numFmtId="43" fontId="2" fillId="0" borderId="0" applyAlignment="1" pivotButton="0" quotePrefix="0" xfId="0">
      <alignment vertical="center"/>
    </xf>
    <xf numFmtId="164" fontId="10" fillId="0" borderId="9" applyAlignment="1" pivotButton="0" quotePrefix="0" xfId="0">
      <alignment horizontal="left" vertical="center" wrapText="1"/>
    </xf>
    <xf numFmtId="0" fontId="0" fillId="0" borderId="9" pivotButton="0" quotePrefix="0" xfId="0"/>
    <xf numFmtId="43" fontId="4" fillId="10" borderId="10" applyAlignment="1" pivotButton="0" quotePrefix="0" xfId="0">
      <alignment horizontal="center" vertical="center"/>
    </xf>
    <xf numFmtId="43" fontId="4" fillId="10" borderId="12" applyAlignment="1" pivotButton="0" quotePrefix="0" xfId="0">
      <alignment horizontal="center" vertical="center"/>
    </xf>
    <xf numFmtId="43" fontId="4" fillId="3" borderId="4" applyAlignment="1" pivotButton="0" quotePrefix="0" xfId="0">
      <alignment horizontal="center" vertical="center"/>
    </xf>
    <xf numFmtId="43" fontId="4" fillId="3" borderId="2" applyAlignment="1" pivotButton="0" quotePrefix="0" xfId="0">
      <alignment horizontal="center" vertical="center" wrapText="1"/>
    </xf>
    <xf numFmtId="43" fontId="4" fillId="10" borderId="2" applyAlignment="1" pivotButton="0" quotePrefix="0" xfId="0">
      <alignment horizontal="center" vertical="center"/>
    </xf>
    <xf numFmtId="43" fontId="4" fillId="13" borderId="2" applyAlignment="1" pivotButton="0" quotePrefix="0" xfId="0">
      <alignment horizontal="center" vertical="center"/>
    </xf>
    <xf numFmtId="43" fontId="0" fillId="0" borderId="0" pivotButton="0" quotePrefix="0" xfId="0"/>
    <xf numFmtId="43" fontId="7" fillId="10" borderId="7" applyAlignment="1" pivotButton="0" quotePrefix="0" xfId="0">
      <alignment horizontal="left" vertical="top"/>
    </xf>
    <xf numFmtId="43" fontId="0" fillId="12" borderId="2" applyAlignment="1" applyProtection="1" pivotButton="0" quotePrefix="0" xfId="0">
      <alignment horizontal="center" vertical="center"/>
      <protection locked="0" hidden="0"/>
    </xf>
    <xf numFmtId="43" fontId="0" fillId="12" borderId="13" applyAlignment="1" applyProtection="1" pivotButton="0" quotePrefix="0" xfId="0">
      <alignment horizontal="center" vertical="center"/>
      <protection locked="0" hidden="0"/>
    </xf>
    <xf numFmtId="43" fontId="0" fillId="3" borderId="4" applyAlignment="1" applyProtection="1" pivotButton="0" quotePrefix="0" xfId="0">
      <alignment horizontal="center" vertical="center"/>
      <protection locked="0" hidden="0"/>
    </xf>
    <xf numFmtId="43" fontId="2" fillId="3" borderId="2" applyAlignment="1" pivotButton="0" quotePrefix="0" xfId="0">
      <alignment vertical="center"/>
    </xf>
    <xf numFmtId="43" fontId="4" fillId="10" borderId="7" applyAlignment="1" pivotButton="0" quotePrefix="0" xfId="0">
      <alignment horizontal="left" vertical="top"/>
    </xf>
    <xf numFmtId="43" fontId="4" fillId="10" borderId="8" applyAlignment="1" pivotButton="0" quotePrefix="0" xfId="0">
      <alignment horizontal="left" vertical="top"/>
    </xf>
    <xf numFmtId="43" fontId="0" fillId="12" borderId="11" applyAlignment="1" applyProtection="1" pivotButton="0" quotePrefix="0" xfId="0">
      <alignment horizontal="center" vertical="center"/>
      <protection locked="0" hidden="0"/>
    </xf>
    <xf numFmtId="43" fontId="0" fillId="12" borderId="14" applyAlignment="1" applyProtection="1" pivotButton="0" quotePrefix="0" xfId="0">
      <alignment horizontal="center" vertical="center"/>
      <protection locked="0" hidden="0"/>
    </xf>
  </cellXfs>
  <cellStyles count="58">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百分比 2" xfId="49"/>
    <cellStyle name="常规 11" xfId="50"/>
    <cellStyle name="常规 16" xfId="51"/>
    <cellStyle name="常规 2" xfId="52"/>
    <cellStyle name="常规 2 2" xfId="53"/>
    <cellStyle name="常规 2 3 2 2" xfId="54"/>
    <cellStyle name="常规 2 3 2 2 2" xfId="55"/>
    <cellStyle name="常规 3" xfId="56"/>
    <cellStyle name="千位分隔 2" xfId="57"/>
  </cellStyles>
  <dxfs count="3">
    <dxf>
      <font>
        <b val="1"/>
        <color rgb="FFFF0000"/>
      </font>
      <fill>
        <patternFill/>
      </fill>
    </dxf>
    <dxf>
      <fill>
        <patternFill patternType="solid">
          <bgColor theme="0"/>
        </patternFill>
      </fill>
    </dxf>
    <dxf>
      <fill>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externalLink" Target="/xl/externalLinks/externalLink1.xml" Id="rId44"/><Relationship Type="http://schemas.openxmlformats.org/officeDocument/2006/relationships/externalLink" Target="/xl/externalLinks/externalLink2.xml" Id="rId45"/><Relationship Type="http://schemas.openxmlformats.org/officeDocument/2006/relationships/externalLink" Target="/xl/externalLinks/externalLink3.xml" Id="rId46"/><Relationship Type="http://schemas.openxmlformats.org/officeDocument/2006/relationships/styles" Target="styles.xml" Id="rId47"/><Relationship Type="http://schemas.openxmlformats.org/officeDocument/2006/relationships/theme" Target="theme/theme1.xml" Id="rId48"/></Relationships>
</file>

<file path=xl/comments/comment1.xml><?xml version="1.0" encoding="utf-8"?>
<comments xmlns="http://schemas.openxmlformats.org/spreadsheetml/2006/main">
  <authors>
    <author>admin</author>
  </authors>
  <commentList>
    <comment ref="Y30" authorId="0" shapeId="0">
      <text>
        <t xml:space="preserve">lixiaoxue:
需要改为按上下文变动。
</t>
      </text>
    </comment>
  </commentList>
</comments>
</file>

<file path=xl/comments/comment2.xml><?xml version="1.0" encoding="utf-8"?>
<comments xmlns="http://schemas.openxmlformats.org/spreadsheetml/2006/main">
  <authors>
    <author>JNXX</author>
  </authors>
  <commentList>
    <comment ref="DI43" authorId="0" shapeId="0">
      <text>
        <t>JNXXLXX:
1.预算系统中的电力、清洁能源表单中的折旧费表项不同，统一取到本比表中的固定成本-平均年限法折旧上。2.预算系统中电力的检修费表中的“发电”、“热力”项目取到本表中的“火力发电”、“售热”上。3.检修费表用的A031科目，本表中单独用retrive公式取值。</t>
      </text>
    </comment>
  </commentList>
</comments>
</file>

<file path=xl/comments/comment3.xml><?xml version="1.0" encoding="utf-8"?>
<comments xmlns="http://schemas.openxmlformats.org/spreadsheetml/2006/main">
  <authors>
    <author>蔺爽</author>
    <author>admin</author>
  </authors>
  <commentList>
    <comment ref="E23" authorId="0" shapeId="0">
      <text>
        <t xml:space="preserve">来自预算
</t>
      </text>
    </comment>
    <comment ref="R173" authorId="1" shapeId="0">
      <text>
        <t>admin:
本期入炉</t>
      </text>
    </comment>
    <comment ref="S173" authorId="1" shapeId="0">
      <text>
        <t xml:space="preserve">admin:
其他耗用
</t>
      </text>
    </comment>
  </commentList>
</comments>
</file>

<file path=xl/comments/comment4.xml><?xml version="1.0" encoding="utf-8"?>
<comments xmlns="http://schemas.openxmlformats.org/spreadsheetml/2006/main">
  <authors>
    <author>JNXX</author>
    <author>蔺爽</author>
  </authors>
  <commentList>
    <comment ref="D87" authorId="0" shapeId="0">
      <text>
        <t>JNXX:
收入明细表-其他业务收入合计</t>
      </text>
    </comment>
    <comment ref="D88" authorId="1" shapeId="0">
      <text>
        <t>售电收入</t>
      </text>
    </comment>
    <comment ref="F88" authorId="1" shapeId="0">
      <text>
        <t>售热收入</t>
      </text>
    </comment>
    <comment ref="G88" authorId="1" shapeId="0">
      <text>
        <t>售电服务收入</t>
      </text>
    </comment>
    <comment ref="D93" authorId="1" shapeId="0">
      <text>
        <t>主营业务成本</t>
      </text>
    </comment>
  </commentList>
</comments>
</file>

<file path=xl/comments/comment5.xml><?xml version="1.0" encoding="utf-8"?>
<comments xmlns="http://schemas.openxmlformats.org/spreadsheetml/2006/main">
  <authors>
    <author>蔺爽</author>
  </authors>
  <commentList>
    <comment ref="Z28" authorId="0" shapeId="0">
      <text>
        <t>李小雪:
顾问需注意本表是2023年8月报表新增表单，期初数手工填报到F01，暂未配置自动结转功能，待2024年1月需配置自动结转规则，将2023年12月的FEND结转到2024年的F00上，同步修改表单的期初数列未F00T。---lxx 20230809</t>
      </text>
    </comment>
  </commentList>
</comment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_rels/drawing3.xml.rels><Relationships xmlns="http://schemas.openxmlformats.org/package/2006/relationships"><Relationship Type="http://schemas.openxmlformats.org/officeDocument/2006/relationships/image" Target="/xl/media/image3.png" Id="rId1"/></Relationships>
</file>

<file path=xl/drawings/_rels/drawing4.xml.rels><Relationships xmlns="http://schemas.openxmlformats.org/package/2006/relationships"><Relationship Type="http://schemas.openxmlformats.org/officeDocument/2006/relationships/image" Target="/xl/media/image4.png" Id="rId1"/></Relationships>
</file>

<file path=xl/drawings/_rels/drawing5.xml.rels><Relationships xmlns="http://schemas.openxmlformats.org/package/2006/relationships"><Relationship Type="http://schemas.openxmlformats.org/officeDocument/2006/relationships/image" Target="/xl/media/image5.png" Id="rId1"/></Relationships>
</file>

<file path=xl/drawings/_rels/drawing6.xml.rels><Relationships xmlns="http://schemas.openxmlformats.org/package/2006/relationships"><Relationship Type="http://schemas.openxmlformats.org/officeDocument/2006/relationships/image" Target="/xl/media/image6.png" Id="rId1"/></Relationships>
</file>

<file path=xl/drawings/_rels/drawing7.xml.rels><Relationships xmlns="http://schemas.openxmlformats.org/package/2006/relationships"><Relationship Type="http://schemas.openxmlformats.org/officeDocument/2006/relationships/image" Target="/xl/media/image7.png" Id="rId1"/></Relationships>
</file>

<file path=xl/drawings/_rels/drawing8.xml.rels><Relationships xmlns="http://schemas.openxmlformats.org/package/2006/relationships"><Relationship Type="http://schemas.openxmlformats.org/officeDocument/2006/relationships/image" Target="/xl/media/image8.png" Id="rId1"/></Relationships>
</file>

<file path=xl/drawings/_rels/drawing9.xml.rels><Relationships xmlns="http://schemas.openxmlformats.org/package/2006/relationships"><Relationship Type="http://schemas.openxmlformats.org/officeDocument/2006/relationships/image" Target="/xl/media/image9.png" Id="rId1"/></Relationships>
</file>

<file path=xl/drawings/_rels/drawing10.xml.rels><Relationships xmlns="http://schemas.openxmlformats.org/package/2006/relationships"><Relationship Type="http://schemas.openxmlformats.org/officeDocument/2006/relationships/image" Target="/xl/media/image10.png" Id="rId1"/></Relationships>
</file>

<file path=xl/drawings/_rels/drawing11.xml.rels><Relationships xmlns="http://schemas.openxmlformats.org/package/2006/relationships"><Relationship Type="http://schemas.openxmlformats.org/officeDocument/2006/relationships/image" Target="/xl/media/image11.png" Id="rId1"/></Relationships>
</file>

<file path=xl/drawings/_rels/drawing12.xml.rels><Relationships xmlns="http://schemas.openxmlformats.org/package/2006/relationships"><Relationship Type="http://schemas.openxmlformats.org/officeDocument/2006/relationships/image" Target="/xl/media/image12.png" Id="rId1"/></Relationships>
</file>

<file path=xl/drawings/_rels/drawing13.xml.rels><Relationships xmlns="http://schemas.openxmlformats.org/package/2006/relationships"><Relationship Type="http://schemas.openxmlformats.org/officeDocument/2006/relationships/image" Target="/xl/media/image13.png" Id="rId1"/></Relationships>
</file>

<file path=xl/drawings/_rels/drawing14.xml.rels><Relationships xmlns="http://schemas.openxmlformats.org/package/2006/relationships"><Relationship Type="http://schemas.openxmlformats.org/officeDocument/2006/relationships/image" Target="/xl/media/image14.png" Id="rId1"/></Relationships>
</file>

<file path=xl/drawings/_rels/drawing15.xml.rels><Relationships xmlns="http://schemas.openxmlformats.org/package/2006/relationships"><Relationship Type="http://schemas.openxmlformats.org/officeDocument/2006/relationships/image" Target="/xl/media/image15.png" Id="rId1"/></Relationships>
</file>

<file path=xl/drawings/_rels/drawing16.xml.rels><Relationships xmlns="http://schemas.openxmlformats.org/package/2006/relationships"><Relationship Type="http://schemas.openxmlformats.org/officeDocument/2006/relationships/image" Target="/xl/media/image16.png" Id="rId1"/></Relationships>
</file>

<file path=xl/drawings/_rels/drawing17.xml.rels><Relationships xmlns="http://schemas.openxmlformats.org/package/2006/relationships"><Relationship Type="http://schemas.openxmlformats.org/officeDocument/2006/relationships/image" Target="/xl/media/image17.png" Id="rId1"/></Relationships>
</file>

<file path=xl/drawings/_rels/drawing18.xml.rels><Relationships xmlns="http://schemas.openxmlformats.org/package/2006/relationships"><Relationship Type="http://schemas.openxmlformats.org/officeDocument/2006/relationships/image" Target="/xl/media/image18.png" Id="rId1"/></Relationships>
</file>

<file path=xl/drawings/_rels/drawing19.xml.rels><Relationships xmlns="http://schemas.openxmlformats.org/package/2006/relationships"><Relationship Type="http://schemas.openxmlformats.org/officeDocument/2006/relationships/image" Target="/xl/media/image19.png" Id="rId1"/></Relationships>
</file>

<file path=xl/drawings/_rels/drawing20.xml.rels><Relationships xmlns="http://schemas.openxmlformats.org/package/2006/relationships"><Relationship Type="http://schemas.openxmlformats.org/officeDocument/2006/relationships/image" Target="/xl/media/image20.png" Id="rId1"/><Relationship Type="http://schemas.openxmlformats.org/officeDocument/2006/relationships/image" Target="/xl/media/image21.png" Id="rId2"/></Relationships>
</file>

<file path=xl/drawings/_rels/drawing21.xml.rels><Relationships xmlns="http://schemas.openxmlformats.org/package/2006/relationships"><Relationship Type="http://schemas.openxmlformats.org/officeDocument/2006/relationships/image" Target="/xl/media/image22.png" Id="rId1"/></Relationships>
</file>

<file path=xl/drawings/_rels/drawing22.xml.rels><Relationships xmlns="http://schemas.openxmlformats.org/package/2006/relationships"><Relationship Type="http://schemas.openxmlformats.org/officeDocument/2006/relationships/image" Target="/xl/media/image23.png" Id="rId1"/></Relationships>
</file>

<file path=xl/drawings/_rels/drawing23.xml.rels><Relationships xmlns="http://schemas.openxmlformats.org/package/2006/relationships"><Relationship Type="http://schemas.openxmlformats.org/officeDocument/2006/relationships/image" Target="/xl/media/image24.png" Id="rId1"/></Relationships>
</file>

<file path=xl/drawings/_rels/drawing24.xml.rels><Relationships xmlns="http://schemas.openxmlformats.org/package/2006/relationships"><Relationship Type="http://schemas.openxmlformats.org/officeDocument/2006/relationships/image" Target="/xl/media/image25.png" Id="rId1"/></Relationships>
</file>

<file path=xl/drawings/_rels/drawing25.xml.rels><Relationships xmlns="http://schemas.openxmlformats.org/package/2006/relationships"><Relationship Type="http://schemas.openxmlformats.org/officeDocument/2006/relationships/image" Target="/xl/media/image26.png" Id="rId1"/></Relationships>
</file>

<file path=xl/drawings/_rels/drawing26.xml.rels><Relationships xmlns="http://schemas.openxmlformats.org/package/2006/relationships"><Relationship Type="http://schemas.openxmlformats.org/officeDocument/2006/relationships/image" Target="/xl/media/image27.png" Id="rId1"/></Relationships>
</file>

<file path=xl/drawings/_rels/drawing27.xml.rels><Relationships xmlns="http://schemas.openxmlformats.org/package/2006/relationships"><Relationship Type="http://schemas.openxmlformats.org/officeDocument/2006/relationships/image" Target="/xl/media/image28.png" Id="rId1"/></Relationships>
</file>

<file path=xl/drawings/_rels/drawing28.xml.rels><Relationships xmlns="http://schemas.openxmlformats.org/package/2006/relationships"><Relationship Type="http://schemas.openxmlformats.org/officeDocument/2006/relationships/image" Target="/xl/media/image29.png" Id="rId1"/></Relationships>
</file>

<file path=xl/drawings/_rels/drawing29.xml.rels><Relationships xmlns="http://schemas.openxmlformats.org/package/2006/relationships"><Relationship Type="http://schemas.openxmlformats.org/officeDocument/2006/relationships/image" Target="/xl/media/image30.png" Id="rId1"/><Relationship Type="http://schemas.openxmlformats.org/officeDocument/2006/relationships/image" Target="/xl/media/image31.png" Id="rId2"/></Relationships>
</file>

<file path=xl/drawings/_rels/drawing30.xml.rels><Relationships xmlns="http://schemas.openxmlformats.org/package/2006/relationships"><Relationship Type="http://schemas.openxmlformats.org/officeDocument/2006/relationships/image" Target="/xl/media/image32.png" Id="rId1"/></Relationships>
</file>

<file path=xl/drawings/_rels/drawing31.xml.rels><Relationships xmlns="http://schemas.openxmlformats.org/package/2006/relationships"><Relationship Type="http://schemas.openxmlformats.org/officeDocument/2006/relationships/image" Target="/xl/media/image33.png" Id="rId1"/></Relationships>
</file>

<file path=xl/drawings/_rels/drawing32.xml.rels><Relationships xmlns="http://schemas.openxmlformats.org/package/2006/relationships"><Relationship Type="http://schemas.openxmlformats.org/officeDocument/2006/relationships/image" Target="/xl/media/image34.png" Id="rId1"/></Relationships>
</file>

<file path=xl/drawings/_rels/drawing33.xml.rels><Relationships xmlns="http://schemas.openxmlformats.org/package/2006/relationships"><Relationship Type="http://schemas.openxmlformats.org/officeDocument/2006/relationships/image" Target="/xl/media/image35.png" Id="rId1"/></Relationships>
</file>

<file path=xl/drawings/_rels/drawing34.xml.rels><Relationships xmlns="http://schemas.openxmlformats.org/package/2006/relationships"><Relationship Type="http://schemas.openxmlformats.org/officeDocument/2006/relationships/image" Target="/xl/media/image36.png" Id="rId1"/></Relationships>
</file>

<file path=xl/drawings/drawing1.xml><?xml version="1.0" encoding="utf-8"?>
<wsDr xmlns="http://schemas.openxmlformats.org/drawingml/2006/spreadsheetDrawing">
  <twoCellAnchor editAs="oneCell">
    <from>
      <col>23</col>
      <colOff>43543</colOff>
      <row>36</row>
      <rowOff>28224</rowOff>
    </from>
    <to>
      <col>23</col>
      <colOff>2405743</colOff>
      <row>36</row>
      <rowOff>380605</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40970" y="161290"/>
          <a:ext cx="2362200" cy="352425"/>
        </a:xfrm>
        <a:prstGeom xmlns:a="http://schemas.openxmlformats.org/drawingml/2006/main" prst="rect">
          <avLst/>
        </a:prstGeom>
        <a:ln xmlns:a="http://schemas.openxmlformats.org/drawingml/2006/main">
          <a:prstDash val="solid"/>
        </a:ln>
      </spPr>
    </pic>
    <clientData/>
  </twoCellAnchor>
</wsDr>
</file>

<file path=xl/drawings/drawing2.xml><?xml version="1.0" encoding="utf-8"?>
<wsDr xmlns="http://schemas.openxmlformats.org/drawingml/2006/spreadsheetDrawing">
  <twoCellAnchor editAs="oneCell">
    <from>
      <col>23</col>
      <colOff>16934</colOff>
      <row>34</row>
      <rowOff>28224</rowOff>
    </from>
    <to>
      <col>23</col>
      <colOff>2260723</colOff>
      <row>34</row>
      <rowOff>380605</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14300" y="161290"/>
          <a:ext cx="2244090" cy="352425"/>
        </a:xfrm>
        <a:prstGeom xmlns:a="http://schemas.openxmlformats.org/drawingml/2006/main" prst="rect">
          <avLst/>
        </a:prstGeom>
        <a:ln xmlns:a="http://schemas.openxmlformats.org/drawingml/2006/main">
          <a:prstDash val="solid"/>
        </a:ln>
      </spPr>
    </pic>
    <clientData/>
  </twoCellAnchor>
</wsDr>
</file>

<file path=xl/drawings/drawing3.xml><?xml version="1.0" encoding="utf-8"?>
<wsDr xmlns="http://schemas.openxmlformats.org/drawingml/2006/spreadsheetDrawing">
  <twoCellAnchor editAs="oneCell">
    <from>
      <col>23</col>
      <colOff>0</colOff>
      <row>34</row>
      <rowOff>28224</rowOff>
    </from>
    <to>
      <col>23</col>
      <colOff>2243789</colOff>
      <row>35</row>
      <rowOff>10811</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97790" y="241300"/>
          <a:ext cx="2243455" cy="348615"/>
        </a:xfrm>
        <a:prstGeom xmlns:a="http://schemas.openxmlformats.org/drawingml/2006/main" prst="rect">
          <avLst/>
        </a:prstGeom>
        <a:ln xmlns:a="http://schemas.openxmlformats.org/drawingml/2006/main">
          <a:prstDash val="solid"/>
        </a:ln>
      </spPr>
    </pic>
    <clientData/>
  </twoCellAnchor>
</wsDr>
</file>

<file path=xl/drawings/drawing4.xml><?xml version="1.0" encoding="utf-8"?>
<wsDr xmlns="http://schemas.openxmlformats.org/drawingml/2006/spreadsheetDrawing">
  <twoCellAnchor editAs="oneCell">
    <from>
      <col>23</col>
      <colOff>0</colOff>
      <row>34</row>
      <rowOff>28224</rowOff>
    </from>
    <to>
      <col>23</col>
      <colOff>2243789</colOff>
      <row>34</row>
      <rowOff>380605</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311150" y="161290"/>
          <a:ext cx="2243455" cy="352425"/>
        </a:xfrm>
        <a:prstGeom xmlns:a="http://schemas.openxmlformats.org/drawingml/2006/main" prst="rect">
          <avLst/>
        </a:prstGeom>
        <a:ln xmlns:a="http://schemas.openxmlformats.org/drawingml/2006/main">
          <a:prstDash val="solid"/>
        </a:ln>
      </spPr>
    </pic>
    <clientData/>
  </twoCellAnchor>
</wsDr>
</file>

<file path=xl/drawings/drawing5.xml><?xml version="1.0" encoding="utf-8"?>
<wsDr xmlns="http://schemas.openxmlformats.org/drawingml/2006/spreadsheetDrawing">
  <twoCellAnchor editAs="oneCell">
    <from>
      <col>23</col>
      <colOff>0</colOff>
      <row>34</row>
      <rowOff>28224</rowOff>
    </from>
    <to>
      <col>23</col>
      <colOff>2034989</colOff>
      <row>34</row>
      <rowOff>322471</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97790" y="159385"/>
          <a:ext cx="2034540" cy="294005"/>
        </a:xfrm>
        <a:prstGeom xmlns:a="http://schemas.openxmlformats.org/drawingml/2006/main" prst="rect">
          <avLst/>
        </a:prstGeom>
        <a:ln xmlns:a="http://schemas.openxmlformats.org/drawingml/2006/main">
          <a:prstDash val="solid"/>
        </a:ln>
      </spPr>
    </pic>
    <clientData/>
  </twoCellAnchor>
</wsDr>
</file>

<file path=xl/drawings/drawing6.xml><?xml version="1.0" encoding="utf-8"?>
<wsDr xmlns="http://schemas.openxmlformats.org/drawingml/2006/spreadsheetDrawing">
  <twoCellAnchor editAs="oneCell">
    <from>
      <col>23</col>
      <colOff>0</colOff>
      <row>35</row>
      <rowOff>28224</rowOff>
    </from>
    <to>
      <col>24</col>
      <colOff>131978</colOff>
      <row>35</row>
      <rowOff>380605</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97790" y="161290"/>
          <a:ext cx="2078355" cy="352425"/>
        </a:xfrm>
        <a:prstGeom xmlns:a="http://schemas.openxmlformats.org/drawingml/2006/main" prst="rect">
          <avLst/>
        </a:prstGeom>
        <a:ln xmlns:a="http://schemas.openxmlformats.org/drawingml/2006/main">
          <a:prstDash val="solid"/>
        </a:ln>
      </spPr>
    </pic>
    <clientData/>
  </twoCellAnchor>
</wsDr>
</file>

<file path=xl/drawings/drawing7.xml><?xml version="1.0" encoding="utf-8"?>
<wsDr xmlns="http://schemas.openxmlformats.org/drawingml/2006/spreadsheetDrawing">
  <twoCellAnchor editAs="oneCell">
    <from>
      <col>23</col>
      <colOff>0</colOff>
      <row>34</row>
      <rowOff>28224</rowOff>
    </from>
    <to>
      <col>23</col>
      <colOff>2237807</colOff>
      <row>34</row>
      <rowOff>380605</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15570" y="588010"/>
          <a:ext cx="2237740" cy="352425"/>
        </a:xfrm>
        <a:prstGeom xmlns:a="http://schemas.openxmlformats.org/drawingml/2006/main" prst="rect">
          <avLst/>
        </a:prstGeom>
        <a:ln xmlns:a="http://schemas.openxmlformats.org/drawingml/2006/main">
          <a:prstDash val="solid"/>
        </a:ln>
      </spPr>
    </pic>
    <clientData/>
  </twoCellAnchor>
</wsDr>
</file>

<file path=xl/drawings/drawing8.xml><?xml version="1.0" encoding="utf-8"?>
<wsDr xmlns="http://schemas.openxmlformats.org/drawingml/2006/spreadsheetDrawing">
  <twoCellAnchor editAs="oneCell">
    <from>
      <col>23</col>
      <colOff>41412</colOff>
      <row>34</row>
      <rowOff>28224</rowOff>
    </from>
    <to>
      <col>23</col>
      <colOff>2572871</colOff>
      <row>35</row>
      <rowOff>10811</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39065" y="27940"/>
          <a:ext cx="2531110" cy="348615"/>
        </a:xfrm>
        <a:prstGeom xmlns:a="http://schemas.openxmlformats.org/drawingml/2006/main" prst="rect">
          <avLst/>
        </a:prstGeom>
        <a:ln xmlns:a="http://schemas.openxmlformats.org/drawingml/2006/main">
          <a:prstDash val="solid"/>
        </a:ln>
      </spPr>
    </pic>
    <clientData/>
  </twoCellAnchor>
</wsDr>
</file>

<file path=xl/drawings/drawing9.xml><?xml version="1.0" encoding="utf-8"?>
<wsDr xmlns="http://schemas.openxmlformats.org/drawingml/2006/spreadsheetDrawing">
  <twoCellAnchor editAs="oneCell">
    <from>
      <col>23</col>
      <colOff>52578</colOff>
      <row>34</row>
      <rowOff>55639</rowOff>
    </from>
    <to>
      <col>24</col>
      <colOff>857440</colOff>
      <row>34</row>
      <rowOff>408020</rowOff>
    </to>
    <pic>
      <nvPicPr>
        <cNvPr id="2" name="图片 1"/>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76530" y="186690"/>
          <a:ext cx="1925320" cy="352425"/>
        </a:xfrm>
        <a:prstGeom xmlns:a="http://schemas.openxmlformats.org/drawingml/2006/main" prst="rect">
          <avLst/>
        </a:prstGeom>
        <a:ln xmlns:a="http://schemas.openxmlformats.org/drawingml/2006/main">
          <a:prstDash val="solid"/>
        </a:ln>
      </spPr>
    </pic>
    <clientData/>
  </twoCellAnchor>
</wsDr>
</file>

<file path=xl/drawings/drawing10.xml><?xml version="1.0" encoding="utf-8"?>
<wsDr xmlns="http://schemas.openxmlformats.org/drawingml/2006/spreadsheetDrawing">
  <twoCellAnchor editAs="oneCell">
    <from>
      <col>23</col>
      <colOff>16934</colOff>
      <row>34</row>
      <rowOff>28224</rowOff>
    </from>
    <to>
      <col>25</col>
      <colOff>21166</colOff>
      <row>34</row>
      <rowOff>380605</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32080" y="161290"/>
          <a:ext cx="1782445" cy="352425"/>
        </a:xfrm>
        <a:prstGeom xmlns:a="http://schemas.openxmlformats.org/drawingml/2006/main" prst="rect">
          <avLst/>
        </a:prstGeom>
        <a:ln xmlns:a="http://schemas.openxmlformats.org/drawingml/2006/main">
          <a:prstDash val="solid"/>
        </a:ln>
      </spPr>
    </pic>
    <clientData/>
  </twoCellAnchor>
</wsDr>
</file>

<file path=xl/drawings/drawing11.xml><?xml version="1.0" encoding="utf-8"?>
<wsDr xmlns="http://schemas.openxmlformats.org/drawingml/2006/spreadsheetDrawing">
  <twoCellAnchor editAs="oneCell">
    <from>
      <col>24</col>
      <colOff>16934</colOff>
      <row>34</row>
      <rowOff>28224</rowOff>
    </from>
    <to>
      <col>26</col>
      <colOff>434040</colOff>
      <row>34</row>
      <rowOff>380605</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14300" y="161290"/>
          <a:ext cx="2097405" cy="352425"/>
        </a:xfrm>
        <a:prstGeom xmlns:a="http://schemas.openxmlformats.org/drawingml/2006/main" prst="rect">
          <avLst/>
        </a:prstGeom>
        <a:ln xmlns:a="http://schemas.openxmlformats.org/drawingml/2006/main">
          <a:prstDash val="solid"/>
        </a:ln>
      </spPr>
    </pic>
    <clientData/>
  </twoCellAnchor>
</wsDr>
</file>

<file path=xl/drawings/drawing12.xml><?xml version="1.0" encoding="utf-8"?>
<wsDr xmlns="http://schemas.openxmlformats.org/drawingml/2006/spreadsheetDrawing">
  <twoCellAnchor editAs="oneCell">
    <from>
      <col>23</col>
      <colOff>16934</colOff>
      <row>34</row>
      <rowOff>28224</rowOff>
    </from>
    <to>
      <col>23</col>
      <colOff>2260723</colOff>
      <row>34</row>
      <rowOff>380605</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14300" y="161290"/>
          <a:ext cx="2244090" cy="352425"/>
        </a:xfrm>
        <a:prstGeom xmlns:a="http://schemas.openxmlformats.org/drawingml/2006/main" prst="rect">
          <avLst/>
        </a:prstGeom>
        <a:ln xmlns:a="http://schemas.openxmlformats.org/drawingml/2006/main">
          <a:prstDash val="solid"/>
        </a:ln>
      </spPr>
    </pic>
    <clientData/>
  </twoCellAnchor>
</wsDr>
</file>

<file path=xl/drawings/drawing13.xml><?xml version="1.0" encoding="utf-8"?>
<wsDr xmlns="http://schemas.openxmlformats.org/drawingml/2006/spreadsheetDrawing">
  <twoCellAnchor editAs="oneCell">
    <from>
      <col>23</col>
      <colOff>0</colOff>
      <row>34</row>
      <rowOff>28224</rowOff>
    </from>
    <to>
      <col>23</col>
      <colOff>2226310</colOff>
      <row>34</row>
      <rowOff>380605</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15570" y="161290"/>
          <a:ext cx="2226310" cy="352425"/>
        </a:xfrm>
        <a:prstGeom xmlns:a="http://schemas.openxmlformats.org/drawingml/2006/main" prst="rect">
          <avLst/>
        </a:prstGeom>
        <a:ln xmlns:a="http://schemas.openxmlformats.org/drawingml/2006/main">
          <a:prstDash val="solid"/>
        </a:ln>
      </spPr>
    </pic>
    <clientData/>
  </twoCellAnchor>
</wsDr>
</file>

<file path=xl/drawings/drawing14.xml><?xml version="1.0" encoding="utf-8"?>
<wsDr xmlns="http://schemas.openxmlformats.org/drawingml/2006/spreadsheetDrawing">
  <twoCellAnchor editAs="oneCell">
    <from>
      <col>23</col>
      <colOff>0</colOff>
      <row>34</row>
      <rowOff>28224</rowOff>
    </from>
    <to>
      <col>25</col>
      <colOff>158872</colOff>
      <row>34</row>
      <rowOff>380605</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0" y="586105"/>
          <a:ext cx="2096770" cy="352425"/>
        </a:xfrm>
        <a:prstGeom xmlns:a="http://schemas.openxmlformats.org/drawingml/2006/main" prst="rect">
          <avLst/>
        </a:prstGeom>
        <a:ln xmlns:a="http://schemas.openxmlformats.org/drawingml/2006/main">
          <a:prstDash val="solid"/>
        </a:ln>
      </spPr>
    </pic>
    <clientData/>
  </twoCellAnchor>
</wsDr>
</file>

<file path=xl/drawings/drawing15.xml><?xml version="1.0" encoding="utf-8"?>
<wsDr xmlns="http://schemas.openxmlformats.org/drawingml/2006/spreadsheetDrawing">
  <twoCellAnchor editAs="oneCell">
    <from>
      <col>23</col>
      <colOff>0</colOff>
      <row>34</row>
      <rowOff>28224</rowOff>
    </from>
    <to>
      <col>24</col>
      <colOff>14938</colOff>
      <row>34</row>
      <rowOff>380605</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15570" y="161290"/>
          <a:ext cx="2103755" cy="352425"/>
        </a:xfrm>
        <a:prstGeom xmlns:a="http://schemas.openxmlformats.org/drawingml/2006/main" prst="rect">
          <avLst/>
        </a:prstGeom>
        <a:ln xmlns:a="http://schemas.openxmlformats.org/drawingml/2006/main">
          <a:prstDash val="solid"/>
        </a:ln>
      </spPr>
    </pic>
    <clientData/>
  </twoCellAnchor>
</wsDr>
</file>

<file path=xl/drawings/drawing16.xml><?xml version="1.0" encoding="utf-8"?>
<wsDr xmlns="http://schemas.openxmlformats.org/drawingml/2006/spreadsheetDrawing">
  <twoCellAnchor editAs="oneCell">
    <from>
      <col>23</col>
      <colOff>0</colOff>
      <row>34</row>
      <rowOff>28224</rowOff>
    </from>
    <to>
      <col>23</col>
      <colOff>2218690</colOff>
      <row>34</row>
      <rowOff>380605</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15570" y="161290"/>
          <a:ext cx="2218690" cy="352425"/>
        </a:xfrm>
        <a:prstGeom xmlns:a="http://schemas.openxmlformats.org/drawingml/2006/main" prst="rect">
          <avLst/>
        </a:prstGeom>
        <a:ln xmlns:a="http://schemas.openxmlformats.org/drawingml/2006/main">
          <a:prstDash val="solid"/>
        </a:ln>
      </spPr>
    </pic>
    <clientData/>
  </twoCellAnchor>
</wsDr>
</file>

<file path=xl/drawings/drawing17.xml><?xml version="1.0" encoding="utf-8"?>
<wsDr xmlns="http://schemas.openxmlformats.org/drawingml/2006/spreadsheetDrawing">
  <twoCellAnchor editAs="oneCell">
    <from>
      <col>23</col>
      <colOff>47625</colOff>
      <row>34</row>
      <rowOff>28224</rowOff>
    </from>
    <to>
      <col>25</col>
      <colOff>14792</colOff>
      <row>34</row>
      <rowOff>380605</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63195" y="159385"/>
          <a:ext cx="2260600" cy="352425"/>
        </a:xfrm>
        <a:prstGeom xmlns:a="http://schemas.openxmlformats.org/drawingml/2006/main" prst="rect">
          <avLst/>
        </a:prstGeom>
        <a:ln xmlns:a="http://schemas.openxmlformats.org/drawingml/2006/main">
          <a:prstDash val="solid"/>
        </a:ln>
      </spPr>
    </pic>
    <clientData/>
  </twoCellAnchor>
</wsDr>
</file>

<file path=xl/drawings/drawing18.xml><?xml version="1.0" encoding="utf-8"?>
<wsDr xmlns="http://schemas.openxmlformats.org/drawingml/2006/spreadsheetDrawing">
  <twoCellAnchor editAs="oneCell">
    <from>
      <col>23</col>
      <colOff>0</colOff>
      <row>34</row>
      <rowOff>28224</rowOff>
    </from>
    <to>
      <col>24</col>
      <colOff>1270</colOff>
      <row>34</row>
      <rowOff>380605</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15570" y="161290"/>
          <a:ext cx="2303780" cy="352425"/>
        </a:xfrm>
        <a:prstGeom xmlns:a="http://schemas.openxmlformats.org/drawingml/2006/main" prst="rect">
          <avLst/>
        </a:prstGeom>
        <a:ln xmlns:a="http://schemas.openxmlformats.org/drawingml/2006/main">
          <a:prstDash val="solid"/>
        </a:ln>
      </spPr>
    </pic>
    <clientData/>
  </twoCellAnchor>
</wsDr>
</file>

<file path=xl/drawings/drawing19.xml><?xml version="1.0" encoding="utf-8"?>
<wsDr xmlns="http://schemas.openxmlformats.org/drawingml/2006/spreadsheetDrawing">
  <twoCellAnchor editAs="oneCell">
    <from>
      <col>23</col>
      <colOff>49591</colOff>
      <row>34</row>
      <rowOff>6452</rowOff>
    </from>
    <to>
      <col>23</col>
      <colOff>2090057</colOff>
      <row>34</row>
      <rowOff>358833</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56210" y="139700"/>
          <a:ext cx="2040255" cy="352425"/>
        </a:xfrm>
        <a:prstGeom xmlns:a="http://schemas.openxmlformats.org/drawingml/2006/main" prst="rect">
          <avLst/>
        </a:prstGeom>
        <a:ln xmlns:a="http://schemas.openxmlformats.org/drawingml/2006/main">
          <a:prstDash val="solid"/>
        </a:ln>
      </spPr>
    </pic>
    <clientData/>
  </twoCellAnchor>
</wsDr>
</file>

<file path=xl/drawings/drawing20.xml><?xml version="1.0" encoding="utf-8"?>
<wsDr xmlns="http://schemas.openxmlformats.org/drawingml/2006/spreadsheetDrawing">
  <twoCellAnchor editAs="oneCell">
    <from>
      <col>23</col>
      <colOff>49591</colOff>
      <row>34</row>
      <rowOff>6452</rowOff>
    </from>
    <to>
      <col>23</col>
      <colOff>2090057</colOff>
      <row>34</row>
      <rowOff>358833</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56210" y="139700"/>
          <a:ext cx="2040255" cy="352425"/>
        </a:xfrm>
        <a:prstGeom xmlns:a="http://schemas.openxmlformats.org/drawingml/2006/main" prst="rect">
          <avLst/>
        </a:prstGeom>
        <a:ln xmlns:a="http://schemas.openxmlformats.org/drawingml/2006/main">
          <a:prstDash val="solid"/>
        </a:ln>
      </spPr>
    </pic>
    <clientData/>
  </twoCellAnchor>
  <twoCellAnchor editAs="oneCell">
    <from>
      <col>23</col>
      <colOff>49591</colOff>
      <row>34</row>
      <rowOff>6452</rowOff>
    </from>
    <to>
      <col>23</col>
      <colOff>2090057</colOff>
      <row>34</row>
      <rowOff>358833</rowOff>
    </to>
    <pic>
      <nvPicPr>
        <cNvPr id="9" name="图片 8"/>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a:off x="156210" y="139700"/>
          <a:ext cx="2040255" cy="352425"/>
        </a:xfrm>
        <a:prstGeom xmlns:a="http://schemas.openxmlformats.org/drawingml/2006/main" prst="rect">
          <avLst/>
        </a:prstGeom>
        <a:ln xmlns:a="http://schemas.openxmlformats.org/drawingml/2006/main">
          <a:prstDash val="solid"/>
        </a:ln>
      </spPr>
    </pic>
    <clientData/>
  </twoCellAnchor>
</wsDr>
</file>

<file path=xl/drawings/drawing21.xml><?xml version="1.0" encoding="utf-8"?>
<wsDr xmlns="http://schemas.openxmlformats.org/drawingml/2006/spreadsheetDrawing">
  <twoCellAnchor editAs="oneCell">
    <from>
      <col>23</col>
      <colOff>16934</colOff>
      <row>34</row>
      <rowOff>28224</rowOff>
    </from>
    <to>
      <col>23</col>
      <colOff>2260723</colOff>
      <row>34</row>
      <rowOff>380605</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23190" y="161290"/>
          <a:ext cx="2244090" cy="352425"/>
        </a:xfrm>
        <a:prstGeom xmlns:a="http://schemas.openxmlformats.org/drawingml/2006/main" prst="rect">
          <avLst/>
        </a:prstGeom>
        <a:ln xmlns:a="http://schemas.openxmlformats.org/drawingml/2006/main">
          <a:prstDash val="solid"/>
        </a:ln>
      </spPr>
    </pic>
    <clientData/>
  </twoCellAnchor>
</wsDr>
</file>

<file path=xl/drawings/drawing22.xml><?xml version="1.0" encoding="utf-8"?>
<wsDr xmlns="http://schemas.openxmlformats.org/drawingml/2006/spreadsheetDrawing">
  <twoCellAnchor editAs="oneCell">
    <from>
      <col>23</col>
      <colOff>49591</colOff>
      <row>34</row>
      <rowOff>6452</rowOff>
    </from>
    <to>
      <col>23</col>
      <colOff>2090057</colOff>
      <row>34</row>
      <rowOff>358833</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49530" y="139700"/>
          <a:ext cx="2040255" cy="352425"/>
        </a:xfrm>
        <a:prstGeom xmlns:a="http://schemas.openxmlformats.org/drawingml/2006/main" prst="rect">
          <avLst/>
        </a:prstGeom>
        <a:ln xmlns:a="http://schemas.openxmlformats.org/drawingml/2006/main">
          <a:prstDash val="solid"/>
        </a:ln>
      </spPr>
    </pic>
    <clientData/>
  </twoCellAnchor>
</wsDr>
</file>

<file path=xl/drawings/drawing23.xml><?xml version="1.0" encoding="utf-8"?>
<wsDr xmlns="http://schemas.openxmlformats.org/drawingml/2006/spreadsheetDrawing">
  <twoCellAnchor editAs="oneCell">
    <from>
      <col>23</col>
      <colOff>49591</colOff>
      <row>34</row>
      <rowOff>6452</rowOff>
    </from>
    <to>
      <col>23</col>
      <colOff>2090057</colOff>
      <row>34</row>
      <rowOff>358833</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49530" y="139700"/>
          <a:ext cx="2040255" cy="352425"/>
        </a:xfrm>
        <a:prstGeom xmlns:a="http://schemas.openxmlformats.org/drawingml/2006/main" prst="rect">
          <avLst/>
        </a:prstGeom>
        <a:ln xmlns:a="http://schemas.openxmlformats.org/drawingml/2006/main">
          <a:prstDash val="solid"/>
        </a:ln>
      </spPr>
    </pic>
    <clientData/>
  </twoCellAnchor>
</wsDr>
</file>

<file path=xl/drawings/drawing24.xml><?xml version="1.0" encoding="utf-8"?>
<wsDr xmlns="http://schemas.openxmlformats.org/drawingml/2006/spreadsheetDrawing">
  <twoCellAnchor editAs="oneCell">
    <from>
      <col>23</col>
      <colOff>16934</colOff>
      <row>34</row>
      <rowOff>28224</rowOff>
    </from>
    <to>
      <col>23</col>
      <colOff>2260723</colOff>
      <row>35</row>
      <rowOff>34637</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14300" y="161290"/>
          <a:ext cx="2244090" cy="454025"/>
        </a:xfrm>
        <a:prstGeom xmlns:a="http://schemas.openxmlformats.org/drawingml/2006/main" prst="rect">
          <avLst/>
        </a:prstGeom>
        <a:ln xmlns:a="http://schemas.openxmlformats.org/drawingml/2006/main">
          <a:prstDash val="solid"/>
        </a:ln>
      </spPr>
    </pic>
    <clientData/>
  </twoCellAnchor>
</wsDr>
</file>

<file path=xl/drawings/drawing25.xml><?xml version="1.0" encoding="utf-8"?>
<wsDr xmlns="http://schemas.openxmlformats.org/drawingml/2006/spreadsheetDrawing">
  <twoCellAnchor editAs="oneCell">
    <from>
      <col>23</col>
      <colOff>16934</colOff>
      <row>34</row>
      <rowOff>28224</rowOff>
    </from>
    <to>
      <col>23</col>
      <colOff>2260723</colOff>
      <row>34</row>
      <rowOff>380605</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14300" y="161290"/>
          <a:ext cx="2244090" cy="352425"/>
        </a:xfrm>
        <a:prstGeom xmlns:a="http://schemas.openxmlformats.org/drawingml/2006/main" prst="rect">
          <avLst/>
        </a:prstGeom>
        <a:ln xmlns:a="http://schemas.openxmlformats.org/drawingml/2006/main">
          <a:prstDash val="solid"/>
        </a:ln>
      </spPr>
    </pic>
    <clientData/>
  </twoCellAnchor>
</wsDr>
</file>

<file path=xl/drawings/drawing26.xml><?xml version="1.0" encoding="utf-8"?>
<wsDr xmlns="http://schemas.openxmlformats.org/drawingml/2006/spreadsheetDrawing">
  <twoCellAnchor editAs="oneCell">
    <from>
      <col>23</col>
      <colOff>0</colOff>
      <row>34</row>
      <rowOff>28224</rowOff>
    </from>
    <to>
      <col>23</col>
      <colOff>2243789</colOff>
      <row>34</row>
      <rowOff>380605</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15570" y="161290"/>
          <a:ext cx="2243455" cy="352425"/>
        </a:xfrm>
        <a:prstGeom xmlns:a="http://schemas.openxmlformats.org/drawingml/2006/main" prst="rect">
          <avLst/>
        </a:prstGeom>
        <a:ln xmlns:a="http://schemas.openxmlformats.org/drawingml/2006/main">
          <a:prstDash val="solid"/>
        </a:ln>
      </spPr>
    </pic>
    <clientData/>
  </twoCellAnchor>
</wsDr>
</file>

<file path=xl/drawings/drawing27.xml><?xml version="1.0" encoding="utf-8"?>
<wsDr xmlns="http://schemas.openxmlformats.org/drawingml/2006/spreadsheetDrawing">
  <twoCellAnchor editAs="oneCell">
    <from>
      <col>17</col>
      <colOff>177800</colOff>
      <row>34</row>
      <rowOff>25400</rowOff>
    </from>
    <to>
      <col>17</col>
      <colOff>2307289</colOff>
      <row>34</row>
      <rowOff>377781</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293370" y="90170"/>
          <a:ext cx="2129155" cy="351790"/>
        </a:xfrm>
        <a:prstGeom xmlns:a="http://schemas.openxmlformats.org/drawingml/2006/main" prst="rect">
          <avLst/>
        </a:prstGeom>
        <a:ln xmlns:a="http://schemas.openxmlformats.org/drawingml/2006/main">
          <a:prstDash val="solid"/>
        </a:ln>
      </spPr>
    </pic>
    <clientData/>
  </twoCellAnchor>
</wsDr>
</file>

<file path=xl/drawings/drawing28.xml><?xml version="1.0" encoding="utf-8"?>
<wsDr xmlns="http://schemas.openxmlformats.org/drawingml/2006/spreadsheetDrawing">
  <twoCellAnchor editAs="oneCell">
    <from>
      <col>21</col>
      <colOff>31750</colOff>
      <row>38</row>
      <rowOff>50800</rowOff>
    </from>
    <to>
      <col>21</col>
      <colOff>2310816</colOff>
      <row>39</row>
      <rowOff>3131</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209550" y="160655"/>
          <a:ext cx="2279015" cy="359410"/>
        </a:xfrm>
        <a:prstGeom xmlns:a="http://schemas.openxmlformats.org/drawingml/2006/main" prst="rect">
          <avLst/>
        </a:prstGeom>
        <a:ln xmlns:a="http://schemas.openxmlformats.org/drawingml/2006/main">
          <a:prstDash val="solid"/>
        </a:ln>
      </spPr>
    </pic>
    <clientData/>
  </twoCellAnchor>
</wsDr>
</file>

<file path=xl/drawings/drawing29.xml><?xml version="1.0" encoding="utf-8"?>
<wsDr xmlns="http://schemas.openxmlformats.org/drawingml/2006/spreadsheetDrawing">
  <twoCellAnchor editAs="oneCell">
    <from>
      <col>23</col>
      <colOff>38100</colOff>
      <row>34</row>
      <rowOff>28224</rowOff>
    </from>
    <to>
      <col>24</col>
      <colOff>144056</colOff>
      <row>34</row>
      <rowOff>380605</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a:off x="144780" y="161290"/>
          <a:ext cx="2141220" cy="352425"/>
        </a:xfrm>
        <a:prstGeom xmlns:a="http://schemas.openxmlformats.org/drawingml/2006/main" prst="rect">
          <avLst/>
        </a:prstGeom>
        <a:ln xmlns:a="http://schemas.openxmlformats.org/drawingml/2006/main">
          <a:prstDash val="solid"/>
        </a:ln>
      </spPr>
    </pic>
    <clientData/>
  </twoCellAnchor>
  <oneCellAnchor>
    <from>
      <col>24</col>
      <colOff>38100</colOff>
      <row>34</row>
      <rowOff>28224</rowOff>
    </from>
    <ext cx="2286122" cy="352381"/>
    <pic>
      <nvPicPr>
        <cNvPr id="9" name="图片 8"/>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2180590" y="161290"/>
          <a:ext cx="2286000" cy="352425"/>
        </a:xfrm>
        <a:prstGeom xmlns:a="http://schemas.openxmlformats.org/drawingml/2006/main" prst="rect">
          <avLst/>
        </a:prstGeom>
        <a:ln xmlns:a="http://schemas.openxmlformats.org/drawingml/2006/main">
          <a:prstDash val="solid"/>
        </a:ln>
      </spPr>
    </pic>
    <clientData/>
  </oneCellAnchor>
</wsDr>
</file>

<file path=xl/drawings/drawing30.xml><?xml version="1.0" encoding="utf-8"?>
<wsDr xmlns="http://schemas.openxmlformats.org/drawingml/2006/spreadsheetDrawing">
  <twoCellAnchor editAs="oneCell">
    <from>
      <col>23</col>
      <colOff>38100</colOff>
      <row>34</row>
      <rowOff>28224</rowOff>
    </from>
    <to>
      <col>24</col>
      <colOff>609723</colOff>
      <row>34</row>
      <rowOff>380605</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44780" y="27940"/>
          <a:ext cx="2127250" cy="352425"/>
        </a:xfrm>
        <a:prstGeom xmlns:a="http://schemas.openxmlformats.org/drawingml/2006/main" prst="rect">
          <avLst/>
        </a:prstGeom>
        <a:ln xmlns:a="http://schemas.openxmlformats.org/drawingml/2006/main">
          <a:prstDash val="solid"/>
        </a:ln>
      </spPr>
    </pic>
    <clientData/>
  </twoCellAnchor>
</wsDr>
</file>

<file path=xl/drawings/drawing31.xml><?xml version="1.0" encoding="utf-8"?>
<wsDr xmlns="http://schemas.openxmlformats.org/drawingml/2006/spreadsheetDrawing">
  <twoCellAnchor editAs="oneCell">
    <from>
      <col>23</col>
      <colOff>38100</colOff>
      <row>34</row>
      <rowOff>28224</rowOff>
    </from>
    <to>
      <col>24</col>
      <colOff>969556</colOff>
      <row>34</row>
      <rowOff>380605</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44780" y="218440"/>
          <a:ext cx="2157730" cy="352425"/>
        </a:xfrm>
        <a:prstGeom xmlns:a="http://schemas.openxmlformats.org/drawingml/2006/main" prst="rect">
          <avLst/>
        </a:prstGeom>
        <a:ln xmlns:a="http://schemas.openxmlformats.org/drawingml/2006/main">
          <a:prstDash val="solid"/>
        </a:ln>
      </spPr>
    </pic>
    <clientData/>
  </twoCellAnchor>
</wsDr>
</file>

<file path=xl/drawings/drawing32.xml><?xml version="1.0" encoding="utf-8"?>
<wsDr xmlns="http://schemas.openxmlformats.org/drawingml/2006/spreadsheetDrawing">
  <twoCellAnchor editAs="oneCell">
    <from>
      <col>23</col>
      <colOff>38100</colOff>
      <row>34</row>
      <rowOff>28224</rowOff>
    </from>
    <to>
      <col>24</col>
      <colOff>146297</colOff>
      <row>34</row>
      <rowOff>380605</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260350" y="237490"/>
          <a:ext cx="2108200" cy="352425"/>
        </a:xfrm>
        <a:prstGeom xmlns:a="http://schemas.openxmlformats.org/drawingml/2006/main" prst="rect">
          <avLst/>
        </a:prstGeom>
        <a:ln xmlns:a="http://schemas.openxmlformats.org/drawingml/2006/main">
          <a:prstDash val="solid"/>
        </a:ln>
      </spPr>
    </pic>
    <clientData/>
  </twoCellAnchor>
</wsDr>
</file>

<file path=xl/drawings/drawing33.xml><?xml version="1.0" encoding="utf-8"?>
<wsDr xmlns="http://schemas.openxmlformats.org/drawingml/2006/spreadsheetDrawing">
  <twoCellAnchor editAs="oneCell">
    <from>
      <col>17</col>
      <colOff>38100</colOff>
      <row>34</row>
      <rowOff>28225</rowOff>
    </from>
    <to>
      <col>17</col>
      <colOff>2142067</colOff>
      <row>34</row>
      <rowOff>355577</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35890" y="374650"/>
          <a:ext cx="2103755" cy="327025"/>
        </a:xfrm>
        <a:prstGeom xmlns:a="http://schemas.openxmlformats.org/drawingml/2006/main" prst="rect">
          <avLst/>
        </a:prstGeom>
        <a:ln xmlns:a="http://schemas.openxmlformats.org/drawingml/2006/main">
          <a:prstDash val="solid"/>
        </a:ln>
      </spPr>
    </pic>
    <clientData/>
  </twoCellAnchor>
</wsDr>
</file>

<file path=xl/drawings/drawing34.xml><?xml version="1.0" encoding="utf-8"?>
<wsDr xmlns="http://schemas.openxmlformats.org/drawingml/2006/spreadsheetDrawing">
  <twoCellAnchor editAs="oneCell">
    <from>
      <col>23</col>
      <colOff>91016</colOff>
      <row>34</row>
      <rowOff>7057</rowOff>
    </from>
    <to>
      <col>23</col>
      <colOff>2224739</colOff>
      <row>34</row>
      <rowOff>359438</rowOff>
    </to>
    <pic>
      <nvPicPr>
        <cNvPr id="8" name="图片 7"/>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197485" y="140335"/>
          <a:ext cx="2133600" cy="352425"/>
        </a:xfrm>
        <a:prstGeom xmlns:a="http://schemas.openxmlformats.org/drawingml/2006/main" prst="rect">
          <avLst/>
        </a:prstGeom>
        <a:ln xmlns:a="http://schemas.openxmlformats.org/drawingml/2006/main">
          <a:prstDash val="solid"/>
        </a:ln>
      </spPr>
    </pic>
    <clientData/>
  </twoCellAnchor>
</wsDr>
</file>

<file path=xl/externalLinks/_rels/externalLink1.xml.rels><Relationships xmlns="http://schemas.openxmlformats.org/package/2006/relationships"><Relationship Type="http://schemas.openxmlformats.org/officeDocument/2006/relationships/externalLinkPath" Target="/Users/washingbonk/Library/Containers/com.tencent.xinWeChat/Data/Library/Application%20Support/com.tencent.xinWeChat/2.0b4.0.9/da8acafece9eff7cb6c4e9c88a13cf52/Message/MessageTemp/9e20f478899dc29eb19741386f9343c8/File/D:/SVN/1001_RPA_PROJECT/&#20140;&#33021;&#38598;&#22242;BPC&#19968;&#26399;&#39033;&#30446;/3001-&#34013;&#22270;&#35774;&#35745;/20-&#23458;&#25143;&#25552;&#20379;/&#28023;&#27874;&#40857;&#36164;&#26009;/&#31649;&#29702;&#26376;&#25253;&#20027;&#38468;&#34920;&#22635;&#25253;&#27169;&#26495;20211129.xlsm" TargetMode="External" Id="rId1"/></Relationships>
</file>

<file path=xl/externalLinks/_rels/externalLink2.xml.rels><Relationships xmlns="http://schemas.openxmlformats.org/package/2006/relationships"><Relationship Type="http://schemas.openxmlformats.org/officeDocument/2006/relationships/externalLinkPath" Target="/Users/washingbonk/Library/Containers/com.tencent.xinWeChat/Data/Library/Application%20Support/com.tencent.xinWeChat/2.0b4.0.9/da8acafece9eff7cb6c4e9c88a13cf52/Message/MessageTemp/9e20f478899dc29eb19741386f9343c8/File/D:/SVN/1001_RPA_PROJECT/&#20140;&#33021;&#38598;&#22242;BPC&#19968;&#26399;&#39033;&#30446;/3001-&#34013;&#22270;&#35774;&#35745;/20-&#23458;&#25143;&#25552;&#20379;/&#28023;&#27874;&#40857;&#36164;&#26009;/&#31649;&#29702;&#26376;&#25253;&#20027;&#38468;&#34920;&#22635;&#25253;&#27169;&#26495;20211129-Zack&#35299;&#38145;.xlsm" TargetMode="External" Id="rId1"/></Relationships>
</file>

<file path=xl/externalLinks/_rels/externalLink3.xml.rels><Relationships xmlns="http://schemas.openxmlformats.org/package/2006/relationships"><Relationship Type="http://schemas.openxmlformats.org/officeDocument/2006/relationships/externalLinkPath" Target="/&#25253;&#34920;/&#25253;&#34920;/2024&#24180;/&#26376;&#25253;&#34920;%20-%20&#21333;&#34920;&#21333;&#20844;&#21496;/2&#23454;&#25910;&#36164;&#26412;&#34920;&#65288;&#21333;&#25143;&#65289;.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财务指标导出数据"/>
      <sheetName val="所有者权益变动表导出数据"/>
      <sheetName val="主体与项目"/>
      <sheetName val="担保明细集团内集团外单位列表"/>
      <sheetName val="填报流程"/>
      <sheetName val="导出数据"/>
      <sheetName val="模板表"/>
      <sheetName val="编码表"/>
      <sheetName val="注意事项"/>
      <sheetName val="填报说明"/>
      <sheetName val="修改记录"/>
      <sheetName val="报表封面"/>
      <sheetName val="实体与报表选择器"/>
      <sheetName val="报表打印"/>
      <sheetName val="有效实体列表"/>
      <sheetName val="工作表目录"/>
      <sheetName val="电力&amp;热力板块审核"/>
      <sheetName val="节能环保及其他板块审核"/>
      <sheetName val="地产置业板块审核"/>
      <sheetName val="金融证劵板块审核"/>
      <sheetName val="封面信息"/>
      <sheetName val="资产负债表"/>
      <sheetName val="利润表"/>
      <sheetName val="现金流量表"/>
      <sheetName val="所有者权益变动表"/>
      <sheetName val="资产负债表比较表一"/>
      <sheetName val="资产负债表比较表二"/>
      <sheetName val="利润表比较表"/>
      <sheetName val="人行征信资产负债表"/>
      <sheetName val="人行征信利润分配表"/>
      <sheetName val="人行征信现金流量表"/>
      <sheetName val="人行征信财务指标表"/>
      <sheetName val="债权投资明细表固化信息"/>
      <sheetName val="可供出售金额资产明细表"/>
      <sheetName val="可供出售金融资产基础信息"/>
      <sheetName val="集团外出资单位"/>
      <sheetName val="长期股权投资明细表"/>
      <sheetName val="实收资本表"/>
      <sheetName val="投资收益明细比较表"/>
      <sheetName val="现金流量表比较表"/>
      <sheetName val="主要财务指标评价表"/>
      <sheetName val="劳动生产总值计算表"/>
      <sheetName val="筹融资明细表"/>
      <sheetName val="利息支出明细表"/>
      <sheetName val="利息同比因素表"/>
      <sheetName val="应交款项明细表"/>
      <sheetName val="人工成本明细表"/>
      <sheetName val="销售费用明细表"/>
      <sheetName val="管理费用明细表"/>
      <sheetName val="研发费用明细表"/>
      <sheetName val="财务费用明细表"/>
      <sheetName val="其他权益工具投资明细表固化信息"/>
      <sheetName val="其他权益工具投资明细表"/>
      <sheetName val="债权投资明细表"/>
      <sheetName val="分板块经营情况表"/>
      <sheetName val="收入分版块明细比较表"/>
      <sheetName val="成本费用分版块明细比较表"/>
      <sheetName val="发电企业收入明细表"/>
      <sheetName val="执行电价调整增收情况表"/>
      <sheetName val="电量电价影响收入表"/>
      <sheetName val="发电企业成本费用明细表"/>
      <sheetName val="发电企业其他费用明细表"/>
      <sheetName val="电量煤价煤耗影响成本表燃煤"/>
      <sheetName val="电量煤价煤耗影响成本表燃气"/>
      <sheetName val="发电企业燃料收支余表"/>
      <sheetName val="发电企业技术经济指标表"/>
      <sheetName val="发电企业应收账款及政府补贴情况表"/>
      <sheetName val="燃煤电厂基数电和交易电收入、电量明细表"/>
      <sheetName val="燃煤电厂基数电和交易电收入、电量明细表_集团查询"/>
      <sheetName val="财务公司资金收支情况表"/>
      <sheetName val="房地产企业主营业务情况表"/>
      <sheetName val="房地产企业房屋销售情况表"/>
      <sheetName val="房地产企业房屋出租情况表"/>
      <sheetName val="房地产企业车库出租情况表"/>
      <sheetName val="房地产在建项目成本汇总表"/>
      <sheetName val="房地产企业其他收入情况表"/>
      <sheetName val="煤炭主营业务情况表"/>
      <sheetName val="节能环保及其他主营业务情况表"/>
      <sheetName val="大中基建资金收支分析表"/>
      <sheetName val="大中基建投资完成分析表"/>
      <sheetName val="技术改造支出明细表"/>
      <sheetName val="项目前期支出明细表"/>
      <sheetName val="信息化项目支出明细表"/>
      <sheetName val="科技研发项目支出明细表"/>
      <sheetName val="担保明细表"/>
      <sheetName val="千行表资产负债"/>
      <sheetName val="千行表利润及利润分配"/>
      <sheetName val="企业财务快报"/>
      <sheetName val="固定资产投资指标表"/>
      <sheetName val="主要经营指标表"/>
      <sheetName val="经济效益主要指标表"/>
      <sheetName val="生产经营重点指标表"/>
      <sheetName val="资产负债主要指标表"/>
      <sheetName val="合并层与本部"/>
      <sheetName val="BPC科目主数据"/>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财务指标导出数据"/>
      <sheetName val="所有者权益变动表导出数据"/>
      <sheetName val="主体与项目"/>
      <sheetName val="担保明细集团内集团外单位列表"/>
      <sheetName val="填报流程"/>
      <sheetName val="导出数据"/>
      <sheetName val="模板表"/>
      <sheetName val="编码表"/>
      <sheetName val="注意事项"/>
      <sheetName val="填报说明"/>
      <sheetName val="修改记录"/>
      <sheetName val="报表封面"/>
      <sheetName val="实体与报表选择器"/>
      <sheetName val="报表打印"/>
      <sheetName val="有效实体列表"/>
      <sheetName val="工作表目录"/>
      <sheetName val="电力&amp;热力板块审核"/>
      <sheetName val="节能环保及其他板块审核"/>
      <sheetName val="地产置业板块审核"/>
      <sheetName val="金融证劵板块审核"/>
      <sheetName val="封面信息"/>
      <sheetName val="资产负债表"/>
      <sheetName val="利润表"/>
      <sheetName val="现金流量表"/>
      <sheetName val="所有者权益变动表"/>
      <sheetName val="资产负债表比较表一"/>
      <sheetName val="资产负债表比较表二"/>
      <sheetName val="利润表比较表"/>
      <sheetName val="现金流量表比较表"/>
      <sheetName val="人行征信资产负债表"/>
      <sheetName val="人行征信利润分配表"/>
      <sheetName val="人行征信现金流量表"/>
      <sheetName val="人行征信财务指标表"/>
      <sheetName val="债权投资明细表固化信息"/>
      <sheetName val="可供出售金额资产明细表"/>
      <sheetName val="可供出售金融资产基础信息"/>
      <sheetName val="集团外出资单位"/>
      <sheetName val="长期股权投资明细表"/>
      <sheetName val="实收资本表"/>
      <sheetName val="投资收益明细比较表"/>
      <sheetName val="主要财务指标评价表"/>
      <sheetName val="劳动生产总值计算表"/>
      <sheetName val="筹融资明细表"/>
      <sheetName val="利息支出明细表"/>
      <sheetName val="利息同比因素表"/>
      <sheetName val="应交款项明细表"/>
      <sheetName val="人工成本明细表"/>
      <sheetName val="销售费用明细表"/>
      <sheetName val="管理费用明细表"/>
      <sheetName val="研发费用明细表"/>
      <sheetName val="财务费用明细表"/>
      <sheetName val="其他权益工具投资明细表固化信息"/>
      <sheetName val="其他权益工具投资明细表"/>
      <sheetName val="债权投资明细表"/>
      <sheetName val="分板块经营情况表"/>
      <sheetName val="收入分版块明细比较表"/>
      <sheetName val="成本费用分版块明细比较表"/>
      <sheetName val="发电企业收入明细表"/>
      <sheetName val="执行电价调整增收情况表"/>
      <sheetName val="电量电价影响收入表"/>
      <sheetName val="发电企业成本费用明细表"/>
      <sheetName val="发电企业其他费用明细表"/>
      <sheetName val="电量煤价煤耗影响成本表燃煤"/>
      <sheetName val="电量煤价煤耗影响成本表燃气"/>
      <sheetName val="发电企业燃料收支余表"/>
      <sheetName val="发电企业技术经济指标表"/>
      <sheetName val="发电企业应收账款及政府补贴情况表"/>
      <sheetName val="燃煤电厂基数电和交易电收入、电量明细表"/>
      <sheetName val="燃煤电厂基数电和交易电收入、电量明细表_集团查询"/>
      <sheetName val="财务公司资金收支情况表"/>
      <sheetName val="房地产企业主营业务情况表"/>
      <sheetName val="房地产企业房屋销售情况表"/>
      <sheetName val="房地产企业房屋出租情况表"/>
      <sheetName val="房地产企业车库出租情况表"/>
      <sheetName val="房地产在建项目成本汇总表"/>
      <sheetName val="房地产企业其他收入情况表"/>
      <sheetName val="煤炭主营业务情况表"/>
      <sheetName val="节能环保及其他主营业务情况表"/>
      <sheetName val="大中基建资金收支分析表"/>
      <sheetName val="大中基建投资完成分析表"/>
      <sheetName val="技术改造支出明细表"/>
      <sheetName val="项目前期支出明细表"/>
      <sheetName val="信息化项目支出明细表"/>
      <sheetName val="科技研发项目支出明细表"/>
      <sheetName val="担保明细表"/>
      <sheetName val="千行表资产负债"/>
      <sheetName val="千行表利润及利润分配"/>
      <sheetName val="企业财务快报"/>
      <sheetName val="固定资产投资指标表"/>
      <sheetName val="主要经营指标表"/>
      <sheetName val="经济效益主要指标表"/>
      <sheetName val="生产经营重点指标表"/>
      <sheetName val="资产负债主要指标表"/>
      <sheetName val="合并层与本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报表说明"/>
      <sheetName val="报表逻辑"/>
      <sheetName val="实收资本表-单体"/>
      <sheetName val="枚举值"/>
    </sheetNames>
    <sheetDataSet>
      <sheetData sheetId="0"/>
      <sheetData sheetId="1"/>
      <sheetData sheetId="2">
        <row r="6">
          <cell r="C6" t="str">
            <v>E101303</v>
          </cell>
        </row>
      </sheetData>
      <sheetData sheetId="3"/>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Relationships xmlns="http://schemas.openxmlformats.org/package/2006/relationships"><Relationship Type="http://schemas.openxmlformats.org/officeDocument/2006/relationships/drawing" Target="/xl/drawings/drawing1.xml" Id="rId1"/></Relationships>
</file>

<file path=xl/worksheets/_rels/sheet3.xml.rels><Relationships xmlns="http://schemas.openxmlformats.org/package/2006/relationships"><Relationship Type="http://schemas.openxmlformats.org/officeDocument/2006/relationships/drawing" Target="/xl/drawings/drawing2.xml" Id="rId1"/></Relationships>
</file>

<file path=xl/worksheets/_rels/sheet4.xml.rels><Relationships xmlns="http://schemas.openxmlformats.org/package/2006/relationships"><Relationship Type="http://schemas.openxmlformats.org/officeDocument/2006/relationships/drawing" Target="/xl/drawings/drawing3.xml" Id="rId1"/></Relationships>
</file>

<file path=xl/worksheets/_rels/sheet5.xml.rels><Relationships xmlns="http://schemas.openxmlformats.org/package/2006/relationships"><Relationship Type="http://schemas.openxmlformats.org/officeDocument/2006/relationships/drawing" Target="/xl/drawings/drawing4.xml" Id="rId1"/><Relationship Type="http://schemas.openxmlformats.org/officeDocument/2006/relationships/comments" Target="/xl/comments/comment1.xml" Id="comments"/><Relationship Type="http://schemas.openxmlformats.org/officeDocument/2006/relationships/vmlDrawing" Target="/xl/drawings/commentsDrawing1.vml" Id="anysvml"/></Relationships>
</file>

<file path=xl/worksheets/_rels/sheet6.xml.rels><Relationships xmlns="http://schemas.openxmlformats.org/package/2006/relationships"><Relationship Type="http://schemas.openxmlformats.org/officeDocument/2006/relationships/drawing" Target="/xl/drawings/drawing5.xml" Id="rId1"/></Relationships>
</file>

<file path=xl/worksheets/_rels/sheet7.xml.rels><Relationships xmlns="http://schemas.openxmlformats.org/package/2006/relationships"><Relationship Type="http://schemas.openxmlformats.org/officeDocument/2006/relationships/drawing" Target="/xl/drawings/drawing6.xml" Id="rId1"/></Relationships>
</file>

<file path=xl/worksheets/_rels/sheet8.xml.rels><Relationships xmlns="http://schemas.openxmlformats.org/package/2006/relationships"><Relationship Type="http://schemas.openxmlformats.org/officeDocument/2006/relationships/drawing" Target="/xl/drawings/drawing7.xml" Id="rId1"/></Relationships>
</file>

<file path=xl/worksheets/_rels/sheet9.xml.rels><Relationships xmlns="http://schemas.openxmlformats.org/package/2006/relationships"><Relationship Type="http://schemas.openxmlformats.org/officeDocument/2006/relationships/drawing" Target="/xl/drawings/drawing8.xml" Id="rId1"/></Relationships>
</file>

<file path=xl/worksheets/_rels/sheet12.xml.rels><Relationships xmlns="http://schemas.openxmlformats.org/package/2006/relationships"><Relationship Type="http://schemas.openxmlformats.org/officeDocument/2006/relationships/drawing" Target="/xl/drawings/drawing9.xml" Id="rId1"/></Relationships>
</file>

<file path=xl/worksheets/_rels/sheet14.xml.rels><Relationships xmlns="http://schemas.openxmlformats.org/package/2006/relationships"><Relationship Type="http://schemas.openxmlformats.org/officeDocument/2006/relationships/drawing" Target="/xl/drawings/drawing10.xml" Id="rId1"/></Relationships>
</file>

<file path=xl/worksheets/_rels/sheet15.xml.rels><Relationships xmlns="http://schemas.openxmlformats.org/package/2006/relationships"><Relationship Type="http://schemas.openxmlformats.org/officeDocument/2006/relationships/drawing" Target="/xl/drawings/drawing11.xml" Id="rId1"/></Relationships>
</file>

<file path=xl/worksheets/_rels/sheet19.xml.rels><Relationships xmlns="http://schemas.openxmlformats.org/package/2006/relationships"><Relationship Type="http://schemas.openxmlformats.org/officeDocument/2006/relationships/drawing" Target="/xl/drawings/drawing12.xml" Id="rId1"/></Relationships>
</file>

<file path=xl/worksheets/_rels/sheet21.xml.rels><Relationships xmlns="http://schemas.openxmlformats.org/package/2006/relationships"><Relationship Type="http://schemas.openxmlformats.org/officeDocument/2006/relationships/drawing" Target="/xl/drawings/drawing13.xml" Id="rId1"/></Relationships>
</file>

<file path=xl/worksheets/_rels/sheet22.xml.rels><Relationships xmlns="http://schemas.openxmlformats.org/package/2006/relationships"><Relationship Type="http://schemas.openxmlformats.org/officeDocument/2006/relationships/drawing" Target="/xl/drawings/drawing14.xml" Id="rId1"/></Relationships>
</file>

<file path=xl/worksheets/_rels/sheet23.xml.rels><Relationships xmlns="http://schemas.openxmlformats.org/package/2006/relationships"><Relationship Type="http://schemas.openxmlformats.org/officeDocument/2006/relationships/drawing" Target="/xl/drawings/drawing15.xml" Id="rId1"/></Relationships>
</file>

<file path=xl/worksheets/_rels/sheet24.xml.rels><Relationships xmlns="http://schemas.openxmlformats.org/package/2006/relationships"><Relationship Type="http://schemas.openxmlformats.org/officeDocument/2006/relationships/drawing" Target="/xl/drawings/drawing16.xml" Id="rId1"/></Relationships>
</file>

<file path=xl/worksheets/_rels/sheet25.xml.rels><Relationships xmlns="http://schemas.openxmlformats.org/package/2006/relationships"><Relationship Type="http://schemas.openxmlformats.org/officeDocument/2006/relationships/drawing" Target="/xl/drawings/drawing17.xml" Id="rId1"/></Relationships>
</file>

<file path=xl/worksheets/_rels/sheet26.xml.rels><Relationships xmlns="http://schemas.openxmlformats.org/package/2006/relationships"><Relationship Type="http://schemas.openxmlformats.org/officeDocument/2006/relationships/drawing" Target="/xl/drawings/drawing18.xml" Id="rId1"/></Relationships>
</file>

<file path=xl/worksheets/_rels/sheet27.xml.rels><Relationships xmlns="http://schemas.openxmlformats.org/package/2006/relationships"><Relationship Type="http://schemas.openxmlformats.org/officeDocument/2006/relationships/drawing" Target="/xl/drawings/drawing19.xml" Id="rId1"/></Relationships>
</file>

<file path=xl/worksheets/_rels/sheet28.xml.rels><Relationships xmlns="http://schemas.openxmlformats.org/package/2006/relationships"><Relationship Type="http://schemas.openxmlformats.org/officeDocument/2006/relationships/drawing" Target="/xl/drawings/drawing20.xml" Id="rId1"/></Relationships>
</file>

<file path=xl/worksheets/_rels/sheet29.xml.rels><Relationships xmlns="http://schemas.openxmlformats.org/package/2006/relationships"><Relationship Type="http://schemas.openxmlformats.org/officeDocument/2006/relationships/drawing" Target="/xl/drawings/drawing21.xml" Id="rId1"/></Relationships>
</file>

<file path=xl/worksheets/_rels/sheet31.xml.rels><Relationships xmlns="http://schemas.openxmlformats.org/package/2006/relationships"><Relationship Type="http://schemas.openxmlformats.org/officeDocument/2006/relationships/drawing" Target="/xl/drawings/drawing22.xml" Id="rId1"/></Relationships>
</file>

<file path=xl/worksheets/_rels/sheet32.xml.rels><Relationships xmlns="http://schemas.openxmlformats.org/package/2006/relationships"><Relationship Type="http://schemas.openxmlformats.org/officeDocument/2006/relationships/drawing" Target="/xl/drawings/drawing23.xml" Id="rId1"/></Relationships>
</file>

<file path=xl/worksheets/_rels/sheet33.xml.rels><Relationships xmlns="http://schemas.openxmlformats.org/package/2006/relationships"><Relationship Type="http://schemas.openxmlformats.org/officeDocument/2006/relationships/drawing" Target="/xl/drawings/drawing24.xml" Id="rId1"/></Relationships>
</file>

<file path=xl/worksheets/_rels/sheet34.xml.rels><Relationships xmlns="http://schemas.openxmlformats.org/package/2006/relationships"><Relationship Type="http://schemas.openxmlformats.org/officeDocument/2006/relationships/drawing" Target="/xl/drawings/drawing25.xml" Id="rId1"/></Relationships>
</file>

<file path=xl/worksheets/_rels/sheet35.xml.rels><Relationships xmlns="http://schemas.openxmlformats.org/package/2006/relationships"><Relationship Type="http://schemas.openxmlformats.org/officeDocument/2006/relationships/drawing" Target="/xl/drawings/drawing26.xml" Id="rId1"/></Relationships>
</file>

<file path=xl/worksheets/_rels/sheet36.xml.rels><Relationships xmlns="http://schemas.openxmlformats.org/package/2006/relationships"><Relationship Type="http://schemas.openxmlformats.org/officeDocument/2006/relationships/drawing" Target="/xl/drawings/drawing27.xml" Id="rId1"/></Relationships>
</file>

<file path=xl/worksheets/_rels/sheet37.xml.rels><Relationships xmlns="http://schemas.openxmlformats.org/package/2006/relationships"><Relationship Type="http://schemas.openxmlformats.org/officeDocument/2006/relationships/drawing" Target="/xl/drawings/drawing28.xml" Id="rId1"/><Relationship Type="http://schemas.openxmlformats.org/officeDocument/2006/relationships/comments" Target="/xl/comments/comment2.xml" Id="comments"/><Relationship Type="http://schemas.openxmlformats.org/officeDocument/2006/relationships/vmlDrawing" Target="/xl/drawings/commentsDrawing2.vml" Id="anysvml"/></Relationships>
</file>

<file path=xl/worksheets/_rels/sheet38.xml.rels><Relationships xmlns="http://schemas.openxmlformats.org/package/2006/relationships"><Relationship Type="http://schemas.openxmlformats.org/officeDocument/2006/relationships/drawing" Target="/xl/drawings/drawing29.xml" Id="rId1"/></Relationships>
</file>

<file path=xl/worksheets/_rels/sheet39.xml.rels><Relationships xmlns="http://schemas.openxmlformats.org/package/2006/relationships"><Relationship Type="http://schemas.openxmlformats.org/officeDocument/2006/relationships/drawing" Target="/xl/drawings/drawing30.xml" Id="rId1"/></Relationships>
</file>

<file path=xl/worksheets/_rels/sheet40.xml.rels><Relationships xmlns="http://schemas.openxmlformats.org/package/2006/relationships"><Relationship Type="http://schemas.openxmlformats.org/officeDocument/2006/relationships/drawing" Target="/xl/drawings/drawing31.xml" Id="rId1"/></Relationships>
</file>

<file path=xl/worksheets/_rels/sheet41.xml.rels><Relationships xmlns="http://schemas.openxmlformats.org/package/2006/relationships"><Relationship Type="http://schemas.openxmlformats.org/officeDocument/2006/relationships/drawing" Target="/xl/drawings/drawing32.xml" Id="rId1"/><Relationship Type="http://schemas.openxmlformats.org/officeDocument/2006/relationships/comments" Target="/xl/comments/comment3.xml" Id="comments"/><Relationship Type="http://schemas.openxmlformats.org/officeDocument/2006/relationships/vmlDrawing" Target="/xl/drawings/commentsDrawing3.vml" Id="anysvml"/></Relationships>
</file>

<file path=xl/worksheets/_rels/sheet42.xml.rels><Relationships xmlns="http://schemas.openxmlformats.org/package/2006/relationships"><Relationship Type="http://schemas.openxmlformats.org/officeDocument/2006/relationships/drawing" Target="/xl/drawings/drawing33.xml" Id="rId1"/><Relationship Type="http://schemas.openxmlformats.org/officeDocument/2006/relationships/comments" Target="/xl/comments/comment4.xml" Id="comments"/><Relationship Type="http://schemas.openxmlformats.org/officeDocument/2006/relationships/vmlDrawing" Target="/xl/drawings/commentsDrawing4.vml" Id="anysvml"/></Relationships>
</file>

<file path=xl/worksheets/_rels/sheet43.xml.rels><Relationships xmlns="http://schemas.openxmlformats.org/package/2006/relationships"><Relationship Type="http://schemas.openxmlformats.org/officeDocument/2006/relationships/drawing" Target="/xl/drawings/drawing34.xml" Id="rId1"/><Relationship Type="http://schemas.openxmlformats.org/officeDocument/2006/relationships/comments" Target="/xl/comments/comment5.xml" Id="comments"/><Relationship Type="http://schemas.openxmlformats.org/officeDocument/2006/relationships/vmlDrawing" Target="/xl/drawings/commentsDrawing5.vml" Id="anysvml"/></Relationships>
</file>

<file path=xl/worksheets/sheet1.xml><?xml version="1.0" encoding="utf-8"?>
<worksheet xmlns="http://schemas.openxmlformats.org/spreadsheetml/2006/main">
  <sheetPr codeName="Sheet35">
    <outlinePr summaryBelow="1" summaryRight="1"/>
    <pageSetUpPr/>
  </sheetPr>
  <dimension ref="A1:D821"/>
  <sheetViews>
    <sheetView workbookViewId="0">
      <pane ySplit="3" topLeftCell="A4" activePane="bottomLeft" state="frozen"/>
      <selection activeCell="A1" sqref="A1"/>
      <selection pane="bottomLeft" activeCell="C4" sqref="C4"/>
    </sheetView>
  </sheetViews>
  <sheetFormatPr baseColWidth="8" defaultColWidth="9" defaultRowHeight="16.8"/>
  <cols>
    <col width="13" customWidth="1" style="1175" min="1" max="1"/>
    <col width="56.75" customWidth="1" style="1175" min="2" max="2"/>
    <col width="17" customWidth="1" style="1175" min="3" max="3"/>
    <col width="13" customWidth="1" style="1175" min="4" max="4"/>
    <col width="9" customWidth="1" style="844" min="5" max="16384"/>
  </cols>
  <sheetData>
    <row r="1"/>
    <row r="2">
      <c r="A2" s="1176" t="inlineStr">
        <is>
          <t>待打印</t>
        </is>
      </c>
    </row>
    <row r="3">
      <c r="A3" s="1177" t="inlineStr">
        <is>
          <t>公司代码</t>
        </is>
      </c>
      <c r="B3" s="1177" t="inlineStr">
        <is>
          <t>公司名称</t>
        </is>
      </c>
      <c r="C3" s="1177" t="inlineStr">
        <is>
          <t>合并范围标识</t>
        </is>
      </c>
      <c r="D3" s="1177" t="inlineStr">
        <is>
          <t>是否打印</t>
        </is>
      </c>
    </row>
    <row r="4">
      <c r="A4" s="1175" t="inlineStr">
        <is>
          <t>E100000</t>
        </is>
      </c>
      <c r="B4" s="1175" t="inlineStr">
        <is>
          <t>北京能源集团有限责任公司</t>
        </is>
      </c>
      <c r="C4" s="1175" t="inlineStr">
        <is>
          <t>G_DUMMY</t>
        </is>
      </c>
      <c r="D4" s="1175" t="inlineStr">
        <is>
          <t>否</t>
        </is>
      </c>
    </row>
    <row r="5">
      <c r="A5" s="1175" t="inlineStr">
        <is>
          <t>E100001</t>
        </is>
      </c>
      <c r="B5" s="1175" t="inlineStr">
        <is>
          <t>北京京能清洁能源电力股份有限公司</t>
        </is>
      </c>
      <c r="C5" s="1175" t="inlineStr">
        <is>
          <t>G_DUMMY</t>
        </is>
      </c>
      <c r="D5" s="1175" t="inlineStr">
        <is>
          <t>是</t>
        </is>
      </c>
    </row>
    <row r="6">
      <c r="A6" s="1175" t="inlineStr">
        <is>
          <t>E100002</t>
        </is>
      </c>
      <c r="B6" s="1175" t="inlineStr">
        <is>
          <t>北京京能高安屯燃气热电有限责任公司</t>
        </is>
      </c>
      <c r="C6" s="1175" t="inlineStr">
        <is>
          <t>G_DUMMY</t>
        </is>
      </c>
      <c r="D6" s="1175" t="inlineStr">
        <is>
          <t>否</t>
        </is>
      </c>
    </row>
    <row r="7">
      <c r="A7" s="1175" t="inlineStr">
        <is>
          <t>E100003</t>
        </is>
      </c>
      <c r="B7" s="1175" t="inlineStr">
        <is>
          <t>北京京丰燃气发电有限责任公司</t>
        </is>
      </c>
      <c r="C7" s="1175" t="inlineStr">
        <is>
          <t>G_DUMMY</t>
        </is>
      </c>
      <c r="D7" s="1175" t="inlineStr">
        <is>
          <t>否</t>
        </is>
      </c>
    </row>
    <row r="8">
      <c r="A8" s="1175" t="inlineStr">
        <is>
          <t>E100004</t>
        </is>
      </c>
      <c r="B8" s="1175" t="inlineStr">
        <is>
          <t>北京京丰热电有限责任公司</t>
        </is>
      </c>
      <c r="C8" s="1175" t="inlineStr">
        <is>
          <t>G_DUMMY</t>
        </is>
      </c>
      <c r="D8" s="1175" t="inlineStr">
        <is>
          <t>否</t>
        </is>
      </c>
    </row>
    <row r="9">
      <c r="A9" s="1175" t="inlineStr">
        <is>
          <t>E100005</t>
        </is>
      </c>
      <c r="B9" s="1175" t="inlineStr">
        <is>
          <t>北京京桥热电有限责任公司</t>
        </is>
      </c>
      <c r="C9" s="1175" t="inlineStr">
        <is>
          <t>G_DUMMY</t>
        </is>
      </c>
      <c r="D9" s="1175" t="inlineStr">
        <is>
          <t>否</t>
        </is>
      </c>
    </row>
    <row r="10">
      <c r="A10" s="1175" t="inlineStr">
        <is>
          <t>E100006</t>
        </is>
      </c>
      <c r="B10" s="1175" t="inlineStr">
        <is>
          <t>北京京西燃气热电有限公司</t>
        </is>
      </c>
      <c r="C10" s="1175" t="inlineStr">
        <is>
          <t>G_DUMMY</t>
        </is>
      </c>
      <c r="D10" s="1175" t="inlineStr">
        <is>
          <t>否</t>
        </is>
      </c>
    </row>
    <row r="11">
      <c r="A11" s="1175" t="inlineStr">
        <is>
          <t>E100007</t>
        </is>
      </c>
      <c r="B11" s="1175" t="inlineStr">
        <is>
          <t>北京京西发电有限责任公司</t>
        </is>
      </c>
      <c r="C11" s="1175" t="inlineStr">
        <is>
          <t>G_DUMMY</t>
        </is>
      </c>
      <c r="D11" s="1175" t="inlineStr">
        <is>
          <t>否</t>
        </is>
      </c>
    </row>
    <row r="12">
      <c r="A12" s="1175" t="inlineStr">
        <is>
          <t>E100008</t>
        </is>
      </c>
      <c r="B12" s="1175" t="inlineStr">
        <is>
          <t>北京太阳宫燃气热电有限公司</t>
        </is>
      </c>
      <c r="C12" s="1175" t="inlineStr">
        <is>
          <t>G_DUMMY</t>
        </is>
      </c>
      <c r="D12" s="1175" t="inlineStr">
        <is>
          <t>否</t>
        </is>
      </c>
    </row>
    <row r="13">
      <c r="A13" s="1175" t="inlineStr">
        <is>
          <t>E100009</t>
        </is>
      </c>
      <c r="B13" s="1175" t="inlineStr">
        <is>
          <t>北京上庄燃气热电有限公司</t>
        </is>
      </c>
      <c r="C13" s="1175" t="inlineStr">
        <is>
          <t>G_DUMMY</t>
        </is>
      </c>
      <c r="D13" s="1175" t="inlineStr">
        <is>
          <t>否</t>
        </is>
      </c>
    </row>
    <row r="14">
      <c r="A14" s="1175" t="inlineStr">
        <is>
          <t>E100010</t>
        </is>
      </c>
      <c r="B14" s="1175" t="inlineStr">
        <is>
          <t>北京京能未来燃气热电有限公司</t>
        </is>
      </c>
      <c r="C14" s="1175" t="inlineStr">
        <is>
          <t>G_DUMMY</t>
        </is>
      </c>
      <c r="D14" s="1175" t="inlineStr">
        <is>
          <t>否</t>
        </is>
      </c>
    </row>
    <row r="15">
      <c r="A15" s="1175" t="inlineStr">
        <is>
          <t>E100011</t>
        </is>
      </c>
      <c r="B15" s="1175" t="inlineStr">
        <is>
          <t>深圳钰湖电力有限公司</t>
        </is>
      </c>
      <c r="C15" s="1175" t="inlineStr">
        <is>
          <t>G_DUMMY</t>
        </is>
      </c>
      <c r="D15" s="1175" t="inlineStr">
        <is>
          <t>否</t>
        </is>
      </c>
    </row>
    <row r="16">
      <c r="A16" s="1175" t="inlineStr">
        <is>
          <t>E100012</t>
        </is>
      </c>
      <c r="B16" s="1175" t="inlineStr">
        <is>
          <t>珠海市钰海电力有限公司</t>
        </is>
      </c>
      <c r="C16" s="1175" t="inlineStr">
        <is>
          <t>G_DUMMY</t>
        </is>
      </c>
      <c r="D16" s="1175" t="inlineStr">
        <is>
          <t>否</t>
        </is>
      </c>
    </row>
    <row r="17">
      <c r="A17" s="1175" t="inlineStr">
        <is>
          <t>E100013</t>
        </is>
      </c>
      <c r="B17" s="1175" t="inlineStr">
        <is>
          <t>北京京能清洁能源电力股份有限公司北京分公司</t>
        </is>
      </c>
      <c r="C17" s="1175" t="inlineStr">
        <is>
          <t>G_DUMMY</t>
        </is>
      </c>
      <c r="D17" s="1175" t="inlineStr">
        <is>
          <t>否</t>
        </is>
      </c>
    </row>
    <row r="18">
      <c r="A18" s="1175" t="inlineStr">
        <is>
          <t>E100014</t>
        </is>
      </c>
      <c r="B18" s="1175" t="inlineStr">
        <is>
          <t>北京京能新能源有限公司</t>
        </is>
      </c>
      <c r="C18" s="1175" t="inlineStr">
        <is>
          <t>G_DUMMY</t>
        </is>
      </c>
      <c r="D18" s="1175" t="inlineStr">
        <is>
          <t>否</t>
        </is>
      </c>
    </row>
    <row r="19">
      <c r="A19" s="1175" t="inlineStr">
        <is>
          <t>E100015</t>
        </is>
      </c>
      <c r="B19" s="1175" t="inlineStr">
        <is>
          <t>北京京能清洁能源电力股份有限公司鹿鸣山官厅风电场</t>
        </is>
      </c>
      <c r="C19" s="1175" t="inlineStr">
        <is>
          <t>G_DUMMY</t>
        </is>
      </c>
      <c r="D19" s="1175" t="inlineStr">
        <is>
          <t>否</t>
        </is>
      </c>
    </row>
    <row r="20">
      <c r="A20" s="1175" t="inlineStr">
        <is>
          <t>E100016</t>
        </is>
      </c>
      <c r="B20" s="1175" t="inlineStr">
        <is>
          <t>格尔木京能新能源有限公司</t>
        </is>
      </c>
      <c r="C20" s="1175" t="inlineStr">
        <is>
          <t>G_DUMMY</t>
        </is>
      </c>
      <c r="D20" s="1175" t="inlineStr">
        <is>
          <t>否</t>
        </is>
      </c>
    </row>
    <row r="21">
      <c r="A21" s="1175" t="inlineStr">
        <is>
          <t>E100017</t>
        </is>
      </c>
      <c r="B21" s="1175" t="inlineStr">
        <is>
          <t>海兴京兴新能源有限公司</t>
        </is>
      </c>
      <c r="C21" s="1175" t="inlineStr">
        <is>
          <t>G_DUMMY</t>
        </is>
      </c>
      <c r="D21" s="1175" t="inlineStr">
        <is>
          <t>否</t>
        </is>
      </c>
    </row>
    <row r="22">
      <c r="A22" s="1175" t="inlineStr">
        <is>
          <t>E100018</t>
        </is>
      </c>
      <c r="B22" s="1175" t="inlineStr">
        <is>
          <t>天津团泊昱合光伏科技有限公司</t>
        </is>
      </c>
      <c r="C22" s="1175" t="inlineStr">
        <is>
          <t>G_DUMMY</t>
        </is>
      </c>
      <c r="D22" s="1175" t="inlineStr">
        <is>
          <t>否</t>
        </is>
      </c>
    </row>
    <row r="23">
      <c r="A23" s="1175" t="inlineStr">
        <is>
          <t>E100019</t>
        </is>
      </c>
      <c r="B23" s="1175" t="inlineStr">
        <is>
          <t>天津团泊明瑞新能源有限公司</t>
        </is>
      </c>
      <c r="C23" s="1175" t="inlineStr">
        <is>
          <t>G_DUMMY</t>
        </is>
      </c>
      <c r="D23" s="1175" t="inlineStr">
        <is>
          <t>否</t>
        </is>
      </c>
    </row>
    <row r="24">
      <c r="A24" s="1175" t="inlineStr">
        <is>
          <t>E100020</t>
        </is>
      </c>
      <c r="B24" s="1175" t="inlineStr">
        <is>
          <t>天津团泊昱隆光伏科技有限公司</t>
        </is>
      </c>
      <c r="C24" s="1175" t="inlineStr">
        <is>
          <t>G_DUMMY</t>
        </is>
      </c>
      <c r="D24" s="1175" t="inlineStr">
        <is>
          <t>否</t>
        </is>
      </c>
    </row>
    <row r="25">
      <c r="A25" s="1175" t="inlineStr">
        <is>
          <t>E100021</t>
        </is>
      </c>
      <c r="B25" s="1175" t="inlineStr">
        <is>
          <t>天津团泊昱宏光伏科技有限公司</t>
        </is>
      </c>
      <c r="C25" s="1175" t="inlineStr">
        <is>
          <t>G_DUMMY</t>
        </is>
      </c>
      <c r="D25" s="1175" t="inlineStr">
        <is>
          <t>否</t>
        </is>
      </c>
    </row>
    <row r="26">
      <c r="A26" s="1175" t="inlineStr">
        <is>
          <t>E100022</t>
        </is>
      </c>
      <c r="B26" s="1175" t="inlineStr">
        <is>
          <t>天津永能光伏发电有限公司</t>
        </is>
      </c>
      <c r="C26" s="1175" t="inlineStr">
        <is>
          <t>G_DUMMY</t>
        </is>
      </c>
      <c r="D26" s="1175" t="inlineStr">
        <is>
          <t>否</t>
        </is>
      </c>
    </row>
    <row r="27">
      <c r="A27" s="1175" t="inlineStr">
        <is>
          <t>E100023</t>
        </is>
      </c>
      <c r="B27" s="1175" t="inlineStr">
        <is>
          <t>京能（迁西）发电有限公司</t>
        </is>
      </c>
      <c r="C27" s="1175" t="inlineStr">
        <is>
          <t>G_DUMMY</t>
        </is>
      </c>
      <c r="D27" s="1175" t="inlineStr">
        <is>
          <t>否</t>
        </is>
      </c>
    </row>
    <row r="28">
      <c r="A28" s="1175" t="inlineStr">
        <is>
          <t>E100024</t>
        </is>
      </c>
      <c r="B28" s="1175" t="inlineStr">
        <is>
          <t>北京京能清洁能源电力股份有限公司延庆光伏发电分公司</t>
        </is>
      </c>
      <c r="C28" s="1175" t="inlineStr">
        <is>
          <t>G_DUMMY</t>
        </is>
      </c>
      <c r="D28" s="1175" t="inlineStr">
        <is>
          <t>否</t>
        </is>
      </c>
    </row>
    <row r="29">
      <c r="A29" s="1175" t="inlineStr">
        <is>
          <t>E100025</t>
        </is>
      </c>
      <c r="B29" s="1175" t="inlineStr">
        <is>
          <t>深州电阳新能源有限公司</t>
        </is>
      </c>
      <c r="C29" s="1175" t="inlineStr">
        <is>
          <t>G_DUMMY</t>
        </is>
      </c>
      <c r="D29" s="1175" t="inlineStr">
        <is>
          <t>否</t>
        </is>
      </c>
    </row>
    <row r="30">
      <c r="A30" s="1175" t="inlineStr">
        <is>
          <t>E100026</t>
        </is>
      </c>
      <c r="B30" s="1175" t="inlineStr">
        <is>
          <t>建湖京能新能源有限公司</t>
        </is>
      </c>
      <c r="C30" s="1175" t="inlineStr">
        <is>
          <t>G_DUMMY</t>
        </is>
      </c>
      <c r="D30" s="1175" t="inlineStr">
        <is>
          <t>否</t>
        </is>
      </c>
    </row>
    <row r="31">
      <c r="A31" s="1175" t="inlineStr">
        <is>
          <t>E100027</t>
        </is>
      </c>
      <c r="B31" s="1175" t="inlineStr">
        <is>
          <t>润峰格尔木电力有限公司</t>
        </is>
      </c>
      <c r="C31" s="1175" t="inlineStr">
        <is>
          <t>G_DUMMY</t>
        </is>
      </c>
      <c r="D31" s="1175" t="inlineStr">
        <is>
          <t>否</t>
        </is>
      </c>
    </row>
    <row r="32">
      <c r="A32" s="1175" t="inlineStr">
        <is>
          <t>E100028</t>
        </is>
      </c>
      <c r="B32" s="1175" t="inlineStr">
        <is>
          <t>共和京能清洁能源有限公司</t>
        </is>
      </c>
      <c r="C32" s="1175" t="inlineStr">
        <is>
          <t>G_DUMMY</t>
        </is>
      </c>
      <c r="D32" s="1175" t="inlineStr">
        <is>
          <t>否</t>
        </is>
      </c>
    </row>
    <row r="33">
      <c r="A33" s="1175" t="inlineStr">
        <is>
          <t>E100029</t>
        </is>
      </c>
      <c r="B33" s="1175" t="inlineStr">
        <is>
          <t>共和源通光伏发电有限公司</t>
        </is>
      </c>
      <c r="C33" s="1175" t="inlineStr">
        <is>
          <t>G_DUMMY</t>
        </is>
      </c>
      <c r="D33" s="1175" t="inlineStr">
        <is>
          <t>否</t>
        </is>
      </c>
    </row>
    <row r="34">
      <c r="A34" s="1175" t="inlineStr">
        <is>
          <t>E100030</t>
        </is>
      </c>
      <c r="B34" s="1175" t="inlineStr">
        <is>
          <t>缙云县京能新能源有限公司</t>
        </is>
      </c>
      <c r="C34" s="1175" t="inlineStr">
        <is>
          <t>G_DUMMY</t>
        </is>
      </c>
      <c r="D34" s="1175" t="inlineStr">
        <is>
          <t>否</t>
        </is>
      </c>
    </row>
    <row r="35">
      <c r="A35" s="1175" t="inlineStr">
        <is>
          <t>E100031</t>
        </is>
      </c>
      <c r="B35" s="1175" t="inlineStr">
        <is>
          <t>五家渠京能新能源有限责任公司</t>
        </is>
      </c>
      <c r="C35" s="1175" t="inlineStr">
        <is>
          <t>G_DUMMY</t>
        </is>
      </c>
      <c r="D35" s="1175" t="inlineStr">
        <is>
          <t>否</t>
        </is>
      </c>
    </row>
    <row r="36">
      <c r="A36" s="1175" t="inlineStr">
        <is>
          <t>E100032</t>
        </is>
      </c>
      <c r="B36" s="1175" t="inlineStr">
        <is>
          <t>五家渠京能新能源有限责任公司奇台分公司</t>
        </is>
      </c>
      <c r="C36" s="1175" t="inlineStr">
        <is>
          <t>G_DUMMY</t>
        </is>
      </c>
      <c r="D36" s="1175" t="inlineStr">
        <is>
          <t>否</t>
        </is>
      </c>
    </row>
    <row r="37">
      <c r="A37" s="1175" t="inlineStr">
        <is>
          <t>E100033</t>
        </is>
      </c>
      <c r="B37" s="1175" t="inlineStr">
        <is>
          <t>尚义京能新能源有限公司</t>
        </is>
      </c>
      <c r="C37" s="1175" t="inlineStr">
        <is>
          <t>G_DUMMY</t>
        </is>
      </c>
      <c r="D37" s="1175" t="inlineStr">
        <is>
          <t>否</t>
        </is>
      </c>
    </row>
    <row r="38">
      <c r="A38" s="1175" t="inlineStr">
        <is>
          <t>E100034</t>
        </is>
      </c>
      <c r="B38" s="1175" t="inlineStr">
        <is>
          <t>康保新京清洁能源有限公司</t>
        </is>
      </c>
      <c r="C38" s="1175" t="inlineStr">
        <is>
          <t>G_DUMMY</t>
        </is>
      </c>
      <c r="D38" s="1175" t="inlineStr">
        <is>
          <t>否</t>
        </is>
      </c>
    </row>
    <row r="39">
      <c r="A39" s="1175" t="inlineStr">
        <is>
          <t>E100035</t>
        </is>
      </c>
      <c r="B39" s="1175" t="inlineStr">
        <is>
          <t>张北京能清洁能源有限公司</t>
        </is>
      </c>
      <c r="C39" s="1175" t="inlineStr">
        <is>
          <t>G_DUMMY</t>
        </is>
      </c>
      <c r="D39" s="1175" t="inlineStr">
        <is>
          <t>否</t>
        </is>
      </c>
    </row>
    <row r="40">
      <c r="A40" s="1175" t="inlineStr">
        <is>
          <t>E100036</t>
        </is>
      </c>
      <c r="B40" s="1175" t="inlineStr">
        <is>
          <t>京能怀南河北风电有限责任公司</t>
        </is>
      </c>
      <c r="C40" s="1175" t="inlineStr">
        <is>
          <t>G_DUMMY</t>
        </is>
      </c>
      <c r="D40" s="1175" t="inlineStr">
        <is>
          <t>否</t>
        </is>
      </c>
    </row>
    <row r="41">
      <c r="A41" s="1175" t="inlineStr">
        <is>
          <t>E100037</t>
        </is>
      </c>
      <c r="B41" s="1175" t="inlineStr">
        <is>
          <t>天津京河新能源有限公司</t>
        </is>
      </c>
      <c r="C41" s="1175" t="inlineStr">
        <is>
          <t>G_DUMMY</t>
        </is>
      </c>
      <c r="D41" s="1175" t="inlineStr">
        <is>
          <t>否</t>
        </is>
      </c>
    </row>
    <row r="42">
      <c r="A42" s="1175" t="inlineStr">
        <is>
          <t>E100038</t>
        </is>
      </c>
      <c r="B42" s="1175" t="inlineStr">
        <is>
          <t>天津京能新能源有限公司</t>
        </is>
      </c>
      <c r="C42" s="1175" t="inlineStr">
        <is>
          <t>G_DUMMY</t>
        </is>
      </c>
      <c r="D42" s="1175" t="inlineStr">
        <is>
          <t>否</t>
        </is>
      </c>
    </row>
    <row r="43">
      <c r="A43" s="1175" t="inlineStr">
        <is>
          <t>E100041</t>
        </is>
      </c>
      <c r="B43" s="1175" t="inlineStr">
        <is>
          <t>北京京能清洁能源电力股份有限公司东北分公司</t>
        </is>
      </c>
      <c r="C43" s="1175" t="inlineStr">
        <is>
          <t>G_DUMMY</t>
        </is>
      </c>
      <c r="D43" s="1175" t="inlineStr">
        <is>
          <t>否</t>
        </is>
      </c>
    </row>
    <row r="44">
      <c r="A44" s="1175" t="inlineStr">
        <is>
          <t>E100042</t>
        </is>
      </c>
      <c r="B44" s="1175" t="inlineStr">
        <is>
          <t>内蒙古京能旗杆风力发电有限公司</t>
        </is>
      </c>
      <c r="C44" s="1175" t="inlineStr">
        <is>
          <t>G_DUMMY</t>
        </is>
      </c>
      <c r="D44" s="1175" t="inlineStr">
        <is>
          <t>否</t>
        </is>
      </c>
    </row>
    <row r="45">
      <c r="A45" s="1175" t="inlineStr">
        <is>
          <t>E100043</t>
        </is>
      </c>
      <c r="B45" s="1175" t="inlineStr">
        <is>
          <t>内蒙古京能霍林郭勒风力发电有限责任公司</t>
        </is>
      </c>
      <c r="C45" s="1175" t="inlineStr">
        <is>
          <t>G_DUMMY</t>
        </is>
      </c>
      <c r="D45" s="1175" t="inlineStr">
        <is>
          <t>否</t>
        </is>
      </c>
    </row>
    <row r="46">
      <c r="A46" s="1175" t="inlineStr">
        <is>
          <t>E100044</t>
        </is>
      </c>
      <c r="B46" s="1175" t="inlineStr">
        <is>
          <t>内蒙古京能科右中风力发电有限责任公司</t>
        </is>
      </c>
      <c r="C46" s="1175" t="inlineStr">
        <is>
          <t>G_DUMMY</t>
        </is>
      </c>
      <c r="D46" s="1175" t="inlineStr">
        <is>
          <t>否</t>
        </is>
      </c>
    </row>
    <row r="47">
      <c r="A47" s="1175" t="inlineStr">
        <is>
          <t>E100045</t>
        </is>
      </c>
      <c r="B47" s="1175" t="inlineStr">
        <is>
          <t>内蒙古京能乌兰风力发电有限公司</t>
        </is>
      </c>
      <c r="C47" s="1175" t="inlineStr">
        <is>
          <t>G_DUMMY</t>
        </is>
      </c>
      <c r="D47" s="1175" t="inlineStr">
        <is>
          <t>否</t>
        </is>
      </c>
    </row>
    <row r="48">
      <c r="A48" s="1175" t="inlineStr">
        <is>
          <t>E100046</t>
        </is>
      </c>
      <c r="B48" s="1175" t="inlineStr">
        <is>
          <t>内蒙古京能巴林右风力发电有限责任公司</t>
        </is>
      </c>
      <c r="C48" s="1175" t="inlineStr">
        <is>
          <t>G_DUMMY</t>
        </is>
      </c>
      <c r="D48" s="1175" t="inlineStr">
        <is>
          <t>否</t>
        </is>
      </c>
    </row>
    <row r="49">
      <c r="A49" s="1175" t="inlineStr">
        <is>
          <t>E100047</t>
        </is>
      </c>
      <c r="B49" s="1175" t="inlineStr">
        <is>
          <t>葫芦岛南票京泰新能源有限公司</t>
        </is>
      </c>
      <c r="C49" s="1175" t="inlineStr">
        <is>
          <t>G_DUMMY</t>
        </is>
      </c>
      <c r="D49" s="1175" t="inlineStr">
        <is>
          <t>否</t>
        </is>
      </c>
    </row>
    <row r="50">
      <c r="A50" s="1175" t="inlineStr">
        <is>
          <t>E100048</t>
        </is>
      </c>
      <c r="B50" s="1175" t="inlineStr">
        <is>
          <t>北票京能新能源有限公司</t>
        </is>
      </c>
      <c r="C50" s="1175" t="inlineStr">
        <is>
          <t>G_DUMMY</t>
        </is>
      </c>
      <c r="D50" s="1175" t="inlineStr">
        <is>
          <t>否</t>
        </is>
      </c>
    </row>
    <row r="51">
      <c r="A51" s="1175" t="inlineStr">
        <is>
          <t>E100049</t>
        </is>
      </c>
      <c r="B51" s="1175" t="inlineStr">
        <is>
          <t>凌源东大光伏发电有限公司</t>
        </is>
      </c>
      <c r="C51" s="1175" t="inlineStr">
        <is>
          <t>G_DUMMY</t>
        </is>
      </c>
      <c r="D51" s="1175" t="inlineStr">
        <is>
          <t>否</t>
        </is>
      </c>
    </row>
    <row r="52">
      <c r="A52" s="1175" t="inlineStr">
        <is>
          <t>E100050</t>
        </is>
      </c>
      <c r="B52" s="1175" t="inlineStr">
        <is>
          <t>内蒙古京能苏尼特风力发电有限公司</t>
        </is>
      </c>
      <c r="C52" s="1175" t="inlineStr">
        <is>
          <t>G_DUMMY</t>
        </is>
      </c>
      <c r="D52" s="1175" t="inlineStr">
        <is>
          <t>否</t>
        </is>
      </c>
    </row>
    <row r="53">
      <c r="A53" s="1175" t="inlineStr">
        <is>
          <t>E100051</t>
        </is>
      </c>
      <c r="B53" s="1175" t="inlineStr">
        <is>
          <t>义县珈煜光伏电力有限公司</t>
        </is>
      </c>
      <c r="C53" s="1175" t="inlineStr">
        <is>
          <t>G_DUMMY</t>
        </is>
      </c>
      <c r="D53" s="1175" t="inlineStr">
        <is>
          <t>否</t>
        </is>
      </c>
    </row>
    <row r="54">
      <c r="A54" s="1175" t="inlineStr">
        <is>
          <t>E100053</t>
        </is>
      </c>
      <c r="B54" s="1175" t="inlineStr">
        <is>
          <t>朝阳县京能新能源有限公司</t>
        </is>
      </c>
      <c r="C54" s="1175" t="inlineStr">
        <is>
          <t>G_DUMMY</t>
        </is>
      </c>
      <c r="D54" s="1175" t="inlineStr">
        <is>
          <t>否</t>
        </is>
      </c>
    </row>
    <row r="55">
      <c r="A55" s="1175" t="inlineStr">
        <is>
          <t>E100054</t>
        </is>
      </c>
      <c r="B55" s="1175" t="inlineStr">
        <is>
          <t>葫芦岛南票万和新能源有限公司</t>
        </is>
      </c>
      <c r="C55" s="1175" t="inlineStr">
        <is>
          <t>G_DUMMY</t>
        </is>
      </c>
      <c r="D55" s="1175" t="inlineStr">
        <is>
          <t>否</t>
        </is>
      </c>
    </row>
    <row r="56">
      <c r="A56" s="1175" t="inlineStr">
        <is>
          <t>E100056</t>
        </is>
      </c>
      <c r="B56" s="1175" t="inlineStr">
        <is>
          <t>北京京能新能源有限公司沈阳分公司</t>
        </is>
      </c>
      <c r="C56" s="1175" t="inlineStr">
        <is>
          <t>G_DUMMY</t>
        </is>
      </c>
      <c r="D56" s="1175" t="inlineStr">
        <is>
          <t>否</t>
        </is>
      </c>
    </row>
    <row r="57">
      <c r="A57" s="1175" t="inlineStr">
        <is>
          <t>E100057</t>
        </is>
      </c>
      <c r="B57" s="1175" t="inlineStr">
        <is>
          <t>北京京能清洁能源电力股份有限公司华南分公司</t>
        </is>
      </c>
      <c r="C57" s="1175" t="inlineStr">
        <is>
          <t>G_DUMMY</t>
        </is>
      </c>
      <c r="D57" s="1175" t="inlineStr">
        <is>
          <t>否</t>
        </is>
      </c>
    </row>
    <row r="58">
      <c r="A58" s="1175" t="inlineStr">
        <is>
          <t>E100058</t>
        </is>
      </c>
      <c r="B58" s="1175" t="inlineStr">
        <is>
          <t>徐闻京能新能源有限公司</t>
        </is>
      </c>
      <c r="C58" s="1175" t="inlineStr">
        <is>
          <t>G_DUMMY</t>
        </is>
      </c>
      <c r="D58" s="1175" t="inlineStr">
        <is>
          <t>否</t>
        </is>
      </c>
    </row>
    <row r="59">
      <c r="A59" s="1175" t="inlineStr">
        <is>
          <t>E100059</t>
        </is>
      </c>
      <c r="B59" s="1175" t="inlineStr">
        <is>
          <t>益阳大通湖东大光伏发电有限公司</t>
        </is>
      </c>
      <c r="C59" s="1175" t="inlineStr">
        <is>
          <t>G_DUMMY</t>
        </is>
      </c>
      <c r="D59" s="1175" t="inlineStr">
        <is>
          <t>否</t>
        </is>
      </c>
    </row>
    <row r="60">
      <c r="A60" s="1175" t="inlineStr">
        <is>
          <t>E100060</t>
        </is>
      </c>
      <c r="B60" s="1175" t="inlineStr">
        <is>
          <t>湘阴县晶和新能源有限公司</t>
        </is>
      </c>
      <c r="C60" s="1175" t="inlineStr">
        <is>
          <t>G_DUMMY</t>
        </is>
      </c>
      <c r="D60" s="1175" t="inlineStr">
        <is>
          <t>否</t>
        </is>
      </c>
    </row>
    <row r="61">
      <c r="A61" s="1175" t="inlineStr">
        <is>
          <t>E100061</t>
        </is>
      </c>
      <c r="B61" s="1175" t="inlineStr">
        <is>
          <t>东源天华阳光新能源电力有限公司</t>
        </is>
      </c>
      <c r="C61" s="1175" t="inlineStr">
        <is>
          <t>G_DUMMY</t>
        </is>
      </c>
      <c r="D61" s="1175" t="inlineStr">
        <is>
          <t>否</t>
        </is>
      </c>
    </row>
    <row r="62">
      <c r="A62" s="1175" t="inlineStr">
        <is>
          <t>E100062</t>
        </is>
      </c>
      <c r="B62" s="1175" t="inlineStr">
        <is>
          <t>阳西清芸阳光新能源科技有限公司</t>
        </is>
      </c>
      <c r="C62" s="1175" t="inlineStr">
        <is>
          <t>G_DUMMY</t>
        </is>
      </c>
      <c r="D62" s="1175" t="inlineStr">
        <is>
          <t>否</t>
        </is>
      </c>
    </row>
    <row r="63">
      <c r="A63" s="1175" t="inlineStr">
        <is>
          <t>E100063</t>
        </is>
      </c>
      <c r="B63" s="1175" t="inlineStr">
        <is>
          <t>陆丰市明大新能源科技有限公司</t>
        </is>
      </c>
      <c r="C63" s="1175" t="inlineStr">
        <is>
          <t>G_DUMMY</t>
        </is>
      </c>
      <c r="D63" s="1175" t="inlineStr">
        <is>
          <t>否</t>
        </is>
      </c>
    </row>
    <row r="64">
      <c r="A64" s="1175" t="inlineStr">
        <is>
          <t>E100064</t>
        </is>
      </c>
      <c r="B64" s="1175" t="inlineStr">
        <is>
          <t>常德宏润新能源有限公司</t>
        </is>
      </c>
      <c r="C64" s="1175" t="inlineStr">
        <is>
          <t>G_DUMMY</t>
        </is>
      </c>
      <c r="D64" s="1175" t="inlineStr">
        <is>
          <t>否</t>
        </is>
      </c>
    </row>
    <row r="65">
      <c r="A65" s="1175" t="inlineStr">
        <is>
          <t>E100065</t>
        </is>
      </c>
      <c r="B65" s="1175" t="inlineStr">
        <is>
          <t>常德瑞露新能源有限公司</t>
        </is>
      </c>
      <c r="C65" s="1175" t="inlineStr">
        <is>
          <t>G_DUMMY</t>
        </is>
      </c>
      <c r="D65" s="1175" t="inlineStr">
        <is>
          <t>否</t>
        </is>
      </c>
    </row>
    <row r="66">
      <c r="A66" s="1175" t="inlineStr">
        <is>
          <t>E100066</t>
        </is>
      </c>
      <c r="B66" s="1175" t="inlineStr">
        <is>
          <t>常德润鹏新能源有限公司</t>
        </is>
      </c>
      <c r="C66" s="1175" t="inlineStr">
        <is>
          <t>G_DUMMY</t>
        </is>
      </c>
      <c r="D66" s="1175" t="inlineStr">
        <is>
          <t>否</t>
        </is>
      </c>
    </row>
    <row r="67">
      <c r="A67" s="1175" t="inlineStr">
        <is>
          <t>E100067</t>
        </is>
      </c>
      <c r="B67" s="1175" t="inlineStr">
        <is>
          <t>常德润勇新能源有限公司</t>
        </is>
      </c>
      <c r="C67" s="1175" t="inlineStr">
        <is>
          <t>G_DUMMY</t>
        </is>
      </c>
      <c r="D67" s="1175" t="inlineStr">
        <is>
          <t>否</t>
        </is>
      </c>
    </row>
    <row r="68">
      <c r="A68" s="1175" t="inlineStr">
        <is>
          <t>E100068</t>
        </is>
      </c>
      <c r="B68" s="1175" t="inlineStr">
        <is>
          <t>汉寿县润鑫新能源有限公司</t>
        </is>
      </c>
      <c r="C68" s="1175" t="inlineStr">
        <is>
          <t>G_DUMMY</t>
        </is>
      </c>
      <c r="D68" s="1175" t="inlineStr">
        <is>
          <t>否</t>
        </is>
      </c>
    </row>
    <row r="69">
      <c r="A69" s="1175" t="inlineStr">
        <is>
          <t>E100069</t>
        </is>
      </c>
      <c r="B69" s="1175" t="inlineStr">
        <is>
          <t>常宁光聚电力开发有限公司</t>
        </is>
      </c>
      <c r="C69" s="1175" t="inlineStr">
        <is>
          <t>G_DUMMY</t>
        </is>
      </c>
      <c r="D69" s="1175" t="inlineStr">
        <is>
          <t>否</t>
        </is>
      </c>
    </row>
    <row r="70">
      <c r="A70" s="1175" t="inlineStr">
        <is>
          <t>E100070</t>
        </is>
      </c>
      <c r="B70" s="1175" t="inlineStr">
        <is>
          <t>惠州市永景新能源科技有限公司</t>
        </is>
      </c>
      <c r="C70" s="1175" t="inlineStr">
        <is>
          <t>G_DUMMY</t>
        </is>
      </c>
      <c r="D70" s="1175" t="inlineStr">
        <is>
          <t>否</t>
        </is>
      </c>
    </row>
    <row r="71">
      <c r="A71" s="1175" t="inlineStr">
        <is>
          <t>E100071</t>
        </is>
      </c>
      <c r="B71" s="1175" t="inlineStr">
        <is>
          <t>阳江华晶绿色能源科技有限公司</t>
        </is>
      </c>
      <c r="C71" s="1175" t="inlineStr">
        <is>
          <t>G_DUMMY</t>
        </is>
      </c>
      <c r="D71" s="1175" t="inlineStr">
        <is>
          <t>否</t>
        </is>
      </c>
    </row>
    <row r="72">
      <c r="A72" s="1175" t="inlineStr">
        <is>
          <t>E100072</t>
        </is>
      </c>
      <c r="B72" s="1175" t="inlineStr">
        <is>
          <t>北京京能清洁能源电力股份有限公司内蒙古分公司</t>
        </is>
      </c>
      <c r="C72" s="1175" t="inlineStr">
        <is>
          <t>G_DUMMY</t>
        </is>
      </c>
      <c r="D72" s="1175" t="inlineStr">
        <is>
          <t>否</t>
        </is>
      </c>
    </row>
    <row r="73">
      <c r="A73" s="1175" t="inlineStr">
        <is>
          <t>E100073</t>
        </is>
      </c>
      <c r="B73" s="1175" t="inlineStr">
        <is>
          <t>内蒙古京能乌兰伊力更风力发电有限责任公司</t>
        </is>
      </c>
      <c r="C73" s="1175" t="inlineStr">
        <is>
          <t>G_DUMMY</t>
        </is>
      </c>
      <c r="D73" s="1175" t="inlineStr">
        <is>
          <t>否</t>
        </is>
      </c>
    </row>
    <row r="74">
      <c r="A74" s="1175" t="inlineStr">
        <is>
          <t>E100074</t>
        </is>
      </c>
      <c r="B74" s="1175" t="inlineStr">
        <is>
          <t>北京京能新能源有限公司辉腾锡勒风电分公司</t>
        </is>
      </c>
      <c r="C74" s="1175" t="inlineStr">
        <is>
          <t>G_DUMMY</t>
        </is>
      </c>
      <c r="D74" s="1175" t="inlineStr">
        <is>
          <t>否</t>
        </is>
      </c>
    </row>
    <row r="75">
      <c r="A75" s="1175" t="inlineStr">
        <is>
          <t>E100075</t>
        </is>
      </c>
      <c r="B75" s="1175" t="inlineStr">
        <is>
          <t>内蒙古京能察右中风力发电有限责任公司</t>
        </is>
      </c>
      <c r="C75" s="1175" t="inlineStr">
        <is>
          <t>G_DUMMY</t>
        </is>
      </c>
      <c r="D75" s="1175" t="inlineStr">
        <is>
          <t>否</t>
        </is>
      </c>
    </row>
    <row r="76">
      <c r="A76" s="1175" t="inlineStr">
        <is>
          <t>E100076</t>
        </is>
      </c>
      <c r="B76" s="1175" t="inlineStr">
        <is>
          <t>锡林郭勒吉相华亚风力发电有限责任公司</t>
        </is>
      </c>
      <c r="C76" s="1175" t="inlineStr">
        <is>
          <t>G_DUMMY</t>
        </is>
      </c>
      <c r="D76" s="1175" t="inlineStr">
        <is>
          <t>否</t>
        </is>
      </c>
    </row>
    <row r="77">
      <c r="A77" s="1175" t="inlineStr">
        <is>
          <t>E100077</t>
        </is>
      </c>
      <c r="B77" s="1175" t="inlineStr">
        <is>
          <t>京能新能源（苏尼特右旗）风力发电有限公司</t>
        </is>
      </c>
      <c r="C77" s="1175" t="inlineStr">
        <is>
          <t>G_DUMMY</t>
        </is>
      </c>
      <c r="D77" s="1175" t="inlineStr">
        <is>
          <t>否</t>
        </is>
      </c>
    </row>
    <row r="78">
      <c r="A78" s="1175" t="inlineStr">
        <is>
          <t>E100078</t>
        </is>
      </c>
      <c r="B78" s="1175" t="inlineStr">
        <is>
          <t>北京京能新能源有限公司正镶白旗风电分公司</t>
        </is>
      </c>
      <c r="C78" s="1175" t="inlineStr">
        <is>
          <t>G_DUMMY</t>
        </is>
      </c>
      <c r="D78" s="1175" t="inlineStr">
        <is>
          <t>否</t>
        </is>
      </c>
    </row>
    <row r="79">
      <c r="A79" s="1175" t="inlineStr">
        <is>
          <t>E100079</t>
        </is>
      </c>
      <c r="B79" s="1175" t="inlineStr">
        <is>
          <t>内蒙古京能商都风力发电有限责任公司</t>
        </is>
      </c>
      <c r="C79" s="1175" t="inlineStr">
        <is>
          <t>G_DUMMY</t>
        </is>
      </c>
      <c r="D79" s="1175" t="inlineStr">
        <is>
          <t>否</t>
        </is>
      </c>
    </row>
    <row r="80">
      <c r="A80" s="1175" t="inlineStr">
        <is>
          <t>E100080</t>
        </is>
      </c>
      <c r="B80" s="1175" t="inlineStr">
        <is>
          <t>内蒙古京能文贡乌拉风力发电有限公司</t>
        </is>
      </c>
      <c r="C80" s="1175" t="inlineStr">
        <is>
          <t>G_DUMMY</t>
        </is>
      </c>
      <c r="D80" s="1175" t="inlineStr">
        <is>
          <t>否</t>
        </is>
      </c>
    </row>
    <row r="81">
      <c r="A81" s="1175" t="inlineStr">
        <is>
          <t>E100081</t>
        </is>
      </c>
      <c r="B81" s="1175" t="inlineStr">
        <is>
          <t>左云京能风力发电有限责任公司</t>
        </is>
      </c>
      <c r="C81" s="1175" t="inlineStr">
        <is>
          <t>G_DUMMY</t>
        </is>
      </c>
      <c r="D81" s="1175" t="inlineStr">
        <is>
          <t>否</t>
        </is>
      </c>
    </row>
    <row r="82">
      <c r="A82" s="1175" t="inlineStr">
        <is>
          <t>E100082</t>
        </is>
      </c>
      <c r="B82" s="1175" t="inlineStr">
        <is>
          <t>大同京能新能源有限公司</t>
        </is>
      </c>
      <c r="C82" s="1175" t="inlineStr">
        <is>
          <t>G_DUMMY</t>
        </is>
      </c>
      <c r="D82" s="1175" t="inlineStr">
        <is>
          <t>否</t>
        </is>
      </c>
    </row>
    <row r="83">
      <c r="A83" s="1175" t="inlineStr">
        <is>
          <t>E100083</t>
        </is>
      </c>
      <c r="B83" s="1175" t="inlineStr">
        <is>
          <t>浑源京晶新能源有限公司</t>
        </is>
      </c>
      <c r="C83" s="1175" t="inlineStr">
        <is>
          <t>G_DUMMY</t>
        </is>
      </c>
      <c r="D83" s="1175" t="inlineStr">
        <is>
          <t>否</t>
        </is>
      </c>
    </row>
    <row r="84">
      <c r="A84" s="1175" t="inlineStr">
        <is>
          <t>E100084</t>
        </is>
      </c>
      <c r="B84" s="1175" t="inlineStr">
        <is>
          <t>寿阳京寿光伏发电有限公司</t>
        </is>
      </c>
      <c r="C84" s="1175" t="inlineStr">
        <is>
          <t>G_DUMMY</t>
        </is>
      </c>
      <c r="D84" s="1175" t="inlineStr">
        <is>
          <t>否</t>
        </is>
      </c>
    </row>
    <row r="85">
      <c r="A85" s="1175" t="inlineStr">
        <is>
          <t>E100086</t>
        </is>
      </c>
      <c r="B85" s="1175" t="inlineStr">
        <is>
          <t>北京京能清洁能源电力股份有限公司西北分公司</t>
        </is>
      </c>
      <c r="C85" s="1175" t="inlineStr">
        <is>
          <t>G_DUMMY</t>
        </is>
      </c>
      <c r="D85" s="1175" t="inlineStr">
        <is>
          <t>否</t>
        </is>
      </c>
    </row>
    <row r="86">
      <c r="A86" s="1175" t="inlineStr">
        <is>
          <t>E100087</t>
        </is>
      </c>
      <c r="B86" s="1175" t="inlineStr">
        <is>
          <t>宁夏京能新能源有限公司</t>
        </is>
      </c>
      <c r="C86" s="1175" t="inlineStr">
        <is>
          <t>G_DUMMY</t>
        </is>
      </c>
      <c r="D86" s="1175" t="inlineStr">
        <is>
          <t>否</t>
        </is>
      </c>
    </row>
    <row r="87">
      <c r="A87" s="1175" t="inlineStr">
        <is>
          <t>E100088</t>
        </is>
      </c>
      <c r="B87" s="1175" t="inlineStr">
        <is>
          <t>宁夏京能灵武风电有限公司</t>
        </is>
      </c>
      <c r="C87" s="1175" t="inlineStr">
        <is>
          <t>G_DUMMY</t>
        </is>
      </c>
      <c r="D87" s="1175" t="inlineStr">
        <is>
          <t>否</t>
        </is>
      </c>
    </row>
    <row r="88">
      <c r="A88" s="1175" t="inlineStr">
        <is>
          <t>E100089</t>
        </is>
      </c>
      <c r="B88" s="1175" t="inlineStr">
        <is>
          <t>宁夏京能中卫新能源有限公司</t>
        </is>
      </c>
      <c r="C88" s="1175" t="inlineStr">
        <is>
          <t>G_DUMMY</t>
        </is>
      </c>
      <c r="D88" s="1175" t="inlineStr">
        <is>
          <t>否</t>
        </is>
      </c>
    </row>
    <row r="89">
      <c r="A89" s="1175" t="inlineStr">
        <is>
          <t>E100090</t>
        </is>
      </c>
      <c r="B89" s="1175" t="inlineStr">
        <is>
          <t>宁夏中宁县京能新能源有限公司</t>
        </is>
      </c>
      <c r="C89" s="1175" t="inlineStr">
        <is>
          <t>G_DUMMY</t>
        </is>
      </c>
      <c r="D89" s="1175" t="inlineStr">
        <is>
          <t>否</t>
        </is>
      </c>
    </row>
    <row r="90">
      <c r="A90" s="1175" t="inlineStr">
        <is>
          <t>E100091</t>
        </is>
      </c>
      <c r="B90" s="1175" t="inlineStr">
        <is>
          <t>宁夏贺兰京能新能源有限公司</t>
        </is>
      </c>
      <c r="C90" s="1175" t="inlineStr">
        <is>
          <t>G_DUMMY</t>
        </is>
      </c>
      <c r="D90" s="1175" t="inlineStr">
        <is>
          <t>否</t>
        </is>
      </c>
    </row>
    <row r="91">
      <c r="A91" s="1175" t="inlineStr">
        <is>
          <t>E100092</t>
        </is>
      </c>
      <c r="B91" s="1175" t="inlineStr">
        <is>
          <t>宁夏海原京能新能源有限公司</t>
        </is>
      </c>
      <c r="C91" s="1175" t="inlineStr">
        <is>
          <t>G_DUMMY</t>
        </is>
      </c>
      <c r="D91" s="1175" t="inlineStr">
        <is>
          <t>否</t>
        </is>
      </c>
    </row>
    <row r="92">
      <c r="A92" s="1175" t="inlineStr">
        <is>
          <t>E100093</t>
        </is>
      </c>
      <c r="B92" s="1175" t="inlineStr">
        <is>
          <t>府谷县京能新能源有限公司</t>
        </is>
      </c>
      <c r="C92" s="1175" t="inlineStr">
        <is>
          <t>G_DUMMY</t>
        </is>
      </c>
      <c r="D92" s="1175" t="inlineStr">
        <is>
          <t>否</t>
        </is>
      </c>
    </row>
    <row r="93">
      <c r="A93" s="1175" t="inlineStr">
        <is>
          <t>E100094</t>
        </is>
      </c>
      <c r="B93" s="1175" t="inlineStr">
        <is>
          <t>靖远京能新能源有限公司</t>
        </is>
      </c>
      <c r="C93" s="1175" t="inlineStr">
        <is>
          <t>G_DUMMY</t>
        </is>
      </c>
      <c r="D93" s="1175" t="inlineStr">
        <is>
          <t>否</t>
        </is>
      </c>
    </row>
    <row r="94">
      <c r="A94" s="1175" t="inlineStr">
        <is>
          <t>E100095</t>
        </is>
      </c>
      <c r="B94" s="1175" t="inlineStr">
        <is>
          <t>北京京能清洁能源电力股份有限公司西南分公司</t>
        </is>
      </c>
      <c r="C94" s="1175" t="inlineStr">
        <is>
          <t>G_DUMMY</t>
        </is>
      </c>
      <c r="D94" s="1175" t="inlineStr">
        <is>
          <t>否</t>
        </is>
      </c>
    </row>
    <row r="95">
      <c r="A95" s="1175" t="inlineStr">
        <is>
          <t>E100096</t>
        </is>
      </c>
      <c r="B95" s="1175" t="inlineStr">
        <is>
          <t>四川大川电力有限公司</t>
        </is>
      </c>
      <c r="C95" s="1175" t="inlineStr">
        <is>
          <t>G_DUMMY</t>
        </is>
      </c>
      <c r="D95" s="1175" t="inlineStr">
        <is>
          <t>否</t>
        </is>
      </c>
    </row>
    <row r="96">
      <c r="A96" s="1175" t="inlineStr">
        <is>
          <t>E100097</t>
        </is>
      </c>
      <c r="B96" s="1175" t="inlineStr">
        <is>
          <t>四川众能电力有限公司</t>
        </is>
      </c>
      <c r="C96" s="1175" t="inlineStr">
        <is>
          <t>G_DUMMY</t>
        </is>
      </c>
      <c r="D96" s="1175" t="inlineStr">
        <is>
          <t>否</t>
        </is>
      </c>
    </row>
    <row r="97">
      <c r="A97" s="1175" t="inlineStr">
        <is>
          <t>E100098</t>
        </is>
      </c>
      <c r="B97" s="1175" t="inlineStr">
        <is>
          <t>黑水县三联水电开发有限责任公司</t>
        </is>
      </c>
      <c r="C97" s="1175" t="inlineStr">
        <is>
          <t>G_DUMMY</t>
        </is>
      </c>
      <c r="D97" s="1175" t="inlineStr">
        <is>
          <t>否</t>
        </is>
      </c>
    </row>
    <row r="98">
      <c r="A98" s="1175" t="inlineStr">
        <is>
          <t>E100099</t>
        </is>
      </c>
      <c r="B98" s="1175" t="inlineStr">
        <is>
          <t>盈江华富水电开发有限公司</t>
        </is>
      </c>
      <c r="C98" s="1175" t="inlineStr">
        <is>
          <t>G_DUMMY</t>
        </is>
      </c>
      <c r="D98" s="1175" t="inlineStr">
        <is>
          <t>否</t>
        </is>
      </c>
    </row>
    <row r="99">
      <c r="A99" s="1175" t="inlineStr">
        <is>
          <t>E100100</t>
        </is>
      </c>
      <c r="B99" s="1175" t="inlineStr">
        <is>
          <t>四川大川电力有限公司腾冲分公司</t>
        </is>
      </c>
      <c r="C99" s="1175" t="inlineStr">
        <is>
          <t>G_DUMMY</t>
        </is>
      </c>
      <c r="D99" s="1175" t="inlineStr">
        <is>
          <t>否</t>
        </is>
      </c>
    </row>
    <row r="100">
      <c r="A100" s="1175" t="inlineStr">
        <is>
          <t>E100101</t>
        </is>
      </c>
      <c r="B100" s="1175" t="inlineStr">
        <is>
          <t>成都金华能电力实业有限责任公司</t>
        </is>
      </c>
      <c r="C100" s="1175" t="inlineStr">
        <is>
          <t>G_DUMMY</t>
        </is>
      </c>
      <c r="D100" s="1175" t="inlineStr">
        <is>
          <t>否</t>
        </is>
      </c>
    </row>
    <row r="101">
      <c r="A101" s="1175" t="inlineStr">
        <is>
          <t>E100102</t>
        </is>
      </c>
      <c r="B101" s="1175" t="inlineStr">
        <is>
          <t>北京京能招标集采中心有限责任公司</t>
        </is>
      </c>
      <c r="C101" s="1175" t="inlineStr">
        <is>
          <t>G_DUMMY</t>
        </is>
      </c>
      <c r="D101" s="1175" t="inlineStr">
        <is>
          <t>否</t>
        </is>
      </c>
    </row>
    <row r="102">
      <c r="A102" s="1175" t="inlineStr">
        <is>
          <t>E100103</t>
        </is>
      </c>
      <c r="B102" s="1175" t="inlineStr">
        <is>
          <t>北京能源集团有限责任公司商务中心区国际大厦管理分公司</t>
        </is>
      </c>
      <c r="C102" s="1175" t="inlineStr">
        <is>
          <t>G_DUMMY</t>
        </is>
      </c>
      <c r="D102" s="1175" t="inlineStr">
        <is>
          <t>否</t>
        </is>
      </c>
    </row>
    <row r="103">
      <c r="A103" s="1175" t="inlineStr">
        <is>
          <t>E100104</t>
        </is>
      </c>
      <c r="B103" s="1175" t="inlineStr">
        <is>
          <t>京能集团财务有限公司</t>
        </is>
      </c>
      <c r="C103" s="1175" t="inlineStr">
        <is>
          <t>G_DUMMY</t>
        </is>
      </c>
      <c r="D103" s="1175" t="inlineStr">
        <is>
          <t>否</t>
        </is>
      </c>
    </row>
    <row r="104">
      <c r="A104" s="1175" t="inlineStr">
        <is>
          <t>E100106</t>
        </is>
      </c>
      <c r="B104" s="1175" t="inlineStr">
        <is>
          <t>北京京能融资租赁有限公司</t>
        </is>
      </c>
      <c r="C104" s="1175" t="inlineStr">
        <is>
          <t>G_DUMMY</t>
        </is>
      </c>
      <c r="D104" s="1175" t="inlineStr">
        <is>
          <t>否</t>
        </is>
      </c>
    </row>
    <row r="105">
      <c r="A105" s="1175" t="inlineStr">
        <is>
          <t>E100107</t>
        </is>
      </c>
      <c r="B105" s="1175" t="inlineStr">
        <is>
          <t>深圳京能融资租赁有限公司</t>
        </is>
      </c>
      <c r="C105" s="1175" t="inlineStr">
        <is>
          <t>G_DUMMY</t>
        </is>
      </c>
      <c r="D105" s="1175" t="inlineStr">
        <is>
          <t>否</t>
        </is>
      </c>
    </row>
    <row r="106">
      <c r="A106" s="1175" t="inlineStr">
        <is>
          <t>E100108</t>
        </is>
      </c>
      <c r="B106" s="1175" t="inlineStr">
        <is>
          <t>京能服务管理有限公司</t>
        </is>
      </c>
      <c r="C106" s="1175" t="inlineStr">
        <is>
          <t>G_DUMMY</t>
        </is>
      </c>
      <c r="D106" s="1175" t="inlineStr">
        <is>
          <t>否</t>
        </is>
      </c>
    </row>
    <row r="107">
      <c r="A107" s="1175" t="inlineStr">
        <is>
          <t>E100109</t>
        </is>
      </c>
      <c r="B107" s="1175" t="inlineStr">
        <is>
          <t>京能电力后勤服务有限公司</t>
        </is>
      </c>
      <c r="C107" s="1175" t="inlineStr">
        <is>
          <t>G_DUMMY</t>
        </is>
      </c>
      <c r="D107" s="1175" t="inlineStr">
        <is>
          <t>否</t>
        </is>
      </c>
    </row>
    <row r="108">
      <c r="A108" s="1175" t="inlineStr">
        <is>
          <t>E100110</t>
        </is>
      </c>
      <c r="B108" s="1175" t="inlineStr">
        <is>
          <t>京能电力后勤服务有限公司北京分公司</t>
        </is>
      </c>
      <c r="C108" s="1175" t="inlineStr">
        <is>
          <t>G_DUMMY</t>
        </is>
      </c>
      <c r="D108" s="1175" t="inlineStr">
        <is>
          <t>否</t>
        </is>
      </c>
    </row>
    <row r="109">
      <c r="A109" s="1175" t="inlineStr">
        <is>
          <t>E100111</t>
        </is>
      </c>
      <c r="B109" s="1175" t="inlineStr">
        <is>
          <t>京能电力后勤服务有限公司右玉分公司</t>
        </is>
      </c>
      <c r="C109" s="1175" t="inlineStr">
        <is>
          <t>G_DUMMY</t>
        </is>
      </c>
      <c r="D109" s="1175" t="inlineStr">
        <is>
          <t>否</t>
        </is>
      </c>
    </row>
    <row r="110">
      <c r="A110" s="1175" t="inlineStr">
        <is>
          <t>E100112</t>
        </is>
      </c>
      <c r="B110" s="1175" t="inlineStr">
        <is>
          <t>京能电力后勤服务有限公司宁东分公司</t>
        </is>
      </c>
      <c r="C110" s="1175" t="inlineStr">
        <is>
          <t>G_DUMMY</t>
        </is>
      </c>
      <c r="D110" s="1175" t="inlineStr">
        <is>
          <t>否</t>
        </is>
      </c>
    </row>
    <row r="111">
      <c r="A111" s="1175" t="inlineStr">
        <is>
          <t>E100113</t>
        </is>
      </c>
      <c r="B111" s="1175" t="inlineStr">
        <is>
          <t>京能电力后勤服务有限公司漳山分公司</t>
        </is>
      </c>
      <c r="C111" s="1175" t="inlineStr">
        <is>
          <t>G_DUMMY</t>
        </is>
      </c>
      <c r="D111" s="1175" t="inlineStr">
        <is>
          <t>否</t>
        </is>
      </c>
    </row>
    <row r="112">
      <c r="A112" s="1175" t="inlineStr">
        <is>
          <t>E100114</t>
        </is>
      </c>
      <c r="B112" s="1175" t="inlineStr">
        <is>
          <t>京能电力后勤服务有限公司临县分公司</t>
        </is>
      </c>
      <c r="C112" s="1175" t="inlineStr">
        <is>
          <t>G_DUMMY</t>
        </is>
      </c>
      <c r="D112" s="1175" t="inlineStr">
        <is>
          <t>否</t>
        </is>
      </c>
    </row>
    <row r="113">
      <c r="A113" s="1175" t="inlineStr">
        <is>
          <t>E100118</t>
        </is>
      </c>
      <c r="B113" s="1175" t="inlineStr">
        <is>
          <t>京能电力后勤服务有限公司北京餐饮分公司</t>
        </is>
      </c>
      <c r="C113" s="1175" t="inlineStr">
        <is>
          <t>G_DUMMY</t>
        </is>
      </c>
      <c r="D113" s="1175" t="inlineStr">
        <is>
          <t>否</t>
        </is>
      </c>
    </row>
    <row r="114">
      <c r="A114" s="1175" t="inlineStr">
        <is>
          <t>E100128</t>
        </is>
      </c>
      <c r="B114" s="1175" t="inlineStr">
        <is>
          <t>京能电力科技环保有限公司</t>
        </is>
      </c>
      <c r="C114" s="1175" t="inlineStr">
        <is>
          <t>G_DUMMY</t>
        </is>
      </c>
      <c r="D114" s="1175" t="inlineStr">
        <is>
          <t>否</t>
        </is>
      </c>
    </row>
    <row r="115">
      <c r="A115" s="1175" t="inlineStr">
        <is>
          <t>E100130</t>
        </is>
      </c>
      <c r="B115" s="1175" t="inlineStr">
        <is>
          <t>内蒙古岱海旅游学校</t>
        </is>
      </c>
      <c r="C115" s="1175" t="inlineStr">
        <is>
          <t>G_DUMMY</t>
        </is>
      </c>
      <c r="D115" s="1175" t="inlineStr">
        <is>
          <t>否</t>
        </is>
      </c>
    </row>
    <row r="116">
      <c r="A116" s="1175" t="inlineStr">
        <is>
          <t>E100131</t>
        </is>
      </c>
      <c r="B116" s="1175" t="inlineStr">
        <is>
          <t>内蒙古岱电房地产开发有限公司</t>
        </is>
      </c>
      <c r="C116" s="1175" t="inlineStr">
        <is>
          <t>G_DUMMY</t>
        </is>
      </c>
      <c r="D116" s="1175" t="inlineStr">
        <is>
          <t>否</t>
        </is>
      </c>
    </row>
    <row r="117">
      <c r="A117" s="1175" t="inlineStr">
        <is>
          <t>E100135</t>
        </is>
      </c>
      <c r="B117" s="1175" t="inlineStr">
        <is>
          <t>京能电力涿州科技环保有限公司</t>
        </is>
      </c>
      <c r="C117" s="1175" t="inlineStr">
        <is>
          <t>G_DUMMY</t>
        </is>
      </c>
      <c r="D117" s="1175" t="inlineStr">
        <is>
          <t>否</t>
        </is>
      </c>
    </row>
    <row r="118">
      <c r="A118" s="1175" t="inlineStr">
        <is>
          <t>E100136</t>
        </is>
      </c>
      <c r="B118" s="1175" t="inlineStr">
        <is>
          <t>京能电力涿州科技环保有限公司北京分公司</t>
        </is>
      </c>
      <c r="C118" s="1175" t="inlineStr">
        <is>
          <t>G_DUMMY</t>
        </is>
      </c>
      <c r="D118" s="1175" t="inlineStr">
        <is>
          <t>否</t>
        </is>
      </c>
    </row>
    <row r="119">
      <c r="A119" s="1175" t="inlineStr">
        <is>
          <t>E100138</t>
        </is>
      </c>
      <c r="B119" s="1175" t="inlineStr">
        <is>
          <t>京能电力后勤服务有限公司察右中旗石灰石矿</t>
        </is>
      </c>
      <c r="C119" s="1175" t="inlineStr">
        <is>
          <t>G_DUMMY</t>
        </is>
      </c>
      <c r="D119" s="1175" t="inlineStr">
        <is>
          <t>否</t>
        </is>
      </c>
    </row>
    <row r="120">
      <c r="A120" s="1175" t="inlineStr">
        <is>
          <t>E100139</t>
        </is>
      </c>
      <c r="B120" s="1175" t="inlineStr">
        <is>
          <t>京能电力后勤服务有限公司右玉石料厂</t>
        </is>
      </c>
      <c r="C120" s="1175" t="inlineStr">
        <is>
          <t>G_DUMMY</t>
        </is>
      </c>
      <c r="D120" s="1175" t="inlineStr">
        <is>
          <t>否</t>
        </is>
      </c>
    </row>
    <row r="121">
      <c r="A121" s="1175" t="inlineStr">
        <is>
          <t>E100140</t>
        </is>
      </c>
      <c r="B121" s="1175" t="inlineStr">
        <is>
          <t>京能电力后勤服务有限公司石灰石分公司</t>
        </is>
      </c>
      <c r="C121" s="1175" t="inlineStr">
        <is>
          <t>G_DUMMY</t>
        </is>
      </c>
      <c r="D121" s="1175" t="inlineStr">
        <is>
          <t>否</t>
        </is>
      </c>
    </row>
    <row r="122">
      <c r="A122" s="1175" t="inlineStr">
        <is>
          <t>E100142</t>
        </is>
      </c>
      <c r="B122" s="1175" t="inlineStr">
        <is>
          <t>北京京能国际能源股份有限公司</t>
        </is>
      </c>
      <c r="C122" s="1175" t="inlineStr">
        <is>
          <t>G_DUMMY</t>
        </is>
      </c>
      <c r="D122" s="1175" t="inlineStr">
        <is>
          <t>否</t>
        </is>
      </c>
    </row>
    <row r="123">
      <c r="A123" s="1175" t="inlineStr">
        <is>
          <t>E100145</t>
        </is>
      </c>
      <c r="B123" s="1175" t="inlineStr">
        <is>
          <t>北京京能电力股份有限公司</t>
        </is>
      </c>
      <c r="C123" s="1175" t="inlineStr">
        <is>
          <t>G_DUMMY</t>
        </is>
      </c>
      <c r="D123" s="1175" t="inlineStr">
        <is>
          <t>否</t>
        </is>
      </c>
    </row>
    <row r="124">
      <c r="A124" s="1175" t="inlineStr">
        <is>
          <t>E100146</t>
        </is>
      </c>
      <c r="B124" s="1175" t="inlineStr">
        <is>
          <t>北京京能电力股份有限公司石景山热电厂</t>
        </is>
      </c>
      <c r="C124" s="1175" t="inlineStr">
        <is>
          <t>G_DUMMY</t>
        </is>
      </c>
      <c r="D124" s="1175" t="inlineStr">
        <is>
          <t>否</t>
        </is>
      </c>
    </row>
    <row r="125">
      <c r="A125" s="1175" t="inlineStr">
        <is>
          <t>E100147</t>
        </is>
      </c>
      <c r="B125" s="1175" t="inlineStr">
        <is>
          <t>北京京能电力股份有限公司综合能源分公司</t>
        </is>
      </c>
      <c r="C125" s="1175" t="inlineStr">
        <is>
          <t>G_DUMMY</t>
        </is>
      </c>
      <c r="D125" s="1175" t="inlineStr">
        <is>
          <t>否</t>
        </is>
      </c>
    </row>
    <row r="126">
      <c r="A126" s="1175" t="inlineStr">
        <is>
          <t>E100148</t>
        </is>
      </c>
      <c r="B126" s="1175" t="inlineStr">
        <is>
          <t>北京京能电力股份有限公司工程管理分公司</t>
        </is>
      </c>
      <c r="C126" s="1175" t="inlineStr">
        <is>
          <t>G_DUMMY</t>
        </is>
      </c>
      <c r="D126" s="1175" t="inlineStr">
        <is>
          <t>否</t>
        </is>
      </c>
    </row>
    <row r="127">
      <c r="A127" s="1175" t="inlineStr">
        <is>
          <t>E100149</t>
        </is>
      </c>
      <c r="B127" s="1175" t="inlineStr">
        <is>
          <t>北京京能电力燃料有限公司</t>
        </is>
      </c>
      <c r="C127" s="1175" t="inlineStr">
        <is>
          <t>G_DUMMY</t>
        </is>
      </c>
      <c r="D127" s="1175" t="inlineStr">
        <is>
          <t>否</t>
        </is>
      </c>
    </row>
    <row r="128">
      <c r="A128" s="1175" t="inlineStr">
        <is>
          <t>E100150</t>
        </is>
      </c>
      <c r="B128" s="1175" t="inlineStr">
        <is>
          <t>内蒙古岱海发电有限责任公司</t>
        </is>
      </c>
      <c r="C128" s="1175" t="inlineStr">
        <is>
          <t>G_DUMMY</t>
        </is>
      </c>
      <c r="D128" s="1175" t="inlineStr">
        <is>
          <t>否</t>
        </is>
      </c>
    </row>
    <row r="129">
      <c r="A129" s="1175" t="inlineStr">
        <is>
          <t>E100151</t>
        </is>
      </c>
      <c r="B129" s="1175" t="inlineStr">
        <is>
          <t>山西漳山发电有限责任公司</t>
        </is>
      </c>
      <c r="C129" s="1175" t="inlineStr">
        <is>
          <t>G_DUMMY</t>
        </is>
      </c>
      <c r="D129" s="1175" t="inlineStr">
        <is>
          <t>否</t>
        </is>
      </c>
    </row>
    <row r="130">
      <c r="A130" s="1175" t="inlineStr">
        <is>
          <t>E100152</t>
        </is>
      </c>
      <c r="B130" s="1175" t="inlineStr">
        <is>
          <t>宁夏京能宁东发电有限责任公司</t>
        </is>
      </c>
      <c r="C130" s="1175" t="inlineStr">
        <is>
          <t>G_DUMMY</t>
        </is>
      </c>
      <c r="D130" s="1175" t="inlineStr">
        <is>
          <t>否</t>
        </is>
      </c>
    </row>
    <row r="131">
      <c r="A131" s="1175" t="inlineStr">
        <is>
          <t>E100154</t>
        </is>
      </c>
      <c r="B131" s="1175" t="inlineStr">
        <is>
          <t>内蒙古京隆发电有限责任公司</t>
        </is>
      </c>
      <c r="C131" s="1175" t="inlineStr">
        <is>
          <t>G_DUMMY</t>
        </is>
      </c>
      <c r="D131" s="1175" t="inlineStr">
        <is>
          <t>否</t>
        </is>
      </c>
    </row>
    <row r="132">
      <c r="A132" s="1175" t="inlineStr">
        <is>
          <t>E100155</t>
        </is>
      </c>
      <c r="B132" s="1175" t="inlineStr">
        <is>
          <t>内蒙古华宁热电有限公司</t>
        </is>
      </c>
      <c r="C132" s="1175" t="inlineStr">
        <is>
          <t>G_DUMMY</t>
        </is>
      </c>
      <c r="D132" s="1175" t="inlineStr">
        <is>
          <t>否</t>
        </is>
      </c>
    </row>
    <row r="133">
      <c r="A133" s="1175" t="inlineStr">
        <is>
          <t>E100156</t>
        </is>
      </c>
      <c r="B133" s="1175" t="inlineStr">
        <is>
          <t>京能（锡林郭勒）发电有限公司</t>
        </is>
      </c>
      <c r="C133" s="1175" t="inlineStr">
        <is>
          <t>G_DUMMY</t>
        </is>
      </c>
      <c r="D133" s="1175" t="inlineStr">
        <is>
          <t>否</t>
        </is>
      </c>
    </row>
    <row r="134">
      <c r="A134" s="1175" t="inlineStr">
        <is>
          <t>E100157</t>
        </is>
      </c>
      <c r="B134" s="1175" t="inlineStr">
        <is>
          <t>内蒙古京泰发电有限责任公司</t>
        </is>
      </c>
      <c r="C134" s="1175" t="inlineStr">
        <is>
          <t>G_DUMMY</t>
        </is>
      </c>
      <c r="D134" s="1175" t="inlineStr">
        <is>
          <t>否</t>
        </is>
      </c>
    </row>
    <row r="135">
      <c r="A135" s="1175" t="inlineStr">
        <is>
          <t>E100159</t>
        </is>
      </c>
      <c r="B135" s="1175" t="inlineStr">
        <is>
          <t>内蒙古京海煤矸石发电有限责任公司</t>
        </is>
      </c>
      <c r="C135" s="1175" t="inlineStr">
        <is>
          <t>G_DUMMY</t>
        </is>
      </c>
      <c r="D135" s="1175" t="inlineStr">
        <is>
          <t>否</t>
        </is>
      </c>
    </row>
    <row r="136">
      <c r="A136" s="1175" t="inlineStr">
        <is>
          <t>E100162</t>
        </is>
      </c>
      <c r="B136" s="1175" t="inlineStr">
        <is>
          <t>山西京玉发电有限责任公司</t>
        </is>
      </c>
      <c r="C136" s="1175" t="inlineStr">
        <is>
          <t>G_DUMMY</t>
        </is>
      </c>
      <c r="D136" s="1175" t="inlineStr">
        <is>
          <t>否</t>
        </is>
      </c>
    </row>
    <row r="137">
      <c r="A137" s="1175" t="inlineStr">
        <is>
          <t>E100163</t>
        </is>
      </c>
      <c r="B137" s="1175" t="inlineStr">
        <is>
          <t>右玉县京玉污水处理有限责任公司</t>
        </is>
      </c>
      <c r="C137" s="1175" t="inlineStr">
        <is>
          <t>G_DUMMY</t>
        </is>
      </c>
      <c r="D137" s="1175" t="inlineStr">
        <is>
          <t>否</t>
        </is>
      </c>
    </row>
    <row r="138">
      <c r="A138" s="1175" t="inlineStr">
        <is>
          <t>E100164</t>
        </is>
      </c>
      <c r="B138" s="1175" t="inlineStr">
        <is>
          <t>山西京同热电有限公司</t>
        </is>
      </c>
      <c r="C138" s="1175" t="inlineStr">
        <is>
          <t>G_DUMMY</t>
        </is>
      </c>
      <c r="D138" s="1175" t="inlineStr">
        <is>
          <t>否</t>
        </is>
      </c>
    </row>
    <row r="139">
      <c r="A139" s="1175" t="inlineStr">
        <is>
          <t>E100165</t>
        </is>
      </c>
      <c r="B139" s="1175" t="inlineStr">
        <is>
          <t>内蒙古京能康巴什热电有限公司</t>
        </is>
      </c>
      <c r="C139" s="1175" t="inlineStr">
        <is>
          <t>G_DUMMY</t>
        </is>
      </c>
      <c r="D139" s="1175" t="inlineStr">
        <is>
          <t>否</t>
        </is>
      </c>
    </row>
    <row r="140">
      <c r="A140" s="1175" t="inlineStr">
        <is>
          <t>E100166</t>
        </is>
      </c>
      <c r="B140" s="1175" t="inlineStr">
        <is>
          <t>内蒙古京能盛乐热电有限公司</t>
        </is>
      </c>
      <c r="C140" s="1175" t="inlineStr">
        <is>
          <t>G_DUMMY</t>
        </is>
      </c>
      <c r="D140" s="1175" t="inlineStr">
        <is>
          <t>否</t>
        </is>
      </c>
    </row>
    <row r="141">
      <c r="A141" s="1175" t="inlineStr">
        <is>
          <t>E100167</t>
        </is>
      </c>
      <c r="B141" s="1175" t="inlineStr">
        <is>
          <t>内蒙古京宁热电有限责任公司</t>
        </is>
      </c>
      <c r="C141" s="1175" t="inlineStr">
        <is>
          <t>G_DUMMY</t>
        </is>
      </c>
      <c r="D141" s="1175" t="inlineStr">
        <is>
          <t>否</t>
        </is>
      </c>
    </row>
    <row r="142">
      <c r="A142" s="1175" t="inlineStr">
        <is>
          <t>E100168</t>
        </is>
      </c>
      <c r="B142" s="1175" t="inlineStr">
        <is>
          <t>河北涿州京源热电有限责任公司</t>
        </is>
      </c>
      <c r="C142" s="1175" t="inlineStr">
        <is>
          <t>G_DUMMY</t>
        </is>
      </c>
      <c r="D142" s="1175" t="inlineStr">
        <is>
          <t>否</t>
        </is>
      </c>
    </row>
    <row r="143">
      <c r="A143" s="1175" t="inlineStr">
        <is>
          <t>E100169</t>
        </is>
      </c>
      <c r="B143" s="1175" t="inlineStr">
        <is>
          <t>京能十堰热电有限公司</t>
        </is>
      </c>
      <c r="C143" s="1175" t="inlineStr">
        <is>
          <t>G_DUMMY</t>
        </is>
      </c>
      <c r="D143" s="1175" t="inlineStr">
        <is>
          <t>否</t>
        </is>
      </c>
    </row>
    <row r="144">
      <c r="A144" s="1175" t="inlineStr">
        <is>
          <t>E100170</t>
        </is>
      </c>
      <c r="B144" s="1175" t="inlineStr">
        <is>
          <t>京能（赤峰）能源发展有限公司</t>
        </is>
      </c>
      <c r="C144" s="1175" t="inlineStr">
        <is>
          <t>G_DUMMY</t>
        </is>
      </c>
      <c r="D144" s="1175" t="inlineStr">
        <is>
          <t>否</t>
        </is>
      </c>
    </row>
    <row r="145">
      <c r="A145" s="1175" t="inlineStr">
        <is>
          <t>E100171</t>
        </is>
      </c>
      <c r="B145" s="1175" t="inlineStr">
        <is>
          <t>内蒙古京能双欣发电有限公司</t>
        </is>
      </c>
      <c r="C145" s="1175" t="inlineStr">
        <is>
          <t>G_DUMMY</t>
        </is>
      </c>
      <c r="D145" s="1175" t="inlineStr">
        <is>
          <t>否</t>
        </is>
      </c>
    </row>
    <row r="146">
      <c r="A146" s="1175" t="inlineStr">
        <is>
          <t>E100172</t>
        </is>
      </c>
      <c r="B146" s="1175" t="inlineStr">
        <is>
          <t>山西京能吕临发电有限公司</t>
        </is>
      </c>
      <c r="C146" s="1175" t="inlineStr">
        <is>
          <t>G_DUMMY</t>
        </is>
      </c>
      <c r="D146" s="1175" t="inlineStr">
        <is>
          <t>否</t>
        </is>
      </c>
    </row>
    <row r="147">
      <c r="A147" s="1175" t="inlineStr">
        <is>
          <t>E100173</t>
        </is>
      </c>
      <c r="B147" s="1175" t="inlineStr">
        <is>
          <t>京能秦皇岛热电有限公司</t>
        </is>
      </c>
      <c r="C147" s="1175" t="inlineStr">
        <is>
          <t>G_DUMMY</t>
        </is>
      </c>
      <c r="D147" s="1175" t="inlineStr">
        <is>
          <t>否</t>
        </is>
      </c>
    </row>
    <row r="148">
      <c r="A148" s="1175" t="inlineStr">
        <is>
          <t>E100174</t>
        </is>
      </c>
      <c r="B148" s="1175" t="inlineStr">
        <is>
          <t>河南京能滑州热电有限责任公司</t>
        </is>
      </c>
      <c r="C148" s="1175" t="inlineStr">
        <is>
          <t>G_DUMMY</t>
        </is>
      </c>
      <c r="D148" s="1175" t="inlineStr">
        <is>
          <t>否</t>
        </is>
      </c>
    </row>
    <row r="149">
      <c r="A149" s="1175" t="inlineStr">
        <is>
          <t>E100175</t>
        </is>
      </c>
      <c r="B149" s="1175" t="inlineStr">
        <is>
          <t>江西宜春京能热电有限责任公司</t>
        </is>
      </c>
      <c r="C149" s="1175" t="inlineStr">
        <is>
          <t>G_DUMMY</t>
        </is>
      </c>
      <c r="D149" s="1175" t="inlineStr">
        <is>
          <t>否</t>
        </is>
      </c>
    </row>
    <row r="150">
      <c r="A150" s="1175" t="inlineStr">
        <is>
          <t>E100176</t>
        </is>
      </c>
      <c r="B150" s="1175" t="inlineStr">
        <is>
          <t>宁夏太阳山京智综合能源（售电）有限公司</t>
        </is>
      </c>
      <c r="C150" s="1175" t="inlineStr">
        <is>
          <t>G_DUMMY</t>
        </is>
      </c>
      <c r="D150" s="1175" t="inlineStr">
        <is>
          <t>否</t>
        </is>
      </c>
    </row>
    <row r="151">
      <c r="A151" s="1175" t="inlineStr">
        <is>
          <t>E100177</t>
        </is>
      </c>
      <c r="B151" s="1175" t="inlineStr">
        <is>
          <t>青岛京能智汇综合能源有限公司</t>
        </is>
      </c>
      <c r="C151" s="1175" t="inlineStr">
        <is>
          <t>G_DUMMY</t>
        </is>
      </c>
      <c r="D151" s="1175" t="inlineStr">
        <is>
          <t>否</t>
        </is>
      </c>
    </row>
    <row r="152">
      <c r="A152" s="1175" t="inlineStr">
        <is>
          <t>E100178</t>
        </is>
      </c>
      <c r="B152" s="1175" t="inlineStr">
        <is>
          <t>内蒙古京能苏里格能源管理服务有限公司-注销</t>
        </is>
      </c>
      <c r="C152" s="1175" t="inlineStr">
        <is>
          <t>G_DUMMY</t>
        </is>
      </c>
      <c r="D152" s="1175" t="inlineStr">
        <is>
          <t>否</t>
        </is>
      </c>
    </row>
    <row r="153">
      <c r="A153" s="1175" t="inlineStr">
        <is>
          <t>E100179</t>
        </is>
      </c>
      <c r="B153" s="1175" t="inlineStr">
        <is>
          <t>山西京能售电有限责任公司</t>
        </is>
      </c>
      <c r="C153" s="1175" t="inlineStr">
        <is>
          <t>G_DUMMY</t>
        </is>
      </c>
      <c r="D153" s="1175" t="inlineStr">
        <is>
          <t>否</t>
        </is>
      </c>
    </row>
    <row r="154">
      <c r="A154" s="1175" t="inlineStr">
        <is>
          <t>E100180</t>
        </is>
      </c>
      <c r="B154" s="1175" t="inlineStr">
        <is>
          <t>内蒙古京能能源开发有限责任公司</t>
        </is>
      </c>
      <c r="C154" s="1175" t="inlineStr">
        <is>
          <t>G_DUMMY</t>
        </is>
      </c>
      <c r="D154" s="1175" t="inlineStr">
        <is>
          <t>否</t>
        </is>
      </c>
    </row>
    <row r="155">
      <c r="A155" s="1175" t="inlineStr">
        <is>
          <t>E100181</t>
        </is>
      </c>
      <c r="B155" s="1175" t="inlineStr">
        <is>
          <t>内蒙古京能能源服务有限公司</t>
        </is>
      </c>
      <c r="C155" s="1175" t="inlineStr">
        <is>
          <t>G_DUMMY</t>
        </is>
      </c>
      <c r="D155" s="1175" t="inlineStr">
        <is>
          <t>否</t>
        </is>
      </c>
    </row>
    <row r="156">
      <c r="A156" s="1175" t="inlineStr">
        <is>
          <t>E100182</t>
        </is>
      </c>
      <c r="B156" s="1175" t="inlineStr">
        <is>
          <t>内蒙古京能电力检修有限公司</t>
        </is>
      </c>
      <c r="C156" s="1175" t="inlineStr">
        <is>
          <t>G_DUMMY</t>
        </is>
      </c>
      <c r="D156" s="1175" t="inlineStr">
        <is>
          <t>否</t>
        </is>
      </c>
    </row>
    <row r="157">
      <c r="A157" s="1175" t="inlineStr">
        <is>
          <t>E100183</t>
        </is>
      </c>
      <c r="B157" s="1175" t="inlineStr">
        <is>
          <t>内蒙古兴海电力服务有限责任公司</t>
        </is>
      </c>
      <c r="C157" s="1175" t="inlineStr">
        <is>
          <t>G_DUMMY</t>
        </is>
      </c>
      <c r="D157" s="1175" t="inlineStr">
        <is>
          <t>否</t>
        </is>
      </c>
    </row>
    <row r="158">
      <c r="A158" s="1175" t="inlineStr">
        <is>
          <t>E100185</t>
        </is>
      </c>
      <c r="B158" s="1175" t="inlineStr">
        <is>
          <t>河南通源热力有限公司</t>
        </is>
      </c>
      <c r="C158" s="1175" t="inlineStr">
        <is>
          <t>G_DUMMY</t>
        </is>
      </c>
      <c r="D158" s="1175" t="inlineStr">
        <is>
          <t>否</t>
        </is>
      </c>
    </row>
    <row r="159">
      <c r="A159" s="1175" t="inlineStr">
        <is>
          <t>E100186</t>
        </is>
      </c>
      <c r="B159" s="1175" t="inlineStr">
        <is>
          <t>京能东风（十堰）能源发展有限公司</t>
        </is>
      </c>
      <c r="C159" s="1175" t="inlineStr">
        <is>
          <t>G_DUMMY</t>
        </is>
      </c>
      <c r="D159" s="1175" t="inlineStr">
        <is>
          <t>否</t>
        </is>
      </c>
    </row>
    <row r="160">
      <c r="A160" s="1175" t="inlineStr">
        <is>
          <t>E100188</t>
        </is>
      </c>
      <c r="B160" s="1175" t="inlineStr">
        <is>
          <t>呼伦贝尔京能能源发展有限公司</t>
        </is>
      </c>
      <c r="C160" s="1175" t="inlineStr">
        <is>
          <t>G_DUMMY</t>
        </is>
      </c>
      <c r="D160" s="1175" t="inlineStr">
        <is>
          <t>否</t>
        </is>
      </c>
    </row>
    <row r="161">
      <c r="A161" s="1175" t="inlineStr">
        <is>
          <t>E100189</t>
        </is>
      </c>
      <c r="B161" s="1175" t="inlineStr">
        <is>
          <t>京能锡林郭勒能源有限公司</t>
        </is>
      </c>
      <c r="C161" s="1175" t="inlineStr">
        <is>
          <t>G_DUMMY</t>
        </is>
      </c>
      <c r="D161" s="1175" t="inlineStr">
        <is>
          <t>否</t>
        </is>
      </c>
    </row>
    <row r="162">
      <c r="A162" s="1175" t="inlineStr">
        <is>
          <t>E100191</t>
        </is>
      </c>
      <c r="B162" s="1175" t="inlineStr">
        <is>
          <t>北京乐多港发展有限公司</t>
        </is>
      </c>
      <c r="C162" s="1175" t="inlineStr">
        <is>
          <t>G_DUMMY</t>
        </is>
      </c>
      <c r="D162" s="1175" t="inlineStr">
        <is>
          <t>否</t>
        </is>
      </c>
    </row>
    <row r="163">
      <c r="A163" s="1175" t="inlineStr">
        <is>
          <t>E100192</t>
        </is>
      </c>
      <c r="B163" s="1175" t="inlineStr">
        <is>
          <t>北京乐多港发展有限公司文化旅游分公司</t>
        </is>
      </c>
      <c r="C163" s="1175" t="inlineStr">
        <is>
          <t>G_DUMMY</t>
        </is>
      </c>
      <c r="D163" s="1175" t="inlineStr">
        <is>
          <t>否</t>
        </is>
      </c>
    </row>
    <row r="164">
      <c r="A164" s="1175" t="inlineStr">
        <is>
          <t>E100193</t>
        </is>
      </c>
      <c r="B164" s="1175" t="inlineStr">
        <is>
          <t>北京乐多港发展有限公司商业分公司</t>
        </is>
      </c>
      <c r="C164" s="1175" t="inlineStr">
        <is>
          <t>G_DUMMY</t>
        </is>
      </c>
      <c r="D164" s="1175" t="inlineStr">
        <is>
          <t>否</t>
        </is>
      </c>
    </row>
    <row r="165">
      <c r="A165" s="1175" t="inlineStr">
        <is>
          <t>E100194</t>
        </is>
      </c>
      <c r="B165" s="1175" t="inlineStr">
        <is>
          <t>北京乐多港发展有限公司乐多港万豪酒店分公司</t>
        </is>
      </c>
      <c r="C165" s="1175" t="inlineStr">
        <is>
          <t>G_DUMMY</t>
        </is>
      </c>
      <c r="D165" s="1175" t="inlineStr">
        <is>
          <t>否</t>
        </is>
      </c>
    </row>
    <row r="166">
      <c r="A166" s="1175" t="inlineStr">
        <is>
          <t>E100195</t>
        </is>
      </c>
      <c r="B166" s="1175" t="inlineStr">
        <is>
          <t>北京京能高新能源科技有限公司</t>
        </is>
      </c>
      <c r="C166" s="1175" t="inlineStr">
        <is>
          <t>G_DUMMY</t>
        </is>
      </c>
      <c r="D166" s="1175" t="inlineStr">
        <is>
          <t>否</t>
        </is>
      </c>
    </row>
    <row r="167">
      <c r="A167" s="1175" t="inlineStr">
        <is>
          <t>E100196</t>
        </is>
      </c>
      <c r="B167" s="1175" t="inlineStr">
        <is>
          <t>北京京能人力资源服务有限公司（2023年06月注销）</t>
        </is>
      </c>
      <c r="C167" s="1175" t="inlineStr">
        <is>
          <t>G_DUMMY</t>
        </is>
      </c>
      <c r="D167" s="1175" t="inlineStr">
        <is>
          <t>否</t>
        </is>
      </c>
    </row>
    <row r="168">
      <c r="A168" s="1175" t="inlineStr">
        <is>
          <t>E100197</t>
        </is>
      </c>
      <c r="B168" s="1175" t="inlineStr">
        <is>
          <t>北京国际电气工程有限责任公司</t>
        </is>
      </c>
      <c r="C168" s="1175" t="inlineStr">
        <is>
          <t>G_DUMMY</t>
        </is>
      </c>
      <c r="D168" s="1175" t="inlineStr">
        <is>
          <t>否</t>
        </is>
      </c>
    </row>
    <row r="169">
      <c r="A169" s="1175" t="inlineStr">
        <is>
          <t>E100198</t>
        </is>
      </c>
      <c r="B169" s="1175" t="inlineStr">
        <is>
          <t>北京京能信息技术有限公司</t>
        </is>
      </c>
      <c r="C169" s="1175" t="inlineStr">
        <is>
          <t>G_DUMMY</t>
        </is>
      </c>
      <c r="D169" s="1175" t="inlineStr">
        <is>
          <t>否</t>
        </is>
      </c>
    </row>
    <row r="170">
      <c r="A170" s="1175" t="inlineStr">
        <is>
          <t>E100199</t>
        </is>
      </c>
      <c r="B170" s="1175" t="inlineStr">
        <is>
          <t>北京京能国际能源技术有限公司</t>
        </is>
      </c>
      <c r="C170" s="1175" t="inlineStr">
        <is>
          <t>G_DUMMY</t>
        </is>
      </c>
      <c r="D170" s="1175" t="inlineStr">
        <is>
          <t>否</t>
        </is>
      </c>
    </row>
    <row r="171">
      <c r="A171" s="1175" t="inlineStr">
        <is>
          <t>E100200</t>
        </is>
      </c>
      <c r="B171" s="1175" t="inlineStr">
        <is>
          <t>北京京能能源技术研究有限责任公司</t>
        </is>
      </c>
      <c r="C171" s="1175" t="inlineStr">
        <is>
          <t>G_DUMMY</t>
        </is>
      </c>
      <c r="D171" s="1175" t="inlineStr">
        <is>
          <t>否</t>
        </is>
      </c>
    </row>
    <row r="172">
      <c r="A172" s="1175" t="inlineStr">
        <is>
          <t>E100201</t>
        </is>
      </c>
      <c r="B172" s="1175" t="inlineStr">
        <is>
          <t>北京昊华能源股份有限公司</t>
        </is>
      </c>
      <c r="C172" s="1175" t="inlineStr">
        <is>
          <t>G_DUMMY</t>
        </is>
      </c>
      <c r="D172" s="1175" t="inlineStr">
        <is>
          <t>否</t>
        </is>
      </c>
    </row>
    <row r="173">
      <c r="A173" s="1175" t="inlineStr">
        <is>
          <t>E100202</t>
        </is>
      </c>
      <c r="B173" s="1175" t="inlineStr">
        <is>
          <t>鄂尔多斯市昊华精煤有限责任公司</t>
        </is>
      </c>
      <c r="C173" s="1175" t="inlineStr">
        <is>
          <t>G_DUMMY</t>
        </is>
      </c>
      <c r="D173" s="1175" t="inlineStr">
        <is>
          <t>否</t>
        </is>
      </c>
    </row>
    <row r="174">
      <c r="A174" s="1175" t="inlineStr">
        <is>
          <t>E100203</t>
        </is>
      </c>
      <c r="B174" s="1175" t="inlineStr">
        <is>
          <t>杭锦旗西部能源开发有限公司</t>
        </is>
      </c>
      <c r="C174" s="1175" t="inlineStr">
        <is>
          <t>G_DUMMY</t>
        </is>
      </c>
      <c r="D174" s="1175" t="inlineStr">
        <is>
          <t>否</t>
        </is>
      </c>
    </row>
    <row r="175">
      <c r="A175" s="1175" t="inlineStr">
        <is>
          <t>E100204</t>
        </is>
      </c>
      <c r="B175" s="1175" t="inlineStr">
        <is>
          <t>鄂尔多斯市昊华红庆梁矿业有限公司</t>
        </is>
      </c>
      <c r="C175" s="1175" t="inlineStr">
        <is>
          <t>G_DUMMY</t>
        </is>
      </c>
      <c r="D175" s="1175" t="inlineStr">
        <is>
          <t>否</t>
        </is>
      </c>
    </row>
    <row r="176">
      <c r="A176" s="1175" t="inlineStr">
        <is>
          <t>E100205</t>
        </is>
      </c>
      <c r="B176" s="1175" t="inlineStr">
        <is>
          <t>宁夏红墩子煤业有限公司</t>
        </is>
      </c>
      <c r="C176" s="1175" t="inlineStr">
        <is>
          <t>G_DUMMY</t>
        </is>
      </c>
      <c r="D176" s="1175" t="inlineStr">
        <is>
          <t>否</t>
        </is>
      </c>
    </row>
    <row r="177">
      <c r="A177" s="1175" t="inlineStr">
        <is>
          <t>E100207</t>
        </is>
      </c>
      <c r="B177" s="1175" t="inlineStr">
        <is>
          <t>鄂尔多斯市昊华国泰化工有限公司</t>
        </is>
      </c>
      <c r="C177" s="1175" t="inlineStr">
        <is>
          <t>G_DUMMY</t>
        </is>
      </c>
      <c r="D177" s="1175" t="inlineStr">
        <is>
          <t>否</t>
        </is>
      </c>
    </row>
    <row r="178">
      <c r="A178" s="1175" t="inlineStr">
        <is>
          <t>E100208</t>
        </is>
      </c>
      <c r="B178" s="1175" t="inlineStr">
        <is>
          <t>鄂尔多斯市东铜铁路物流有限公司</t>
        </is>
      </c>
      <c r="C178" s="1175" t="inlineStr">
        <is>
          <t>G_DUMMY</t>
        </is>
      </c>
      <c r="D178" s="1175" t="inlineStr">
        <is>
          <t>否</t>
        </is>
      </c>
    </row>
    <row r="179">
      <c r="A179" s="1175" t="inlineStr">
        <is>
          <t>E100209</t>
        </is>
      </c>
      <c r="B179" s="1175" t="inlineStr">
        <is>
          <t>鄂尔多斯市昊华鑫通物资有限责任公司</t>
        </is>
      </c>
      <c r="C179" s="1175" t="inlineStr">
        <is>
          <t>G_DUMMY</t>
        </is>
      </c>
      <c r="D179" s="1175" t="inlineStr">
        <is>
          <t>否</t>
        </is>
      </c>
    </row>
    <row r="180">
      <c r="A180" s="1175" t="inlineStr">
        <is>
          <t>E100210</t>
        </is>
      </c>
      <c r="B180" s="1175" t="inlineStr">
        <is>
          <t>北京昊华鑫达商贸有限公司</t>
        </is>
      </c>
      <c r="C180" s="1175" t="inlineStr">
        <is>
          <t>G_DUMMY</t>
        </is>
      </c>
      <c r="D180" s="1175" t="inlineStr">
        <is>
          <t>否</t>
        </is>
      </c>
    </row>
    <row r="181">
      <c r="A181" s="1175" t="inlineStr">
        <is>
          <t>E100211</t>
        </is>
      </c>
      <c r="B181" s="1175" t="inlineStr">
        <is>
          <t>北京昊华能源股份有限公司企业管理分公司</t>
        </is>
      </c>
      <c r="C181" s="1175" t="inlineStr">
        <is>
          <t>G_DUMMY</t>
        </is>
      </c>
      <c r="D181" s="1175" t="inlineStr">
        <is>
          <t>否</t>
        </is>
      </c>
    </row>
    <row r="182">
      <c r="A182" s="1175" t="inlineStr">
        <is>
          <t>E100212</t>
        </is>
      </c>
      <c r="B182" s="1175" t="inlineStr">
        <is>
          <t>北京昊华能源股份有限公司长沟峪煤矿</t>
        </is>
      </c>
      <c r="C182" s="1175" t="inlineStr">
        <is>
          <t>G_DUMMY</t>
        </is>
      </c>
      <c r="D182" s="1175" t="inlineStr">
        <is>
          <t>否</t>
        </is>
      </c>
    </row>
    <row r="183">
      <c r="A183" s="1175" t="inlineStr">
        <is>
          <t>E100213</t>
        </is>
      </c>
      <c r="B183" s="1175" t="inlineStr">
        <is>
          <t>北京昊华能源股份有限公司木城涧煤矿</t>
        </is>
      </c>
      <c r="C183" s="1175" t="inlineStr">
        <is>
          <t>G_DUMMY</t>
        </is>
      </c>
      <c r="D183" s="1175" t="inlineStr">
        <is>
          <t>否</t>
        </is>
      </c>
    </row>
    <row r="184">
      <c r="A184" s="1175" t="inlineStr">
        <is>
          <t>E100214</t>
        </is>
      </c>
      <c r="B184" s="1175" t="inlineStr">
        <is>
          <t>北京昊华能源股份有限公司大安山煤矿</t>
        </is>
      </c>
      <c r="C184" s="1175" t="inlineStr">
        <is>
          <t>G_DUMMY</t>
        </is>
      </c>
      <c r="D184" s="1175" t="inlineStr">
        <is>
          <t>否</t>
        </is>
      </c>
    </row>
    <row r="185">
      <c r="A185" s="1175" t="inlineStr">
        <is>
          <t>E100215</t>
        </is>
      </c>
      <c r="B185" s="1175" t="inlineStr">
        <is>
          <t>北京昊华能源股份有限公司大台煤矿</t>
        </is>
      </c>
      <c r="C185" s="1175" t="inlineStr">
        <is>
          <t>G_DUMMY</t>
        </is>
      </c>
      <c r="D185" s="1175" t="inlineStr">
        <is>
          <t>否</t>
        </is>
      </c>
    </row>
    <row r="186">
      <c r="A186" s="1175" t="inlineStr">
        <is>
          <t>E100216</t>
        </is>
      </c>
      <c r="B186" s="1175" t="inlineStr">
        <is>
          <t>昊华能源国际（香港）有限公司</t>
        </is>
      </c>
      <c r="C186" s="1175" t="inlineStr">
        <is>
          <t>G_DUMMY</t>
        </is>
      </c>
      <c r="D186" s="1175" t="inlineStr">
        <is>
          <t>否</t>
        </is>
      </c>
    </row>
    <row r="187">
      <c r="A187" s="1175" t="inlineStr">
        <is>
          <t>E100217</t>
        </is>
      </c>
      <c r="B187" s="1175" t="inlineStr">
        <is>
          <t>包头市盛华煤炭销售有限公司</t>
        </is>
      </c>
      <c r="C187" s="1175" t="inlineStr">
        <is>
          <t>G_DUMMY</t>
        </is>
      </c>
      <c r="D187" s="1175" t="inlineStr">
        <is>
          <t>否</t>
        </is>
      </c>
    </row>
    <row r="188">
      <c r="A188" s="1175" t="inlineStr">
        <is>
          <t>E100218</t>
        </is>
      </c>
      <c r="B188" s="1175" t="inlineStr">
        <is>
          <t>北京京能油气资源开发有限公司</t>
        </is>
      </c>
      <c r="C188" s="1175" t="inlineStr">
        <is>
          <t>G_DUMMY</t>
        </is>
      </c>
      <c r="D188" s="1175" t="inlineStr">
        <is>
          <t>否</t>
        </is>
      </c>
    </row>
    <row r="189">
      <c r="A189" s="1175" t="inlineStr">
        <is>
          <t>E100219</t>
        </is>
      </c>
      <c r="B189" s="1175" t="inlineStr">
        <is>
          <t>唐山京曹天然气有限公司</t>
        </is>
      </c>
      <c r="C189" s="1175" t="inlineStr">
        <is>
          <t>G_DUMMY</t>
        </is>
      </c>
      <c r="D189" s="1175" t="inlineStr">
        <is>
          <t>否</t>
        </is>
      </c>
    </row>
    <row r="190">
      <c r="A190" s="1175" t="inlineStr">
        <is>
          <t>E100220</t>
        </is>
      </c>
      <c r="B190" s="1175" t="inlineStr">
        <is>
          <t>新疆京能建设投资有限公司</t>
        </is>
      </c>
      <c r="C190" s="1175" t="inlineStr">
        <is>
          <t>G_DUMMY</t>
        </is>
      </c>
      <c r="D190" s="1175" t="inlineStr">
        <is>
          <t>否</t>
        </is>
      </c>
    </row>
    <row r="191">
      <c r="A191" s="1175" t="inlineStr">
        <is>
          <t>E100221</t>
        </is>
      </c>
      <c r="B191" s="1175" t="inlineStr">
        <is>
          <t>内蒙古京能锡林煤化有限责任公司</t>
        </is>
      </c>
      <c r="C191" s="1175" t="inlineStr">
        <is>
          <t>G_DUMMY</t>
        </is>
      </c>
      <c r="D191" s="1175" t="inlineStr">
        <is>
          <t>否</t>
        </is>
      </c>
    </row>
    <row r="192">
      <c r="A192" s="1175" t="inlineStr">
        <is>
          <t>E100222</t>
        </is>
      </c>
      <c r="B192" s="1175" t="inlineStr">
        <is>
          <t>北京市热力集团有限责任公司</t>
        </is>
      </c>
      <c r="C192" s="1175" t="inlineStr">
        <is>
          <t>G_DUMMY</t>
        </is>
      </c>
      <c r="D192" s="1175" t="inlineStr">
        <is>
          <t>否</t>
        </is>
      </c>
    </row>
    <row r="193">
      <c r="A193" s="1175" t="inlineStr">
        <is>
          <t>E100223</t>
        </is>
      </c>
      <c r="B193" s="1175" t="inlineStr">
        <is>
          <t>北京市热力集团有限责任公司东城分公司</t>
        </is>
      </c>
      <c r="C193" s="1175" t="inlineStr">
        <is>
          <t>G_DUMMY</t>
        </is>
      </c>
      <c r="D193" s="1175" t="inlineStr">
        <is>
          <t>否</t>
        </is>
      </c>
    </row>
    <row r="194">
      <c r="A194" s="1175" t="inlineStr">
        <is>
          <t>E100224</t>
        </is>
      </c>
      <c r="B194" s="1175" t="inlineStr">
        <is>
          <t>北京市热力集团有限责任公司西城分公司</t>
        </is>
      </c>
      <c r="C194" s="1175" t="inlineStr">
        <is>
          <t>G_DUMMY</t>
        </is>
      </c>
      <c r="D194" s="1175" t="inlineStr">
        <is>
          <t>否</t>
        </is>
      </c>
    </row>
    <row r="195">
      <c r="A195" s="1175" t="inlineStr">
        <is>
          <t>E100225</t>
        </is>
      </c>
      <c r="B195" s="1175" t="inlineStr">
        <is>
          <t>北京市热力集团有限责任公司朝阳第一分公司</t>
        </is>
      </c>
      <c r="C195" s="1175" t="inlineStr">
        <is>
          <t>G_DUMMY</t>
        </is>
      </c>
      <c r="D195" s="1175" t="inlineStr">
        <is>
          <t>否</t>
        </is>
      </c>
    </row>
    <row r="196">
      <c r="A196" s="1175" t="inlineStr">
        <is>
          <t>E100226</t>
        </is>
      </c>
      <c r="B196" s="1175" t="inlineStr">
        <is>
          <t>北京市热力集团有限责任公司朝阳第二分公司</t>
        </is>
      </c>
      <c r="C196" s="1175" t="inlineStr">
        <is>
          <t>G_DUMMY</t>
        </is>
      </c>
      <c r="D196" s="1175" t="inlineStr">
        <is>
          <t>否</t>
        </is>
      </c>
    </row>
    <row r="197">
      <c r="A197" s="1175" t="inlineStr">
        <is>
          <t>E100227</t>
        </is>
      </c>
      <c r="B197" s="1175" t="inlineStr">
        <is>
          <t>北京市热力集团有限责任公司海淀分公司</t>
        </is>
      </c>
      <c r="C197" s="1175" t="inlineStr">
        <is>
          <t>G_DUMMY</t>
        </is>
      </c>
      <c r="D197" s="1175" t="inlineStr">
        <is>
          <t>否</t>
        </is>
      </c>
    </row>
    <row r="198">
      <c r="A198" s="1175" t="inlineStr">
        <is>
          <t>E100228</t>
        </is>
      </c>
      <c r="B198" s="1175" t="inlineStr">
        <is>
          <t>北京市热力集团有限责任公司丰台分公司</t>
        </is>
      </c>
      <c r="C198" s="1175" t="inlineStr">
        <is>
          <t>G_DUMMY</t>
        </is>
      </c>
      <c r="D198" s="1175" t="inlineStr">
        <is>
          <t>否</t>
        </is>
      </c>
    </row>
    <row r="199">
      <c r="A199" s="1175" t="inlineStr">
        <is>
          <t>E100229</t>
        </is>
      </c>
      <c r="B199" s="1175" t="inlineStr">
        <is>
          <t>北京市热力集团有限责任公司石景山分公司</t>
        </is>
      </c>
      <c r="C199" s="1175" t="inlineStr">
        <is>
          <t>G_DUMMY</t>
        </is>
      </c>
      <c r="D199" s="1175" t="inlineStr">
        <is>
          <t>否</t>
        </is>
      </c>
    </row>
    <row r="200">
      <c r="A200" s="1175" t="inlineStr">
        <is>
          <t>E100230</t>
        </is>
      </c>
      <c r="B200" s="1175" t="inlineStr">
        <is>
          <t>北京市热力集团有限责任公司门头沟分公司</t>
        </is>
      </c>
      <c r="C200" s="1175" t="inlineStr">
        <is>
          <t>G_DUMMY</t>
        </is>
      </c>
      <c r="D200" s="1175" t="inlineStr">
        <is>
          <t>否</t>
        </is>
      </c>
    </row>
    <row r="201">
      <c r="A201" s="1175" t="inlineStr">
        <is>
          <t>E100231</t>
        </is>
      </c>
      <c r="B201" s="1175" t="inlineStr">
        <is>
          <t>北京市热力集团有限责任公司输配分公司</t>
        </is>
      </c>
      <c r="C201" s="1175" t="inlineStr">
        <is>
          <t>G_DUMMY</t>
        </is>
      </c>
      <c r="D201" s="1175" t="inlineStr">
        <is>
          <t>否</t>
        </is>
      </c>
    </row>
    <row r="202">
      <c r="A202" s="1175" t="inlineStr">
        <is>
          <t>E100233</t>
        </is>
      </c>
      <c r="B202" s="1175" t="inlineStr">
        <is>
          <t>北京市热力工程设计有限责任公司</t>
        </is>
      </c>
      <c r="C202" s="1175" t="inlineStr">
        <is>
          <t>G_DUMMY</t>
        </is>
      </c>
      <c r="D202" s="1175" t="inlineStr">
        <is>
          <t>否</t>
        </is>
      </c>
    </row>
    <row r="203">
      <c r="A203" s="1175" t="inlineStr">
        <is>
          <t>E100234</t>
        </is>
      </c>
      <c r="B203" s="1175" t="inlineStr">
        <is>
          <t>北京市特得热力技术发展有限责任公司</t>
        </is>
      </c>
      <c r="C203" s="1175" t="inlineStr">
        <is>
          <t>G_DUMMY</t>
        </is>
      </c>
      <c r="D203" s="1175" t="inlineStr">
        <is>
          <t>否</t>
        </is>
      </c>
    </row>
    <row r="204">
      <c r="A204" s="1175" t="inlineStr">
        <is>
          <t>E100235</t>
        </is>
      </c>
      <c r="B204" s="1175" t="inlineStr">
        <is>
          <t>北京热力市政工程建设有限公司</t>
        </is>
      </c>
      <c r="C204" s="1175" t="inlineStr">
        <is>
          <t>G_DUMMY</t>
        </is>
      </c>
      <c r="D204" s="1175" t="inlineStr">
        <is>
          <t>否</t>
        </is>
      </c>
    </row>
    <row r="205">
      <c r="A205" s="1175" t="inlineStr">
        <is>
          <t>E100236</t>
        </is>
      </c>
      <c r="B205" s="1175" t="inlineStr">
        <is>
          <t>北京热力智能控制技术有限责任公司</t>
        </is>
      </c>
      <c r="C205" s="1175" t="inlineStr">
        <is>
          <t>G_DUMMY</t>
        </is>
      </c>
      <c r="D205" s="1175" t="inlineStr">
        <is>
          <t>否</t>
        </is>
      </c>
    </row>
    <row r="206">
      <c r="A206" s="1175" t="inlineStr">
        <is>
          <t>E100237</t>
        </is>
      </c>
      <c r="B206" s="1175" t="inlineStr">
        <is>
          <t>北京金光眼特种设备检验检测有限公司</t>
        </is>
      </c>
      <c r="C206" s="1175" t="inlineStr">
        <is>
          <t>G_DUMMY</t>
        </is>
      </c>
      <c r="D206" s="1175" t="inlineStr">
        <is>
          <t>否</t>
        </is>
      </c>
    </row>
    <row r="207">
      <c r="A207" s="1175" t="inlineStr">
        <is>
          <t>E100238</t>
        </is>
      </c>
      <c r="B207" s="1175" t="inlineStr">
        <is>
          <t>北京热力装备制造有限公司</t>
        </is>
      </c>
      <c r="C207" s="1175" t="inlineStr">
        <is>
          <t>G_DUMMY</t>
        </is>
      </c>
      <c r="D207" s="1175" t="inlineStr">
        <is>
          <t>否</t>
        </is>
      </c>
    </row>
    <row r="208">
      <c r="A208" s="1175" t="inlineStr">
        <is>
          <t>E100239</t>
        </is>
      </c>
      <c r="B208" s="1175" t="inlineStr">
        <is>
          <t>北京特洁能环保技术发展有限公司</t>
        </is>
      </c>
      <c r="C208" s="1175" t="inlineStr">
        <is>
          <t>G_DUMMY</t>
        </is>
      </c>
      <c r="D208" s="1175" t="inlineStr">
        <is>
          <t>否</t>
        </is>
      </c>
    </row>
    <row r="209">
      <c r="A209" s="1175" t="inlineStr">
        <is>
          <t>E100241</t>
        </is>
      </c>
      <c r="B209" s="1175" t="inlineStr">
        <is>
          <t>北京热力特佳物业管理有限责任公司</t>
        </is>
      </c>
      <c r="C209" s="1175" t="inlineStr">
        <is>
          <t>G_DUMMY</t>
        </is>
      </c>
      <c r="D209" s="1175" t="inlineStr">
        <is>
          <t>否</t>
        </is>
      </c>
    </row>
    <row r="210">
      <c r="A210" s="1175" t="inlineStr">
        <is>
          <t>E100243</t>
        </is>
      </c>
      <c r="B210" s="1175" t="inlineStr">
        <is>
          <t>北京科利源热电有限公司</t>
        </is>
      </c>
      <c r="C210" s="1175" t="inlineStr">
        <is>
          <t>G_DUMMY</t>
        </is>
      </c>
      <c r="D210" s="1175" t="inlineStr">
        <is>
          <t>否</t>
        </is>
      </c>
    </row>
    <row r="211">
      <c r="A211" s="1175" t="inlineStr">
        <is>
          <t>E100244</t>
        </is>
      </c>
      <c r="B211" s="1175" t="inlineStr">
        <is>
          <t>北京京能延庆热力有限责任公司</t>
        </is>
      </c>
      <c r="C211" s="1175" t="inlineStr">
        <is>
          <t>G_DUMMY</t>
        </is>
      </c>
      <c r="D211" s="1175" t="inlineStr">
        <is>
          <t>否</t>
        </is>
      </c>
    </row>
    <row r="212">
      <c r="A212" s="1175" t="inlineStr">
        <is>
          <t>E100245</t>
        </is>
      </c>
      <c r="B212" s="1175" t="inlineStr">
        <is>
          <t>北京市特诚热力有限责任公司</t>
        </is>
      </c>
      <c r="C212" s="1175" t="inlineStr">
        <is>
          <t>G_DUMMY</t>
        </is>
      </c>
      <c r="D212" s="1175" t="inlineStr">
        <is>
          <t>否</t>
        </is>
      </c>
    </row>
    <row r="213">
      <c r="A213" s="1175" t="inlineStr">
        <is>
          <t>E100246</t>
        </is>
      </c>
      <c r="B213" s="1175" t="inlineStr">
        <is>
          <t>京热（潜江）热力有限责任公司</t>
        </is>
      </c>
      <c r="C213" s="1175" t="inlineStr">
        <is>
          <t>G_DUMMY</t>
        </is>
      </c>
      <c r="D213" s="1175" t="inlineStr">
        <is>
          <t>否</t>
        </is>
      </c>
    </row>
    <row r="214">
      <c r="A214" s="1175" t="inlineStr">
        <is>
          <t>E100247</t>
        </is>
      </c>
      <c r="B214" s="1175" t="inlineStr">
        <is>
          <t>涿州市京热热力有限责任公司</t>
        </is>
      </c>
      <c r="C214" s="1175" t="inlineStr">
        <is>
          <t>G_DUMMY</t>
        </is>
      </c>
      <c r="D214" s="1175" t="inlineStr">
        <is>
          <t>否</t>
        </is>
      </c>
    </row>
    <row r="215">
      <c r="A215" s="1175" t="inlineStr">
        <is>
          <t>E100248</t>
        </is>
      </c>
      <c r="B215" s="1175" t="inlineStr">
        <is>
          <t>京热（阜平）热力有限责任公司</t>
        </is>
      </c>
      <c r="C215" s="1175" t="inlineStr">
        <is>
          <t>G_DUMMY</t>
        </is>
      </c>
      <c r="D215" s="1175" t="inlineStr">
        <is>
          <t>否</t>
        </is>
      </c>
    </row>
    <row r="216">
      <c r="A216" s="1175" t="inlineStr">
        <is>
          <t>E100249</t>
        </is>
      </c>
      <c r="B216" s="1175" t="inlineStr">
        <is>
          <t>京热（乌兰察布）热力有限责任公司</t>
        </is>
      </c>
      <c r="C216" s="1175" t="inlineStr">
        <is>
          <t>G_DUMMY</t>
        </is>
      </c>
      <c r="D216" s="1175" t="inlineStr">
        <is>
          <t>否</t>
        </is>
      </c>
    </row>
    <row r="217">
      <c r="A217" s="1175" t="inlineStr">
        <is>
          <t>E100250</t>
        </is>
      </c>
      <c r="B217" s="1175" t="inlineStr">
        <is>
          <t>北京市热力集团有限责任公司培训中心</t>
        </is>
      </c>
      <c r="C217" s="1175" t="inlineStr">
        <is>
          <t>G_DUMMY</t>
        </is>
      </c>
      <c r="D217" s="1175" t="inlineStr">
        <is>
          <t>否</t>
        </is>
      </c>
    </row>
    <row r="218">
      <c r="A218" s="1175" t="inlineStr">
        <is>
          <t>E100251</t>
        </is>
      </c>
      <c r="B218" s="1175" t="inlineStr">
        <is>
          <t>北京市热力职业技能培训学校</t>
        </is>
      </c>
      <c r="C218" s="1175" t="inlineStr">
        <is>
          <t>G_DUMMY</t>
        </is>
      </c>
      <c r="D218" s="1175" t="inlineStr">
        <is>
          <t>否</t>
        </is>
      </c>
    </row>
    <row r="219">
      <c r="A219" s="1175" t="inlineStr">
        <is>
          <t>E100252</t>
        </is>
      </c>
      <c r="B219" s="1175" t="inlineStr">
        <is>
          <t>三河新源供热有限公司</t>
        </is>
      </c>
      <c r="C219" s="1175" t="inlineStr">
        <is>
          <t>G_DUMMY</t>
        </is>
      </c>
      <c r="D219" s="1175" t="inlineStr">
        <is>
          <t>否</t>
        </is>
      </c>
    </row>
    <row r="220">
      <c r="A220" s="1175" t="inlineStr">
        <is>
          <t>E100253</t>
        </is>
      </c>
      <c r="B220" s="1175" t="inlineStr">
        <is>
          <t>抚松京热热力有限责任公司</t>
        </is>
      </c>
      <c r="C220" s="1175" t="inlineStr">
        <is>
          <t>G_DUMMY</t>
        </is>
      </c>
      <c r="D220" s="1175" t="inlineStr">
        <is>
          <t>否</t>
        </is>
      </c>
    </row>
    <row r="221">
      <c r="A221" s="1175" t="inlineStr">
        <is>
          <t>E100254</t>
        </is>
      </c>
      <c r="B221" s="1175" t="inlineStr">
        <is>
          <t>京能大同热力有限公司</t>
        </is>
      </c>
      <c r="C221" s="1175" t="inlineStr">
        <is>
          <t>G_DUMMY</t>
        </is>
      </c>
      <c r="D221" s="1175" t="inlineStr">
        <is>
          <t>否</t>
        </is>
      </c>
    </row>
    <row r="222">
      <c r="A222" s="1175" t="inlineStr">
        <is>
          <t>E100255</t>
        </is>
      </c>
      <c r="B222" s="1175" t="inlineStr">
        <is>
          <t>北京华热科技发展有限公司</t>
        </is>
      </c>
      <c r="C222" s="1175" t="inlineStr">
        <is>
          <t>G_DUMMY</t>
        </is>
      </c>
      <c r="D222" s="1175" t="inlineStr">
        <is>
          <t>否</t>
        </is>
      </c>
    </row>
    <row r="223">
      <c r="A223" s="1175" t="inlineStr">
        <is>
          <t>E100256</t>
        </is>
      </c>
      <c r="B223" s="1175" t="inlineStr">
        <is>
          <t>北京特泽热力工程设计有限责任公司</t>
        </is>
      </c>
      <c r="C223" s="1175" t="inlineStr">
        <is>
          <t>G_DUMMY</t>
        </is>
      </c>
      <c r="D223" s="1175" t="inlineStr">
        <is>
          <t>否</t>
        </is>
      </c>
    </row>
    <row r="224">
      <c r="A224" s="1175" t="inlineStr">
        <is>
          <t>E100257</t>
        </is>
      </c>
      <c r="B224" s="1175" t="inlineStr">
        <is>
          <t>北京金马特诚供暖有限责任公司</t>
        </is>
      </c>
      <c r="C224" s="1175" t="inlineStr">
        <is>
          <t>G_DUMMY</t>
        </is>
      </c>
      <c r="D224" s="1175" t="inlineStr">
        <is>
          <t>否</t>
        </is>
      </c>
    </row>
    <row r="225">
      <c r="A225" s="1175" t="inlineStr">
        <is>
          <t>E100258</t>
        </is>
      </c>
      <c r="B225" s="1175" t="inlineStr">
        <is>
          <t>北京京诚供热有限责任公司</t>
        </is>
      </c>
      <c r="C225" s="1175" t="inlineStr">
        <is>
          <t>G_DUMMY</t>
        </is>
      </c>
      <c r="D225" s="1175" t="inlineStr">
        <is>
          <t>否</t>
        </is>
      </c>
    </row>
    <row r="226">
      <c r="A226" s="1175" t="inlineStr">
        <is>
          <t>E100259</t>
        </is>
      </c>
      <c r="B226" s="1175" t="inlineStr">
        <is>
          <t>北京京能热力发展有限公司</t>
        </is>
      </c>
      <c r="C226" s="1175" t="inlineStr">
        <is>
          <t>G_DUMMY</t>
        </is>
      </c>
      <c r="D226" s="1175" t="inlineStr">
        <is>
          <t>否</t>
        </is>
      </c>
    </row>
    <row r="227">
      <c r="A227" s="1175" t="inlineStr">
        <is>
          <t>E100260</t>
        </is>
      </c>
      <c r="B227" s="1175" t="inlineStr">
        <is>
          <t>北京京能房山热力供应有限公司</t>
        </is>
      </c>
      <c r="C227" s="1175" t="inlineStr">
        <is>
          <t>G_DUMMY</t>
        </is>
      </c>
      <c r="D227" s="1175" t="inlineStr">
        <is>
          <t>否</t>
        </is>
      </c>
    </row>
    <row r="228">
      <c r="A228" s="1175" t="inlineStr">
        <is>
          <t>E100261</t>
        </is>
      </c>
      <c r="B228" s="1175" t="inlineStr">
        <is>
          <t>北京京能恒星能源科技有限公司</t>
        </is>
      </c>
      <c r="C228" s="1175" t="inlineStr">
        <is>
          <t>G_DUMMY</t>
        </is>
      </c>
      <c r="D228" s="1175" t="inlineStr">
        <is>
          <t>否</t>
        </is>
      </c>
    </row>
    <row r="229">
      <c r="A229" s="1175" t="inlineStr">
        <is>
          <t>E100262</t>
        </is>
      </c>
      <c r="B229" s="1175" t="inlineStr">
        <is>
          <t>廊坊市华源盛世热力有限公司</t>
        </is>
      </c>
      <c r="C229" s="1175" t="inlineStr">
        <is>
          <t>G_DUMMY</t>
        </is>
      </c>
      <c r="D229" s="1175" t="inlineStr">
        <is>
          <t>否</t>
        </is>
      </c>
    </row>
    <row r="230">
      <c r="A230" s="1175" t="inlineStr">
        <is>
          <t>E100268</t>
        </is>
      </c>
      <c r="B230" s="1175" t="inlineStr">
        <is>
          <t>北京京煤集团有限责任公司</t>
        </is>
      </c>
      <c r="C230" s="1175" t="inlineStr">
        <is>
          <t>G_DUMMY</t>
        </is>
      </c>
      <c r="D230" s="1175" t="inlineStr">
        <is>
          <t>否</t>
        </is>
      </c>
    </row>
    <row r="231">
      <c r="A231" s="1175" t="inlineStr">
        <is>
          <t>E100269</t>
        </is>
      </c>
      <c r="B231" s="1175" t="inlineStr">
        <is>
          <t>北京京煤集团有限责任公司企业管理中心</t>
        </is>
      </c>
      <c r="C231" s="1175" t="inlineStr">
        <is>
          <t>G_DUMMY</t>
        </is>
      </c>
      <c r="D231" s="1175" t="inlineStr">
        <is>
          <t>否</t>
        </is>
      </c>
    </row>
    <row r="232">
      <c r="A232" s="1175" t="inlineStr">
        <is>
          <t>E100270</t>
        </is>
      </c>
      <c r="B232" s="1175" t="inlineStr">
        <is>
          <t>北京京煤集团有限责任公司物业管理分公司</t>
        </is>
      </c>
      <c r="C232" s="1175" t="inlineStr">
        <is>
          <t>G_DUMMY</t>
        </is>
      </c>
      <c r="D232" s="1175" t="inlineStr">
        <is>
          <t>否</t>
        </is>
      </c>
    </row>
    <row r="233">
      <c r="A233" s="1175" t="inlineStr">
        <is>
          <t>E100271</t>
        </is>
      </c>
      <c r="B233" s="1175" t="inlineStr">
        <is>
          <t>北京京煤集团有限责任公司门城物业管理分公司</t>
        </is>
      </c>
      <c r="C233" s="1175" t="inlineStr">
        <is>
          <t>G_DUMMY</t>
        </is>
      </c>
      <c r="D233" s="1175" t="inlineStr">
        <is>
          <t>否</t>
        </is>
      </c>
    </row>
    <row r="234">
      <c r="A234" s="1175" t="inlineStr">
        <is>
          <t>E100272</t>
        </is>
      </c>
      <c r="B234" s="1175" t="inlineStr">
        <is>
          <t>北京京煤集团有限责任公司王平物业分公司</t>
        </is>
      </c>
      <c r="C234" s="1175" t="inlineStr">
        <is>
          <t>G_DUMMY</t>
        </is>
      </c>
      <c r="D234" s="1175" t="inlineStr">
        <is>
          <t>否</t>
        </is>
      </c>
    </row>
    <row r="235">
      <c r="A235" s="1175" t="inlineStr">
        <is>
          <t>E100273</t>
        </is>
      </c>
      <c r="B235" s="1175" t="inlineStr">
        <is>
          <t>北京京煤集团有限责任公司三竹物业管理分公司</t>
        </is>
      </c>
      <c r="C235" s="1175" t="inlineStr">
        <is>
          <t>G_DUMMY</t>
        </is>
      </c>
      <c r="D235" s="1175" t="inlineStr">
        <is>
          <t>否</t>
        </is>
      </c>
    </row>
    <row r="236">
      <c r="A236" s="1175" t="inlineStr">
        <is>
          <t>E100274</t>
        </is>
      </c>
      <c r="B236" s="1175" t="inlineStr">
        <is>
          <t>北京乘美乡居文化旅游发展有限公司</t>
        </is>
      </c>
      <c r="C236" s="1175" t="inlineStr">
        <is>
          <t>G_DUMMY</t>
        </is>
      </c>
      <c r="D236" s="1175" t="inlineStr">
        <is>
          <t>否</t>
        </is>
      </c>
    </row>
    <row r="237">
      <c r="A237" s="1175" t="inlineStr">
        <is>
          <t>E100275</t>
        </is>
      </c>
      <c r="B237" s="1175" t="inlineStr">
        <is>
          <t>北京京能房产租赁经营有限责任公司丰台分公司</t>
        </is>
      </c>
      <c r="C237" s="1175" t="inlineStr">
        <is>
          <t>G_DUMMY</t>
        </is>
      </c>
      <c r="D237" s="1175" t="inlineStr">
        <is>
          <t>否</t>
        </is>
      </c>
    </row>
    <row r="238">
      <c r="A238" s="1175" t="inlineStr">
        <is>
          <t>E100277</t>
        </is>
      </c>
      <c r="B238" s="1175" t="inlineStr">
        <is>
          <t>北京金泰利达房屋租赁有限公司</t>
        </is>
      </c>
      <c r="C238" s="1175" t="inlineStr">
        <is>
          <t>G_DUMMY</t>
        </is>
      </c>
      <c r="D238" s="1175" t="inlineStr">
        <is>
          <t>否</t>
        </is>
      </c>
    </row>
    <row r="239">
      <c r="A239" s="1175" t="inlineStr">
        <is>
          <t>E100278</t>
        </is>
      </c>
      <c r="B239" s="1175" t="inlineStr">
        <is>
          <t>北京金泰之家聚隆宾馆有限公司</t>
        </is>
      </c>
      <c r="C239" s="1175" t="inlineStr">
        <is>
          <t>G_DUMMY</t>
        </is>
      </c>
      <c r="D239" s="1175" t="inlineStr">
        <is>
          <t>否</t>
        </is>
      </c>
    </row>
    <row r="240">
      <c r="A240" s="1175" t="inlineStr">
        <is>
          <t>E100279</t>
        </is>
      </c>
      <c r="B240" s="1175" t="inlineStr">
        <is>
          <t>北京金泰翔达投资管理有限公司</t>
        </is>
      </c>
      <c r="C240" s="1175" t="inlineStr">
        <is>
          <t>G_DUMMY</t>
        </is>
      </c>
      <c r="D240" s="1175" t="inlineStr">
        <is>
          <t>否</t>
        </is>
      </c>
    </row>
    <row r="241">
      <c r="A241" s="1175" t="inlineStr">
        <is>
          <t>E100280</t>
        </is>
      </c>
      <c r="B241" s="1175" t="inlineStr">
        <is>
          <t>海南金泰旅业开发有限公司</t>
        </is>
      </c>
      <c r="C241" s="1175" t="inlineStr">
        <is>
          <t>G_DUMMY</t>
        </is>
      </c>
      <c r="D241" s="1175" t="inlineStr">
        <is>
          <t>否</t>
        </is>
      </c>
    </row>
    <row r="242">
      <c r="A242" s="1175" t="inlineStr">
        <is>
          <t>E100281</t>
        </is>
      </c>
      <c r="B242" s="1175" t="inlineStr">
        <is>
          <t>北京京煤化工有限公司</t>
        </is>
      </c>
      <c r="C242" s="1175" t="inlineStr">
        <is>
          <t>G_DUMMY</t>
        </is>
      </c>
      <c r="D242" s="1175" t="inlineStr">
        <is>
          <t>否</t>
        </is>
      </c>
    </row>
    <row r="243">
      <c r="A243" s="1175" t="inlineStr">
        <is>
          <t>E100288</t>
        </is>
      </c>
      <c r="B243" s="1175" t="inlineStr">
        <is>
          <t>北京科技高级技术学校</t>
        </is>
      </c>
      <c r="C243" s="1175" t="inlineStr">
        <is>
          <t>G_DUMMY</t>
        </is>
      </c>
      <c r="D243" s="1175" t="inlineStr">
        <is>
          <t>否</t>
        </is>
      </c>
    </row>
    <row r="244">
      <c r="A244" s="1175" t="inlineStr">
        <is>
          <t>E100289</t>
        </is>
      </c>
      <c r="B244" s="1175" t="inlineStr">
        <is>
          <t>北京京煤集团有限责任公司教育培训中心</t>
        </is>
      </c>
      <c r="C244" s="1175" t="inlineStr">
        <is>
          <t>G_DUMMY</t>
        </is>
      </c>
      <c r="D244" s="1175" t="inlineStr">
        <is>
          <t>否</t>
        </is>
      </c>
    </row>
    <row r="245">
      <c r="A245" s="1175" t="inlineStr">
        <is>
          <t>E100290</t>
        </is>
      </c>
      <c r="B245" s="1175" t="inlineStr">
        <is>
          <t>北京市第四十九职业技能鉴定所</t>
        </is>
      </c>
      <c r="C245" s="1175" t="inlineStr">
        <is>
          <t>G_DUMMY</t>
        </is>
      </c>
      <c r="D245" s="1175" t="inlineStr">
        <is>
          <t>否</t>
        </is>
      </c>
    </row>
    <row r="246">
      <c r="A246" s="1175" t="inlineStr">
        <is>
          <t>E100291</t>
        </is>
      </c>
      <c r="B246" s="1175" t="inlineStr">
        <is>
          <t>北京市门头沟区科技职业技能培训学校</t>
        </is>
      </c>
      <c r="C246" s="1175" t="inlineStr">
        <is>
          <t>G_DUMMY</t>
        </is>
      </c>
      <c r="D246" s="1175" t="inlineStr">
        <is>
          <t>否</t>
        </is>
      </c>
    </row>
    <row r="247">
      <c r="A247" s="1175" t="inlineStr">
        <is>
          <t>E100293</t>
        </is>
      </c>
      <c r="B247" s="1175" t="inlineStr">
        <is>
          <t>北京金泰恒业国际旅游有限公司</t>
        </is>
      </c>
      <c r="C247" s="1175" t="inlineStr">
        <is>
          <t>G_DUMMY</t>
        </is>
      </c>
      <c r="D247" s="1175" t="inlineStr">
        <is>
          <t>否</t>
        </is>
      </c>
    </row>
    <row r="248">
      <c r="A248" s="1175" t="inlineStr">
        <is>
          <t>E100294</t>
        </is>
      </c>
      <c r="B248" s="1175" t="inlineStr">
        <is>
          <t>北京金泰国际会展有限公司</t>
        </is>
      </c>
      <c r="C248" s="1175" t="inlineStr">
        <is>
          <t>G_DUMMY</t>
        </is>
      </c>
      <c r="D248" s="1175" t="inlineStr">
        <is>
          <t>否</t>
        </is>
      </c>
    </row>
    <row r="249">
      <c r="A249" s="1175" t="inlineStr">
        <is>
          <t>E100295</t>
        </is>
      </c>
      <c r="B249" s="1175" t="inlineStr">
        <is>
          <t>北京京能房产租赁经营有限责任公司海博分公司</t>
        </is>
      </c>
      <c r="C249" s="1175" t="inlineStr">
        <is>
          <t>G_DUMMY</t>
        </is>
      </c>
      <c r="D249" s="1175" t="inlineStr">
        <is>
          <t>否</t>
        </is>
      </c>
    </row>
    <row r="250">
      <c r="A250" s="1175" t="inlineStr">
        <is>
          <t>E100296</t>
        </is>
      </c>
      <c r="B250" s="1175" t="inlineStr">
        <is>
          <t>北京金泰之家宾馆有限公司</t>
        </is>
      </c>
      <c r="C250" s="1175" t="inlineStr">
        <is>
          <t>G_DUMMY</t>
        </is>
      </c>
      <c r="D250" s="1175" t="inlineStr">
        <is>
          <t>否</t>
        </is>
      </c>
    </row>
    <row r="251">
      <c r="A251" s="1175" t="inlineStr">
        <is>
          <t>E100297</t>
        </is>
      </c>
      <c r="B251" s="1175" t="inlineStr">
        <is>
          <t>北京金泰之家宾馆有限公司北京站店</t>
        </is>
      </c>
      <c r="C251" s="1175" t="inlineStr">
        <is>
          <t>G_DUMMY</t>
        </is>
      </c>
      <c r="D251" s="1175" t="inlineStr">
        <is>
          <t>否</t>
        </is>
      </c>
    </row>
    <row r="252">
      <c r="A252" s="1175" t="inlineStr">
        <is>
          <t>E100298</t>
        </is>
      </c>
      <c r="B252" s="1175" t="inlineStr">
        <is>
          <t>北京金泰汇民出租汽车有限公司</t>
        </is>
      </c>
      <c r="C252" s="1175" t="inlineStr">
        <is>
          <t>G_DUMMY</t>
        </is>
      </c>
      <c r="D252" s="1175" t="inlineStr">
        <is>
          <t>否</t>
        </is>
      </c>
    </row>
    <row r="253">
      <c r="A253" s="1175" t="inlineStr">
        <is>
          <t>E100299</t>
        </is>
      </c>
      <c r="B253" s="1175" t="inlineStr">
        <is>
          <t>北京金泰福龙餐饮有限公司</t>
        </is>
      </c>
      <c r="C253" s="1175" t="inlineStr">
        <is>
          <t>G_DUMMY</t>
        </is>
      </c>
      <c r="D253" s="1175" t="inlineStr">
        <is>
          <t>否</t>
        </is>
      </c>
    </row>
    <row r="254">
      <c r="A254" s="1175" t="inlineStr">
        <is>
          <t>E100300</t>
        </is>
      </c>
      <c r="B254" s="1175" t="inlineStr">
        <is>
          <t>北京京西晨光饭店有限责任公司</t>
        </is>
      </c>
      <c r="C254" s="1175" t="inlineStr">
        <is>
          <t>G_DUMMY</t>
        </is>
      </c>
      <c r="D254" s="1175" t="inlineStr">
        <is>
          <t>否</t>
        </is>
      </c>
    </row>
    <row r="255">
      <c r="A255" s="1175" t="inlineStr">
        <is>
          <t>E100301</t>
        </is>
      </c>
      <c r="B255" s="1175" t="inlineStr">
        <is>
          <t>北京金泰梅苑宾馆有限公司</t>
        </is>
      </c>
      <c r="C255" s="1175" t="inlineStr">
        <is>
          <t>G_DUMMY</t>
        </is>
      </c>
      <c r="D255" s="1175" t="inlineStr">
        <is>
          <t>否</t>
        </is>
      </c>
    </row>
    <row r="256">
      <c r="A256" s="1175" t="inlineStr">
        <is>
          <t>E100302</t>
        </is>
      </c>
      <c r="B256" s="1175" t="inlineStr">
        <is>
          <t>北京京辉高尔夫俱乐部有限公司</t>
        </is>
      </c>
      <c r="C256" s="1175" t="inlineStr">
        <is>
          <t>G_DUMMY</t>
        </is>
      </c>
      <c r="D256" s="1175" t="inlineStr">
        <is>
          <t>否</t>
        </is>
      </c>
    </row>
    <row r="257">
      <c r="A257" s="1175" t="inlineStr">
        <is>
          <t>E100304</t>
        </is>
      </c>
      <c r="B257" s="1175" t="inlineStr">
        <is>
          <t>贵州华联旅业有限责任公司</t>
        </is>
      </c>
      <c r="C257" s="1175" t="inlineStr">
        <is>
          <t>G_DUMMY</t>
        </is>
      </c>
      <c r="D257" s="1175" t="inlineStr">
        <is>
          <t>否</t>
        </is>
      </c>
    </row>
    <row r="258">
      <c r="A258" s="1175" t="inlineStr">
        <is>
          <t>E100305</t>
        </is>
      </c>
      <c r="B258" s="1175" t="inlineStr">
        <is>
          <t>北京金泰之家通华苑饭店有限公司</t>
        </is>
      </c>
      <c r="C258" s="1175" t="inlineStr">
        <is>
          <t>G_DUMMY</t>
        </is>
      </c>
      <c r="D258" s="1175" t="inlineStr">
        <is>
          <t>否</t>
        </is>
      </c>
    </row>
    <row r="259">
      <c r="A259" s="1175" t="inlineStr">
        <is>
          <t>E100306</t>
        </is>
      </c>
      <c r="B259" s="1175" t="inlineStr">
        <is>
          <t>宁夏京能创业房地产开发有限公司</t>
        </is>
      </c>
      <c r="C259" s="1175" t="inlineStr">
        <is>
          <t>G_DUMMY</t>
        </is>
      </c>
      <c r="D259" s="1175" t="inlineStr">
        <is>
          <t>否</t>
        </is>
      </c>
    </row>
    <row r="260">
      <c r="A260" s="1175" t="inlineStr">
        <is>
          <t>E100307</t>
        </is>
      </c>
      <c r="B260" s="1175" t="inlineStr">
        <is>
          <t>北京京能房产租赁经营有限责任公司汽车贸易分公司</t>
        </is>
      </c>
      <c r="C260" s="1175" t="inlineStr">
        <is>
          <t>G_DUMMY</t>
        </is>
      </c>
      <c r="D260" s="1175" t="inlineStr">
        <is>
          <t>否</t>
        </is>
      </c>
    </row>
    <row r="261">
      <c r="A261" s="1175" t="inlineStr">
        <is>
          <t>E100312</t>
        </is>
      </c>
      <c r="B261" s="1175" t="inlineStr">
        <is>
          <t>北京金泰集团有限公司咨询服务中心</t>
        </is>
      </c>
      <c r="C261" s="1175" t="inlineStr">
        <is>
          <t>G_DUMMY</t>
        </is>
      </c>
      <c r="D261" s="1175" t="inlineStr">
        <is>
          <t>否</t>
        </is>
      </c>
    </row>
    <row r="262">
      <c r="A262" s="1175" t="inlineStr">
        <is>
          <t>E100314</t>
        </is>
      </c>
      <c r="B262" s="1175" t="inlineStr">
        <is>
          <t>北京金泰恒业燃料有限公司</t>
        </is>
      </c>
      <c r="C262" s="1175" t="inlineStr">
        <is>
          <t>G_DUMMY</t>
        </is>
      </c>
      <c r="D262" s="1175" t="inlineStr">
        <is>
          <t>否</t>
        </is>
      </c>
    </row>
    <row r="263">
      <c r="A263" s="1175" t="inlineStr">
        <is>
          <t>E100317</t>
        </is>
      </c>
      <c r="B263" s="1175" t="inlineStr">
        <is>
          <t>北京京煤文旅发展有限公司</t>
        </is>
      </c>
      <c r="C263" s="1175" t="inlineStr">
        <is>
          <t>G_DUMMY</t>
        </is>
      </c>
      <c r="D263" s="1175" t="inlineStr">
        <is>
          <t>否</t>
        </is>
      </c>
    </row>
    <row r="264">
      <c r="A264" s="1175" t="inlineStr">
        <is>
          <t>E100318</t>
        </is>
      </c>
      <c r="B264" s="1175" t="inlineStr">
        <is>
          <t>北京京能房产租赁经营有限责任公司煤炭分公司</t>
        </is>
      </c>
      <c r="C264" s="1175" t="inlineStr">
        <is>
          <t>G_DUMMY</t>
        </is>
      </c>
      <c r="D264" s="1175" t="inlineStr">
        <is>
          <t>否</t>
        </is>
      </c>
    </row>
    <row r="265">
      <c r="A265" s="1175" t="inlineStr">
        <is>
          <t>E100320</t>
        </is>
      </c>
      <c r="B265" s="1175" t="inlineStr">
        <is>
          <t>北京市天创房地产开发有限公司</t>
        </is>
      </c>
      <c r="C265" s="1175" t="inlineStr">
        <is>
          <t>G_DUMMY</t>
        </is>
      </c>
      <c r="D265" s="1175" t="inlineStr">
        <is>
          <t>否</t>
        </is>
      </c>
    </row>
    <row r="266">
      <c r="A266" s="1175" t="inlineStr">
        <is>
          <t>E100321</t>
        </is>
      </c>
      <c r="B266" s="1175" t="inlineStr">
        <is>
          <t>北京京能天泰房地产开发有限公司</t>
        </is>
      </c>
      <c r="C266" s="1175" t="inlineStr">
        <is>
          <t>G_DUMMY</t>
        </is>
      </c>
      <c r="D266" s="1175" t="inlineStr">
        <is>
          <t>否</t>
        </is>
      </c>
    </row>
    <row r="267">
      <c r="A267" s="1175" t="inlineStr">
        <is>
          <t>E100324</t>
        </is>
      </c>
      <c r="B267" s="1175" t="inlineStr">
        <is>
          <t>北京京能房产租赁经营有限责任公司西城分公司</t>
        </is>
      </c>
      <c r="C267" s="1175" t="inlineStr">
        <is>
          <t>G_DUMMY</t>
        </is>
      </c>
      <c r="D267" s="1175" t="inlineStr">
        <is>
          <t>否</t>
        </is>
      </c>
    </row>
    <row r="268">
      <c r="A268" s="1175" t="inlineStr">
        <is>
          <t>E100325</t>
        </is>
      </c>
      <c r="B268" s="1175" t="inlineStr">
        <is>
          <t>北京京能房产租赁经营有限责任公司东城分公司</t>
        </is>
      </c>
      <c r="C268" s="1175" t="inlineStr">
        <is>
          <t>G_DUMMY</t>
        </is>
      </c>
      <c r="D268" s="1175" t="inlineStr">
        <is>
          <t>否</t>
        </is>
      </c>
    </row>
    <row r="269">
      <c r="A269" s="1175" t="inlineStr">
        <is>
          <t>E100326</t>
        </is>
      </c>
      <c r="B269" s="1175" t="inlineStr">
        <is>
          <t>北京金泰通华商贸有限责任公司</t>
        </is>
      </c>
      <c r="C269" s="1175" t="inlineStr">
        <is>
          <t>G_DUMMY</t>
        </is>
      </c>
      <c r="D269" s="1175" t="inlineStr">
        <is>
          <t>否</t>
        </is>
      </c>
    </row>
    <row r="270">
      <c r="A270" s="1175" t="inlineStr">
        <is>
          <t>E100327</t>
        </is>
      </c>
      <c r="B270" s="1175" t="inlineStr">
        <is>
          <t>北京金泰诚信经贸有限公司</t>
        </is>
      </c>
      <c r="C270" s="1175" t="inlineStr">
        <is>
          <t>G_DUMMY</t>
        </is>
      </c>
      <c r="D270" s="1175" t="inlineStr">
        <is>
          <t>否</t>
        </is>
      </c>
    </row>
    <row r="271">
      <c r="A271" s="1175" t="inlineStr">
        <is>
          <t>E100328</t>
        </is>
      </c>
      <c r="B271" s="1175" t="inlineStr">
        <is>
          <t>北京稻香村花市食品有限责任公司</t>
        </is>
      </c>
      <c r="C271" s="1175" t="inlineStr">
        <is>
          <t>G_DUMMY</t>
        </is>
      </c>
      <c r="D271" s="1175" t="inlineStr">
        <is>
          <t>否</t>
        </is>
      </c>
    </row>
    <row r="272">
      <c r="A272" s="1175" t="inlineStr">
        <is>
          <t>E100329</t>
        </is>
      </c>
      <c r="B272" s="1175" t="inlineStr">
        <is>
          <t>北京金泰汇通商贸有限公司</t>
        </is>
      </c>
      <c r="C272" s="1175" t="inlineStr">
        <is>
          <t>G_DUMMY</t>
        </is>
      </c>
      <c r="D272" s="1175" t="inlineStr">
        <is>
          <t>否</t>
        </is>
      </c>
    </row>
    <row r="273">
      <c r="A273" s="1175" t="inlineStr">
        <is>
          <t>E100332</t>
        </is>
      </c>
      <c r="B273" s="1175" t="inlineStr">
        <is>
          <t>北京鑫华源机械制造有限责任公司</t>
        </is>
      </c>
      <c r="C273" s="1175" t="inlineStr">
        <is>
          <t>G_DUMMY</t>
        </is>
      </c>
      <c r="D273" s="1175" t="inlineStr">
        <is>
          <t>否</t>
        </is>
      </c>
    </row>
    <row r="274">
      <c r="A274" s="1175" t="inlineStr">
        <is>
          <t>E100333</t>
        </is>
      </c>
      <c r="B274" s="1175" t="inlineStr">
        <is>
          <t>安徽马钢智能立体停车设备有限公司</t>
        </is>
      </c>
      <c r="C274" s="1175" t="inlineStr">
        <is>
          <t>G_DUMMY</t>
        </is>
      </c>
      <c r="D274" s="1175" t="inlineStr">
        <is>
          <t>否</t>
        </is>
      </c>
    </row>
    <row r="275">
      <c r="A275" s="1175" t="inlineStr">
        <is>
          <t>E100334</t>
        </is>
      </c>
      <c r="B275" s="1175" t="inlineStr">
        <is>
          <t>鑫华源曹妃甸智能停车设备制造有限责任公司</t>
        </is>
      </c>
      <c r="C275" s="1175" t="inlineStr">
        <is>
          <t>G_DUMMY</t>
        </is>
      </c>
      <c r="D275" s="1175" t="inlineStr">
        <is>
          <t>否</t>
        </is>
      </c>
    </row>
    <row r="276">
      <c r="A276" s="1175" t="inlineStr">
        <is>
          <t>E100344</t>
        </is>
      </c>
      <c r="B276" s="1175" t="inlineStr">
        <is>
          <t>北京京煤集团总医院</t>
        </is>
      </c>
      <c r="C276" s="1175" t="inlineStr">
        <is>
          <t>G_DUMMY</t>
        </is>
      </c>
      <c r="D276" s="1175" t="inlineStr">
        <is>
          <t>否</t>
        </is>
      </c>
    </row>
    <row r="277">
      <c r="A277" s="1175" t="inlineStr">
        <is>
          <t>E100345</t>
        </is>
      </c>
      <c r="B277" s="1175" t="inlineStr">
        <is>
          <t>北京京能颐寿养老服务有限公司</t>
        </is>
      </c>
      <c r="C277" s="1175" t="inlineStr">
        <is>
          <t>G_DUMMY</t>
        </is>
      </c>
      <c r="D277" s="1175" t="inlineStr">
        <is>
          <t>否</t>
        </is>
      </c>
    </row>
    <row r="278">
      <c r="A278" s="1175" t="inlineStr">
        <is>
          <t>E100346</t>
        </is>
      </c>
      <c r="B278" s="1175" t="inlineStr">
        <is>
          <t>北京金泰颐寿轩敬老院</t>
        </is>
      </c>
      <c r="C278" s="1175" t="inlineStr">
        <is>
          <t>G_DUMMY</t>
        </is>
      </c>
      <c r="D278" s="1175" t="inlineStr">
        <is>
          <t>否</t>
        </is>
      </c>
    </row>
    <row r="279">
      <c r="A279" s="1175" t="inlineStr">
        <is>
          <t>E100347</t>
        </is>
      </c>
      <c r="B279" s="1175" t="inlineStr">
        <is>
          <t>北京市丰台区金泰福寿老年公寓</t>
        </is>
      </c>
      <c r="C279" s="1175" t="inlineStr">
        <is>
          <t>G_DUMMY</t>
        </is>
      </c>
      <c r="D279" s="1175" t="inlineStr">
        <is>
          <t>否</t>
        </is>
      </c>
    </row>
    <row r="280">
      <c r="A280" s="1175" t="inlineStr">
        <is>
          <t>E100349</t>
        </is>
      </c>
      <c r="B280" s="1175" t="inlineStr">
        <is>
          <t>北京金泰恒业晟通商贸有限公司</t>
        </is>
      </c>
      <c r="C280" s="1175" t="inlineStr">
        <is>
          <t>G_DUMMY</t>
        </is>
      </c>
      <c r="D280" s="1175" t="inlineStr">
        <is>
          <t>否</t>
        </is>
      </c>
    </row>
    <row r="281">
      <c r="A281" s="1175" t="inlineStr">
        <is>
          <t>E100351</t>
        </is>
      </c>
      <c r="B281" s="1175" t="inlineStr">
        <is>
          <t>北京京能房产租赁经营有限责任公司海淀分公司</t>
        </is>
      </c>
      <c r="C281" s="1175" t="inlineStr">
        <is>
          <t>G_DUMMY</t>
        </is>
      </c>
      <c r="D281" s="1175" t="inlineStr">
        <is>
          <t>否</t>
        </is>
      </c>
    </row>
    <row r="282">
      <c r="A282" s="1175" t="inlineStr">
        <is>
          <t>E100352</t>
        </is>
      </c>
      <c r="B282" s="1175" t="inlineStr">
        <is>
          <t>北京京能房产租赁经营有限责任公司房屋租赁分公司</t>
        </is>
      </c>
      <c r="C282" s="1175" t="inlineStr">
        <is>
          <t>G_DUMMY</t>
        </is>
      </c>
      <c r="D282" s="1175" t="inlineStr">
        <is>
          <t>否</t>
        </is>
      </c>
    </row>
    <row r="283">
      <c r="A283" s="1175" t="inlineStr">
        <is>
          <t>E100353</t>
        </is>
      </c>
      <c r="B283" s="1175" t="inlineStr">
        <is>
          <t>北京京能房产租赁经营有限责任公司</t>
        </is>
      </c>
      <c r="C283" s="1175" t="inlineStr">
        <is>
          <t>G_DUMMY</t>
        </is>
      </c>
      <c r="D283" s="1175" t="inlineStr">
        <is>
          <t>否</t>
        </is>
      </c>
    </row>
    <row r="284">
      <c r="A284" s="1175" t="inlineStr">
        <is>
          <t>E100354</t>
        </is>
      </c>
      <c r="B284" s="1175" t="inlineStr">
        <is>
          <t>北京金质生活商贸有限责任公司</t>
        </is>
      </c>
      <c r="C284" s="1175" t="inlineStr">
        <is>
          <t>G_DUMMY</t>
        </is>
      </c>
      <c r="D284" s="1175" t="inlineStr">
        <is>
          <t>否</t>
        </is>
      </c>
    </row>
    <row r="285">
      <c r="A285" s="1175" t="inlineStr">
        <is>
          <t>E100355</t>
        </is>
      </c>
      <c r="B285" s="1175" t="inlineStr">
        <is>
          <t>北京天宁寺驻青园农副产品市场有限责任公司</t>
        </is>
      </c>
      <c r="C285" s="1175" t="inlineStr">
        <is>
          <t>G_DUMMY</t>
        </is>
      </c>
      <c r="D285" s="1175" t="inlineStr">
        <is>
          <t>否</t>
        </is>
      </c>
    </row>
    <row r="286">
      <c r="A286" s="1175" t="inlineStr">
        <is>
          <t>E100362</t>
        </is>
      </c>
      <c r="B286" s="1175" t="inlineStr">
        <is>
          <t>北京金泰物业管理有限公司</t>
        </is>
      </c>
      <c r="C286" s="1175" t="inlineStr">
        <is>
          <t>G_DUMMY</t>
        </is>
      </c>
      <c r="D286" s="1175" t="inlineStr">
        <is>
          <t>否</t>
        </is>
      </c>
    </row>
    <row r="287">
      <c r="A287" s="1175" t="inlineStr">
        <is>
          <t>E100364</t>
        </is>
      </c>
      <c r="B287" s="1175" t="inlineStr">
        <is>
          <t>北京金泰港物流有限公司</t>
        </is>
      </c>
      <c r="C287" s="1175" t="inlineStr">
        <is>
          <t>G_DUMMY</t>
        </is>
      </c>
      <c r="D287" s="1175" t="inlineStr">
        <is>
          <t>否</t>
        </is>
      </c>
    </row>
    <row r="288">
      <c r="A288" s="1175" t="inlineStr">
        <is>
          <t>E100365</t>
        </is>
      </c>
      <c r="B288" s="1175" t="inlineStr">
        <is>
          <t>北京京煤集团有限责任公司三河综合厂</t>
        </is>
      </c>
      <c r="C288" s="1175" t="inlineStr">
        <is>
          <t>G_DUMMY</t>
        </is>
      </c>
      <c r="D288" s="1175" t="inlineStr">
        <is>
          <t>否</t>
        </is>
      </c>
    </row>
    <row r="289">
      <c r="A289" s="1175" t="inlineStr">
        <is>
          <t>E100366</t>
        </is>
      </c>
      <c r="B289" s="1175" t="inlineStr">
        <is>
          <t>北京金泰新钢联科贸有限公司</t>
        </is>
      </c>
      <c r="C289" s="1175" t="inlineStr">
        <is>
          <t>G_DUMMY</t>
        </is>
      </c>
      <c r="D289" s="1175" t="inlineStr">
        <is>
          <t>否</t>
        </is>
      </c>
    </row>
    <row r="290">
      <c r="A290" s="1175" t="inlineStr">
        <is>
          <t>E100369</t>
        </is>
      </c>
      <c r="B290" s="1175" t="inlineStr">
        <is>
          <t>中国共产党北京能源集团有限责任公司委员会党校</t>
        </is>
      </c>
      <c r="C290" s="1175" t="inlineStr">
        <is>
          <t>G_DUMMY</t>
        </is>
      </c>
      <c r="D290" s="1175" t="inlineStr">
        <is>
          <t>否</t>
        </is>
      </c>
    </row>
    <row r="291">
      <c r="A291" s="1175" t="inlineStr">
        <is>
          <t>E100370</t>
        </is>
      </c>
      <c r="B291" s="1175" t="inlineStr">
        <is>
          <t>北京市门头沟区京煤集团教育培训中心职工培训学校</t>
        </is>
      </c>
      <c r="C291" s="1175" t="inlineStr">
        <is>
          <t>G_DUMMY</t>
        </is>
      </c>
      <c r="D291" s="1175" t="inlineStr">
        <is>
          <t>否</t>
        </is>
      </c>
    </row>
    <row r="292">
      <c r="A292" s="1175" t="inlineStr">
        <is>
          <t>E100371</t>
        </is>
      </c>
      <c r="B292" s="1175" t="inlineStr">
        <is>
          <t>北京京能科技有限公司</t>
        </is>
      </c>
      <c r="C292" s="1175" t="inlineStr">
        <is>
          <t>G_DUMMY</t>
        </is>
      </c>
      <c r="D292" s="1175" t="inlineStr">
        <is>
          <t>否</t>
        </is>
      </c>
    </row>
    <row r="293">
      <c r="A293" s="1175" t="inlineStr">
        <is>
          <t>E100374</t>
        </is>
      </c>
      <c r="B293" s="1175" t="inlineStr">
        <is>
          <t>北京源深联众环保科技有限责任公司</t>
        </is>
      </c>
      <c r="C293" s="1175" t="inlineStr">
        <is>
          <t>G_DUMMY</t>
        </is>
      </c>
      <c r="D293" s="1175" t="inlineStr">
        <is>
          <t>否</t>
        </is>
      </c>
    </row>
    <row r="294">
      <c r="A294" s="1175" t="inlineStr">
        <is>
          <t>E100375</t>
        </is>
      </c>
      <c r="B294" s="1175" t="inlineStr">
        <is>
          <t>北京京能碳资产管理有限公司</t>
        </is>
      </c>
      <c r="C294" s="1175" t="inlineStr">
        <is>
          <t>G_DUMMY</t>
        </is>
      </c>
      <c r="D294" s="1175" t="inlineStr">
        <is>
          <t>否</t>
        </is>
      </c>
    </row>
    <row r="295">
      <c r="A295" s="1175" t="inlineStr">
        <is>
          <t>E100376</t>
        </is>
      </c>
      <c r="B295" s="1175" t="inlineStr">
        <is>
          <t>宁夏红寺堡京能源深光伏发展有限公司</t>
        </is>
      </c>
      <c r="C295" s="1175" t="inlineStr">
        <is>
          <t>G_DUMMY</t>
        </is>
      </c>
      <c r="D295" s="1175" t="inlineStr">
        <is>
          <t>否</t>
        </is>
      </c>
    </row>
    <row r="296">
      <c r="A296" s="1175" t="inlineStr">
        <is>
          <t>E100377</t>
        </is>
      </c>
      <c r="B296" s="1175" t="inlineStr">
        <is>
          <t>北京节能技术监测中心</t>
        </is>
      </c>
      <c r="C296" s="1175" t="inlineStr">
        <is>
          <t>G_DUMMY</t>
        </is>
      </c>
      <c r="D296" s="1175" t="inlineStr">
        <is>
          <t>否</t>
        </is>
      </c>
    </row>
    <row r="297">
      <c r="A297" s="1175" t="inlineStr">
        <is>
          <t>E100379</t>
        </is>
      </c>
      <c r="B297" s="1175" t="inlineStr">
        <is>
          <t>源深怀来能源科技有限公司</t>
        </is>
      </c>
      <c r="C297" s="1175" t="inlineStr">
        <is>
          <t>G_DUMMY</t>
        </is>
      </c>
      <c r="D297" s="1175" t="inlineStr">
        <is>
          <t>否</t>
        </is>
      </c>
    </row>
    <row r="298">
      <c r="A298" s="1175" t="inlineStr">
        <is>
          <t>E100380</t>
        </is>
      </c>
      <c r="B298" s="1175" t="inlineStr">
        <is>
          <t>北京中冠宝新能源投资有限公司</t>
        </is>
      </c>
      <c r="C298" s="1175" t="inlineStr">
        <is>
          <t>G_DUMMY</t>
        </is>
      </c>
      <c r="D298" s="1175" t="inlineStr">
        <is>
          <t>否</t>
        </is>
      </c>
    </row>
    <row r="299">
      <c r="A299" s="1175" t="inlineStr">
        <is>
          <t>E100381</t>
        </is>
      </c>
      <c r="B299" s="1175" t="inlineStr">
        <is>
          <t>京能源深（苏州）能源科技有限公司</t>
        </is>
      </c>
      <c r="C299" s="1175" t="inlineStr">
        <is>
          <t>G_DUMMY</t>
        </is>
      </c>
      <c r="D299" s="1175" t="inlineStr">
        <is>
          <t>否</t>
        </is>
      </c>
    </row>
    <row r="300">
      <c r="A300" s="1175" t="inlineStr">
        <is>
          <t>E100382</t>
        </is>
      </c>
      <c r="B300" s="1175" t="inlineStr">
        <is>
          <t>京能源深泰州能源科技有限公司</t>
        </is>
      </c>
      <c r="C300" s="1175" t="inlineStr">
        <is>
          <t>G_DUMMY</t>
        </is>
      </c>
      <c r="D300" s="1175" t="inlineStr">
        <is>
          <t>否</t>
        </is>
      </c>
    </row>
    <row r="301">
      <c r="A301" s="1175" t="inlineStr">
        <is>
          <t>E100383</t>
        </is>
      </c>
      <c r="B301" s="1175" t="inlineStr">
        <is>
          <t>京能源深能源科技盐城有限公司</t>
        </is>
      </c>
      <c r="C301" s="1175" t="inlineStr">
        <is>
          <t>G_DUMMY</t>
        </is>
      </c>
      <c r="D301" s="1175" t="inlineStr">
        <is>
          <t>否</t>
        </is>
      </c>
    </row>
    <row r="302">
      <c r="A302" s="1175" t="inlineStr">
        <is>
          <t>E100384</t>
        </is>
      </c>
      <c r="B302" s="1175" t="inlineStr">
        <is>
          <t>湖州源深太阳能科技有限公司</t>
        </is>
      </c>
      <c r="C302" s="1175" t="inlineStr">
        <is>
          <t>G_DUMMY</t>
        </is>
      </c>
      <c r="D302" s="1175" t="inlineStr">
        <is>
          <t>否</t>
        </is>
      </c>
    </row>
    <row r="303">
      <c r="A303" s="1175" t="inlineStr">
        <is>
          <t>E100385</t>
        </is>
      </c>
      <c r="B303" s="1175" t="inlineStr">
        <is>
          <t>桐乡科茂新能源有限公司</t>
        </is>
      </c>
      <c r="C303" s="1175" t="inlineStr">
        <is>
          <t>G_DUMMY</t>
        </is>
      </c>
      <c r="D303" s="1175" t="inlineStr">
        <is>
          <t>否</t>
        </is>
      </c>
    </row>
    <row r="304">
      <c r="A304" s="1175" t="inlineStr">
        <is>
          <t>E100399</t>
        </is>
      </c>
      <c r="B304" s="1175" t="inlineStr">
        <is>
          <t>京能源深（嘉兴）能源科技有限公司</t>
        </is>
      </c>
      <c r="C304" s="1175" t="inlineStr">
        <is>
          <t>G_DUMMY</t>
        </is>
      </c>
      <c r="D304" s="1175" t="inlineStr">
        <is>
          <t>否</t>
        </is>
      </c>
    </row>
    <row r="305">
      <c r="A305" s="1175" t="inlineStr">
        <is>
          <t>E100400</t>
        </is>
      </c>
      <c r="B305" s="1175" t="inlineStr">
        <is>
          <t>湖州源兴能源有限公司</t>
        </is>
      </c>
      <c r="C305" s="1175" t="inlineStr">
        <is>
          <t>G_DUMMY</t>
        </is>
      </c>
      <c r="D305" s="1175" t="inlineStr">
        <is>
          <t>否</t>
        </is>
      </c>
    </row>
    <row r="306">
      <c r="A306" s="1175" t="inlineStr">
        <is>
          <t>E100401</t>
        </is>
      </c>
      <c r="B306" s="1175" t="inlineStr">
        <is>
          <t>湖州源浔能源科技有限公司</t>
        </is>
      </c>
      <c r="C306" s="1175" t="inlineStr">
        <is>
          <t>G_DUMMY</t>
        </is>
      </c>
      <c r="D306" s="1175" t="inlineStr">
        <is>
          <t>否</t>
        </is>
      </c>
    </row>
    <row r="307">
      <c r="A307" s="1175" t="inlineStr">
        <is>
          <t>E100404</t>
        </is>
      </c>
      <c r="B307" s="1175" t="inlineStr">
        <is>
          <t>北京源深能源科技有限责任公司</t>
        </is>
      </c>
      <c r="C307" s="1175" t="inlineStr">
        <is>
          <t>G_DUMMY</t>
        </is>
      </c>
      <c r="D307" s="1175" t="inlineStr">
        <is>
          <t>否</t>
        </is>
      </c>
    </row>
    <row r="308">
      <c r="A308" s="1175" t="inlineStr">
        <is>
          <t>E100405</t>
        </is>
      </c>
      <c r="B308" s="1175" t="inlineStr">
        <is>
          <t>北京高新技术创业投资有限公司</t>
        </is>
      </c>
      <c r="C308" s="1175" t="inlineStr">
        <is>
          <t>G_DUMMY</t>
        </is>
      </c>
      <c r="D308" s="1175" t="inlineStr">
        <is>
          <t>否</t>
        </is>
      </c>
    </row>
    <row r="309">
      <c r="A309" s="1175" t="inlineStr">
        <is>
          <t>E100406</t>
        </is>
      </c>
      <c r="B309" s="1175" t="inlineStr">
        <is>
          <t>北京博尔节能设备技术开发有限责任公司</t>
        </is>
      </c>
      <c r="C309" s="1175" t="inlineStr">
        <is>
          <t>G_DUMMY</t>
        </is>
      </c>
      <c r="D309" s="1175" t="inlineStr">
        <is>
          <t>否</t>
        </is>
      </c>
    </row>
    <row r="310">
      <c r="A310" s="1175" t="inlineStr">
        <is>
          <t>E100407</t>
        </is>
      </c>
      <c r="B310" s="1175" t="inlineStr">
        <is>
          <t>北京华源高洁能源供应技术有限责任公司</t>
        </is>
      </c>
      <c r="C310" s="1175" t="inlineStr">
        <is>
          <t>G_DUMMY</t>
        </is>
      </c>
      <c r="D310" s="1175" t="inlineStr">
        <is>
          <t>否</t>
        </is>
      </c>
    </row>
    <row r="311">
      <c r="A311" s="1175" t="inlineStr">
        <is>
          <t>E100420</t>
        </is>
      </c>
      <c r="B311" s="1175" t="inlineStr">
        <is>
          <t>京能置业股份有限公司</t>
        </is>
      </c>
      <c r="C311" s="1175" t="inlineStr">
        <is>
          <t>G_DUMMY</t>
        </is>
      </c>
      <c r="D311" s="1175" t="inlineStr">
        <is>
          <t>否</t>
        </is>
      </c>
    </row>
    <row r="312">
      <c r="A312" s="1175" t="inlineStr">
        <is>
          <t>E100421</t>
        </is>
      </c>
      <c r="B312" s="1175" t="inlineStr">
        <is>
          <t>北京金泰房地产开发有限责任公司</t>
        </is>
      </c>
      <c r="C312" s="1175" t="inlineStr">
        <is>
          <t>G_DUMMY</t>
        </is>
      </c>
      <c r="D312" s="1175" t="inlineStr">
        <is>
          <t>否</t>
        </is>
      </c>
    </row>
    <row r="313">
      <c r="A313" s="1175" t="inlineStr">
        <is>
          <t>E100422</t>
        </is>
      </c>
      <c r="B313" s="1175" t="inlineStr">
        <is>
          <t>北京京能建设集团有限公司</t>
        </is>
      </c>
      <c r="C313" s="1175" t="inlineStr">
        <is>
          <t>G_DUMMY</t>
        </is>
      </c>
      <c r="D313" s="1175" t="inlineStr">
        <is>
          <t>否</t>
        </is>
      </c>
    </row>
    <row r="314">
      <c r="A314" s="1175" t="inlineStr">
        <is>
          <t>E100423</t>
        </is>
      </c>
      <c r="B314" s="1175" t="inlineStr">
        <is>
          <t>北京京能育兴房地产开发有限公司</t>
        </is>
      </c>
      <c r="C314" s="1175" t="inlineStr">
        <is>
          <t>G_DUMMY</t>
        </is>
      </c>
      <c r="D314" s="1175" t="inlineStr">
        <is>
          <t>否</t>
        </is>
      </c>
    </row>
    <row r="315">
      <c r="A315" s="1175" t="inlineStr">
        <is>
          <t>E100424</t>
        </is>
      </c>
      <c r="B315" s="1175" t="inlineStr">
        <is>
          <t>北京天创世缘房地产开发有限公司</t>
        </is>
      </c>
      <c r="C315" s="1175" t="inlineStr">
        <is>
          <t>G_DUMMY</t>
        </is>
      </c>
      <c r="D315" s="1175" t="inlineStr">
        <is>
          <t>否</t>
        </is>
      </c>
    </row>
    <row r="316">
      <c r="A316" s="1175" t="inlineStr">
        <is>
          <t>E100425</t>
        </is>
      </c>
      <c r="B316" s="1175" t="inlineStr">
        <is>
          <t>北京国电房地产开发有限公司</t>
        </is>
      </c>
      <c r="C316" s="1175" t="inlineStr">
        <is>
          <t>G_DUMMY</t>
        </is>
      </c>
      <c r="D316" s="1175" t="inlineStr">
        <is>
          <t>否</t>
        </is>
      </c>
    </row>
    <row r="317">
      <c r="A317" s="1175" t="inlineStr">
        <is>
          <t>E100426</t>
        </is>
      </c>
      <c r="B317" s="1175" t="inlineStr">
        <is>
          <t>北京京能云泰房地产开发有限公司</t>
        </is>
      </c>
      <c r="C317" s="1175" t="inlineStr">
        <is>
          <t>G_DUMMY</t>
        </is>
      </c>
      <c r="D317" s="1175" t="inlineStr">
        <is>
          <t>否</t>
        </is>
      </c>
    </row>
    <row r="318">
      <c r="A318" s="1175" t="inlineStr">
        <is>
          <t>E100427</t>
        </is>
      </c>
      <c r="B318" s="1175" t="inlineStr">
        <is>
          <t>北京京能海赋置业有限公司</t>
        </is>
      </c>
      <c r="C318" s="1175" t="inlineStr">
        <is>
          <t>G_DUMMY</t>
        </is>
      </c>
      <c r="D318" s="1175" t="inlineStr">
        <is>
          <t>否</t>
        </is>
      </c>
    </row>
    <row r="319">
      <c r="A319" s="1175" t="inlineStr">
        <is>
          <t>E100428</t>
        </is>
      </c>
      <c r="B319" s="1175" t="inlineStr">
        <is>
          <t>北京京石融宁房地产开发有限公司</t>
        </is>
      </c>
      <c r="C319" s="1175" t="inlineStr">
        <is>
          <t>G_DUMMY</t>
        </is>
      </c>
      <c r="D319" s="1175" t="inlineStr">
        <is>
          <t>否</t>
        </is>
      </c>
    </row>
    <row r="320">
      <c r="A320" s="1175" t="inlineStr">
        <is>
          <t>E100429</t>
        </is>
      </c>
      <c r="B320" s="1175" t="inlineStr">
        <is>
          <t>京能置业（天津）有限公司</t>
        </is>
      </c>
      <c r="C320" s="1175" t="inlineStr">
        <is>
          <t>G_DUMMY</t>
        </is>
      </c>
      <c r="D320" s="1175" t="inlineStr">
        <is>
          <t>否</t>
        </is>
      </c>
    </row>
    <row r="321">
      <c r="A321" s="1175" t="inlineStr">
        <is>
          <t>E100430</t>
        </is>
      </c>
      <c r="B321" s="1175" t="inlineStr">
        <is>
          <t>天津海航东海岸发展有限公司</t>
        </is>
      </c>
      <c r="C321" s="1175" t="inlineStr">
        <is>
          <t>G_DUMMY</t>
        </is>
      </c>
      <c r="D321" s="1175" t="inlineStr">
        <is>
          <t>否</t>
        </is>
      </c>
    </row>
    <row r="322">
      <c r="A322" s="1175" t="inlineStr">
        <is>
          <t>E100431</t>
        </is>
      </c>
      <c r="B322" s="1175" t="inlineStr">
        <is>
          <t>大连京能阳光房地产开发有限公司</t>
        </is>
      </c>
      <c r="C322" s="1175" t="inlineStr">
        <is>
          <t>G_DUMMY</t>
        </is>
      </c>
      <c r="D322" s="1175" t="inlineStr">
        <is>
          <t>否</t>
        </is>
      </c>
    </row>
    <row r="323">
      <c r="A323" s="1175" t="inlineStr">
        <is>
          <t>E100432</t>
        </is>
      </c>
      <c r="B323" s="1175" t="inlineStr">
        <is>
          <t>宁夏京能房地产开发有限公司</t>
        </is>
      </c>
      <c r="C323" s="1175" t="inlineStr">
        <is>
          <t>G_DUMMY</t>
        </is>
      </c>
      <c r="D323" s="1175" t="inlineStr">
        <is>
          <t>否</t>
        </is>
      </c>
    </row>
    <row r="324">
      <c r="A324" s="1175" t="inlineStr">
        <is>
          <t>E100433</t>
        </is>
      </c>
      <c r="B324" s="1175" t="inlineStr">
        <is>
          <t>北京丽富房地产开发有限公司</t>
        </is>
      </c>
      <c r="C324" s="1175" t="inlineStr">
        <is>
          <t>G_DUMMY</t>
        </is>
      </c>
      <c r="D324" s="1175" t="inlineStr">
        <is>
          <t>否</t>
        </is>
      </c>
    </row>
    <row r="325">
      <c r="A325" s="1175" t="inlineStr">
        <is>
          <t>E100434</t>
        </is>
      </c>
      <c r="B325" s="1175" t="inlineStr">
        <is>
          <t>北京昊泰房地产开发有限公司</t>
        </is>
      </c>
      <c r="C325" s="1175" t="inlineStr">
        <is>
          <t>G_DUMMY</t>
        </is>
      </c>
      <c r="D325" s="1175" t="inlineStr">
        <is>
          <t>否</t>
        </is>
      </c>
    </row>
    <row r="326">
      <c r="A326" s="1175" t="inlineStr">
        <is>
          <t>E100435</t>
        </is>
      </c>
      <c r="B326" s="1175" t="inlineStr">
        <is>
          <t>北京市西达房地产开发有限责任公司</t>
        </is>
      </c>
      <c r="C326" s="1175" t="inlineStr">
        <is>
          <t>G_DUMMY</t>
        </is>
      </c>
      <c r="D326" s="1175" t="inlineStr">
        <is>
          <t>否</t>
        </is>
      </c>
    </row>
    <row r="327">
      <c r="A327" s="1175" t="inlineStr">
        <is>
          <t>E100436</t>
        </is>
      </c>
      <c r="B327" s="1175" t="inlineStr">
        <is>
          <t>韭园项目</t>
        </is>
      </c>
      <c r="C327" s="1175" t="inlineStr">
        <is>
          <t>G_DUMMY</t>
        </is>
      </c>
      <c r="D327" s="1175" t="inlineStr">
        <is>
          <t>否</t>
        </is>
      </c>
    </row>
    <row r="328">
      <c r="A328" s="1175" t="inlineStr">
        <is>
          <t>E100437</t>
        </is>
      </c>
      <c r="B328" s="1175" t="inlineStr">
        <is>
          <t>辽宁金泰房地产开发有限公司</t>
        </is>
      </c>
      <c r="C328" s="1175" t="inlineStr">
        <is>
          <t>G_DUMMY</t>
        </is>
      </c>
      <c r="D328" s="1175" t="inlineStr">
        <is>
          <t>否</t>
        </is>
      </c>
    </row>
    <row r="329">
      <c r="A329" s="1175" t="inlineStr">
        <is>
          <t>E100438</t>
        </is>
      </c>
      <c r="B329" s="1175" t="inlineStr">
        <is>
          <t>营口卧龙湾实业有限公司</t>
        </is>
      </c>
      <c r="C329" s="1175" t="inlineStr">
        <is>
          <t>G_DUMMY</t>
        </is>
      </c>
      <c r="D329" s="1175" t="inlineStr">
        <is>
          <t>否</t>
        </is>
      </c>
    </row>
    <row r="330">
      <c r="A330" s="1175" t="inlineStr">
        <is>
          <t>E100440</t>
        </is>
      </c>
      <c r="B330" s="1175" t="inlineStr">
        <is>
          <t>内蒙古大伟房地产开发有限公司</t>
        </is>
      </c>
      <c r="C330" s="1175" t="inlineStr">
        <is>
          <t>G_DUMMY</t>
        </is>
      </c>
      <c r="D330" s="1175" t="inlineStr">
        <is>
          <t>否</t>
        </is>
      </c>
    </row>
    <row r="331">
      <c r="A331" s="1175" t="inlineStr">
        <is>
          <t>E100442</t>
        </is>
      </c>
      <c r="B331" s="1175" t="inlineStr">
        <is>
          <t>天津津浦伟业地产有限公司</t>
        </is>
      </c>
      <c r="C331" s="1175" t="inlineStr">
        <is>
          <t>G_DUMMY</t>
        </is>
      </c>
      <c r="D331" s="1175" t="inlineStr">
        <is>
          <t>否</t>
        </is>
      </c>
    </row>
    <row r="332">
      <c r="A332" s="1175" t="inlineStr">
        <is>
          <t>E100443</t>
        </is>
      </c>
      <c r="B332" s="1175" t="inlineStr">
        <is>
          <t>金泰丽城（天津）置业投资有限公司</t>
        </is>
      </c>
      <c r="C332" s="1175" t="inlineStr">
        <is>
          <t>G_DUMMY</t>
        </is>
      </c>
      <c r="D332" s="1175" t="inlineStr">
        <is>
          <t>否</t>
        </is>
      </c>
    </row>
    <row r="333">
      <c r="A333" s="1175" t="inlineStr">
        <is>
          <t>E100446</t>
        </is>
      </c>
      <c r="B333" s="1175" t="inlineStr">
        <is>
          <t>北京金泰（辽宁）房地产开发有限责任公司</t>
        </is>
      </c>
      <c r="C333" s="1175" t="inlineStr">
        <is>
          <t>G_DUMMY</t>
        </is>
      </c>
      <c r="D333" s="1175" t="inlineStr">
        <is>
          <t>否</t>
        </is>
      </c>
    </row>
    <row r="334">
      <c r="A334" s="1175" t="inlineStr">
        <is>
          <t>E100447</t>
        </is>
      </c>
      <c r="B334" s="1175" t="inlineStr">
        <is>
          <t>保定市金泰宏孚房地产开发有限公司</t>
        </is>
      </c>
      <c r="C334" s="1175" t="inlineStr">
        <is>
          <t>G_DUMMY</t>
        </is>
      </c>
      <c r="D334" s="1175" t="inlineStr">
        <is>
          <t>否</t>
        </is>
      </c>
    </row>
    <row r="335">
      <c r="A335" s="1175" t="inlineStr">
        <is>
          <t>E100448</t>
        </is>
      </c>
      <c r="B335" s="1175" t="inlineStr">
        <is>
          <t>北京金泰卓越物业管理有限公司</t>
        </is>
      </c>
      <c r="C335" s="1175" t="inlineStr">
        <is>
          <t>G_DUMMY</t>
        </is>
      </c>
      <c r="D335" s="1175" t="inlineStr">
        <is>
          <t>否</t>
        </is>
      </c>
    </row>
    <row r="336">
      <c r="A336" s="1175" t="inlineStr">
        <is>
          <t>E100450</t>
        </is>
      </c>
      <c r="B336" s="1175" t="inlineStr">
        <is>
          <t>北京金泰中阳房地产开发有限公司</t>
        </is>
      </c>
      <c r="C336" s="1175" t="inlineStr">
        <is>
          <t>G_DUMMY</t>
        </is>
      </c>
      <c r="D336" s="1175" t="inlineStr">
        <is>
          <t>否</t>
        </is>
      </c>
    </row>
    <row r="337">
      <c r="A337" s="1175" t="inlineStr">
        <is>
          <t>E100451</t>
        </is>
      </c>
      <c r="B337" s="1175" t="inlineStr">
        <is>
          <t>北京吉平劳务分包有限公司</t>
        </is>
      </c>
      <c r="C337" s="1175" t="inlineStr">
        <is>
          <t>G_DUMMY</t>
        </is>
      </c>
      <c r="D337" s="1175" t="inlineStr">
        <is>
          <t>否</t>
        </is>
      </c>
    </row>
    <row r="338">
      <c r="A338" s="1175" t="inlineStr">
        <is>
          <t>E100453</t>
        </is>
      </c>
      <c r="B338" s="1175" t="inlineStr">
        <is>
          <t>北京京能建设机械安装有限公司</t>
        </is>
      </c>
      <c r="C338" s="1175" t="inlineStr">
        <is>
          <t>G_DUMMY</t>
        </is>
      </c>
      <c r="D338" s="1175" t="inlineStr">
        <is>
          <t>否</t>
        </is>
      </c>
    </row>
    <row r="339">
      <c r="A339" s="1175" t="inlineStr">
        <is>
          <t>E100454</t>
        </is>
      </c>
      <c r="B339" s="1175" t="inlineStr">
        <is>
          <t>北京京西建筑勘察设计院有限公司</t>
        </is>
      </c>
      <c r="C339" s="1175" t="inlineStr">
        <is>
          <t>G_DUMMY</t>
        </is>
      </c>
      <c r="D339" s="1175" t="inlineStr">
        <is>
          <t>否</t>
        </is>
      </c>
    </row>
    <row r="340">
      <c r="A340" s="1175" t="inlineStr">
        <is>
          <t>E100455</t>
        </is>
      </c>
      <c r="B340" s="1175" t="inlineStr">
        <is>
          <t>怀来矿建物业服务有限公司</t>
        </is>
      </c>
      <c r="C340" s="1175" t="inlineStr">
        <is>
          <t>G_DUMMY</t>
        </is>
      </c>
      <c r="D340" s="1175" t="inlineStr">
        <is>
          <t>否</t>
        </is>
      </c>
    </row>
    <row r="341">
      <c r="A341" s="1175" t="inlineStr">
        <is>
          <t>E100457</t>
        </is>
      </c>
      <c r="B341" s="1175" t="inlineStr">
        <is>
          <t>北京京能地质工程有限公司</t>
        </is>
      </c>
      <c r="C341" s="1175" t="inlineStr">
        <is>
          <t>G_DUMMY</t>
        </is>
      </c>
      <c r="D341" s="1175" t="inlineStr">
        <is>
          <t>否</t>
        </is>
      </c>
    </row>
    <row r="342">
      <c r="A342" s="1175" t="inlineStr">
        <is>
          <t>E100458</t>
        </is>
      </c>
      <c r="B342" s="1175" t="inlineStr">
        <is>
          <t>北京丽富房地产开发有限公司大兴分公司</t>
        </is>
      </c>
      <c r="C342" s="1175" t="inlineStr">
        <is>
          <t>G_DUMMY</t>
        </is>
      </c>
      <c r="D342" s="1175" t="inlineStr">
        <is>
          <t>否</t>
        </is>
      </c>
    </row>
    <row r="343">
      <c r="A343" s="1175" t="inlineStr">
        <is>
          <t>E100459</t>
        </is>
      </c>
      <c r="B343" s="1175" t="inlineStr">
        <is>
          <t>北京金泰卓越物业管理有限公司京西金泰丽湾分公司</t>
        </is>
      </c>
      <c r="C343" s="1175" t="inlineStr">
        <is>
          <t>G_DUMMY</t>
        </is>
      </c>
      <c r="D343" s="1175" t="inlineStr">
        <is>
          <t>否</t>
        </is>
      </c>
    </row>
    <row r="344">
      <c r="A344" s="1175" t="inlineStr">
        <is>
          <t>E100460</t>
        </is>
      </c>
      <c r="B344" s="1175" t="inlineStr">
        <is>
          <t>北京金泰卓越物业管理有限公司辽宁分公司</t>
        </is>
      </c>
      <c r="C344" s="1175" t="inlineStr">
        <is>
          <t>G_DUMMY</t>
        </is>
      </c>
      <c r="D344" s="1175" t="inlineStr">
        <is>
          <t>否</t>
        </is>
      </c>
    </row>
    <row r="345">
      <c r="A345" s="1175" t="inlineStr">
        <is>
          <t>E100461</t>
        </is>
      </c>
      <c r="B345" s="1175" t="inlineStr">
        <is>
          <t>北京金泰卓越物业管理有限公司内蒙古分公司</t>
        </is>
      </c>
      <c r="C345" s="1175" t="inlineStr">
        <is>
          <t>G_DUMMY</t>
        </is>
      </c>
      <c r="D345" s="1175" t="inlineStr">
        <is>
          <t>否</t>
        </is>
      </c>
    </row>
    <row r="346">
      <c r="A346" s="1175" t="inlineStr">
        <is>
          <t>E100462</t>
        </is>
      </c>
      <c r="B346" s="1175" t="inlineStr">
        <is>
          <t>北京金泰卓越物业管理有限公司天津分公司</t>
        </is>
      </c>
      <c r="C346" s="1175" t="inlineStr">
        <is>
          <t>G_DUMMY</t>
        </is>
      </c>
      <c r="D346" s="1175" t="inlineStr">
        <is>
          <t>否</t>
        </is>
      </c>
    </row>
    <row r="347">
      <c r="A347" s="1175" t="inlineStr">
        <is>
          <t>E100463</t>
        </is>
      </c>
      <c r="B347" s="1175" t="inlineStr">
        <is>
          <t>北京金泰卓越物业管理有限公司河北分公司</t>
        </is>
      </c>
      <c r="C347" s="1175" t="inlineStr">
        <is>
          <t>G_DUMMY</t>
        </is>
      </c>
      <c r="D347" s="1175" t="inlineStr">
        <is>
          <t>否</t>
        </is>
      </c>
    </row>
    <row r="348">
      <c r="A348" s="1175" t="inlineStr">
        <is>
          <t>E100473</t>
        </is>
      </c>
      <c r="B348" s="1175" t="inlineStr">
        <is>
          <t>北京金泰房地产开发有限责任公司资产管理分公司</t>
        </is>
      </c>
      <c r="C348" s="1175" t="inlineStr">
        <is>
          <t>G_DUMMY</t>
        </is>
      </c>
      <c r="D348" s="1175" t="inlineStr">
        <is>
          <t>否</t>
        </is>
      </c>
    </row>
    <row r="349">
      <c r="A349" s="1175" t="inlineStr">
        <is>
          <t>E100474</t>
        </is>
      </c>
      <c r="B349" s="1175" t="inlineStr">
        <is>
          <t>金泰丽城（天津）置业投资有限公司假日酒店分公司</t>
        </is>
      </c>
      <c r="C349" s="1175" t="inlineStr">
        <is>
          <t>G_DUMMY</t>
        </is>
      </c>
      <c r="D349" s="1175" t="inlineStr">
        <is>
          <t>否</t>
        </is>
      </c>
    </row>
    <row r="350">
      <c r="A350" s="1175" t="inlineStr">
        <is>
          <t>E100475</t>
        </is>
      </c>
      <c r="B350" s="1175" t="inlineStr">
        <is>
          <t>金泰丽城（天津）置业投资有限公司丽舍温泉分公司</t>
        </is>
      </c>
      <c r="C350" s="1175" t="inlineStr">
        <is>
          <t>G_DUMMY</t>
        </is>
      </c>
      <c r="D350" s="1175" t="inlineStr">
        <is>
          <t>否</t>
        </is>
      </c>
    </row>
    <row r="351">
      <c r="A351" s="1175" t="inlineStr">
        <is>
          <t>E100476</t>
        </is>
      </c>
      <c r="B351" s="1175" t="inlineStr">
        <is>
          <t>金泰丽城（天津）置业投资有限公司第三分公司</t>
        </is>
      </c>
      <c r="C351" s="1175" t="inlineStr">
        <is>
          <t>G_DUMMY</t>
        </is>
      </c>
      <c r="D351" s="1175" t="inlineStr">
        <is>
          <t>否</t>
        </is>
      </c>
    </row>
    <row r="352">
      <c r="A352" s="1175" t="inlineStr">
        <is>
          <t>E100483</t>
        </is>
      </c>
      <c r="B352" s="1175" t="inlineStr">
        <is>
          <t>投资北京国际有限公司</t>
        </is>
      </c>
      <c r="C352" s="1175" t="inlineStr">
        <is>
          <t>G_DUMMY</t>
        </is>
      </c>
      <c r="D352" s="1175" t="inlineStr">
        <is>
          <t>否</t>
        </is>
      </c>
    </row>
    <row r="353">
      <c r="A353" s="1175" t="inlineStr">
        <is>
          <t>E100484</t>
        </is>
      </c>
      <c r="B353" s="1175" t="inlineStr">
        <is>
          <t>北京京能同鑫投资管理有限公司</t>
        </is>
      </c>
      <c r="C353" s="1175" t="inlineStr">
        <is>
          <t>G_DUMMY</t>
        </is>
      </c>
      <c r="D353" s="1175" t="inlineStr">
        <is>
          <t>否</t>
        </is>
      </c>
    </row>
    <row r="354">
      <c r="A354" s="1175" t="inlineStr">
        <is>
          <t>E100485</t>
        </is>
      </c>
      <c r="B354" s="1175" t="inlineStr">
        <is>
          <t>三河新源供热有限公司大厂分公司</t>
        </is>
      </c>
      <c r="C354" s="1175" t="inlineStr">
        <is>
          <t>G_DUMMY</t>
        </is>
      </c>
      <c r="D354" s="1175" t="inlineStr">
        <is>
          <t>否</t>
        </is>
      </c>
    </row>
    <row r="355">
      <c r="A355" s="1175" t="inlineStr">
        <is>
          <t>E100486</t>
        </is>
      </c>
      <c r="B355" s="1175" t="inlineStr">
        <is>
          <t>北京热力装备制造有限公司天津分公司</t>
        </is>
      </c>
      <c r="C355" s="1175" t="inlineStr">
        <is>
          <t>G_DUMMY</t>
        </is>
      </c>
      <c r="D355" s="1175" t="inlineStr">
        <is>
          <t>否</t>
        </is>
      </c>
    </row>
    <row r="356">
      <c r="A356" s="1175" t="inlineStr">
        <is>
          <t>E100487</t>
        </is>
      </c>
      <c r="B356" s="1175" t="inlineStr">
        <is>
          <t>北京热力装备制造有限公司研发中心</t>
        </is>
      </c>
      <c r="C356" s="1175" t="inlineStr">
        <is>
          <t>G_DUMMY</t>
        </is>
      </c>
      <c r="D356" s="1175" t="inlineStr">
        <is>
          <t>否</t>
        </is>
      </c>
    </row>
    <row r="357">
      <c r="A357" s="1175" t="inlineStr">
        <is>
          <t>E100488</t>
        </is>
      </c>
      <c r="B357" s="1175" t="inlineStr">
        <is>
          <t>北京市热力工程设计有限责任公司大同分公司</t>
        </is>
      </c>
      <c r="C357" s="1175" t="inlineStr">
        <is>
          <t>G_DUMMY</t>
        </is>
      </c>
      <c r="D357" s="1175" t="inlineStr">
        <is>
          <t>否</t>
        </is>
      </c>
    </row>
    <row r="358">
      <c r="A358" s="1175" t="inlineStr">
        <is>
          <t>E100490</t>
        </is>
      </c>
      <c r="B358" s="1175" t="inlineStr">
        <is>
          <t>北京望京蓝天供热有限公司</t>
        </is>
      </c>
      <c r="C358" s="1175" t="inlineStr">
        <is>
          <t>G_DUMMY</t>
        </is>
      </c>
      <c r="D358" s="1175" t="inlineStr">
        <is>
          <t>否</t>
        </is>
      </c>
    </row>
    <row r="359">
      <c r="A359" s="1175" t="inlineStr">
        <is>
          <t>E100491</t>
        </is>
      </c>
      <c r="B359" s="1175" t="inlineStr">
        <is>
          <t>大同市云西热力有限责任公司</t>
        </is>
      </c>
      <c r="C359" s="1175" t="inlineStr">
        <is>
          <t>G_DUMMY</t>
        </is>
      </c>
      <c r="D359" s="1175" t="inlineStr">
        <is>
          <t>否</t>
        </is>
      </c>
    </row>
    <row r="360">
      <c r="A360" s="1175" t="inlineStr">
        <is>
          <t>E100492</t>
        </is>
      </c>
      <c r="B360" s="1175" t="inlineStr">
        <is>
          <t>北京京能房产租赁经营有限责任公司人力资源管理服务中心</t>
        </is>
      </c>
      <c r="C360" s="1175" t="inlineStr">
        <is>
          <t>G_DUMMY</t>
        </is>
      </c>
      <c r="D360" s="1175" t="inlineStr">
        <is>
          <t>否</t>
        </is>
      </c>
    </row>
    <row r="361">
      <c r="A361" s="1175" t="inlineStr">
        <is>
          <t>E100494</t>
        </is>
      </c>
      <c r="B361" s="1175" t="inlineStr">
        <is>
          <t>海南金泰旅业开发有限公司万宁第一分公司</t>
        </is>
      </c>
      <c r="C361" s="1175" t="inlineStr">
        <is>
          <t>G_DUMMY</t>
        </is>
      </c>
      <c r="D361" s="1175" t="inlineStr">
        <is>
          <t>否</t>
        </is>
      </c>
    </row>
    <row r="362">
      <c r="A362" s="1175" t="inlineStr">
        <is>
          <t>E100495</t>
        </is>
      </c>
      <c r="B362" s="1175" t="inlineStr">
        <is>
          <t>海南金泰旅业开发有限公司万宁第二分公司</t>
        </is>
      </c>
      <c r="C362" s="1175" t="inlineStr">
        <is>
          <t>G_DUMMY</t>
        </is>
      </c>
      <c r="D362" s="1175" t="inlineStr">
        <is>
          <t>否</t>
        </is>
      </c>
    </row>
    <row r="363">
      <c r="A363" s="1175" t="inlineStr">
        <is>
          <t>E100496</t>
        </is>
      </c>
      <c r="B363" s="1175" t="inlineStr">
        <is>
          <t>北京京煤集团有限责任公司北戴河宾馆</t>
        </is>
      </c>
      <c r="C363" s="1175" t="inlineStr">
        <is>
          <t>G_DUMMY</t>
        </is>
      </c>
      <c r="D363" s="1175" t="inlineStr">
        <is>
          <t>否</t>
        </is>
      </c>
    </row>
    <row r="364">
      <c r="A364" s="1175" t="inlineStr">
        <is>
          <t>E100497</t>
        </is>
      </c>
      <c r="B364" s="1175" t="inlineStr">
        <is>
          <t>北京金泰恒业国际旅游有限公司金泰绿洲大酒店</t>
        </is>
      </c>
      <c r="C364" s="1175" t="inlineStr">
        <is>
          <t>G_DUMMY</t>
        </is>
      </c>
      <c r="D364" s="1175" t="inlineStr">
        <is>
          <t>否</t>
        </is>
      </c>
    </row>
    <row r="365">
      <c r="A365" s="1175" t="inlineStr">
        <is>
          <t>E100498</t>
        </is>
      </c>
      <c r="B365" s="1175" t="inlineStr">
        <is>
          <t>北京金泰恒业国际旅游有限公司金泰海博大酒店</t>
        </is>
      </c>
      <c r="C365" s="1175" t="inlineStr">
        <is>
          <t>G_DUMMY</t>
        </is>
      </c>
      <c r="D365" s="1175" t="inlineStr">
        <is>
          <t>否</t>
        </is>
      </c>
    </row>
    <row r="366">
      <c r="A366" s="1175" t="inlineStr">
        <is>
          <t>E100499</t>
        </is>
      </c>
      <c r="B366" s="1175" t="inlineStr">
        <is>
          <t>北京金泰恒业国际旅游有限公司北京金泰丽湾公寓管理分公司</t>
        </is>
      </c>
      <c r="C366" s="1175" t="inlineStr">
        <is>
          <t>G_DUMMY</t>
        </is>
      </c>
      <c r="D366" s="1175" t="inlineStr">
        <is>
          <t>否</t>
        </is>
      </c>
    </row>
    <row r="367">
      <c r="A367" s="1175" t="inlineStr">
        <is>
          <t>E100500</t>
        </is>
      </c>
      <c r="B367" s="1175" t="inlineStr">
        <is>
          <t>北京金泰恒业国际旅游有限公司三亚山屿湖度假屋</t>
        </is>
      </c>
      <c r="C367" s="1175" t="inlineStr">
        <is>
          <t>G_DUMMY</t>
        </is>
      </c>
      <c r="D367" s="1175" t="inlineStr">
        <is>
          <t>否</t>
        </is>
      </c>
    </row>
    <row r="368">
      <c r="A368" s="1175" t="inlineStr">
        <is>
          <t>E100501</t>
        </is>
      </c>
      <c r="B368" s="1175" t="inlineStr">
        <is>
          <t>北京金泰恒业国际旅游有限公司海南分公司</t>
        </is>
      </c>
      <c r="C368" s="1175" t="inlineStr">
        <is>
          <t>G_DUMMY</t>
        </is>
      </c>
      <c r="D368" s="1175" t="inlineStr">
        <is>
          <t>否</t>
        </is>
      </c>
    </row>
    <row r="369">
      <c r="A369" s="1175" t="inlineStr">
        <is>
          <t>E100502</t>
        </is>
      </c>
      <c r="B369" s="1175" t="inlineStr">
        <is>
          <t>北京金泰国际会展有限公司三亚分公司</t>
        </is>
      </c>
      <c r="C369" s="1175" t="inlineStr">
        <is>
          <t>G_DUMMY</t>
        </is>
      </c>
      <c r="D369" s="1175" t="inlineStr">
        <is>
          <t>否</t>
        </is>
      </c>
    </row>
    <row r="370">
      <c r="A370" s="1175" t="inlineStr">
        <is>
          <t>E100503</t>
        </is>
      </c>
      <c r="B370" s="1175" t="inlineStr">
        <is>
          <t>北京金泰国际会展有限公司万宁分公司</t>
        </is>
      </c>
      <c r="C370" s="1175" t="inlineStr">
        <is>
          <t>G_DUMMY</t>
        </is>
      </c>
      <c r="D370" s="1175" t="inlineStr">
        <is>
          <t>否</t>
        </is>
      </c>
    </row>
    <row r="371">
      <c r="A371" s="1175" t="inlineStr">
        <is>
          <t>E100504</t>
        </is>
      </c>
      <c r="B371" s="1175" t="inlineStr">
        <is>
          <t>北京天睿庄园商务中心有限公司</t>
        </is>
      </c>
      <c r="C371" s="1175" t="inlineStr">
        <is>
          <t>G_DUMMY</t>
        </is>
      </c>
      <c r="D371" s="1175" t="inlineStr">
        <is>
          <t>否</t>
        </is>
      </c>
    </row>
    <row r="372">
      <c r="A372" s="1175" t="inlineStr">
        <is>
          <t>E100505</t>
        </is>
      </c>
      <c r="B372" s="1175" t="inlineStr">
        <is>
          <t>宁夏京能创业房地产开发有限公司银川国贸中心假日酒店</t>
        </is>
      </c>
      <c r="C372" s="1175" t="inlineStr">
        <is>
          <t>G_DUMMY</t>
        </is>
      </c>
      <c r="D372" s="1175" t="inlineStr">
        <is>
          <t>否</t>
        </is>
      </c>
    </row>
    <row r="373">
      <c r="A373" s="1175" t="inlineStr">
        <is>
          <t>E100506</t>
        </is>
      </c>
      <c r="B373" s="1175" t="inlineStr">
        <is>
          <t>北京金泰恒业燃料有限公司坨里建材分公司</t>
        </is>
      </c>
      <c r="C373" s="1175" t="inlineStr">
        <is>
          <t>G_DUMMY</t>
        </is>
      </c>
      <c r="D373" s="1175" t="inlineStr">
        <is>
          <t>否</t>
        </is>
      </c>
    </row>
    <row r="374">
      <c r="A374" s="1175" t="inlineStr">
        <is>
          <t>E100507</t>
        </is>
      </c>
      <c r="B374" s="1175" t="inlineStr">
        <is>
          <t>北京金泰恒业燃料有限公司五寨分公司</t>
        </is>
      </c>
      <c r="C374" s="1175" t="inlineStr">
        <is>
          <t>G_DUMMY</t>
        </is>
      </c>
      <c r="D374" s="1175" t="inlineStr">
        <is>
          <t>否</t>
        </is>
      </c>
    </row>
    <row r="375">
      <c r="A375" s="1175" t="inlineStr">
        <is>
          <t>E100509</t>
        </is>
      </c>
      <c r="B375" s="1175" t="inlineStr">
        <is>
          <t>北京金泰通华商贸有限责任公司盛达园饭店</t>
        </is>
      </c>
      <c r="C375" s="1175" t="inlineStr">
        <is>
          <t>G_DUMMY</t>
        </is>
      </c>
      <c r="D375" s="1175" t="inlineStr">
        <is>
          <t>否</t>
        </is>
      </c>
    </row>
    <row r="376">
      <c r="A376" s="1175" t="inlineStr">
        <is>
          <t>E100510</t>
        </is>
      </c>
      <c r="B376" s="1175" t="inlineStr">
        <is>
          <t>北京金泰通华商贸有限责任公司开阳物业管理分公司</t>
        </is>
      </c>
      <c r="C376" s="1175" t="inlineStr">
        <is>
          <t>G_DUMMY</t>
        </is>
      </c>
      <c r="D376" s="1175" t="inlineStr">
        <is>
          <t>否</t>
        </is>
      </c>
    </row>
    <row r="377">
      <c r="A377" s="1175" t="inlineStr">
        <is>
          <t>E100511</t>
        </is>
      </c>
      <c r="B377" s="1175" t="inlineStr">
        <is>
          <t>北京金泰通华商贸有限责任公司华云物业管理分公司</t>
        </is>
      </c>
      <c r="C377" s="1175" t="inlineStr">
        <is>
          <t>G_DUMMY</t>
        </is>
      </c>
      <c r="D377" s="1175" t="inlineStr">
        <is>
          <t>否</t>
        </is>
      </c>
    </row>
    <row r="378">
      <c r="A378" s="1175" t="inlineStr">
        <is>
          <t>E100512</t>
        </is>
      </c>
      <c r="B378" s="1175" t="inlineStr">
        <is>
          <t>北京金泰通华商贸有限责任公司厨房设备分公司</t>
        </is>
      </c>
      <c r="C378" s="1175" t="inlineStr">
        <is>
          <t>G_DUMMY</t>
        </is>
      </c>
      <c r="D378" s="1175" t="inlineStr">
        <is>
          <t>否</t>
        </is>
      </c>
    </row>
    <row r="379">
      <c r="A379" s="1175" t="inlineStr">
        <is>
          <t>E100513</t>
        </is>
      </c>
      <c r="B379" s="1175" t="inlineStr">
        <is>
          <t>北京金泰通华商贸有限责任公司永安达物业管理分公司</t>
        </is>
      </c>
      <c r="C379" s="1175" t="inlineStr">
        <is>
          <t>G_DUMMY</t>
        </is>
      </c>
      <c r="D379" s="1175" t="inlineStr">
        <is>
          <t>否</t>
        </is>
      </c>
    </row>
    <row r="380">
      <c r="A380" s="1175" t="inlineStr">
        <is>
          <t>E100515</t>
        </is>
      </c>
      <c r="B380" s="1175" t="inlineStr">
        <is>
          <t>北京京煤集团总医院门矿医院</t>
        </is>
      </c>
      <c r="C380" s="1175" t="inlineStr">
        <is>
          <t>G_DUMMY</t>
        </is>
      </c>
      <c r="D380" s="1175" t="inlineStr">
        <is>
          <t>否</t>
        </is>
      </c>
    </row>
    <row r="381">
      <c r="A381" s="1175" t="inlineStr">
        <is>
          <t>E100516</t>
        </is>
      </c>
      <c r="B381" s="1175" t="inlineStr">
        <is>
          <t>北京京煤集团总医院大台医院</t>
        </is>
      </c>
      <c r="C381" s="1175" t="inlineStr">
        <is>
          <t>G_DUMMY</t>
        </is>
      </c>
      <c r="D381" s="1175" t="inlineStr">
        <is>
          <t>否</t>
        </is>
      </c>
    </row>
    <row r="382">
      <c r="A382" s="1175" t="inlineStr">
        <is>
          <t>E100517</t>
        </is>
      </c>
      <c r="B382" s="1175" t="inlineStr">
        <is>
          <t>北京京煤集团总医院木城涧医院</t>
        </is>
      </c>
      <c r="C382" s="1175" t="inlineStr">
        <is>
          <t>G_DUMMY</t>
        </is>
      </c>
      <c r="D382" s="1175" t="inlineStr">
        <is>
          <t>否</t>
        </is>
      </c>
    </row>
    <row r="383">
      <c r="A383" s="1175" t="inlineStr">
        <is>
          <t>E100518</t>
        </is>
      </c>
      <c r="B383" s="1175" t="inlineStr">
        <is>
          <t>北京京煤集团总医院王平医院</t>
        </is>
      </c>
      <c r="C383" s="1175" t="inlineStr">
        <is>
          <t>G_DUMMY</t>
        </is>
      </c>
      <c r="D383" s="1175" t="inlineStr">
        <is>
          <t>否</t>
        </is>
      </c>
    </row>
    <row r="384">
      <c r="A384" s="1175" t="inlineStr">
        <is>
          <t>E100519</t>
        </is>
      </c>
      <c r="B384" s="1175" t="inlineStr">
        <is>
          <t>北京京煤集团总医院万佛堂医院</t>
        </is>
      </c>
      <c r="C384" s="1175" t="inlineStr">
        <is>
          <t>G_DUMMY</t>
        </is>
      </c>
      <c r="D384" s="1175" t="inlineStr">
        <is>
          <t>否</t>
        </is>
      </c>
    </row>
    <row r="385">
      <c r="A385" s="1175" t="inlineStr">
        <is>
          <t>E100520</t>
        </is>
      </c>
      <c r="B385" s="1175" t="inlineStr">
        <is>
          <t>北京京煤集团总医院长沟峪医院</t>
        </is>
      </c>
      <c r="C385" s="1175" t="inlineStr">
        <is>
          <t>G_DUMMY</t>
        </is>
      </c>
      <c r="D385" s="1175" t="inlineStr">
        <is>
          <t>否</t>
        </is>
      </c>
    </row>
    <row r="386">
      <c r="A386" s="1175" t="inlineStr">
        <is>
          <t>E100521</t>
        </is>
      </c>
      <c r="B386" s="1175" t="inlineStr">
        <is>
          <t>北京京煤集团总医院大安山医院</t>
        </is>
      </c>
      <c r="C386" s="1175" t="inlineStr">
        <is>
          <t>G_DUMMY</t>
        </is>
      </c>
      <c r="D386" s="1175" t="inlineStr">
        <is>
          <t>否</t>
        </is>
      </c>
    </row>
    <row r="387">
      <c r="A387" s="1175" t="inlineStr">
        <is>
          <t>E100526</t>
        </is>
      </c>
      <c r="B387" s="1175" t="inlineStr">
        <is>
          <t>电商事业部</t>
        </is>
      </c>
      <c r="C387" s="1175" t="inlineStr">
        <is>
          <t>G_DUMMY</t>
        </is>
      </c>
      <c r="D387" s="1175" t="inlineStr">
        <is>
          <t>否</t>
        </is>
      </c>
    </row>
    <row r="388">
      <c r="A388" s="1175" t="inlineStr">
        <is>
          <t>E100527</t>
        </is>
      </c>
      <c r="B388" s="1175" t="inlineStr">
        <is>
          <t>房山坨里项目部</t>
        </is>
      </c>
      <c r="C388" s="1175" t="inlineStr">
        <is>
          <t>G_DUMMY</t>
        </is>
      </c>
      <c r="D388" s="1175" t="inlineStr">
        <is>
          <t>否</t>
        </is>
      </c>
    </row>
    <row r="389">
      <c r="A389" s="1175" t="inlineStr">
        <is>
          <t>E100528</t>
        </is>
      </c>
      <c r="B389" s="1175" t="inlineStr">
        <is>
          <t>大连永磁项目部</t>
        </is>
      </c>
      <c r="C389" s="1175" t="inlineStr">
        <is>
          <t>G_DUMMY</t>
        </is>
      </c>
      <c r="D389" s="1175" t="inlineStr">
        <is>
          <t>否</t>
        </is>
      </c>
    </row>
    <row r="390">
      <c r="A390" s="1175" t="inlineStr">
        <is>
          <t>E100529</t>
        </is>
      </c>
      <c r="B390" s="1175" t="inlineStr">
        <is>
          <t>北京金泰物业管理有限公司天津分公司</t>
        </is>
      </c>
      <c r="C390" s="1175" t="inlineStr">
        <is>
          <t>G_DUMMY</t>
        </is>
      </c>
      <c r="D390" s="1175" t="inlineStr">
        <is>
          <t>否</t>
        </is>
      </c>
    </row>
    <row r="391">
      <c r="A391" s="1175" t="inlineStr">
        <is>
          <t>E100531</t>
        </is>
      </c>
      <c r="B391" s="1175" t="inlineStr">
        <is>
          <t>京煤棚改项目</t>
        </is>
      </c>
      <c r="C391" s="1175" t="inlineStr">
        <is>
          <t>G_DUMMY</t>
        </is>
      </c>
      <c r="D391" s="1175" t="inlineStr">
        <is>
          <t>否</t>
        </is>
      </c>
    </row>
    <row r="392">
      <c r="A392" s="1175" t="inlineStr">
        <is>
          <t>E100532</t>
        </is>
      </c>
      <c r="B392" s="1175" t="inlineStr">
        <is>
          <t>金泰房山项目</t>
        </is>
      </c>
      <c r="C392" s="1175" t="inlineStr">
        <is>
          <t>G_DUMMY</t>
        </is>
      </c>
      <c r="D392" s="1175" t="inlineStr">
        <is>
          <t>否</t>
        </is>
      </c>
    </row>
    <row r="393">
      <c r="A393" s="1175" t="inlineStr">
        <is>
          <t>E100533</t>
        </is>
      </c>
      <c r="B393" s="1175" t="inlineStr">
        <is>
          <t>大台项目</t>
        </is>
      </c>
      <c r="C393" s="1175" t="inlineStr">
        <is>
          <t>G_DUMMY</t>
        </is>
      </c>
      <c r="D393" s="1175" t="inlineStr">
        <is>
          <t>否</t>
        </is>
      </c>
    </row>
    <row r="394">
      <c r="A394" s="1175" t="inlineStr">
        <is>
          <t>E100534</t>
        </is>
      </c>
      <c r="B394" s="1175" t="inlineStr">
        <is>
          <t>金泰鑫华源项目</t>
        </is>
      </c>
      <c r="C394" s="1175" t="inlineStr">
        <is>
          <t>G_DUMMY</t>
        </is>
      </c>
      <c r="D394" s="1175" t="inlineStr">
        <is>
          <t>否</t>
        </is>
      </c>
    </row>
    <row r="395">
      <c r="A395" s="1175" t="inlineStr">
        <is>
          <t>E100535</t>
        </is>
      </c>
      <c r="B395" s="1175" t="inlineStr">
        <is>
          <t>北京京能京西房地产开发有限公司</t>
        </is>
      </c>
      <c r="C395" s="1175" t="inlineStr">
        <is>
          <t>G_DUMMY</t>
        </is>
      </c>
      <c r="D395" s="1175" t="inlineStr">
        <is>
          <t>否</t>
        </is>
      </c>
    </row>
    <row r="396">
      <c r="A396" s="1175" t="inlineStr">
        <is>
          <t>E100537</t>
        </is>
      </c>
      <c r="B396" s="1175" t="inlineStr">
        <is>
          <t>怀来昊璟矿建房地产开发有限公司</t>
        </is>
      </c>
      <c r="C396" s="1175" t="inlineStr">
        <is>
          <t>G_DUMMY</t>
        </is>
      </c>
      <c r="D396" s="1175" t="inlineStr">
        <is>
          <t>否</t>
        </is>
      </c>
    </row>
    <row r="397">
      <c r="A397" s="1175" t="inlineStr">
        <is>
          <t>E100538</t>
        </is>
      </c>
      <c r="B397" s="1175" t="inlineStr">
        <is>
          <t>北京京煤集团地质勘探队</t>
        </is>
      </c>
      <c r="C397" s="1175" t="inlineStr">
        <is>
          <t>G_DUMMY</t>
        </is>
      </c>
      <c r="D397" s="1175" t="inlineStr">
        <is>
          <t>否</t>
        </is>
      </c>
    </row>
    <row r="398">
      <c r="A398" s="1175" t="inlineStr">
        <is>
          <t>E100540</t>
        </is>
      </c>
      <c r="B398" s="1175" t="inlineStr">
        <is>
          <t>金泰丽城（天津）置业投资有限公司假日酒店分公司运营</t>
        </is>
      </c>
      <c r="C398" s="1175" t="inlineStr">
        <is>
          <t>G_DUMMY</t>
        </is>
      </c>
      <c r="D398" s="1175" t="inlineStr">
        <is>
          <t>否</t>
        </is>
      </c>
    </row>
    <row r="399">
      <c r="A399" s="1175" t="inlineStr">
        <is>
          <t>E100541</t>
        </is>
      </c>
      <c r="B399" s="1175" t="inlineStr">
        <is>
          <t>北京京煤集团有限责任公司绿海物业管理分公司</t>
        </is>
      </c>
      <c r="C399" s="1175" t="inlineStr">
        <is>
          <t>G_DUMMY</t>
        </is>
      </c>
      <c r="D399" s="1175" t="inlineStr">
        <is>
          <t>否</t>
        </is>
      </c>
    </row>
    <row r="400">
      <c r="A400" s="1175" t="inlineStr">
        <is>
          <t>E100543</t>
        </is>
      </c>
      <c r="B400" s="1175" t="inlineStr">
        <is>
          <t>北京京能清洁能源电力股份（香港）有限公司</t>
        </is>
      </c>
      <c r="C400" s="1175" t="inlineStr">
        <is>
          <t>G_DUMMY</t>
        </is>
      </c>
      <c r="D400" s="1175" t="inlineStr">
        <is>
          <t>否</t>
        </is>
      </c>
    </row>
    <row r="401">
      <c r="A401" s="1175" t="inlineStr">
        <is>
          <t>E100544</t>
        </is>
      </c>
      <c r="B401" s="1175" t="inlineStr">
        <is>
          <t>北京京能新能源有限公司内蒙古分公司</t>
        </is>
      </c>
      <c r="C401" s="1175" t="inlineStr">
        <is>
          <t>G_DUMMY</t>
        </is>
      </c>
      <c r="D401" s="1175" t="inlineStr">
        <is>
          <t>否</t>
        </is>
      </c>
    </row>
    <row r="402">
      <c r="A402" s="1175" t="inlineStr">
        <is>
          <t>E100545</t>
        </is>
      </c>
      <c r="B402" s="1175" t="inlineStr">
        <is>
          <t>北京京能京通新能源有限公司</t>
        </is>
      </c>
      <c r="C402" s="1175" t="inlineStr">
        <is>
          <t>G_DUMMY</t>
        </is>
      </c>
      <c r="D402" s="1175" t="inlineStr">
        <is>
          <t>否</t>
        </is>
      </c>
    </row>
    <row r="403">
      <c r="A403" s="1175" t="inlineStr">
        <is>
          <t>E100546</t>
        </is>
      </c>
      <c r="B403" s="1175" t="inlineStr">
        <is>
          <t>珠海市京湾综合能源有限公司</t>
        </is>
      </c>
      <c r="C403" s="1175" t="inlineStr">
        <is>
          <t>G_DUMMY</t>
        </is>
      </c>
      <c r="D403" s="1175" t="inlineStr">
        <is>
          <t>否</t>
        </is>
      </c>
    </row>
    <row r="404">
      <c r="A404" s="1175" t="inlineStr">
        <is>
          <t>E100547</t>
        </is>
      </c>
      <c r="B404" s="1175" t="inlineStr">
        <is>
          <t>宁夏同心大地日盛新能源有限公司</t>
        </is>
      </c>
      <c r="C404" s="1175" t="inlineStr">
        <is>
          <t>G_DUMMY</t>
        </is>
      </c>
      <c r="D404" s="1175" t="inlineStr">
        <is>
          <t>否</t>
        </is>
      </c>
    </row>
    <row r="405">
      <c r="A405" s="1175" t="inlineStr">
        <is>
          <t>E100556</t>
        </is>
      </c>
      <c r="B405" s="1175" t="inlineStr">
        <is>
          <t>投资北京投资顾问有限公司</t>
        </is>
      </c>
      <c r="C405" s="1175" t="inlineStr">
        <is>
          <t>G_DUMMY</t>
        </is>
      </c>
      <c r="D405" s="1175" t="inlineStr">
        <is>
          <t>否</t>
        </is>
      </c>
    </row>
    <row r="406">
      <c r="A406" s="1175" t="inlineStr">
        <is>
          <t>E100557</t>
        </is>
      </c>
      <c r="B406" s="1175" t="inlineStr">
        <is>
          <t>深圳京能清洁能源融资租赁有限公司</t>
        </is>
      </c>
      <c r="C406" s="1175" t="inlineStr">
        <is>
          <t>G_DUMMY</t>
        </is>
      </c>
      <c r="D406" s="1175" t="inlineStr">
        <is>
          <t>否</t>
        </is>
      </c>
    </row>
    <row r="407">
      <c r="A407" s="1175" t="inlineStr">
        <is>
          <t>E100558</t>
        </is>
      </c>
      <c r="B407" s="1175" t="inlineStr">
        <is>
          <t>北京能工荟智机器人有限责任公司</t>
        </is>
      </c>
      <c r="C407" s="1175" t="inlineStr">
        <is>
          <t>G_DUMMY</t>
        </is>
      </c>
      <c r="D407" s="1175" t="inlineStr">
        <is>
          <t>否</t>
        </is>
      </c>
    </row>
    <row r="408">
      <c r="A408" s="1175" t="inlineStr">
        <is>
          <t>E100559</t>
        </is>
      </c>
      <c r="B408" s="1175" t="inlineStr">
        <is>
          <t>北京能源投资集团（香港）有限公司</t>
        </is>
      </c>
      <c r="C408" s="1175" t="inlineStr">
        <is>
          <t>G_DUMMY</t>
        </is>
      </c>
      <c r="D408" s="1175" t="inlineStr">
        <is>
          <t>否</t>
        </is>
      </c>
    </row>
    <row r="409">
      <c r="A409" s="1175" t="inlineStr">
        <is>
          <t>E100560</t>
        </is>
      </c>
      <c r="B409" s="1175" t="inlineStr">
        <is>
          <t>北京京能新能源有限公司宁夏分公司</t>
        </is>
      </c>
      <c r="C409" s="1175" t="inlineStr">
        <is>
          <t>G_DUMMY</t>
        </is>
      </c>
      <c r="D409" s="1175" t="inlineStr">
        <is>
          <t>否</t>
        </is>
      </c>
    </row>
    <row r="410">
      <c r="A410" s="1175" t="inlineStr">
        <is>
          <t>E100561</t>
        </is>
      </c>
      <c r="B410" s="1175" t="inlineStr">
        <is>
          <t>北京京能清洁能源（澳洲）控股有限公司</t>
        </is>
      </c>
      <c r="C410" s="1175" t="inlineStr">
        <is>
          <t>G_DUMMY</t>
        </is>
      </c>
      <c r="D410" s="1175" t="inlineStr">
        <is>
          <t>否</t>
        </is>
      </c>
    </row>
    <row r="411">
      <c r="A411" s="1175" t="inlineStr">
        <is>
          <t>E100562</t>
        </is>
      </c>
      <c r="B411" s="1175" t="inlineStr">
        <is>
          <t>新格伦风电项目公司</t>
        </is>
      </c>
      <c r="C411" s="1175" t="inlineStr">
        <is>
          <t>G_DUMMY</t>
        </is>
      </c>
      <c r="D411" s="1175" t="inlineStr">
        <is>
          <t>否</t>
        </is>
      </c>
    </row>
    <row r="412">
      <c r="A412" s="1175" t="inlineStr">
        <is>
          <t>E100563</t>
        </is>
      </c>
      <c r="B412" s="1175" t="inlineStr">
        <is>
          <t>格伦光伏项目公司</t>
        </is>
      </c>
      <c r="C412" s="1175" t="inlineStr">
        <is>
          <t>G_DUMMY</t>
        </is>
      </c>
      <c r="D412" s="1175" t="inlineStr">
        <is>
          <t>否</t>
        </is>
      </c>
    </row>
    <row r="413">
      <c r="A413" s="1175" t="inlineStr">
        <is>
          <t>E100564</t>
        </is>
      </c>
      <c r="B413" s="1175" t="inlineStr">
        <is>
          <t>拜亚拉风电项目公司</t>
        </is>
      </c>
      <c r="C413" s="1175" t="inlineStr">
        <is>
          <t>G_DUMMY</t>
        </is>
      </c>
      <c r="D413" s="1175" t="inlineStr">
        <is>
          <t>否</t>
        </is>
      </c>
    </row>
    <row r="414">
      <c r="A414" s="1175" t="inlineStr">
        <is>
          <t>E100565</t>
        </is>
      </c>
      <c r="B414" s="1175" t="inlineStr">
        <is>
          <t>北京中观经济调查有限公司</t>
        </is>
      </c>
      <c r="C414" s="1175" t="inlineStr">
        <is>
          <t>G_DUMMY</t>
        </is>
      </c>
      <c r="D414" s="1175" t="inlineStr">
        <is>
          <t>否</t>
        </is>
      </c>
    </row>
    <row r="415">
      <c r="A415" s="1175" t="inlineStr">
        <is>
          <t>E100566</t>
        </is>
      </c>
      <c r="B415" s="1175" t="inlineStr">
        <is>
          <t>北京京能燕开综合能源服务有限公司</t>
        </is>
      </c>
      <c r="C415" s="1175" t="inlineStr">
        <is>
          <t>G_DUMMY</t>
        </is>
      </c>
      <c r="D415" s="1175" t="inlineStr">
        <is>
          <t>否</t>
        </is>
      </c>
    </row>
    <row r="416">
      <c r="A416" s="1175" t="inlineStr">
        <is>
          <t>E100569</t>
        </is>
      </c>
      <c r="B416" s="1175" t="inlineStr">
        <is>
          <t>银川京能清洁能源有限公司</t>
        </is>
      </c>
      <c r="C416" s="1175" t="inlineStr">
        <is>
          <t>G_DUMMY</t>
        </is>
      </c>
      <c r="D416" s="1175" t="inlineStr">
        <is>
          <t>否</t>
        </is>
      </c>
    </row>
    <row r="417">
      <c r="A417" s="1175" t="inlineStr">
        <is>
          <t>E100570</t>
        </is>
      </c>
      <c r="B417" s="1175" t="inlineStr">
        <is>
          <t>宁夏杉阳新能源有限公司</t>
        </is>
      </c>
      <c r="C417" s="1175" t="inlineStr">
        <is>
          <t>G_DUMMY</t>
        </is>
      </c>
      <c r="D417" s="1175" t="inlineStr">
        <is>
          <t>否</t>
        </is>
      </c>
    </row>
    <row r="418">
      <c r="A418" s="1175" t="inlineStr">
        <is>
          <t>E100571</t>
        </is>
      </c>
      <c r="B418" s="1175" t="inlineStr">
        <is>
          <t>京能远景领金智汇（北京）科技有限公司</t>
        </is>
      </c>
      <c r="C418" s="1175" t="inlineStr">
        <is>
          <t>G_DUMMY</t>
        </is>
      </c>
      <c r="D418" s="1175" t="inlineStr">
        <is>
          <t>否</t>
        </is>
      </c>
    </row>
    <row r="419">
      <c r="A419" s="1175" t="inlineStr">
        <is>
          <t>E100572</t>
        </is>
      </c>
      <c r="B419" s="1175" t="inlineStr">
        <is>
          <t>北京智慧互联能源有限公司</t>
        </is>
      </c>
      <c r="C419" s="1175" t="inlineStr">
        <is>
          <t>G_DUMMY</t>
        </is>
      </c>
      <c r="D419" s="1175" t="inlineStr">
        <is>
          <t>否</t>
        </is>
      </c>
    </row>
    <row r="420">
      <c r="A420" s="1175" t="inlineStr">
        <is>
          <t>E100704</t>
        </is>
      </c>
      <c r="B420" s="1175" t="inlineStr">
        <is>
          <t>北京京润仁康控股有限公司</t>
        </is>
      </c>
      <c r="C420" s="1175" t="inlineStr">
        <is>
          <t>G_DUMMY</t>
        </is>
      </c>
      <c r="D420" s="1175" t="inlineStr">
        <is>
          <t>否</t>
        </is>
      </c>
    </row>
    <row r="421">
      <c r="A421" s="1175" t="inlineStr">
        <is>
          <t>E100705</t>
        </is>
      </c>
      <c r="B421" s="1175" t="inlineStr">
        <is>
          <t>北京京润仁康医院管理有限公司</t>
        </is>
      </c>
      <c r="C421" s="1175" t="inlineStr">
        <is>
          <t>G_DUMMY</t>
        </is>
      </c>
      <c r="D421" s="1175" t="inlineStr">
        <is>
          <t>否</t>
        </is>
      </c>
    </row>
    <row r="422">
      <c r="A422" s="1175" t="inlineStr">
        <is>
          <t>E100706</t>
        </is>
      </c>
      <c r="B422" s="1175" t="inlineStr">
        <is>
          <t>坑木场康复医院</t>
        </is>
      </c>
      <c r="C422" s="1175" t="inlineStr">
        <is>
          <t>G_DUMMY</t>
        </is>
      </c>
      <c r="D422" s="1175" t="inlineStr">
        <is>
          <t>否</t>
        </is>
      </c>
    </row>
    <row r="423">
      <c r="A423" s="1175" t="inlineStr">
        <is>
          <t>E100707</t>
        </is>
      </c>
      <c r="B423" s="1175" t="inlineStr">
        <is>
          <t>湛江市鼎瑞太阳能发电有限公司</t>
        </is>
      </c>
      <c r="C423" s="1175" t="inlineStr">
        <is>
          <t>G_DUMMY</t>
        </is>
      </c>
      <c r="D423" s="1175" t="inlineStr">
        <is>
          <t>否</t>
        </is>
      </c>
    </row>
    <row r="424">
      <c r="A424" s="1175" t="inlineStr">
        <is>
          <t>E100708</t>
        </is>
      </c>
      <c r="B424" s="1175" t="inlineStr">
        <is>
          <t>河北融智新源电力有限公司</t>
        </is>
      </c>
      <c r="C424" s="1175" t="inlineStr">
        <is>
          <t>G_DUMMY</t>
        </is>
      </c>
      <c r="D424" s="1175" t="inlineStr">
        <is>
          <t>否</t>
        </is>
      </c>
    </row>
    <row r="425">
      <c r="A425" s="1175" t="inlineStr">
        <is>
          <t>E100709</t>
        </is>
      </c>
      <c r="B425" s="1175" t="inlineStr">
        <is>
          <t>巴彦淖尔京能清洁能源电力有限公司</t>
        </is>
      </c>
      <c r="C425" s="1175" t="inlineStr">
        <is>
          <t>G_DUMMY</t>
        </is>
      </c>
      <c r="D425" s="1175" t="inlineStr">
        <is>
          <t>否</t>
        </is>
      </c>
    </row>
    <row r="426">
      <c r="A426" s="1175" t="inlineStr">
        <is>
          <t>E100710</t>
        </is>
      </c>
      <c r="B426" s="1175" t="inlineStr">
        <is>
          <t>张北融智新源电力有限公司</t>
        </is>
      </c>
      <c r="C426" s="1175" t="inlineStr">
        <is>
          <t>G_DUMMY</t>
        </is>
      </c>
      <c r="D426" s="1175" t="inlineStr">
        <is>
          <t>否</t>
        </is>
      </c>
    </row>
    <row r="427">
      <c r="A427" s="1175" t="inlineStr">
        <is>
          <t>E100711</t>
        </is>
      </c>
      <c r="B427" s="1175" t="inlineStr">
        <is>
          <t>鄂托克前旗晟日新能源科技有限公司</t>
        </is>
      </c>
      <c r="C427" s="1175" t="inlineStr">
        <is>
          <t>G_DUMMY</t>
        </is>
      </c>
      <c r="D427" s="1175" t="inlineStr">
        <is>
          <t>否</t>
        </is>
      </c>
    </row>
    <row r="428">
      <c r="A428" s="1175" t="inlineStr">
        <is>
          <t>E100712</t>
        </is>
      </c>
      <c r="B428" s="1175" t="inlineStr">
        <is>
          <t>尚义县旭蓝新能源科技有限公司</t>
        </is>
      </c>
      <c r="C428" s="1175" t="inlineStr">
        <is>
          <t>G_DUMMY</t>
        </is>
      </c>
      <c r="D428" s="1175" t="inlineStr">
        <is>
          <t>否</t>
        </is>
      </c>
    </row>
    <row r="429">
      <c r="A429" s="1175" t="inlineStr">
        <is>
          <t>E100713</t>
        </is>
      </c>
      <c r="B429" s="1175" t="inlineStr">
        <is>
          <t>黑龙江京庆风力发电有限公司</t>
        </is>
      </c>
      <c r="C429" s="1175" t="inlineStr">
        <is>
          <t>G_DUMMY</t>
        </is>
      </c>
      <c r="D429" s="1175" t="inlineStr">
        <is>
          <t>否</t>
        </is>
      </c>
    </row>
    <row r="430">
      <c r="A430" s="1175" t="inlineStr">
        <is>
          <t>E100714</t>
        </is>
      </c>
      <c r="B430" s="1175" t="inlineStr">
        <is>
          <t>建平京能风力发电有限公司</t>
        </is>
      </c>
      <c r="C430" s="1175" t="inlineStr">
        <is>
          <t>G_DUMMY</t>
        </is>
      </c>
      <c r="D430" s="1175" t="inlineStr">
        <is>
          <t>否</t>
        </is>
      </c>
    </row>
    <row r="431">
      <c r="A431" s="1175" t="inlineStr">
        <is>
          <t>E100715</t>
        </is>
      </c>
      <c r="B431" s="1175" t="inlineStr">
        <is>
          <t>京能保险经纪有限公司</t>
        </is>
      </c>
      <c r="C431" s="1175" t="inlineStr">
        <is>
          <t>G_DUMMY</t>
        </is>
      </c>
      <c r="D431" s="1175" t="inlineStr">
        <is>
          <t>否</t>
        </is>
      </c>
    </row>
    <row r="432">
      <c r="A432" s="1175" t="inlineStr">
        <is>
          <t>E100723</t>
        </is>
      </c>
      <c r="B432" s="1175" t="inlineStr">
        <is>
          <t>北京热力装备制造有限公司天津滨海新区分公司</t>
        </is>
      </c>
      <c r="C432" s="1175" t="inlineStr">
        <is>
          <t>G_DUMMY</t>
        </is>
      </c>
      <c r="D432" s="1175" t="inlineStr">
        <is>
          <t>否</t>
        </is>
      </c>
    </row>
    <row r="433">
      <c r="A433" s="1175" t="inlineStr">
        <is>
          <t>E100724</t>
        </is>
      </c>
      <c r="B433" s="1175" t="inlineStr">
        <is>
          <t>北京能锐大数据有限责任公司</t>
        </is>
      </c>
      <c r="C433" s="1175" t="inlineStr">
        <is>
          <t>G_DUMMY</t>
        </is>
      </c>
      <c r="D433" s="1175" t="inlineStr">
        <is>
          <t>否</t>
        </is>
      </c>
    </row>
    <row r="434">
      <c r="A434" s="1175" t="inlineStr">
        <is>
          <t>E100725</t>
        </is>
      </c>
      <c r="B434" s="1175" t="inlineStr">
        <is>
          <t>北京京能氢源科技有限公司</t>
        </is>
      </c>
      <c r="C434" s="1175" t="inlineStr">
        <is>
          <t>G_DUMMY</t>
        </is>
      </c>
      <c r="D434" s="1175" t="inlineStr">
        <is>
          <t>否</t>
        </is>
      </c>
    </row>
    <row r="435">
      <c r="A435" s="1175" t="inlineStr">
        <is>
          <t>E100726</t>
        </is>
      </c>
      <c r="B435" s="1175" t="inlineStr">
        <is>
          <t>天津雍清丽苑项目公司</t>
        </is>
      </c>
      <c r="C435" s="1175" t="inlineStr">
        <is>
          <t>G_DUMMY</t>
        </is>
      </c>
      <c r="D435" s="1175" t="inlineStr">
        <is>
          <t>否</t>
        </is>
      </c>
    </row>
    <row r="436">
      <c r="A436" s="1175" t="inlineStr">
        <is>
          <t>E100727</t>
        </is>
      </c>
      <c r="B436" s="1175" t="inlineStr">
        <is>
          <t>宜昌市夷陵区中基热电有限公司</t>
        </is>
      </c>
      <c r="C436" s="1175" t="inlineStr">
        <is>
          <t>G_DUMMY</t>
        </is>
      </c>
      <c r="D436" s="1175" t="inlineStr">
        <is>
          <t>否</t>
        </is>
      </c>
    </row>
    <row r="437">
      <c r="A437" s="1175" t="inlineStr">
        <is>
          <t>E100728</t>
        </is>
      </c>
      <c r="B437" s="1175" t="inlineStr">
        <is>
          <t>北京京西生态文旅投资有限公司</t>
        </is>
      </c>
      <c r="C437" s="1175" t="inlineStr">
        <is>
          <t>G_DUMMY</t>
        </is>
      </c>
      <c r="D437" s="1175" t="inlineStr">
        <is>
          <t>否</t>
        </is>
      </c>
    </row>
    <row r="438">
      <c r="A438" s="1175" t="inlineStr">
        <is>
          <t>E100729</t>
        </is>
      </c>
      <c r="B438" s="1175" t="inlineStr">
        <is>
          <t>北京京能国际控股有限公司</t>
        </is>
      </c>
      <c r="C438" s="1175" t="inlineStr">
        <is>
          <t>G_DUMMY</t>
        </is>
      </c>
      <c r="D438" s="1175" t="inlineStr">
        <is>
          <t>否</t>
        </is>
      </c>
    </row>
    <row r="439">
      <c r="A439" s="1175" t="inlineStr">
        <is>
          <t>E100730</t>
        </is>
      </c>
      <c r="B439" s="1175" t="inlineStr">
        <is>
          <t>京能国际能源发展（北京）有限公司</t>
        </is>
      </c>
      <c r="C439" s="1175" t="inlineStr">
        <is>
          <t>G_DUMMY</t>
        </is>
      </c>
      <c r="D439" s="1175" t="inlineStr">
        <is>
          <t>否</t>
        </is>
      </c>
    </row>
    <row r="440">
      <c r="A440" s="1175" t="inlineStr">
        <is>
          <t>E100731</t>
        </is>
      </c>
      <c r="B440" s="1175" t="inlineStr">
        <is>
          <t>大同熊猫光伏发电有限公司</t>
        </is>
      </c>
      <c r="C440" s="1175" t="inlineStr">
        <is>
          <t>G_DUMMY</t>
        </is>
      </c>
      <c r="D440" s="1175" t="inlineStr">
        <is>
          <t>否</t>
        </is>
      </c>
    </row>
    <row r="441">
      <c r="A441" s="1175" t="inlineStr">
        <is>
          <t>E100732</t>
        </is>
      </c>
      <c r="B441" s="1175" t="inlineStr">
        <is>
          <t>海南州亚晖新能源电力有限公司</t>
        </is>
      </c>
      <c r="C441" s="1175" t="inlineStr">
        <is>
          <t>G_DUMMY</t>
        </is>
      </c>
      <c r="D441" s="1175" t="inlineStr">
        <is>
          <t>否</t>
        </is>
      </c>
    </row>
    <row r="442">
      <c r="A442" s="1175" t="inlineStr">
        <is>
          <t>E100733</t>
        </is>
      </c>
      <c r="B442" s="1175" t="inlineStr">
        <is>
          <t>晋中晋合新能源有限公司</t>
        </is>
      </c>
      <c r="C442" s="1175" t="inlineStr">
        <is>
          <t>G_DUMMY</t>
        </is>
      </c>
      <c r="D442" s="1175" t="inlineStr">
        <is>
          <t>否</t>
        </is>
      </c>
    </row>
    <row r="443">
      <c r="A443" s="1175" t="inlineStr">
        <is>
          <t>E100734</t>
        </is>
      </c>
      <c r="B443" s="1175" t="inlineStr">
        <is>
          <t>联合光伏（常州）投资集团有限公司</t>
        </is>
      </c>
      <c r="C443" s="1175" t="inlineStr">
        <is>
          <t>G_DUMMY</t>
        </is>
      </c>
      <c r="D443" s="1175" t="inlineStr">
        <is>
          <t>否</t>
        </is>
      </c>
    </row>
    <row r="444">
      <c r="A444" s="1175" t="inlineStr">
        <is>
          <t>E100735</t>
        </is>
      </c>
      <c r="B444" s="1175" t="inlineStr">
        <is>
          <t>内蒙古京能新能源科技有限公司</t>
        </is>
      </c>
      <c r="C444" s="1175" t="inlineStr">
        <is>
          <t>G_DUMMY</t>
        </is>
      </c>
      <c r="D444" s="1175" t="inlineStr">
        <is>
          <t>否</t>
        </is>
      </c>
    </row>
    <row r="445">
      <c r="A445" s="1175" t="inlineStr">
        <is>
          <t>E100736</t>
        </is>
      </c>
      <c r="B445" s="1175" t="inlineStr">
        <is>
          <t>宁夏中自太阳能光伏发电有限公司</t>
        </is>
      </c>
      <c r="C445" s="1175" t="inlineStr">
        <is>
          <t>G_DUMMY</t>
        </is>
      </c>
      <c r="D445" s="1175" t="inlineStr">
        <is>
          <t>否</t>
        </is>
      </c>
    </row>
    <row r="446">
      <c r="A446" s="1175" t="inlineStr">
        <is>
          <t>E100737</t>
        </is>
      </c>
      <c r="B446" s="1175" t="inlineStr">
        <is>
          <t>四川联合光伏有限公司</t>
        </is>
      </c>
      <c r="C446" s="1175" t="inlineStr">
        <is>
          <t>G_DUMMY</t>
        </is>
      </c>
      <c r="D446" s="1175" t="inlineStr">
        <is>
          <t>否</t>
        </is>
      </c>
    </row>
    <row r="447">
      <c r="A447" s="1175" t="inlineStr">
        <is>
          <t>E100738</t>
        </is>
      </c>
      <c r="B447" s="1175" t="inlineStr">
        <is>
          <t>西藏藏能股份有限公司</t>
        </is>
      </c>
      <c r="C447" s="1175" t="inlineStr">
        <is>
          <t>G_DUMMY</t>
        </is>
      </c>
      <c r="D447" s="1175" t="inlineStr">
        <is>
          <t>否</t>
        </is>
      </c>
    </row>
    <row r="448">
      <c r="A448" s="1175" t="inlineStr">
        <is>
          <t>E100740</t>
        </is>
      </c>
      <c r="B448" s="1175" t="inlineStr">
        <is>
          <t>永仁惠光光伏发电有限公司</t>
        </is>
      </c>
      <c r="C448" s="1175" t="inlineStr">
        <is>
          <t>G_DUMMY</t>
        </is>
      </c>
      <c r="D448" s="1175" t="inlineStr">
        <is>
          <t>否</t>
        </is>
      </c>
    </row>
    <row r="449">
      <c r="A449" s="1175" t="inlineStr">
        <is>
          <t>E100741</t>
        </is>
      </c>
      <c r="B449" s="1175" t="inlineStr">
        <is>
          <t>永胜惠光光伏发电有限公司</t>
        </is>
      </c>
      <c r="C449" s="1175" t="inlineStr">
        <is>
          <t>G_DUMMY</t>
        </is>
      </c>
      <c r="D449" s="1175" t="inlineStr">
        <is>
          <t>否</t>
        </is>
      </c>
    </row>
    <row r="450">
      <c r="A450" s="1175" t="inlineStr">
        <is>
          <t>E100742</t>
        </is>
      </c>
      <c r="B450" s="1175" t="inlineStr">
        <is>
          <t>中利腾晖共和光伏发电有限公司</t>
        </is>
      </c>
      <c r="C450" s="1175" t="inlineStr">
        <is>
          <t>G_DUMMY</t>
        </is>
      </c>
      <c r="D450" s="1175" t="inlineStr">
        <is>
          <t>否</t>
        </is>
      </c>
    </row>
    <row r="451">
      <c r="A451" s="1175" t="inlineStr">
        <is>
          <t>E100743</t>
        </is>
      </c>
      <c r="B451" s="1175" t="inlineStr">
        <is>
          <t>中利腾晖共和新能源有限公司</t>
        </is>
      </c>
      <c r="C451" s="1175" t="inlineStr">
        <is>
          <t>G_DUMMY</t>
        </is>
      </c>
      <c r="D451" s="1175" t="inlineStr">
        <is>
          <t>否</t>
        </is>
      </c>
    </row>
    <row r="452">
      <c r="A452" s="1175" t="inlineStr">
        <is>
          <t>E100744</t>
        </is>
      </c>
      <c r="B452" s="1175" t="inlineStr">
        <is>
          <t>京能酒泉新能源有限公司</t>
        </is>
      </c>
      <c r="C452" s="1175" t="inlineStr">
        <is>
          <t>G_DUMMY</t>
        </is>
      </c>
      <c r="D452" s="1175" t="inlineStr">
        <is>
          <t>否</t>
        </is>
      </c>
    </row>
    <row r="453">
      <c r="A453" s="1175" t="inlineStr">
        <is>
          <t>E100745</t>
        </is>
      </c>
      <c r="B453" s="1175" t="inlineStr">
        <is>
          <t>包头市京能新能源科技有限公司</t>
        </is>
      </c>
      <c r="C453" s="1175" t="inlineStr">
        <is>
          <t>G_DUMMY</t>
        </is>
      </c>
      <c r="D453" s="1175" t="inlineStr">
        <is>
          <t>否</t>
        </is>
      </c>
    </row>
    <row r="454">
      <c r="A454" s="1175" t="inlineStr">
        <is>
          <t>E100746</t>
        </is>
      </c>
      <c r="B454" s="1175" t="inlineStr">
        <is>
          <t>京能服务管理有限公司内蒙古分公司</t>
        </is>
      </c>
      <c r="C454" s="1175" t="inlineStr">
        <is>
          <t>G_DUMMY</t>
        </is>
      </c>
      <c r="D454" s="1175" t="inlineStr">
        <is>
          <t>否</t>
        </is>
      </c>
    </row>
    <row r="455">
      <c r="A455" s="1175" t="inlineStr">
        <is>
          <t>E100747</t>
        </is>
      </c>
      <c r="B455" s="1175" t="inlineStr">
        <is>
          <t>北京能源国际控股有限公司</t>
        </is>
      </c>
      <c r="C455" s="1175" t="inlineStr">
        <is>
          <t>G_DUMMY</t>
        </is>
      </c>
      <c r="D455" s="1175" t="inlineStr">
        <is>
          <t>否</t>
        </is>
      </c>
    </row>
    <row r="456">
      <c r="A456" s="1175" t="inlineStr">
        <is>
          <t>E100748</t>
        </is>
      </c>
      <c r="B456" s="1175" t="inlineStr">
        <is>
          <t>北京京能国际综合智慧能源有限公司</t>
        </is>
      </c>
      <c r="C456" s="1175" t="inlineStr">
        <is>
          <t>G_DUMMY</t>
        </is>
      </c>
      <c r="D456" s="1175" t="inlineStr">
        <is>
          <t>否</t>
        </is>
      </c>
    </row>
    <row r="457">
      <c r="A457" s="1175" t="inlineStr">
        <is>
          <t>E100749</t>
        </is>
      </c>
      <c r="B457" s="1175" t="inlineStr">
        <is>
          <t>炉霍联合光伏开发有限公司</t>
        </is>
      </c>
      <c r="C457" s="1175" t="inlineStr">
        <is>
          <t>G_DUMMY</t>
        </is>
      </c>
      <c r="D457" s="1175" t="inlineStr">
        <is>
          <t>否</t>
        </is>
      </c>
    </row>
    <row r="458">
      <c r="A458" s="1175" t="inlineStr">
        <is>
          <t>E100750</t>
        </is>
      </c>
      <c r="B458" s="1175" t="inlineStr">
        <is>
          <t>民丰县昂立光伏科技有限公司</t>
        </is>
      </c>
      <c r="C458" s="1175" t="inlineStr">
        <is>
          <t>G_DUMMY</t>
        </is>
      </c>
      <c r="D458" s="1175" t="inlineStr">
        <is>
          <t>否</t>
        </is>
      </c>
    </row>
    <row r="459">
      <c r="A459" s="1175" t="inlineStr">
        <is>
          <t>E100751</t>
        </is>
      </c>
      <c r="B459" s="1175" t="inlineStr">
        <is>
          <t>吐鲁番中利腾晖光伏发电有限公司</t>
        </is>
      </c>
      <c r="C459" s="1175" t="inlineStr">
        <is>
          <t>G_DUMMY</t>
        </is>
      </c>
      <c r="D459" s="1175" t="inlineStr">
        <is>
          <t>否</t>
        </is>
      </c>
    </row>
    <row r="460">
      <c r="A460" s="1175" t="inlineStr">
        <is>
          <t>E100752</t>
        </is>
      </c>
      <c r="B460" s="1175" t="inlineStr">
        <is>
          <t>京能服务管理有限公司北京分公司</t>
        </is>
      </c>
      <c r="C460" s="1175" t="inlineStr">
        <is>
          <t>G_DUMMY</t>
        </is>
      </c>
      <c r="D460" s="1175" t="inlineStr">
        <is>
          <t>否</t>
        </is>
      </c>
    </row>
    <row r="461">
      <c r="A461" s="1175" t="inlineStr">
        <is>
          <t>E100753</t>
        </is>
      </c>
      <c r="B461" s="1175" t="inlineStr">
        <is>
          <t>鄂尔多斯市京能新能源科技有限公司</t>
        </is>
      </c>
      <c r="C461" s="1175" t="inlineStr">
        <is>
          <t>G_DUMMY</t>
        </is>
      </c>
      <c r="D461" s="1175" t="inlineStr">
        <is>
          <t>否</t>
        </is>
      </c>
    </row>
    <row r="462">
      <c r="A462" s="1175" t="inlineStr">
        <is>
          <t>E100754</t>
        </is>
      </c>
      <c r="B462" s="1175" t="inlineStr">
        <is>
          <t>中利腾晖（嘉峪关）光伏发电有限公司</t>
        </is>
      </c>
      <c r="C462" s="1175" t="inlineStr">
        <is>
          <t>G_DUMMY</t>
        </is>
      </c>
      <c r="D462" s="1175" t="inlineStr">
        <is>
          <t>否</t>
        </is>
      </c>
    </row>
    <row r="463">
      <c r="A463" s="1175" t="inlineStr">
        <is>
          <t>E100756</t>
        </is>
      </c>
      <c r="B463" s="1175" t="inlineStr">
        <is>
          <t>贵港市绿色方舟新能源有限公司</t>
        </is>
      </c>
      <c r="C463" s="1175" t="inlineStr">
        <is>
          <t>G_DUMMY</t>
        </is>
      </c>
      <c r="D463" s="1175" t="inlineStr">
        <is>
          <t>否</t>
        </is>
      </c>
    </row>
    <row r="464">
      <c r="A464" s="1175" t="inlineStr">
        <is>
          <t>E100757</t>
        </is>
      </c>
      <c r="B464" s="1175" t="inlineStr">
        <is>
          <t>北京京能国际控股有限公司华东分公司</t>
        </is>
      </c>
      <c r="C464" s="1175" t="inlineStr">
        <is>
          <t>G_DUMMY</t>
        </is>
      </c>
      <c r="D464" s="1175" t="inlineStr">
        <is>
          <t>否</t>
        </is>
      </c>
    </row>
    <row r="465">
      <c r="A465" s="1175" t="inlineStr">
        <is>
          <t>E100758</t>
        </is>
      </c>
      <c r="B465" s="1175" t="inlineStr">
        <is>
          <t>北京京能国际控股有限公司华北分公司</t>
        </is>
      </c>
      <c r="C465" s="1175" t="inlineStr">
        <is>
          <t>G_DUMMY</t>
        </is>
      </c>
      <c r="D465" s="1175" t="inlineStr">
        <is>
          <t>否</t>
        </is>
      </c>
    </row>
    <row r="466">
      <c r="A466" s="1175" t="inlineStr">
        <is>
          <t>E100759</t>
        </is>
      </c>
      <c r="B466" s="1175" t="inlineStr">
        <is>
          <t>北京京能国际控股有限公司华南分公司</t>
        </is>
      </c>
      <c r="C466" s="1175" t="inlineStr">
        <is>
          <t>G_DUMMY</t>
        </is>
      </c>
      <c r="D466" s="1175" t="inlineStr">
        <is>
          <t>否</t>
        </is>
      </c>
    </row>
    <row r="467">
      <c r="A467" s="1175" t="inlineStr">
        <is>
          <t>E100760</t>
        </is>
      </c>
      <c r="B467" s="1175" t="inlineStr">
        <is>
          <t>北京京能国际控股有限公司华中分公司</t>
        </is>
      </c>
      <c r="C467" s="1175" t="inlineStr">
        <is>
          <t>G_DUMMY</t>
        </is>
      </c>
      <c r="D467" s="1175" t="inlineStr">
        <is>
          <t>否</t>
        </is>
      </c>
    </row>
    <row r="468">
      <c r="A468" s="1175" t="inlineStr">
        <is>
          <t>E100761</t>
        </is>
      </c>
      <c r="B468" s="1175" t="inlineStr">
        <is>
          <t>北京京能国际控股有限公司西南分公司</t>
        </is>
      </c>
      <c r="C468" s="1175" t="inlineStr">
        <is>
          <t>G_DUMMY</t>
        </is>
      </c>
      <c r="D468" s="1175" t="inlineStr">
        <is>
          <t>否</t>
        </is>
      </c>
    </row>
    <row r="469">
      <c r="A469" s="1175" t="inlineStr">
        <is>
          <t>E100762</t>
        </is>
      </c>
      <c r="B469" s="1175" t="inlineStr">
        <is>
          <t>北京京能国际控股有限公司西北分公司</t>
        </is>
      </c>
      <c r="C469" s="1175" t="inlineStr">
        <is>
          <t>G_DUMMY</t>
        </is>
      </c>
      <c r="D469" s="1175" t="inlineStr">
        <is>
          <t>否</t>
        </is>
      </c>
    </row>
    <row r="470">
      <c r="A470" s="1175" t="inlineStr">
        <is>
          <t>E100763</t>
        </is>
      </c>
      <c r="B470" s="1175" t="inlineStr">
        <is>
          <t>北京京能国际控股有限公司北方分公司</t>
        </is>
      </c>
      <c r="C470" s="1175" t="inlineStr">
        <is>
          <t>G_DUMMY</t>
        </is>
      </c>
      <c r="D470" s="1175" t="inlineStr">
        <is>
          <t>否</t>
        </is>
      </c>
    </row>
    <row r="471">
      <c r="A471" s="1175" t="inlineStr">
        <is>
          <t>E100764</t>
        </is>
      </c>
      <c r="B471" s="1175" t="inlineStr">
        <is>
          <t>联合光伏（深圳）有限公司</t>
        </is>
      </c>
      <c r="C471" s="1175" t="inlineStr">
        <is>
          <t>G_DUMMY</t>
        </is>
      </c>
      <c r="D471" s="1175" t="inlineStr">
        <is>
          <t>否</t>
        </is>
      </c>
    </row>
    <row r="472">
      <c r="A472" s="1175" t="inlineStr">
        <is>
          <t>E100765</t>
        </is>
      </c>
      <c r="B472" s="1175" t="inlineStr">
        <is>
          <t>哈密辉腾光伏电力有限公司</t>
        </is>
      </c>
      <c r="C472" s="1175" t="inlineStr">
        <is>
          <t>G_DUMMY</t>
        </is>
      </c>
      <c r="D472" s="1175" t="inlineStr">
        <is>
          <t>否</t>
        </is>
      </c>
    </row>
    <row r="473">
      <c r="A473" s="1175" t="inlineStr">
        <is>
          <t>E100767</t>
        </is>
      </c>
      <c r="B473" s="1175" t="inlineStr">
        <is>
          <t>北京金泰物业管理有限公司第一分公司</t>
        </is>
      </c>
      <c r="C473" s="1175" t="inlineStr">
        <is>
          <t>G_DUMMY</t>
        </is>
      </c>
      <c r="D473" s="1175" t="inlineStr">
        <is>
          <t>否</t>
        </is>
      </c>
    </row>
    <row r="474">
      <c r="A474" s="1175" t="inlineStr">
        <is>
          <t>E100768</t>
        </is>
      </c>
      <c r="B474" s="1175" t="inlineStr">
        <is>
          <t>北京金泰物业管理有限公司第二分公司</t>
        </is>
      </c>
      <c r="C474" s="1175" t="inlineStr">
        <is>
          <t>G_DUMMY</t>
        </is>
      </c>
      <c r="D474" s="1175" t="inlineStr">
        <is>
          <t>否</t>
        </is>
      </c>
    </row>
    <row r="475">
      <c r="A475" s="1175" t="inlineStr">
        <is>
          <t>E100769</t>
        </is>
      </c>
      <c r="B475" s="1175" t="inlineStr">
        <is>
          <t>北京金泰物业管理有限公司第三分公司</t>
        </is>
      </c>
      <c r="C475" s="1175" t="inlineStr">
        <is>
          <t>G_DUMMY</t>
        </is>
      </c>
      <c r="D475" s="1175" t="inlineStr">
        <is>
          <t>否</t>
        </is>
      </c>
    </row>
    <row r="476">
      <c r="A476" s="1175" t="inlineStr">
        <is>
          <t>E100770</t>
        </is>
      </c>
      <c r="B476" s="1175" t="inlineStr">
        <is>
          <t>金泰壹号（天津）企业管理合伙企业（有限合伙）</t>
        </is>
      </c>
      <c r="C476" s="1175" t="inlineStr">
        <is>
          <t>G_DUMMY</t>
        </is>
      </c>
      <c r="D476" s="1175" t="inlineStr">
        <is>
          <t>否</t>
        </is>
      </c>
    </row>
    <row r="477">
      <c r="A477" s="1175" t="inlineStr">
        <is>
          <t>E100771</t>
        </is>
      </c>
      <c r="B477" s="1175" t="inlineStr">
        <is>
          <t>京能服务管理有限公司宁东分公司</t>
        </is>
      </c>
      <c r="C477" s="1175" t="inlineStr">
        <is>
          <t>G_DUMMY</t>
        </is>
      </c>
      <c r="D477" s="1175" t="inlineStr">
        <is>
          <t>否</t>
        </is>
      </c>
    </row>
    <row r="478">
      <c r="A478" s="1175" t="inlineStr">
        <is>
          <t>E100772</t>
        </is>
      </c>
      <c r="B478" s="1175" t="inlineStr">
        <is>
          <t>京能服务管理有限公司右玉分公司</t>
        </is>
      </c>
      <c r="C478" s="1175" t="inlineStr">
        <is>
          <t>G_DUMMY</t>
        </is>
      </c>
      <c r="D478" s="1175" t="inlineStr">
        <is>
          <t>否</t>
        </is>
      </c>
    </row>
    <row r="479">
      <c r="A479" s="1175" t="inlineStr">
        <is>
          <t>E100773</t>
        </is>
      </c>
      <c r="B479" s="1175" t="inlineStr">
        <is>
          <t>京能服务管理有限公司临县分公司</t>
        </is>
      </c>
      <c r="C479" s="1175" t="inlineStr">
        <is>
          <t>G_DUMMY</t>
        </is>
      </c>
      <c r="D479" s="1175" t="inlineStr">
        <is>
          <t>否</t>
        </is>
      </c>
    </row>
    <row r="480">
      <c r="A480" s="1175" t="inlineStr">
        <is>
          <t>E100774</t>
        </is>
      </c>
      <c r="B480" s="1175" t="inlineStr">
        <is>
          <t>京能服务管理有限公司长治分公司</t>
        </is>
      </c>
      <c r="C480" s="1175" t="inlineStr">
        <is>
          <t>G_DUMMY</t>
        </is>
      </c>
      <c r="D480" s="1175" t="inlineStr">
        <is>
          <t>否</t>
        </is>
      </c>
    </row>
    <row r="481">
      <c r="A481" s="1175" t="inlineStr">
        <is>
          <t>E100775</t>
        </is>
      </c>
      <c r="B481" s="1175" t="inlineStr">
        <is>
          <t>北京京能国际控股有限公司东北分公司</t>
        </is>
      </c>
      <c r="C481" s="1175" t="inlineStr">
        <is>
          <t>G_DUMMY</t>
        </is>
      </c>
      <c r="D481" s="1175" t="inlineStr">
        <is>
          <t>否</t>
        </is>
      </c>
    </row>
    <row r="482">
      <c r="A482" s="1175" t="inlineStr">
        <is>
          <t>E100776</t>
        </is>
      </c>
      <c r="B482" s="1175" t="inlineStr">
        <is>
          <t>北京健康养老集团有限公司</t>
        </is>
      </c>
      <c r="C482" s="1175" t="inlineStr">
        <is>
          <t>G_DUMMY</t>
        </is>
      </c>
      <c r="D482" s="1175" t="inlineStr">
        <is>
          <t>否</t>
        </is>
      </c>
    </row>
    <row r="483">
      <c r="A483" s="1175" t="inlineStr">
        <is>
          <t>E100777</t>
        </is>
      </c>
      <c r="B483" s="1175" t="inlineStr">
        <is>
          <t>京能服务管理有限公司秦皇岛分公司</t>
        </is>
      </c>
      <c r="C483" s="1175" t="inlineStr">
        <is>
          <t>G_DUMMY</t>
        </is>
      </c>
      <c r="D483" s="1175" t="inlineStr">
        <is>
          <t>否</t>
        </is>
      </c>
    </row>
    <row r="484">
      <c r="A484" s="1175" t="inlineStr">
        <is>
          <t>E100778</t>
        </is>
      </c>
      <c r="B484" s="1175" t="inlineStr">
        <is>
          <t>漳州京能清洁能源电力有限公司</t>
        </is>
      </c>
      <c r="C484" s="1175" t="inlineStr">
        <is>
          <t>G_DUMMY</t>
        </is>
      </c>
      <c r="D484" s="1175" t="inlineStr">
        <is>
          <t>否</t>
        </is>
      </c>
    </row>
    <row r="485">
      <c r="A485" s="1175" t="inlineStr">
        <is>
          <t>E100779</t>
        </is>
      </c>
      <c r="B485" s="1175" t="inlineStr">
        <is>
          <t>五家渠利商光伏电力有限公司</t>
        </is>
      </c>
      <c r="C485" s="1175" t="inlineStr">
        <is>
          <t>G_DUMMY</t>
        </is>
      </c>
      <c r="D485" s="1175" t="inlineStr">
        <is>
          <t>否</t>
        </is>
      </c>
    </row>
    <row r="486">
      <c r="A486" s="1175" t="inlineStr">
        <is>
          <t>E100780</t>
        </is>
      </c>
      <c r="B486" s="1175" t="inlineStr">
        <is>
          <t>三明京能清洁能源电力有限公司</t>
        </is>
      </c>
      <c r="C486" s="1175" t="inlineStr">
        <is>
          <t>G_DUMMY</t>
        </is>
      </c>
      <c r="D486" s="1175" t="inlineStr">
        <is>
          <t>否</t>
        </is>
      </c>
    </row>
    <row r="487">
      <c r="A487" s="1175" t="inlineStr">
        <is>
          <t>E100781</t>
        </is>
      </c>
      <c r="B487" s="1175" t="inlineStr">
        <is>
          <t>广东辉宇新能源投资有限公司</t>
        </is>
      </c>
      <c r="C487" s="1175" t="inlineStr">
        <is>
          <t>G_DUMMY</t>
        </is>
      </c>
      <c r="D487" s="1175" t="inlineStr">
        <is>
          <t>否</t>
        </is>
      </c>
    </row>
    <row r="488">
      <c r="A488" s="1175" t="inlineStr">
        <is>
          <t>E100782</t>
        </is>
      </c>
      <c r="B488" s="1175" t="inlineStr">
        <is>
          <t>广东万顺新能源有限公司</t>
        </is>
      </c>
      <c r="C488" s="1175" t="inlineStr">
        <is>
          <t>G_DUMMY</t>
        </is>
      </c>
      <c r="D488" s="1175" t="inlineStr">
        <is>
          <t>否</t>
        </is>
      </c>
    </row>
    <row r="489">
      <c r="A489" s="1175" t="inlineStr">
        <is>
          <t>E100783</t>
        </is>
      </c>
      <c r="B489" s="1175" t="inlineStr">
        <is>
          <t>韩城京能清洁能源有限公司</t>
        </is>
      </c>
      <c r="C489" s="1175" t="inlineStr">
        <is>
          <t>G_DUMMY</t>
        </is>
      </c>
      <c r="D489" s="1175" t="inlineStr">
        <is>
          <t>否</t>
        </is>
      </c>
    </row>
    <row r="490">
      <c r="A490" s="1175" t="inlineStr">
        <is>
          <t>E100784</t>
        </is>
      </c>
      <c r="B490" s="1175" t="inlineStr">
        <is>
          <t>平罗县旭清新能源有限公司</t>
        </is>
      </c>
      <c r="C490" s="1175" t="inlineStr">
        <is>
          <t>G_DUMMY</t>
        </is>
      </c>
      <c r="D490" s="1175" t="inlineStr">
        <is>
          <t>否</t>
        </is>
      </c>
    </row>
    <row r="491">
      <c r="A491" s="1175" t="inlineStr">
        <is>
          <t>E100785</t>
        </is>
      </c>
      <c r="B491" s="1175" t="inlineStr">
        <is>
          <t>宁夏恺阳新能源有限公司</t>
        </is>
      </c>
      <c r="C491" s="1175" t="inlineStr">
        <is>
          <t>G_DUMMY</t>
        </is>
      </c>
      <c r="D491" s="1175" t="inlineStr">
        <is>
          <t>否</t>
        </is>
      </c>
    </row>
    <row r="492">
      <c r="A492" s="1175" t="inlineStr">
        <is>
          <t>E100786</t>
        </is>
      </c>
      <c r="B492" s="1175" t="inlineStr">
        <is>
          <t>宁夏博阳新能源有限公司</t>
        </is>
      </c>
      <c r="C492" s="1175" t="inlineStr">
        <is>
          <t>G_DUMMY</t>
        </is>
      </c>
      <c r="D492" s="1175" t="inlineStr">
        <is>
          <t>否</t>
        </is>
      </c>
    </row>
    <row r="493">
      <c r="A493" s="1175" t="inlineStr">
        <is>
          <t>E100787</t>
        </is>
      </c>
      <c r="B493" s="1175" t="inlineStr">
        <is>
          <t>内蒙古京能苏尼特风力发电有限公司（内蒙古分公司）</t>
        </is>
      </c>
      <c r="C493" s="1175" t="inlineStr">
        <is>
          <t>G_DUMMY</t>
        </is>
      </c>
      <c r="D493" s="1175" t="inlineStr">
        <is>
          <t>否</t>
        </is>
      </c>
    </row>
    <row r="494">
      <c r="A494" s="1175" t="inlineStr">
        <is>
          <t>E100788</t>
        </is>
      </c>
      <c r="B494" s="1175" t="inlineStr">
        <is>
          <t>西藏尼木县藏能新能源开发有限公司</t>
        </is>
      </c>
      <c r="C494" s="1175" t="inlineStr">
        <is>
          <t>G_DUMMY</t>
        </is>
      </c>
      <c r="D494" s="1175" t="inlineStr">
        <is>
          <t>否</t>
        </is>
      </c>
    </row>
    <row r="495">
      <c r="A495" s="1175" t="inlineStr">
        <is>
          <t>E100789</t>
        </is>
      </c>
      <c r="B495" s="1175" t="inlineStr">
        <is>
          <t>北京金泰恒业国际旅游有限公司天湖酒店分公司</t>
        </is>
      </c>
      <c r="C495" s="1175" t="inlineStr">
        <is>
          <t>G_DUMMY</t>
        </is>
      </c>
      <c r="D495" s="1175" t="inlineStr">
        <is>
          <t>否</t>
        </is>
      </c>
    </row>
    <row r="496">
      <c r="A496" s="1175" t="inlineStr">
        <is>
          <t>E100790</t>
        </is>
      </c>
      <c r="B496" s="1175" t="inlineStr">
        <is>
          <t>北京金泰恒业国际旅游有限公司银川国贸中心酒店分公司</t>
        </is>
      </c>
      <c r="C496" s="1175" t="inlineStr">
        <is>
          <t>G_DUMMY</t>
        </is>
      </c>
      <c r="D496" s="1175" t="inlineStr">
        <is>
          <t>否</t>
        </is>
      </c>
    </row>
    <row r="497">
      <c r="A497" s="1175" t="inlineStr">
        <is>
          <t>E100791</t>
        </is>
      </c>
      <c r="B497" s="1175" t="inlineStr">
        <is>
          <t>京能（嘉兴秀洲）新能源有限公司</t>
        </is>
      </c>
      <c r="C497" s="1175" t="inlineStr">
        <is>
          <t>G_DUMMY</t>
        </is>
      </c>
      <c r="D497" s="1175" t="inlineStr">
        <is>
          <t>否</t>
        </is>
      </c>
    </row>
    <row r="498">
      <c r="A498" s="1175" t="inlineStr">
        <is>
          <t>E100792</t>
        </is>
      </c>
      <c r="B498" s="1175" t="inlineStr">
        <is>
          <t>北京京能清洁能源电力股份有限公司新疆分公司</t>
        </is>
      </c>
      <c r="C498" s="1175" t="inlineStr">
        <is>
          <t>G_DUMMY</t>
        </is>
      </c>
      <c r="D498" s="1175" t="inlineStr">
        <is>
          <t>否</t>
        </is>
      </c>
    </row>
    <row r="499">
      <c r="A499" s="1175" t="inlineStr">
        <is>
          <t>E100793</t>
        </is>
      </c>
      <c r="B499" s="1175" t="inlineStr">
        <is>
          <t>张家口风沐新能源有限公司</t>
        </is>
      </c>
      <c r="C499" s="1175" t="inlineStr">
        <is>
          <t>G_DUMMY</t>
        </is>
      </c>
      <c r="D499" s="1175" t="inlineStr">
        <is>
          <t>否</t>
        </is>
      </c>
    </row>
    <row r="500">
      <c r="A500" s="1175" t="inlineStr">
        <is>
          <t>E100794</t>
        </is>
      </c>
      <c r="B500" s="1175" t="inlineStr">
        <is>
          <t>张北风沐新能源有限公司</t>
        </is>
      </c>
      <c r="C500" s="1175" t="inlineStr">
        <is>
          <t>G_DUMMY</t>
        </is>
      </c>
      <c r="D500" s="1175" t="inlineStr">
        <is>
          <t>否</t>
        </is>
      </c>
    </row>
    <row r="501">
      <c r="A501" s="1175" t="inlineStr">
        <is>
          <t>E100799</t>
        </is>
      </c>
      <c r="B501" s="1175" t="inlineStr">
        <is>
          <t>湖北京能京堰新能源有限公司</t>
        </is>
      </c>
      <c r="C501" s="1175" t="inlineStr">
        <is>
          <t>G_DUMMY</t>
        </is>
      </c>
      <c r="D501" s="1175" t="inlineStr">
        <is>
          <t>否</t>
        </is>
      </c>
    </row>
    <row r="502">
      <c r="A502" s="1175" t="inlineStr">
        <is>
          <t>E100800</t>
        </is>
      </c>
      <c r="B502" s="1175" t="inlineStr">
        <is>
          <t>钦州京能清洁能源有限公司</t>
        </is>
      </c>
      <c r="C502" s="1175" t="inlineStr">
        <is>
          <t>G_DUMMY</t>
        </is>
      </c>
      <c r="D502" s="1175" t="inlineStr">
        <is>
          <t>否</t>
        </is>
      </c>
    </row>
    <row r="503">
      <c r="A503" s="1175" t="inlineStr">
        <is>
          <t>E100801</t>
        </is>
      </c>
      <c r="B503" s="1175" t="inlineStr">
        <is>
          <t>京能浑源清洁能源有限公司</t>
        </is>
      </c>
      <c r="C503" s="1175" t="inlineStr">
        <is>
          <t>G_DUMMY</t>
        </is>
      </c>
      <c r="D503" s="1175" t="inlineStr">
        <is>
          <t>否</t>
        </is>
      </c>
    </row>
    <row r="504">
      <c r="A504" s="1175" t="inlineStr">
        <is>
          <t>E100803</t>
        </is>
      </c>
      <c r="B504" s="1175" t="inlineStr">
        <is>
          <t>北京京能颐寿轩康养有限公司（原名东竹园康养）</t>
        </is>
      </c>
      <c r="C504" s="1175" t="inlineStr">
        <is>
          <t>G_DUMMY</t>
        </is>
      </c>
      <c r="D504" s="1175" t="inlineStr">
        <is>
          <t>否</t>
        </is>
      </c>
    </row>
    <row r="505">
      <c r="A505" s="1175" t="inlineStr">
        <is>
          <t>E100804</t>
        </is>
      </c>
      <c r="B505" s="1175" t="inlineStr">
        <is>
          <t>北京京能热力发展有限公司通州分公司</t>
        </is>
      </c>
      <c r="C505" s="1175" t="inlineStr">
        <is>
          <t>G_DUMMY</t>
        </is>
      </c>
      <c r="D505" s="1175" t="inlineStr">
        <is>
          <t>否</t>
        </is>
      </c>
    </row>
    <row r="506">
      <c r="A506" s="1175" t="inlineStr">
        <is>
          <t>E100805</t>
        </is>
      </c>
      <c r="B506" s="1175" t="inlineStr">
        <is>
          <t>北京京能清洁能源电力股份有限公司山西分公司</t>
        </is>
      </c>
      <c r="C506" s="1175" t="inlineStr">
        <is>
          <t>G_DUMMY</t>
        </is>
      </c>
      <c r="D506" s="1175" t="inlineStr">
        <is>
          <t>否</t>
        </is>
      </c>
    </row>
    <row r="507">
      <c r="A507" s="1175" t="inlineStr">
        <is>
          <t>E100806</t>
        </is>
      </c>
      <c r="B507" s="1175" t="inlineStr">
        <is>
          <t>北京京珑置业有限公司</t>
        </is>
      </c>
      <c r="C507" s="1175" t="inlineStr">
        <is>
          <t>G_DUMMY</t>
        </is>
      </c>
      <c r="D507" s="1175" t="inlineStr">
        <is>
          <t>否</t>
        </is>
      </c>
    </row>
    <row r="508">
      <c r="A508" s="1175" t="inlineStr">
        <is>
          <t>E100808</t>
        </is>
      </c>
      <c r="B508" s="1175" t="inlineStr">
        <is>
          <t>广西平果京能联合新能源有限公司</t>
        </is>
      </c>
      <c r="C508" s="1175" t="inlineStr">
        <is>
          <t>G_DUMMY</t>
        </is>
      </c>
      <c r="D508" s="1175" t="inlineStr">
        <is>
          <t>否</t>
        </is>
      </c>
    </row>
    <row r="509">
      <c r="A509" s="1175" t="inlineStr">
        <is>
          <t>E100809</t>
        </is>
      </c>
      <c r="B509" s="1175" t="inlineStr">
        <is>
          <t>文安县京能新能源有限公司</t>
        </is>
      </c>
      <c r="C509" s="1175" t="inlineStr">
        <is>
          <t>G_DUMMY</t>
        </is>
      </c>
      <c r="D509" s="1175" t="inlineStr">
        <is>
          <t>否</t>
        </is>
      </c>
    </row>
    <row r="510">
      <c r="A510" s="1175" t="inlineStr">
        <is>
          <t>E100810</t>
        </is>
      </c>
      <c r="B510" s="1175" t="inlineStr">
        <is>
          <t>乐多港光穗（天津）投资合伙企业（有限合伙）</t>
        </is>
      </c>
      <c r="C510" s="1175" t="inlineStr">
        <is>
          <t>G_DUMMY</t>
        </is>
      </c>
      <c r="D510" s="1175" t="inlineStr">
        <is>
          <t>否</t>
        </is>
      </c>
    </row>
    <row r="511">
      <c r="A511" s="1175" t="inlineStr">
        <is>
          <t>E100811</t>
        </is>
      </c>
      <c r="B511" s="1175" t="inlineStr">
        <is>
          <t>大同市云冈区京能新能源有限公司</t>
        </is>
      </c>
      <c r="C511" s="1175" t="inlineStr">
        <is>
          <t>G_DUMMY</t>
        </is>
      </c>
      <c r="D511" s="1175" t="inlineStr">
        <is>
          <t>否</t>
        </is>
      </c>
    </row>
    <row r="512">
      <c r="A512" s="1175" t="inlineStr">
        <is>
          <t>E100812</t>
        </is>
      </c>
      <c r="B512" s="1175" t="inlineStr">
        <is>
          <t>南昌京能富蓝新能源有限公司</t>
        </is>
      </c>
      <c r="C512" s="1175" t="inlineStr">
        <is>
          <t>G_DUMMY</t>
        </is>
      </c>
      <c r="D512" s="1175" t="inlineStr">
        <is>
          <t>否</t>
        </is>
      </c>
    </row>
    <row r="513">
      <c r="A513" s="1175" t="inlineStr">
        <is>
          <t>E100813</t>
        </is>
      </c>
      <c r="B513" s="1175" t="inlineStr">
        <is>
          <t>茶陵京能新能源有限公司</t>
        </is>
      </c>
      <c r="C513" s="1175" t="inlineStr">
        <is>
          <t>G_DUMMY</t>
        </is>
      </c>
      <c r="D513" s="1175" t="inlineStr">
        <is>
          <t>否</t>
        </is>
      </c>
    </row>
    <row r="514">
      <c r="A514" s="1175" t="inlineStr">
        <is>
          <t>E100814</t>
        </is>
      </c>
      <c r="B514" s="1175" t="inlineStr">
        <is>
          <t>北京诚和敬投资有限责任公司</t>
        </is>
      </c>
      <c r="C514" s="1175" t="inlineStr">
        <is>
          <t>G_DUMMY</t>
        </is>
      </c>
      <c r="D514" s="1175" t="inlineStr">
        <is>
          <t>否</t>
        </is>
      </c>
    </row>
    <row r="515">
      <c r="A515" s="1175" t="inlineStr">
        <is>
          <t>E100815</t>
        </is>
      </c>
      <c r="B515" s="1175" t="inlineStr">
        <is>
          <t>东源县顺风光电科技有限公司</t>
        </is>
      </c>
      <c r="C515" s="1175" t="inlineStr">
        <is>
          <t>G_DUMMY</t>
        </is>
      </c>
      <c r="D515" s="1175" t="inlineStr">
        <is>
          <t>否</t>
        </is>
      </c>
    </row>
    <row r="516">
      <c r="A516" s="1175" t="inlineStr">
        <is>
          <t>E100816</t>
        </is>
      </c>
      <c r="B516" s="1175" t="inlineStr">
        <is>
          <t>京能翎碳（上海）综合能源服务有限公司</t>
        </is>
      </c>
      <c r="C516" s="1175" t="inlineStr">
        <is>
          <t>G_DUMMY</t>
        </is>
      </c>
      <c r="D516" s="1175" t="inlineStr">
        <is>
          <t>否</t>
        </is>
      </c>
    </row>
    <row r="517">
      <c r="A517" s="1175" t="inlineStr">
        <is>
          <t>E100817</t>
        </is>
      </c>
      <c r="B517" s="1175" t="inlineStr">
        <is>
          <t>京能联合（琼海）新能源有限公司</t>
        </is>
      </c>
      <c r="C517" s="1175" t="inlineStr">
        <is>
          <t>G_DUMMY</t>
        </is>
      </c>
      <c r="D517" s="1175" t="inlineStr">
        <is>
          <t>否</t>
        </is>
      </c>
    </row>
    <row r="518">
      <c r="A518" s="1175" t="inlineStr">
        <is>
          <t>E100818</t>
        </is>
      </c>
      <c r="B518" s="1175" t="inlineStr">
        <is>
          <t>天津京能东棘坨清洁能源有限公司</t>
        </is>
      </c>
      <c r="C518" s="1175" t="inlineStr">
        <is>
          <t>G_DUMMY</t>
        </is>
      </c>
      <c r="D518" s="1175" t="inlineStr">
        <is>
          <t>否</t>
        </is>
      </c>
    </row>
    <row r="519">
      <c r="A519" s="1175" t="inlineStr">
        <is>
          <t>E100819</t>
        </is>
      </c>
      <c r="B519" s="1175" t="inlineStr">
        <is>
          <t>宁夏京能宁东新能源有限公司</t>
        </is>
      </c>
      <c r="C519" s="1175" t="inlineStr">
        <is>
          <t>G_DUMMY</t>
        </is>
      </c>
      <c r="D519" s="1175" t="inlineStr">
        <is>
          <t>否</t>
        </is>
      </c>
    </row>
    <row r="520">
      <c r="A520" s="1175" t="inlineStr">
        <is>
          <t>E100820</t>
        </is>
      </c>
      <c r="B520" s="1175" t="inlineStr">
        <is>
          <t>正蓝旗国电光伏发电有限公司</t>
        </is>
      </c>
      <c r="C520" s="1175" t="inlineStr">
        <is>
          <t>G_DUMMY</t>
        </is>
      </c>
      <c r="D520" s="1175" t="inlineStr">
        <is>
          <t>否</t>
        </is>
      </c>
    </row>
    <row r="521">
      <c r="A521" s="1175" t="inlineStr">
        <is>
          <t>E100821</t>
        </is>
      </c>
      <c r="B521" s="1175" t="inlineStr">
        <is>
          <t>德州市陵城区乾超兄弟能源科技有限公司</t>
        </is>
      </c>
      <c r="C521" s="1175" t="inlineStr">
        <is>
          <t>G_DUMMY</t>
        </is>
      </c>
      <c r="D521" s="1175" t="inlineStr">
        <is>
          <t>否</t>
        </is>
      </c>
    </row>
    <row r="522">
      <c r="A522" s="1175" t="inlineStr">
        <is>
          <t>E100822</t>
        </is>
      </c>
      <c r="B522" s="1175" t="inlineStr">
        <is>
          <t>嘉燕（北京）新能源有限公司</t>
        </is>
      </c>
      <c r="C522" s="1175" t="inlineStr">
        <is>
          <t>G_DUMMY</t>
        </is>
      </c>
      <c r="D522" s="1175" t="inlineStr">
        <is>
          <t>否</t>
        </is>
      </c>
    </row>
    <row r="523">
      <c r="A523" s="1175" t="inlineStr">
        <is>
          <t>E100823</t>
        </is>
      </c>
      <c r="B523" s="1175" t="inlineStr">
        <is>
          <t>北京京能马坊新能源科技有限公司</t>
        </is>
      </c>
      <c r="C523" s="1175" t="inlineStr">
        <is>
          <t>G_DUMMY</t>
        </is>
      </c>
      <c r="D523" s="1175" t="inlineStr">
        <is>
          <t>否</t>
        </is>
      </c>
    </row>
    <row r="524">
      <c r="A524" s="1175" t="inlineStr">
        <is>
          <t>E100824</t>
        </is>
      </c>
      <c r="B524" s="1175" t="inlineStr">
        <is>
          <t>京能（高碑店）新能源科技有限公司</t>
        </is>
      </c>
      <c r="C524" s="1175" t="inlineStr">
        <is>
          <t>G_DUMMY</t>
        </is>
      </c>
      <c r="D524" s="1175" t="inlineStr">
        <is>
          <t>否</t>
        </is>
      </c>
    </row>
    <row r="525">
      <c r="A525" s="1175" t="inlineStr">
        <is>
          <t>E100825</t>
        </is>
      </c>
      <c r="B525" s="1175" t="inlineStr">
        <is>
          <t>常州晶恒光伏有限公司</t>
        </is>
      </c>
      <c r="C525" s="1175" t="inlineStr">
        <is>
          <t>G_DUMMY</t>
        </is>
      </c>
      <c r="D525" s="1175" t="inlineStr">
        <is>
          <t>否</t>
        </is>
      </c>
    </row>
    <row r="526">
      <c r="A526" s="1175" t="inlineStr">
        <is>
          <t>E100826</t>
        </is>
      </c>
      <c r="B526" s="1175" t="inlineStr">
        <is>
          <t>宿迁市宿豫区宏旭新能源科技有限公司</t>
        </is>
      </c>
      <c r="C526" s="1175" t="inlineStr">
        <is>
          <t>G_DUMMY</t>
        </is>
      </c>
      <c r="D526" s="1175" t="inlineStr">
        <is>
          <t>否</t>
        </is>
      </c>
    </row>
    <row r="527">
      <c r="A527" s="1175" t="inlineStr">
        <is>
          <t>E100827</t>
        </is>
      </c>
      <c r="B527" s="1175" t="inlineStr">
        <is>
          <t>台州德鸿新能源科技有限公司</t>
        </is>
      </c>
      <c r="C527" s="1175" t="inlineStr">
        <is>
          <t>G_DUMMY</t>
        </is>
      </c>
      <c r="D527" s="1175" t="inlineStr">
        <is>
          <t>否</t>
        </is>
      </c>
    </row>
    <row r="528">
      <c r="A528" s="1175" t="inlineStr">
        <is>
          <t>E100828</t>
        </is>
      </c>
      <c r="B528" s="1175" t="inlineStr">
        <is>
          <t>京能（寻甸）新能源有限公司</t>
        </is>
      </c>
      <c r="C528" s="1175" t="inlineStr">
        <is>
          <t>G_DUMMY</t>
        </is>
      </c>
      <c r="D528" s="1175" t="inlineStr">
        <is>
          <t>否</t>
        </is>
      </c>
    </row>
    <row r="529">
      <c r="A529" s="1175" t="inlineStr">
        <is>
          <t>E100829</t>
        </is>
      </c>
      <c r="B529" s="1175" t="inlineStr">
        <is>
          <t>宁蒗京能新能源有限公司</t>
        </is>
      </c>
      <c r="C529" s="1175" t="inlineStr">
        <is>
          <t>G_DUMMY</t>
        </is>
      </c>
      <c r="D529" s="1175" t="inlineStr">
        <is>
          <t>否</t>
        </is>
      </c>
    </row>
    <row r="530">
      <c r="A530" s="1175" t="inlineStr">
        <is>
          <t>E100830</t>
        </is>
      </c>
      <c r="B530" s="1175" t="inlineStr">
        <is>
          <t>北京九樾房地产开发有限公司</t>
        </is>
      </c>
      <c r="C530" s="1175" t="inlineStr">
        <is>
          <t>G_DUMMY</t>
        </is>
      </c>
      <c r="D530" s="1175" t="inlineStr">
        <is>
          <t>否</t>
        </is>
      </c>
    </row>
    <row r="531">
      <c r="A531" s="1175" t="inlineStr">
        <is>
          <t>E100831</t>
        </is>
      </c>
      <c r="B531" s="1175" t="inlineStr">
        <is>
          <t>山西京潞新能源有限公司</t>
        </is>
      </c>
      <c r="C531" s="1175" t="inlineStr">
        <is>
          <t>G_DUMMY</t>
        </is>
      </c>
      <c r="D531" s="1175" t="inlineStr">
        <is>
          <t>否</t>
        </is>
      </c>
    </row>
    <row r="532">
      <c r="A532" s="1175" t="inlineStr">
        <is>
          <t>E100832</t>
        </is>
      </c>
      <c r="B532" s="1175" t="inlineStr">
        <is>
          <t>阜新爱友新能源有限公司</t>
        </is>
      </c>
      <c r="C532" s="1175" t="inlineStr">
        <is>
          <t>G_DUMMY</t>
        </is>
      </c>
      <c r="D532" s="1175" t="inlineStr">
        <is>
          <t>否</t>
        </is>
      </c>
    </row>
    <row r="533">
      <c r="A533" s="1175" t="inlineStr">
        <is>
          <t>E100833</t>
        </is>
      </c>
      <c r="B533" s="1175" t="inlineStr">
        <is>
          <t>阜新东泰新能源有限公司</t>
        </is>
      </c>
      <c r="C533" s="1175" t="inlineStr">
        <is>
          <t>G_DUMMY</t>
        </is>
      </c>
      <c r="D533" s="1175" t="inlineStr">
        <is>
          <t>否</t>
        </is>
      </c>
    </row>
    <row r="534">
      <c r="A534" s="1175" t="inlineStr">
        <is>
          <t>E100834</t>
        </is>
      </c>
      <c r="B534" s="1175" t="inlineStr">
        <is>
          <t>阜新吉娅泰新能源有限公司</t>
        </is>
      </c>
      <c r="C534" s="1175" t="inlineStr">
        <is>
          <t>G_DUMMY</t>
        </is>
      </c>
      <c r="D534" s="1175" t="inlineStr">
        <is>
          <t>否</t>
        </is>
      </c>
    </row>
    <row r="535">
      <c r="A535" s="1175" t="inlineStr">
        <is>
          <t>E100835</t>
        </is>
      </c>
      <c r="B535" s="1175" t="inlineStr">
        <is>
          <t>阜新架木苏新能源有限公司</t>
        </is>
      </c>
      <c r="C535" s="1175" t="inlineStr">
        <is>
          <t>G_DUMMY</t>
        </is>
      </c>
      <c r="D535" s="1175" t="inlineStr">
        <is>
          <t>否</t>
        </is>
      </c>
    </row>
    <row r="536">
      <c r="A536" s="1175" t="inlineStr">
        <is>
          <t>E100836</t>
        </is>
      </c>
      <c r="B536" s="1175" t="inlineStr">
        <is>
          <t>阜新金元新能源有限公司</t>
        </is>
      </c>
      <c r="C536" s="1175" t="inlineStr">
        <is>
          <t>G_DUMMY</t>
        </is>
      </c>
      <c r="D536" s="1175" t="inlineStr">
        <is>
          <t>否</t>
        </is>
      </c>
    </row>
    <row r="537">
      <c r="A537" s="1175" t="inlineStr">
        <is>
          <t>E100837</t>
        </is>
      </c>
      <c r="B537" s="1175" t="inlineStr">
        <is>
          <t>阜新塞罕新能源有限公司</t>
        </is>
      </c>
      <c r="C537" s="1175" t="inlineStr">
        <is>
          <t>G_DUMMY</t>
        </is>
      </c>
      <c r="D537" s="1175" t="inlineStr">
        <is>
          <t>否</t>
        </is>
      </c>
    </row>
    <row r="538">
      <c r="A538" s="1175" t="inlineStr">
        <is>
          <t>E100838</t>
        </is>
      </c>
      <c r="B538" s="1175" t="inlineStr">
        <is>
          <t>阜新赛纳新能源有限公司</t>
        </is>
      </c>
      <c r="C538" s="1175" t="inlineStr">
        <is>
          <t>G_DUMMY</t>
        </is>
      </c>
      <c r="D538" s="1175" t="inlineStr">
        <is>
          <t>否</t>
        </is>
      </c>
    </row>
    <row r="539">
      <c r="A539" s="1175" t="inlineStr">
        <is>
          <t>E100839</t>
        </is>
      </c>
      <c r="B539" s="1175" t="inlineStr">
        <is>
          <t>东台市宏旭新能源科技有限公司</t>
        </is>
      </c>
      <c r="C539" s="1175" t="inlineStr">
        <is>
          <t>G_DUMMY</t>
        </is>
      </c>
      <c r="D539" s="1175" t="inlineStr">
        <is>
          <t>否</t>
        </is>
      </c>
    </row>
    <row r="540">
      <c r="A540" s="1175" t="inlineStr">
        <is>
          <t>E100840</t>
        </is>
      </c>
      <c r="B540" s="1175" t="inlineStr">
        <is>
          <t>新疆信友新能源发电有限公司</t>
        </is>
      </c>
      <c r="C540" s="1175" t="inlineStr">
        <is>
          <t>G_DUMMY</t>
        </is>
      </c>
      <c r="D540" s="1175" t="inlineStr">
        <is>
          <t>否</t>
        </is>
      </c>
    </row>
    <row r="541">
      <c r="A541" s="1175" t="inlineStr">
        <is>
          <t>E100841</t>
        </is>
      </c>
      <c r="B541" s="1175" t="inlineStr">
        <is>
          <t>昌吉亿晶光伏科技有限公司</t>
        </is>
      </c>
      <c r="C541" s="1175" t="inlineStr">
        <is>
          <t>G_DUMMY</t>
        </is>
      </c>
      <c r="D541" s="1175" t="inlineStr">
        <is>
          <t>否</t>
        </is>
      </c>
    </row>
    <row r="542">
      <c r="A542" s="1175" t="inlineStr">
        <is>
          <t>E100842</t>
        </is>
      </c>
      <c r="B542" s="1175" t="inlineStr">
        <is>
          <t>张家口万全区京能清洁能源有限公司</t>
        </is>
      </c>
      <c r="C542" s="1175" t="inlineStr">
        <is>
          <t>G_DUMMY</t>
        </is>
      </c>
      <c r="D542" s="1175" t="inlineStr">
        <is>
          <t>否</t>
        </is>
      </c>
    </row>
    <row r="543">
      <c r="A543" s="1175" t="inlineStr">
        <is>
          <t>E100843</t>
        </is>
      </c>
      <c r="B543" s="1175" t="inlineStr">
        <is>
          <t>北康秦皇岛健康养老有限公司</t>
        </is>
      </c>
      <c r="C543" s="1175" t="inlineStr">
        <is>
          <t>G_DUMMY</t>
        </is>
      </c>
      <c r="D543" s="1175" t="inlineStr">
        <is>
          <t>否</t>
        </is>
      </c>
    </row>
    <row r="544">
      <c r="A544" s="1175" t="inlineStr">
        <is>
          <t>E100844</t>
        </is>
      </c>
      <c r="B544" s="1175" t="inlineStr">
        <is>
          <t>天津津南京能清洁能源有限公司</t>
        </is>
      </c>
      <c r="C544" s="1175" t="inlineStr">
        <is>
          <t>G_DUMMY</t>
        </is>
      </c>
      <c r="D544" s="1175" t="inlineStr">
        <is>
          <t>否</t>
        </is>
      </c>
    </row>
    <row r="545">
      <c r="A545" s="1175" t="inlineStr">
        <is>
          <t>E100845</t>
        </is>
      </c>
      <c r="B545" s="1175" t="inlineStr">
        <is>
          <t>二连浩特京能新能源有限公司</t>
        </is>
      </c>
      <c r="C545" s="1175" t="inlineStr">
        <is>
          <t>G_DUMMY</t>
        </is>
      </c>
      <c r="D545" s="1175" t="inlineStr">
        <is>
          <t>否</t>
        </is>
      </c>
    </row>
    <row r="546">
      <c r="A546" s="1175" t="inlineStr">
        <is>
          <t>E100847</t>
        </is>
      </c>
      <c r="B546" s="1175" t="inlineStr">
        <is>
          <t>北京金泰之家通华苑饭店有限公司容园宾馆</t>
        </is>
      </c>
      <c r="C546" s="1175" t="inlineStr">
        <is>
          <t>G_DUMMY</t>
        </is>
      </c>
      <c r="D546" s="1175" t="inlineStr">
        <is>
          <t>否</t>
        </is>
      </c>
    </row>
    <row r="547">
      <c r="A547" s="1175" t="inlineStr">
        <is>
          <t>E100848</t>
        </is>
      </c>
      <c r="B547" s="1175" t="inlineStr">
        <is>
          <t>阳曲县蔚蓝新能源有限公司</t>
        </is>
      </c>
      <c r="C547" s="1175" t="inlineStr">
        <is>
          <t>G_DUMMY</t>
        </is>
      </c>
      <c r="D547" s="1175" t="inlineStr">
        <is>
          <t>否</t>
        </is>
      </c>
    </row>
    <row r="548">
      <c r="A548" s="1175" t="inlineStr">
        <is>
          <t>E100849</t>
        </is>
      </c>
      <c r="B548" s="1175" t="inlineStr">
        <is>
          <t>正定启阳光伏发电有限公司</t>
        </is>
      </c>
      <c r="C548" s="1175" t="inlineStr">
        <is>
          <t>G_DUMMY</t>
        </is>
      </c>
      <c r="D548" s="1175" t="inlineStr">
        <is>
          <t>否</t>
        </is>
      </c>
    </row>
    <row r="549">
      <c r="A549" s="1175" t="inlineStr">
        <is>
          <t>E100850</t>
        </is>
      </c>
      <c r="B549" s="1175" t="inlineStr">
        <is>
          <t>邢台信诺新能源开发有限公司</t>
        </is>
      </c>
      <c r="C549" s="1175" t="inlineStr">
        <is>
          <t>G_DUMMY</t>
        </is>
      </c>
      <c r="D549" s="1175" t="inlineStr">
        <is>
          <t>否</t>
        </is>
      </c>
    </row>
    <row r="550">
      <c r="A550" s="1175" t="inlineStr">
        <is>
          <t>E100851</t>
        </is>
      </c>
      <c r="B550" s="1175" t="inlineStr">
        <is>
          <t>河北盈坤新能源开发有限公司</t>
        </is>
      </c>
      <c r="C550" s="1175" t="inlineStr">
        <is>
          <t>G_DUMMY</t>
        </is>
      </c>
      <c r="D550" s="1175" t="inlineStr">
        <is>
          <t>否</t>
        </is>
      </c>
    </row>
    <row r="551">
      <c r="A551" s="1175" t="inlineStr">
        <is>
          <t>E100852</t>
        </is>
      </c>
      <c r="B551" s="1175" t="inlineStr">
        <is>
          <t>成安县华辉新能源科技有限公司</t>
        </is>
      </c>
      <c r="C551" s="1175" t="inlineStr">
        <is>
          <t>G_DUMMY</t>
        </is>
      </c>
      <c r="D551" s="1175" t="inlineStr">
        <is>
          <t>否</t>
        </is>
      </c>
    </row>
    <row r="552">
      <c r="A552" s="1175" t="inlineStr">
        <is>
          <t>E100853</t>
        </is>
      </c>
      <c r="B552" s="1175" t="inlineStr">
        <is>
          <t>京能大同热力有限公司基建</t>
        </is>
      </c>
      <c r="C552" s="1175" t="inlineStr">
        <is>
          <t>G_DUMMY</t>
        </is>
      </c>
      <c r="D552" s="1175" t="inlineStr">
        <is>
          <t>否</t>
        </is>
      </c>
    </row>
    <row r="553">
      <c r="A553" s="1175" t="inlineStr">
        <is>
          <t>E100854</t>
        </is>
      </c>
      <c r="B553" s="1175" t="inlineStr">
        <is>
          <t>阳春市招联绿辉光伏发电有限公司</t>
        </is>
      </c>
      <c r="C553" s="1175" t="inlineStr">
        <is>
          <t>G_DUMMY</t>
        </is>
      </c>
      <c r="D553" s="1175" t="inlineStr">
        <is>
          <t>否</t>
        </is>
      </c>
    </row>
    <row r="554">
      <c r="A554" s="1175" t="inlineStr">
        <is>
          <t>E100855</t>
        </is>
      </c>
      <c r="B554" s="1175" t="inlineStr">
        <is>
          <t>宁夏盐池凯能光伏发电有限公司</t>
        </is>
      </c>
      <c r="C554" s="1175" t="inlineStr">
        <is>
          <t>G_DUMMY</t>
        </is>
      </c>
      <c r="D554" s="1175" t="inlineStr">
        <is>
          <t>否</t>
        </is>
      </c>
    </row>
    <row r="555">
      <c r="A555" s="1175" t="inlineStr">
        <is>
          <t>E100856</t>
        </is>
      </c>
      <c r="B555" s="1175" t="inlineStr">
        <is>
          <t>海东市乐都区融智新能源开发有限公司</t>
        </is>
      </c>
      <c r="C555" s="1175" t="inlineStr">
        <is>
          <t>G_DUMMY</t>
        </is>
      </c>
      <c r="D555" s="1175" t="inlineStr">
        <is>
          <t>否</t>
        </is>
      </c>
    </row>
    <row r="556">
      <c r="A556" s="1175" t="inlineStr">
        <is>
          <t>E100857</t>
        </is>
      </c>
      <c r="B556" s="1175" t="inlineStr">
        <is>
          <t>北京市热力集团有限责任公司基建办</t>
        </is>
      </c>
      <c r="C556" s="1175" t="inlineStr">
        <is>
          <t>G_DUMMY</t>
        </is>
      </c>
      <c r="D556" s="1175" t="inlineStr">
        <is>
          <t>否</t>
        </is>
      </c>
    </row>
    <row r="557">
      <c r="A557" s="1175" t="inlineStr">
        <is>
          <t>E100858</t>
        </is>
      </c>
      <c r="B557" s="1175" t="inlineStr">
        <is>
          <t>北京京能能源科技并购投资基金（有限合伙）</t>
        </is>
      </c>
      <c r="C557" s="1175" t="inlineStr">
        <is>
          <t>G_DUMMY</t>
        </is>
      </c>
      <c r="D557" s="1175" t="inlineStr">
        <is>
          <t>否</t>
        </is>
      </c>
    </row>
    <row r="558">
      <c r="A558" s="1175" t="inlineStr">
        <is>
          <t>E100859</t>
        </is>
      </c>
      <c r="B558" s="1175" t="inlineStr">
        <is>
          <t>北京诚和敬驿站养老服务有限公司</t>
        </is>
      </c>
      <c r="C558" s="1175" t="inlineStr">
        <is>
          <t>G_DUMMY</t>
        </is>
      </c>
      <c r="D558" s="1175" t="inlineStr">
        <is>
          <t>否</t>
        </is>
      </c>
    </row>
    <row r="559">
      <c r="A559" s="1175" t="inlineStr">
        <is>
          <t>E100860</t>
        </is>
      </c>
      <c r="B559" s="1175" t="inlineStr">
        <is>
          <t>北京京能绿色能源并购投资基金（有限合伙）</t>
        </is>
      </c>
      <c r="C559" s="1175" t="inlineStr">
        <is>
          <t>G_DUMMY</t>
        </is>
      </c>
      <c r="D559" s="1175" t="inlineStr">
        <is>
          <t>否</t>
        </is>
      </c>
    </row>
    <row r="560">
      <c r="A560" s="1175" t="inlineStr">
        <is>
          <t>E100861</t>
        </is>
      </c>
      <c r="B560" s="1175" t="inlineStr">
        <is>
          <t>京能阿巴嘎旗生态科技有限公司</t>
        </is>
      </c>
      <c r="C560" s="1175" t="inlineStr">
        <is>
          <t>G_DUMMY</t>
        </is>
      </c>
      <c r="D560" s="1175" t="inlineStr">
        <is>
          <t>否</t>
        </is>
      </c>
    </row>
    <row r="561">
      <c r="A561" s="1175" t="inlineStr">
        <is>
          <t>E100862</t>
        </is>
      </c>
      <c r="B561" s="1175" t="inlineStr">
        <is>
          <t>京能玉门新能源有限公司</t>
        </is>
      </c>
      <c r="C561" s="1175" t="inlineStr">
        <is>
          <t>G_DUMMY</t>
        </is>
      </c>
      <c r="D561" s="1175" t="inlineStr">
        <is>
          <t>否</t>
        </is>
      </c>
    </row>
    <row r="562">
      <c r="A562" s="1175" t="inlineStr">
        <is>
          <t>E100863</t>
        </is>
      </c>
      <c r="B562" s="1175" t="inlineStr">
        <is>
          <t>京骐（玉门）新能源有限公司</t>
        </is>
      </c>
      <c r="C562" s="1175" t="inlineStr">
        <is>
          <t>G_DUMMY</t>
        </is>
      </c>
      <c r="D562" s="1175" t="inlineStr">
        <is>
          <t>否</t>
        </is>
      </c>
    </row>
    <row r="563">
      <c r="A563" s="1175" t="inlineStr">
        <is>
          <t>E100864</t>
        </is>
      </c>
      <c r="B563" s="1175" t="inlineStr">
        <is>
          <t>西藏中自新能源技术有限公司</t>
        </is>
      </c>
      <c r="C563" s="1175" t="inlineStr">
        <is>
          <t>G_DUMMY</t>
        </is>
      </c>
      <c r="D563" s="1175" t="inlineStr">
        <is>
          <t>否</t>
        </is>
      </c>
    </row>
    <row r="564">
      <c r="A564" s="1175" t="inlineStr">
        <is>
          <t>E100881</t>
        </is>
      </c>
      <c r="B564" s="1175" t="inlineStr">
        <is>
          <t>China Solar Power Group Limited</t>
        </is>
      </c>
      <c r="C564" s="1175" t="inlineStr">
        <is>
          <t>G_DUMMY</t>
        </is>
      </c>
      <c r="D564" s="1175" t="inlineStr">
        <is>
          <t>否</t>
        </is>
      </c>
    </row>
    <row r="565">
      <c r="A565" s="1175" t="inlineStr">
        <is>
          <t>E100882</t>
        </is>
      </c>
      <c r="B565" s="1175" t="inlineStr">
        <is>
          <t>China Technology New Energy Limited</t>
        </is>
      </c>
      <c r="C565" s="1175" t="inlineStr">
        <is>
          <t>G_DUMMY</t>
        </is>
      </c>
      <c r="D565" s="1175" t="inlineStr">
        <is>
          <t>否</t>
        </is>
      </c>
    </row>
    <row r="566">
      <c r="A566" s="1175" t="inlineStr">
        <is>
          <t>E100883</t>
        </is>
      </c>
      <c r="B566" s="1175" t="inlineStr">
        <is>
          <t>Beijing Energy International Investment Limited</t>
        </is>
      </c>
      <c r="C566" s="1175" t="inlineStr">
        <is>
          <t>G_DUMMY</t>
        </is>
      </c>
      <c r="D566" s="1175" t="inlineStr">
        <is>
          <t>否</t>
        </is>
      </c>
    </row>
    <row r="567">
      <c r="A567" s="1175" t="inlineStr">
        <is>
          <t>E100884</t>
        </is>
      </c>
      <c r="B567" s="1175" t="inlineStr">
        <is>
          <t>高安京能赛拉弗光伏发电有限公司</t>
        </is>
      </c>
      <c r="C567" s="1175" t="inlineStr">
        <is>
          <t>G_DUMMY</t>
        </is>
      </c>
      <c r="D567" s="1175" t="inlineStr">
        <is>
          <t>否</t>
        </is>
      </c>
    </row>
    <row r="568">
      <c r="A568" s="1175" t="inlineStr">
        <is>
          <t>E100885</t>
        </is>
      </c>
      <c r="B568" s="1175" t="inlineStr">
        <is>
          <t>京能（乳山）新能源有限公司</t>
        </is>
      </c>
      <c r="C568" s="1175" t="inlineStr">
        <is>
          <t>G_DUMMY</t>
        </is>
      </c>
      <c r="D568" s="1175" t="inlineStr">
        <is>
          <t>否</t>
        </is>
      </c>
    </row>
    <row r="569">
      <c r="A569" s="1175" t="inlineStr">
        <is>
          <t>E100886</t>
        </is>
      </c>
      <c r="B569" s="1175" t="inlineStr">
        <is>
          <t>京能（鞍山）新能源有限公司</t>
        </is>
      </c>
      <c r="C569" s="1175" t="inlineStr">
        <is>
          <t>G_DUMMY</t>
        </is>
      </c>
      <c r="D569" s="1175" t="inlineStr">
        <is>
          <t>否</t>
        </is>
      </c>
    </row>
    <row r="570">
      <c r="A570" s="1175" t="inlineStr">
        <is>
          <t>E100887</t>
        </is>
      </c>
      <c r="B570" s="1175" t="inlineStr">
        <is>
          <t>京能（荣成）新能源有限公司</t>
        </is>
      </c>
      <c r="C570" s="1175" t="inlineStr">
        <is>
          <t>G_DUMMY</t>
        </is>
      </c>
      <c r="D570" s="1175" t="inlineStr">
        <is>
          <t>否</t>
        </is>
      </c>
    </row>
    <row r="571">
      <c r="A571" s="1175" t="inlineStr">
        <is>
          <t>E100888</t>
        </is>
      </c>
      <c r="B571" s="1175" t="inlineStr">
        <is>
          <t>京济（临沂）新能源技术有限公司</t>
        </is>
      </c>
      <c r="C571" s="1175" t="inlineStr">
        <is>
          <t>G_DUMMY</t>
        </is>
      </c>
      <c r="D571" s="1175" t="inlineStr">
        <is>
          <t>否</t>
        </is>
      </c>
    </row>
    <row r="572">
      <c r="A572" s="1175" t="inlineStr">
        <is>
          <t>E100889</t>
        </is>
      </c>
      <c r="B572" s="1175" t="inlineStr">
        <is>
          <t>京能（德城区）新能源科技有限公司</t>
        </is>
      </c>
      <c r="C572" s="1175" t="inlineStr">
        <is>
          <t>G_DUMMY</t>
        </is>
      </c>
      <c r="D572" s="1175" t="inlineStr">
        <is>
          <t>否</t>
        </is>
      </c>
    </row>
    <row r="573">
      <c r="A573" s="1175" t="inlineStr">
        <is>
          <t>E100890</t>
        </is>
      </c>
      <c r="B573" s="1175" t="inlineStr">
        <is>
          <t>德州聚盛新能源科技有限公司</t>
        </is>
      </c>
      <c r="C573" s="1175" t="inlineStr">
        <is>
          <t>G_DUMMY</t>
        </is>
      </c>
      <c r="D573" s="1175" t="inlineStr">
        <is>
          <t>否</t>
        </is>
      </c>
    </row>
    <row r="574">
      <c r="A574" s="1175" t="inlineStr">
        <is>
          <t>E100891</t>
        </is>
      </c>
      <c r="B574" s="1175" t="inlineStr">
        <is>
          <t>京能（莱州）新能源有限公司</t>
        </is>
      </c>
      <c r="C574" s="1175" t="inlineStr">
        <is>
          <t>G_DUMMY</t>
        </is>
      </c>
      <c r="D574" s="1175" t="inlineStr">
        <is>
          <t>否</t>
        </is>
      </c>
    </row>
    <row r="575">
      <c r="A575" s="1175" t="inlineStr">
        <is>
          <t>E100892</t>
        </is>
      </c>
      <c r="B575" s="1175" t="inlineStr">
        <is>
          <t>京能（莱阳）新能源有限公司</t>
        </is>
      </c>
      <c r="C575" s="1175" t="inlineStr">
        <is>
          <t>G_DUMMY</t>
        </is>
      </c>
      <c r="D575" s="1175" t="inlineStr">
        <is>
          <t>否</t>
        </is>
      </c>
    </row>
    <row r="576">
      <c r="A576" s="1175" t="inlineStr">
        <is>
          <t>E100893</t>
        </is>
      </c>
      <c r="B576" s="1175" t="inlineStr">
        <is>
          <t>纽莱（威海）新能源有限公司</t>
        </is>
      </c>
      <c r="C576" s="1175" t="inlineStr">
        <is>
          <t>G_DUMMY</t>
        </is>
      </c>
      <c r="D576" s="1175" t="inlineStr">
        <is>
          <t>否</t>
        </is>
      </c>
    </row>
    <row r="577">
      <c r="A577" s="1175" t="inlineStr">
        <is>
          <t>E100894</t>
        </is>
      </c>
      <c r="B577" s="1175" t="inlineStr">
        <is>
          <t>京能国际（高邮）新能源有限公司</t>
        </is>
      </c>
      <c r="C577" s="1175" t="inlineStr">
        <is>
          <t>G_DUMMY</t>
        </is>
      </c>
      <c r="D577" s="1175" t="inlineStr">
        <is>
          <t>否</t>
        </is>
      </c>
    </row>
    <row r="578">
      <c r="A578" s="1175" t="inlineStr">
        <is>
          <t>E100895</t>
        </is>
      </c>
      <c r="B578" s="1175" t="inlineStr">
        <is>
          <t>京临（沂水）新能源有限公司</t>
        </is>
      </c>
      <c r="C578" s="1175" t="inlineStr">
        <is>
          <t>G_DUMMY</t>
        </is>
      </c>
      <c r="D578" s="1175" t="inlineStr">
        <is>
          <t>否</t>
        </is>
      </c>
    </row>
    <row r="579">
      <c r="A579" s="1175" t="inlineStr">
        <is>
          <t>E100896</t>
        </is>
      </c>
      <c r="B579" s="1175" t="inlineStr">
        <is>
          <t>京能（兴城）新能源有限公司</t>
        </is>
      </c>
      <c r="C579" s="1175" t="inlineStr">
        <is>
          <t>G_DUMMY</t>
        </is>
      </c>
      <c r="D579" s="1175" t="inlineStr">
        <is>
          <t>否</t>
        </is>
      </c>
    </row>
    <row r="580">
      <c r="A580" s="1175" t="inlineStr">
        <is>
          <t>E100897</t>
        </is>
      </c>
      <c r="B580" s="1175" t="inlineStr">
        <is>
          <t>京能（承德县）新能源有限公司</t>
        </is>
      </c>
      <c r="C580" s="1175" t="inlineStr">
        <is>
          <t>G_DUMMY</t>
        </is>
      </c>
      <c r="D580" s="1175" t="inlineStr">
        <is>
          <t>否</t>
        </is>
      </c>
    </row>
    <row r="581">
      <c r="A581" s="1175" t="inlineStr">
        <is>
          <t>E100898</t>
        </is>
      </c>
      <c r="B581" s="1175" t="inlineStr">
        <is>
          <t>京莱（张家口）新能源有限公司</t>
        </is>
      </c>
      <c r="C581" s="1175" t="inlineStr">
        <is>
          <t>G_DUMMY</t>
        </is>
      </c>
      <c r="D581" s="1175" t="inlineStr">
        <is>
          <t>否</t>
        </is>
      </c>
    </row>
    <row r="582">
      <c r="A582" s="1175" t="inlineStr">
        <is>
          <t>E100899</t>
        </is>
      </c>
      <c r="B582" s="1175" t="inlineStr">
        <is>
          <t>北京京云穆家峪新能源有限公司</t>
        </is>
      </c>
      <c r="C582" s="1175" t="inlineStr">
        <is>
          <t>G_DUMMY</t>
        </is>
      </c>
      <c r="D582" s="1175" t="inlineStr">
        <is>
          <t>否</t>
        </is>
      </c>
    </row>
    <row r="583">
      <c r="A583" s="1175" t="inlineStr">
        <is>
          <t>E100900</t>
        </is>
      </c>
      <c r="B583" s="1175" t="inlineStr">
        <is>
          <t>京能（牟定）新能源有限公司</t>
        </is>
      </c>
      <c r="C583" s="1175" t="inlineStr">
        <is>
          <t>G_DUMMY</t>
        </is>
      </c>
      <c r="D583" s="1175" t="inlineStr">
        <is>
          <t>否</t>
        </is>
      </c>
    </row>
    <row r="584">
      <c r="A584" s="1175" t="inlineStr">
        <is>
          <t>E100901</t>
        </is>
      </c>
      <c r="B584" s="1175" t="inlineStr">
        <is>
          <t>深圳前海京平新能源技术服务有限公司</t>
        </is>
      </c>
      <c r="C584" s="1175" t="inlineStr">
        <is>
          <t>G_DUMMY</t>
        </is>
      </c>
      <c r="D584" s="1175" t="inlineStr">
        <is>
          <t>否</t>
        </is>
      </c>
    </row>
    <row r="585">
      <c r="A585" s="1175" t="inlineStr">
        <is>
          <t>E100902</t>
        </is>
      </c>
      <c r="B585" s="1175" t="inlineStr">
        <is>
          <t>张家口丝绸之路新能源有限公司</t>
        </is>
      </c>
      <c r="C585" s="1175" t="inlineStr">
        <is>
          <t>G_DUMMY</t>
        </is>
      </c>
      <c r="D585" s="1175" t="inlineStr">
        <is>
          <t>否</t>
        </is>
      </c>
    </row>
    <row r="586">
      <c r="A586" s="1175" t="inlineStr">
        <is>
          <t>E100903</t>
        </is>
      </c>
      <c r="B586" s="1175" t="inlineStr">
        <is>
          <t>唐山招新生态农业开发有限公司</t>
        </is>
      </c>
      <c r="C586" s="1175" t="inlineStr">
        <is>
          <t>G_DUMMY</t>
        </is>
      </c>
      <c r="D586" s="1175" t="inlineStr">
        <is>
          <t>否</t>
        </is>
      </c>
    </row>
    <row r="587">
      <c r="A587" s="1175" t="inlineStr">
        <is>
          <t>E100904</t>
        </is>
      </c>
      <c r="B587" s="1175" t="inlineStr">
        <is>
          <t>灵石京合光伏发电有限公司</t>
        </is>
      </c>
      <c r="C587" s="1175" t="inlineStr">
        <is>
          <t>G_DUMMY</t>
        </is>
      </c>
      <c r="D587" s="1175" t="inlineStr">
        <is>
          <t>否</t>
        </is>
      </c>
    </row>
    <row r="588">
      <c r="A588" s="1175" t="inlineStr">
        <is>
          <t>E100905</t>
        </is>
      </c>
      <c r="B588" s="1175" t="inlineStr">
        <is>
          <t>南宫市国顺新能源科技有限公司</t>
        </is>
      </c>
      <c r="C588" s="1175" t="inlineStr">
        <is>
          <t>G_DUMMY</t>
        </is>
      </c>
      <c r="D588" s="1175" t="inlineStr">
        <is>
          <t>否</t>
        </is>
      </c>
    </row>
    <row r="589">
      <c r="A589" s="1175" t="inlineStr">
        <is>
          <t>E100906</t>
        </is>
      </c>
      <c r="B589" s="1175" t="inlineStr">
        <is>
          <t>广宗县国瑞能源有限公司</t>
        </is>
      </c>
      <c r="C589" s="1175" t="inlineStr">
        <is>
          <t>G_DUMMY</t>
        </is>
      </c>
      <c r="D589" s="1175" t="inlineStr">
        <is>
          <t>否</t>
        </is>
      </c>
    </row>
    <row r="590">
      <c r="A590" s="1175" t="inlineStr">
        <is>
          <t>E100907</t>
        </is>
      </c>
      <c r="B590" s="1175" t="inlineStr">
        <is>
          <t>隆尧县国昌新能源科技有限公司</t>
        </is>
      </c>
      <c r="C590" s="1175" t="inlineStr">
        <is>
          <t>G_DUMMY</t>
        </is>
      </c>
      <c r="D590" s="1175" t="inlineStr">
        <is>
          <t>否</t>
        </is>
      </c>
    </row>
    <row r="591">
      <c r="A591" s="1175" t="inlineStr">
        <is>
          <t>E100908</t>
        </is>
      </c>
      <c r="B591" s="1175" t="inlineStr">
        <is>
          <t>北京通力日昇新能源科技有限公司</t>
        </is>
      </c>
      <c r="C591" s="1175" t="inlineStr">
        <is>
          <t>G_DUMMY</t>
        </is>
      </c>
      <c r="D591" s="1175" t="inlineStr">
        <is>
          <t>否</t>
        </is>
      </c>
    </row>
    <row r="592">
      <c r="A592" s="1175" t="inlineStr">
        <is>
          <t>E100909</t>
        </is>
      </c>
      <c r="B592" s="1175" t="inlineStr">
        <is>
          <t>六安华钦新能源有限公司</t>
        </is>
      </c>
      <c r="C592" s="1175" t="inlineStr">
        <is>
          <t>G_DUMMY</t>
        </is>
      </c>
      <c r="D592" s="1175" t="inlineStr">
        <is>
          <t>否</t>
        </is>
      </c>
    </row>
    <row r="593">
      <c r="A593" s="1175" t="inlineStr">
        <is>
          <t>E100910</t>
        </is>
      </c>
      <c r="B593" s="1175" t="inlineStr">
        <is>
          <t>霍邱县华钦新能源有限公司</t>
        </is>
      </c>
      <c r="C593" s="1175" t="inlineStr">
        <is>
          <t>G_DUMMY</t>
        </is>
      </c>
      <c r="D593" s="1175" t="inlineStr">
        <is>
          <t>否</t>
        </is>
      </c>
    </row>
    <row r="594">
      <c r="A594" s="1175" t="inlineStr">
        <is>
          <t>E100911</t>
        </is>
      </c>
      <c r="B594" s="1175" t="inlineStr">
        <is>
          <t>河北度凯新能源科技有限公司</t>
        </is>
      </c>
      <c r="C594" s="1175" t="inlineStr">
        <is>
          <t>G_DUMMY</t>
        </is>
      </c>
      <c r="D594" s="1175" t="inlineStr">
        <is>
          <t>否</t>
        </is>
      </c>
    </row>
    <row r="595">
      <c r="A595" s="1175" t="inlineStr">
        <is>
          <t>E100912</t>
        </is>
      </c>
      <c r="B595" s="1175" t="inlineStr">
        <is>
          <t>光山县辉达新能源科技有限公司</t>
        </is>
      </c>
      <c r="C595" s="1175" t="inlineStr">
        <is>
          <t>G_DUMMY</t>
        </is>
      </c>
      <c r="D595" s="1175" t="inlineStr">
        <is>
          <t>否</t>
        </is>
      </c>
    </row>
    <row r="596">
      <c r="A596" s="1175" t="inlineStr">
        <is>
          <t>E100913</t>
        </is>
      </c>
      <c r="B596" s="1175" t="inlineStr">
        <is>
          <t>隆尧县烁昇新能源科技有限公司</t>
        </is>
      </c>
      <c r="C596" s="1175" t="inlineStr">
        <is>
          <t>G_DUMMY</t>
        </is>
      </c>
      <c r="D596" s="1175" t="inlineStr">
        <is>
          <t>否</t>
        </is>
      </c>
    </row>
    <row r="597">
      <c r="A597" s="1175" t="inlineStr">
        <is>
          <t>E100914</t>
        </is>
      </c>
      <c r="B597" s="1175" t="inlineStr">
        <is>
          <t>邢台市邦力新能源科技有限公司</t>
        </is>
      </c>
      <c r="C597" s="1175" t="inlineStr">
        <is>
          <t>G_DUMMY</t>
        </is>
      </c>
      <c r="D597" s="1175" t="inlineStr">
        <is>
          <t>否</t>
        </is>
      </c>
    </row>
    <row r="598">
      <c r="A598" s="1175" t="inlineStr">
        <is>
          <t>E100915</t>
        </is>
      </c>
      <c r="B598" s="1175" t="inlineStr">
        <is>
          <t>涉县耀光新能源科技有限公司</t>
        </is>
      </c>
      <c r="C598" s="1175" t="inlineStr">
        <is>
          <t>G_DUMMY</t>
        </is>
      </c>
      <c r="D598" s="1175" t="inlineStr">
        <is>
          <t>否</t>
        </is>
      </c>
    </row>
    <row r="599">
      <c r="A599" s="1175" t="inlineStr">
        <is>
          <t>E100916</t>
        </is>
      </c>
      <c r="B599" s="1175" t="inlineStr">
        <is>
          <t>焦作市盈聚新能源科技有限公司</t>
        </is>
      </c>
      <c r="C599" s="1175" t="inlineStr">
        <is>
          <t>G_DUMMY</t>
        </is>
      </c>
      <c r="D599" s="1175" t="inlineStr">
        <is>
          <t>否</t>
        </is>
      </c>
    </row>
    <row r="600">
      <c r="A600" s="1175" t="inlineStr">
        <is>
          <t>E100917</t>
        </is>
      </c>
      <c r="B600" s="1175" t="inlineStr">
        <is>
          <t>绍兴昱耀新能源科技有限公司</t>
        </is>
      </c>
      <c r="C600" s="1175" t="inlineStr">
        <is>
          <t>G_DUMMY</t>
        </is>
      </c>
      <c r="D600" s="1175" t="inlineStr">
        <is>
          <t>否</t>
        </is>
      </c>
    </row>
    <row r="601">
      <c r="A601" s="1175" t="inlineStr">
        <is>
          <t>E100918</t>
        </is>
      </c>
      <c r="B601" s="1175" t="inlineStr">
        <is>
          <t>绍兴上虞昱煌新能源科技有限公司</t>
        </is>
      </c>
      <c r="C601" s="1175" t="inlineStr">
        <is>
          <t>G_DUMMY</t>
        </is>
      </c>
      <c r="D601" s="1175" t="inlineStr">
        <is>
          <t>否</t>
        </is>
      </c>
    </row>
    <row r="602">
      <c r="A602" s="1175" t="inlineStr">
        <is>
          <t>E100919</t>
        </is>
      </c>
      <c r="B602" s="1175" t="inlineStr">
        <is>
          <t>五莲县鹏光新能源有限公司</t>
        </is>
      </c>
      <c r="C602" s="1175" t="inlineStr">
        <is>
          <t>G_DUMMY</t>
        </is>
      </c>
      <c r="D602" s="1175" t="inlineStr">
        <is>
          <t>否</t>
        </is>
      </c>
    </row>
    <row r="603">
      <c r="A603" s="1175" t="inlineStr">
        <is>
          <t>E100920</t>
        </is>
      </c>
      <c r="B603" s="1175" t="inlineStr">
        <is>
          <t>五莲县宁旭新能源有限公司</t>
        </is>
      </c>
      <c r="C603" s="1175" t="inlineStr">
        <is>
          <t>G_DUMMY</t>
        </is>
      </c>
      <c r="D603" s="1175" t="inlineStr">
        <is>
          <t>否</t>
        </is>
      </c>
    </row>
    <row r="604">
      <c r="A604" s="1175" t="inlineStr">
        <is>
          <t>E100921</t>
        </is>
      </c>
      <c r="B604" s="1175" t="inlineStr">
        <is>
          <t>北京京能绿通新能源有限公司</t>
        </is>
      </c>
      <c r="C604" s="1175" t="inlineStr">
        <is>
          <t>G_DUMMY</t>
        </is>
      </c>
      <c r="D604" s="1175" t="inlineStr">
        <is>
          <t>否</t>
        </is>
      </c>
    </row>
    <row r="605">
      <c r="A605" s="1175" t="inlineStr">
        <is>
          <t>E100922</t>
        </is>
      </c>
      <c r="B605" s="1175" t="inlineStr">
        <is>
          <t>京傲（达茂）新能源有限公司</t>
        </is>
      </c>
      <c r="C605" s="1175" t="inlineStr">
        <is>
          <t>G_DUMMY</t>
        </is>
      </c>
      <c r="D605" s="1175" t="inlineStr">
        <is>
          <t>否</t>
        </is>
      </c>
    </row>
    <row r="606">
      <c r="A606" s="1175" t="inlineStr">
        <is>
          <t>E100923</t>
        </is>
      </c>
      <c r="B606" s="1175" t="inlineStr">
        <is>
          <t>武汉京能低碳新能源有限公司</t>
        </is>
      </c>
      <c r="C606" s="1175" t="inlineStr">
        <is>
          <t>G_DUMMY</t>
        </is>
      </c>
      <c r="D606" s="1175" t="inlineStr">
        <is>
          <t>否</t>
        </is>
      </c>
    </row>
    <row r="607">
      <c r="A607" s="1175" t="inlineStr">
        <is>
          <t>E100924</t>
        </is>
      </c>
      <c r="B607" s="1175" t="inlineStr">
        <is>
          <t>白城市华儒新能源开发有限公司</t>
        </is>
      </c>
      <c r="C607" s="1175" t="inlineStr">
        <is>
          <t>G_DUMMY</t>
        </is>
      </c>
      <c r="D607" s="1175" t="inlineStr">
        <is>
          <t>否</t>
        </is>
      </c>
    </row>
    <row r="608">
      <c r="A608" s="1175" t="inlineStr">
        <is>
          <t>E100925</t>
        </is>
      </c>
      <c r="B608" s="1175" t="inlineStr">
        <is>
          <t>平山县天汇能源科技有限公司</t>
        </is>
      </c>
      <c r="C608" s="1175" t="inlineStr">
        <is>
          <t>G_DUMMY</t>
        </is>
      </c>
      <c r="D608" s="1175" t="inlineStr">
        <is>
          <t>否</t>
        </is>
      </c>
    </row>
    <row r="609">
      <c r="A609" s="1175" t="inlineStr">
        <is>
          <t>E100926</t>
        </is>
      </c>
      <c r="B609" s="1175" t="inlineStr">
        <is>
          <t>浙江阿波溪仑光伏科技有限公司</t>
        </is>
      </c>
      <c r="C609" s="1175" t="inlineStr">
        <is>
          <t>G_DUMMY</t>
        </is>
      </c>
      <c r="D609" s="1175" t="inlineStr">
        <is>
          <t>否</t>
        </is>
      </c>
    </row>
    <row r="610">
      <c r="A610" s="1175" t="inlineStr">
        <is>
          <t>E100927</t>
        </is>
      </c>
      <c r="B610" s="1175" t="inlineStr">
        <is>
          <t>偏关县斯能风电有限公司</t>
        </is>
      </c>
      <c r="C610" s="1175" t="inlineStr">
        <is>
          <t>G_DUMMY</t>
        </is>
      </c>
      <c r="D610" s="1175" t="inlineStr">
        <is>
          <t>否</t>
        </is>
      </c>
    </row>
    <row r="611">
      <c r="A611" s="1175" t="inlineStr">
        <is>
          <t>E100928</t>
        </is>
      </c>
      <c r="B611" s="1175" t="inlineStr">
        <is>
          <t>南宫市国隆新能源科技有限公司</t>
        </is>
      </c>
      <c r="C611" s="1175" t="inlineStr">
        <is>
          <t>G_DUMMY</t>
        </is>
      </c>
      <c r="D611" s="1175" t="inlineStr">
        <is>
          <t>否</t>
        </is>
      </c>
    </row>
    <row r="612">
      <c r="A612" s="1175" t="inlineStr">
        <is>
          <t>E100929</t>
        </is>
      </c>
      <c r="B612" s="1175" t="inlineStr">
        <is>
          <t>和顺县斯能风电有限公司</t>
        </is>
      </c>
      <c r="C612" s="1175" t="inlineStr">
        <is>
          <t>G_DUMMY</t>
        </is>
      </c>
      <c r="D612" s="1175" t="inlineStr">
        <is>
          <t>否</t>
        </is>
      </c>
    </row>
    <row r="613">
      <c r="A613" s="1175" t="inlineStr">
        <is>
          <t>E100930</t>
        </is>
      </c>
      <c r="B613" s="1175" t="inlineStr">
        <is>
          <t>浑源斯能新能源有限公司</t>
        </is>
      </c>
      <c r="C613" s="1175" t="inlineStr">
        <is>
          <t>G_DUMMY</t>
        </is>
      </c>
      <c r="D613" s="1175" t="inlineStr">
        <is>
          <t>否</t>
        </is>
      </c>
    </row>
    <row r="614">
      <c r="A614" s="1175" t="inlineStr">
        <is>
          <t>E100931</t>
        </is>
      </c>
      <c r="B614" s="1175" t="inlineStr">
        <is>
          <t>南宫市国瑞新能源科技有限公司</t>
        </is>
      </c>
      <c r="C614" s="1175" t="inlineStr">
        <is>
          <t>G_DUMMY</t>
        </is>
      </c>
      <c r="D614" s="1175" t="inlineStr">
        <is>
          <t>否</t>
        </is>
      </c>
    </row>
    <row r="615">
      <c r="A615" s="1175" t="inlineStr">
        <is>
          <t>E100932</t>
        </is>
      </c>
      <c r="B615" s="1175" t="inlineStr">
        <is>
          <t>青海思迅新能源有限公司</t>
        </is>
      </c>
      <c r="C615" s="1175" t="inlineStr">
        <is>
          <t>G_DUMMY</t>
        </is>
      </c>
      <c r="D615" s="1175" t="inlineStr">
        <is>
          <t>否</t>
        </is>
      </c>
    </row>
    <row r="616">
      <c r="A616" s="1175" t="inlineStr">
        <is>
          <t>E100933</t>
        </is>
      </c>
      <c r="B616" s="1175" t="inlineStr">
        <is>
          <t>京莘（上海）新能源有限公司</t>
        </is>
      </c>
      <c r="C616" s="1175" t="inlineStr">
        <is>
          <t>G_DUMMY</t>
        </is>
      </c>
      <c r="D616" s="1175" t="inlineStr">
        <is>
          <t>否</t>
        </is>
      </c>
    </row>
    <row r="617">
      <c r="A617" s="1175" t="inlineStr">
        <is>
          <t>E100934</t>
        </is>
      </c>
      <c r="B617" s="1175" t="inlineStr">
        <is>
          <t>京伏（唐县）新能源开发有限公司</t>
        </is>
      </c>
      <c r="C617" s="1175" t="inlineStr">
        <is>
          <t>G_DUMMY</t>
        </is>
      </c>
      <c r="D617" s="1175" t="inlineStr">
        <is>
          <t>否</t>
        </is>
      </c>
    </row>
    <row r="618">
      <c r="A618" s="1175" t="inlineStr">
        <is>
          <t>E100935</t>
        </is>
      </c>
      <c r="B618" s="1175" t="inlineStr">
        <is>
          <t>诸城维奥新能源有限公司</t>
        </is>
      </c>
      <c r="C618" s="1175" t="inlineStr">
        <is>
          <t>G_DUMMY</t>
        </is>
      </c>
      <c r="D618" s="1175" t="inlineStr">
        <is>
          <t>否</t>
        </is>
      </c>
    </row>
    <row r="619">
      <c r="A619" s="1175" t="inlineStr">
        <is>
          <t>E100936</t>
        </is>
      </c>
      <c r="B619" s="1175" t="inlineStr">
        <is>
          <t>木垒县通川风光新能源有限公司</t>
        </is>
      </c>
      <c r="C619" s="1175" t="inlineStr">
        <is>
          <t>G_DUMMY</t>
        </is>
      </c>
      <c r="D619" s="1175" t="inlineStr">
        <is>
          <t>否</t>
        </is>
      </c>
    </row>
    <row r="620">
      <c r="A620" s="1175" t="inlineStr">
        <is>
          <t>E100937</t>
        </is>
      </c>
      <c r="B620" s="1175" t="inlineStr">
        <is>
          <t>兰州西固区京能新能源有限公司</t>
        </is>
      </c>
      <c r="C620" s="1175" t="inlineStr">
        <is>
          <t>G_DUMMY</t>
        </is>
      </c>
      <c r="D620" s="1175" t="inlineStr">
        <is>
          <t>否</t>
        </is>
      </c>
    </row>
    <row r="621">
      <c r="A621" s="1175" t="inlineStr">
        <is>
          <t>E100938</t>
        </is>
      </c>
      <c r="B621" s="1175" t="inlineStr">
        <is>
          <t>京能（怀安）新能源有限公司</t>
        </is>
      </c>
      <c r="C621" s="1175" t="inlineStr">
        <is>
          <t>G_DUMMY</t>
        </is>
      </c>
      <c r="D621" s="1175" t="inlineStr">
        <is>
          <t>否</t>
        </is>
      </c>
    </row>
    <row r="622">
      <c r="A622" s="1175" t="inlineStr">
        <is>
          <t>E100939</t>
        </is>
      </c>
      <c r="B622" s="1175" t="inlineStr">
        <is>
          <t>乌拉特后旗源海新能源有限责任公司</t>
        </is>
      </c>
      <c r="C622" s="1175" t="inlineStr">
        <is>
          <t>G_DUMMY</t>
        </is>
      </c>
      <c r="D622" s="1175" t="inlineStr">
        <is>
          <t>否</t>
        </is>
      </c>
    </row>
    <row r="623">
      <c r="A623" s="1175" t="inlineStr">
        <is>
          <t>E100940</t>
        </is>
      </c>
      <c r="B623" s="1175" t="inlineStr">
        <is>
          <t>榆林市江山永宸新能源有限公司</t>
        </is>
      </c>
      <c r="C623" s="1175" t="inlineStr">
        <is>
          <t>G_DUMMY</t>
        </is>
      </c>
      <c r="D623" s="1175" t="inlineStr">
        <is>
          <t>否</t>
        </is>
      </c>
    </row>
    <row r="624">
      <c r="A624" s="1175" t="inlineStr">
        <is>
          <t>E100941</t>
        </is>
      </c>
      <c r="B624" s="1175" t="inlineStr">
        <is>
          <t>北京国电盛唐科技发展有限公司</t>
        </is>
      </c>
      <c r="C624" s="1175" t="inlineStr">
        <is>
          <t>G_DUMMY</t>
        </is>
      </c>
      <c r="D624" s="1175" t="inlineStr">
        <is>
          <t>否</t>
        </is>
      </c>
    </row>
    <row r="625">
      <c r="A625" s="1175" t="inlineStr">
        <is>
          <t>E100942</t>
        </is>
      </c>
      <c r="B625" s="1175" t="inlineStr">
        <is>
          <t>玛纳斯京能新能源有限公司</t>
        </is>
      </c>
      <c r="C625" s="1175" t="inlineStr">
        <is>
          <t>G_DUMMY</t>
        </is>
      </c>
      <c r="D625" s="1175" t="inlineStr">
        <is>
          <t>否</t>
        </is>
      </c>
    </row>
    <row r="626">
      <c r="A626" s="1175" t="inlineStr">
        <is>
          <t>E100943</t>
        </is>
      </c>
      <c r="B626" s="1175" t="inlineStr">
        <is>
          <t>常州市智晖新能源有限公司</t>
        </is>
      </c>
      <c r="C626" s="1175" t="inlineStr">
        <is>
          <t>G_DUMMY</t>
        </is>
      </c>
      <c r="D626" s="1175" t="inlineStr">
        <is>
          <t>否</t>
        </is>
      </c>
    </row>
    <row r="627">
      <c r="A627" s="1175" t="inlineStr">
        <is>
          <t>E100944</t>
        </is>
      </c>
      <c r="B627" s="1175" t="inlineStr">
        <is>
          <t>招新诺能（常州）新能源有限公司</t>
        </is>
      </c>
      <c r="C627" s="1175" t="inlineStr">
        <is>
          <t>G_DUMMY</t>
        </is>
      </c>
      <c r="D627" s="1175" t="inlineStr">
        <is>
          <t>否</t>
        </is>
      </c>
    </row>
    <row r="628">
      <c r="A628" s="1175" t="inlineStr">
        <is>
          <t>E100945</t>
        </is>
      </c>
      <c r="B628" s="1175" t="inlineStr">
        <is>
          <t>唐山招新太阳能发电有限公司</t>
        </is>
      </c>
      <c r="C628" s="1175" t="inlineStr">
        <is>
          <t>G_DUMMY</t>
        </is>
      </c>
      <c r="D628" s="1175" t="inlineStr">
        <is>
          <t>否</t>
        </is>
      </c>
    </row>
    <row r="629">
      <c r="A629" s="1175" t="inlineStr">
        <is>
          <t>E100946</t>
        </is>
      </c>
      <c r="B629" s="1175" t="inlineStr">
        <is>
          <t>北京京能雁栖新能源技术有限公司</t>
        </is>
      </c>
      <c r="C629" s="1175" t="inlineStr">
        <is>
          <t>G_DUMMY</t>
        </is>
      </c>
      <c r="D629" s="1175" t="inlineStr">
        <is>
          <t>否</t>
        </is>
      </c>
    </row>
    <row r="630">
      <c r="A630" s="1175" t="inlineStr">
        <is>
          <t>E100947</t>
        </is>
      </c>
      <c r="B630" s="1175" t="inlineStr">
        <is>
          <t>山东新泰楼德佳阳光伏发电有限公司</t>
        </is>
      </c>
      <c r="C630" s="1175" t="inlineStr">
        <is>
          <t>G_DUMMY</t>
        </is>
      </c>
      <c r="D630" s="1175" t="inlineStr">
        <is>
          <t>否</t>
        </is>
      </c>
    </row>
    <row r="631">
      <c r="A631" s="1175" t="inlineStr">
        <is>
          <t>E100948</t>
        </is>
      </c>
      <c r="B631" s="1175" t="inlineStr">
        <is>
          <t>威县天海光伏发电有限公司</t>
        </is>
      </c>
      <c r="C631" s="1175" t="inlineStr">
        <is>
          <t>G_DUMMY</t>
        </is>
      </c>
      <c r="D631" s="1175" t="inlineStr">
        <is>
          <t>否</t>
        </is>
      </c>
    </row>
    <row r="632">
      <c r="A632" s="1175" t="inlineStr">
        <is>
          <t>E100949</t>
        </is>
      </c>
      <c r="B632" s="1175" t="inlineStr">
        <is>
          <t>常州晋合新能源有限公司</t>
        </is>
      </c>
      <c r="C632" s="1175" t="inlineStr">
        <is>
          <t>G_DUMMY</t>
        </is>
      </c>
      <c r="D632" s="1175" t="inlineStr">
        <is>
          <t>否</t>
        </is>
      </c>
    </row>
    <row r="633">
      <c r="A633" s="1175" t="inlineStr">
        <is>
          <t>E100950</t>
        </is>
      </c>
      <c r="B633" s="1175" t="inlineStr">
        <is>
          <t>内蒙古明华新能源股份有限公司</t>
        </is>
      </c>
      <c r="C633" s="1175" t="inlineStr">
        <is>
          <t>G_DUMMY</t>
        </is>
      </c>
      <c r="D633" s="1175" t="inlineStr">
        <is>
          <t>否</t>
        </is>
      </c>
    </row>
    <row r="634">
      <c r="A634" s="1175" t="inlineStr">
        <is>
          <t>E100951</t>
        </is>
      </c>
      <c r="B634" s="1175" t="inlineStr">
        <is>
          <t>内蒙古傲都能源有限公司</t>
        </is>
      </c>
      <c r="C634" s="1175" t="inlineStr">
        <is>
          <t>G_DUMMY</t>
        </is>
      </c>
      <c r="D634" s="1175" t="inlineStr">
        <is>
          <t>否</t>
        </is>
      </c>
    </row>
    <row r="635">
      <c r="A635" s="1175" t="inlineStr">
        <is>
          <t>E100952</t>
        </is>
      </c>
      <c r="B635" s="1175" t="inlineStr">
        <is>
          <t>呼和浩特市联合新能源开发有限公司</t>
        </is>
      </c>
      <c r="C635" s="1175" t="inlineStr">
        <is>
          <t>G_DUMMY</t>
        </is>
      </c>
      <c r="D635" s="1175" t="inlineStr">
        <is>
          <t>否</t>
        </is>
      </c>
    </row>
    <row r="636">
      <c r="A636" s="1175" t="inlineStr">
        <is>
          <t>E100953</t>
        </is>
      </c>
      <c r="B636" s="1175" t="inlineStr">
        <is>
          <t>清水河县惠民光伏发电有限公司</t>
        </is>
      </c>
      <c r="C636" s="1175" t="inlineStr">
        <is>
          <t>G_DUMMY</t>
        </is>
      </c>
      <c r="D636" s="1175" t="inlineStr">
        <is>
          <t>否</t>
        </is>
      </c>
    </row>
    <row r="637">
      <c r="A637" s="1175" t="inlineStr">
        <is>
          <t>E100954</t>
        </is>
      </c>
      <c r="B637" s="1175" t="inlineStr">
        <is>
          <t>大同联合光伏新能源有限公司</t>
        </is>
      </c>
      <c r="C637" s="1175" t="inlineStr">
        <is>
          <t>G_DUMMY</t>
        </is>
      </c>
      <c r="D637" s="1175" t="inlineStr">
        <is>
          <t>否</t>
        </is>
      </c>
    </row>
    <row r="638">
      <c r="A638" s="1175" t="inlineStr">
        <is>
          <t>E100955</t>
        </is>
      </c>
      <c r="B638" s="1175" t="inlineStr">
        <is>
          <t>常州鼎晖新能源有限公司</t>
        </is>
      </c>
      <c r="C638" s="1175" t="inlineStr">
        <is>
          <t>G_DUMMY</t>
        </is>
      </c>
      <c r="D638" s="1175" t="inlineStr">
        <is>
          <t>否</t>
        </is>
      </c>
    </row>
    <row r="639">
      <c r="A639" s="1175" t="inlineStr">
        <is>
          <t>E100956</t>
        </is>
      </c>
      <c r="B639" s="1175" t="inlineStr">
        <is>
          <t>常州光昱新能源有限公司</t>
        </is>
      </c>
      <c r="C639" s="1175" t="inlineStr">
        <is>
          <t>G_DUMMY</t>
        </is>
      </c>
      <c r="D639" s="1175" t="inlineStr">
        <is>
          <t>否</t>
        </is>
      </c>
    </row>
    <row r="640">
      <c r="A640" s="1175" t="inlineStr">
        <is>
          <t>E100957</t>
        </is>
      </c>
      <c r="B640" s="1175" t="inlineStr">
        <is>
          <t>常州市招联绿达新能源有限公司</t>
        </is>
      </c>
      <c r="C640" s="1175" t="inlineStr">
        <is>
          <t>G_DUMMY</t>
        </is>
      </c>
      <c r="D640" s="1175" t="inlineStr">
        <is>
          <t>否</t>
        </is>
      </c>
    </row>
    <row r="641">
      <c r="A641" s="1175" t="inlineStr">
        <is>
          <t>E100958</t>
        </is>
      </c>
      <c r="B641" s="1175" t="inlineStr">
        <is>
          <t>常州市招联绿港新能源有限公司</t>
        </is>
      </c>
      <c r="C641" s="1175" t="inlineStr">
        <is>
          <t>G_DUMMY</t>
        </is>
      </c>
      <c r="D641" s="1175" t="inlineStr">
        <is>
          <t>否</t>
        </is>
      </c>
    </row>
    <row r="642">
      <c r="A642" s="1175" t="inlineStr">
        <is>
          <t>E100959</t>
        </is>
      </c>
      <c r="B642" s="1175" t="inlineStr">
        <is>
          <t>昆明邦业新能源发电有限公司</t>
        </is>
      </c>
      <c r="C642" s="1175" t="inlineStr">
        <is>
          <t>G_DUMMY</t>
        </is>
      </c>
      <c r="D642" s="1175" t="inlineStr">
        <is>
          <t>否</t>
        </is>
      </c>
    </row>
    <row r="643">
      <c r="A643" s="1175" t="inlineStr">
        <is>
          <t>E100960</t>
        </is>
      </c>
      <c r="B643" s="1175" t="inlineStr">
        <is>
          <t>常州市晖达新能源有限公司</t>
        </is>
      </c>
      <c r="C643" s="1175" t="inlineStr">
        <is>
          <t>G_DUMMY</t>
        </is>
      </c>
      <c r="D643" s="1175" t="inlineStr">
        <is>
          <t>否</t>
        </is>
      </c>
    </row>
    <row r="644">
      <c r="A644" s="1175" t="inlineStr">
        <is>
          <t>E100961</t>
        </is>
      </c>
      <c r="B644" s="1175" t="inlineStr">
        <is>
          <t>惠州市晟合光电科技有限公司</t>
        </is>
      </c>
      <c r="C644" s="1175" t="inlineStr">
        <is>
          <t>G_DUMMY</t>
        </is>
      </c>
      <c r="D644" s="1175" t="inlineStr">
        <is>
          <t>否</t>
        </is>
      </c>
    </row>
    <row r="645">
      <c r="A645" s="1175" t="inlineStr">
        <is>
          <t>E100962</t>
        </is>
      </c>
      <c r="B645" s="1175" t="inlineStr">
        <is>
          <t>东源县老围光电科技有限公司</t>
        </is>
      </c>
      <c r="C645" s="1175" t="inlineStr">
        <is>
          <t>G_DUMMY</t>
        </is>
      </c>
      <c r="D645" s="1175" t="inlineStr">
        <is>
          <t>否</t>
        </is>
      </c>
    </row>
    <row r="646">
      <c r="A646" s="1175" t="inlineStr">
        <is>
          <t>E100963</t>
        </is>
      </c>
      <c r="B646" s="1175" t="inlineStr">
        <is>
          <t>丝绸之路新能源（常州）有限公司</t>
        </is>
      </c>
      <c r="C646" s="1175" t="inlineStr">
        <is>
          <t>G_DUMMY</t>
        </is>
      </c>
      <c r="D646" s="1175" t="inlineStr">
        <is>
          <t>否</t>
        </is>
      </c>
    </row>
    <row r="647">
      <c r="A647" s="1175" t="inlineStr">
        <is>
          <t>E100964</t>
        </is>
      </c>
      <c r="B647" s="1175" t="inlineStr">
        <is>
          <t>吐鲁番禾粟农业科技有限公司</t>
        </is>
      </c>
      <c r="C647" s="1175" t="inlineStr">
        <is>
          <t>G_DUMMY</t>
        </is>
      </c>
      <c r="D647" s="1175" t="inlineStr">
        <is>
          <t>否</t>
        </is>
      </c>
    </row>
    <row r="648">
      <c r="A648" s="1175" t="inlineStr">
        <is>
          <t>E100965</t>
        </is>
      </c>
      <c r="B648" s="1175" t="inlineStr">
        <is>
          <t>石拐丝绸之路光伏发电有限公司</t>
        </is>
      </c>
      <c r="C648" s="1175" t="inlineStr">
        <is>
          <t>G_DUMMY</t>
        </is>
      </c>
      <c r="D648" s="1175" t="inlineStr">
        <is>
          <t>否</t>
        </is>
      </c>
    </row>
    <row r="649">
      <c r="A649" s="1175" t="inlineStr">
        <is>
          <t>E100966</t>
        </is>
      </c>
      <c r="B649" s="1175" t="inlineStr">
        <is>
          <t>乡城联合光伏开发有限公司</t>
        </is>
      </c>
      <c r="C649" s="1175" t="inlineStr">
        <is>
          <t>G_DUMMY</t>
        </is>
      </c>
      <c r="D649" s="1175" t="inlineStr">
        <is>
          <t>否</t>
        </is>
      </c>
    </row>
    <row r="650">
      <c r="A650" s="1175" t="inlineStr">
        <is>
          <t>E100967</t>
        </is>
      </c>
      <c r="B650" s="1175" t="inlineStr">
        <is>
          <t>国电乌拉特后旗光伏发电有限公司</t>
        </is>
      </c>
      <c r="C650" s="1175" t="inlineStr">
        <is>
          <t>G_DUMMY</t>
        </is>
      </c>
      <c r="D650" s="1175" t="inlineStr">
        <is>
          <t>否</t>
        </is>
      </c>
    </row>
    <row r="651">
      <c r="A651" s="1175" t="inlineStr">
        <is>
          <t>E100968</t>
        </is>
      </c>
      <c r="B651" s="1175" t="inlineStr">
        <is>
          <t>国电察哈尔右翼前旗光伏发电有限公司</t>
        </is>
      </c>
      <c r="C651" s="1175" t="inlineStr">
        <is>
          <t>G_DUMMY</t>
        </is>
      </c>
      <c r="D651" s="1175" t="inlineStr">
        <is>
          <t>否</t>
        </is>
      </c>
    </row>
    <row r="652">
      <c r="A652" s="1175" t="inlineStr">
        <is>
          <t>E100969</t>
        </is>
      </c>
      <c r="B652" s="1175" t="inlineStr">
        <is>
          <t>国电托克托县光伏发电有限公司</t>
        </is>
      </c>
      <c r="C652" s="1175" t="inlineStr">
        <is>
          <t>G_DUMMY</t>
        </is>
      </c>
      <c r="D652" s="1175" t="inlineStr">
        <is>
          <t>否</t>
        </is>
      </c>
    </row>
    <row r="653">
      <c r="A653" s="1175" t="inlineStr">
        <is>
          <t>E100970</t>
        </is>
      </c>
      <c r="B653" s="1175" t="inlineStr">
        <is>
          <t>林周藏电开发有限公司</t>
        </is>
      </c>
      <c r="C653" s="1175" t="inlineStr">
        <is>
          <t>G_DUMMY</t>
        </is>
      </c>
      <c r="D653" s="1175" t="inlineStr">
        <is>
          <t>否</t>
        </is>
      </c>
    </row>
    <row r="654">
      <c r="A654" s="1175" t="inlineStr">
        <is>
          <t>E100971</t>
        </is>
      </c>
      <c r="B654" s="1175" t="inlineStr">
        <is>
          <t>曲水茂昌光伏产业发展有限公司</t>
        </is>
      </c>
      <c r="C654" s="1175" t="inlineStr">
        <is>
          <t>G_DUMMY</t>
        </is>
      </c>
      <c r="D654" s="1175" t="inlineStr">
        <is>
          <t>否</t>
        </is>
      </c>
    </row>
    <row r="655">
      <c r="A655" s="1175" t="inlineStr">
        <is>
          <t>E100972</t>
        </is>
      </c>
      <c r="B655" s="1175" t="inlineStr">
        <is>
          <t>商都县联合光伏发电有限公司</t>
        </is>
      </c>
      <c r="C655" s="1175" t="inlineStr">
        <is>
          <t>G_DUMMY</t>
        </is>
      </c>
      <c r="D655" s="1175" t="inlineStr">
        <is>
          <t>否</t>
        </is>
      </c>
    </row>
    <row r="656">
      <c r="A656" s="1175" t="inlineStr">
        <is>
          <t>E100973</t>
        </is>
      </c>
      <c r="B656" s="1175" t="inlineStr">
        <is>
          <t>察右前旗联合光伏发电有限公司</t>
        </is>
      </c>
      <c r="C656" s="1175" t="inlineStr">
        <is>
          <t>G_DUMMY</t>
        </is>
      </c>
      <c r="D656" s="1175" t="inlineStr">
        <is>
          <t>否</t>
        </is>
      </c>
    </row>
    <row r="657">
      <c r="A657" s="1175" t="inlineStr">
        <is>
          <t>E100974</t>
        </is>
      </c>
      <c r="B657" s="1175" t="inlineStr">
        <is>
          <t>内蒙古国润（察右前旗）发电有限公司</t>
        </is>
      </c>
      <c r="C657" s="1175" t="inlineStr">
        <is>
          <t>G_DUMMY</t>
        </is>
      </c>
      <c r="D657" s="1175" t="inlineStr">
        <is>
          <t>否</t>
        </is>
      </c>
    </row>
    <row r="658">
      <c r="A658" s="1175" t="inlineStr">
        <is>
          <t>E100975</t>
        </is>
      </c>
      <c r="B658" s="1175" t="inlineStr">
        <is>
          <t>卓资县陆阳新能源有限公司</t>
        </is>
      </c>
      <c r="C658" s="1175" t="inlineStr">
        <is>
          <t>G_DUMMY</t>
        </is>
      </c>
      <c r="D658" s="1175" t="inlineStr">
        <is>
          <t>否</t>
        </is>
      </c>
    </row>
    <row r="659">
      <c r="A659" s="1175" t="inlineStr">
        <is>
          <t>E100976</t>
        </is>
      </c>
      <c r="B659" s="1175" t="inlineStr">
        <is>
          <t>杭锦后旗国电光伏发电有限公司</t>
        </is>
      </c>
      <c r="C659" s="1175" t="inlineStr">
        <is>
          <t>G_DUMMY</t>
        </is>
      </c>
      <c r="D659" s="1175" t="inlineStr">
        <is>
          <t>否</t>
        </is>
      </c>
    </row>
    <row r="660">
      <c r="A660" s="1175" t="inlineStr">
        <is>
          <t>E100977</t>
        </is>
      </c>
      <c r="B660" s="1175" t="inlineStr">
        <is>
          <t>内蒙古国瑞农业有限公司</t>
        </is>
      </c>
      <c r="C660" s="1175" t="inlineStr">
        <is>
          <t>G_DUMMY</t>
        </is>
      </c>
      <c r="D660" s="1175" t="inlineStr">
        <is>
          <t>否</t>
        </is>
      </c>
    </row>
    <row r="661">
      <c r="A661" s="1175" t="inlineStr">
        <is>
          <t>E100978</t>
        </is>
      </c>
      <c r="B661" s="1175" t="inlineStr">
        <is>
          <t>常州市招联绿新新能源有限公司</t>
        </is>
      </c>
      <c r="C661" s="1175" t="inlineStr">
        <is>
          <t>G_DUMMY</t>
        </is>
      </c>
      <c r="D661" s="1175" t="inlineStr">
        <is>
          <t>否</t>
        </is>
      </c>
    </row>
    <row r="662">
      <c r="A662" s="1175" t="inlineStr">
        <is>
          <t>E100979</t>
        </is>
      </c>
      <c r="B662" s="1175" t="inlineStr">
        <is>
          <t>湖北晶泰光伏电力有限公司</t>
        </is>
      </c>
      <c r="C662" s="1175" t="inlineStr">
        <is>
          <t>G_DUMMY</t>
        </is>
      </c>
      <c r="D662" s="1175" t="inlineStr">
        <is>
          <t>否</t>
        </is>
      </c>
    </row>
    <row r="663">
      <c r="A663" s="1175" t="inlineStr">
        <is>
          <t>E100980</t>
        </is>
      </c>
      <c r="B663" s="1175" t="inlineStr">
        <is>
          <t>常州市招联绿盈新能源有限公司</t>
        </is>
      </c>
      <c r="C663" s="1175" t="inlineStr">
        <is>
          <t>G_DUMMY</t>
        </is>
      </c>
      <c r="D663" s="1175" t="inlineStr">
        <is>
          <t>否</t>
        </is>
      </c>
    </row>
    <row r="664">
      <c r="A664" s="1175" t="inlineStr">
        <is>
          <t>E100981</t>
        </is>
      </c>
      <c r="B664" s="1175" t="inlineStr">
        <is>
          <t>常州市招联绿庆新能源有限公司</t>
        </is>
      </c>
      <c r="C664" s="1175" t="inlineStr">
        <is>
          <t>G_DUMMY</t>
        </is>
      </c>
      <c r="D664" s="1175" t="inlineStr">
        <is>
          <t>否</t>
        </is>
      </c>
    </row>
    <row r="665">
      <c r="A665" s="1175" t="inlineStr">
        <is>
          <t>E100982</t>
        </is>
      </c>
      <c r="B665" s="1175" t="inlineStr">
        <is>
          <t>青海晖达光伏有限公司</t>
        </is>
      </c>
      <c r="C665" s="1175" t="inlineStr">
        <is>
          <t>G_DUMMY</t>
        </is>
      </c>
      <c r="D665" s="1175" t="inlineStr">
        <is>
          <t>否</t>
        </is>
      </c>
    </row>
    <row r="666">
      <c r="A666" s="1175" t="inlineStr">
        <is>
          <t>E100983</t>
        </is>
      </c>
      <c r="B666" s="1175" t="inlineStr">
        <is>
          <t>常州市招联绿格新能源有限公司</t>
        </is>
      </c>
      <c r="C666" s="1175" t="inlineStr">
        <is>
          <t>G_DUMMY</t>
        </is>
      </c>
      <c r="D666" s="1175" t="inlineStr">
        <is>
          <t>否</t>
        </is>
      </c>
    </row>
    <row r="667">
      <c r="A667" s="1175" t="inlineStr">
        <is>
          <t>E100984</t>
        </is>
      </c>
      <c r="B667" s="1175" t="inlineStr">
        <is>
          <t>杭州灿鸿投资管理合伙企业（有限合伙）</t>
        </is>
      </c>
      <c r="C667" s="1175" t="inlineStr">
        <is>
          <t>G_DUMMY</t>
        </is>
      </c>
      <c r="D667" s="1175" t="inlineStr">
        <is>
          <t>否</t>
        </is>
      </c>
    </row>
    <row r="668">
      <c r="A668" s="1175" t="inlineStr">
        <is>
          <t>E100985</t>
        </is>
      </c>
      <c r="B668" s="1175" t="inlineStr">
        <is>
          <t>常州市招联绿邦新能源有限公司</t>
        </is>
      </c>
      <c r="C668" s="1175" t="inlineStr">
        <is>
          <t>G_DUMMY</t>
        </is>
      </c>
      <c r="D668" s="1175" t="inlineStr">
        <is>
          <t>否</t>
        </is>
      </c>
    </row>
    <row r="669">
      <c r="A669" s="1175" t="inlineStr">
        <is>
          <t>E100986</t>
        </is>
      </c>
      <c r="B669" s="1175" t="inlineStr">
        <is>
          <t>常州市招联绿景新能源有限公司</t>
        </is>
      </c>
      <c r="C669" s="1175" t="inlineStr">
        <is>
          <t>G_DUMMY</t>
        </is>
      </c>
      <c r="D669" s="1175" t="inlineStr">
        <is>
          <t>否</t>
        </is>
      </c>
    </row>
    <row r="670">
      <c r="A670" s="1175" t="inlineStr">
        <is>
          <t>E100987</t>
        </is>
      </c>
      <c r="B670" s="1175" t="inlineStr">
        <is>
          <t>常州市招联绿臻新能源有限公司</t>
        </is>
      </c>
      <c r="C670" s="1175" t="inlineStr">
        <is>
          <t>G_DUMMY</t>
        </is>
      </c>
      <c r="D670" s="1175" t="inlineStr">
        <is>
          <t>否</t>
        </is>
      </c>
    </row>
    <row r="671">
      <c r="A671" s="1175" t="inlineStr">
        <is>
          <t>E100988</t>
        </is>
      </c>
      <c r="B671" s="1175" t="inlineStr">
        <is>
          <t>常州市招联绿睿新能源有限公司</t>
        </is>
      </c>
      <c r="C671" s="1175" t="inlineStr">
        <is>
          <t>G_DUMMY</t>
        </is>
      </c>
      <c r="D671" s="1175" t="inlineStr">
        <is>
          <t>否</t>
        </is>
      </c>
    </row>
    <row r="672">
      <c r="A672" s="1175" t="inlineStr">
        <is>
          <t>E100989</t>
        </is>
      </c>
      <c r="B672" s="1175" t="inlineStr">
        <is>
          <t>宁波保税区招联绿邦新能源有限公司</t>
        </is>
      </c>
      <c r="C672" s="1175" t="inlineStr">
        <is>
          <t>G_DUMMY</t>
        </is>
      </c>
      <c r="D672" s="1175" t="inlineStr">
        <is>
          <t>否</t>
        </is>
      </c>
    </row>
    <row r="673">
      <c r="A673" s="1175" t="inlineStr">
        <is>
          <t>E100990</t>
        </is>
      </c>
      <c r="B673" s="1175" t="inlineStr">
        <is>
          <t>汉寿昊晖太阳能发电有限公司</t>
        </is>
      </c>
      <c r="C673" s="1175" t="inlineStr">
        <is>
          <t>G_DUMMY</t>
        </is>
      </c>
      <c r="D673" s="1175" t="inlineStr">
        <is>
          <t>否</t>
        </is>
      </c>
    </row>
    <row r="674">
      <c r="A674" s="1175" t="inlineStr">
        <is>
          <t>E100991</t>
        </is>
      </c>
      <c r="B674" s="1175" t="inlineStr">
        <is>
          <t>常熟宏丰光伏电站开发有限公司</t>
        </is>
      </c>
      <c r="C674" s="1175" t="inlineStr">
        <is>
          <t>G_DUMMY</t>
        </is>
      </c>
      <c r="D674" s="1175" t="inlineStr">
        <is>
          <t>否</t>
        </is>
      </c>
    </row>
    <row r="675">
      <c r="A675" s="1175" t="inlineStr">
        <is>
          <t>E100992</t>
        </is>
      </c>
      <c r="B675" s="1175" t="inlineStr">
        <is>
          <t>汉寿中晖太阳能发电有限公司</t>
        </is>
      </c>
      <c r="C675" s="1175" t="inlineStr">
        <is>
          <t>G_DUMMY</t>
        </is>
      </c>
      <c r="D675" s="1175" t="inlineStr">
        <is>
          <t>否</t>
        </is>
      </c>
    </row>
    <row r="676">
      <c r="A676" s="1175" t="inlineStr">
        <is>
          <t>E100993</t>
        </is>
      </c>
      <c r="B676" s="1175" t="inlineStr">
        <is>
          <t>常州市招联绿晖新能源有限公司</t>
        </is>
      </c>
      <c r="C676" s="1175" t="inlineStr">
        <is>
          <t>G_DUMMY</t>
        </is>
      </c>
      <c r="D676" s="1175" t="inlineStr">
        <is>
          <t>否</t>
        </is>
      </c>
    </row>
    <row r="677">
      <c r="A677" s="1175" t="inlineStr">
        <is>
          <t>E100994</t>
        </is>
      </c>
      <c r="B677" s="1175" t="inlineStr">
        <is>
          <t>安徽招联清洁能源有限公司</t>
        </is>
      </c>
      <c r="C677" s="1175" t="inlineStr">
        <is>
          <t>G_DUMMY</t>
        </is>
      </c>
      <c r="D677" s="1175" t="inlineStr">
        <is>
          <t>否</t>
        </is>
      </c>
    </row>
    <row r="678">
      <c r="A678" s="1175" t="inlineStr">
        <is>
          <t>E100995</t>
        </is>
      </c>
      <c r="B678" s="1175" t="inlineStr">
        <is>
          <t>阳春市光晏光伏发电有限公司</t>
        </is>
      </c>
      <c r="C678" s="1175" t="inlineStr">
        <is>
          <t>G_DUMMY</t>
        </is>
      </c>
      <c r="D678" s="1175" t="inlineStr">
        <is>
          <t>否</t>
        </is>
      </c>
    </row>
    <row r="679">
      <c r="A679" s="1175" t="inlineStr">
        <is>
          <t>E100996</t>
        </is>
      </c>
      <c r="B679" s="1175" t="inlineStr">
        <is>
          <t>遂溪京能新能源有限公司</t>
        </is>
      </c>
      <c r="C679" s="1175" t="inlineStr">
        <is>
          <t>G_DUMMY</t>
        </is>
      </c>
      <c r="D679" s="1175" t="inlineStr">
        <is>
          <t>否</t>
        </is>
      </c>
    </row>
    <row r="680">
      <c r="A680" s="1175" t="inlineStr">
        <is>
          <t>E100997</t>
        </is>
      </c>
      <c r="B680" s="1175" t="inlineStr">
        <is>
          <t>京能（烟台栖霞市）光伏发电有限公司</t>
        </is>
      </c>
      <c r="C680" s="1175" t="inlineStr">
        <is>
          <t>G_DUMMY</t>
        </is>
      </c>
      <c r="D680" s="1175" t="inlineStr">
        <is>
          <t>否</t>
        </is>
      </c>
    </row>
    <row r="681">
      <c r="A681" s="1175" t="inlineStr">
        <is>
          <t>E100998</t>
        </is>
      </c>
      <c r="B681" s="1175" t="inlineStr">
        <is>
          <t>京能（聊城）风力发电有限公司</t>
        </is>
      </c>
      <c r="C681" s="1175" t="inlineStr">
        <is>
          <t>G_DUMMY</t>
        </is>
      </c>
      <c r="D681" s="1175" t="inlineStr">
        <is>
          <t>否</t>
        </is>
      </c>
    </row>
    <row r="682">
      <c r="A682" s="1175" t="inlineStr">
        <is>
          <t>E100999</t>
        </is>
      </c>
      <c r="B682" s="1175" t="inlineStr">
        <is>
          <t>京能（菏泽高新区）新能源有限公司</t>
        </is>
      </c>
      <c r="C682" s="1175" t="inlineStr">
        <is>
          <t>G_DUMMY</t>
        </is>
      </c>
      <c r="D682" s="1175" t="inlineStr">
        <is>
          <t>否</t>
        </is>
      </c>
    </row>
    <row r="683">
      <c r="A683" s="1175" t="inlineStr">
        <is>
          <t>E101000</t>
        </is>
      </c>
      <c r="B683" s="1175" t="inlineStr">
        <is>
          <t>China Merchants New Energy Limited</t>
        </is>
      </c>
      <c r="C683" s="1175" t="inlineStr">
        <is>
          <t>G_DUMMY</t>
        </is>
      </c>
      <c r="D683" s="1175" t="inlineStr">
        <is>
          <t>否</t>
        </is>
      </c>
    </row>
    <row r="684">
      <c r="A684" s="1175" t="inlineStr">
        <is>
          <t>E101001</t>
        </is>
      </c>
      <c r="B684" s="1175" t="inlineStr">
        <is>
          <t>Faster Assets Limited</t>
        </is>
      </c>
      <c r="C684" s="1175" t="inlineStr">
        <is>
          <t>G_DUMMY</t>
        </is>
      </c>
      <c r="D684" s="1175" t="inlineStr">
        <is>
          <t>否</t>
        </is>
      </c>
    </row>
    <row r="685">
      <c r="A685" s="1175" t="inlineStr">
        <is>
          <t>E101003</t>
        </is>
      </c>
      <c r="B685" s="1175" t="inlineStr">
        <is>
          <t>Driven Green Holdings Limited</t>
        </is>
      </c>
      <c r="C685" s="1175" t="inlineStr">
        <is>
          <t>G_DUMMY</t>
        </is>
      </c>
      <c r="D685" s="1175" t="inlineStr">
        <is>
          <t>否</t>
        </is>
      </c>
    </row>
    <row r="686">
      <c r="A686" s="1175" t="inlineStr">
        <is>
          <t>E101004</t>
        </is>
      </c>
      <c r="B686" s="1175" t="inlineStr">
        <is>
          <t>绿联新能源（常州）有限公司</t>
        </is>
      </c>
      <c r="C686" s="1175" t="inlineStr">
        <is>
          <t>G_DUMMY</t>
        </is>
      </c>
      <c r="D686" s="1175" t="inlineStr">
        <is>
          <t>否</t>
        </is>
      </c>
    </row>
    <row r="687">
      <c r="A687" s="1175" t="inlineStr">
        <is>
          <t>E101006</t>
        </is>
      </c>
      <c r="B687" s="1175" t="inlineStr">
        <is>
          <t>Premier Yield Holdings Limited</t>
        </is>
      </c>
      <c r="C687" s="1175" t="inlineStr">
        <is>
          <t>G_DUMMY</t>
        </is>
      </c>
      <c r="D687" s="1175" t="inlineStr">
        <is>
          <t>否</t>
        </is>
      </c>
    </row>
    <row r="688">
      <c r="A688" s="1175" t="inlineStr">
        <is>
          <t>E101007</t>
        </is>
      </c>
      <c r="B688" s="1175" t="inlineStr">
        <is>
          <t>骏耀新能源（常州）有限公司</t>
        </is>
      </c>
      <c r="C688" s="1175" t="inlineStr">
        <is>
          <t>G_DUMMY</t>
        </is>
      </c>
      <c r="D688" s="1175" t="inlineStr">
        <is>
          <t>否</t>
        </is>
      </c>
    </row>
    <row r="689">
      <c r="A689" s="1175" t="inlineStr">
        <is>
          <t>E101008</t>
        </is>
      </c>
      <c r="B689" s="1175" t="inlineStr">
        <is>
          <t>南京丝绸之路新能源有限公司</t>
        </is>
      </c>
      <c r="C689" s="1175" t="inlineStr">
        <is>
          <t>G_DUMMY</t>
        </is>
      </c>
      <c r="D689" s="1175" t="inlineStr">
        <is>
          <t>否</t>
        </is>
      </c>
    </row>
    <row r="690">
      <c r="A690" s="1175" t="inlineStr">
        <is>
          <t>E101009</t>
        </is>
      </c>
      <c r="B690" s="1175" t="inlineStr">
        <is>
          <t>国电察哈尔右翼前旗第二光伏发电有限公司</t>
        </is>
      </c>
      <c r="C690" s="1175" t="inlineStr">
        <is>
          <t>G_DUMMY</t>
        </is>
      </c>
      <c r="D690" s="1175" t="inlineStr">
        <is>
          <t>否</t>
        </is>
      </c>
    </row>
    <row r="691">
      <c r="A691" s="1175" t="inlineStr">
        <is>
          <t>E101010</t>
        </is>
      </c>
      <c r="B691" s="1175" t="inlineStr">
        <is>
          <t>国电科左中旗光伏发电有限公司</t>
        </is>
      </c>
      <c r="C691" s="1175" t="inlineStr">
        <is>
          <t>G_DUMMY</t>
        </is>
      </c>
      <c r="D691" s="1175" t="inlineStr">
        <is>
          <t>否</t>
        </is>
      </c>
    </row>
    <row r="692">
      <c r="A692" s="1175" t="inlineStr">
        <is>
          <t>E101011</t>
        </is>
      </c>
      <c r="B692" s="1175" t="inlineStr">
        <is>
          <t>国电商都县第二光伏发电有限公司</t>
        </is>
      </c>
      <c r="C692" s="1175" t="inlineStr">
        <is>
          <t>G_DUMMY</t>
        </is>
      </c>
      <c r="D692" s="1175" t="inlineStr">
        <is>
          <t>否</t>
        </is>
      </c>
    </row>
    <row r="693">
      <c r="A693" s="1175" t="inlineStr">
        <is>
          <t>E101012</t>
        </is>
      </c>
      <c r="B693" s="1175" t="inlineStr">
        <is>
          <t>常州市招联绿伏新能源有限公司</t>
        </is>
      </c>
      <c r="C693" s="1175" t="inlineStr">
        <is>
          <t>G_DUMMY</t>
        </is>
      </c>
      <c r="D693" s="1175" t="inlineStr">
        <is>
          <t>否</t>
        </is>
      </c>
    </row>
    <row r="694">
      <c r="A694" s="1175" t="inlineStr">
        <is>
          <t>E101013</t>
        </is>
      </c>
      <c r="B694" s="1175" t="inlineStr">
        <is>
          <t>海阳鑫顺风光电科技有限公司</t>
        </is>
      </c>
      <c r="C694" s="1175" t="inlineStr">
        <is>
          <t>G_DUMMY</t>
        </is>
      </c>
      <c r="D694" s="1175" t="inlineStr">
        <is>
          <t>否</t>
        </is>
      </c>
    </row>
    <row r="695">
      <c r="A695" s="1175" t="inlineStr">
        <is>
          <t>E101015</t>
        </is>
      </c>
      <c r="B695" s="1175" t="inlineStr">
        <is>
          <t>New Light Assets Limited</t>
        </is>
      </c>
      <c r="C695" s="1175" t="inlineStr">
        <is>
          <t>G_DUMMY</t>
        </is>
      </c>
      <c r="D695" s="1175" t="inlineStr">
        <is>
          <t>否</t>
        </is>
      </c>
    </row>
    <row r="696">
      <c r="A696" s="1175" t="inlineStr">
        <is>
          <t>E101016</t>
        </is>
      </c>
      <c r="B696" s="1175" t="inlineStr">
        <is>
          <t>丝绸之路招商新能源（常州）有限公司</t>
        </is>
      </c>
      <c r="C696" s="1175" t="inlineStr">
        <is>
          <t>G_DUMMY</t>
        </is>
      </c>
      <c r="D696" s="1175" t="inlineStr">
        <is>
          <t>否</t>
        </is>
      </c>
    </row>
    <row r="697">
      <c r="A697" s="1175" t="inlineStr">
        <is>
          <t>E101017</t>
        </is>
      </c>
      <c r="B697" s="1175" t="inlineStr">
        <is>
          <t>常州新光新能源有限公司</t>
        </is>
      </c>
      <c r="C697" s="1175" t="inlineStr">
        <is>
          <t>G_DUMMY</t>
        </is>
      </c>
      <c r="D697" s="1175" t="inlineStr">
        <is>
          <t>否</t>
        </is>
      </c>
    </row>
    <row r="698">
      <c r="A698" s="1175" t="inlineStr">
        <is>
          <t>E101018</t>
        </is>
      </c>
      <c r="B698" s="1175" t="inlineStr">
        <is>
          <t>阳原中久能源开发科技有限公司</t>
        </is>
      </c>
      <c r="C698" s="1175" t="inlineStr">
        <is>
          <t>G_DUMMY</t>
        </is>
      </c>
      <c r="D698" s="1175" t="inlineStr">
        <is>
          <t>否</t>
        </is>
      </c>
    </row>
    <row r="699">
      <c r="A699" s="1175" t="inlineStr">
        <is>
          <t>E101019</t>
        </is>
      </c>
      <c r="B699" s="1175" t="inlineStr">
        <is>
          <t>招商局漳州开发区丝路方舟碳资产管理有限公司</t>
        </is>
      </c>
      <c r="C699" s="1175" t="inlineStr">
        <is>
          <t>G_DUMMY</t>
        </is>
      </c>
      <c r="D699" s="1175" t="inlineStr">
        <is>
          <t>否</t>
        </is>
      </c>
    </row>
    <row r="700">
      <c r="A700" s="1175" t="inlineStr">
        <is>
          <t>E101020</t>
        </is>
      </c>
      <c r="B700" s="1175" t="inlineStr">
        <is>
          <t>招商局漳州开发区博新太阳能科技有限公司</t>
        </is>
      </c>
      <c r="C700" s="1175" t="inlineStr">
        <is>
          <t>G_DUMMY</t>
        </is>
      </c>
      <c r="D700" s="1175" t="inlineStr">
        <is>
          <t>否</t>
        </is>
      </c>
    </row>
    <row r="701">
      <c r="A701" s="1175" t="inlineStr">
        <is>
          <t>E101021</t>
        </is>
      </c>
      <c r="B701" s="1175" t="inlineStr">
        <is>
          <t>Global Renewable Energy Limited</t>
        </is>
      </c>
      <c r="C701" s="1175" t="inlineStr">
        <is>
          <t>G_DUMMY</t>
        </is>
      </c>
      <c r="D701" s="1175" t="inlineStr">
        <is>
          <t>否</t>
        </is>
      </c>
    </row>
    <row r="702">
      <c r="A702" s="1175" t="inlineStr">
        <is>
          <t>E101022</t>
        </is>
      </c>
      <c r="B702" s="1175" t="inlineStr">
        <is>
          <t>Global Renewable Energy Holdings Limited</t>
        </is>
      </c>
      <c r="C702" s="1175" t="inlineStr">
        <is>
          <t>G_DUMMY</t>
        </is>
      </c>
      <c r="D702" s="1175" t="inlineStr">
        <is>
          <t>否</t>
        </is>
      </c>
    </row>
    <row r="703">
      <c r="A703" s="1175" t="inlineStr">
        <is>
          <t>E101024</t>
        </is>
      </c>
      <c r="B703" s="1175" t="inlineStr">
        <is>
          <t>Fortune Wheel Holdings Limited</t>
        </is>
      </c>
      <c r="C703" s="1175" t="inlineStr">
        <is>
          <t>G_DUMMY</t>
        </is>
      </c>
      <c r="D703" s="1175" t="inlineStr">
        <is>
          <t>否</t>
        </is>
      </c>
    </row>
    <row r="704">
      <c r="A704" s="1175" t="inlineStr">
        <is>
          <t>E101025</t>
        </is>
      </c>
      <c r="B704" s="1175" t="inlineStr">
        <is>
          <t>招联（珠海）清洁能源投资有限公司</t>
        </is>
      </c>
      <c r="C704" s="1175" t="inlineStr">
        <is>
          <t>G_DUMMY</t>
        </is>
      </c>
      <c r="D704" s="1175" t="inlineStr">
        <is>
          <t>否</t>
        </is>
      </c>
    </row>
    <row r="705">
      <c r="A705" s="1175" t="inlineStr">
        <is>
          <t>E101026</t>
        </is>
      </c>
      <c r="B705" s="1175" t="inlineStr">
        <is>
          <t>常州市招联绿灿新能源有限公司</t>
        </is>
      </c>
      <c r="C705" s="1175" t="inlineStr">
        <is>
          <t>G_DUMMY</t>
        </is>
      </c>
      <c r="D705" s="1175" t="inlineStr">
        <is>
          <t>否</t>
        </is>
      </c>
    </row>
    <row r="706">
      <c r="A706" s="1175" t="inlineStr">
        <is>
          <t>E101028</t>
        </is>
      </c>
      <c r="B706" s="1175" t="inlineStr">
        <is>
          <t>Renewable Energy UK Portfolio Limited</t>
        </is>
      </c>
      <c r="C706" s="1175" t="inlineStr">
        <is>
          <t>G_DUMMY</t>
        </is>
      </c>
      <c r="D706" s="1175" t="inlineStr">
        <is>
          <t>否</t>
        </is>
      </c>
    </row>
    <row r="707">
      <c r="A707" s="1175" t="inlineStr">
        <is>
          <t>E101029</t>
        </is>
      </c>
      <c r="B707" s="1175" t="inlineStr">
        <is>
          <t>Pearl International Investments S.ar.l.</t>
        </is>
      </c>
      <c r="C707" s="1175" t="inlineStr">
        <is>
          <t>G_DUMMY</t>
        </is>
      </c>
      <c r="D707" s="1175" t="inlineStr">
        <is>
          <t>否</t>
        </is>
      </c>
    </row>
    <row r="708">
      <c r="A708" s="1175" t="inlineStr">
        <is>
          <t>E101031</t>
        </is>
      </c>
      <c r="B708" s="1175" t="inlineStr">
        <is>
          <t>Panda Green Power Group Limited</t>
        </is>
      </c>
      <c r="C708" s="1175" t="inlineStr">
        <is>
          <t>G_DUMMY</t>
        </is>
      </c>
      <c r="D708" s="1175" t="inlineStr">
        <is>
          <t>否</t>
        </is>
      </c>
    </row>
    <row r="709">
      <c r="A709" s="1175" t="inlineStr">
        <is>
          <t>E101033</t>
        </is>
      </c>
      <c r="B709" s="1175" t="inlineStr">
        <is>
          <t>East Asia New Energy Group Limited</t>
        </is>
      </c>
      <c r="C709" s="1175" t="inlineStr">
        <is>
          <t>G_DUMMY</t>
        </is>
      </c>
      <c r="D709" s="1175" t="inlineStr">
        <is>
          <t>否</t>
        </is>
      </c>
    </row>
    <row r="710">
      <c r="A710" s="1175" t="inlineStr">
        <is>
          <t>E101034</t>
        </is>
      </c>
      <c r="B710" s="1175" t="inlineStr">
        <is>
          <t>西藏顺吉新能源科技有限公司</t>
        </is>
      </c>
      <c r="C710" s="1175" t="inlineStr">
        <is>
          <t>G_DUMMY</t>
        </is>
      </c>
      <c r="D710" s="1175" t="inlineStr">
        <is>
          <t>否</t>
        </is>
      </c>
    </row>
    <row r="711">
      <c r="A711" s="1175" t="inlineStr">
        <is>
          <t>E101035</t>
        </is>
      </c>
      <c r="B711" s="1175" t="inlineStr">
        <is>
          <t>西藏林周县藏能新能源开发有限公司</t>
        </is>
      </c>
      <c r="C711" s="1175" t="inlineStr">
        <is>
          <t>G_DUMMY</t>
        </is>
      </c>
      <c r="D711" s="1175" t="inlineStr">
        <is>
          <t>否</t>
        </is>
      </c>
    </row>
    <row r="712">
      <c r="A712" s="1175" t="inlineStr">
        <is>
          <t>E101036</t>
        </is>
      </c>
      <c r="B712" s="1175" t="inlineStr">
        <is>
          <t>西藏林芝藏能拉月曲水电开发有限责任公司</t>
        </is>
      </c>
      <c r="C712" s="1175" t="inlineStr">
        <is>
          <t>G_DUMMY</t>
        </is>
      </c>
      <c r="D712" s="1175" t="inlineStr">
        <is>
          <t>否</t>
        </is>
      </c>
    </row>
    <row r="713">
      <c r="A713" s="1175" t="inlineStr">
        <is>
          <t>E101037</t>
        </is>
      </c>
      <c r="B713" s="1175" t="inlineStr">
        <is>
          <t>西藏昌都藏能新能源开发有限公司</t>
        </is>
      </c>
      <c r="C713" s="1175" t="inlineStr">
        <is>
          <t>G_DUMMY</t>
        </is>
      </c>
      <c r="D713" s="1175" t="inlineStr">
        <is>
          <t>否</t>
        </is>
      </c>
    </row>
    <row r="714">
      <c r="A714" s="1175" t="inlineStr">
        <is>
          <t>E101038</t>
        </is>
      </c>
      <c r="B714" s="1175" t="inlineStr">
        <is>
          <t>白玉县赠曲河水电开发有限公司</t>
        </is>
      </c>
      <c r="C714" s="1175" t="inlineStr">
        <is>
          <t>G_DUMMY</t>
        </is>
      </c>
      <c r="D714" s="1175" t="inlineStr">
        <is>
          <t>否</t>
        </is>
      </c>
    </row>
    <row r="715">
      <c r="A715" s="1175" t="inlineStr">
        <is>
          <t>E101039</t>
        </is>
      </c>
      <c r="B715" s="1175" t="inlineStr">
        <is>
          <t>巴塘县溪河水电开发有限责任公司</t>
        </is>
      </c>
      <c r="C715" s="1175" t="inlineStr">
        <is>
          <t>G_DUMMY</t>
        </is>
      </c>
      <c r="D715" s="1175" t="inlineStr">
        <is>
          <t>否</t>
        </is>
      </c>
    </row>
    <row r="716">
      <c r="A716" s="1175" t="inlineStr">
        <is>
          <t>E101040</t>
        </is>
      </c>
      <c r="B716" s="1175" t="inlineStr">
        <is>
          <t>Tibet Energy Investment Group （Hong Kong） Limited</t>
        </is>
      </c>
      <c r="C716" s="1175" t="inlineStr">
        <is>
          <t>G_DUMMY</t>
        </is>
      </c>
      <c r="D716" s="1175" t="inlineStr">
        <is>
          <t>否</t>
        </is>
      </c>
    </row>
    <row r="717">
      <c r="A717" s="1175" t="inlineStr">
        <is>
          <t>E101041</t>
        </is>
      </c>
      <c r="B717" s="1175" t="inlineStr">
        <is>
          <t>China New Energy Group （Hong Kong） Limited</t>
        </is>
      </c>
      <c r="C717" s="1175" t="inlineStr">
        <is>
          <t>G_DUMMY</t>
        </is>
      </c>
      <c r="D717" s="1175" t="inlineStr">
        <is>
          <t>否</t>
        </is>
      </c>
    </row>
    <row r="718">
      <c r="A718" s="1175" t="inlineStr">
        <is>
          <t>E101042</t>
        </is>
      </c>
      <c r="B718" s="1175" t="inlineStr">
        <is>
          <t>Panda Solar Power Holdings Limited</t>
        </is>
      </c>
      <c r="C718" s="1175" t="inlineStr">
        <is>
          <t>G_DUMMY</t>
        </is>
      </c>
      <c r="D718" s="1175" t="inlineStr">
        <is>
          <t>否</t>
        </is>
      </c>
    </row>
    <row r="719">
      <c r="A719" s="1175" t="inlineStr">
        <is>
          <t>E101043</t>
        </is>
      </c>
      <c r="B719" s="1175" t="inlineStr">
        <is>
          <t>Panda Green Energy Group Limited</t>
        </is>
      </c>
      <c r="C719" s="1175" t="inlineStr">
        <is>
          <t>G_DUMMY</t>
        </is>
      </c>
      <c r="D719" s="1175" t="inlineStr">
        <is>
          <t>否</t>
        </is>
      </c>
    </row>
    <row r="720">
      <c r="A720" s="1175" t="inlineStr">
        <is>
          <t>E101044</t>
        </is>
      </c>
      <c r="B720" s="1175" t="inlineStr">
        <is>
          <t>JingNeng Renewable Energy International Group Limited</t>
        </is>
      </c>
      <c r="C720" s="1175" t="inlineStr">
        <is>
          <t>G_DUMMY</t>
        </is>
      </c>
      <c r="D720" s="1175" t="inlineStr">
        <is>
          <t>否</t>
        </is>
      </c>
    </row>
    <row r="721">
      <c r="A721" s="1175" t="inlineStr">
        <is>
          <t>E101045</t>
        </is>
      </c>
      <c r="B721" s="1175" t="inlineStr">
        <is>
          <t>Beijing Energy International （Australia） Holding Pty Ltd</t>
        </is>
      </c>
      <c r="C721" s="1175" t="inlineStr">
        <is>
          <t>G_DUMMY</t>
        </is>
      </c>
      <c r="D721" s="1175" t="inlineStr">
        <is>
          <t>否</t>
        </is>
      </c>
    </row>
    <row r="722">
      <c r="A722" s="1175" t="inlineStr">
        <is>
          <t>E101046</t>
        </is>
      </c>
      <c r="B722" s="1175" t="inlineStr">
        <is>
          <t>Wollar Solar Holding Pty Ltd</t>
        </is>
      </c>
      <c r="C722" s="1175" t="inlineStr">
        <is>
          <t>G_DUMMY</t>
        </is>
      </c>
      <c r="D722" s="1175" t="inlineStr">
        <is>
          <t>否</t>
        </is>
      </c>
    </row>
    <row r="723">
      <c r="A723" s="1175" t="inlineStr">
        <is>
          <t>E101047</t>
        </is>
      </c>
      <c r="B723" s="1175" t="inlineStr">
        <is>
          <t>MNS Wind Holding Pty Limited</t>
        </is>
      </c>
      <c r="C723" s="1175" t="inlineStr">
        <is>
          <t>G_DUMMY</t>
        </is>
      </c>
      <c r="D723" s="1175" t="inlineStr">
        <is>
          <t>否</t>
        </is>
      </c>
    </row>
    <row r="724">
      <c r="A724" s="1175" t="inlineStr">
        <is>
          <t>E101048</t>
        </is>
      </c>
      <c r="B724" s="1175" t="inlineStr">
        <is>
          <t>MNS Wind Finance Pty Limited</t>
        </is>
      </c>
      <c r="C724" s="1175" t="inlineStr">
        <is>
          <t>G_DUMMY</t>
        </is>
      </c>
      <c r="D724" s="1175" t="inlineStr">
        <is>
          <t>否</t>
        </is>
      </c>
    </row>
    <row r="725">
      <c r="A725" s="1175" t="inlineStr">
        <is>
          <t>E101049</t>
        </is>
      </c>
      <c r="B725" s="1175" t="inlineStr">
        <is>
          <t>Wollar Solar Finance Pty Ltd</t>
        </is>
      </c>
      <c r="C725" s="1175" t="inlineStr">
        <is>
          <t>G_DUMMY</t>
        </is>
      </c>
      <c r="D725" s="1175" t="inlineStr">
        <is>
          <t>否</t>
        </is>
      </c>
    </row>
    <row r="726">
      <c r="A726" s="1175" t="inlineStr">
        <is>
          <t>E101050</t>
        </is>
      </c>
      <c r="B726" s="1175" t="inlineStr">
        <is>
          <t>Wollar Solar Development Pty Limited</t>
        </is>
      </c>
      <c r="C726" s="1175" t="inlineStr">
        <is>
          <t>G_DUMMY</t>
        </is>
      </c>
      <c r="D726" s="1175" t="inlineStr">
        <is>
          <t>否</t>
        </is>
      </c>
    </row>
    <row r="727">
      <c r="A727" s="1175" t="inlineStr">
        <is>
          <t>E101054</t>
        </is>
      </c>
      <c r="B727" s="1175" t="inlineStr">
        <is>
          <t>北京京能热力股份有限公司</t>
        </is>
      </c>
      <c r="C727" s="1175" t="inlineStr">
        <is>
          <t>G_DUMMY</t>
        </is>
      </c>
      <c r="D727" s="1175" t="inlineStr">
        <is>
          <t>否</t>
        </is>
      </c>
    </row>
    <row r="728">
      <c r="A728" s="1175" t="inlineStr">
        <is>
          <t>E101055</t>
        </is>
      </c>
      <c r="B728" s="1175" t="inlineStr">
        <is>
          <t>北京华远意通热力科技股份有限公司平谷分公司</t>
        </is>
      </c>
      <c r="C728" s="1175" t="inlineStr">
        <is>
          <t>G_DUMMY</t>
        </is>
      </c>
      <c r="D728" s="1175" t="inlineStr">
        <is>
          <t>否</t>
        </is>
      </c>
    </row>
    <row r="729">
      <c r="A729" s="1175" t="inlineStr">
        <is>
          <t>E101056</t>
        </is>
      </c>
      <c r="B729" s="1175" t="inlineStr">
        <is>
          <t>北京华意龙达科技发展有限公司</t>
        </is>
      </c>
      <c r="C729" s="1175" t="inlineStr">
        <is>
          <t>G_DUMMY</t>
        </is>
      </c>
      <c r="D729" s="1175" t="inlineStr">
        <is>
          <t>否</t>
        </is>
      </c>
    </row>
    <row r="730">
      <c r="A730" s="1175" t="inlineStr">
        <is>
          <t>E101057</t>
        </is>
      </c>
      <c r="B730" s="1175" t="inlineStr">
        <is>
          <t>北京华通兴远节能技术有限公司</t>
        </is>
      </c>
      <c r="C730" s="1175" t="inlineStr">
        <is>
          <t>G_DUMMY</t>
        </is>
      </c>
      <c r="D730" s="1175" t="inlineStr">
        <is>
          <t>否</t>
        </is>
      </c>
    </row>
    <row r="731">
      <c r="A731" s="1175" t="inlineStr">
        <is>
          <t>E101058</t>
        </is>
      </c>
      <c r="B731" s="1175" t="inlineStr">
        <is>
          <t>北京华远意通节能科技发展有限公司</t>
        </is>
      </c>
      <c r="C731" s="1175" t="inlineStr">
        <is>
          <t>G_DUMMY</t>
        </is>
      </c>
      <c r="D731" s="1175" t="inlineStr">
        <is>
          <t>否</t>
        </is>
      </c>
    </row>
    <row r="732">
      <c r="A732" s="1175" t="inlineStr">
        <is>
          <t>E101059</t>
        </is>
      </c>
      <c r="B732" s="1175" t="inlineStr">
        <is>
          <t>迁西富龙热力有限责任公司</t>
        </is>
      </c>
      <c r="C732" s="1175" t="inlineStr">
        <is>
          <t>G_DUMMY</t>
        </is>
      </c>
      <c r="D732" s="1175" t="inlineStr">
        <is>
          <t>否</t>
        </is>
      </c>
    </row>
    <row r="733">
      <c r="A733" s="1175" t="inlineStr">
        <is>
          <t>E101060</t>
        </is>
      </c>
      <c r="B733" s="1175" t="inlineStr">
        <is>
          <t>迁西和然节能科技有限责任公司</t>
        </is>
      </c>
      <c r="C733" s="1175" t="inlineStr">
        <is>
          <t>G_DUMMY</t>
        </is>
      </c>
      <c r="D733" s="1175" t="inlineStr">
        <is>
          <t>否</t>
        </is>
      </c>
    </row>
    <row r="734">
      <c r="A734" s="1175" t="inlineStr">
        <is>
          <t>E101061</t>
        </is>
      </c>
      <c r="B734" s="1175" t="inlineStr">
        <is>
          <t>京能（故城）新能源有限公司</t>
        </is>
      </c>
      <c r="C734" s="1175" t="inlineStr">
        <is>
          <t>G_DUMMY</t>
        </is>
      </c>
      <c r="D734" s="1175" t="inlineStr">
        <is>
          <t>否</t>
        </is>
      </c>
    </row>
    <row r="735">
      <c r="A735" s="1175" t="inlineStr">
        <is>
          <t>E101062</t>
        </is>
      </c>
      <c r="B735" s="1175" t="inlineStr">
        <is>
          <t>昔阳县斯能风电有限公司</t>
        </is>
      </c>
      <c r="C735" s="1175" t="inlineStr">
        <is>
          <t>G_DUMMY</t>
        </is>
      </c>
      <c r="D735" s="1175" t="inlineStr">
        <is>
          <t>否</t>
        </is>
      </c>
    </row>
    <row r="736">
      <c r="A736" s="1175" t="inlineStr">
        <is>
          <t>E101063</t>
        </is>
      </c>
      <c r="B736" s="1175" t="inlineStr">
        <is>
          <t>通辽市铭龙新能源有限公司</t>
        </is>
      </c>
      <c r="C736" s="1175" t="inlineStr">
        <is>
          <t>G_DUMMY</t>
        </is>
      </c>
      <c r="D736" s="1175" t="inlineStr">
        <is>
          <t>否</t>
        </is>
      </c>
    </row>
    <row r="737">
      <c r="A737" s="1175" t="inlineStr">
        <is>
          <t>E101064</t>
        </is>
      </c>
      <c r="B737" s="1175" t="inlineStr">
        <is>
          <t>朔州市平鲁区红沟风电有限公司</t>
        </is>
      </c>
      <c r="C737" s="1175" t="inlineStr">
        <is>
          <t>G_DUMMY</t>
        </is>
      </c>
      <c r="D737" s="1175" t="inlineStr">
        <is>
          <t>否</t>
        </is>
      </c>
    </row>
    <row r="738">
      <c r="A738" s="1175" t="inlineStr">
        <is>
          <t>E101065</t>
        </is>
      </c>
      <c r="B738" s="1175" t="inlineStr">
        <is>
          <t>河津市潞安毓华风力发电有限公司</t>
        </is>
      </c>
      <c r="C738" s="1175" t="inlineStr">
        <is>
          <t>G_DUMMY</t>
        </is>
      </c>
      <c r="D738" s="1175" t="inlineStr">
        <is>
          <t>否</t>
        </is>
      </c>
    </row>
    <row r="739">
      <c r="A739" s="1175" t="inlineStr">
        <is>
          <t>E101066</t>
        </is>
      </c>
      <c r="B739" s="1175" t="inlineStr">
        <is>
          <t>右玉县斯能风电有限公司</t>
        </is>
      </c>
      <c r="C739" s="1175" t="inlineStr">
        <is>
          <t>G_DUMMY</t>
        </is>
      </c>
      <c r="D739" s="1175" t="inlineStr">
        <is>
          <t>否</t>
        </is>
      </c>
    </row>
    <row r="740">
      <c r="A740" s="1175" t="inlineStr">
        <is>
          <t>E101067</t>
        </is>
      </c>
      <c r="B740" s="1175" t="inlineStr">
        <is>
          <t>京能（元江）新能源有限公司</t>
        </is>
      </c>
      <c r="C740" s="1175" t="inlineStr">
        <is>
          <t>G_DUMMY</t>
        </is>
      </c>
      <c r="D740" s="1175" t="inlineStr">
        <is>
          <t>否</t>
        </is>
      </c>
    </row>
    <row r="741">
      <c r="A741" s="1175" t="inlineStr">
        <is>
          <t>E101068</t>
        </is>
      </c>
      <c r="B741" s="1175" t="inlineStr">
        <is>
          <t>京姚（林州）新能源有限公司</t>
        </is>
      </c>
      <c r="C741" s="1175" t="inlineStr">
        <is>
          <t>G_DUMMY</t>
        </is>
      </c>
      <c r="D741" s="1175" t="inlineStr">
        <is>
          <t>否</t>
        </is>
      </c>
    </row>
    <row r="742">
      <c r="A742" s="1175" t="inlineStr">
        <is>
          <t>E101069</t>
        </is>
      </c>
      <c r="B742" s="1175" t="inlineStr">
        <is>
          <t>昌都市中电建新能源开发有限公司</t>
        </is>
      </c>
      <c r="C742" s="1175" t="inlineStr">
        <is>
          <t>G_DUMMY</t>
        </is>
      </c>
      <c r="D742" s="1175" t="inlineStr">
        <is>
          <t>否</t>
        </is>
      </c>
    </row>
    <row r="743">
      <c r="A743" s="1175" t="inlineStr">
        <is>
          <t>E101070</t>
        </is>
      </c>
      <c r="B743" s="1175" t="inlineStr">
        <is>
          <t>深圳市前海毓华清洁能源投资有限公司</t>
        </is>
      </c>
      <c r="C743" s="1175" t="inlineStr">
        <is>
          <t>G_DUMMY</t>
        </is>
      </c>
      <c r="D743" s="1175" t="inlineStr">
        <is>
          <t>否</t>
        </is>
      </c>
    </row>
    <row r="744">
      <c r="A744" s="1175" t="inlineStr">
        <is>
          <t>E101071</t>
        </is>
      </c>
      <c r="B744" s="1175" t="inlineStr">
        <is>
          <t>京能（阳西）综合能源有限公司</t>
        </is>
      </c>
      <c r="C744" s="1175" t="inlineStr">
        <is>
          <t>G_DUMMY</t>
        </is>
      </c>
      <c r="D744" s="1175" t="inlineStr">
        <is>
          <t>否</t>
        </is>
      </c>
    </row>
    <row r="745">
      <c r="A745" s="1175" t="inlineStr">
        <is>
          <t>E101072</t>
        </is>
      </c>
      <c r="B745" s="1175" t="inlineStr">
        <is>
          <t>吉林卓朗新能源有限公司</t>
        </is>
      </c>
      <c r="C745" s="1175" t="inlineStr">
        <is>
          <t>G_DUMMY</t>
        </is>
      </c>
      <c r="D745" s="1175" t="inlineStr">
        <is>
          <t>否</t>
        </is>
      </c>
    </row>
    <row r="746">
      <c r="A746" s="1175" t="inlineStr">
        <is>
          <t>E101073</t>
        </is>
      </c>
      <c r="B746" s="1175" t="inlineStr">
        <is>
          <t>兰西县网能新能源开发有限公司</t>
        </is>
      </c>
      <c r="C746" s="1175" t="inlineStr">
        <is>
          <t>G_DUMMY</t>
        </is>
      </c>
      <c r="D746" s="1175" t="inlineStr">
        <is>
          <t>否</t>
        </is>
      </c>
    </row>
    <row r="747">
      <c r="A747" s="1175" t="inlineStr">
        <is>
          <t>E101074</t>
        </is>
      </c>
      <c r="B747" s="1175" t="inlineStr">
        <is>
          <t>南京安晟新能源有限公司</t>
        </is>
      </c>
      <c r="C747" s="1175" t="inlineStr">
        <is>
          <t>G_DUMMY</t>
        </is>
      </c>
      <c r="D747" s="1175" t="inlineStr">
        <is>
          <t>否</t>
        </is>
      </c>
    </row>
    <row r="748">
      <c r="A748" s="1175" t="inlineStr">
        <is>
          <t>E101075</t>
        </is>
      </c>
      <c r="B748" s="1175" t="inlineStr">
        <is>
          <t>兰西晟晖发电有限公司</t>
        </is>
      </c>
      <c r="C748" s="1175" t="inlineStr">
        <is>
          <t>G_DUMMY</t>
        </is>
      </c>
      <c r="D748" s="1175" t="inlineStr">
        <is>
          <t>否</t>
        </is>
      </c>
    </row>
    <row r="749">
      <c r="A749" s="1175" t="inlineStr">
        <is>
          <t>E101076</t>
        </is>
      </c>
      <c r="B749" s="1175" t="inlineStr">
        <is>
          <t>京能胜科（海南）国际能源有限公司</t>
        </is>
      </c>
      <c r="C749" s="1175" t="inlineStr">
        <is>
          <t>G_DUMMY</t>
        </is>
      </c>
      <c r="D749" s="1175" t="inlineStr">
        <is>
          <t>否</t>
        </is>
      </c>
    </row>
    <row r="750">
      <c r="A750" s="1175" t="inlineStr">
        <is>
          <t>E101077</t>
        </is>
      </c>
      <c r="B750" s="1175" t="inlineStr">
        <is>
          <t>京能（哈尔滨）光伏发电有限公司</t>
        </is>
      </c>
      <c r="C750" s="1175" t="inlineStr">
        <is>
          <t>G_DUMMY</t>
        </is>
      </c>
      <c r="D750" s="1175" t="inlineStr">
        <is>
          <t>否</t>
        </is>
      </c>
    </row>
    <row r="751">
      <c r="A751" s="1175" t="inlineStr">
        <is>
          <t>E101078</t>
        </is>
      </c>
      <c r="B751" s="1175" t="inlineStr">
        <is>
          <t>京耀（威海）综合能源服务有限公司</t>
        </is>
      </c>
      <c r="C751" s="1175" t="inlineStr">
        <is>
          <t>G_DUMMY</t>
        </is>
      </c>
      <c r="D751" s="1175" t="inlineStr">
        <is>
          <t>否</t>
        </is>
      </c>
    </row>
    <row r="752">
      <c r="A752" s="1175" t="inlineStr">
        <is>
          <t>E101079</t>
        </is>
      </c>
      <c r="B752" s="1175" t="inlineStr">
        <is>
          <t>绥化市旭源新能源有限公司</t>
        </is>
      </c>
      <c r="C752" s="1175" t="inlineStr">
        <is>
          <t>G_DUMMY</t>
        </is>
      </c>
      <c r="D752" s="1175" t="inlineStr">
        <is>
          <t>否</t>
        </is>
      </c>
    </row>
    <row r="753">
      <c r="A753" s="1175" t="inlineStr">
        <is>
          <t>E101080</t>
        </is>
      </c>
      <c r="B753" s="1175" t="inlineStr">
        <is>
          <t>庆安县旭源新能源有限公司</t>
        </is>
      </c>
      <c r="C753" s="1175" t="inlineStr">
        <is>
          <t>G_DUMMY</t>
        </is>
      </c>
      <c r="D753" s="1175" t="inlineStr">
        <is>
          <t>否</t>
        </is>
      </c>
    </row>
    <row r="754">
      <c r="A754" s="1175" t="inlineStr">
        <is>
          <t>E101081</t>
        </is>
      </c>
      <c r="B754" s="1175" t="inlineStr">
        <is>
          <t>海伦市虹达新能源科技有限公司</t>
        </is>
      </c>
      <c r="C754" s="1175" t="inlineStr">
        <is>
          <t>G_DUMMY</t>
        </is>
      </c>
      <c r="D754" s="1175" t="inlineStr">
        <is>
          <t>否</t>
        </is>
      </c>
    </row>
    <row r="755">
      <c r="A755" s="1175" t="inlineStr">
        <is>
          <t>E101082</t>
        </is>
      </c>
      <c r="B755" s="1175" t="inlineStr">
        <is>
          <t>明水县虹达新能源有限公司</t>
        </is>
      </c>
      <c r="C755" s="1175" t="inlineStr">
        <is>
          <t>G_DUMMY</t>
        </is>
      </c>
      <c r="D755" s="1175" t="inlineStr">
        <is>
          <t>否</t>
        </is>
      </c>
    </row>
    <row r="756">
      <c r="A756" s="1175" t="inlineStr">
        <is>
          <t>E101083</t>
        </is>
      </c>
      <c r="B756" s="1175" t="inlineStr">
        <is>
          <t>安达市御风新能源有限公司</t>
        </is>
      </c>
      <c r="C756" s="1175" t="inlineStr">
        <is>
          <t>G_DUMMY</t>
        </is>
      </c>
      <c r="D756" s="1175" t="inlineStr">
        <is>
          <t>否</t>
        </is>
      </c>
    </row>
    <row r="757">
      <c r="A757" s="1175" t="inlineStr">
        <is>
          <t>E101084</t>
        </is>
      </c>
      <c r="B757" s="1175" t="inlineStr">
        <is>
          <t>永登京能新能源电力有限公司</t>
        </is>
      </c>
      <c r="C757" s="1175" t="inlineStr">
        <is>
          <t>G_DUMMY</t>
        </is>
      </c>
      <c r="D757" s="1175" t="inlineStr">
        <is>
          <t>否</t>
        </is>
      </c>
    </row>
    <row r="758">
      <c r="A758" s="1175" t="inlineStr">
        <is>
          <t>E101085</t>
        </is>
      </c>
      <c r="B758" s="1175" t="inlineStr">
        <is>
          <t>京邗（扬州）光伏发电有限公司</t>
        </is>
      </c>
      <c r="C758" s="1175" t="inlineStr">
        <is>
          <t>G_DUMMY</t>
        </is>
      </c>
      <c r="D758" s="1175" t="inlineStr">
        <is>
          <t>否</t>
        </is>
      </c>
    </row>
    <row r="759">
      <c r="A759" s="1175" t="inlineStr">
        <is>
          <t>E101086</t>
        </is>
      </c>
      <c r="B759" s="1175" t="inlineStr">
        <is>
          <t>京能（荣成）综合能源服务有限公司</t>
        </is>
      </c>
      <c r="C759" s="1175" t="inlineStr">
        <is>
          <t>G_DUMMY</t>
        </is>
      </c>
      <c r="D759" s="1175" t="inlineStr">
        <is>
          <t>否</t>
        </is>
      </c>
    </row>
    <row r="760">
      <c r="A760" s="1175" t="inlineStr">
        <is>
          <t>E101087</t>
        </is>
      </c>
      <c r="B760" s="1175" t="inlineStr">
        <is>
          <t>京能（宜黄）光伏发电有限公司</t>
        </is>
      </c>
      <c r="C760" s="1175" t="inlineStr">
        <is>
          <t>G_DUMMY</t>
        </is>
      </c>
      <c r="D760" s="1175" t="inlineStr">
        <is>
          <t>否</t>
        </is>
      </c>
    </row>
    <row r="761">
      <c r="A761" s="1175" t="inlineStr">
        <is>
          <t>E101088</t>
        </is>
      </c>
      <c r="B761" s="1175" t="inlineStr">
        <is>
          <t>京吉（安福）光伏发电有限公司</t>
        </is>
      </c>
      <c r="C761" s="1175" t="inlineStr">
        <is>
          <t>G_DUMMY</t>
        </is>
      </c>
      <c r="D761" s="1175" t="inlineStr">
        <is>
          <t>否</t>
        </is>
      </c>
    </row>
    <row r="762">
      <c r="A762" s="1175" t="inlineStr">
        <is>
          <t>E101089</t>
        </is>
      </c>
      <c r="B762" s="1175" t="inlineStr">
        <is>
          <t>长沙京能双碳新能源有限公司</t>
        </is>
      </c>
      <c r="C762" s="1175" t="inlineStr">
        <is>
          <t>G_DUMMY</t>
        </is>
      </c>
      <c r="D762" s="1175" t="inlineStr">
        <is>
          <t>否</t>
        </is>
      </c>
    </row>
    <row r="763">
      <c r="A763" s="1175" t="inlineStr">
        <is>
          <t>E101090</t>
        </is>
      </c>
      <c r="B763" s="1175" t="inlineStr">
        <is>
          <t>广西百色京耀综合能源服务有限公司</t>
        </is>
      </c>
      <c r="C763" s="1175" t="inlineStr">
        <is>
          <t>G_DUMMY</t>
        </is>
      </c>
      <c r="D763" s="1175" t="inlineStr">
        <is>
          <t>否</t>
        </is>
      </c>
    </row>
    <row r="764">
      <c r="A764" s="1175" t="inlineStr">
        <is>
          <t>E101091</t>
        </is>
      </c>
      <c r="B764" s="1175" t="inlineStr">
        <is>
          <t>北京京亦综合能源有限公司</t>
        </is>
      </c>
      <c r="C764" s="1175" t="inlineStr">
        <is>
          <t>G_DUMMY</t>
        </is>
      </c>
      <c r="D764" s="1175" t="inlineStr">
        <is>
          <t>否</t>
        </is>
      </c>
    </row>
    <row r="765">
      <c r="A765" s="1175" t="inlineStr">
        <is>
          <t>E101092</t>
        </is>
      </c>
      <c r="B765" s="1175" t="inlineStr">
        <is>
          <t>北京京昌新能源有限公司</t>
        </is>
      </c>
      <c r="C765" s="1175" t="inlineStr">
        <is>
          <t>G_DUMMY</t>
        </is>
      </c>
      <c r="D765" s="1175" t="inlineStr">
        <is>
          <t>否</t>
        </is>
      </c>
    </row>
    <row r="766">
      <c r="A766" s="1175" t="inlineStr">
        <is>
          <t>E101093</t>
        </is>
      </c>
      <c r="B766" s="1175" t="inlineStr">
        <is>
          <t>通辽市新通风能有限公司</t>
        </is>
      </c>
      <c r="C766" s="1175" t="inlineStr">
        <is>
          <t>G_DUMMY</t>
        </is>
      </c>
      <c r="D766" s="1175" t="inlineStr">
        <is>
          <t>否</t>
        </is>
      </c>
    </row>
    <row r="767">
      <c r="A767" s="1175" t="inlineStr">
        <is>
          <t>E101094</t>
        </is>
      </c>
      <c r="B767" s="1175" t="inlineStr">
        <is>
          <t>京宝（北京）综合能源服务有限公司</t>
        </is>
      </c>
      <c r="C767" s="1175" t="inlineStr">
        <is>
          <t>G_DUMMY</t>
        </is>
      </c>
      <c r="D767" s="1175" t="inlineStr">
        <is>
          <t>否</t>
        </is>
      </c>
    </row>
    <row r="768">
      <c r="A768" s="1175" t="inlineStr">
        <is>
          <t>E101095</t>
        </is>
      </c>
      <c r="B768" s="1175" t="inlineStr">
        <is>
          <t>JN Viet Nam Renewable Energy Company Limited</t>
        </is>
      </c>
      <c r="C768" s="1175" t="inlineStr">
        <is>
          <t>G_DUMMY</t>
        </is>
      </c>
      <c r="D768" s="1175" t="inlineStr">
        <is>
          <t>否</t>
        </is>
      </c>
    </row>
    <row r="769">
      <c r="A769" s="1175" t="inlineStr">
        <is>
          <t>E101096</t>
        </is>
      </c>
      <c r="B769" s="1175" t="inlineStr">
        <is>
          <t>Cuu An Wind Power Joint Stock Company</t>
        </is>
      </c>
      <c r="C769" s="1175" t="inlineStr">
        <is>
          <t>G_DUMMY</t>
        </is>
      </c>
      <c r="D769" s="1175" t="inlineStr">
        <is>
          <t>否</t>
        </is>
      </c>
    </row>
    <row r="770">
      <c r="A770" s="1175" t="inlineStr">
        <is>
          <t>E101097</t>
        </is>
      </c>
      <c r="B770" s="1175" t="inlineStr">
        <is>
          <t>肇庆市莱湾新能源科技有限公司</t>
        </is>
      </c>
      <c r="C770" s="1175" t="inlineStr">
        <is>
          <t>G_DUMMY</t>
        </is>
      </c>
      <c r="D770" s="1175" t="inlineStr">
        <is>
          <t>否</t>
        </is>
      </c>
    </row>
    <row r="771">
      <c r="A771" s="1175" t="inlineStr">
        <is>
          <t>E101098</t>
        </is>
      </c>
      <c r="B771" s="1175" t="inlineStr">
        <is>
          <t>肇庆市莱特斯新能源有限公司</t>
        </is>
      </c>
      <c r="C771" s="1175" t="inlineStr">
        <is>
          <t>G_DUMMY</t>
        </is>
      </c>
      <c r="D771" s="1175" t="inlineStr">
        <is>
          <t>否</t>
        </is>
      </c>
    </row>
    <row r="772">
      <c r="A772" s="1175" t="inlineStr">
        <is>
          <t>E101099</t>
        </is>
      </c>
      <c r="B772" s="1175" t="inlineStr">
        <is>
          <t>京能（保山）光伏发电有限公司</t>
        </is>
      </c>
      <c r="C772" s="1175" t="inlineStr">
        <is>
          <t>G_DUMMY</t>
        </is>
      </c>
      <c r="D772" s="1175" t="inlineStr">
        <is>
          <t>否</t>
        </is>
      </c>
    </row>
    <row r="773">
      <c r="A773" s="1175" t="inlineStr">
        <is>
          <t>E101100</t>
        </is>
      </c>
      <c r="B773" s="1175" t="inlineStr">
        <is>
          <t>凤台县晟阳新能源发电有限公司</t>
        </is>
      </c>
      <c r="C773" s="1175" t="inlineStr">
        <is>
          <t>G_DUMMY</t>
        </is>
      </c>
      <c r="D773" s="1175" t="inlineStr">
        <is>
          <t>否</t>
        </is>
      </c>
    </row>
    <row r="774">
      <c r="A774" s="1175" t="inlineStr">
        <is>
          <t>E101101</t>
        </is>
      </c>
      <c r="B774" s="1175" t="inlineStr">
        <is>
          <t>三门峡峡湖源风力发电有限公司</t>
        </is>
      </c>
      <c r="C774" s="1175" t="inlineStr">
        <is>
          <t>G_DUMMY</t>
        </is>
      </c>
      <c r="D774" s="1175" t="inlineStr">
        <is>
          <t>否</t>
        </is>
      </c>
    </row>
    <row r="775">
      <c r="A775" s="1175" t="inlineStr">
        <is>
          <t>E101102</t>
        </is>
      </c>
      <c r="B775" s="1175" t="inlineStr">
        <is>
          <t>伊川县康庆新能源有限公司</t>
        </is>
      </c>
      <c r="C775" s="1175" t="inlineStr">
        <is>
          <t>G_DUMMY</t>
        </is>
      </c>
      <c r="D775" s="1175" t="inlineStr">
        <is>
          <t>否</t>
        </is>
      </c>
    </row>
    <row r="776">
      <c r="A776" s="1175" t="inlineStr">
        <is>
          <t>E101131</t>
        </is>
      </c>
      <c r="B776" s="1175" t="inlineStr">
        <is>
          <t>怀来中尚新能源科技有限公司</t>
        </is>
      </c>
      <c r="C776" s="1175" t="inlineStr">
        <is>
          <t>G_DUMMY</t>
        </is>
      </c>
      <c r="D776" s="1175" t="inlineStr">
        <is>
          <t>否</t>
        </is>
      </c>
    </row>
    <row r="777">
      <c r="A777" s="1175" t="inlineStr">
        <is>
          <t>E101132</t>
        </is>
      </c>
      <c r="B777" s="1175" t="inlineStr">
        <is>
          <t>内蒙古京能岱海新能源有限公司</t>
        </is>
      </c>
      <c r="C777" s="1175" t="inlineStr">
        <is>
          <t>G_DUMMY</t>
        </is>
      </c>
      <c r="D777" s="1175" t="inlineStr">
        <is>
          <t>否</t>
        </is>
      </c>
    </row>
    <row r="778">
      <c r="A778" s="1175" t="inlineStr">
        <is>
          <t>E101133</t>
        </is>
      </c>
      <c r="B778" s="1175" t="inlineStr">
        <is>
          <t>京能冀北新能源（唐山）有限公司</t>
        </is>
      </c>
      <c r="C778" s="1175" t="inlineStr">
        <is>
          <t>G_DUMMY</t>
        </is>
      </c>
      <c r="D778" s="1175" t="inlineStr">
        <is>
          <t>否</t>
        </is>
      </c>
    </row>
    <row r="779">
      <c r="A779" s="1175" t="inlineStr">
        <is>
          <t>E101134</t>
        </is>
      </c>
      <c r="B779" s="1175" t="inlineStr">
        <is>
          <t>宜春京能清洁能源有限公司</t>
        </is>
      </c>
      <c r="C779" s="1175" t="inlineStr">
        <is>
          <t>G_DUMMY</t>
        </is>
      </c>
      <c r="D779" s="1175" t="inlineStr">
        <is>
          <t>否</t>
        </is>
      </c>
    </row>
    <row r="780">
      <c r="A780" s="1175" t="inlineStr">
        <is>
          <t>E101135</t>
        </is>
      </c>
      <c r="B780" s="1175" t="inlineStr">
        <is>
          <t>山西鑫华源智能立体停车设备制造有限责任公司</t>
        </is>
      </c>
      <c r="C780" s="1175" t="inlineStr">
        <is>
          <t>G_DUMMY</t>
        </is>
      </c>
      <c r="D780" s="1175" t="inlineStr">
        <is>
          <t>否</t>
        </is>
      </c>
    </row>
    <row r="781">
      <c r="A781" s="1175" t="inlineStr">
        <is>
          <t>E101136</t>
        </is>
      </c>
      <c r="B781" s="1175" t="inlineStr">
        <is>
          <t>北京市石景山区老年福养老服务中心</t>
        </is>
      </c>
      <c r="C781" s="1175" t="inlineStr">
        <is>
          <t>G_DUMMY</t>
        </is>
      </c>
      <c r="D781" s="1175" t="inlineStr">
        <is>
          <t>否</t>
        </is>
      </c>
    </row>
    <row r="782">
      <c r="A782" s="1175" t="inlineStr">
        <is>
          <t>E101138</t>
        </is>
      </c>
      <c r="B782" s="1175" t="inlineStr">
        <is>
          <t>北京市门头沟区沁心园养老照料中心</t>
        </is>
      </c>
      <c r="C782" s="1175" t="inlineStr">
        <is>
          <t>G_DUMMY</t>
        </is>
      </c>
      <c r="D782" s="1175" t="inlineStr">
        <is>
          <t>否</t>
        </is>
      </c>
    </row>
    <row r="783">
      <c r="A783" s="1175" t="inlineStr">
        <is>
          <t>E101139</t>
        </is>
      </c>
      <c r="B783" s="1175" t="inlineStr">
        <is>
          <t>天创科技发展有限公司</t>
        </is>
      </c>
      <c r="C783" s="1175" t="inlineStr">
        <is>
          <t>G_DUMMY</t>
        </is>
      </c>
      <c r="D783" s="1175" t="inlineStr">
        <is>
          <t>否</t>
        </is>
      </c>
    </row>
    <row r="784">
      <c r="A784" s="1175" t="inlineStr">
        <is>
          <t>E101140</t>
        </is>
      </c>
      <c r="B784" s="1175" t="inlineStr">
        <is>
          <t>北京京能热力发展有限公司华源分公司</t>
        </is>
      </c>
      <c r="C784" s="1175" t="inlineStr">
        <is>
          <t>G_DUMMY</t>
        </is>
      </c>
      <c r="D784" s="1175" t="inlineStr">
        <is>
          <t>否</t>
        </is>
      </c>
    </row>
    <row r="785">
      <c r="A785" s="1175" t="inlineStr">
        <is>
          <t>E101141</t>
        </is>
      </c>
      <c r="B785" s="1175" t="inlineStr">
        <is>
          <t>京能（锡林郭勒）矿业有限公司</t>
        </is>
      </c>
      <c r="C785" s="1175" t="inlineStr">
        <is>
          <t>G_DUMMY</t>
        </is>
      </c>
      <c r="D785" s="1175" t="inlineStr">
        <is>
          <t>否</t>
        </is>
      </c>
    </row>
    <row r="786">
      <c r="A786" s="1175" t="inlineStr">
        <is>
          <t>E101142</t>
        </is>
      </c>
      <c r="B786" s="1175" t="inlineStr">
        <is>
          <t>灵寿县清智新能源科技有限公司</t>
        </is>
      </c>
      <c r="C786" s="1175" t="inlineStr">
        <is>
          <t>G_DUMMY</t>
        </is>
      </c>
      <c r="D786" s="1175" t="inlineStr">
        <is>
          <t>否</t>
        </is>
      </c>
    </row>
    <row r="787">
      <c r="A787" s="1175" t="inlineStr">
        <is>
          <t>E101143</t>
        </is>
      </c>
      <c r="B787" s="1175" t="inlineStr">
        <is>
          <t>灵寿县京实智慧新能源科技有限公司</t>
        </is>
      </c>
      <c r="C787" s="1175" t="inlineStr">
        <is>
          <t>G_DUMMY</t>
        </is>
      </c>
      <c r="D787" s="1175" t="inlineStr">
        <is>
          <t>否</t>
        </is>
      </c>
    </row>
    <row r="788">
      <c r="A788" s="1175" t="inlineStr">
        <is>
          <t>E101144</t>
        </is>
      </c>
      <c r="B788" s="1175" t="inlineStr">
        <is>
          <t>横峰县晶源电力有限公司</t>
        </is>
      </c>
      <c r="C788" s="1175" t="inlineStr">
        <is>
          <t>G_DUMMY</t>
        </is>
      </c>
      <c r="D788" s="1175" t="inlineStr">
        <is>
          <t>否</t>
        </is>
      </c>
    </row>
    <row r="789">
      <c r="A789" s="1175" t="inlineStr">
        <is>
          <t>E101145</t>
        </is>
      </c>
      <c r="B789" s="1175" t="inlineStr">
        <is>
          <t>南宁京能清洁能源有限公司</t>
        </is>
      </c>
      <c r="C789" s="1175" t="inlineStr">
        <is>
          <t>G_DUMMY</t>
        </is>
      </c>
      <c r="D789" s="1175" t="inlineStr">
        <is>
          <t>否</t>
        </is>
      </c>
    </row>
    <row r="790">
      <c r="A790" s="1175" t="inlineStr">
        <is>
          <t>E101146</t>
        </is>
      </c>
      <c r="B790" s="1175" t="inlineStr">
        <is>
          <t>北京京能电力股份有限公司鄂尔多斯市分公司</t>
        </is>
      </c>
      <c r="C790" s="1175" t="inlineStr">
        <is>
          <t>G_DUMMY</t>
        </is>
      </c>
      <c r="D790" s="1175" t="inlineStr">
        <is>
          <t>否</t>
        </is>
      </c>
    </row>
    <row r="791">
      <c r="A791" s="1175" t="inlineStr">
        <is>
          <t>E101147</t>
        </is>
      </c>
      <c r="B791" s="1175" t="inlineStr">
        <is>
          <t>北京京能电力股份有限公司酒泉分公司</t>
        </is>
      </c>
      <c r="C791" s="1175" t="inlineStr">
        <is>
          <t>G_DUMMY</t>
        </is>
      </c>
      <c r="D791" s="1175" t="inlineStr">
        <is>
          <t>否</t>
        </is>
      </c>
    </row>
    <row r="792">
      <c r="A792" s="1175" t="inlineStr">
        <is>
          <t>E101149</t>
        </is>
      </c>
      <c r="B792" s="1175" t="inlineStr">
        <is>
          <t>内蒙古京能新能源科技有限公司武汉分公司</t>
        </is>
      </c>
      <c r="C792" s="1175" t="inlineStr">
        <is>
          <t>G_DUMMY</t>
        </is>
      </c>
      <c r="D792" s="1175" t="inlineStr">
        <is>
          <t>否</t>
        </is>
      </c>
    </row>
    <row r="793">
      <c r="A793" s="1175" t="inlineStr">
        <is>
          <t>E101150</t>
        </is>
      </c>
      <c r="B793" s="1175" t="inlineStr">
        <is>
          <t>西良周（北京）农业科技有限公司</t>
        </is>
      </c>
      <c r="C793" s="1175" t="inlineStr">
        <is>
          <t>G_DUMMY</t>
        </is>
      </c>
      <c r="D793" s="1175" t="inlineStr">
        <is>
          <t>否</t>
        </is>
      </c>
    </row>
    <row r="794">
      <c r="A794" s="1175" t="inlineStr">
        <is>
          <t>E101152</t>
        </is>
      </c>
      <c r="B794" s="1175" t="inlineStr">
        <is>
          <t>广西忻城京能新能源有限公司</t>
        </is>
      </c>
      <c r="C794" s="1175" t="inlineStr">
        <is>
          <t>G_DUMMY</t>
        </is>
      </c>
      <c r="D794" s="1175" t="inlineStr">
        <is>
          <t>否</t>
        </is>
      </c>
    </row>
    <row r="795">
      <c r="A795" s="1175" t="inlineStr">
        <is>
          <t>E101154</t>
        </is>
      </c>
      <c r="B795" s="1175" t="inlineStr">
        <is>
          <t>北京京能电力股份有限公司乌兰察布分公司</t>
        </is>
      </c>
      <c r="C795" s="1175" t="inlineStr">
        <is>
          <t>G_DUMMY</t>
        </is>
      </c>
      <c r="D795" s="1175" t="inlineStr">
        <is>
          <t>否</t>
        </is>
      </c>
    </row>
    <row r="796">
      <c r="A796" s="1175" t="inlineStr">
        <is>
          <t>E101155</t>
        </is>
      </c>
      <c r="B796" s="1175" t="inlineStr">
        <is>
          <t>京江（双柏）新能源有限公司</t>
        </is>
      </c>
      <c r="C796" s="1175" t="inlineStr">
        <is>
          <t>G_DUMMY</t>
        </is>
      </c>
      <c r="D796" s="1175" t="inlineStr">
        <is>
          <t>否</t>
        </is>
      </c>
    </row>
    <row r="797">
      <c r="A797" s="1175" t="inlineStr">
        <is>
          <t>E101158</t>
        </is>
      </c>
      <c r="B797" s="1175" t="inlineStr">
        <is>
          <t>北京京能科技有限公司长三角分公司</t>
        </is>
      </c>
      <c r="C797" s="1175" t="inlineStr">
        <is>
          <t>G_DUMMY</t>
        </is>
      </c>
      <c r="D797" s="1175" t="inlineStr">
        <is>
          <t>否</t>
        </is>
      </c>
    </row>
    <row r="798">
      <c r="A798" s="1175" t="inlineStr">
        <is>
          <t>E101159</t>
        </is>
      </c>
      <c r="B798" s="1175" t="inlineStr">
        <is>
          <t>汕头京能清洁能源有限公司</t>
        </is>
      </c>
      <c r="C798" s="1175" t="inlineStr">
        <is>
          <t>G_DUMMY</t>
        </is>
      </c>
      <c r="D798" s="1175" t="inlineStr">
        <is>
          <t>否</t>
        </is>
      </c>
    </row>
    <row r="799">
      <c r="A799" s="1175" t="inlineStr">
        <is>
          <t>E101160</t>
        </is>
      </c>
      <c r="B799" s="1175" t="inlineStr">
        <is>
          <t>横峰县晶能电力有限公司</t>
        </is>
      </c>
      <c r="C799" s="1175" t="inlineStr">
        <is>
          <t>G_DUMMY</t>
        </is>
      </c>
      <c r="D799" s="1175" t="inlineStr">
        <is>
          <t>否</t>
        </is>
      </c>
    </row>
    <row r="800">
      <c r="A800" s="1175" t="inlineStr">
        <is>
          <t>E101161</t>
        </is>
      </c>
      <c r="B800" s="1175" t="inlineStr">
        <is>
          <t>泉州市立欢清洁能源有限公司</t>
        </is>
      </c>
      <c r="C800" s="1175" t="inlineStr">
        <is>
          <t>G_DUMMY</t>
        </is>
      </c>
      <c r="D800" s="1175" t="inlineStr">
        <is>
          <t>否</t>
        </is>
      </c>
    </row>
    <row r="801">
      <c r="A801" s="1175" t="inlineStr">
        <is>
          <t>E101162</t>
        </is>
      </c>
      <c r="B801" s="1175" t="inlineStr">
        <is>
          <t>京能科技（易县）有限公司</t>
        </is>
      </c>
      <c r="C801" s="1175" t="inlineStr">
        <is>
          <t>G_DUMMY</t>
        </is>
      </c>
      <c r="D801" s="1175" t="inlineStr">
        <is>
          <t>否</t>
        </is>
      </c>
    </row>
    <row r="802">
      <c r="A802" s="1175" t="inlineStr">
        <is>
          <t>E101163</t>
        </is>
      </c>
      <c r="B802" s="1175" t="inlineStr">
        <is>
          <t>广东耀胜新能源有限公司</t>
        </is>
      </c>
      <c r="C802" s="1175" t="inlineStr">
        <is>
          <t>G_DUMMY</t>
        </is>
      </c>
      <c r="D802" s="1175" t="inlineStr">
        <is>
          <t>否</t>
        </is>
      </c>
    </row>
    <row r="803">
      <c r="A803" s="1175" t="inlineStr">
        <is>
          <t>E101164</t>
        </is>
      </c>
      <c r="B803" s="1175" t="inlineStr">
        <is>
          <t>广东安晟新能源有限公司</t>
        </is>
      </c>
      <c r="C803" s="1175" t="inlineStr">
        <is>
          <t>G_DUMMY</t>
        </is>
      </c>
      <c r="D803" s="1175" t="inlineStr">
        <is>
          <t>否</t>
        </is>
      </c>
    </row>
    <row r="804">
      <c r="A804" s="1175" t="inlineStr">
        <is>
          <t>E101166</t>
        </is>
      </c>
      <c r="B804" s="1175" t="inlineStr">
        <is>
          <t>厦门阳万丈清洁能源有限公司</t>
        </is>
      </c>
      <c r="C804" s="1175" t="inlineStr">
        <is>
          <t>G_DUMMY</t>
        </is>
      </c>
      <c r="D804" s="1175" t="inlineStr">
        <is>
          <t>否</t>
        </is>
      </c>
    </row>
    <row r="805">
      <c r="A805" s="1175" t="inlineStr">
        <is>
          <t>E101168</t>
        </is>
      </c>
      <c r="B805" s="1175" t="inlineStr">
        <is>
          <t>湖北京能双碳新能源有限公司</t>
        </is>
      </c>
      <c r="C805" s="1175" t="inlineStr">
        <is>
          <t>G_DUMMY</t>
        </is>
      </c>
      <c r="D805" s="1175" t="inlineStr">
        <is>
          <t>否</t>
        </is>
      </c>
    </row>
    <row r="806">
      <c r="A806" s="1175" t="inlineStr">
        <is>
          <t>E101169</t>
        </is>
      </c>
      <c r="B806" s="1175" t="inlineStr">
        <is>
          <t>炎陵京能霞阳新能源有限公司</t>
        </is>
      </c>
      <c r="C806" s="1175" t="inlineStr">
        <is>
          <t>G_DUMMY</t>
        </is>
      </c>
      <c r="D806" s="1175" t="inlineStr">
        <is>
          <t>否</t>
        </is>
      </c>
    </row>
    <row r="807">
      <c r="A807" s="1175" t="inlineStr">
        <is>
          <t>E101173</t>
        </is>
      </c>
      <c r="B807" s="1175" t="inlineStr">
        <is>
          <t>监利县浩丰绿色能源科技有限公司</t>
        </is>
      </c>
      <c r="C807" s="1175" t="inlineStr">
        <is>
          <t>G_DUMMY</t>
        </is>
      </c>
      <c r="D807" s="1175" t="inlineStr">
        <is>
          <t>否</t>
        </is>
      </c>
    </row>
    <row r="808">
      <c r="A808" s="1175" t="inlineStr">
        <is>
          <t>E101174</t>
        </is>
      </c>
      <c r="B808" s="1175" t="inlineStr">
        <is>
          <t>北京京能综合能源有限公司</t>
        </is>
      </c>
      <c r="C808" s="1175" t="inlineStr">
        <is>
          <t>G_DUMMY</t>
        </is>
      </c>
      <c r="D808" s="1175" t="inlineStr">
        <is>
          <t>否</t>
        </is>
      </c>
    </row>
    <row r="809">
      <c r="A809" s="1175" t="inlineStr">
        <is>
          <t>E101175</t>
        </is>
      </c>
      <c r="B809" s="1175" t="inlineStr">
        <is>
          <t>乌鲁木齐鑫禾光晟电力科技有限公司</t>
        </is>
      </c>
      <c r="C809" s="1175" t="inlineStr">
        <is>
          <t>G_DUMMY</t>
        </is>
      </c>
      <c r="D809" s="1175" t="inlineStr">
        <is>
          <t>否</t>
        </is>
      </c>
    </row>
    <row r="810">
      <c r="A810" s="1175" t="inlineStr">
        <is>
          <t>E101176</t>
        </is>
      </c>
      <c r="B810" s="1175" t="inlineStr">
        <is>
          <t>霍城县光晟光伏发电有限公司</t>
        </is>
      </c>
      <c r="C810" s="1175" t="inlineStr">
        <is>
          <t>G_DUMMY</t>
        </is>
      </c>
      <c r="D810" s="1175" t="inlineStr">
        <is>
          <t>否</t>
        </is>
      </c>
    </row>
    <row r="811">
      <c r="A811" s="1175" t="inlineStr">
        <is>
          <t>E101177</t>
        </is>
      </c>
      <c r="B811" s="1175" t="inlineStr">
        <is>
          <t>宁夏泽华新能源有限公司</t>
        </is>
      </c>
      <c r="C811" s="1175" t="inlineStr">
        <is>
          <t>G_DUMMY</t>
        </is>
      </c>
      <c r="D811" s="1175" t="inlineStr">
        <is>
          <t>否</t>
        </is>
      </c>
    </row>
    <row r="812">
      <c r="A812" s="1175" t="inlineStr">
        <is>
          <t>E101178</t>
        </is>
      </c>
      <c r="B812" s="1175" t="inlineStr">
        <is>
          <t>北京市昌平区颐寿轩养老服务中心</t>
        </is>
      </c>
      <c r="C812" s="1175" t="inlineStr">
        <is>
          <t>G_DUMMY</t>
        </is>
      </c>
      <c r="D812" s="1175" t="inlineStr">
        <is>
          <t>否</t>
        </is>
      </c>
    </row>
    <row r="813">
      <c r="A813" s="1175" t="inlineStr">
        <is>
          <t>E101179</t>
        </is>
      </c>
      <c r="B813" s="1175" t="inlineStr">
        <is>
          <t>北康秦皇岛健康养老有限公司北戴河分公司</t>
        </is>
      </c>
      <c r="C813" s="1175" t="inlineStr">
        <is>
          <t>G_DUMMY</t>
        </is>
      </c>
      <c r="D813" s="1175" t="inlineStr">
        <is>
          <t>否</t>
        </is>
      </c>
    </row>
    <row r="814">
      <c r="A814" s="1175" t="inlineStr">
        <is>
          <t>E101182</t>
        </is>
      </c>
      <c r="B814" s="1175" t="inlineStr">
        <is>
          <t>北京瑞和保险经纪有限公司</t>
        </is>
      </c>
      <c r="C814" s="1175" t="inlineStr">
        <is>
          <t>G_DUMMY</t>
        </is>
      </c>
      <c r="D814" s="1175" t="inlineStr">
        <is>
          <t>否</t>
        </is>
      </c>
    </row>
    <row r="815">
      <c r="A815" s="1175" t="inlineStr">
        <is>
          <t>E101184</t>
        </is>
      </c>
      <c r="B815" s="1175" t="inlineStr">
        <is>
          <t>北京云保能源开发有限公司</t>
        </is>
      </c>
      <c r="C815" s="1175" t="inlineStr">
        <is>
          <t>G_DUMMY</t>
        </is>
      </c>
      <c r="D815" s="1175" t="inlineStr">
        <is>
          <t>否</t>
        </is>
      </c>
    </row>
    <row r="816">
      <c r="A816" s="1175" t="inlineStr">
        <is>
          <t>E101187</t>
        </is>
      </c>
      <c r="B816" s="1175" t="inlineStr">
        <is>
          <t>横峰县晶泰电力有限公司</t>
        </is>
      </c>
      <c r="C816" s="1175" t="inlineStr">
        <is>
          <t>G_DUMMY</t>
        </is>
      </c>
      <c r="D816" s="1175" t="inlineStr">
        <is>
          <t>否</t>
        </is>
      </c>
    </row>
    <row r="817">
      <c r="A817" s="1175" t="inlineStr">
        <is>
          <t>E101188</t>
        </is>
      </c>
      <c r="B817" s="1175" t="inlineStr">
        <is>
          <t>亚洲新能源（宝应）风力发电有限公司</t>
        </is>
      </c>
      <c r="C817" s="1175" t="inlineStr">
        <is>
          <t>G_DUMMY</t>
        </is>
      </c>
      <c r="D817" s="1175" t="inlineStr">
        <is>
          <t>否</t>
        </is>
      </c>
    </row>
    <row r="818">
      <c r="A818" s="1175" t="inlineStr">
        <is>
          <t>E101189</t>
        </is>
      </c>
      <c r="B818" s="1175" t="inlineStr">
        <is>
          <t>京能（尚志市）新能源管理有限公司</t>
        </is>
      </c>
      <c r="C818" s="1175" t="inlineStr">
        <is>
          <t>G_DUMMY</t>
        </is>
      </c>
      <c r="D818" s="1175" t="inlineStr">
        <is>
          <t>否</t>
        </is>
      </c>
    </row>
    <row r="819">
      <c r="A819" s="1175" t="inlineStr">
        <is>
          <t>E101190</t>
        </is>
      </c>
      <c r="B819" s="1175" t="inlineStr">
        <is>
          <t>保山能源发展股份有限公司</t>
        </is>
      </c>
      <c r="C819" s="1175" t="inlineStr">
        <is>
          <t>G_DUMMY</t>
        </is>
      </c>
      <c r="D819" s="1175" t="inlineStr">
        <is>
          <t>否</t>
        </is>
      </c>
    </row>
    <row r="820">
      <c r="A820" s="1175" t="inlineStr">
        <is>
          <t>E101191</t>
        </is>
      </c>
      <c r="B820" s="1175" t="inlineStr">
        <is>
          <t>云南保山槟榔江水电开发有限公司</t>
        </is>
      </c>
      <c r="C820" s="1175" t="inlineStr">
        <is>
          <t>G_DUMMY</t>
        </is>
      </c>
      <c r="D820" s="1175" t="inlineStr">
        <is>
          <t>否</t>
        </is>
      </c>
    </row>
    <row r="821">
      <c r="A821" s="1175" t="inlineStr">
        <is>
          <t>E101192</t>
        </is>
      </c>
      <c r="B821" s="1175" t="inlineStr">
        <is>
          <t>保山龙川江水电开发有限公司</t>
        </is>
      </c>
      <c r="C821" s="1175" t="inlineStr">
        <is>
          <t>G_DUMMY</t>
        </is>
      </c>
      <c r="D821" s="1175" t="inlineStr">
        <is>
          <t>否</t>
        </is>
      </c>
    </row>
  </sheetData>
  <sheetProtection selectLockedCells="0" selectUnlockedCells="0" algorithmName="SHA-512" sheet="1" objects="0" insertRows="1" insertHyperlinks="1" autoFilter="1" scenarios="1" formatColumns="1" deleteColumns="1" insertColumns="1" pivotTables="1" deleteRows="1" formatCells="1" saltValue="EtBaq93DFmrMyblkbQ1A4g==" formatRows="1" sort="1" spinCount="100000" hashValue="oU/b1QD0vK1fXl1GjIbfwiMzhdobtIpVLShjGk6psi6Rs3FoKy6r9ByQ/pzHdBsATNU24MjKXeMoTBstn5Tr2A=="/>
  <autoFilter ref="A3:D821"/>
  <mergeCells count="1">
    <mergeCell ref="A2:D2"/>
  </mergeCells>
  <pageMargins left="0.7" right="0.7" top="0.75" bottom="0.75" header="0.3" footer="0.3"/>
  <pageSetup orientation="portrait" paperSize="9"/>
</worksheet>
</file>

<file path=xl/worksheets/sheet2.xml><?xml version="1.0" encoding="utf-8"?>
<worksheet xmlns="http://schemas.openxmlformats.org/spreadsheetml/2006/main">
  <sheetPr codeName="Sheet25">
    <outlinePr summaryBelow="1" summaryRight="1"/>
    <pageSetUpPr fitToPage="1"/>
  </sheetPr>
  <dimension ref="A1:AU137"/>
  <sheetViews>
    <sheetView tabSelected="1" zoomScale="85" zoomScaleNormal="85" workbookViewId="0">
      <pane xSplit="25" ySplit="47" topLeftCell="Z65" activePane="bottomRight" state="frozen"/>
      <selection activeCell="A1" sqref="A1"/>
      <selection pane="topRight" activeCell="A1" sqref="A1"/>
      <selection pane="bottomLeft" activeCell="A1" sqref="A1"/>
      <selection pane="bottomRight" activeCell="AJ58" sqref="AJ58"/>
    </sheetView>
  </sheetViews>
  <sheetFormatPr baseColWidth="8" defaultColWidth="8.625" defaultRowHeight="16.8"/>
  <cols>
    <col hidden="1" width="8.75" customWidth="1" style="1181" min="1" max="1"/>
    <col hidden="1" width="16.75" customWidth="1" style="1181" min="2" max="2"/>
    <col hidden="1" width="12.375" customWidth="1" style="1181" min="3" max="3"/>
    <col hidden="1" width="29.375" customWidth="1" style="1181" min="4" max="4"/>
    <col hidden="1" width="8.125" customWidth="1" style="1181" min="5" max="5"/>
    <col hidden="1" width="7.75" customWidth="1" style="1181" min="6" max="7"/>
    <col hidden="1" width="9.25" customWidth="1" style="1181" min="8" max="8"/>
    <col hidden="1" width="8" customWidth="1" style="1181" min="9" max="9"/>
    <col hidden="1" width="11.75" customWidth="1" style="1181" min="10" max="10"/>
    <col hidden="1" width="7.75" customWidth="1" style="1181" min="11" max="18"/>
    <col hidden="1" width="26.375" customWidth="1" style="32" min="19" max="19"/>
    <col hidden="1" width="2.375" customWidth="1" style="1181" min="20" max="20"/>
    <col hidden="1" width="14.125" customWidth="1" style="1181" min="21" max="21"/>
    <col hidden="1" width="19.375" customWidth="1" style="1181" min="22" max="22"/>
    <col width="1.375" customWidth="1" style="1181" min="23" max="23"/>
    <col width="35.375" customWidth="1" style="38" min="24" max="24"/>
    <col width="5.25" customWidth="1" style="38" min="25" max="25"/>
    <col hidden="1" width="20.375" customWidth="1" style="1181" min="26" max="28"/>
    <col width="32" customWidth="1" style="1181" min="29" max="29"/>
    <col width="30.375" customWidth="1" style="1181" min="30" max="30"/>
    <col hidden="1" width="20.375" customWidth="1" style="1181" min="31" max="32"/>
    <col hidden="1" width="34.25" customWidth="1" style="1181" min="33" max="33"/>
    <col hidden="1" width="14.125" customWidth="1" style="1181" min="34" max="34"/>
    <col hidden="1" width="21.125" customWidth="1" style="1181" min="35" max="35"/>
    <col width="35.375" customWidth="1" style="1181" min="36" max="36"/>
    <col width="5.25" customWidth="1" style="1181" min="37" max="37"/>
    <col hidden="1" width="20.375" customWidth="1" style="1181" min="38" max="40"/>
    <col width="31.375" customWidth="1" style="1181" min="41" max="42"/>
    <col width="16.75" customWidth="1" style="1181" min="43" max="45"/>
    <col width="17.375" customWidth="1" style="1181" min="46" max="47"/>
    <col width="16.75" customWidth="1" style="1181" min="48" max="50"/>
    <col width="17.375" customWidth="1" style="1181" min="51" max="52"/>
    <col width="16.75" customWidth="1" style="1181" min="53" max="55"/>
    <col width="17.375" customWidth="1" style="1181" min="56" max="57"/>
    <col width="16.75" customWidth="1" style="1181" min="58" max="60"/>
    <col width="17.375" customWidth="1" style="1181" min="61" max="62"/>
    <col width="16.75" customWidth="1" style="1181" min="63" max="63"/>
  </cols>
  <sheetData>
    <row r="1" hidden="1" customFormat="1" s="13">
      <c r="A1" s="172" t="inlineStr">
        <is>
          <t>维度清单</t>
        </is>
      </c>
      <c r="B1" s="462" t="n"/>
      <c r="C1" s="173" t="n"/>
      <c r="D1" s="173" t="n"/>
      <c r="E1" s="716" t="n"/>
      <c r="F1" s="13" t="n"/>
      <c r="G1" s="13" t="n"/>
      <c r="H1" s="13" t="n"/>
      <c r="I1" s="13" t="n"/>
      <c r="J1" s="13" t="n"/>
      <c r="K1" s="13" t="n"/>
      <c r="L1" s="13" t="n"/>
      <c r="M1" s="13" t="n"/>
      <c r="N1" s="13" t="n"/>
      <c r="O1" s="13" t="n"/>
      <c r="P1" s="13" t="n"/>
      <c r="Q1" s="13" t="n"/>
      <c r="R1" s="13" t="n"/>
      <c r="S1" s="1103" t="n"/>
      <c r="T1" s="13" t="n"/>
      <c r="U1" s="13" t="n"/>
      <c r="V1" s="13" t="n"/>
      <c r="W1" s="13" t="n"/>
      <c r="X1" s="171" t="n"/>
      <c r="Y1" s="171" t="n"/>
      <c r="Z1" s="13" t="n"/>
      <c r="AA1" s="13" t="n"/>
      <c r="AB1" s="13" t="n"/>
      <c r="AC1" s="13" t="n"/>
      <c r="AD1" s="13" t="n"/>
      <c r="AE1" s="13" t="n"/>
      <c r="AF1" s="13" t="n"/>
      <c r="AG1" s="13" t="n"/>
      <c r="AH1" s="13" t="n"/>
      <c r="AI1" s="13" t="n"/>
      <c r="AJ1" s="13" t="n"/>
      <c r="AK1" s="13" t="n"/>
      <c r="AL1" s="13" t="n"/>
      <c r="AM1" s="13" t="n"/>
      <c r="AN1" s="13" t="n"/>
      <c r="AO1" s="13" t="n"/>
      <c r="AP1" s="13" t="n"/>
      <c r="AQ1" s="13" t="n"/>
      <c r="AR1" s="13" t="n"/>
      <c r="AS1" s="220" t="n"/>
      <c r="AT1" s="13" t="n"/>
      <c r="AU1" s="13" t="n"/>
    </row>
    <row r="2" hidden="1" customFormat="1" s="13">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103" t="n"/>
      <c r="T2" s="13" t="n"/>
      <c r="U2" s="13" t="n"/>
      <c r="V2" s="13" t="n"/>
      <c r="W2" s="13" t="n"/>
      <c r="X2" s="171" t="n"/>
      <c r="Y2" s="171" t="n"/>
      <c r="Z2" s="13" t="n"/>
      <c r="AA2" s="13" t="n"/>
      <c r="AB2" s="13" t="n"/>
      <c r="AC2" s="13" t="n"/>
      <c r="AD2" s="13" t="n"/>
      <c r="AE2" s="13" t="n"/>
      <c r="AF2" s="13" t="n"/>
      <c r="AG2" s="13" t="n"/>
      <c r="AH2" s="13" t="n"/>
      <c r="AI2" s="13" t="n"/>
      <c r="AJ2" s="13" t="n"/>
      <c r="AK2" s="13" t="n"/>
      <c r="AL2" s="13" t="n"/>
      <c r="AM2" s="13" t="n"/>
      <c r="AN2" s="13" t="n"/>
      <c r="AO2" s="13" t="n"/>
      <c r="AP2" s="13" t="n"/>
      <c r="AQ2" s="13" t="n"/>
      <c r="AR2" s="13" t="n"/>
      <c r="AS2" s="220" t="n"/>
      <c r="AT2" s="13" t="n"/>
      <c r="AU2" s="13" t="n"/>
    </row>
    <row r="3" hidden="1" customFormat="1" s="13">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103" t="n"/>
      <c r="T3" s="13" t="n"/>
      <c r="U3" s="13" t="n"/>
      <c r="V3" s="13" t="n"/>
      <c r="W3" s="13" t="n"/>
      <c r="X3" s="171" t="n"/>
      <c r="Y3" s="171" t="n"/>
      <c r="Z3" s="13" t="n"/>
      <c r="AA3" s="13" t="n"/>
      <c r="AB3" s="13" t="n"/>
      <c r="AC3" s="13" t="n"/>
      <c r="AD3" s="13" t="n"/>
      <c r="AE3" s="13" t="n"/>
      <c r="AF3" s="13" t="n"/>
      <c r="AG3" s="13" t="n"/>
      <c r="AH3" s="13" t="n"/>
      <c r="AI3" s="13" t="n"/>
      <c r="AJ3" s="13" t="n"/>
      <c r="AK3" s="13" t="n"/>
      <c r="AL3" s="13" t="n"/>
      <c r="AM3" s="13" t="n"/>
      <c r="AN3" s="13" t="n"/>
      <c r="AO3" s="13" t="n"/>
      <c r="AP3" s="13" t="n"/>
      <c r="AQ3" s="13" t="n"/>
      <c r="AR3" s="13" t="n"/>
      <c r="AS3" s="220" t="n"/>
      <c r="AT3" s="13" t="n"/>
      <c r="AU3" s="13" t="n"/>
    </row>
    <row r="4" hidden="1" customFormat="1" s="13">
      <c r="A4" s="175" t="inlineStr">
        <is>
          <t>C</t>
        </is>
      </c>
      <c r="B4" s="176">
        <f>IF(_epmOfflineCondition_,"C_CATEGORY",EPMDimensionType(,A4))</f>
        <v/>
      </c>
      <c r="C4" s="176">
        <f>IF(_epmOfflineCondition_,"C_ALL",IF(B4="","",EPMContextMember(,B4)))</f>
        <v/>
      </c>
      <c r="D4" s="176">
        <f>IF(_epmOfflineCondition_,"全部类别",EPMMemberDesc(C4))</f>
        <v/>
      </c>
      <c r="E4" s="176" t="n"/>
      <c r="F4" s="13" t="n"/>
      <c r="G4" s="13" t="n"/>
      <c r="H4" s="184" t="inlineStr">
        <is>
          <t>预算年</t>
        </is>
      </c>
      <c r="I4" s="184">
        <f>"V_"&amp;$I$3</f>
        <v/>
      </c>
      <c r="J4" s="184">
        <f>$I$3&amp;".TOTAL"</f>
        <v/>
      </c>
      <c r="K4" s="13" t="n"/>
      <c r="L4" s="13" t="n"/>
      <c r="M4" s="13" t="n"/>
      <c r="N4" s="13" t="n"/>
      <c r="O4" s="13" t="n"/>
      <c r="P4" s="13" t="n"/>
      <c r="Q4" s="13" t="n"/>
      <c r="R4" s="13" t="n"/>
      <c r="S4" s="1103" t="n"/>
      <c r="T4" s="13" t="n"/>
      <c r="U4" s="13" t="n"/>
      <c r="V4" s="13" t="n"/>
      <c r="W4" s="13" t="n"/>
      <c r="X4" s="171" t="n"/>
      <c r="Y4" s="171" t="n"/>
      <c r="Z4" s="13" t="n"/>
      <c r="AA4" s="13" t="n"/>
      <c r="AB4" s="13" t="n"/>
      <c r="AC4" s="13" t="n"/>
      <c r="AD4" s="13" t="n"/>
      <c r="AE4" s="13" t="n"/>
      <c r="AF4" s="13" t="n"/>
      <c r="AG4" s="13" t="n"/>
      <c r="AH4" s="13" t="n"/>
      <c r="AI4" s="13" t="n"/>
      <c r="AJ4" s="13" t="n"/>
      <c r="AK4" s="13" t="n"/>
      <c r="AL4" s="13" t="n"/>
      <c r="AM4" s="13" t="n"/>
      <c r="AN4" s="13" t="n"/>
      <c r="AO4" s="13" t="n"/>
      <c r="AP4" s="13" t="n"/>
      <c r="AQ4" s="13" t="n"/>
      <c r="AR4" s="13" t="n"/>
      <c r="AS4" s="220" t="n"/>
      <c r="AT4" s="13" t="n"/>
      <c r="AU4" s="13" t="n"/>
    </row>
    <row r="5" hidden="1" customFormat="1" s="13">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13" t="n"/>
      <c r="V5" s="13" t="n"/>
      <c r="W5" s="13" t="n"/>
      <c r="X5" s="171" t="n"/>
      <c r="Y5" s="171" t="n"/>
      <c r="Z5" s="13" t="n"/>
      <c r="AA5" s="13" t="n"/>
      <c r="AB5" s="13" t="n"/>
      <c r="AC5" s="13" t="n"/>
      <c r="AD5" s="13" t="n"/>
      <c r="AE5" s="13" t="n"/>
      <c r="AF5" s="13" t="n"/>
      <c r="AG5" s="13" t="n"/>
      <c r="AH5" s="13" t="n"/>
      <c r="AI5" s="13" t="n"/>
      <c r="AJ5" s="13" t="n"/>
      <c r="AK5" s="13" t="n"/>
      <c r="AL5" s="13" t="n"/>
      <c r="AM5" s="13" t="n"/>
      <c r="AN5" s="13" t="n"/>
      <c r="AO5" s="13" t="n"/>
      <c r="AP5" s="13" t="n"/>
      <c r="AQ5" s="13" t="n"/>
      <c r="AR5" s="13" t="n"/>
      <c r="AS5" s="220" t="n"/>
      <c r="AT5" s="13" t="n"/>
      <c r="AU5" s="13" t="n"/>
    </row>
    <row r="6" hidden="1" customFormat="1" s="13">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103" t="n"/>
      <c r="T6" s="13" t="n"/>
      <c r="U6" s="13" t="n"/>
      <c r="V6" s="13" t="n"/>
      <c r="W6" s="13" t="n"/>
      <c r="X6" s="171" t="n"/>
      <c r="Y6" s="171" t="n"/>
      <c r="Z6" s="13" t="n"/>
      <c r="AA6" s="13" t="n"/>
      <c r="AB6" s="13" t="n"/>
      <c r="AC6" s="13" t="n"/>
      <c r="AD6" s="13" t="n"/>
      <c r="AE6" s="13" t="n"/>
      <c r="AF6" s="13" t="n"/>
      <c r="AG6" s="13" t="n"/>
      <c r="AH6" s="13" t="n"/>
      <c r="AI6" s="13" t="n"/>
      <c r="AJ6" s="13" t="n"/>
      <c r="AK6" s="13" t="n"/>
      <c r="AL6" s="13" t="n"/>
      <c r="AM6" s="13" t="n"/>
      <c r="AN6" s="13" t="n"/>
      <c r="AO6" s="13" t="n"/>
      <c r="AP6" s="13" t="n"/>
      <c r="AQ6" s="13" t="n"/>
      <c r="AR6" s="13" t="n"/>
      <c r="AS6" s="220" t="n"/>
      <c r="AT6" s="13" t="n"/>
      <c r="AU6" s="13" t="n"/>
    </row>
    <row r="7" hidden="1" customFormat="1" s="13">
      <c r="A7" s="175" t="inlineStr">
        <is>
          <t>R</t>
        </is>
      </c>
      <c r="B7" s="176">
        <f>IF(_epmOfflineCondition_,"C_RPTCURRENCY",EPMDimensionType(,A7))</f>
        <v/>
      </c>
      <c r="C7" s="176">
        <f>IF(_epmOfflineCondition_,"AUD",IF(B7="","",EPMContextMember(,B7)))</f>
        <v/>
      </c>
      <c r="D7" s="176">
        <f>IF(_epmOfflineCondition_,"澳元",EPMMemberDesc(C7))</f>
        <v/>
      </c>
      <c r="E7" s="176" t="n"/>
      <c r="F7" s="13" t="n"/>
      <c r="G7" s="13" t="n"/>
      <c r="H7" s="13" t="n"/>
      <c r="I7" s="13" t="n"/>
      <c r="J7" s="13" t="n"/>
      <c r="K7" s="13" t="n"/>
      <c r="L7" s="13" t="n"/>
      <c r="M7" s="13" t="n"/>
      <c r="N7" s="13" t="n"/>
      <c r="O7" s="13" t="n"/>
      <c r="P7" s="13" t="n"/>
      <c r="Q7" s="13" t="n"/>
      <c r="R7" s="13" t="n"/>
      <c r="S7" s="1103" t="n"/>
      <c r="T7" s="13" t="n"/>
      <c r="U7" s="13" t="n"/>
      <c r="V7" s="13" t="n"/>
      <c r="W7" s="13" t="n"/>
      <c r="X7" s="171" t="n"/>
      <c r="Y7" s="171" t="n"/>
      <c r="Z7" s="13" t="n"/>
      <c r="AA7" s="13" t="n"/>
      <c r="AB7" s="13" t="n"/>
      <c r="AC7" s="13" t="n"/>
      <c r="AD7" s="13" t="n"/>
      <c r="AE7" s="13" t="n"/>
      <c r="AF7" s="13" t="n"/>
      <c r="AG7" s="13" t="n"/>
      <c r="AH7" s="13" t="n"/>
      <c r="AI7" s="13" t="n"/>
      <c r="AJ7" s="13" t="n"/>
      <c r="AK7" s="13" t="n"/>
      <c r="AL7" s="13" t="n"/>
      <c r="AM7" s="13" t="n"/>
      <c r="AN7" s="13" t="n"/>
      <c r="AO7" s="13" t="n"/>
      <c r="AP7" s="13" t="n"/>
      <c r="AQ7" s="13" t="n"/>
      <c r="AR7" s="13" t="n"/>
      <c r="AS7" s="220" t="n"/>
      <c r="AT7" s="13" t="n"/>
      <c r="AU7" s="13" t="n"/>
    </row>
    <row r="8" hidden="1" customFormat="1" s="13">
      <c r="A8" s="175" t="inlineStr">
        <is>
          <t>D</t>
        </is>
      </c>
      <c r="B8" s="176">
        <f>IF(_epmOfflineCondition_,"C_AUDITTRAIL",EPMDimensionType(,A8))</f>
        <v/>
      </c>
      <c r="C8" s="176">
        <f>IF(_epmOfflineCondition_,"DTOTAL",IF(B8="","",EPMContextMember(,B8)))</f>
        <v/>
      </c>
      <c r="D8" s="176">
        <f>IF(_epmOfflineCondition_,"全部审计线索",EPMMemberDesc(C8))</f>
        <v/>
      </c>
      <c r="E8" s="176" t="n"/>
      <c r="F8" s="13" t="n"/>
      <c r="G8" s="13" t="n"/>
      <c r="H8" s="184" t="inlineStr">
        <is>
          <t>本月</t>
        </is>
      </c>
      <c r="I8" s="184">
        <f>IF(_epmOfflineCondition_,"03",RIGHT("0"&amp;EPMMemberProperty(,EPMContextMember(,"C_TIME"),"MONTHNUM"),2))</f>
        <v/>
      </c>
      <c r="J8" s="13" t="n"/>
      <c r="K8" s="13" t="n"/>
      <c r="L8" s="13" t="n"/>
      <c r="M8" s="13" t="n"/>
      <c r="N8" s="13" t="n"/>
      <c r="O8" s="13" t="n"/>
      <c r="P8" s="13" t="n"/>
      <c r="Q8" s="13" t="n"/>
      <c r="R8" s="13" t="n"/>
      <c r="S8" s="1103" t="n"/>
      <c r="T8" s="13" t="n"/>
      <c r="U8" s="13" t="n"/>
      <c r="V8" s="13" t="n"/>
      <c r="W8" s="13" t="n"/>
      <c r="X8" s="171" t="n"/>
      <c r="Y8" s="171" t="n"/>
      <c r="Z8" s="13" t="n"/>
      <c r="AA8" s="13" t="n"/>
      <c r="AB8" s="13" t="n"/>
      <c r="AC8" s="13" t="n"/>
      <c r="AD8" s="13" t="n"/>
      <c r="AE8" s="13" t="n"/>
      <c r="AF8" s="13" t="n"/>
      <c r="AG8" s="13" t="n"/>
      <c r="AH8" s="13" t="n"/>
      <c r="AI8" s="13" t="n"/>
      <c r="AJ8" s="13" t="n"/>
      <c r="AK8" s="13" t="n"/>
      <c r="AL8" s="13" t="n"/>
      <c r="AM8" s="13" t="n"/>
      <c r="AN8" s="13" t="n"/>
      <c r="AO8" s="13" t="n"/>
      <c r="AP8" s="13" t="n"/>
      <c r="AQ8" s="13" t="n"/>
      <c r="AR8" s="13" t="n"/>
      <c r="AS8" s="220" t="n"/>
      <c r="AT8" s="13" t="n"/>
      <c r="AU8" s="13" t="n"/>
    </row>
    <row r="9" hidden="1" customFormat="1" s="13">
      <c r="A9" s="175" t="inlineStr">
        <is>
          <t>S</t>
        </is>
      </c>
      <c r="B9" s="176">
        <f>IF(_epmOfflineCondition_,"C_FLOW",EPMDimensionType(,A9))</f>
        <v/>
      </c>
      <c r="C9" s="176">
        <f>IF(_epmOfflineCondition_,"FTOTAL",IF(B9="","",EPMContextMember(,B9)))</f>
        <v/>
      </c>
      <c r="D9" s="176">
        <f>IF(_epmOfflineCondition_,"全部变动",EPMMemberDesc(C9))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13" t="n"/>
      <c r="V9" s="13" t="n"/>
      <c r="W9" s="13" t="n"/>
      <c r="X9" s="171" t="n"/>
      <c r="Y9" s="171" t="n"/>
      <c r="Z9" s="13" t="n"/>
      <c r="AA9" s="13" t="n"/>
      <c r="AB9" s="13" t="n"/>
      <c r="AC9" s="13" t="n"/>
      <c r="AD9" s="13" t="n"/>
      <c r="AE9" s="13" t="n"/>
      <c r="AF9" s="13" t="n"/>
      <c r="AG9" s="13" t="n"/>
      <c r="AH9" s="13" t="n"/>
      <c r="AI9" s="13" t="n"/>
      <c r="AJ9" s="13" t="n"/>
      <c r="AK9" s="13" t="n"/>
      <c r="AL9" s="13" t="n"/>
      <c r="AM9" s="13" t="n"/>
      <c r="AN9" s="13" t="n"/>
      <c r="AO9" s="13" t="n"/>
      <c r="AP9" s="13" t="n"/>
      <c r="AQ9" s="13" t="n"/>
      <c r="AR9" s="13" t="n"/>
      <c r="AS9" s="220" t="n"/>
      <c r="AT9" s="13" t="n"/>
      <c r="AU9" s="13" t="n"/>
    </row>
    <row r="10" hidden="1" customFormat="1" s="13">
      <c r="A10" s="175" t="inlineStr">
        <is>
          <t>I</t>
        </is>
      </c>
      <c r="B10" s="176">
        <f>IF(_epmOfflineCondition_,"C_INTERCO",EPMDimensionType(,A10))</f>
        <v/>
      </c>
      <c r="C10" s="176">
        <f>IF(_epmOfflineCondition_,"I_ALL",IF(B10="","",EPMContextMember(,B10)))</f>
        <v/>
      </c>
      <c r="D10" s="176">
        <f>IF(_epmOfflineCondition_,"全部贸易伙伴",EPMMemberDesc(C10))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13" t="n"/>
      <c r="V10" s="13" t="n"/>
      <c r="W10" s="13" t="n"/>
      <c r="X10" s="171" t="n"/>
      <c r="Y10" s="171" t="n"/>
      <c r="Z10" s="13" t="n"/>
      <c r="AA10" s="13" t="n"/>
      <c r="AB10" s="13" t="n"/>
      <c r="AC10" s="13" t="n"/>
      <c r="AD10" s="13" t="n"/>
      <c r="AE10" s="13" t="n"/>
      <c r="AF10" s="13" t="n"/>
      <c r="AG10" s="13" t="n"/>
      <c r="AH10" s="13" t="n"/>
      <c r="AI10" s="13" t="n"/>
      <c r="AJ10" s="13" t="n"/>
      <c r="AK10" s="13" t="n"/>
      <c r="AL10" s="13" t="n"/>
      <c r="AM10" s="13" t="n"/>
      <c r="AN10" s="13" t="n"/>
      <c r="AO10" s="13" t="n"/>
      <c r="AP10" s="13" t="n"/>
      <c r="AQ10" s="13" t="n"/>
      <c r="AR10" s="13" t="n"/>
      <c r="AS10" s="220" t="n"/>
      <c r="AT10" s="13" t="n"/>
      <c r="AU10" s="13" t="n"/>
    </row>
    <row r="11" hidden="1" customFormat="1" s="13">
      <c r="A11" s="175" t="inlineStr">
        <is>
          <t>G</t>
        </is>
      </c>
      <c r="B11" s="176">
        <f>IF(_epmOfflineCondition_,"C_SCOPE",EPMDimensionType(,A11))</f>
        <v/>
      </c>
      <c r="C11" s="176">
        <f>IF(_epmOfflineCondition_,"G_DUMMY",IF(B11="","",EPMContextMember(,B11)))</f>
        <v/>
      </c>
      <c r="D11" s="176">
        <f>IF(_epmOfflineCondition_,"合并范围无关",EPMMemberDesc(C11))</f>
        <v/>
      </c>
      <c r="E11" s="176" t="n"/>
      <c r="F11" s="13" t="n"/>
      <c r="G11" s="13" t="n"/>
      <c r="H11" s="184" t="inlineStr">
        <is>
          <t xml:space="preserve">本年月 </t>
        </is>
      </c>
      <c r="I11" s="184">
        <f>I3&amp;"."&amp;I8</f>
        <v/>
      </c>
      <c r="J11" s="13" t="n"/>
      <c r="K11" s="13" t="n"/>
      <c r="L11" s="13" t="n"/>
      <c r="M11" s="13" t="n"/>
      <c r="N11" s="13" t="n"/>
      <c r="O11" s="13" t="n"/>
      <c r="P11" s="13" t="n"/>
      <c r="Q11" s="13" t="n"/>
      <c r="R11" s="13" t="n"/>
      <c r="S11" s="1103" t="n"/>
      <c r="T11" s="13" t="n"/>
      <c r="U11" s="13" t="n"/>
      <c r="V11" s="13" t="n"/>
      <c r="W11" s="13" t="n"/>
      <c r="X11" s="171" t="n"/>
      <c r="Y11" s="171" t="n"/>
      <c r="Z11" s="13" t="n"/>
      <c r="AA11" s="13" t="n"/>
      <c r="AB11" s="13" t="n"/>
      <c r="AC11" s="13" t="n"/>
      <c r="AD11" s="13" t="n"/>
      <c r="AE11" s="13" t="n"/>
      <c r="AF11" s="13" t="n"/>
      <c r="AG11" s="13" t="n"/>
      <c r="AH11" s="13" t="n"/>
      <c r="AI11" s="13" t="n"/>
      <c r="AJ11" s="13" t="n"/>
      <c r="AK11" s="13" t="n"/>
      <c r="AL11" s="13" t="n"/>
      <c r="AM11" s="13" t="n"/>
      <c r="AN11" s="13" t="n"/>
      <c r="AO11" s="13" t="n"/>
      <c r="AP11" s="13" t="n"/>
      <c r="AQ11" s="13" t="n"/>
      <c r="AR11" s="13" t="n"/>
      <c r="AS11" s="220" t="n"/>
      <c r="AT11" s="13" t="n"/>
      <c r="AU11" s="13" t="n"/>
    </row>
    <row r="12" hidden="1" customFormat="1" s="13">
      <c r="A12" s="175" t="inlineStr">
        <is>
          <t>U8</t>
        </is>
      </c>
      <c r="B12" s="176">
        <f>IF(_epmOfflineCondition_,"C_PROJECT",EPMDimensionType(,A12))</f>
        <v/>
      </c>
      <c r="C12" s="176">
        <f>IF(_epmOfflineCondition_,"ZP_ALL",IF(B12="","",EPMContextMember(,B12)))</f>
        <v/>
      </c>
      <c r="D12" s="176">
        <f>IF(_epmOfflineCondition_,"项目合计",EPMMemberDesc(C12))</f>
        <v/>
      </c>
      <c r="E12" s="176" t="n"/>
      <c r="F12" s="13" t="n"/>
      <c r="G12" s="13" t="n"/>
      <c r="H12" s="184" t="inlineStr">
        <is>
          <t>上年月</t>
        </is>
      </c>
      <c r="I12" s="184">
        <f>IF(I8="01",I10&amp;"."&amp;I9,I3&amp;"."&amp;I9)</f>
        <v/>
      </c>
      <c r="J12" s="13" t="n"/>
      <c r="K12" s="13" t="n"/>
      <c r="L12" s="13" t="n"/>
      <c r="M12" s="13" t="n"/>
      <c r="N12" s="13" t="n"/>
      <c r="O12" s="13" t="n"/>
      <c r="P12" s="13" t="n"/>
      <c r="Q12" s="13" t="n"/>
      <c r="R12" s="13" t="n"/>
      <c r="S12" s="1103" t="n"/>
      <c r="T12" s="13" t="n"/>
      <c r="U12" s="13" t="n"/>
      <c r="V12" s="13" t="n"/>
      <c r="W12" s="13" t="n"/>
      <c r="X12" s="171" t="n"/>
      <c r="Y12" s="171" t="n"/>
      <c r="Z12" s="13" t="n"/>
      <c r="AA12" s="13" t="n"/>
      <c r="AB12" s="13" t="n"/>
      <c r="AC12" s="13" t="n"/>
      <c r="AD12" s="13" t="n"/>
      <c r="AE12" s="13" t="n"/>
      <c r="AF12" s="13" t="n"/>
      <c r="AG12" s="13" t="n"/>
      <c r="AH12" s="13" t="n"/>
      <c r="AI12" s="13" t="n"/>
      <c r="AJ12" s="13" t="n"/>
      <c r="AK12" s="13" t="n"/>
      <c r="AL12" s="13" t="n"/>
      <c r="AM12" s="13" t="n"/>
      <c r="AN12" s="13" t="n"/>
      <c r="AO12" s="13" t="n"/>
      <c r="AP12" s="13" t="n"/>
      <c r="AQ12" s="13" t="n"/>
      <c r="AR12" s="13" t="n"/>
      <c r="AS12" s="220" t="n"/>
      <c r="AT12" s="13" t="n"/>
      <c r="AU12" s="13" t="n"/>
    </row>
    <row r="13" hidden="1" customFormat="1" s="13">
      <c r="A13" s="175" t="inlineStr">
        <is>
          <t>U9</t>
        </is>
      </c>
      <c r="B13" s="176">
        <f>IF(_epmOfflineCondition_,"C_ITEM",EPMDimensionType(,A13))</f>
        <v/>
      </c>
      <c r="C13" s="176">
        <f>IF(_epmOfflineCondition_,"ZI_ALL",IF(B13="","",EPMContextMember(,B13)))</f>
        <v/>
      </c>
      <c r="D13" s="176">
        <f>IF(_epmOfflineCondition_,"全部ITEM",EPMMemberDesc(C13))</f>
        <v/>
      </c>
      <c r="E13" s="176" t="n"/>
      <c r="F13" s="13" t="n"/>
      <c r="G13" s="13" t="n"/>
      <c r="H13" s="184" t="inlineStr">
        <is>
          <t xml:space="preserve">上年同期 </t>
        </is>
      </c>
      <c r="I13" s="184">
        <f>I10&amp;"."&amp;I8</f>
        <v/>
      </c>
      <c r="J13" s="13" t="n"/>
      <c r="K13" s="13" t="n"/>
      <c r="L13" s="13" t="n"/>
      <c r="M13" s="13" t="n"/>
      <c r="N13" s="13" t="n"/>
      <c r="O13" s="13" t="n"/>
      <c r="P13" s="13" t="n"/>
      <c r="Q13" s="13" t="n"/>
      <c r="R13" s="13" t="n"/>
      <c r="S13" s="1103" t="n"/>
      <c r="T13" s="13" t="n"/>
      <c r="U13" s="13" t="n"/>
      <c r="V13" s="13" t="n"/>
      <c r="W13" s="13" t="n"/>
      <c r="X13" s="171" t="n"/>
      <c r="Y13" s="171" t="n"/>
      <c r="Z13" s="13" t="n"/>
      <c r="AA13" s="13" t="n"/>
      <c r="AB13" s="13" t="n"/>
      <c r="AC13" s="13" t="n"/>
      <c r="AD13" s="13" t="n"/>
      <c r="AE13" s="13" t="n"/>
      <c r="AF13" s="13" t="n"/>
      <c r="AG13" s="13" t="n"/>
      <c r="AH13" s="13" t="n"/>
      <c r="AI13" s="13" t="n"/>
      <c r="AJ13" s="13" t="n"/>
      <c r="AK13" s="13" t="n"/>
      <c r="AL13" s="13" t="n"/>
      <c r="AM13" s="13" t="n"/>
      <c r="AN13" s="13" t="n"/>
      <c r="AO13" s="13" t="n"/>
      <c r="AP13" s="13" t="n"/>
      <c r="AQ13" s="13" t="n"/>
      <c r="AR13" s="13" t="n"/>
      <c r="AS13" s="220" t="n"/>
      <c r="AT13" s="13" t="n"/>
      <c r="AU13" s="13" t="n"/>
    </row>
    <row r="14" hidden="1" customFormat="1" s="13">
      <c r="A14" s="175" t="inlineStr">
        <is>
          <t>U10</t>
        </is>
      </c>
      <c r="B14" s="176">
        <f>IF(_epmOfflineCondition_,"C_MISK",EPMDimensionType(,A14))</f>
        <v/>
      </c>
      <c r="C14" s="176">
        <f>IF(_epmOfflineCondition_,"ZM_ALL",IF(B14="","",EPMContextMember(,B14)))</f>
        <v/>
      </c>
      <c r="D14" s="176">
        <f>IF(_epmOfflineCondition_,"ALL",EPMMemberDesc(C14))</f>
        <v/>
      </c>
      <c r="E14" s="176" t="n"/>
      <c r="F14" s="13" t="n"/>
      <c r="G14" s="13" t="n"/>
      <c r="H14" s="13" t="n"/>
      <c r="I14" s="13" t="n"/>
      <c r="J14" s="13" t="n"/>
      <c r="K14" s="13" t="n"/>
      <c r="L14" s="13" t="n"/>
      <c r="M14" s="13" t="n"/>
      <c r="N14" s="13" t="n"/>
      <c r="O14" s="13" t="n"/>
      <c r="P14" s="13" t="n"/>
      <c r="Q14" s="13" t="n"/>
      <c r="R14" s="13" t="n"/>
      <c r="S14" s="1103" t="n"/>
      <c r="T14" s="13" t="n"/>
      <c r="U14" s="13" t="n"/>
      <c r="V14" s="13" t="n"/>
      <c r="W14" s="13" t="n"/>
      <c r="X14" s="171" t="n"/>
      <c r="Y14" s="171" t="n"/>
      <c r="Z14" s="13" t="n"/>
      <c r="AA14" s="13" t="n"/>
      <c r="AB14" s="13" t="n"/>
      <c r="AC14" s="13" t="n"/>
      <c r="AD14" s="13" t="n"/>
      <c r="AE14" s="13" t="n"/>
      <c r="AF14" s="13" t="n"/>
      <c r="AG14" s="13" t="n"/>
      <c r="AH14" s="13" t="n"/>
      <c r="AI14" s="13" t="n"/>
      <c r="AJ14" s="13" t="n"/>
      <c r="AK14" s="13" t="n"/>
      <c r="AL14" s="13" t="n"/>
      <c r="AM14" s="13" t="n"/>
      <c r="AN14" s="13" t="n"/>
      <c r="AO14" s="13" t="n"/>
      <c r="AP14" s="13" t="n"/>
      <c r="AQ14" s="13" t="n"/>
      <c r="AR14" s="13" t="n"/>
      <c r="AS14" s="220" t="n"/>
      <c r="AT14" s="13" t="n"/>
      <c r="AU14" s="13" t="n"/>
    </row>
    <row r="15" hidden="1" customFormat="1" s="13">
      <c r="A15" s="13" t="n"/>
      <c r="B15" s="1103" t="n"/>
      <c r="C15" s="1103" t="n"/>
      <c r="D15" s="1103" t="n"/>
      <c r="E15" s="13" t="n"/>
      <c r="F15" s="13" t="n"/>
      <c r="G15" s="13" t="n"/>
      <c r="H15" s="13" t="n"/>
      <c r="I15" s="13" t="n"/>
      <c r="J15" s="13" t="n"/>
      <c r="K15" s="13" t="n"/>
      <c r="L15" s="13" t="n"/>
      <c r="M15" s="13" t="n"/>
      <c r="N15" s="13" t="n"/>
      <c r="O15" s="13" t="n"/>
      <c r="P15" s="13" t="n"/>
      <c r="Q15" s="13" t="n"/>
      <c r="R15" s="13" t="n"/>
      <c r="S15" s="1103" t="n"/>
      <c r="T15" s="13" t="n"/>
      <c r="U15" s="13" t="n"/>
      <c r="V15" s="13" t="n"/>
      <c r="W15" s="13" t="n"/>
      <c r="X15" s="171" t="n"/>
      <c r="Y15" s="171" t="n"/>
      <c r="Z15" s="13" t="n"/>
      <c r="AA15" s="13" t="n"/>
      <c r="AB15" s="13" t="n"/>
      <c r="AC15" s="13" t="n"/>
      <c r="AD15" s="13" t="n"/>
      <c r="AE15" s="13" t="n"/>
      <c r="AF15" s="13" t="n"/>
      <c r="AG15" s="13" t="n"/>
      <c r="AH15" s="13" t="n"/>
      <c r="AI15" s="13" t="n"/>
      <c r="AJ15" s="13" t="n"/>
      <c r="AK15" s="13" t="n"/>
      <c r="AL15" s="13" t="n"/>
      <c r="AM15" s="13" t="n"/>
      <c r="AN15" s="13" t="n"/>
      <c r="AO15" s="13" t="n"/>
      <c r="AP15" s="13" t="n"/>
      <c r="AQ15" s="13" t="n"/>
      <c r="AR15" s="13" t="n"/>
      <c r="AS15" s="220" t="n"/>
      <c r="AT15" s="13" t="n"/>
      <c r="AU15" s="13" t="n"/>
    </row>
    <row r="16" hidden="1" customFormat="1" s="13">
      <c r="A16" s="13" t="n"/>
      <c r="B16" s="13" t="n"/>
      <c r="C16" s="13" t="n"/>
      <c r="D16" s="174" t="inlineStr">
        <is>
          <t>页轴</t>
        </is>
      </c>
      <c r="E16" s="1183" t="n"/>
      <c r="F16" s="13" t="n"/>
      <c r="G16" s="13" t="n"/>
      <c r="H16" s="13" t="n"/>
      <c r="I16" s="13" t="n"/>
      <c r="J16" s="13" t="n"/>
      <c r="K16" s="13" t="n"/>
      <c r="L16" s="13" t="n"/>
      <c r="M16" s="13" t="n"/>
      <c r="N16" s="13" t="n"/>
      <c r="O16" s="13" t="n"/>
      <c r="P16" s="13" t="n"/>
      <c r="Q16" s="13" t="n"/>
      <c r="R16" s="13" t="n"/>
      <c r="S16" s="1103" t="n"/>
      <c r="T16" s="13" t="n"/>
      <c r="U16" s="13" t="n"/>
      <c r="V16" s="13" t="n"/>
      <c r="W16" s="13" t="n"/>
      <c r="X16" s="171" t="n"/>
      <c r="Y16" s="171" t="n"/>
      <c r="Z16" s="13" t="n"/>
      <c r="AA16" s="13" t="n"/>
      <c r="AB16" s="13" t="n"/>
      <c r="AC16" s="13" t="n"/>
      <c r="AD16" s="13" t="n"/>
      <c r="AE16" s="13" t="n"/>
      <c r="AF16" s="13" t="n"/>
      <c r="AG16" s="13" t="n"/>
      <c r="AH16" s="13" t="n"/>
      <c r="AI16" s="13" t="n"/>
      <c r="AJ16" s="13" t="n"/>
      <c r="AK16" s="13" t="n"/>
      <c r="AL16" s="13" t="n"/>
      <c r="AM16" s="13" t="n"/>
      <c r="AN16" s="13" t="n"/>
      <c r="AO16" s="13" t="n"/>
      <c r="AP16" s="13" t="n"/>
      <c r="AQ16" s="13" t="n"/>
      <c r="AR16" s="13" t="n"/>
      <c r="AS16" s="220" t="n"/>
      <c r="AT16" s="13" t="n"/>
      <c r="AU16" s="13" t="n"/>
    </row>
    <row r="17" hidden="1" customFormat="1" s="13">
      <c r="A17" s="174" t="inlineStr">
        <is>
          <t>维度类型</t>
        </is>
      </c>
      <c r="B17" s="174" t="inlineStr">
        <is>
          <t>维度</t>
        </is>
      </c>
      <c r="C17" s="178" t="inlineStr">
        <is>
          <t>页轴替换</t>
        </is>
      </c>
      <c r="D17" s="174" t="inlineStr">
        <is>
          <t>报表001</t>
        </is>
      </c>
      <c r="E17" s="174" t="inlineStr">
        <is>
          <t>报表002</t>
        </is>
      </c>
      <c r="F17" s="13" t="n"/>
      <c r="G17" s="13" t="n"/>
      <c r="H17" s="13" t="n"/>
      <c r="I17" s="13" t="n"/>
      <c r="J17" s="13" t="n"/>
      <c r="K17" s="13" t="n"/>
      <c r="L17" s="13" t="n"/>
      <c r="M17" s="13" t="n"/>
      <c r="N17" s="13" t="n"/>
      <c r="O17" s="13" t="n"/>
      <c r="P17" s="13" t="n"/>
      <c r="Q17" s="13" t="n"/>
      <c r="R17" s="13" t="n"/>
      <c r="S17" s="1103" t="n"/>
      <c r="T17" s="13" t="n"/>
      <c r="U17" s="13" t="n"/>
      <c r="V17" s="13" t="n"/>
      <c r="W17" s="13" t="n"/>
      <c r="X17" s="171" t="n"/>
      <c r="Y17" s="171" t="n"/>
      <c r="Z17" s="13" t="n"/>
      <c r="AA17" s="13" t="n"/>
      <c r="AB17" s="13" t="n"/>
      <c r="AC17" s="13" t="n"/>
      <c r="AD17" s="13" t="n"/>
      <c r="AE17" s="13" t="n"/>
      <c r="AF17" s="13" t="n"/>
      <c r="AG17" s="13" t="n"/>
      <c r="AH17" s="13" t="n"/>
      <c r="AI17" s="13" t="n"/>
      <c r="AJ17" s="13" t="n"/>
      <c r="AK17" s="13" t="n"/>
      <c r="AL17" s="13" t="n"/>
      <c r="AM17" s="13" t="n"/>
      <c r="AN17" s="13" t="n"/>
      <c r="AO17" s="13" t="n"/>
      <c r="AP17" s="13" t="n"/>
      <c r="AQ17" s="13" t="n"/>
      <c r="AR17" s="13" t="n"/>
      <c r="AS17" s="220" t="n"/>
      <c r="AT17" s="13" t="n"/>
      <c r="AU17" s="13" t="n"/>
    </row>
    <row r="18" hidden="1" customFormat="1" s="13">
      <c r="A18" s="175" t="inlineStr">
        <is>
          <t>A</t>
        </is>
      </c>
      <c r="B18" s="176">
        <f>IF(_epmOfflineCondition_,"C_ACCOUNT",EPMDimensionType(,A18))</f>
        <v/>
      </c>
      <c r="C18" s="182" t="inlineStr">
        <is>
          <t>A_ANOUSED</t>
        </is>
      </c>
      <c r="D18" s="180" t="n"/>
      <c r="E18" s="13" t="n"/>
      <c r="F18" s="13" t="n"/>
      <c r="G18" s="13" t="n"/>
      <c r="H18" s="13" t="n"/>
      <c r="I18" s="13" t="n"/>
      <c r="J18" s="13" t="n"/>
      <c r="K18" s="13" t="n"/>
      <c r="L18" s="13" t="n"/>
      <c r="M18" s="13" t="n"/>
      <c r="N18" s="13" t="n"/>
      <c r="O18" s="13" t="n"/>
      <c r="P18" s="13" t="n"/>
      <c r="Q18" s="13" t="n"/>
      <c r="R18" s="13" t="n"/>
      <c r="S18" s="1103" t="n"/>
      <c r="T18" s="13" t="n"/>
      <c r="U18" s="13" t="n"/>
      <c r="V18" s="13" t="n"/>
      <c r="W18" s="13" t="n"/>
      <c r="X18" s="171" t="n"/>
      <c r="Y18" s="171" t="n"/>
      <c r="Z18" s="13" t="n"/>
      <c r="AA18" s="13" t="n"/>
      <c r="AB18" s="13" t="n"/>
      <c r="AC18" s="13" t="n"/>
      <c r="AD18" s="13" t="n"/>
      <c r="AE18" s="13" t="n"/>
      <c r="AF18" s="13" t="n"/>
      <c r="AG18" s="13" t="n"/>
      <c r="AH18" s="13" t="n"/>
      <c r="AI18" s="13" t="n"/>
      <c r="AJ18" s="13" t="n"/>
      <c r="AK18" s="13" t="n"/>
      <c r="AL18" s="13" t="n"/>
      <c r="AM18" s="13" t="n"/>
      <c r="AN18" s="13" t="n"/>
      <c r="AO18" s="13" t="n"/>
      <c r="AP18" s="13" t="n"/>
      <c r="AQ18" s="13" t="n"/>
      <c r="AR18" s="13" t="n"/>
      <c r="AS18" s="220" t="n"/>
      <c r="AT18" s="13" t="n"/>
      <c r="AU18" s="13" t="n"/>
    </row>
    <row r="19" hidden="1" customFormat="1" s="13">
      <c r="A19" s="175" t="inlineStr">
        <is>
          <t>C</t>
        </is>
      </c>
      <c r="B19" s="176">
        <f>IF(_epmOfflineCondition_,"C_CATEGORY",EPMDimensionType(,A19))</f>
        <v/>
      </c>
      <c r="C19" s="672" t="inlineStr">
        <is>
          <t>C_DUMMY</t>
        </is>
      </c>
      <c r="D19" s="180" t="n"/>
      <c r="E19" s="13" t="n"/>
      <c r="F19" s="13" t="n"/>
      <c r="G19" s="13" t="n"/>
      <c r="H19" s="13" t="n"/>
      <c r="I19" s="13" t="n"/>
      <c r="J19" s="13" t="n"/>
      <c r="K19" s="13" t="n"/>
      <c r="L19" s="13" t="n"/>
      <c r="M19" s="13" t="n"/>
      <c r="N19" s="13" t="n"/>
      <c r="O19" s="13" t="n"/>
      <c r="P19" s="13" t="n"/>
      <c r="Q19" s="13" t="n"/>
      <c r="R19" s="13" t="n"/>
      <c r="S19" s="1103" t="n"/>
      <c r="T19" s="13" t="n"/>
      <c r="U19" s="13" t="n"/>
      <c r="V19" s="13" t="n"/>
      <c r="W19" s="13" t="n"/>
      <c r="X19" s="171" t="n"/>
      <c r="Y19" s="171" t="n"/>
      <c r="Z19" s="13" t="n"/>
      <c r="AA19" s="13" t="n"/>
      <c r="AB19" s="13" t="n"/>
      <c r="AC19" s="13" t="n"/>
      <c r="AD19" s="13" t="n"/>
      <c r="AE19" s="13" t="n"/>
      <c r="AF19" s="13" t="n"/>
      <c r="AG19" s="13" t="n"/>
      <c r="AH19" s="13" t="n"/>
      <c r="AI19" s="13" t="n"/>
      <c r="AJ19" s="13" t="n"/>
      <c r="AK19" s="13" t="n"/>
      <c r="AL19" s="13" t="n"/>
      <c r="AM19" s="13" t="n"/>
      <c r="AN19" s="13" t="n"/>
      <c r="AO19" s="13" t="n"/>
      <c r="AP19" s="13" t="n"/>
      <c r="AQ19" s="13" t="n"/>
      <c r="AR19" s="13" t="n"/>
      <c r="AS19" s="220" t="n"/>
      <c r="AT19" s="13" t="n"/>
      <c r="AU19" s="13" t="n"/>
    </row>
    <row r="20" hidden="1" customFormat="1" s="13">
      <c r="A20" s="175" t="inlineStr">
        <is>
          <t>T</t>
        </is>
      </c>
      <c r="B20" s="176">
        <f>IF(_epmOfflineCondition_,"C_TIME",EPMDimensionType(,A20))</f>
        <v/>
      </c>
      <c r="C20" s="176">
        <f>IF(_epmOfflineCondition_,"2025.03",IF(B20="","",EPMContextMember(,B20)))</f>
        <v/>
      </c>
      <c r="D20" s="180" t="n"/>
      <c r="E20" s="13" t="n"/>
      <c r="F20" s="384" t="n"/>
      <c r="G20" s="384" t="n"/>
      <c r="H20" s="13" t="n"/>
      <c r="I20" s="13" t="n"/>
      <c r="J20" s="13" t="n"/>
      <c r="K20" s="13" t="n"/>
      <c r="L20" s="13" t="n"/>
      <c r="M20" s="13" t="n"/>
      <c r="N20" s="13" t="n"/>
      <c r="O20" s="13" t="n"/>
      <c r="P20" s="13" t="n"/>
      <c r="Q20" s="13" t="n"/>
      <c r="R20" s="13" t="n"/>
      <c r="S20" s="1103" t="n"/>
      <c r="T20" s="13" t="n"/>
      <c r="U20" s="13" t="n"/>
      <c r="V20" s="13" t="n"/>
      <c r="W20" s="13" t="n"/>
      <c r="X20" s="171" t="n"/>
      <c r="Y20" s="171" t="n"/>
      <c r="Z20" s="384" t="n"/>
      <c r="AA20" s="13" t="n"/>
      <c r="AB20" s="13" t="n"/>
      <c r="AC20" s="13" t="n"/>
      <c r="AD20" s="13" t="n"/>
      <c r="AE20" s="13" t="n"/>
      <c r="AF20" s="13" t="n"/>
      <c r="AG20" s="13" t="n"/>
      <c r="AH20" s="13" t="n"/>
      <c r="AI20" s="13" t="n"/>
      <c r="AJ20" s="13" t="n"/>
      <c r="AK20" s="13" t="n"/>
      <c r="AL20" s="13" t="n"/>
      <c r="AM20" s="13" t="n"/>
      <c r="AN20" s="13" t="n"/>
      <c r="AO20" s="13" t="n"/>
      <c r="AP20" s="13" t="n"/>
      <c r="AQ20" s="13" t="n"/>
      <c r="AR20" s="13" t="n"/>
      <c r="AS20" s="220" t="n"/>
      <c r="AT20" s="13" t="n"/>
      <c r="AU20" s="13" t="n"/>
    </row>
    <row r="21" hidden="1" customFormat="1" s="13">
      <c r="A21" s="175" t="inlineStr">
        <is>
          <t>E</t>
        </is>
      </c>
      <c r="B21" s="176">
        <f>IF(_epmOfflineCondition_,"C_ENTITY",EPMDimensionType(,A21))</f>
        <v/>
      </c>
      <c r="C21" s="176">
        <f>IF(_epmOfflineCondition_,"E100787",IF(B21="","",EPMContextMember(,B21)))</f>
        <v/>
      </c>
      <c r="D21" s="390">
        <f>IF(_epmOfflineCondition_,"E100787",EPMOlapMemberO(C21,"[C_ENTITY].[PARENTH1].[E100787]","E100787 - 内蒙古京能苏尼特风力发电有限公司（内蒙古分公司）","","000;001"))</f>
        <v/>
      </c>
      <c r="E21" s="13" t="n"/>
      <c r="F21" s="384" t="n"/>
      <c r="G21" s="384" t="n"/>
      <c r="H21" s="13" t="n"/>
      <c r="I21" s="13" t="n"/>
      <c r="J21" s="13" t="n"/>
      <c r="K21" s="13" t="n"/>
      <c r="L21" s="13" t="n"/>
      <c r="M21" s="13" t="n"/>
      <c r="N21" s="13" t="n"/>
      <c r="O21" s="13" t="n"/>
      <c r="P21" s="13" t="n"/>
      <c r="Q21" s="13" t="n"/>
      <c r="R21" s="13" t="n"/>
      <c r="S21" s="1103" t="n"/>
      <c r="T21" s="13" t="n"/>
      <c r="U21" s="13" t="n"/>
      <c r="V21" s="13" t="n"/>
      <c r="W21" s="13" t="n"/>
      <c r="X21" s="171" t="n"/>
      <c r="Y21" s="171" t="n"/>
      <c r="Z21" s="384" t="n"/>
      <c r="AA21" s="13" t="n"/>
      <c r="AB21" s="13" t="n"/>
      <c r="AC21" s="13" t="n"/>
      <c r="AD21" s="13" t="n"/>
      <c r="AE21" s="13" t="n"/>
      <c r="AF21" s="13" t="n"/>
      <c r="AG21" s="13" t="n"/>
      <c r="AH21" s="13" t="n"/>
      <c r="AI21" s="13" t="n"/>
      <c r="AJ21" s="13" t="n"/>
      <c r="AK21" s="13" t="n"/>
      <c r="AL21" s="13" t="n"/>
      <c r="AM21" s="13" t="n"/>
      <c r="AN21" s="13" t="n"/>
      <c r="AO21" s="13" t="n"/>
      <c r="AP21" s="13" t="n"/>
      <c r="AQ21" s="13" t="n"/>
      <c r="AR21" s="13" t="n"/>
      <c r="AS21" s="220" t="n"/>
      <c r="AT21" s="13" t="n"/>
      <c r="AU21" s="13" t="n"/>
    </row>
    <row r="22" hidden="1" customFormat="1" s="13">
      <c r="A22" s="175" t="inlineStr">
        <is>
          <t>R</t>
        </is>
      </c>
      <c r="B22" s="176">
        <f>IF(_epmOfflineCondition_,"C_RPTCURRENCY",EPMDimensionType(,A22))</f>
        <v/>
      </c>
      <c r="C22" s="182">
        <f>Z39</f>
        <v/>
      </c>
      <c r="D22" s="390">
        <f>IF(_epmOfflineCondition_,"LC",EPMOlapMemberO(C22,"[C_RPTCURRENCY].[].[LC]","LC - 本位币","","000;001"))</f>
        <v/>
      </c>
      <c r="E22" s="13" t="n"/>
      <c r="F22" s="384" t="n"/>
      <c r="G22" s="384" t="n"/>
      <c r="H22" s="13" t="n"/>
      <c r="I22" s="13" t="n"/>
      <c r="J22" s="13" t="n"/>
      <c r="K22" s="13" t="n"/>
      <c r="L22" s="13" t="n"/>
      <c r="M22" s="13" t="n"/>
      <c r="N22" s="13" t="n"/>
      <c r="O22" s="13" t="n"/>
      <c r="P22" s="13" t="n"/>
      <c r="Q22" s="13" t="n"/>
      <c r="R22" s="13" t="n"/>
      <c r="S22" s="1103" t="n"/>
      <c r="T22" s="13" t="n"/>
      <c r="U22" s="13" t="n"/>
      <c r="V22" s="13" t="n"/>
      <c r="W22" s="13" t="n"/>
      <c r="X22" s="171" t="n"/>
      <c r="Y22" s="171" t="n"/>
      <c r="Z22" s="384" t="n"/>
      <c r="AA22" s="13" t="n"/>
      <c r="AB22" s="13" t="n"/>
      <c r="AC22" s="13" t="n"/>
      <c r="AD22" s="13" t="n"/>
      <c r="AE22" s="13" t="n"/>
      <c r="AF22" s="13" t="n"/>
      <c r="AG22" s="13" t="n"/>
      <c r="AH22" s="13" t="n"/>
      <c r="AI22" s="13" t="n"/>
      <c r="AJ22" s="13" t="n"/>
      <c r="AK22" s="13" t="n"/>
      <c r="AL22" s="13" t="n"/>
      <c r="AM22" s="13" t="n"/>
      <c r="AN22" s="13" t="n"/>
      <c r="AO22" s="13" t="n"/>
      <c r="AP22" s="13" t="n"/>
      <c r="AQ22" s="13" t="n"/>
      <c r="AR22" s="13" t="n"/>
      <c r="AS22" s="220" t="n"/>
      <c r="AT22" s="13" t="n"/>
      <c r="AU22" s="13" t="n"/>
    </row>
    <row r="23" hidden="1" customFormat="1" s="13">
      <c r="A23" s="175" t="inlineStr">
        <is>
          <t>D</t>
        </is>
      </c>
      <c r="B23" s="176">
        <f>IF(_epmOfflineCondition_,"C_AUDITTRAIL",EPMDimensionType(,A23))</f>
        <v/>
      </c>
      <c r="C23" s="447" t="inlineStr">
        <is>
          <t>DALL</t>
        </is>
      </c>
      <c r="D23" s="390" t="n"/>
      <c r="E23" s="13" t="n"/>
      <c r="F23" s="384" t="n"/>
      <c r="G23" s="384" t="n"/>
      <c r="H23" s="13" t="n"/>
      <c r="I23" s="13" t="n"/>
      <c r="J23" s="13" t="n"/>
      <c r="K23" s="13" t="n"/>
      <c r="L23" s="13" t="n"/>
      <c r="M23" s="13" t="n"/>
      <c r="N23" s="13" t="n"/>
      <c r="O23" s="13" t="n"/>
      <c r="P23" s="13" t="n"/>
      <c r="Q23" s="13" t="n"/>
      <c r="R23" s="13" t="n"/>
      <c r="S23" s="1103" t="n"/>
      <c r="T23" s="13" t="n"/>
      <c r="U23" s="13" t="n"/>
      <c r="V23" s="13" t="n"/>
      <c r="W23" s="13" t="n"/>
      <c r="X23" s="399" t="inlineStr">
        <is>
          <t>FLOW</t>
        </is>
      </c>
      <c r="Y23" s="171" t="n"/>
      <c r="Z23" s="200" t="inlineStr">
        <is>
          <t>FEND</t>
        </is>
      </c>
      <c r="AA23" s="200" t="inlineStr">
        <is>
          <t>F20</t>
        </is>
      </c>
      <c r="AB23" s="200" t="inlineStr">
        <is>
          <t>FMOV</t>
        </is>
      </c>
      <c r="AC23" s="200" t="inlineStr">
        <is>
          <t>F00T</t>
        </is>
      </c>
      <c r="AD23" s="200" t="inlineStr">
        <is>
          <t>FEND</t>
        </is>
      </c>
      <c r="AE23" s="200" t="n"/>
      <c r="AF23" s="13" t="n"/>
      <c r="AG23" s="13" t="n"/>
      <c r="AH23" s="13" t="n"/>
      <c r="AI23" s="13" t="n"/>
      <c r="AJ23" s="399" t="inlineStr">
        <is>
          <t>FLOW</t>
        </is>
      </c>
      <c r="AK23" s="171" t="n"/>
      <c r="AL23" s="200" t="inlineStr">
        <is>
          <t>FEND</t>
        </is>
      </c>
      <c r="AM23" s="200" t="inlineStr">
        <is>
          <t>F20</t>
        </is>
      </c>
      <c r="AN23" s="200" t="inlineStr">
        <is>
          <t>FEND</t>
        </is>
      </c>
      <c r="AO23" s="200" t="inlineStr">
        <is>
          <t>F00T</t>
        </is>
      </c>
      <c r="AP23" s="200" t="inlineStr">
        <is>
          <t>FMOV</t>
        </is>
      </c>
      <c r="AQ23" s="200" t="n"/>
      <c r="AR23" s="13" t="n"/>
      <c r="AS23" s="220" t="n"/>
      <c r="AT23" s="13" t="n"/>
      <c r="AU23" s="13" t="n"/>
    </row>
    <row r="24" hidden="1" customFormat="1" s="13">
      <c r="A24" s="175" t="inlineStr">
        <is>
          <t>S</t>
        </is>
      </c>
      <c r="B24" s="176">
        <f>IF(_epmOfflineCondition_,"C_FLOW",EPMDimensionType(,A24))</f>
        <v/>
      </c>
      <c r="C24" s="176" t="inlineStr">
        <is>
          <t>FTOTAL</t>
        </is>
      </c>
      <c r="D24" s="390" t="n"/>
      <c r="E24" s="13" t="n"/>
      <c r="F24" s="384" t="n"/>
      <c r="G24" s="384" t="n"/>
      <c r="H24" s="13" t="n"/>
      <c r="I24" s="13" t="n"/>
      <c r="J24" s="13" t="n"/>
      <c r="K24" s="13" t="n"/>
      <c r="L24" s="13" t="n"/>
      <c r="M24" s="13" t="n"/>
      <c r="N24" s="13" t="n"/>
      <c r="O24" s="13" t="n"/>
      <c r="P24" s="13" t="n"/>
      <c r="Q24" s="13" t="n"/>
      <c r="R24" s="13" t="n"/>
      <c r="S24" s="1103" t="n"/>
      <c r="T24" s="13" t="n"/>
      <c r="U24" s="13" t="n"/>
      <c r="V24" s="13" t="n"/>
      <c r="W24" s="13" t="n"/>
      <c r="X24" s="1146" t="inlineStr">
        <is>
          <t>TIME</t>
        </is>
      </c>
      <c r="Y24" s="171" t="n"/>
      <c r="Z24" s="464">
        <f>$I$11</f>
        <v/>
      </c>
      <c r="AA24" s="464">
        <f>$I$11</f>
        <v/>
      </c>
      <c r="AB24" s="464">
        <f>$J$4</f>
        <v/>
      </c>
      <c r="AC24" s="464">
        <f>Z24</f>
        <v/>
      </c>
      <c r="AD24" s="178">
        <f>J5</f>
        <v/>
      </c>
      <c r="AE24" s="178" t="n"/>
      <c r="AF24" s="13" t="n"/>
      <c r="AG24" s="13" t="n"/>
      <c r="AH24" s="13" t="n"/>
      <c r="AI24" s="13" t="n"/>
      <c r="AJ24" s="1146" t="inlineStr">
        <is>
          <t>TIME</t>
        </is>
      </c>
      <c r="AK24" s="171" t="n"/>
      <c r="AL24" s="464">
        <f>$I$11</f>
        <v/>
      </c>
      <c r="AM24" s="464">
        <f>$I$11</f>
        <v/>
      </c>
      <c r="AN24" s="464">
        <f>$J$4</f>
        <v/>
      </c>
      <c r="AO24" s="464">
        <f>AL24</f>
        <v/>
      </c>
      <c r="AP24" s="178">
        <f>J5</f>
        <v/>
      </c>
      <c r="AQ24" s="178" t="n"/>
      <c r="AR24" s="13" t="n"/>
      <c r="AS24" s="220" t="n"/>
      <c r="AT24" s="13" t="n"/>
      <c r="AU24" s="13" t="n"/>
    </row>
    <row r="25" hidden="1" customFormat="1" s="13">
      <c r="A25" s="175" t="inlineStr">
        <is>
          <t>I</t>
        </is>
      </c>
      <c r="B25" s="176">
        <f>IF(_epmOfflineCondition_,"C_INTERCO",EPMDimensionType(,A25))</f>
        <v/>
      </c>
      <c r="C25" s="176" t="inlineStr">
        <is>
          <t>I_ALL</t>
        </is>
      </c>
      <c r="D25" s="390">
        <f>IF(_epmOfflineCondition_,"I_ALL",EPMOlapMemberO(C25,"[C_INTERCO].[PARENTH1].[I_ALL]","I_ALL - 全部贸易伙伴","","000;001"))</f>
        <v/>
      </c>
      <c r="E25" s="13" t="n"/>
      <c r="F25" s="384" t="n"/>
      <c r="G25" s="384" t="n"/>
      <c r="H25" s="13" t="n"/>
      <c r="I25" s="13" t="n"/>
      <c r="J25" s="13" t="n"/>
      <c r="K25" s="13" t="n"/>
      <c r="L25" s="13" t="n"/>
      <c r="M25" s="13" t="n"/>
      <c r="N25" s="13" t="n"/>
      <c r="O25" s="13" t="n"/>
      <c r="P25" s="13" t="n"/>
      <c r="Q25" s="13" t="n"/>
      <c r="R25" s="13" t="n"/>
      <c r="S25" s="1103" t="n"/>
      <c r="T25" s="13" t="n"/>
      <c r="U25" s="13" t="n"/>
      <c r="V25" s="13" t="n"/>
      <c r="W25" s="13" t="n"/>
      <c r="X25" s="1147" t="inlineStr">
        <is>
          <t>CATEGORY</t>
        </is>
      </c>
      <c r="Y25" s="171" t="n"/>
      <c r="Z25" s="178" t="inlineStr">
        <is>
          <t>C1001</t>
        </is>
      </c>
      <c r="AA25" s="178" t="inlineStr">
        <is>
          <t>C1001</t>
        </is>
      </c>
      <c r="AB25" s="178" t="inlineStr">
        <is>
          <t>C1001</t>
        </is>
      </c>
      <c r="AC25" s="178">
        <f>$C$4</f>
        <v/>
      </c>
      <c r="AD25" s="178" t="n"/>
      <c r="AE25" s="178" t="n"/>
      <c r="AF25" s="716" t="n"/>
      <c r="AG25" s="716" t="n"/>
      <c r="AH25" s="384" t="n"/>
      <c r="AI25" s="13" t="n"/>
      <c r="AJ25" s="1147" t="inlineStr">
        <is>
          <t>CATEGORY</t>
        </is>
      </c>
      <c r="AK25" s="171" t="n"/>
      <c r="AL25" s="178" t="inlineStr">
        <is>
          <t>C1001</t>
        </is>
      </c>
      <c r="AM25" s="178" t="inlineStr">
        <is>
          <t>C1001</t>
        </is>
      </c>
      <c r="AN25" s="178" t="inlineStr">
        <is>
          <t>C1001</t>
        </is>
      </c>
      <c r="AO25" s="178">
        <f>$C$4</f>
        <v/>
      </c>
      <c r="AP25" s="178" t="n"/>
      <c r="AQ25" s="178" t="n"/>
      <c r="AR25" s="220" t="n"/>
      <c r="AS25" s="220" t="n"/>
      <c r="AT25" s="220" t="n"/>
      <c r="AU25" s="220" t="n"/>
    </row>
    <row r="26" hidden="1" customFormat="1" s="13">
      <c r="A26" s="175" t="inlineStr">
        <is>
          <t>G</t>
        </is>
      </c>
      <c r="B26" s="176">
        <f>IF(_epmOfflineCondition_,"C_SCOPE",EPMDimensionType(,A26))</f>
        <v/>
      </c>
      <c r="C26" s="182" t="inlineStr">
        <is>
          <t>G_DUMMY</t>
        </is>
      </c>
      <c r="D26" s="390">
        <f>IF(_epmOfflineCondition_,"G_DUMMY",EPMOlapMemberO(C26,"[C_SCOPE].[PARENTH1].[G_DUMMY]","G_DUMMY - 合并范围无关","","000;001"))</f>
        <v/>
      </c>
      <c r="E26" s="13" t="n"/>
      <c r="F26" s="384" t="n"/>
      <c r="G26" s="384" t="n"/>
      <c r="H26" s="13" t="n"/>
      <c r="I26" s="13" t="n"/>
      <c r="J26" s="13" t="n"/>
      <c r="K26" s="13" t="n"/>
      <c r="L26" s="13" t="n"/>
      <c r="M26" s="13" t="n"/>
      <c r="N26" s="13" t="n"/>
      <c r="O26" s="13" t="n"/>
      <c r="P26" s="13" t="n"/>
      <c r="Q26" s="13" t="n"/>
      <c r="R26" s="13" t="n"/>
      <c r="S26" s="1103" t="n"/>
      <c r="T26" s="13" t="n"/>
      <c r="U26" s="13" t="n"/>
      <c r="V26" s="13" t="n"/>
      <c r="W26" s="13" t="n"/>
      <c r="X26" s="399" t="inlineStr">
        <is>
          <t>MEASURES</t>
        </is>
      </c>
      <c r="Y26" s="171" t="n"/>
      <c r="Z26" s="200" t="inlineStr">
        <is>
          <t>YTD</t>
        </is>
      </c>
      <c r="AA26" s="200" t="inlineStr">
        <is>
          <t>Periodic</t>
        </is>
      </c>
      <c r="AB26" s="200" t="n"/>
      <c r="AC26" s="200" t="n"/>
      <c r="AD26" s="200" t="n"/>
      <c r="AE26" s="200" t="n"/>
      <c r="AF26" s="716" t="n"/>
      <c r="AG26" s="716" t="n"/>
      <c r="AH26" s="384" t="n"/>
      <c r="AI26" s="13" t="n"/>
      <c r="AJ26" s="399" t="inlineStr">
        <is>
          <t>MEASURES</t>
        </is>
      </c>
      <c r="AK26" s="171" t="n"/>
      <c r="AL26" s="200" t="inlineStr">
        <is>
          <t>YTD</t>
        </is>
      </c>
      <c r="AM26" s="200" t="inlineStr">
        <is>
          <t>Periodic</t>
        </is>
      </c>
      <c r="AN26" s="200" t="n"/>
      <c r="AO26" s="200" t="n"/>
      <c r="AP26" s="200" t="n"/>
      <c r="AQ26" s="200" t="n"/>
      <c r="AR26" s="220" t="n"/>
      <c r="AS26" s="220" t="n"/>
      <c r="AT26" s="220" t="n"/>
      <c r="AU26" s="220" t="n"/>
    </row>
    <row r="27" hidden="1" customFormat="1" s="13">
      <c r="A27" s="175" t="inlineStr">
        <is>
          <t>U8</t>
        </is>
      </c>
      <c r="B27" s="176">
        <f>IF(_epmOfflineCondition_,"C_PROJECT",EPMDimensionType(,A27))</f>
        <v/>
      </c>
      <c r="C27" s="180" t="inlineStr">
        <is>
          <t>ZP_ALL</t>
        </is>
      </c>
      <c r="D27" s="390">
        <f>IF(_epmOfflineCondition_,"ZP_ALL",EPMOlapMemberO(C27,"[C_PROJECT].[PARENTH1].[ZP_ALL]","ZP_ALL - 项目合计","","000;001"))</f>
        <v/>
      </c>
      <c r="E27" s="13" t="n"/>
      <c r="F27" s="384" t="n"/>
      <c r="G27" s="384" t="n"/>
      <c r="H27" s="13" t="n"/>
      <c r="I27" s="13" t="n"/>
      <c r="J27" s="13" t="n"/>
      <c r="K27" s="13" t="n"/>
      <c r="L27" s="13" t="n"/>
      <c r="M27" s="13" t="n"/>
      <c r="N27" s="13" t="n"/>
      <c r="O27" s="13" t="n"/>
      <c r="P27" s="13" t="n"/>
      <c r="Q27" s="13" t="n"/>
      <c r="R27" s="13" t="n"/>
      <c r="S27" s="1103" t="n"/>
      <c r="T27" s="13" t="n"/>
      <c r="U27" s="13" t="n"/>
      <c r="V27" s="13" t="n"/>
      <c r="W27" s="13" t="n"/>
      <c r="X27" s="399" t="inlineStr">
        <is>
          <t>C_AUDITTRAIL</t>
        </is>
      </c>
      <c r="Y27" s="171" t="n"/>
      <c r="Z27" s="178" t="inlineStr">
        <is>
          <t>DLC_BK</t>
        </is>
      </c>
      <c r="AA27" s="178" t="inlineStr">
        <is>
          <t>DLC_ADJ_NP</t>
        </is>
      </c>
      <c r="AB27" s="178" t="inlineStr">
        <is>
          <t>DLC</t>
        </is>
      </c>
      <c r="AC27" s="178" t="inlineStr">
        <is>
          <t>DLC_RC</t>
        </is>
      </c>
      <c r="AD27" s="178" t="n"/>
      <c r="AE27" s="178" t="inlineStr">
        <is>
          <t>DLC_ADJ</t>
        </is>
      </c>
      <c r="AF27" s="13" t="n"/>
      <c r="AG27" s="13" t="n"/>
      <c r="AH27" s="13" t="n"/>
      <c r="AI27" s="13" t="n"/>
      <c r="AJ27" s="399" t="inlineStr">
        <is>
          <t>C_AUDITTRAIL</t>
        </is>
      </c>
      <c r="AK27" s="171" t="n"/>
      <c r="AL27" s="178" t="inlineStr">
        <is>
          <t>DLC_BK</t>
        </is>
      </c>
      <c r="AM27" s="178" t="inlineStr">
        <is>
          <t>DLC_ADJ_NP</t>
        </is>
      </c>
      <c r="AN27" s="178" t="inlineStr">
        <is>
          <t>DLC</t>
        </is>
      </c>
      <c r="AO27" s="178" t="inlineStr">
        <is>
          <t>DLC_RC</t>
        </is>
      </c>
      <c r="AP27" s="178" t="n"/>
      <c r="AQ27" s="178" t="inlineStr">
        <is>
          <t>DLC_ADJ</t>
        </is>
      </c>
      <c r="AR27" s="220" t="n"/>
      <c r="AS27" s="220" t="n"/>
      <c r="AT27" s="220" t="n"/>
      <c r="AU27" s="220" t="n"/>
    </row>
    <row r="28" hidden="1" customFormat="1" s="13">
      <c r="A28" s="175" t="inlineStr">
        <is>
          <t>U9</t>
        </is>
      </c>
      <c r="B28" s="176">
        <f>IF(_epmOfflineCondition_,"C_ITEM",EPMDimensionType(,A28))</f>
        <v/>
      </c>
      <c r="C28" s="180" t="inlineStr">
        <is>
          <t>ZI_ALL</t>
        </is>
      </c>
      <c r="D28" s="390">
        <f>IF(_epmOfflineCondition_,"ZI_ALL",EPMOlapMemberO(C28,"[C_ITEM].[PARENTH1].[ZI_ALL]","ZI_ALL - 全部ITEM","","000;001"))</f>
        <v/>
      </c>
      <c r="E28" s="13" t="n"/>
      <c r="F28" s="384" t="n"/>
      <c r="G28" s="384" t="n"/>
      <c r="H28" s="13" t="n"/>
      <c r="I28" s="13" t="n"/>
      <c r="J28" s="13" t="n"/>
      <c r="K28" s="13" t="n"/>
      <c r="L28" s="13" t="n"/>
      <c r="M28" s="13" t="n"/>
      <c r="N28" s="13" t="n"/>
      <c r="O28" s="13" t="n"/>
      <c r="P28" s="13" t="n"/>
      <c r="Q28" s="13" t="n"/>
      <c r="R28" s="13" t="n"/>
      <c r="S28" s="1103" t="n"/>
      <c r="T28" s="13" t="n"/>
      <c r="U28" s="13" t="n"/>
      <c r="V28" s="13" t="n"/>
      <c r="W28" s="13" t="n"/>
      <c r="X28" s="13" t="n"/>
      <c r="Y28" s="171" t="n"/>
      <c r="Z28" s="13">
        <f>IF(_epmOfflineCondition_,"单体账面",EPMMemberDesc(Z27))</f>
        <v/>
      </c>
      <c r="AA28" s="13">
        <f>IF(_epmOfflineCondition_,"单体调整_正常期间",EPMMemberDesc(AA27))</f>
        <v/>
      </c>
      <c r="AB28" s="13">
        <f>IF(_epmOfflineCondition_,"单体报表",EPMMemberDesc(AB27))</f>
        <v/>
      </c>
      <c r="AC28" s="13">
        <f>IF(_epmOfflineCondition_,"单体重分类",EPMMemberDesc(AC27))</f>
        <v/>
      </c>
      <c r="AD28" s="13" t="n"/>
      <c r="AE28" s="13">
        <f>IF(_epmOfflineCondition_,"单体调整",EPMMemberDesc(AE27))</f>
        <v/>
      </c>
      <c r="AF28" s="13" t="n"/>
      <c r="AG28" s="13" t="n"/>
      <c r="AH28" s="13" t="n"/>
      <c r="AI28" s="13" t="n"/>
      <c r="AJ28" s="13" t="n"/>
      <c r="AK28" s="13" t="n"/>
      <c r="AL28" s="13">
        <f>IF(_epmOfflineCondition_,"单体账面",EPMMemberDesc(AL27))</f>
        <v/>
      </c>
      <c r="AM28" s="13">
        <f>IF(_epmOfflineCondition_,"单体调整_正常期间",EPMMemberDesc(AM27))</f>
        <v/>
      </c>
      <c r="AN28" s="13">
        <f>IF(_epmOfflineCondition_,"单体报表",EPMMemberDesc(AN27))</f>
        <v/>
      </c>
      <c r="AO28" s="13">
        <f>IF(_epmOfflineCondition_,"单体重分类",EPMMemberDesc(AO27))</f>
        <v/>
      </c>
      <c r="AP28" s="13" t="n"/>
      <c r="AQ28" s="13">
        <f>IF(_epmOfflineCondition_,"单体调整",EPMMemberDesc(AQ27))</f>
        <v/>
      </c>
      <c r="AR28" s="13" t="n"/>
      <c r="AS28" s="220" t="n"/>
      <c r="AT28" s="220" t="n"/>
      <c r="AU28" s="13" t="n"/>
    </row>
    <row r="29" hidden="1" customFormat="1" s="13">
      <c r="A29" s="175" t="inlineStr">
        <is>
          <t>U10</t>
        </is>
      </c>
      <c r="B29" s="176">
        <f>IF(_epmOfflineCondition_,"C_MISK",EPMDimensionType(,A29))</f>
        <v/>
      </c>
      <c r="C29" s="449" t="inlineStr">
        <is>
          <t>ZM_ALL</t>
        </is>
      </c>
      <c r="D29" s="390">
        <f>IF(_epmOfflineCondition_,"ZM_ALL",EPMOlapMemberO(C29,"[C_MISK].[PARENTH1].[ZM_ALL]","ZM_ALL - ALL","","000;001"))</f>
        <v/>
      </c>
      <c r="E29" s="13" t="n"/>
      <c r="F29" s="384" t="n"/>
      <c r="G29" s="384" t="n"/>
      <c r="H29" s="13" t="n"/>
      <c r="I29" s="13" t="n"/>
      <c r="J29" s="13" t="n"/>
      <c r="K29" s="13" t="n"/>
      <c r="L29" s="13" t="n"/>
      <c r="M29" s="13" t="n"/>
      <c r="N29" s="13" t="n"/>
      <c r="O29" s="13" t="n"/>
      <c r="P29" s="13" t="n"/>
      <c r="Q29" s="13" t="n"/>
      <c r="R29" s="13" t="n"/>
      <c r="S29" s="1103" t="n"/>
      <c r="T29" s="13" t="n"/>
      <c r="U29" s="13" t="n"/>
      <c r="V29" s="13" t="n"/>
      <c r="W29" s="13" t="n"/>
      <c r="X29" s="13" t="n"/>
      <c r="Y29" s="171" t="n"/>
      <c r="Z29" s="13" t="n"/>
      <c r="AA29" s="13" t="n"/>
      <c r="AB29" s="13" t="n"/>
      <c r="AC29" s="13" t="n"/>
      <c r="AD29" s="13" t="n"/>
      <c r="AE29" s="13" t="n"/>
      <c r="AF29" s="13" t="n"/>
      <c r="AG29" s="13" t="n"/>
      <c r="AH29" s="384" t="n"/>
      <c r="AI29" s="13" t="n"/>
      <c r="AJ29" s="13" t="n"/>
      <c r="AK29" s="13" t="n"/>
      <c r="AL29" s="13" t="n"/>
      <c r="AM29" s="13" t="n"/>
      <c r="AN29" s="13" t="n"/>
      <c r="AO29" s="13" t="n"/>
      <c r="AP29" s="13" t="n"/>
      <c r="AQ29" s="13" t="n"/>
      <c r="AR29" s="13" t="n"/>
      <c r="AS29" s="220" t="n"/>
      <c r="AT29" s="13" t="n"/>
      <c r="AU29" s="13" t="n"/>
    </row>
    <row r="30" hidden="1" customFormat="1" s="13">
      <c r="A30" s="175" t="n"/>
      <c r="B30" s="176" t="inlineStr">
        <is>
          <t>MEASURES</t>
        </is>
      </c>
      <c r="C30" s="182" t="inlineStr">
        <is>
          <t>PERIODIC</t>
        </is>
      </c>
      <c r="D30" s="390" t="n"/>
      <c r="E30" s="13" t="n"/>
      <c r="F30" s="384" t="n"/>
      <c r="G30" s="384" t="n"/>
      <c r="H30" s="13" t="n"/>
      <c r="I30" s="13" t="n"/>
      <c r="J30" s="13" t="n"/>
      <c r="K30" s="13" t="n"/>
      <c r="L30" s="13" t="n"/>
      <c r="M30" s="13" t="n"/>
      <c r="N30" s="13" t="n"/>
      <c r="O30" s="13" t="n"/>
      <c r="P30" s="13" t="n"/>
      <c r="Q30" s="13" t="n"/>
      <c r="R30" s="13" t="n"/>
      <c r="S30" s="1103" t="n"/>
      <c r="T30" s="13" t="n"/>
      <c r="U30" s="13" t="n"/>
      <c r="V30" s="13" t="n"/>
      <c r="W30" s="13" t="n"/>
      <c r="X30" s="171" t="n"/>
      <c r="Y30" s="171" t="n"/>
      <c r="Z30" s="13" t="n"/>
      <c r="AA30" s="13" t="n"/>
      <c r="AB30" s="13" t="n"/>
      <c r="AC30" s="13" t="n"/>
      <c r="AD30" s="13" t="n"/>
      <c r="AE30" s="13" t="n"/>
      <c r="AF30" s="13" t="n"/>
      <c r="AG30" s="13" t="n"/>
      <c r="AH30" s="384" t="n"/>
      <c r="AI30" s="13" t="n"/>
      <c r="AJ30" s="13" t="n"/>
      <c r="AK30" s="13" t="n"/>
      <c r="AL30" s="13" t="n"/>
      <c r="AM30" s="13" t="n"/>
      <c r="AN30" s="13" t="n"/>
      <c r="AO30" s="13" t="n"/>
      <c r="AP30" s="13" t="n"/>
      <c r="AQ30" s="13" t="n"/>
      <c r="AR30" s="13" t="n"/>
      <c r="AS30" s="220" t="n"/>
      <c r="AT30" s="13" t="n"/>
      <c r="AU30" s="13" t="n"/>
    </row>
    <row r="31" hidden="1" customFormat="1" s="13">
      <c r="A31" s="203" t="n"/>
      <c r="B31" s="203" t="n"/>
      <c r="C31" s="716" t="n"/>
      <c r="D31" s="384" t="n"/>
      <c r="E31" s="13" t="n"/>
      <c r="F31" s="384" t="n"/>
      <c r="G31" s="384" t="n"/>
      <c r="H31" s="13" t="n"/>
      <c r="I31" s="13" t="n"/>
      <c r="J31" s="13" t="n"/>
      <c r="K31" s="13" t="n"/>
      <c r="L31" s="13" t="n"/>
      <c r="M31" s="13" t="n"/>
      <c r="N31" s="13" t="n"/>
      <c r="O31" s="13" t="n"/>
      <c r="P31" s="13" t="n"/>
      <c r="Q31" s="13" t="n"/>
      <c r="R31" s="13" t="n"/>
      <c r="S31" s="1103" t="n"/>
      <c r="T31" s="13" t="n"/>
      <c r="U31" s="13" t="n"/>
      <c r="V31" s="13" t="n"/>
      <c r="W31" s="13" t="n"/>
      <c r="X31" s="171" t="n"/>
      <c r="Y31" s="171" t="n"/>
      <c r="Z31" s="13" t="n"/>
      <c r="AA31" s="13" t="n"/>
      <c r="AB31" s="13" t="n"/>
      <c r="AC31" s="13" t="n"/>
      <c r="AD31" s="13" t="n"/>
      <c r="AE31" s="13" t="n"/>
      <c r="AF31" s="13" t="n"/>
      <c r="AG31" s="13" t="n"/>
      <c r="AH31" s="384" t="n"/>
      <c r="AI31" s="13" t="n"/>
      <c r="AJ31" s="13" t="n"/>
      <c r="AK31" s="13" t="n"/>
      <c r="AL31" s="13" t="n"/>
      <c r="AM31" s="13" t="n"/>
      <c r="AN31" s="13" t="n"/>
      <c r="AO31" s="13" t="n"/>
      <c r="AP31" s="13" t="n"/>
      <c r="AQ31" s="13" t="n"/>
      <c r="AR31" s="13" t="n"/>
      <c r="AS31" s="220" t="n"/>
      <c r="AT31" s="13" t="n"/>
      <c r="AU31" s="13" t="n"/>
    </row>
    <row r="32" hidden="1" customFormat="1" s="13">
      <c r="A32" s="203" t="n"/>
      <c r="B32" s="203" t="n"/>
      <c r="C32" s="716" t="n"/>
      <c r="D32" s="384" t="n"/>
      <c r="E32" s="13" t="n"/>
      <c r="F32" s="384" t="n"/>
      <c r="G32" s="384" t="n"/>
      <c r="H32" s="13" t="n"/>
      <c r="I32" s="13" t="n"/>
      <c r="J32" s="13" t="n"/>
      <c r="K32" s="13" t="n"/>
      <c r="L32" s="13" t="n"/>
      <c r="M32" s="13" t="n"/>
      <c r="N32" s="13" t="n"/>
      <c r="O32" s="13" t="n"/>
      <c r="P32" s="13" t="n"/>
      <c r="Q32" s="13" t="n"/>
      <c r="R32" s="13" t="n"/>
      <c r="S32" s="1103" t="n"/>
      <c r="T32" s="13" t="n"/>
      <c r="U32" s="13" t="n"/>
      <c r="V32" s="13" t="n"/>
      <c r="W32" s="13" t="n"/>
      <c r="X32" s="171" t="n"/>
      <c r="Y32" s="171" t="n"/>
      <c r="Z32" s="13" t="n"/>
      <c r="AA32" s="13" t="n"/>
      <c r="AB32" s="13" t="n"/>
      <c r="AC32" s="13" t="n"/>
      <c r="AD32" s="13" t="n"/>
      <c r="AE32" s="13" t="n"/>
      <c r="AF32" s="13" t="n"/>
      <c r="AG32" s="13" t="n"/>
      <c r="AH32" s="384" t="n"/>
      <c r="AI32" s="13" t="n"/>
      <c r="AJ32" s="13" t="n"/>
      <c r="AK32" s="13" t="n"/>
      <c r="AL32" s="13" t="n"/>
      <c r="AM32" s="13" t="n"/>
      <c r="AN32" s="13" t="n"/>
      <c r="AO32" s="13" t="n"/>
      <c r="AP32" s="13" t="n"/>
      <c r="AQ32" s="13" t="n"/>
      <c r="AR32" s="13" t="n"/>
      <c r="AS32" s="220" t="n"/>
      <c r="AT32" s="13" t="n"/>
      <c r="AU32" s="13" t="n"/>
    </row>
    <row r="33" hidden="1" customFormat="1" s="13">
      <c r="A33" s="13" t="n"/>
      <c r="B33" s="1103" t="n"/>
      <c r="C33" s="1103" t="n"/>
      <c r="D33" s="1103" t="n"/>
      <c r="E33" s="13" t="n"/>
      <c r="F33" s="13" t="n"/>
      <c r="G33" s="13" t="n"/>
      <c r="H33" s="13" t="n"/>
      <c r="I33" s="13" t="n"/>
      <c r="J33" s="13" t="n"/>
      <c r="K33" s="13" t="n"/>
      <c r="L33" s="13" t="n"/>
      <c r="M33" s="13" t="n"/>
      <c r="N33" s="13" t="n"/>
      <c r="O33" s="13" t="n"/>
      <c r="P33" s="13" t="n"/>
      <c r="Q33" s="13" t="n"/>
      <c r="R33" s="13" t="n"/>
      <c r="S33" s="1103" t="n"/>
      <c r="T33" s="13" t="n"/>
      <c r="U33" s="13" t="n"/>
      <c r="V33" s="13" t="n"/>
      <c r="W33" s="13" t="n"/>
      <c r="X33" s="171" t="n"/>
      <c r="Y33" s="171" t="n"/>
      <c r="Z33" s="13" t="n"/>
      <c r="AA33" s="13" t="n"/>
      <c r="AB33" s="13" t="n"/>
      <c r="AC33" s="13" t="n"/>
      <c r="AD33" s="13" t="n"/>
      <c r="AE33" s="13" t="n"/>
      <c r="AF33" s="13" t="n"/>
      <c r="AG33" s="13" t="n"/>
      <c r="AH33" s="13" t="n"/>
      <c r="AI33" s="13" t="n"/>
      <c r="AJ33" s="13" t="n"/>
      <c r="AK33" s="13" t="n"/>
      <c r="AL33" s="13" t="n"/>
      <c r="AM33" s="13" t="n"/>
      <c r="AN33" s="13" t="n"/>
      <c r="AO33" s="13" t="n"/>
      <c r="AP33" s="13" t="n"/>
      <c r="AQ33" s="13" t="n"/>
      <c r="AR33" s="13" t="n"/>
      <c r="AS33" s="220" t="n"/>
      <c r="AT33" s="13" t="n"/>
      <c r="AU33" s="13" t="n"/>
    </row>
    <row r="34" hidden="1" customFormat="1" s="13">
      <c r="A34" s="13" t="n"/>
      <c r="B34" s="1103" t="n"/>
      <c r="C34" s="1103" t="n"/>
      <c r="D34" s="1103" t="n"/>
      <c r="E34" s="13" t="n"/>
      <c r="F34" s="13" t="n"/>
      <c r="G34" s="13" t="n"/>
      <c r="H34" s="13" t="n"/>
      <c r="I34" s="13" t="n"/>
      <c r="J34" s="13" t="n"/>
      <c r="K34" s="13" t="n"/>
      <c r="L34" s="13" t="n"/>
      <c r="M34" s="13" t="n"/>
      <c r="N34" s="13" t="n"/>
      <c r="O34" s="13" t="n"/>
      <c r="P34" s="13" t="n"/>
      <c r="Q34" s="13" t="n"/>
      <c r="R34" s="13" t="n"/>
      <c r="S34" s="1103" t="n"/>
      <c r="T34" s="13" t="n"/>
      <c r="U34" s="13" t="n"/>
      <c r="V34" s="13" t="n"/>
      <c r="W34" s="13" t="n"/>
      <c r="X34" s="171" t="n"/>
      <c r="Y34" s="171" t="n"/>
      <c r="Z34" s="13" t="n"/>
      <c r="AA34" s="13" t="n"/>
      <c r="AB34" s="13" t="n"/>
      <c r="AC34" s="13" t="n"/>
      <c r="AD34" s="13" t="n"/>
      <c r="AE34" s="13" t="n"/>
      <c r="AF34" s="13" t="n"/>
      <c r="AG34" s="13" t="n"/>
      <c r="AH34" s="13" t="n"/>
      <c r="AI34" s="13" t="n"/>
      <c r="AJ34" s="13" t="n"/>
      <c r="AK34" s="13" t="n"/>
      <c r="AL34" s="13" t="n"/>
      <c r="AM34" s="13" t="n"/>
      <c r="AN34" s="13" t="n"/>
      <c r="AO34" s="13" t="n"/>
      <c r="AP34" s="13" t="n"/>
      <c r="AQ34" s="13" t="n"/>
      <c r="AR34" s="13" t="n"/>
      <c r="AS34" s="220" t="n"/>
      <c r="AT34" s="13" t="n"/>
      <c r="AU34" s="13" t="n"/>
    </row>
    <row r="35" hidden="1" customFormat="1" s="13">
      <c r="A35" s="13" t="n"/>
      <c r="B35" s="1103" t="n"/>
      <c r="C35" s="1103" t="n"/>
      <c r="D35" s="1103" t="n"/>
      <c r="E35" s="13" t="n"/>
      <c r="F35" s="13" t="n"/>
      <c r="G35" s="13" t="n"/>
      <c r="H35" s="13" t="n"/>
      <c r="I35" s="13" t="n"/>
      <c r="J35" s="13" t="n"/>
      <c r="K35" s="13" t="n"/>
      <c r="L35" s="13" t="n"/>
      <c r="M35" s="13" t="n"/>
      <c r="N35" s="13" t="n"/>
      <c r="O35" s="13" t="n"/>
      <c r="P35" s="13" t="n"/>
      <c r="Q35" s="13" t="n"/>
      <c r="R35" s="13" t="n"/>
      <c r="S35" s="1103" t="n"/>
      <c r="T35" s="13" t="n"/>
      <c r="U35" s="13" t="n"/>
      <c r="V35" s="13" t="n"/>
      <c r="W35" s="13" t="n"/>
      <c r="X35" s="171" t="n"/>
      <c r="Y35" s="171" t="n"/>
      <c r="Z35" s="13" t="n"/>
      <c r="AA35" s="13" t="n"/>
      <c r="AB35" s="13" t="n"/>
      <c r="AC35" s="13" t="n"/>
      <c r="AD35" s="13" t="n"/>
      <c r="AE35" s="13" t="n"/>
      <c r="AF35" s="13" t="n"/>
      <c r="AG35" s="13" t="n"/>
      <c r="AH35" s="13" t="n"/>
      <c r="AI35" s="13" t="n"/>
      <c r="AJ35" s="13" t="n"/>
      <c r="AK35" s="13" t="n"/>
      <c r="AL35" s="13" t="n"/>
      <c r="AM35" s="13" t="n"/>
      <c r="AN35" s="13" t="n"/>
      <c r="AO35" s="13" t="n"/>
      <c r="AP35" s="13" t="n"/>
      <c r="AQ35" s="13" t="n"/>
      <c r="AR35" s="13" t="n"/>
      <c r="AS35" s="220" t="n"/>
      <c r="AT35" s="13" t="n"/>
      <c r="AU35" s="13" t="n"/>
    </row>
    <row r="36" ht="10.5" customFormat="1" customHeight="1" s="13">
      <c r="A36" s="13" t="n"/>
      <c r="B36" s="1103" t="n"/>
      <c r="C36" s="1103" t="n"/>
      <c r="D36" s="1103" t="n"/>
      <c r="E36" s="13" t="n"/>
      <c r="F36" s="13" t="n"/>
      <c r="G36" s="13" t="n"/>
      <c r="H36" s="13" t="n"/>
      <c r="I36" s="13" t="n"/>
      <c r="J36" s="13" t="n"/>
      <c r="K36" s="13" t="n"/>
      <c r="L36" s="13" t="n"/>
      <c r="M36" s="13" t="n"/>
      <c r="N36" s="13" t="n"/>
      <c r="O36" s="13" t="n"/>
      <c r="P36" s="13" t="n"/>
      <c r="Q36" s="13" t="n"/>
      <c r="R36" s="13" t="n"/>
      <c r="S36" s="1103" t="n"/>
      <c r="T36" s="13" t="n"/>
      <c r="U36" s="13" t="n"/>
      <c r="V36" s="13" t="n"/>
      <c r="W36" s="13" t="n"/>
      <c r="X36" s="171" t="n"/>
      <c r="Y36" s="171" t="n"/>
      <c r="Z36" s="13" t="n"/>
      <c r="AA36" s="13" t="n"/>
      <c r="AB36" s="13" t="n"/>
      <c r="AC36" s="13" t="n"/>
      <c r="AD36" s="13" t="n"/>
      <c r="AE36" s="13" t="n"/>
      <c r="AF36" s="13" t="n"/>
      <c r="AG36" s="13" t="n"/>
      <c r="AH36" s="13" t="n"/>
      <c r="AI36" s="13" t="n"/>
      <c r="AJ36" s="13" t="n"/>
      <c r="AK36" s="13" t="n"/>
      <c r="AL36" s="13" t="n"/>
      <c r="AM36" s="13" t="n"/>
      <c r="AN36" s="13" t="n"/>
      <c r="AO36" s="716" t="n"/>
      <c r="AP36" s="13" t="n"/>
      <c r="AQ36" s="13" t="n"/>
      <c r="AR36" s="13" t="n"/>
      <c r="AS36" s="220" t="n"/>
      <c r="AT36" s="13" t="n"/>
      <c r="AU36" s="13" t="n"/>
    </row>
    <row r="37" ht="32.25" customHeight="1" s="1181">
      <c r="A37" s="384" t="n"/>
      <c r="B37" s="384" t="n"/>
      <c r="C37" s="384" t="n"/>
      <c r="D37" s="384" t="n"/>
      <c r="E37" s="384" t="n"/>
      <c r="F37" s="384" t="n"/>
      <c r="G37" s="384" t="n"/>
      <c r="H37" s="384" t="n"/>
      <c r="I37" s="384" t="n"/>
      <c r="J37" s="384" t="n"/>
      <c r="K37" s="384" t="n"/>
      <c r="L37" s="384" t="n"/>
      <c r="M37" s="384" t="n"/>
      <c r="N37" s="384" t="n"/>
      <c r="O37" s="384" t="n"/>
      <c r="P37" s="384" t="n"/>
      <c r="Q37" s="384" t="n"/>
      <c r="R37" s="384" t="n"/>
      <c r="S37" s="32" t="n"/>
      <c r="T37" s="384" t="n"/>
      <c r="U37" s="384" t="n"/>
      <c r="V37" s="384" t="n"/>
      <c r="W37" s="384" t="n"/>
      <c r="X37" s="38" t="n"/>
      <c r="Y37" s="38" t="n"/>
      <c r="Z37" s="13" t="n"/>
      <c r="AA37" s="465" t="n"/>
      <c r="AB37" s="384" t="n"/>
      <c r="AC37" s="465" t="n"/>
      <c r="AD37" s="465" t="inlineStr">
        <is>
          <t>资产负债表</t>
        </is>
      </c>
      <c r="AE37" s="465" t="n"/>
      <c r="AF37" s="465" t="n"/>
      <c r="AG37" s="465" t="n"/>
      <c r="AH37" s="384" t="n"/>
      <c r="AI37" s="384" t="n"/>
      <c r="AJ37" s="384" t="n"/>
      <c r="AK37" s="384" t="n"/>
      <c r="AL37" s="384" t="n"/>
      <c r="AM37" s="384" t="n"/>
      <c r="AN37" s="384" t="n"/>
      <c r="AO37" s="384" t="n"/>
      <c r="AP37" s="384" t="n"/>
      <c r="AQ37" s="384" t="n"/>
      <c r="AR37" s="384" t="n"/>
      <c r="AS37" s="384" t="n"/>
      <c r="AT37" s="384" t="n"/>
      <c r="AU37" s="384" t="n"/>
    </row>
    <row r="38" ht="15.2" customFormat="1" customHeight="1" s="716">
      <c r="A38" s="716" t="n"/>
      <c r="B38" s="716" t="n"/>
      <c r="C38" s="716" t="n"/>
      <c r="D38" s="716" t="n"/>
      <c r="E38" s="716" t="n"/>
      <c r="F38" s="716" t="n"/>
      <c r="G38" s="716" t="n"/>
      <c r="H38" s="716" t="n"/>
      <c r="I38" s="716" t="n"/>
      <c r="J38" s="716" t="n"/>
      <c r="K38" s="716" t="n"/>
      <c r="L38" s="716" t="n"/>
      <c r="M38" s="716" t="n"/>
      <c r="N38" s="716" t="n"/>
      <c r="O38" s="716" t="n"/>
      <c r="P38" s="716" t="n"/>
      <c r="Q38" s="716" t="n"/>
      <c r="R38" s="716" t="n"/>
      <c r="S38" s="462" t="n"/>
      <c r="T38" s="716" t="n"/>
      <c r="U38" s="716" t="n"/>
      <c r="V38" s="716" t="n"/>
      <c r="W38" s="716" t="n"/>
      <c r="X38" s="190">
        <f>IF(_epmOfflineCondition_,"编制单位：内蒙古京能苏尼特风力发电有限公司（内蒙古分公司）","编制单位："&amp;EPMMemberDesc($D$6))</f>
        <v/>
      </c>
      <c r="Y38" s="716" t="n"/>
      <c r="Z38" s="716" t="n"/>
      <c r="AA38" s="716" t="inlineStr">
        <is>
          <t>本表只能查看单体的资产负债表数据</t>
        </is>
      </c>
      <c r="AB38" s="716" t="n"/>
      <c r="AC38" s="716" t="n"/>
      <c r="AD38" s="716" t="n"/>
      <c r="AE38" s="716" t="n"/>
      <c r="AF38" s="716" t="n"/>
      <c r="AG38" s="716" t="n"/>
      <c r="AH38" s="716" t="n"/>
      <c r="AI38" s="716" t="n"/>
      <c r="AJ38" s="716" t="n"/>
      <c r="AK38" s="716" t="n"/>
      <c r="AL38" s="716" t="n"/>
      <c r="AM38" s="716" t="n"/>
      <c r="AN38" s="716" t="n"/>
      <c r="AO38" s="716" t="n"/>
      <c r="AP38" s="716" t="n"/>
      <c r="AQ38" s="716" t="n"/>
      <c r="AR38" s="716" t="n"/>
      <c r="AS38" s="716" t="n"/>
      <c r="AT38" s="716" t="n"/>
      <c r="AU38" s="716" t="n"/>
    </row>
    <row r="39" ht="15.2" customFormat="1" customHeight="1" s="716">
      <c r="A39" s="716" t="n"/>
      <c r="B39" s="716" t="n"/>
      <c r="C39" s="716" t="n"/>
      <c r="D39" s="716" t="n"/>
      <c r="E39" s="716" t="n"/>
      <c r="F39" s="716" t="n"/>
      <c r="G39" s="716" t="n"/>
      <c r="H39" s="716" t="n"/>
      <c r="I39" s="716" t="n"/>
      <c r="J39" s="716" t="n"/>
      <c r="K39" s="716" t="n"/>
      <c r="L39" s="716" t="n"/>
      <c r="M39" s="716" t="n"/>
      <c r="N39" s="716" t="n"/>
      <c r="O39" s="716" t="n"/>
      <c r="P39" s="716" t="n"/>
      <c r="Q39" s="716" t="n"/>
      <c r="R39" s="716" t="n"/>
      <c r="S39" s="462" t="n"/>
      <c r="T39" s="716" t="n"/>
      <c r="U39" s="716" t="n"/>
      <c r="V39" s="716" t="n"/>
      <c r="W39" s="716" t="n"/>
      <c r="X39" s="190">
        <f>"编制月份："&amp;$I$3&amp;"年"&amp;$I$8&amp;"月"</f>
        <v/>
      </c>
      <c r="Y39" s="190" t="n"/>
      <c r="Z39" s="716" t="inlineStr">
        <is>
          <t>LC</t>
        </is>
      </c>
      <c r="AA39" s="716" t="inlineStr">
        <is>
          <t>操作提示：表单默认币种LC（本位币），外币记账单位，可点击左侧，更换币种，更换后点击EPM选项卡中的“刷新”按钮</t>
        </is>
      </c>
      <c r="AB39" s="716" t="n"/>
      <c r="AC39" s="716" t="n"/>
      <c r="AD39" s="716" t="n"/>
      <c r="AE39" s="716" t="n"/>
      <c r="AF39" s="716" t="n"/>
      <c r="AG39" s="716" t="n"/>
      <c r="AH39" s="716" t="n"/>
      <c r="AI39" s="716" t="n"/>
      <c r="AJ39" s="716" t="n"/>
      <c r="AK39" s="716" t="n"/>
      <c r="AL39" s="716" t="n"/>
      <c r="AM39" s="434" t="n"/>
      <c r="AN39" s="716" t="n"/>
      <c r="AO39" s="716" t="n"/>
      <c r="AP39" s="621" t="inlineStr">
        <is>
          <t>金额单位：元</t>
        </is>
      </c>
      <c r="AQ39" s="716" t="n"/>
      <c r="AR39" s="716" t="n"/>
      <c r="AS39" s="716" t="n"/>
      <c r="AT39" s="716" t="n"/>
      <c r="AU39" s="716" t="n"/>
    </row>
    <row r="40" ht="10.5" customFormat="1" customHeight="1" s="716">
      <c r="A40" s="716" t="n"/>
      <c r="B40" s="716" t="n"/>
      <c r="C40" s="716" t="n"/>
      <c r="D40" s="716" t="n"/>
      <c r="E40" s="716" t="n"/>
      <c r="F40" s="716" t="n"/>
      <c r="G40" s="716" t="n"/>
      <c r="H40" s="716" t="n"/>
      <c r="I40" s="716" t="n"/>
      <c r="J40" s="716" t="n"/>
      <c r="K40" s="716" t="n"/>
      <c r="L40" s="716" t="n"/>
      <c r="M40" s="716" t="n"/>
      <c r="N40" s="716" t="n"/>
      <c r="O40" s="716" t="n"/>
      <c r="P40" s="716" t="n"/>
      <c r="Q40" s="716" t="n"/>
      <c r="R40" s="716" t="n"/>
      <c r="S40" s="462" t="n"/>
      <c r="T40" s="716" t="n"/>
      <c r="U40" s="716" t="n"/>
      <c r="V40" s="716" t="n"/>
      <c r="W40" s="716" t="n"/>
      <c r="X40" s="190" t="n"/>
      <c r="Y40" s="190" t="n"/>
      <c r="Z40" s="716" t="n"/>
      <c r="AA40" s="203" t="n"/>
      <c r="AB40" s="716" t="n"/>
      <c r="AC40" s="716" t="n"/>
      <c r="AD40" s="716" t="n"/>
      <c r="AE40" s="716" t="n"/>
      <c r="AF40" s="716" t="n"/>
      <c r="AG40" s="716" t="n"/>
      <c r="AH40" s="716" t="n"/>
      <c r="AI40" s="716" t="n"/>
      <c r="AJ40" s="716" t="n"/>
      <c r="AK40" s="716" t="n"/>
      <c r="AL40" s="716" t="n"/>
      <c r="AM40" s="716" t="n"/>
      <c r="AN40" s="716" t="n"/>
      <c r="AO40" s="716" t="n"/>
      <c r="AP40" s="621" t="n"/>
      <c r="AQ40" s="716" t="n"/>
      <c r="AR40" s="716" t="n"/>
      <c r="AS40" s="716" t="n"/>
      <c r="AT40" s="716" t="n"/>
      <c r="AU40" s="716" t="n"/>
    </row>
    <row r="41" ht="15.75" customFormat="1" customHeight="1" s="716">
      <c r="A41" s="716" t="n"/>
      <c r="B41" s="716" t="n"/>
      <c r="C41" s="716" t="n"/>
      <c r="D41" s="716" t="n"/>
      <c r="E41" s="716" t="n"/>
      <c r="F41" s="716" t="n"/>
      <c r="G41" s="716" t="n"/>
      <c r="H41" s="716" t="n"/>
      <c r="I41" s="716" t="n"/>
      <c r="J41" s="716" t="n"/>
      <c r="K41" s="716" t="n"/>
      <c r="L41" s="716" t="n"/>
      <c r="M41" s="716" t="n"/>
      <c r="N41" s="716" t="n"/>
      <c r="O41" s="716" t="n"/>
      <c r="P41" s="716" t="n"/>
      <c r="Q41" s="716" t="n"/>
      <c r="R41" s="716" t="n"/>
      <c r="S41" s="462" t="n"/>
      <c r="T41" s="716" t="n"/>
      <c r="U41" s="716" t="n"/>
      <c r="V41" s="716" t="n"/>
      <c r="W41" s="716" t="n"/>
      <c r="X41" s="450" t="inlineStr">
        <is>
          <t>项目</t>
        </is>
      </c>
      <c r="Y41" s="450" t="inlineStr">
        <is>
          <t>行次</t>
        </is>
      </c>
      <c r="Z41" s="522" t="inlineStr">
        <is>
          <t>①期末数-科目余额表
（系统自动生成）</t>
        </is>
      </c>
      <c r="AA41" s="522" t="inlineStr">
        <is>
          <t>②期初数-单体调整
（人工调整，上年结转）</t>
        </is>
      </c>
      <c r="AB41" s="522" t="inlineStr">
        <is>
          <t>③本期发生-人工调整
（含重分类）</t>
        </is>
      </c>
      <c r="AC41" s="450" t="inlineStr">
        <is>
          <t>期末数</t>
        </is>
      </c>
      <c r="AD41" s="450" t="inlineStr">
        <is>
          <t>年初数</t>
        </is>
      </c>
      <c r="AE41" s="450" t="n"/>
      <c r="AF41" s="1151" t="n"/>
      <c r="AG41" s="1151" t="n"/>
      <c r="AH41" s="182" t="n"/>
      <c r="AI41" s="182" t="n"/>
      <c r="AJ41" s="450" t="inlineStr">
        <is>
          <t>项目</t>
        </is>
      </c>
      <c r="AK41" s="450" t="inlineStr">
        <is>
          <t>行次</t>
        </is>
      </c>
      <c r="AL41" s="522" t="inlineStr">
        <is>
          <t>①期末数-科目余额表
（系统自动生成）</t>
        </is>
      </c>
      <c r="AM41" s="522" t="inlineStr">
        <is>
          <t>②期初数-单体调整
（人工调整，上年结转）</t>
        </is>
      </c>
      <c r="AN41" s="522" t="inlineStr">
        <is>
          <t>③本期发生-人工调整
（含重分类）</t>
        </is>
      </c>
      <c r="AO41" s="450" t="inlineStr">
        <is>
          <t>期末数</t>
        </is>
      </c>
      <c r="AP41" s="450" t="inlineStr">
        <is>
          <t>年初数</t>
        </is>
      </c>
      <c r="AQ41" s="716" t="n"/>
      <c r="AR41" s="716" t="n"/>
      <c r="AS41" s="716" t="n"/>
      <c r="AT41" s="716" t="n"/>
      <c r="AU41" s="716" t="n"/>
    </row>
    <row r="42" ht="15.2" customFormat="1" customHeight="1" s="716">
      <c r="A42" s="716" t="n"/>
      <c r="B42" s="716" t="n"/>
      <c r="C42" s="716" t="n"/>
      <c r="D42" s="716" t="n"/>
      <c r="E42" s="716" t="n"/>
      <c r="F42" s="716" t="n"/>
      <c r="G42" s="716" t="n"/>
      <c r="H42" s="716" t="n"/>
      <c r="I42" s="716" t="n"/>
      <c r="J42" s="716" t="n"/>
      <c r="K42" s="716" t="n"/>
      <c r="L42" s="716" t="n"/>
      <c r="M42" s="716" t="n"/>
      <c r="N42" s="716" t="n"/>
      <c r="O42" s="716" t="n"/>
      <c r="P42" s="716" t="n"/>
      <c r="Q42" s="716" t="n"/>
      <c r="R42" s="716" t="n"/>
      <c r="S42" s="462" t="n"/>
      <c r="T42" s="716" t="n"/>
      <c r="U42" s="716" t="n"/>
      <c r="V42" s="716" t="n"/>
      <c r="W42" s="716" t="n"/>
      <c r="X42" s="1184" t="n"/>
      <c r="Y42" s="1184" t="n"/>
      <c r="Z42" s="1184" t="n"/>
      <c r="AA42" s="1184" t="n"/>
      <c r="AB42" s="1184" t="n"/>
      <c r="AC42" s="1184" t="n"/>
      <c r="AD42" s="1184" t="n"/>
      <c r="AE42" s="450" t="n"/>
      <c r="AF42" s="1151" t="n"/>
      <c r="AG42" s="1151" t="n"/>
      <c r="AH42" s="182" t="n"/>
      <c r="AI42" s="182" t="n"/>
      <c r="AJ42" s="1184" t="n"/>
      <c r="AK42" s="1184" t="n"/>
      <c r="AL42" s="1184" t="n"/>
      <c r="AM42" s="1184" t="n"/>
      <c r="AN42" s="1184" t="n"/>
      <c r="AO42" s="1184" t="n"/>
      <c r="AP42" s="1184" t="n"/>
      <c r="AQ42" s="716" t="n"/>
      <c r="AR42" s="716" t="n"/>
      <c r="AS42" s="716" t="n"/>
      <c r="AT42" s="716" t="n"/>
      <c r="AU42" s="716" t="n"/>
    </row>
    <row r="43" hidden="1" ht="14.25" customFormat="1" customHeight="1" s="1024">
      <c r="A43" s="1024" t="n"/>
      <c r="B43" s="1024" t="n"/>
      <c r="C43" s="1024" t="n"/>
      <c r="D43" s="1024" t="n"/>
      <c r="E43" s="1024" t="n"/>
      <c r="F43" s="1024" t="n"/>
      <c r="G43" s="1024" t="n"/>
      <c r="H43" s="1024" t="n"/>
      <c r="I43" s="1024" t="n"/>
      <c r="J43" s="1024" t="n"/>
      <c r="K43" s="1024" t="n"/>
      <c r="L43" s="1024" t="n"/>
      <c r="M43" s="1024" t="n"/>
      <c r="N43" s="1024" t="n"/>
      <c r="O43" s="1024" t="n"/>
      <c r="P43" s="1024" t="n"/>
      <c r="Q43" s="1024" t="n"/>
      <c r="R43" s="1024" t="n"/>
      <c r="S43" s="24" t="n"/>
      <c r="T43" s="1024" t="n"/>
      <c r="U43" s="1024" t="n"/>
      <c r="V43" s="1024" t="n"/>
      <c r="W43" s="1024" t="n"/>
      <c r="X43" s="451" t="inlineStr">
        <is>
          <t>time</t>
        </is>
      </c>
      <c r="Y43" s="1149" t="n"/>
      <c r="Z43" s="1150">
        <f>IF(_epmOfflineCondition_,"2025.03",EPMOlapMemberO(Z24,"[C_TIME].[PARENTH1].[2025.03]","2025.03 - 2025.03","","000"))</f>
        <v/>
      </c>
      <c r="AA43" s="1150">
        <f>IF(_epmOfflineCondition_,"2025.03",EPMOlapMemberO($AA$24,"[C_TIME].[PARENTH1].[2025.03]","2025.03 - 2025.03","","000"))</f>
        <v/>
      </c>
      <c r="AB43" s="1150">
        <f>IF(_epmOfflineCondition_,"2025.03",EPMOlapMemberO($AA$24,"[C_TIME].[PARENTH1].[2025.03]","2025.03 - 2025.03","","000"))</f>
        <v/>
      </c>
      <c r="AC43" s="1150">
        <f>IF(_epmOfflineCondition_,"2025.03",EPMOlapMemberO($AA$24,"[C_TIME].[PARENTH1].[2025.03]","2025.03 - 2025.03","","000"))</f>
        <v/>
      </c>
      <c r="AD43" s="1150">
        <f>IF(_epmOfflineCondition_,"2025.03",EPMOlapMemberO($AA$24,"[C_TIME].[PARENTH1].[2025.03]","2025.03 - 2025.03","","000"))</f>
        <v/>
      </c>
      <c r="AE43" s="1150" t="n"/>
      <c r="AF43" s="1152" t="n"/>
      <c r="AG43" s="1152" t="n"/>
      <c r="AH43" s="716" t="n"/>
      <c r="AI43" s="716" t="n"/>
      <c r="AJ43" s="451" t="inlineStr">
        <is>
          <t>time</t>
        </is>
      </c>
      <c r="AK43" s="716" t="n"/>
      <c r="AL43" s="716">
        <f>IF(_epmOfflineCondition_,"2025.03",EPMOlapMemberO(AL24,"[C_TIME].[PARENTH1].[2025.03]","2025.03 - 2025.03","","001"))</f>
        <v/>
      </c>
      <c r="AM43" s="716">
        <f>IF(_epmOfflineCondition_,"2025.03",EPMOlapMemberO($AM$24,"[C_TIME].[PARENTH1].[2025.03]","2025.03 - 2025.03","","001"))</f>
        <v/>
      </c>
      <c r="AN43" s="716">
        <f>IF(_epmOfflineCondition_,"2025.03",EPMOlapMemberO($AM$24,"[C_TIME].[PARENTH1].[2025.03]","2025.03 - 2025.03","","001"))</f>
        <v/>
      </c>
      <c r="AO43" s="716">
        <f>IF(_epmOfflineCondition_,"2025.03",EPMOlapMemberO($AO$24,"[C_TIME].[PARENTH1].[2025.03]","2025.03 - 2025.03","","001"))</f>
        <v/>
      </c>
      <c r="AP43" s="716">
        <f>IF(_epmOfflineCondition_,"2025.03",EPMOlapMemberO($AO$24,"[C_TIME].[PARENTH1].[2025.03]","2025.03 - 2025.03","","001"))</f>
        <v/>
      </c>
      <c r="AQ43" s="1024" t="n"/>
      <c r="AR43" s="1024" t="n"/>
      <c r="AS43" s="1024" t="n"/>
      <c r="AT43" s="1024" t="n"/>
      <c r="AU43" s="1024" t="n"/>
    </row>
    <row r="44" hidden="1" ht="14.25" customFormat="1" customHeight="1" s="716">
      <c r="A44" s="716" t="n"/>
      <c r="B44" s="716" t="n"/>
      <c r="C44" s="716" t="n"/>
      <c r="D44" s="716" t="n"/>
      <c r="E44" s="716" t="n"/>
      <c r="F44" s="716" t="n"/>
      <c r="G44" s="716" t="n"/>
      <c r="H44" s="716" t="n"/>
      <c r="I44" s="716" t="n"/>
      <c r="J44" s="716" t="n"/>
      <c r="K44" s="716" t="n"/>
      <c r="L44" s="716" t="n"/>
      <c r="M44" s="716" t="n"/>
      <c r="N44" s="716" t="n"/>
      <c r="O44" s="716" t="n"/>
      <c r="P44" s="716" t="n"/>
      <c r="Q44" s="716" t="n"/>
      <c r="R44" s="716" t="n"/>
      <c r="S44" s="462" t="n"/>
      <c r="T44" s="716" t="n"/>
      <c r="U44" s="716" t="n"/>
      <c r="V44" s="716" t="n"/>
      <c r="W44" s="716" t="n"/>
      <c r="X44" s="451" t="inlineStr">
        <is>
          <t>category</t>
        </is>
      </c>
      <c r="Y44" s="451" t="n"/>
      <c r="Z44" s="716">
        <f>IF(_epmOfflineCondition_,"C1001",EPMOlapMemberO(Z25,"[C_CATEGORY].[PARENTH1].[C1001]","C1001 - 实际数/决算数","","000"))</f>
        <v/>
      </c>
      <c r="AA44" s="716">
        <f>IF(_epmOfflineCondition_,"C1001",EPMOlapMemberO(AA25,"[C_CATEGORY].[PARENTH1].[C1001]","C1001 - 实际数/决算数","","000"))</f>
        <v/>
      </c>
      <c r="AB44" s="716">
        <f>IF(_epmOfflineCondition_,"C1001",EPMOlapMemberO($AB$25,"[C_CATEGORY].[PARENTH1].[C1001]","C1001 - 实际数/决算数","","000"))</f>
        <v/>
      </c>
      <c r="AC44" s="716">
        <f>IF(_epmOfflineCondition_,"C1001",EPMOlapMemberO($AB$25,"[C_CATEGORY].[PARENTH1].[C1001]","C1001 - 实际数/决算数","","000"))</f>
        <v/>
      </c>
      <c r="AD44" s="716">
        <f>IF(_epmOfflineCondition_,"C1001",EPMOlapMemberO($AB$25,"[C_CATEGORY].[PARENTH1].[C1001]","C1001 - 实际数/决算数","","000"))</f>
        <v/>
      </c>
      <c r="AE44" s="716" t="n"/>
      <c r="AF44" s="716" t="n"/>
      <c r="AG44" s="716" t="n"/>
      <c r="AH44" s="716" t="n"/>
      <c r="AI44" s="716" t="n"/>
      <c r="AJ44" s="451" t="inlineStr">
        <is>
          <t>category</t>
        </is>
      </c>
      <c r="AK44" s="716" t="n"/>
      <c r="AL44" s="716">
        <f>IF(_epmOfflineCondition_,"C1001",EPMOlapMemberO($AL$25,"[C_CATEGORY].[PARENTH1].[C1001]","C1001 - 实际数/决算数","","001"))</f>
        <v/>
      </c>
      <c r="AM44" s="716">
        <f>IF(_epmOfflineCondition_,"C1001",EPMOlapMemberO($AL$25,"[C_CATEGORY].[PARENTH1].[C1001]","C1001 - 实际数/决算数","","001"))</f>
        <v/>
      </c>
      <c r="AN44" s="716">
        <f>IF(_epmOfflineCondition_,"C1001",EPMOlapMemberO($AL$25,"[C_CATEGORY].[PARENTH1].[C1001]","C1001 - 实际数/决算数","","001"))</f>
        <v/>
      </c>
      <c r="AO44" s="716">
        <f>IF(_epmOfflineCondition_,"C1001",EPMOlapMemberO($AL$25,"[C_CATEGORY].[PARENTH1].[C1001]","C1001 - 实际数/决算数","","001"))</f>
        <v/>
      </c>
      <c r="AP44" s="716">
        <f>IF(_epmOfflineCondition_,"C1001",EPMOlapMemberO($AL$25,"[C_CATEGORY].[PARENTH1].[C1001]","C1001 - 实际数/决算数","","001"))</f>
        <v/>
      </c>
      <c r="AQ44" s="716" t="n"/>
      <c r="AR44" s="716" t="n"/>
      <c r="AS44" s="716" t="n"/>
      <c r="AT44" s="716" t="n"/>
      <c r="AU44" s="716" t="n"/>
    </row>
    <row r="45" hidden="1" ht="13.5" customFormat="1" customHeight="1" s="716">
      <c r="A45" s="716" t="n"/>
      <c r="B45" s="716" t="n"/>
      <c r="C45" s="716" t="n"/>
      <c r="D45" s="716" t="n"/>
      <c r="E45" s="716" t="n"/>
      <c r="F45" s="716" t="n"/>
      <c r="G45" s="716" t="n"/>
      <c r="H45" s="716" t="n"/>
      <c r="I45" s="716" t="n"/>
      <c r="J45" s="716" t="n"/>
      <c r="K45" s="716" t="n"/>
      <c r="L45" s="716" t="n"/>
      <c r="M45" s="716" t="n"/>
      <c r="N45" s="716" t="n"/>
      <c r="O45" s="716" t="n"/>
      <c r="P45" s="716" t="n"/>
      <c r="Q45" s="716" t="n"/>
      <c r="R45" s="716" t="n"/>
      <c r="S45" s="462" t="n"/>
      <c r="T45" s="716" t="n"/>
      <c r="U45" s="716" t="n"/>
      <c r="V45" s="716" t="n"/>
      <c r="W45" s="716" t="n"/>
      <c r="X45" s="451" t="inlineStr">
        <is>
          <t>audittrail</t>
        </is>
      </c>
      <c r="Y45" s="451" t="n"/>
      <c r="Z45" s="716">
        <f>IF(_epmOfflineCondition_,"DLC_BK",EPMOlapMemberO(Z27,"[C_AUDITTRAIL].[PARENTH1].[DLC_BK]","DLC_BK - 单体账面","","000"))</f>
        <v/>
      </c>
      <c r="AA45" s="716">
        <f>IF(_epmOfflineCondition_,"DLC_RC",EPMOlapMemberO(AC27,"[C_AUDITTRAIL].[PARENTH1].[DLC_RC]","DLC_RC - 单体重分类","","000"))</f>
        <v/>
      </c>
      <c r="AB45" s="716">
        <f>IF(_epmOfflineCondition_,"DLC_RC",EPMOlapMemberO(AC27,"[C_AUDITTRAIL].[PARENTH1].[DLC_RC]","DLC_RC - 单体重分类","","000"))</f>
        <v/>
      </c>
      <c r="AC45" s="716">
        <f>IF(_epmOfflineCondition_,"DLC",EPMOlapMemberO($AB$27,"[C_AUDITTRAIL].[PARENTH1].[DLC]","DLC - 单体报表","","000"))</f>
        <v/>
      </c>
      <c r="AD45" s="716">
        <f>IF(_epmOfflineCondition_,"DLC",EPMOlapMemberO($AB$27,"[C_AUDITTRAIL].[PARENTH1].[DLC]","DLC - 单体报表","","000"))</f>
        <v/>
      </c>
      <c r="AE45" s="716" t="n"/>
      <c r="AF45" s="716" t="n"/>
      <c r="AG45" s="716" t="n"/>
      <c r="AH45" s="716" t="n"/>
      <c r="AI45" s="716" t="n"/>
      <c r="AJ45" s="451" t="inlineStr">
        <is>
          <t>audittrail</t>
        </is>
      </c>
      <c r="AK45" s="716" t="n"/>
      <c r="AL45" s="716">
        <f>IF(_epmOfflineCondition_,"DLC_BK",EPMOlapMemberO(AL27,"[C_AUDITTRAIL].[PARENTH1].[DLC_BK]","DLC_BK - 单体账面","","001"))</f>
        <v/>
      </c>
      <c r="AM45" s="716">
        <f>IF(_epmOfflineCondition_,"DLC_RC",EPMOlapMemberO(AO27,"[C_AUDITTRAIL].[PARENTH1].[DLC_RC]","DLC_RC - 单体重分类","","001"))</f>
        <v/>
      </c>
      <c r="AN45" s="716">
        <f>IF(_epmOfflineCondition_,"DLC_RC",EPMOlapMemberO(AO27,"[C_AUDITTRAIL].[PARENTH1].[DLC_RC]","DLC_RC - 单体重分类","","001"))</f>
        <v/>
      </c>
      <c r="AO45" s="716">
        <f>IF(_epmOfflineCondition_,"DLC",EPMOlapMemberO($AN$27,"[C_AUDITTRAIL].[PARENTH1].[DLC]","DLC - 单体报表","","001"))</f>
        <v/>
      </c>
      <c r="AP45" s="716">
        <f>IF(_epmOfflineCondition_,"DLC",EPMOlapMemberO($AN$27,"[C_AUDITTRAIL].[PARENTH1].[DLC]","DLC - 单体报表","","001"))</f>
        <v/>
      </c>
      <c r="AQ45" s="716" t="n"/>
      <c r="AR45" s="716" t="n"/>
      <c r="AS45" s="716" t="n"/>
      <c r="AT45" s="716" t="n"/>
      <c r="AU45" s="716" t="n"/>
    </row>
    <row r="46" hidden="1" ht="13.5" customFormat="1" customHeight="1" s="716">
      <c r="A46" s="716" t="n"/>
      <c r="B46" s="716" t="n"/>
      <c r="C46" s="716" t="n"/>
      <c r="D46" s="716" t="n"/>
      <c r="E46" s="716" t="n"/>
      <c r="F46" s="716" t="n"/>
      <c r="G46" s="716" t="n"/>
      <c r="H46" s="716" t="n"/>
      <c r="I46" s="716" t="n"/>
      <c r="J46" s="716" t="n"/>
      <c r="K46" s="716" t="n"/>
      <c r="L46" s="716" t="n"/>
      <c r="M46" s="716" t="n"/>
      <c r="N46" s="716" t="n"/>
      <c r="O46" s="716" t="n"/>
      <c r="P46" s="716" t="n"/>
      <c r="Q46" s="716" t="n"/>
      <c r="R46" s="716" t="n"/>
      <c r="S46" s="462" t="n"/>
      <c r="T46" s="716" t="n"/>
      <c r="U46" s="716" t="n"/>
      <c r="V46" s="716" t="n"/>
      <c r="W46" s="716" t="n"/>
      <c r="X46" s="451" t="inlineStr">
        <is>
          <t>flow</t>
        </is>
      </c>
      <c r="Y46" s="451" t="n"/>
      <c r="Z46" s="716">
        <f>IF(_epmOfflineCondition_,"FEND",EPMOlapMemberO($Z$23,"[C_FLOW].[PARENTH1].[FEND]","FEND - 期末金额","","000"))</f>
        <v/>
      </c>
      <c r="AA46" s="716">
        <f>IF(_epmOfflineCondition_,"F00T",EPMOlapMemberO($AC$23,"[C_FLOW].[PARENTH1].[F00T]","F00T - 期初金额","","000"))</f>
        <v/>
      </c>
      <c r="AB46" s="716">
        <f>IF(_epmOfflineCondition_,"FMOV",EPMOlapMemberO($AB$23,"[C_FLOW].[PARENTH1].[FMOV]","FMOV - 本期变动","","000"))</f>
        <v/>
      </c>
      <c r="AC46" s="716">
        <f>IF(_epmOfflineCondition_,"FEND",EPMOlapMemberO($Z$23,"[C_FLOW].[PARENTH1].[FEND]","FEND - 期末金额","","000"))</f>
        <v/>
      </c>
      <c r="AD46" s="716">
        <f>IF(_epmOfflineCondition_,"F00T",EPMOlapMemberO($AC$23,"[C_FLOW].[PARENTH1].[F00T]","F00T - 期初金额","","000"))</f>
        <v/>
      </c>
      <c r="AE46" s="716" t="n"/>
      <c r="AF46" s="716" t="n"/>
      <c r="AG46" s="716" t="n"/>
      <c r="AH46" s="716" t="n"/>
      <c r="AI46" s="716" t="n"/>
      <c r="AJ46" s="451" t="inlineStr">
        <is>
          <t>flow</t>
        </is>
      </c>
      <c r="AK46" s="716" t="n"/>
      <c r="AL46" s="716">
        <f>IF(_epmOfflineCondition_,"FEND",EPMOlapMemberO($AN$23,"[C_FLOW].[PARENTH1].[FEND]","FEND - 期末金额","","001"))</f>
        <v/>
      </c>
      <c r="AM46" s="716">
        <f>IF(_epmOfflineCondition_,"F00T",EPMOlapMemberO($AO$23,"[C_FLOW].[PARENTH1].[F00T]","F00T - 期初金额","","001"))</f>
        <v/>
      </c>
      <c r="AN46" s="716">
        <f>IF(_epmOfflineCondition_,"FMOV",EPMOlapMemberO($AP$23,"[C_FLOW].[PARENTH1].[FMOV]","FMOV - 本期变动","","001"))</f>
        <v/>
      </c>
      <c r="AO46" s="716">
        <f>IF(_epmOfflineCondition_,"FEND",EPMOlapMemberO($AN$23,"[C_FLOW].[PARENTH1].[FEND]","FEND - 期末金额","","001"))</f>
        <v/>
      </c>
      <c r="AP46" s="716">
        <f>IF(_epmOfflineCondition_,"F00T",EPMOlapMemberO($AO$23,"[C_FLOW].[PARENTH1].[F00T]","F00T - 期初金额","","001"))</f>
        <v/>
      </c>
      <c r="AQ46" s="716" t="n"/>
      <c r="AR46" s="716" t="n"/>
      <c r="AS46" s="716" t="n"/>
      <c r="AT46" s="716" t="n"/>
      <c r="AU46" s="716" t="n"/>
    </row>
    <row r="47" hidden="1" ht="13.5" customFormat="1" customHeight="1" s="716">
      <c r="A47" s="716" t="n"/>
      <c r="B47" s="716" t="n"/>
      <c r="C47" s="716" t="n"/>
      <c r="D47" s="716" t="n"/>
      <c r="E47" s="716" t="n"/>
      <c r="F47" s="716" t="n"/>
      <c r="G47" s="716" t="n"/>
      <c r="H47" s="716" t="n"/>
      <c r="I47" s="716" t="n"/>
      <c r="J47" s="716" t="n"/>
      <c r="K47" s="716" t="n"/>
      <c r="L47" s="716" t="n"/>
      <c r="M47" s="716" t="n"/>
      <c r="N47" s="716" t="n"/>
      <c r="O47" s="716" t="n"/>
      <c r="P47" s="716" t="n"/>
      <c r="Q47" s="716" t="n"/>
      <c r="R47" s="716" t="n"/>
      <c r="S47" s="462" t="n"/>
      <c r="T47" s="716" t="n"/>
      <c r="U47" s="716" t="n"/>
      <c r="V47" s="716" t="n"/>
      <c r="W47" s="716" t="n"/>
      <c r="X47" s="451" t="inlineStr">
        <is>
          <t>measures</t>
        </is>
      </c>
      <c r="Y47" s="451" t="n"/>
      <c r="Z47" s="716">
        <f>IF(_epmOfflineCondition_,"YTD",EPMOlapMemberO($Z$26,"[MEASURES].[].[YTD]","YTD - Year To Date","","000"))</f>
        <v/>
      </c>
      <c r="AA47" s="716">
        <f>IF(_epmOfflineCondition_,"YTD",EPMOlapMemberO($Z$26,"[MEASURES].[].[YTD]","YTD - Year To Date","","000"))</f>
        <v/>
      </c>
      <c r="AB47" s="716">
        <f>IF(_epmOfflineCondition_,"YTD",EPMOlapMemberO($Z$26,"[MEASURES].[].[YTD]","YTD - Year To Date","","000"))</f>
        <v/>
      </c>
      <c r="AC47" s="716">
        <f>IF(_epmOfflineCondition_,"YTD",EPMOlapMemberO($Z$26,"[MEASURES].[].[YTD]","YTD - Year To Date","","000"))</f>
        <v/>
      </c>
      <c r="AD47" s="716">
        <f>IF(_epmOfflineCondition_,"YTD",EPMOlapMemberO($Z$26,"[MEASURES].[].[YTD]","YTD - Year To Date","","000"))</f>
        <v/>
      </c>
      <c r="AE47" s="716" t="n"/>
      <c r="AF47" s="716" t="n"/>
      <c r="AG47" s="716" t="n"/>
      <c r="AH47" s="716" t="n"/>
      <c r="AI47" s="716" t="n"/>
      <c r="AJ47" s="451" t="inlineStr">
        <is>
          <t>measures</t>
        </is>
      </c>
      <c r="AK47" s="716" t="n"/>
      <c r="AL47" s="716">
        <f>IF(_epmOfflineCondition_,"YTD",EPMOlapMemberO($AL$26,"[MEASURES].[].[YTD]","YTD - Year To Date","","001"))</f>
        <v/>
      </c>
      <c r="AM47" s="716">
        <f>IF(_epmOfflineCondition_,"YTD",EPMOlapMemberO($AL$26,"[MEASURES].[].[YTD]","YTD - Year To Date","","001"))</f>
        <v/>
      </c>
      <c r="AN47" s="716">
        <f>IF(_epmOfflineCondition_,"YTD",EPMOlapMemberO($AL$26,"[MEASURES].[].[YTD]","YTD - Year To Date","","001"))</f>
        <v/>
      </c>
      <c r="AO47" s="716">
        <f>IF(_epmOfflineCondition_,"YTD",EPMOlapMemberO($AL$26,"[MEASURES].[].[YTD]","YTD - Year To Date","","001"))</f>
        <v/>
      </c>
      <c r="AP47" s="716">
        <f>IF(_epmOfflineCondition_,"YTD",EPMOlapMemberO($AL$26,"[MEASURES].[].[YTD]","YTD - Year To Date","","001"))</f>
        <v/>
      </c>
      <c r="AQ47" s="716" t="n"/>
      <c r="AR47" s="716" t="n"/>
      <c r="AS47" s="716" t="n"/>
      <c r="AT47" s="716" t="n"/>
      <c r="AU47" s="716" t="n"/>
    </row>
    <row r="48" ht="15.75" customFormat="1" customHeight="1" s="716">
      <c r="A48" s="716" t="n"/>
      <c r="B48" s="716" t="n"/>
      <c r="C48" s="716" t="n"/>
      <c r="D48" s="716" t="n"/>
      <c r="E48" s="716" t="n"/>
      <c r="F48" s="716" t="n"/>
      <c r="G48" s="716" t="n"/>
      <c r="H48" s="716" t="n"/>
      <c r="I48" s="716" t="n"/>
      <c r="J48" s="716" t="n"/>
      <c r="K48" s="716" t="n"/>
      <c r="L48" s="716" t="n"/>
      <c r="M48" s="716" t="n"/>
      <c r="N48" s="716" t="n"/>
      <c r="O48" s="716" t="n"/>
      <c r="P48" s="716" t="n"/>
      <c r="Q48" s="716" t="n"/>
      <c r="R48" s="716" t="n"/>
      <c r="S48" s="462">
        <f>IF(_epmOfflineCondition_,"流动资产：",EPMMemberDesc(V48))</f>
        <v/>
      </c>
      <c r="T48" s="716" t="n"/>
      <c r="U48" s="384" t="inlineStr">
        <is>
          <t>A0010199</t>
        </is>
      </c>
      <c r="V48" s="462">
        <f>IF(_epmOfflineCondition_,"A0010199",EPMOlapMemberO(U48,"[C_ACCOUNT].[PARENTH1].[A0010199]","A0010199 - 流动资产：","","000"))</f>
        <v/>
      </c>
      <c r="W48" s="462" t="n"/>
      <c r="X48" s="1045" t="inlineStr">
        <is>
          <t>流动资产:</t>
        </is>
      </c>
      <c r="Y48" s="1185" t="inlineStr">
        <is>
          <t>-</t>
        </is>
      </c>
      <c r="Z48" s="1186">
        <f>"— —"</f>
        <v/>
      </c>
      <c r="AA48" s="1186">
        <f>"— —"</f>
        <v/>
      </c>
      <c r="AB48" s="1186">
        <f>"— —"</f>
        <v/>
      </c>
      <c r="AC48" s="1186">
        <f>"— —"</f>
        <v/>
      </c>
      <c r="AD48" s="1186">
        <f>"— —"</f>
        <v/>
      </c>
      <c r="AE48" s="1187" t="n"/>
      <c r="AF48" s="1188" t="n"/>
      <c r="AG48" s="1188">
        <f>IF(_epmOfflineCondition_,"流动负债：",EPMMemberDesc(AI48))</f>
        <v/>
      </c>
      <c r="AH48" s="395" t="inlineStr">
        <is>
          <t>A0010399</t>
        </is>
      </c>
      <c r="AI48" s="462">
        <f>IF(_epmOfflineCondition_,"A0010399",EPMOlapMemberO(AH48,"[C_ACCOUNT].[PARENTH1].[A0010399]","A0010399 - 流动负债：","","001"))</f>
        <v/>
      </c>
      <c r="AJ48" s="1045" t="inlineStr">
        <is>
          <t>流动负债：</t>
        </is>
      </c>
      <c r="AK48" s="649" t="inlineStr">
        <is>
          <t>-</t>
        </is>
      </c>
      <c r="AL48" s="1186">
        <f>"— —"</f>
        <v/>
      </c>
      <c r="AM48" s="1186">
        <f>"— —"</f>
        <v/>
      </c>
      <c r="AN48" s="1186">
        <f>"— —"</f>
        <v/>
      </c>
      <c r="AO48" s="1186">
        <f>"— —"</f>
        <v/>
      </c>
      <c r="AP48" s="1186">
        <f>"— —"</f>
        <v/>
      </c>
      <c r="AQ48" s="716" t="n"/>
      <c r="AR48" s="716" t="n"/>
      <c r="AS48" s="716" t="n"/>
      <c r="AT48" s="716" t="n"/>
      <c r="AU48" s="716" t="n"/>
    </row>
    <row r="49" ht="16.5" customFormat="1" customHeight="1" s="716">
      <c r="A49" s="716" t="n"/>
      <c r="B49" s="716" t="n"/>
      <c r="C49" s="716" t="n"/>
      <c r="D49" s="716" t="n"/>
      <c r="E49" s="716" t="n"/>
      <c r="F49" s="716" t="n"/>
      <c r="G49" s="716" t="n"/>
      <c r="H49" s="716" t="n"/>
      <c r="I49" s="716" t="n"/>
      <c r="J49" s="716" t="n"/>
      <c r="K49" s="716" t="n"/>
      <c r="L49" s="716" t="n"/>
      <c r="M49" s="716" t="n"/>
      <c r="N49" s="716" t="n"/>
      <c r="O49" s="716" t="n"/>
      <c r="P49" s="716" t="n"/>
      <c r="Q49" s="716" t="n"/>
      <c r="R49" s="716" t="n"/>
      <c r="S49" s="462">
        <f>IF(_epmOfflineCondition_,"  货币资金",EPMMemberDesc(V49))</f>
        <v/>
      </c>
      <c r="T49" s="716" t="n"/>
      <c r="U49" s="384" t="inlineStr">
        <is>
          <t>A001010101</t>
        </is>
      </c>
      <c r="V49" s="459">
        <f>IF(_epmOfflineCondition_,"A001010101",EPMOlapMemberO(U49,"[C_ACCOUNT].[PARENTH1].[A001010101]","A001010101 -   货币资金","","000"))</f>
        <v/>
      </c>
      <c r="W49" s="462" t="n"/>
      <c r="X49" s="705" t="inlineStr">
        <is>
          <t>货币资金</t>
        </is>
      </c>
      <c r="Y49" s="1185">
        <f>ROW()-48</f>
        <v/>
      </c>
      <c r="Z49" s="1189" t="inlineStr"/>
      <c r="AA49" s="1189" t="n"/>
      <c r="AB49" s="1190" t="n"/>
      <c r="AC49" s="1189" t="inlineStr"/>
      <c r="AD49" s="1189" t="inlineStr"/>
      <c r="AE49" s="1187" t="n"/>
      <c r="AF49" s="1188" t="n"/>
      <c r="AG49" s="1188">
        <f>IF(_epmOfflineCondition_,"  短期借款",EPMMemberDesc(AI49))</f>
        <v/>
      </c>
      <c r="AH49" s="390" t="inlineStr">
        <is>
          <t>A001020101</t>
        </is>
      </c>
      <c r="AI49" s="635">
        <f>IF(_epmOfflineCondition_,"A001020101",EPMOlapMemberO(AH49,"[C_ACCOUNT].[PARENTH1].[A001020101]","A001020101 -   短期借款","","001"))</f>
        <v/>
      </c>
      <c r="AJ49" s="705" t="inlineStr">
        <is>
          <t>短期借款</t>
        </is>
      </c>
      <c r="AK49" s="649">
        <f>ROW()-2</f>
        <v/>
      </c>
      <c r="AL49" s="1191" t="inlineStr"/>
      <c r="AM49" s="1191" t="n"/>
      <c r="AN49" s="1191" t="n"/>
      <c r="AO49" s="1191" t="inlineStr"/>
      <c r="AP49" s="1191" t="inlineStr"/>
      <c r="AQ49" s="716" t="n"/>
      <c r="AR49" s="716" t="n"/>
      <c r="AS49" s="716" t="n"/>
      <c r="AT49" s="716" t="n"/>
      <c r="AU49" s="716" t="n"/>
    </row>
    <row r="50" ht="16.5" customFormat="1" customHeight="1" s="716">
      <c r="A50" s="716" t="n"/>
      <c r="B50" s="716" t="n"/>
      <c r="C50" s="716" t="n"/>
      <c r="D50" s="716" t="n"/>
      <c r="E50" s="716" t="n"/>
      <c r="F50" s="716" t="n"/>
      <c r="G50" s="716" t="n"/>
      <c r="H50" s="716" t="n"/>
      <c r="I50" s="716" t="n"/>
      <c r="J50" s="716" t="n"/>
      <c r="K50" s="716" t="n"/>
      <c r="L50" s="716" t="n"/>
      <c r="M50" s="716" t="n"/>
      <c r="N50" s="716" t="n"/>
      <c r="O50" s="716" t="n"/>
      <c r="P50" s="716" t="n"/>
      <c r="Q50" s="716" t="n"/>
      <c r="R50" s="716" t="n"/>
      <c r="S50" s="462">
        <f>IF(_epmOfflineCondition_,"  # 结算备付金",EPMMemberDesc(V50))</f>
        <v/>
      </c>
      <c r="T50" s="716" t="n"/>
      <c r="U50" s="384" t="inlineStr">
        <is>
          <t>A001010102</t>
        </is>
      </c>
      <c r="V50" s="459">
        <f>IF(_epmOfflineCondition_,"A001010102",EPMOlapMemberO(U50,"[C_ACCOUNT].[PARENTH1].[A001010102]","A001010102 -   # 结算备付金","","000"))</f>
        <v/>
      </c>
      <c r="W50" s="462" t="n"/>
      <c r="X50" s="1046" t="inlineStr">
        <is>
          <t xml:space="preserve">   △结算备付金</t>
        </is>
      </c>
      <c r="Y50" s="1185">
        <f>ROW()-48</f>
        <v/>
      </c>
      <c r="Z50" s="1189" t="n"/>
      <c r="AA50" s="1189" t="n"/>
      <c r="AB50" s="1190" t="n"/>
      <c r="AC50" s="1189" t="n"/>
      <c r="AD50" s="1189" t="n"/>
      <c r="AE50" s="1187" t="n"/>
      <c r="AF50" s="1188" t="n"/>
      <c r="AG50" s="1188">
        <f>IF(_epmOfflineCondition_,"  # 向中央银行借款",EPMMemberDesc(AI50))</f>
        <v/>
      </c>
      <c r="AH50" s="390" t="inlineStr">
        <is>
          <t>A001020102</t>
        </is>
      </c>
      <c r="AI50" s="635">
        <f>IF(_epmOfflineCondition_,"A001020102",EPMOlapMemberO(AH50,"[C_ACCOUNT].[PARENTH1].[A001020102]","A001020102 -   # 向中央银行借款","","001"))</f>
        <v/>
      </c>
      <c r="AJ50" s="1046" t="inlineStr">
        <is>
          <t xml:space="preserve">  △向中央银行借款</t>
        </is>
      </c>
      <c r="AK50" s="649">
        <f>ROW()-2</f>
        <v/>
      </c>
      <c r="AL50" s="1191" t="n"/>
      <c r="AM50" s="1191" t="n"/>
      <c r="AN50" s="1191" t="n"/>
      <c r="AO50" s="1191" t="n"/>
      <c r="AP50" s="1191" t="n"/>
      <c r="AQ50" s="716" t="n"/>
      <c r="AR50" s="716" t="n"/>
      <c r="AS50" s="716" t="n"/>
      <c r="AT50" s="716" t="n"/>
      <c r="AU50" s="716" t="n"/>
    </row>
    <row r="51" ht="16.5" customFormat="1" customHeight="1" s="716">
      <c r="A51" s="716" t="n"/>
      <c r="B51" s="716" t="n"/>
      <c r="C51" s="716" t="n"/>
      <c r="D51" s="716" t="n"/>
      <c r="E51" s="716" t="n"/>
      <c r="F51" s="716" t="n"/>
      <c r="G51" s="716" t="n"/>
      <c r="H51" s="716" t="n"/>
      <c r="I51" s="716" t="n"/>
      <c r="J51" s="716" t="n"/>
      <c r="K51" s="716" t="n"/>
      <c r="L51" s="716" t="n"/>
      <c r="M51" s="716" t="n"/>
      <c r="N51" s="716" t="n"/>
      <c r="O51" s="716" t="n"/>
      <c r="P51" s="716" t="n"/>
      <c r="Q51" s="716" t="n"/>
      <c r="R51" s="716" t="n"/>
      <c r="S51" s="462">
        <f>IF(_epmOfflineCondition_,"  # 拆出资金",EPMMemberDesc(V51))</f>
        <v/>
      </c>
      <c r="T51" s="716" t="n"/>
      <c r="U51" s="384" t="inlineStr">
        <is>
          <t>A001010103</t>
        </is>
      </c>
      <c r="V51" s="459">
        <f>IF(_epmOfflineCondition_,"A001010103",EPMOlapMemberO(U51,"[C_ACCOUNT].[PARENTH1].[A001010103]","A001010103 -   # 拆出资金","","000"))</f>
        <v/>
      </c>
      <c r="W51" s="462" t="n"/>
      <c r="X51" s="1046" t="inlineStr">
        <is>
          <t xml:space="preserve">   △拆出资金</t>
        </is>
      </c>
      <c r="Y51" s="1185">
        <f>ROW()-48</f>
        <v/>
      </c>
      <c r="Z51" s="1189" t="n"/>
      <c r="AA51" s="1189" t="n"/>
      <c r="AB51" s="1190" t="n"/>
      <c r="AC51" s="1189" t="n"/>
      <c r="AD51" s="1189" t="n"/>
      <c r="AE51" s="1187" t="n"/>
      <c r="AF51" s="1188" t="n"/>
      <c r="AG51" s="1188">
        <f>IF(_epmOfflineCondition_,"  # 吸收存款及同业存放",EPMMemberDesc(AI51))</f>
        <v/>
      </c>
      <c r="AH51" s="390" t="inlineStr">
        <is>
          <t>A001020103</t>
        </is>
      </c>
      <c r="AI51" s="635">
        <f>IF(_epmOfflineCondition_,"A001020103",EPMOlapMemberO(AH51,"[C_ACCOUNT].[PARENTH1].[A001020103]","A001020103 -   # 吸收存款及同业存放","","001"))</f>
        <v/>
      </c>
      <c r="AJ51" s="1046" t="inlineStr">
        <is>
          <t xml:space="preserve">  △吸收存款及同业存放</t>
        </is>
      </c>
      <c r="AK51" s="649">
        <f>ROW()-2</f>
        <v/>
      </c>
      <c r="AL51" s="1191" t="n"/>
      <c r="AM51" s="1191" t="n"/>
      <c r="AN51" s="1191" t="n"/>
      <c r="AO51" s="1191" t="n"/>
      <c r="AP51" s="1191" t="n"/>
      <c r="AQ51" s="716" t="n"/>
      <c r="AR51" s="716" t="n"/>
      <c r="AS51" s="716" t="n"/>
      <c r="AT51" s="716" t="n"/>
      <c r="AU51" s="716" t="n"/>
    </row>
    <row r="52" ht="16.5" customFormat="1" customHeight="1" s="716">
      <c r="A52" s="716" t="n"/>
      <c r="B52" s="716" t="n"/>
      <c r="C52" s="716" t="n"/>
      <c r="D52" s="716" t="n"/>
      <c r="E52" s="716" t="n"/>
      <c r="F52" s="716" t="n"/>
      <c r="G52" s="716" t="n"/>
      <c r="H52" s="716" t="n"/>
      <c r="I52" s="716" t="n"/>
      <c r="J52" s="716" t="n"/>
      <c r="K52" s="716" t="n"/>
      <c r="L52" s="716" t="n"/>
      <c r="M52" s="716" t="n"/>
      <c r="N52" s="716" t="n"/>
      <c r="O52" s="716" t="n"/>
      <c r="P52" s="716" t="n"/>
      <c r="Q52" s="716" t="n"/>
      <c r="R52" s="716" t="n"/>
      <c r="S52" s="462">
        <f>IF(_epmOfflineCondition_,"  交易性金融资产",EPMMemberDesc(V52))</f>
        <v/>
      </c>
      <c r="T52" s="716" t="n"/>
      <c r="U52" s="384" t="inlineStr">
        <is>
          <t>A001010104</t>
        </is>
      </c>
      <c r="V52" s="459">
        <f>IF(_epmOfflineCondition_,"A001010104",EPMOlapMemberO(U52,"[C_ACCOUNT].[PARENTH1].[A001010104]","A001010104 -   交易性金融资产","","000"))</f>
        <v/>
      </c>
      <c r="W52" s="462" t="n"/>
      <c r="X52" s="705" t="inlineStr">
        <is>
          <t>交易性金融资产</t>
        </is>
      </c>
      <c r="Y52" s="1185">
        <f>ROW()-48</f>
        <v/>
      </c>
      <c r="Z52" s="1189" t="n"/>
      <c r="AA52" s="1189" t="n"/>
      <c r="AB52" s="1190" t="n"/>
      <c r="AC52" s="1189" t="n"/>
      <c r="AD52" s="1189" t="n"/>
      <c r="AE52" s="1187" t="n"/>
      <c r="AF52" s="1188" t="n"/>
      <c r="AG52" s="1188">
        <f>IF(_epmOfflineCondition_,"  # 拆入资金",EPMMemberDesc(AI52))</f>
        <v/>
      </c>
      <c r="AH52" s="390" t="inlineStr">
        <is>
          <t>A001020104</t>
        </is>
      </c>
      <c r="AI52" s="635">
        <f>IF(_epmOfflineCondition_,"A001020104",EPMOlapMemberO(AH52,"[C_ACCOUNT].[PARENTH1].[A001020104]","A001020104 -   # 拆入资金","","001"))</f>
        <v/>
      </c>
      <c r="AJ52" s="1046" t="inlineStr">
        <is>
          <t xml:space="preserve">  △拆入资金</t>
        </is>
      </c>
      <c r="AK52" s="649">
        <f>ROW()-2</f>
        <v/>
      </c>
      <c r="AL52" s="1191" t="n"/>
      <c r="AM52" s="1191" t="n"/>
      <c r="AN52" s="1191" t="n"/>
      <c r="AO52" s="1191" t="n"/>
      <c r="AP52" s="1191" t="n"/>
      <c r="AQ52" s="716" t="n"/>
      <c r="AR52" s="716" t="n"/>
      <c r="AS52" s="716" t="n"/>
      <c r="AT52" s="716" t="n"/>
      <c r="AU52" s="716" t="n"/>
    </row>
    <row r="53" ht="16.5" customFormat="1" customHeight="1" s="716">
      <c r="A53" s="716" t="n"/>
      <c r="B53" s="716" t="n"/>
      <c r="C53" s="716" t="n"/>
      <c r="D53" s="716" t="n"/>
      <c r="E53" s="716" t="n"/>
      <c r="F53" s="716" t="n"/>
      <c r="G53" s="716" t="n"/>
      <c r="H53" s="716" t="n"/>
      <c r="I53" s="716" t="n"/>
      <c r="J53" s="716" t="n"/>
      <c r="K53" s="716" t="n"/>
      <c r="L53" s="716" t="n"/>
      <c r="M53" s="716" t="n"/>
      <c r="N53" s="716" t="n"/>
      <c r="O53" s="716" t="n"/>
      <c r="P53" s="716" t="n"/>
      <c r="Q53" s="716" t="n"/>
      <c r="R53" s="716" t="n"/>
      <c r="S53" s="462">
        <f>IF(_epmOfflineCondition_,"  应收票据",EPMMemberDesc(V53))</f>
        <v/>
      </c>
      <c r="T53" s="716" t="n"/>
      <c r="U53" s="384" t="inlineStr">
        <is>
          <t>A001010106</t>
        </is>
      </c>
      <c r="V53" s="459">
        <f>IF(_epmOfflineCondition_,"A001010106",EPMOlapMemberO(U53,"[C_ACCOUNT].[PARENTH1].[A001010106]","A001010106 -   应收票据","","000"))</f>
        <v/>
      </c>
      <c r="W53" s="462" t="n"/>
      <c r="X53" s="705" t="inlineStr">
        <is>
          <t>应收票据</t>
        </is>
      </c>
      <c r="Y53" s="1185">
        <f>ROW()-48</f>
        <v/>
      </c>
      <c r="Z53" s="1189" t="n"/>
      <c r="AA53" s="1189" t="n"/>
      <c r="AB53" s="1190" t="n"/>
      <c r="AC53" s="1189" t="n"/>
      <c r="AD53" s="1189" t="n"/>
      <c r="AE53" s="1187" t="n"/>
      <c r="AF53" s="1188" t="n"/>
      <c r="AG53" s="1188">
        <f>IF(_epmOfflineCondition_,"交易性金融负债",EPMMemberDesc(AI53))</f>
        <v/>
      </c>
      <c r="AH53" s="390" t="inlineStr">
        <is>
          <t>A2101000000</t>
        </is>
      </c>
      <c r="AI53" s="637">
        <f>IF(_epmOfflineCondition_,"A2101000000",EPMOlapMemberO(AH53,"[C_ACCOUNT].[PARENTH1].[A2101000000]","A2101000000 - 交易性金融负债","","001"))</f>
        <v/>
      </c>
      <c r="AJ53" s="705" t="inlineStr">
        <is>
          <t>交易性金融负债</t>
        </is>
      </c>
      <c r="AK53" s="649">
        <f>ROW()-2</f>
        <v/>
      </c>
      <c r="AL53" s="1191" t="n"/>
      <c r="AM53" s="1191" t="n"/>
      <c r="AN53" s="1191" t="n"/>
      <c r="AO53" s="1191" t="n"/>
      <c r="AP53" s="1191" t="n"/>
      <c r="AQ53" s="716" t="n"/>
      <c r="AR53" s="716" t="n"/>
      <c r="AS53" s="716" t="n"/>
      <c r="AT53" s="716" t="n"/>
      <c r="AU53" s="716" t="n"/>
    </row>
    <row r="54" ht="16.5" customFormat="1" customHeight="1" s="716">
      <c r="A54" s="716" t="n"/>
      <c r="B54" s="716" t="n"/>
      <c r="C54" s="716" t="n"/>
      <c r="D54" s="716" t="n"/>
      <c r="E54" s="716" t="n"/>
      <c r="F54" s="716" t="n"/>
      <c r="G54" s="716" t="n"/>
      <c r="H54" s="716" t="n"/>
      <c r="I54" s="716" t="n"/>
      <c r="J54" s="716" t="n"/>
      <c r="K54" s="716" t="n"/>
      <c r="L54" s="716" t="n"/>
      <c r="M54" s="716" t="n"/>
      <c r="N54" s="716" t="n"/>
      <c r="O54" s="716" t="n"/>
      <c r="P54" s="716" t="n"/>
      <c r="Q54" s="716" t="n"/>
      <c r="R54" s="716" t="n"/>
      <c r="S54" s="462">
        <f>IF(_epmOfflineCondition_,"  应收账款",EPMMemberDesc(V54))</f>
        <v/>
      </c>
      <c r="T54" s="716" t="n"/>
      <c r="U54" s="384" t="inlineStr">
        <is>
          <t>A001010107</t>
        </is>
      </c>
      <c r="V54" s="459">
        <f>IF(_epmOfflineCondition_,"A001010107",EPMOlapMemberO(U54,"[C_ACCOUNT].[PARENTH1].[A001010107]","A001010107 -   应收账款","","000"))</f>
        <v/>
      </c>
      <c r="W54" s="462" t="n"/>
      <c r="X54" s="705" t="inlineStr">
        <is>
          <t>应收账款</t>
        </is>
      </c>
      <c r="Y54" s="1185">
        <f>ROW()-48</f>
        <v/>
      </c>
      <c r="Z54" s="1189" t="inlineStr"/>
      <c r="AA54" s="1189" t="n"/>
      <c r="AB54" s="1190" t="n"/>
      <c r="AC54" s="1189" t="inlineStr"/>
      <c r="AD54" s="1189" t="inlineStr"/>
      <c r="AE54" s="1187" t="n"/>
      <c r="AF54" s="1188" t="n"/>
      <c r="AG54" s="1188">
        <f>IF(_epmOfflineCondition_,"   衍生金融负债",EPMMemberDesc(AI54))</f>
        <v/>
      </c>
      <c r="AH54" s="390" t="inlineStr">
        <is>
          <t>A001020106</t>
        </is>
      </c>
      <c r="AI54" s="635">
        <f>IF(_epmOfflineCondition_,"A001020106",EPMOlapMemberO(AH54,"[C_ACCOUNT].[PARENTH1].[A001020106]","A001020106 -    衍生金融负债","","001"))</f>
        <v/>
      </c>
      <c r="AJ54" s="705" t="inlineStr">
        <is>
          <t>衍生金融负债</t>
        </is>
      </c>
      <c r="AK54" s="649">
        <f>ROW()-2</f>
        <v/>
      </c>
      <c r="AL54" s="1191" t="n"/>
      <c r="AM54" s="1191" t="n"/>
      <c r="AN54" s="1191" t="n"/>
      <c r="AO54" s="1191" t="n"/>
      <c r="AP54" s="1191" t="n"/>
      <c r="AQ54" s="716" t="n"/>
      <c r="AR54" s="716" t="n"/>
      <c r="AS54" s="716" t="n"/>
      <c r="AT54" s="716" t="n"/>
      <c r="AU54" s="716" t="n"/>
    </row>
    <row r="55" ht="16.5" customFormat="1" customHeight="1" s="716">
      <c r="A55" s="716" t="n"/>
      <c r="B55" s="716" t="n"/>
      <c r="C55" s="716" t="n"/>
      <c r="D55" s="716" t="n"/>
      <c r="E55" s="716" t="n"/>
      <c r="F55" s="716" t="n"/>
      <c r="G55" s="716" t="n"/>
      <c r="H55" s="716" t="n"/>
      <c r="I55" s="716" t="n"/>
      <c r="J55" s="716" t="n"/>
      <c r="K55" s="716" t="n"/>
      <c r="L55" s="716" t="n"/>
      <c r="M55" s="716" t="n"/>
      <c r="N55" s="716" t="n"/>
      <c r="O55" s="716" t="n"/>
      <c r="P55" s="716" t="n"/>
      <c r="Q55" s="716" t="n"/>
      <c r="R55" s="716" t="n"/>
      <c r="S55" s="462">
        <f>IF(_epmOfflineCondition_,"  预付款项",EPMMemberDesc(V55))</f>
        <v/>
      </c>
      <c r="T55" s="716" t="n"/>
      <c r="U55" s="384" t="inlineStr">
        <is>
          <t>A001010108</t>
        </is>
      </c>
      <c r="V55" s="459">
        <f>IF(_epmOfflineCondition_,"A001010108",EPMOlapMemberO(U55,"[C_ACCOUNT].[PARENTH1].[A001010108]","A001010108 -   预付款项","","000"))</f>
        <v/>
      </c>
      <c r="W55" s="462" t="n"/>
      <c r="X55" s="705" t="inlineStr">
        <is>
          <t>预付款项</t>
        </is>
      </c>
      <c r="Y55" s="1185">
        <f>ROW()-48</f>
        <v/>
      </c>
      <c r="Z55" s="1189" t="inlineStr"/>
      <c r="AA55" s="1189" t="inlineStr"/>
      <c r="AB55" s="1190" t="n"/>
      <c r="AC55" s="1189" t="inlineStr"/>
      <c r="AD55" s="1189" t="inlineStr"/>
      <c r="AE55" s="1187" t="n"/>
      <c r="AF55" s="1188" t="n"/>
      <c r="AG55" s="1188">
        <f>IF(_epmOfflineCondition_,"   应付票据",EPMMemberDesc(AI55))</f>
        <v/>
      </c>
      <c r="AH55" s="390" t="inlineStr">
        <is>
          <t>A001020107</t>
        </is>
      </c>
      <c r="AI55" s="635">
        <f>IF(_epmOfflineCondition_,"A001020107",EPMOlapMemberO(AH55,"[C_ACCOUNT].[PARENTH1].[A001020107]","A001020107 -    应付票据","","001"))</f>
        <v/>
      </c>
      <c r="AJ55" s="705" t="inlineStr">
        <is>
          <t>应付票据</t>
        </is>
      </c>
      <c r="AK55" s="649">
        <f>ROW()-2</f>
        <v/>
      </c>
      <c r="AL55" s="1191" t="n"/>
      <c r="AM55" s="1191" t="n"/>
      <c r="AN55" s="1191" t="n"/>
      <c r="AO55" s="1191" t="n"/>
      <c r="AP55" s="1191" t="n"/>
      <c r="AQ55" s="716" t="n"/>
      <c r="AR55" s="716" t="n"/>
      <c r="AS55" s="716" t="n"/>
      <c r="AT55" s="716" t="n"/>
      <c r="AU55" s="716" t="n"/>
    </row>
    <row r="56" ht="16.5" customFormat="1" customHeight="1" s="716">
      <c r="A56" s="716" t="n"/>
      <c r="B56" s="716" t="n"/>
      <c r="C56" s="716" t="n"/>
      <c r="D56" s="716" t="n"/>
      <c r="E56" s="716" t="n"/>
      <c r="F56" s="716" t="n"/>
      <c r="G56" s="716" t="n"/>
      <c r="H56" s="716" t="n"/>
      <c r="I56" s="716" t="n"/>
      <c r="J56" s="716" t="n"/>
      <c r="K56" s="716" t="n"/>
      <c r="L56" s="716" t="n"/>
      <c r="M56" s="716" t="n"/>
      <c r="N56" s="716" t="n"/>
      <c r="O56" s="716" t="n"/>
      <c r="P56" s="716" t="n"/>
      <c r="Q56" s="716" t="n"/>
      <c r="R56" s="716" t="n"/>
      <c r="S56" s="462">
        <f>IF(_epmOfflineCondition_,"  应收利息",EPMMemberDesc(V56))</f>
        <v/>
      </c>
      <c r="T56" s="716" t="n"/>
      <c r="U56" s="384" t="inlineStr">
        <is>
          <t>A001010109</t>
        </is>
      </c>
      <c r="V56" s="459">
        <f>IF(_epmOfflineCondition_,"A001010109",EPMOlapMemberO(U56,"[C_ACCOUNT].[PARENTH1].[A001010109]","A001010109 -   应收利息","","000"))</f>
        <v/>
      </c>
      <c r="W56" s="462" t="n"/>
      <c r="X56" s="705" t="inlineStr">
        <is>
          <t>应收利息</t>
        </is>
      </c>
      <c r="Y56" s="1185">
        <f>ROW()-48</f>
        <v/>
      </c>
      <c r="Z56" s="1189" t="n"/>
      <c r="AA56" s="1189" t="n"/>
      <c r="AB56" s="1190" t="n"/>
      <c r="AC56" s="1189" t="n"/>
      <c r="AD56" s="1189" t="n"/>
      <c r="AE56" s="1187" t="n"/>
      <c r="AF56" s="1188" t="n"/>
      <c r="AG56" s="1188">
        <f>IF(_epmOfflineCondition_,"   应付账款",EPMMemberDesc(AI56))</f>
        <v/>
      </c>
      <c r="AH56" s="390" t="inlineStr">
        <is>
          <t>A001020108</t>
        </is>
      </c>
      <c r="AI56" s="635">
        <f>IF(_epmOfflineCondition_,"A001020108",EPMOlapMemberO(AH56,"[C_ACCOUNT].[PARENTH1].[A001020108]","A001020108 -    应付账款","","001"))</f>
        <v/>
      </c>
      <c r="AJ56" s="705" t="inlineStr">
        <is>
          <t>应付账款</t>
        </is>
      </c>
      <c r="AK56" s="649">
        <f>ROW()-2</f>
        <v/>
      </c>
      <c r="AL56" s="1191" t="inlineStr"/>
      <c r="AM56" s="1191" t="inlineStr"/>
      <c r="AN56" s="1191" t="n"/>
      <c r="AO56" s="1191" t="inlineStr"/>
      <c r="AP56" s="1191" t="inlineStr"/>
      <c r="AQ56" s="716" t="n"/>
      <c r="AR56" s="716" t="n"/>
      <c r="AS56" s="716" t="n"/>
      <c r="AT56" s="716" t="n"/>
      <c r="AU56" s="716" t="n"/>
    </row>
    <row r="57" ht="16.5" customFormat="1" customHeight="1" s="716">
      <c r="A57" s="716" t="n"/>
      <c r="B57" s="716" t="n"/>
      <c r="C57" s="716" t="n"/>
      <c r="D57" s="716" t="n"/>
      <c r="E57" s="716" t="n"/>
      <c r="F57" s="716" t="n"/>
      <c r="G57" s="716" t="n"/>
      <c r="H57" s="716" t="n"/>
      <c r="I57" s="716" t="n"/>
      <c r="J57" s="716" t="n"/>
      <c r="K57" s="716" t="n"/>
      <c r="L57" s="716" t="n"/>
      <c r="M57" s="716" t="n"/>
      <c r="N57" s="716" t="n"/>
      <c r="O57" s="716" t="n"/>
      <c r="P57" s="716" t="n"/>
      <c r="Q57" s="716" t="n"/>
      <c r="R57" s="716" t="n"/>
      <c r="S57" s="462">
        <f>IF(_epmOfflineCondition_,"  应收股利",EPMMemberDesc(V57))</f>
        <v/>
      </c>
      <c r="T57" s="716" t="n"/>
      <c r="U57" s="384" t="inlineStr">
        <is>
          <t>A00101011002</t>
        </is>
      </c>
      <c r="V57" s="459">
        <f>IF(_epmOfflineCondition_,"A00101011002",EPMOlapMemberO(U57,"[C_ACCOUNT].[PARENTH1].[A00101011002]","A00101011002 -   应收股利","","000"))</f>
        <v/>
      </c>
      <c r="W57" s="462" t="n"/>
      <c r="X57" s="705" t="inlineStr">
        <is>
          <t>应收股利</t>
        </is>
      </c>
      <c r="Y57" s="1185">
        <f>ROW()-48</f>
        <v/>
      </c>
      <c r="Z57" s="1189" t="n"/>
      <c r="AA57" s="1189" t="n"/>
      <c r="AB57" s="1190" t="n"/>
      <c r="AC57" s="1189" t="n"/>
      <c r="AD57" s="1189" t="n"/>
      <c r="AE57" s="1187" t="n"/>
      <c r="AF57" s="1188" t="n"/>
      <c r="AG57" s="1188">
        <f>IF(_epmOfflineCondition_,"   预收款项",EPMMemberDesc(AI57))</f>
        <v/>
      </c>
      <c r="AH57" s="390" t="inlineStr">
        <is>
          <t>A001020109</t>
        </is>
      </c>
      <c r="AI57" s="635">
        <f>IF(_epmOfflineCondition_,"A001020109",EPMOlapMemberO(AH57,"[C_ACCOUNT].[PARENTH1].[A001020109]","A001020109 -    预收款项","","001"))</f>
        <v/>
      </c>
      <c r="AJ57" s="705" t="inlineStr">
        <is>
          <t>预收款项</t>
        </is>
      </c>
      <c r="AK57" s="649">
        <f>ROW()-2</f>
        <v/>
      </c>
      <c r="AL57" s="1191" t="n"/>
      <c r="AM57" s="1191" t="n"/>
      <c r="AN57" s="1191" t="n"/>
      <c r="AO57" s="1191" t="n"/>
      <c r="AP57" s="1191" t="n"/>
      <c r="AQ57" s="716" t="n"/>
      <c r="AR57" s="716" t="n"/>
      <c r="AS57" s="716" t="n"/>
      <c r="AT57" s="716" t="n"/>
      <c r="AU57" s="716" t="n"/>
    </row>
    <row r="58" ht="16.5" customFormat="1" customHeight="1" s="716">
      <c r="A58" s="716" t="n"/>
      <c r="B58" s="716" t="n"/>
      <c r="C58" s="716" t="n"/>
      <c r="D58" s="716" t="n"/>
      <c r="E58" s="716" t="n"/>
      <c r="F58" s="716" t="n"/>
      <c r="G58" s="716" t="n"/>
      <c r="H58" s="716" t="n"/>
      <c r="I58" s="716" t="n"/>
      <c r="J58" s="716" t="n"/>
      <c r="K58" s="716" t="n"/>
      <c r="L58" s="716" t="n"/>
      <c r="M58" s="716" t="n"/>
      <c r="N58" s="716" t="n"/>
      <c r="O58" s="716" t="n"/>
      <c r="P58" s="716" t="n"/>
      <c r="Q58" s="716" t="n"/>
      <c r="R58" s="716" t="n"/>
      <c r="S58" s="462">
        <f>IF(_epmOfflineCondition_,"  其他应收款",EPMMemberDesc(V58))</f>
        <v/>
      </c>
      <c r="T58" s="716" t="n"/>
      <c r="U58" s="384" t="inlineStr">
        <is>
          <t>A00101011102</t>
        </is>
      </c>
      <c r="V58" s="459">
        <f>IF(_epmOfflineCondition_,"A00101011102",EPMOlapMemberO(U58,"[C_ACCOUNT].[PARENTH1].[A00101011102]","A00101011102 -   其他应收款","","000"))</f>
        <v/>
      </c>
      <c r="W58" s="462" t="n"/>
      <c r="X58" s="705" t="inlineStr">
        <is>
          <t>其他应收款</t>
        </is>
      </c>
      <c r="Y58" s="1185">
        <f>ROW()-48</f>
        <v/>
      </c>
      <c r="Z58" s="1189" t="n"/>
      <c r="AA58" s="1189" t="n"/>
      <c r="AB58" s="1190" t="n"/>
      <c r="AC58" s="1189" t="n"/>
      <c r="AD58" s="1189" t="n"/>
      <c r="AE58" s="1187" t="n"/>
      <c r="AF58" s="1188" t="n"/>
      <c r="AG58" s="1188">
        <f>IF(_epmOfflineCondition_,"   合同负债",EPMMemberDesc(AI58))</f>
        <v/>
      </c>
      <c r="AH58" s="390" t="inlineStr">
        <is>
          <t>A001020110</t>
        </is>
      </c>
      <c r="AI58" s="635">
        <f>IF(_epmOfflineCondition_,"A001020110",EPMOlapMemberO(AH58,"[C_ACCOUNT].[PARENTH1].[A001020110]","A001020110 -    合同负债","","001"))</f>
        <v/>
      </c>
      <c r="AJ58" s="705" t="inlineStr">
        <is>
          <t>合同负债</t>
        </is>
      </c>
      <c r="AK58" s="649">
        <f>ROW()-2</f>
        <v/>
      </c>
      <c r="AL58" s="1191" t="n"/>
      <c r="AM58" s="1191" t="n"/>
      <c r="AN58" s="1191" t="n"/>
      <c r="AO58" s="1191" t="n"/>
      <c r="AP58" s="1191" t="n"/>
      <c r="AQ58" s="716" t="n"/>
      <c r="AR58" s="716" t="n"/>
      <c r="AS58" s="716" t="n"/>
      <c r="AT58" s="716" t="n"/>
      <c r="AU58" s="716" t="n"/>
    </row>
    <row r="59" ht="16.5" customFormat="1" customHeight="1" s="716">
      <c r="A59" s="716" t="n"/>
      <c r="B59" s="716" t="n"/>
      <c r="C59" s="716" t="n"/>
      <c r="D59" s="716" t="n"/>
      <c r="E59" s="716" t="n"/>
      <c r="F59" s="716" t="n"/>
      <c r="G59" s="716" t="n"/>
      <c r="H59" s="716" t="n"/>
      <c r="I59" s="716" t="n"/>
      <c r="J59" s="716" t="n"/>
      <c r="K59" s="716" t="n"/>
      <c r="L59" s="716" t="n"/>
      <c r="M59" s="716" t="n"/>
      <c r="N59" s="716" t="n"/>
      <c r="O59" s="716" t="n"/>
      <c r="P59" s="716" t="n"/>
      <c r="Q59" s="716" t="n"/>
      <c r="R59" s="716" t="n"/>
      <c r="S59" s="462">
        <f>IF(_epmOfflineCondition_,"  # 买入返售金融资产",EPMMemberDesc(V59))</f>
        <v/>
      </c>
      <c r="T59" s="716" t="n"/>
      <c r="U59" s="384" t="inlineStr">
        <is>
          <t>A001010112</t>
        </is>
      </c>
      <c r="V59" s="459">
        <f>IF(_epmOfflineCondition_,"A001010112",EPMOlapMemberO(U59,"[C_ACCOUNT].[PARENTH1].[A001010112]","A001010112 -   # 买入返售金融资产","","000"))</f>
        <v/>
      </c>
      <c r="W59" s="462" t="n"/>
      <c r="X59" s="1046" t="inlineStr">
        <is>
          <t xml:space="preserve">   △买入返售金融资产</t>
        </is>
      </c>
      <c r="Y59" s="1185">
        <f>ROW()-48</f>
        <v/>
      </c>
      <c r="Z59" s="1189" t="n"/>
      <c r="AA59" s="1189" t="n"/>
      <c r="AB59" s="1190" t="n"/>
      <c r="AC59" s="1189" t="n"/>
      <c r="AD59" s="1189" t="n"/>
      <c r="AE59" s="1187" t="n"/>
      <c r="AF59" s="1188" t="n"/>
      <c r="AG59" s="1188">
        <f>IF(_epmOfflineCondition_,"  # 卖出回购金融资产款",EPMMemberDesc(AI59))</f>
        <v/>
      </c>
      <c r="AH59" s="390" t="inlineStr">
        <is>
          <t>A001020111</t>
        </is>
      </c>
      <c r="AI59" s="635">
        <f>IF(_epmOfflineCondition_,"A001020111",EPMOlapMemberO(AH59,"[C_ACCOUNT].[PARENTH1].[A001020111]","A001020111 -   # 卖出回购金融资产款","","001"))</f>
        <v/>
      </c>
      <c r="AJ59" s="1046" t="inlineStr">
        <is>
          <t xml:space="preserve">  △卖出回购金融资产款</t>
        </is>
      </c>
      <c r="AK59" s="649">
        <f>ROW()-2</f>
        <v/>
      </c>
      <c r="AL59" s="1191" t="n"/>
      <c r="AM59" s="1191" t="n"/>
      <c r="AN59" s="1191" t="n"/>
      <c r="AO59" s="1191" t="n"/>
      <c r="AP59" s="1191" t="n"/>
      <c r="AQ59" s="716" t="n"/>
      <c r="AR59" s="716" t="n"/>
      <c r="AS59" s="716" t="n"/>
      <c r="AT59" s="716" t="n"/>
      <c r="AU59" s="716" t="n"/>
    </row>
    <row r="60" ht="16.5" customFormat="1" customHeight="1" s="716">
      <c r="A60" s="716" t="n"/>
      <c r="B60" s="716" t="n"/>
      <c r="C60" s="716" t="n"/>
      <c r="D60" s="716" t="n"/>
      <c r="E60" s="716" t="n"/>
      <c r="F60" s="716" t="n"/>
      <c r="G60" s="716" t="n"/>
      <c r="H60" s="716" t="n"/>
      <c r="I60" s="716" t="n"/>
      <c r="J60" s="716" t="n"/>
      <c r="K60" s="716" t="n"/>
      <c r="L60" s="716" t="n"/>
      <c r="M60" s="716" t="n"/>
      <c r="N60" s="716" t="n"/>
      <c r="O60" s="716" t="n"/>
      <c r="P60" s="716" t="n"/>
      <c r="Q60" s="716" t="n"/>
      <c r="R60" s="716" t="n"/>
      <c r="S60" s="462">
        <f>IF(_epmOfflineCondition_,"  存货",EPMMemberDesc(V60))</f>
        <v/>
      </c>
      <c r="T60" s="716" t="n"/>
      <c r="U60" s="384" t="inlineStr">
        <is>
          <t>A001010113</t>
        </is>
      </c>
      <c r="V60" s="459">
        <f>IF(_epmOfflineCondition_,"A001010113",EPMOlapMemberO(U60,"[C_ACCOUNT].[PARENTH1].[A001010113]","A001010113 -   存货","","000"))</f>
        <v/>
      </c>
      <c r="W60" s="462" t="n"/>
      <c r="X60" s="705" t="inlineStr">
        <is>
          <t>存货</t>
        </is>
      </c>
      <c r="Y60" s="1185">
        <f>ROW()-48</f>
        <v/>
      </c>
      <c r="Z60" s="1189" t="n"/>
      <c r="AA60" s="1189" t="n"/>
      <c r="AB60" s="1190" t="n"/>
      <c r="AC60" s="1189" t="n"/>
      <c r="AD60" s="1189" t="n"/>
      <c r="AE60" s="1187" t="n"/>
      <c r="AF60" s="1188" t="n"/>
      <c r="AG60" s="1188">
        <f>IF(_epmOfflineCondition_,"  # 应付手续费及佣金",EPMMemberDesc(AI60))</f>
        <v/>
      </c>
      <c r="AH60" s="390" t="inlineStr">
        <is>
          <t>A001020112</t>
        </is>
      </c>
      <c r="AI60" s="635">
        <f>IF(_epmOfflineCondition_,"A001020112",EPMOlapMemberO(AH60,"[C_ACCOUNT].[PARENTH1].[A001020112]","A001020112 -   # 应付手续费及佣金","","001"))</f>
        <v/>
      </c>
      <c r="AJ60" s="1046" t="inlineStr">
        <is>
          <t xml:space="preserve">  △应付手续费及佣金</t>
        </is>
      </c>
      <c r="AK60" s="649">
        <f>ROW()-2</f>
        <v/>
      </c>
      <c r="AL60" s="1191" t="n"/>
      <c r="AM60" s="1191" t="n"/>
      <c r="AN60" s="1191" t="n"/>
      <c r="AO60" s="1191" t="n"/>
      <c r="AP60" s="1191" t="n"/>
      <c r="AQ60" s="716" t="n"/>
      <c r="AR60" s="716" t="n"/>
      <c r="AS60" s="716" t="n"/>
      <c r="AT60" s="716" t="n"/>
      <c r="AU60" s="716" t="n"/>
    </row>
    <row r="61" ht="16.5" customFormat="1" customHeight="1" s="716">
      <c r="A61" s="716" t="n"/>
      <c r="B61" s="716" t="n"/>
      <c r="C61" s="716" t="n"/>
      <c r="D61" s="716" t="n"/>
      <c r="E61" s="716" t="n"/>
      <c r="F61" s="716" t="n"/>
      <c r="G61" s="716" t="n"/>
      <c r="H61" s="716" t="n"/>
      <c r="I61" s="716" t="n"/>
      <c r="J61" s="716" t="n"/>
      <c r="K61" s="716" t="n"/>
      <c r="L61" s="716" t="n"/>
      <c r="M61" s="716" t="n"/>
      <c r="N61" s="716" t="n"/>
      <c r="O61" s="716" t="n"/>
      <c r="P61" s="716" t="n"/>
      <c r="Q61" s="716" t="n"/>
      <c r="R61" s="716" t="n"/>
      <c r="S61" s="462">
        <f>IF(_epmOfflineCondition_,"     其中：原材料",EPMMemberDesc(V61))</f>
        <v/>
      </c>
      <c r="T61" s="716" t="n"/>
      <c r="U61" s="384" t="inlineStr">
        <is>
          <t>A00101011301</t>
        </is>
      </c>
      <c r="V61" s="635">
        <f>IF(_epmOfflineCondition_,"A00101011301",EPMOlapMemberO(U61,"[C_ACCOUNT].[PARENTH1].[A00101011301]","A00101011301 -      其中：原材料","","000"))</f>
        <v/>
      </c>
      <c r="W61" s="462" t="n"/>
      <c r="X61" s="705" t="inlineStr">
        <is>
          <t xml:space="preserve">    其中：原材料</t>
        </is>
      </c>
      <c r="Y61" s="1185">
        <f>ROW()-48</f>
        <v/>
      </c>
      <c r="Z61" s="1189" t="n"/>
      <c r="AA61" s="1189" t="n"/>
      <c r="AB61" s="1190" t="n"/>
      <c r="AC61" s="1189" t="n"/>
      <c r="AD61" s="1189" t="n"/>
      <c r="AE61" s="1187" t="n"/>
      <c r="AF61" s="1188" t="n"/>
      <c r="AG61" s="1188">
        <f>IF(_epmOfflineCondition_,"　应付职工薪酬",EPMMemberDesc(AI61))</f>
        <v/>
      </c>
      <c r="AH61" s="390" t="inlineStr">
        <is>
          <t>A001020113</t>
        </is>
      </c>
      <c r="AI61" s="635">
        <f>IF(_epmOfflineCondition_,"A001020113",EPMOlapMemberO(AH61,"[C_ACCOUNT].[PARENTH1].[A001020113]","A001020113 - 　应付职工薪酬","","001"))</f>
        <v/>
      </c>
      <c r="AJ61" s="705" t="inlineStr">
        <is>
          <t>应付职工薪酬</t>
        </is>
      </c>
      <c r="AK61" s="649">
        <f>ROW()-2</f>
        <v/>
      </c>
      <c r="AL61" s="1191" t="inlineStr"/>
      <c r="AM61" s="1191" t="n"/>
      <c r="AN61" s="1191" t="n"/>
      <c r="AO61" s="1191" t="inlineStr"/>
      <c r="AP61" s="1191" t="inlineStr"/>
      <c r="AQ61" s="716" t="n"/>
      <c r="AR61" s="716" t="n"/>
      <c r="AS61" s="716" t="n"/>
      <c r="AT61" s="716" t="n"/>
      <c r="AU61" s="716" t="n"/>
    </row>
    <row r="62" ht="16.5" customFormat="1" customHeight="1" s="716">
      <c r="A62" s="716" t="n"/>
      <c r="B62" s="716" t="n"/>
      <c r="C62" s="716" t="n"/>
      <c r="D62" s="716" t="n"/>
      <c r="E62" s="716" t="n"/>
      <c r="F62" s="716" t="n"/>
      <c r="G62" s="716" t="n"/>
      <c r="H62" s="716" t="n"/>
      <c r="I62" s="716" t="n"/>
      <c r="J62" s="716" t="n"/>
      <c r="K62" s="716" t="n"/>
      <c r="L62" s="716" t="n"/>
      <c r="M62" s="716" t="n"/>
      <c r="N62" s="716" t="n"/>
      <c r="O62" s="716" t="n"/>
      <c r="P62" s="716" t="n"/>
      <c r="Q62" s="716" t="n"/>
      <c r="R62" s="716" t="n"/>
      <c r="S62" s="462">
        <f>IF(_epmOfflineCondition_,"               库存商品（产成品）",EPMMemberDesc(V62))</f>
        <v/>
      </c>
      <c r="T62" s="716" t="n"/>
      <c r="U62" s="384" t="inlineStr">
        <is>
          <t>A00101011303</t>
        </is>
      </c>
      <c r="V62" s="635">
        <f>IF(_epmOfflineCondition_,"A00101011303",EPMOlapMemberO(U62,"[C_ACCOUNT].[PARENTH1].[A00101011303]","A00101011303 -                库存商品（产成品）","","000"))</f>
        <v/>
      </c>
      <c r="W62" s="462" t="n"/>
      <c r="X62" s="645" t="inlineStr">
        <is>
          <t xml:space="preserve">               库存商品（产成品）</t>
        </is>
      </c>
      <c r="Y62" s="1185">
        <f>ROW()-48</f>
        <v/>
      </c>
      <c r="Z62" s="1189" t="n"/>
      <c r="AA62" s="1189" t="n"/>
      <c r="AB62" s="1190" t="n"/>
      <c r="AC62" s="1189" t="n"/>
      <c r="AD62" s="1189" t="n"/>
      <c r="AE62" s="1187" t="n"/>
      <c r="AF62" s="1188" t="n"/>
      <c r="AG62" s="1188">
        <f>IF(_epmOfflineCondition_,"      其中：应付工资",EPMMemberDesc(AI62))</f>
        <v/>
      </c>
      <c r="AH62" s="390" t="inlineStr">
        <is>
          <t>A00102011301</t>
        </is>
      </c>
      <c r="AI62" s="637">
        <f>IF(_epmOfflineCondition_,"A00102011301",EPMOlapMemberO(AH62,"[C_ACCOUNT].[PARENTH1].[A00102011301]","A00102011301 -       其中：应付工资","","001"))</f>
        <v/>
      </c>
      <c r="AJ62" s="1047" t="inlineStr">
        <is>
          <t>其中：应付工资</t>
        </is>
      </c>
      <c r="AK62" s="649">
        <f>ROW()-2</f>
        <v/>
      </c>
      <c r="AL62" s="1191" t="inlineStr"/>
      <c r="AM62" s="1191" t="n"/>
      <c r="AN62" s="1191" t="n"/>
      <c r="AO62" s="1191" t="inlineStr"/>
      <c r="AP62" s="1191" t="n"/>
      <c r="AQ62" s="716" t="n"/>
      <c r="AR62" s="716" t="n"/>
      <c r="AS62" s="716" t="n"/>
      <c r="AT62" s="716" t="n"/>
      <c r="AU62" s="716" t="n"/>
    </row>
    <row r="63" ht="16.5" customFormat="1" customHeight="1" s="716">
      <c r="A63" s="716" t="n"/>
      <c r="B63" s="716" t="n"/>
      <c r="C63" s="716" t="n"/>
      <c r="D63" s="716" t="n"/>
      <c r="E63" s="716" t="n"/>
      <c r="F63" s="716" t="n"/>
      <c r="G63" s="716" t="n"/>
      <c r="H63" s="716" t="n"/>
      <c r="I63" s="716" t="n"/>
      <c r="J63" s="716" t="n"/>
      <c r="K63" s="716" t="n"/>
      <c r="L63" s="716" t="n"/>
      <c r="M63" s="716" t="n"/>
      <c r="N63" s="716" t="n"/>
      <c r="O63" s="716" t="n"/>
      <c r="P63" s="716" t="n"/>
      <c r="Q63" s="716" t="n"/>
      <c r="R63" s="716" t="n"/>
      <c r="S63" s="462">
        <f>IF(_epmOfflineCondition_,"  合同资产",EPMMemberDesc(V63))</f>
        <v/>
      </c>
      <c r="T63" s="716" t="n"/>
      <c r="U63" s="384" t="inlineStr">
        <is>
          <t>A001010114</t>
        </is>
      </c>
      <c r="V63" s="459">
        <f>IF(_epmOfflineCondition_,"A001010114",EPMOlapMemberO(U63,"[C_ACCOUNT].[PARENTH1].[A001010114]","A001010114 -   合同资产","","000"))</f>
        <v/>
      </c>
      <c r="W63" s="462" t="n"/>
      <c r="X63" s="705" t="inlineStr">
        <is>
          <t>合同资产</t>
        </is>
      </c>
      <c r="Y63" s="1185">
        <f>ROW()-48</f>
        <v/>
      </c>
      <c r="Z63" s="1189" t="n"/>
      <c r="AA63" s="1189" t="n"/>
      <c r="AB63" s="1190" t="n"/>
      <c r="AC63" s="1189" t="n"/>
      <c r="AD63" s="1189" t="n"/>
      <c r="AE63" s="1187" t="n"/>
      <c r="AF63" s="1188" t="n"/>
      <c r="AG63" s="1188">
        <f>IF(_epmOfflineCondition_,"                 应付福利费",EPMMemberDesc(AI63))</f>
        <v/>
      </c>
      <c r="AH63" s="390" t="inlineStr">
        <is>
          <t>A00102011302</t>
        </is>
      </c>
      <c r="AI63" s="637">
        <f>IF(_epmOfflineCondition_,"A00102011302",EPMOlapMemberO(AH63,"[C_ACCOUNT].[PARENTH1].[A00102011302]","A00102011302 -                  应付福利费","","001"))</f>
        <v/>
      </c>
      <c r="AJ63" s="1048" t="inlineStr">
        <is>
          <t xml:space="preserve"> 应付福利费</t>
        </is>
      </c>
      <c r="AK63" s="649">
        <f>ROW()-2</f>
        <v/>
      </c>
      <c r="AL63" s="1191" t="inlineStr"/>
      <c r="AM63" s="1191" t="n"/>
      <c r="AN63" s="1191" t="n"/>
      <c r="AO63" s="1191" t="inlineStr"/>
      <c r="AP63" s="1191" t="n"/>
      <c r="AQ63" s="716" t="n"/>
      <c r="AR63" s="716" t="n"/>
      <c r="AS63" s="716" t="n"/>
      <c r="AT63" s="716" t="n"/>
      <c r="AU63" s="716" t="n"/>
    </row>
    <row r="64" ht="16.5" customFormat="1" customHeight="1" s="716">
      <c r="A64" s="716" t="n"/>
      <c r="B64" s="716" t="n"/>
      <c r="C64" s="716" t="n"/>
      <c r="D64" s="716" t="n"/>
      <c r="E64" s="716" t="n"/>
      <c r="F64" s="716" t="n"/>
      <c r="G64" s="716" t="n"/>
      <c r="H64" s="716" t="n"/>
      <c r="I64" s="716" t="n"/>
      <c r="J64" s="716" t="n"/>
      <c r="K64" s="716" t="n"/>
      <c r="L64" s="716" t="n"/>
      <c r="M64" s="716" t="n"/>
      <c r="N64" s="716" t="n"/>
      <c r="O64" s="716" t="n"/>
      <c r="P64" s="716" t="n"/>
      <c r="Q64" s="716" t="n"/>
      <c r="R64" s="716" t="n"/>
      <c r="S64" s="462">
        <f>IF(_epmOfflineCondition_,"  持有待售资产",EPMMemberDesc(V64))</f>
        <v/>
      </c>
      <c r="T64" s="716" t="n"/>
      <c r="U64" s="384" t="inlineStr">
        <is>
          <t>A001010115</t>
        </is>
      </c>
      <c r="V64" s="459">
        <f>IF(_epmOfflineCondition_,"A001010115",EPMOlapMemberO(U64,"[C_ACCOUNT].[PARENTH1].[A001010115]","A001010115 -   持有待售资产","","000"))</f>
        <v/>
      </c>
      <c r="W64" s="462" t="n"/>
      <c r="X64" s="705" t="inlineStr">
        <is>
          <t>持有待售资产</t>
        </is>
      </c>
      <c r="Y64" s="1185">
        <f>ROW()-48</f>
        <v/>
      </c>
      <c r="Z64" s="1189" t="n"/>
      <c r="AA64" s="1189" t="n"/>
      <c r="AB64" s="1190" t="n"/>
      <c r="AC64" s="1189" t="n"/>
      <c r="AD64" s="1189" t="n"/>
      <c r="AE64" s="1187" t="n"/>
      <c r="AF64" s="1188" t="n"/>
      <c r="AG64" s="1188">
        <f>IF(_epmOfflineCondition_,"　应交税费",EPMMemberDesc(AI64))</f>
        <v/>
      </c>
      <c r="AH64" s="390" t="inlineStr">
        <is>
          <t>A001020114</t>
        </is>
      </c>
      <c r="AI64" s="635">
        <f>IF(_epmOfflineCondition_,"A001020114",EPMOlapMemberO(AH64,"[C_ACCOUNT].[PARENTH1].[A001020114]","A001020114 - 　应交税费","","001"))</f>
        <v/>
      </c>
      <c r="AJ64" s="705" t="inlineStr">
        <is>
          <t>应交税费</t>
        </is>
      </c>
      <c r="AK64" s="649">
        <f>ROW()-2</f>
        <v/>
      </c>
      <c r="AL64" s="1191" t="inlineStr"/>
      <c r="AM64" s="1191" t="inlineStr"/>
      <c r="AN64" s="1191" t="inlineStr"/>
      <c r="AO64" s="1191" t="inlineStr"/>
      <c r="AP64" s="1191" t="inlineStr"/>
      <c r="AQ64" s="716" t="n"/>
      <c r="AR64" s="716" t="n"/>
      <c r="AS64" s="716" t="n"/>
      <c r="AT64" s="716" t="n"/>
      <c r="AU64" s="716" t="n"/>
    </row>
    <row r="65" ht="16.5" customFormat="1" customHeight="1" s="716">
      <c r="A65" s="716" t="n"/>
      <c r="B65" s="716" t="n"/>
      <c r="C65" s="716" t="n"/>
      <c r="D65" s="716" t="n"/>
      <c r="E65" s="716" t="n"/>
      <c r="F65" s="716" t="n"/>
      <c r="G65" s="716" t="n"/>
      <c r="H65" s="716" t="n"/>
      <c r="I65" s="716" t="n"/>
      <c r="J65" s="716" t="n"/>
      <c r="K65" s="716" t="n"/>
      <c r="L65" s="716" t="n"/>
      <c r="M65" s="716" t="n"/>
      <c r="N65" s="716" t="n"/>
      <c r="O65" s="716" t="n"/>
      <c r="P65" s="716" t="n"/>
      <c r="Q65" s="716" t="n"/>
      <c r="R65" s="716" t="n"/>
      <c r="S65" s="462">
        <f>IF(_epmOfflineCondition_,"  一年内到期的非流动资产",EPMMemberDesc(V65))</f>
        <v/>
      </c>
      <c r="T65" s="716" t="n"/>
      <c r="U65" s="384" t="inlineStr">
        <is>
          <t>A001010116</t>
        </is>
      </c>
      <c r="V65" s="459">
        <f>IF(_epmOfflineCondition_,"A001010116",EPMOlapMemberO(U65,"[C_ACCOUNT].[PARENTH1].[A001010116]","A001010116 -   一年内到期的非流动资产","","000"))</f>
        <v/>
      </c>
      <c r="W65" s="462" t="n"/>
      <c r="X65" s="705" t="inlineStr">
        <is>
          <t>一年内到期的非流动资产</t>
        </is>
      </c>
      <c r="Y65" s="1185">
        <f>ROW()-48</f>
        <v/>
      </c>
      <c r="Z65" s="1189" t="n"/>
      <c r="AA65" s="1189" t="n"/>
      <c r="AB65" s="1190" t="n"/>
      <c r="AC65" s="1189" t="n"/>
      <c r="AD65" s="1189" t="n"/>
      <c r="AE65" s="1187" t="n"/>
      <c r="AF65" s="1188" t="n"/>
      <c r="AG65" s="1188">
        <f>IF(_epmOfflineCondition_,"      其中：应交税金",EPMMemberDesc(AI65))</f>
        <v/>
      </c>
      <c r="AH65" s="390" t="inlineStr">
        <is>
          <t>A00102011401</t>
        </is>
      </c>
      <c r="AI65" s="637">
        <f>IF(_epmOfflineCondition_,"A00102011401",EPMOlapMemberO(AH65,"[C_ACCOUNT].[PARENTH1].[A00102011401]","A00102011401 -       其中：应交税金","","001"))</f>
        <v/>
      </c>
      <c r="AJ65" s="1047" t="inlineStr">
        <is>
          <t>其中：应交税金</t>
        </is>
      </c>
      <c r="AK65" s="649">
        <f>ROW()-2</f>
        <v/>
      </c>
      <c r="AL65" s="1191" t="inlineStr"/>
      <c r="AM65" s="1191" t="inlineStr"/>
      <c r="AN65" s="1191" t="inlineStr"/>
      <c r="AO65" s="1191" t="inlineStr"/>
      <c r="AP65" s="1191" t="inlineStr"/>
      <c r="AQ65" s="716" t="n"/>
      <c r="AR65" s="716" t="n"/>
      <c r="AS65" s="716" t="n"/>
      <c r="AT65" s="716" t="n"/>
      <c r="AU65" s="716" t="n"/>
    </row>
    <row r="66" ht="16.5" customFormat="1" customHeight="1" s="716">
      <c r="A66" s="716" t="n"/>
      <c r="B66" s="716" t="n"/>
      <c r="C66" s="716" t="n"/>
      <c r="D66" s="716" t="n"/>
      <c r="E66" s="716" t="n"/>
      <c r="F66" s="716" t="n"/>
      <c r="G66" s="716" t="n"/>
      <c r="H66" s="716" t="n"/>
      <c r="I66" s="716" t="n"/>
      <c r="J66" s="716" t="n"/>
      <c r="K66" s="716" t="n"/>
      <c r="L66" s="716" t="n"/>
      <c r="M66" s="716" t="n"/>
      <c r="N66" s="716" t="n"/>
      <c r="O66" s="716" t="n"/>
      <c r="P66" s="716" t="n"/>
      <c r="Q66" s="716" t="n"/>
      <c r="R66" s="716" t="n"/>
      <c r="S66" s="462">
        <f>IF(_epmOfflineCondition_,"　其他流动资产",EPMMemberDesc(V66))</f>
        <v/>
      </c>
      <c r="T66" s="716" t="n"/>
      <c r="U66" s="384" t="inlineStr">
        <is>
          <t>A001010117</t>
        </is>
      </c>
      <c r="V66" s="459">
        <f>IF(_epmOfflineCondition_,"A001010117",EPMOlapMemberO(U66,"[C_ACCOUNT].[PARENTH1].[A001010117]","A001010117 - 　其他流动资产","","000"))</f>
        <v/>
      </c>
      <c r="W66" s="462" t="n"/>
      <c r="X66" s="705" t="inlineStr">
        <is>
          <t>其他流动资产</t>
        </is>
      </c>
      <c r="Y66" s="1185">
        <f>ROW()-48</f>
        <v/>
      </c>
      <c r="Z66" s="1189" t="n"/>
      <c r="AA66" s="1189" t="inlineStr"/>
      <c r="AB66" s="1190" t="inlineStr"/>
      <c r="AC66" s="1189" t="inlineStr"/>
      <c r="AD66" s="1189" t="inlineStr"/>
      <c r="AE66" s="1187" t="n"/>
      <c r="AF66" s="1188" t="n"/>
      <c r="AG66" s="1188">
        <f>IF(_epmOfflineCondition_,"    应付利息",EPMMemberDesc(AI66))</f>
        <v/>
      </c>
      <c r="AH66" s="390" t="inlineStr">
        <is>
          <t>A001020115</t>
        </is>
      </c>
      <c r="AI66" s="635">
        <f>IF(_epmOfflineCondition_,"A001020115",EPMOlapMemberO(AH66,"[C_ACCOUNT].[PARENTH1].[A001020115]","A001020115 -     应付利息","","001"))</f>
        <v/>
      </c>
      <c r="AJ66" s="705" t="inlineStr">
        <is>
          <t xml:space="preserve"> 应付利息</t>
        </is>
      </c>
      <c r="AK66" s="649">
        <f>ROW()-2</f>
        <v/>
      </c>
      <c r="AL66" s="1191" t="n"/>
      <c r="AM66" s="1191" t="n"/>
      <c r="AN66" s="1191" t="n"/>
      <c r="AO66" s="1191" t="n"/>
      <c r="AP66" s="1191" t="n"/>
      <c r="AQ66" s="716" t="n"/>
      <c r="AR66" s="716" t="n"/>
      <c r="AS66" s="716" t="n"/>
      <c r="AT66" s="716" t="n"/>
      <c r="AU66" s="716" t="n"/>
    </row>
    <row r="67" ht="16.5" customFormat="1" customHeight="1" s="716">
      <c r="A67" s="716" t="n"/>
      <c r="B67" s="716" t="n"/>
      <c r="C67" s="716" t="n"/>
      <c r="D67" s="716" t="n"/>
      <c r="E67" s="716" t="n"/>
      <c r="F67" s="716" t="n"/>
      <c r="G67" s="716" t="n"/>
      <c r="H67" s="716" t="n"/>
      <c r="I67" s="716" t="n"/>
      <c r="J67" s="716" t="n"/>
      <c r="K67" s="716" t="n"/>
      <c r="L67" s="716" t="n"/>
      <c r="M67" s="716" t="n"/>
      <c r="N67" s="716" t="n"/>
      <c r="O67" s="716" t="n"/>
      <c r="P67" s="716" t="n"/>
      <c r="Q67" s="716" t="n"/>
      <c r="R67" s="716" t="n"/>
      <c r="S67" s="462">
        <f>IF(_epmOfflineCondition_,"　       流动资产合计",EPMMemberDesc(V67))</f>
        <v/>
      </c>
      <c r="T67" s="716" t="n"/>
      <c r="U67" s="384" t="inlineStr">
        <is>
          <t>A0010101</t>
        </is>
      </c>
      <c r="V67" s="535">
        <f>IF(_epmOfflineCondition_,"A0010101",EPMOlapMemberO(U67,"[C_ACCOUNT].[PARENTH1].[A0010101]","A0010101 - 　       流动资产合计","","000"))</f>
        <v/>
      </c>
      <c r="W67" s="462" t="n"/>
      <c r="X67" s="852" t="inlineStr">
        <is>
          <t xml:space="preserve">　       流动资产合计</t>
        </is>
      </c>
      <c r="Y67" s="1185">
        <f>ROW()-48</f>
        <v/>
      </c>
      <c r="Z67" s="1189" t="inlineStr"/>
      <c r="AA67" s="1189" t="inlineStr"/>
      <c r="AB67" s="1190" t="inlineStr"/>
      <c r="AC67" s="1189" t="inlineStr"/>
      <c r="AD67" s="1189" t="inlineStr"/>
      <c r="AE67" s="1187" t="n"/>
      <c r="AF67" s="1188" t="n"/>
      <c r="AG67" s="1188">
        <f>IF(_epmOfflineCondition_,"    应付股利",EPMMemberDesc(AI67))</f>
        <v/>
      </c>
      <c r="AH67" s="390" t="inlineStr">
        <is>
          <t>A001020116</t>
        </is>
      </c>
      <c r="AI67" s="635">
        <f>IF(_epmOfflineCondition_,"A001020116",EPMOlapMemberO(AH67,"[C_ACCOUNT].[PARENTH1].[A001020116]","A001020116 -     应付股利","","001"))</f>
        <v/>
      </c>
      <c r="AJ67" s="705" t="inlineStr">
        <is>
          <t xml:space="preserve"> 应付股利</t>
        </is>
      </c>
      <c r="AK67" s="649">
        <f>ROW()-2</f>
        <v/>
      </c>
      <c r="AL67" s="1191" t="n"/>
      <c r="AM67" s="1191" t="n"/>
      <c r="AN67" s="1191" t="n"/>
      <c r="AO67" s="1191" t="n"/>
      <c r="AP67" s="1191" t="n"/>
      <c r="AQ67" s="716" t="n"/>
      <c r="AR67" s="716" t="n"/>
      <c r="AS67" s="716" t="n"/>
      <c r="AT67" s="716" t="n"/>
      <c r="AU67" s="716" t="n"/>
    </row>
    <row r="68" ht="16.5" customFormat="1" customHeight="1" s="716">
      <c r="A68" s="716" t="n"/>
      <c r="B68" s="716" t="n"/>
      <c r="C68" s="716" t="n"/>
      <c r="D68" s="716" t="n"/>
      <c r="E68" s="716" t="n"/>
      <c r="F68" s="716" t="n"/>
      <c r="G68" s="716" t="n"/>
      <c r="H68" s="716" t="n"/>
      <c r="I68" s="716" t="n"/>
      <c r="J68" s="716" t="n"/>
      <c r="K68" s="716" t="n"/>
      <c r="L68" s="716" t="n"/>
      <c r="M68" s="716" t="n"/>
      <c r="N68" s="716" t="n"/>
      <c r="O68" s="716" t="n"/>
      <c r="P68" s="716" t="n"/>
      <c r="Q68" s="716" t="n"/>
      <c r="R68" s="716" t="n"/>
      <c r="S68" s="462">
        <f>IF(_epmOfflineCondition_,"非流动资产：",EPMMemberDesc(V68))</f>
        <v/>
      </c>
      <c r="T68" s="716" t="n"/>
      <c r="U68" s="384" t="inlineStr">
        <is>
          <t>A0010299</t>
        </is>
      </c>
      <c r="V68" s="462">
        <f>IF(_epmOfflineCondition_,"A0010299",EPMOlapMemberO(U68,"[C_ACCOUNT].[PARENTH1].[A0010299]","A0010299 - 非流动资产：","","000"))</f>
        <v/>
      </c>
      <c r="W68" s="462" t="n"/>
      <c r="X68" s="1045" t="inlineStr">
        <is>
          <t>非流动资产：</t>
        </is>
      </c>
      <c r="Y68" s="1185" t="inlineStr">
        <is>
          <t>-</t>
        </is>
      </c>
      <c r="Z68" s="1186">
        <f>"— —"</f>
        <v/>
      </c>
      <c r="AA68" s="1186">
        <f>"— —"</f>
        <v/>
      </c>
      <c r="AB68" s="1186">
        <f>"— —"</f>
        <v/>
      </c>
      <c r="AC68" s="1186">
        <f>"— —"</f>
        <v/>
      </c>
      <c r="AD68" s="1186">
        <f>"— —"</f>
        <v/>
      </c>
      <c r="AE68" s="1187" t="n"/>
      <c r="AF68" s="1188" t="n"/>
      <c r="AG68" s="1188">
        <f>IF(_epmOfflineCondition_,"    其他应付款",EPMMemberDesc(AI68))</f>
        <v/>
      </c>
      <c r="AH68" s="390" t="inlineStr">
        <is>
          <t>A001020117</t>
        </is>
      </c>
      <c r="AI68" s="635">
        <f>IF(_epmOfflineCondition_,"A001020117",EPMOlapMemberO(AH68,"[C_ACCOUNT].[PARENTH1].[A001020117]","A001020117 -     其他应付款","","001"))</f>
        <v/>
      </c>
      <c r="AJ68" s="705" t="inlineStr">
        <is>
          <t>其他应付款</t>
        </is>
      </c>
      <c r="AK68" s="649">
        <f>ROW()-2</f>
        <v/>
      </c>
      <c r="AL68" s="1191" t="inlineStr"/>
      <c r="AM68" s="1191" t="n"/>
      <c r="AN68" s="1191" t="n"/>
      <c r="AO68" s="1191" t="inlineStr"/>
      <c r="AP68" s="1191" t="n"/>
      <c r="AQ68" s="716" t="n"/>
      <c r="AR68" s="716" t="n"/>
      <c r="AS68" s="716" t="n"/>
      <c r="AT68" s="716" t="n"/>
      <c r="AU68" s="716" t="n"/>
    </row>
    <row r="69" ht="16.5" customFormat="1" customHeight="1" s="716">
      <c r="A69" s="716" t="n"/>
      <c r="B69" s="716" t="n"/>
      <c r="C69" s="716" t="n"/>
      <c r="D69" s="716" t="n"/>
      <c r="E69" s="716" t="n"/>
      <c r="F69" s="716" t="n"/>
      <c r="G69" s="716" t="n"/>
      <c r="H69" s="716" t="n"/>
      <c r="I69" s="716" t="n"/>
      <c r="J69" s="716" t="n"/>
      <c r="K69" s="716" t="n"/>
      <c r="L69" s="716" t="n"/>
      <c r="M69" s="716" t="n"/>
      <c r="N69" s="716" t="n"/>
      <c r="O69" s="716" t="n"/>
      <c r="P69" s="716" t="n"/>
      <c r="Q69" s="716" t="n"/>
      <c r="R69" s="716" t="n"/>
      <c r="S69" s="462">
        <f>IF(_epmOfflineCondition_,"  # 发放贷款及垫款",EPMMemberDesc(V69))</f>
        <v/>
      </c>
      <c r="T69" s="716" t="n"/>
      <c r="U69" s="384" t="inlineStr">
        <is>
          <t>A001010201</t>
        </is>
      </c>
      <c r="V69" s="459">
        <f>IF(_epmOfflineCondition_,"A001010201",EPMOlapMemberO(U69,"[C_ACCOUNT].[PARENTH1].[A001010201]","A001010201 -   # 发放贷款及垫款","","000"))</f>
        <v/>
      </c>
      <c r="W69" s="462" t="n"/>
      <c r="X69" s="1046" t="inlineStr">
        <is>
          <t xml:space="preserve">      △发放贷款及垫款</t>
        </is>
      </c>
      <c r="Y69" s="1185">
        <f>ROW()-49</f>
        <v/>
      </c>
      <c r="Z69" s="1189" t="n"/>
      <c r="AA69" s="1189" t="n"/>
      <c r="AB69" s="1190" t="n"/>
      <c r="AC69" s="1189" t="n"/>
      <c r="AD69" s="1189" t="n"/>
      <c r="AE69" s="1187" t="n"/>
      <c r="AF69" s="1188" t="n"/>
      <c r="AG69" s="1188">
        <f>IF(_epmOfflineCondition_,"   # 代理买卖证券款",EPMMemberDesc(AI69))</f>
        <v/>
      </c>
      <c r="AH69" s="390" t="inlineStr">
        <is>
          <t>A001020118</t>
        </is>
      </c>
      <c r="AI69" s="635">
        <f>IF(_epmOfflineCondition_,"A001020118",EPMOlapMemberO(AH69,"[C_ACCOUNT].[PARENTH1].[A001020118]","A001020118 -    # 代理买卖证券款","","001"))</f>
        <v/>
      </c>
      <c r="AJ69" s="1046" t="inlineStr">
        <is>
          <t xml:space="preserve">  △代理买卖证券款</t>
        </is>
      </c>
      <c r="AK69" s="649">
        <f>ROW()-2</f>
        <v/>
      </c>
      <c r="AL69" s="1191" t="n"/>
      <c r="AM69" s="1191" t="n"/>
      <c r="AN69" s="1191" t="n"/>
      <c r="AO69" s="1191" t="n"/>
      <c r="AP69" s="1191" t="n"/>
      <c r="AQ69" s="716" t="n"/>
      <c r="AR69" s="716" t="n"/>
      <c r="AS69" s="716" t="n"/>
      <c r="AT69" s="716" t="n"/>
      <c r="AU69" s="716" t="n"/>
    </row>
    <row r="70" ht="16.5" customFormat="1" customHeight="1" s="716">
      <c r="A70" s="716" t="n"/>
      <c r="B70" s="716" t="n"/>
      <c r="C70" s="716" t="n"/>
      <c r="D70" s="716" t="n"/>
      <c r="E70" s="716" t="n"/>
      <c r="F70" s="716" t="n"/>
      <c r="G70" s="716" t="n"/>
      <c r="H70" s="716" t="n"/>
      <c r="I70" s="716" t="n"/>
      <c r="J70" s="716" t="n"/>
      <c r="K70" s="716" t="n"/>
      <c r="L70" s="716" t="n"/>
      <c r="M70" s="716" t="n"/>
      <c r="N70" s="716" t="n"/>
      <c r="O70" s="716" t="n"/>
      <c r="P70" s="716" t="n"/>
      <c r="Q70" s="716" t="n"/>
      <c r="R70" s="716" t="n"/>
      <c r="S70" s="462">
        <f>IF(_epmOfflineCondition_,"  其他债权投资",EPMMemberDesc(V70))</f>
        <v/>
      </c>
      <c r="T70" s="716" t="n"/>
      <c r="U70" s="384" t="inlineStr">
        <is>
          <t>A001010202</t>
        </is>
      </c>
      <c r="V70" s="459">
        <f>IF(_epmOfflineCondition_,"A001010202",EPMOlapMemberO(U70,"[C_ACCOUNT].[PARENTH1].[A001010202]","A001010202 -   其他债权投资","","000"))</f>
        <v/>
      </c>
      <c r="W70" s="462" t="n"/>
      <c r="X70" s="705" t="inlineStr">
        <is>
          <t xml:space="preserve">    其他债权投资</t>
        </is>
      </c>
      <c r="Y70" s="1185">
        <f>ROW()-49</f>
        <v/>
      </c>
      <c r="Z70" s="1189" t="n"/>
      <c r="AA70" s="1189" t="n"/>
      <c r="AB70" s="1190" t="n"/>
      <c r="AC70" s="1189" t="n"/>
      <c r="AD70" s="1189" t="n"/>
      <c r="AE70" s="1187" t="n"/>
      <c r="AF70" s="1188" t="n"/>
      <c r="AG70" s="1188">
        <f>IF(_epmOfflineCondition_,"   # 代理承销证券款",EPMMemberDesc(AI70))</f>
        <v/>
      </c>
      <c r="AH70" s="390" t="inlineStr">
        <is>
          <t>A001020119</t>
        </is>
      </c>
      <c r="AI70" s="635">
        <f>IF(_epmOfflineCondition_,"A001020119",EPMOlapMemberO(AH70,"[C_ACCOUNT].[PARENTH1].[A001020119]","A001020119 -    # 代理承销证券款","","001"))</f>
        <v/>
      </c>
      <c r="AJ70" s="1046" t="inlineStr">
        <is>
          <t xml:space="preserve">  △代理承销证券款</t>
        </is>
      </c>
      <c r="AK70" s="649">
        <f>ROW()-2</f>
        <v/>
      </c>
      <c r="AL70" s="1191" t="n"/>
      <c r="AM70" s="1191" t="n"/>
      <c r="AN70" s="1191" t="n"/>
      <c r="AO70" s="1191" t="n"/>
      <c r="AP70" s="1191" t="n"/>
      <c r="AQ70" s="716" t="n"/>
      <c r="AR70" s="716" t="n"/>
      <c r="AS70" s="716" t="n"/>
      <c r="AT70" s="716" t="n"/>
      <c r="AU70" s="716" t="n"/>
    </row>
    <row r="71" ht="16.5" customFormat="1" customHeight="1" s="716">
      <c r="A71" s="716" t="n"/>
      <c r="B71" s="716" t="n"/>
      <c r="C71" s="716" t="n"/>
      <c r="D71" s="716" t="n"/>
      <c r="E71" s="716" t="n"/>
      <c r="F71" s="716" t="n"/>
      <c r="G71" s="716" t="n"/>
      <c r="H71" s="716" t="n"/>
      <c r="I71" s="716" t="n"/>
      <c r="J71" s="716" t="n"/>
      <c r="K71" s="716" t="n"/>
      <c r="L71" s="716" t="n"/>
      <c r="M71" s="716" t="n"/>
      <c r="N71" s="716" t="n"/>
      <c r="O71" s="716" t="n"/>
      <c r="P71" s="716" t="n"/>
      <c r="Q71" s="716" t="n"/>
      <c r="R71" s="716" t="n"/>
      <c r="S71" s="462">
        <f>IF(_epmOfflineCondition_,"  债权投资",EPMMemberDesc(V71))</f>
        <v/>
      </c>
      <c r="T71" s="716" t="n"/>
      <c r="U71" s="384" t="inlineStr">
        <is>
          <t>A001010203</t>
        </is>
      </c>
      <c r="V71" s="459">
        <f>IF(_epmOfflineCondition_,"A001010203",EPMOlapMemberO(U71,"[C_ACCOUNT].[PARENTH1].[A001010203]","A001010203 -   债权投资","","000"))</f>
        <v/>
      </c>
      <c r="W71" s="462" t="n"/>
      <c r="X71" s="705" t="inlineStr">
        <is>
          <t xml:space="preserve">    债权投资</t>
        </is>
      </c>
      <c r="Y71" s="1185">
        <f>ROW()-49</f>
        <v/>
      </c>
      <c r="Z71" s="1189" t="n"/>
      <c r="AA71" s="1189" t="n"/>
      <c r="AB71" s="1190" t="n"/>
      <c r="AC71" s="1189" t="n"/>
      <c r="AD71" s="1189" t="n"/>
      <c r="AE71" s="1187" t="n"/>
      <c r="AF71" s="1188" t="n"/>
      <c r="AG71" s="1188">
        <f>IF(_epmOfflineCondition_,"    持有待售负债",EPMMemberDesc(AI71))</f>
        <v/>
      </c>
      <c r="AH71" s="390" t="inlineStr">
        <is>
          <t>A001020120</t>
        </is>
      </c>
      <c r="AI71" s="635">
        <f>IF(_epmOfflineCondition_,"A001020120",EPMOlapMemberO(AH71,"[C_ACCOUNT].[PARENTH1].[A001020120]","A001020120 -     持有待售负债","","001"))</f>
        <v/>
      </c>
      <c r="AJ71" s="705" t="inlineStr">
        <is>
          <t>持有待售负债</t>
        </is>
      </c>
      <c r="AK71" s="649">
        <f>ROW()-2</f>
        <v/>
      </c>
      <c r="AL71" s="1191" t="n"/>
      <c r="AM71" s="1191" t="n"/>
      <c r="AN71" s="1191" t="n"/>
      <c r="AO71" s="1191" t="n"/>
      <c r="AP71" s="1191" t="n"/>
      <c r="AQ71" s="716" t="n"/>
      <c r="AR71" s="716" t="n"/>
      <c r="AS71" s="716" t="n"/>
      <c r="AT71" s="716" t="n"/>
      <c r="AU71" s="716" t="n"/>
    </row>
    <row r="72" ht="16.5" customFormat="1" customHeight="1" s="716">
      <c r="A72" s="716" t="n"/>
      <c r="B72" s="716" t="n"/>
      <c r="C72" s="716" t="n"/>
      <c r="D72" s="716" t="n"/>
      <c r="E72" s="716" t="n"/>
      <c r="F72" s="716" t="n"/>
      <c r="G72" s="716" t="n"/>
      <c r="H72" s="716" t="n"/>
      <c r="I72" s="716" t="n"/>
      <c r="J72" s="716" t="n"/>
      <c r="K72" s="716" t="n"/>
      <c r="L72" s="716" t="n"/>
      <c r="M72" s="716" t="n"/>
      <c r="N72" s="716" t="n"/>
      <c r="O72" s="716" t="n"/>
      <c r="P72" s="716" t="n"/>
      <c r="Q72" s="716" t="n"/>
      <c r="R72" s="716" t="n"/>
      <c r="S72" s="462">
        <f>IF(_epmOfflineCondition_,"  长期应收款",EPMMemberDesc(V72))</f>
        <v/>
      </c>
      <c r="T72" s="716" t="n"/>
      <c r="U72" s="384" t="inlineStr">
        <is>
          <t>A001010204</t>
        </is>
      </c>
      <c r="V72" s="459">
        <f>IF(_epmOfflineCondition_,"A001010204",EPMOlapMemberO(U72,"[C_ACCOUNT].[PARENTH1].[A001010204]","A001010204 -   长期应收款","","000"))</f>
        <v/>
      </c>
      <c r="W72" s="462" t="n"/>
      <c r="X72" s="705" t="inlineStr">
        <is>
          <t xml:space="preserve">    长期应收款</t>
        </is>
      </c>
      <c r="Y72" s="1185">
        <f>ROW()-49</f>
        <v/>
      </c>
      <c r="Z72" s="1189" t="n"/>
      <c r="AA72" s="1189" t="n"/>
      <c r="AB72" s="1190" t="n"/>
      <c r="AC72" s="1189" t="n"/>
      <c r="AD72" s="1189" t="n"/>
      <c r="AE72" s="1187" t="n"/>
      <c r="AF72" s="1188" t="n"/>
      <c r="AG72" s="1188">
        <f>IF(_epmOfflineCondition_,"    一年内到期的非流动负债",EPMMemberDesc(AI72))</f>
        <v/>
      </c>
      <c r="AH72" s="390" t="inlineStr">
        <is>
          <t>A001020121</t>
        </is>
      </c>
      <c r="AI72" s="635">
        <f>IF(_epmOfflineCondition_,"A001020121",EPMOlapMemberO(AH72,"[C_ACCOUNT].[PARENTH1].[A001020121]","A001020121 -     一年内到期的非流动负债","","001"))</f>
        <v/>
      </c>
      <c r="AJ72" s="705" t="inlineStr">
        <is>
          <t>一年内到期的非流动负债</t>
        </is>
      </c>
      <c r="AK72" s="649">
        <f>ROW()-2</f>
        <v/>
      </c>
      <c r="AL72" s="1191" t="inlineStr"/>
      <c r="AM72" s="1191" t="inlineStr"/>
      <c r="AN72" s="1191" t="n"/>
      <c r="AO72" s="1191" t="inlineStr"/>
      <c r="AP72" s="1191" t="inlineStr"/>
      <c r="AQ72" s="716" t="n"/>
      <c r="AR72" s="716" t="n"/>
      <c r="AS72" s="716" t="n"/>
      <c r="AT72" s="716" t="n"/>
      <c r="AU72" s="716" t="n"/>
    </row>
    <row r="73" ht="16.5" customFormat="1" customHeight="1" s="716">
      <c r="A73" s="716" t="n"/>
      <c r="B73" s="716" t="n"/>
      <c r="C73" s="716" t="n"/>
      <c r="D73" s="716" t="n"/>
      <c r="E73" s="716" t="n"/>
      <c r="F73" s="716" t="n"/>
      <c r="G73" s="716" t="n"/>
      <c r="H73" s="716" t="n"/>
      <c r="I73" s="716" t="n"/>
      <c r="J73" s="716" t="n"/>
      <c r="K73" s="716" t="n"/>
      <c r="L73" s="716" t="n"/>
      <c r="M73" s="716" t="n"/>
      <c r="N73" s="716" t="n"/>
      <c r="O73" s="716" t="n"/>
      <c r="P73" s="716" t="n"/>
      <c r="Q73" s="716" t="n"/>
      <c r="R73" s="716" t="n"/>
      <c r="S73" s="462">
        <f>IF(_epmOfflineCondition_,"  长期股权投资",EPMMemberDesc(V73))</f>
        <v/>
      </c>
      <c r="T73" s="716" t="n"/>
      <c r="U73" s="384" t="inlineStr">
        <is>
          <t>A001010205</t>
        </is>
      </c>
      <c r="V73" s="459">
        <f>IF(_epmOfflineCondition_,"A001010205",EPMOlapMemberO(U73,"[C_ACCOUNT].[PARENTH1].[A001010205]","A001010205 -   长期股权投资","","000"))</f>
        <v/>
      </c>
      <c r="W73" s="462" t="n"/>
      <c r="X73" s="705" t="inlineStr">
        <is>
          <t xml:space="preserve">    长期股权投资</t>
        </is>
      </c>
      <c r="Y73" s="1185">
        <f>ROW()-49</f>
        <v/>
      </c>
      <c r="Z73" s="1189" t="n"/>
      <c r="AA73" s="1189" t="n"/>
      <c r="AB73" s="1190" t="n"/>
      <c r="AC73" s="1189" t="n"/>
      <c r="AD73" s="1189" t="n"/>
      <c r="AE73" s="1187" t="n"/>
      <c r="AF73" s="1188" t="n"/>
      <c r="AG73" s="1188">
        <f>IF(_epmOfflineCondition_,"   其他流动负债",EPMMemberDesc(AI73))</f>
        <v/>
      </c>
      <c r="AH73" s="390" t="inlineStr">
        <is>
          <t>A001020122</t>
        </is>
      </c>
      <c r="AI73" s="635">
        <f>IF(_epmOfflineCondition_,"A001020122",EPMOlapMemberO(AH73,"[C_ACCOUNT].[PARENTH1].[A001020122]","A001020122 -    其他流动负债","","001"))</f>
        <v/>
      </c>
      <c r="AJ73" s="705" t="inlineStr">
        <is>
          <t>其他流动负债</t>
        </is>
      </c>
      <c r="AK73" s="649">
        <f>ROW()-2</f>
        <v/>
      </c>
      <c r="AL73" s="1191" t="n"/>
      <c r="AM73" s="1191" t="n"/>
      <c r="AN73" s="1191" t="n"/>
      <c r="AO73" s="1191" t="n"/>
      <c r="AP73" s="1191" t="n"/>
      <c r="AQ73" s="716" t="n"/>
      <c r="AR73" s="716" t="n"/>
      <c r="AS73" s="716" t="n"/>
      <c r="AT73" s="716" t="n"/>
      <c r="AU73" s="716" t="n"/>
    </row>
    <row r="74" ht="16.5" customFormat="1" customHeight="1" s="716">
      <c r="A74" s="716" t="n"/>
      <c r="B74" s="716" t="n"/>
      <c r="C74" s="716" t="n"/>
      <c r="D74" s="716" t="n"/>
      <c r="E74" s="716" t="n"/>
      <c r="F74" s="716" t="n"/>
      <c r="G74" s="716" t="n"/>
      <c r="H74" s="716" t="n"/>
      <c r="I74" s="716" t="n"/>
      <c r="J74" s="716" t="n"/>
      <c r="K74" s="716" t="n"/>
      <c r="L74" s="716" t="n"/>
      <c r="M74" s="716" t="n"/>
      <c r="N74" s="716" t="n"/>
      <c r="O74" s="716" t="n"/>
      <c r="P74" s="716" t="n"/>
      <c r="Q74" s="716" t="n"/>
      <c r="R74" s="716" t="n"/>
      <c r="S74" s="462">
        <f>IF(_epmOfflineCondition_,"  其他权益工具投资",EPMMemberDesc(V74))</f>
        <v/>
      </c>
      <c r="T74" s="716" t="n"/>
      <c r="U74" s="384" t="inlineStr">
        <is>
          <t>A001010206</t>
        </is>
      </c>
      <c r="V74" s="459">
        <f>IF(_epmOfflineCondition_,"A001010206",EPMOlapMemberO(U74,"[C_ACCOUNT].[PARENTH1].[A001010206]","A001010206 -   其他权益工具投资","","000"))</f>
        <v/>
      </c>
      <c r="W74" s="462" t="n"/>
      <c r="X74" s="705" t="inlineStr">
        <is>
          <t xml:space="preserve">    其他权益工具投资</t>
        </is>
      </c>
      <c r="Y74" s="1185">
        <f>ROW()-49</f>
        <v/>
      </c>
      <c r="Z74" s="1189" t="n"/>
      <c r="AA74" s="1189" t="n"/>
      <c r="AB74" s="1190" t="n"/>
      <c r="AC74" s="1189" t="n"/>
      <c r="AD74" s="1189" t="n"/>
      <c r="AE74" s="1187" t="n"/>
      <c r="AF74" s="1188" t="n"/>
      <c r="AG74" s="1188">
        <f>IF(_epmOfflineCondition_,"　       流动负债合计",EPMMemberDesc(AI74))</f>
        <v/>
      </c>
      <c r="AH74" s="390" t="inlineStr">
        <is>
          <t>A0010201</t>
        </is>
      </c>
      <c r="AI74" s="459">
        <f>IF(_epmOfflineCondition_,"A0010201",EPMOlapMemberO(AH74,"[C_ACCOUNT].[PARENTH1].[A0010201]","A0010201 - 　       流动负债合计","","001"))</f>
        <v/>
      </c>
      <c r="AJ74" s="852" t="inlineStr">
        <is>
          <t>流动负债合计</t>
        </is>
      </c>
      <c r="AK74" s="649">
        <f>ROW()-2</f>
        <v/>
      </c>
      <c r="AL74" s="1191" t="inlineStr"/>
      <c r="AM74" s="1191" t="inlineStr"/>
      <c r="AN74" s="1191" t="inlineStr"/>
      <c r="AO74" s="1191" t="inlineStr"/>
      <c r="AP74" s="1191" t="inlineStr"/>
      <c r="AQ74" s="716" t="n"/>
      <c r="AR74" s="716" t="n"/>
      <c r="AS74" s="716" t="n"/>
      <c r="AT74" s="716" t="n"/>
      <c r="AU74" s="716" t="n"/>
    </row>
    <row r="75" ht="16.5" customFormat="1" customHeight="1" s="716">
      <c r="A75" s="716" t="n"/>
      <c r="B75" s="716" t="n"/>
      <c r="C75" s="716" t="n"/>
      <c r="D75" s="716" t="n"/>
      <c r="E75" s="716" t="n"/>
      <c r="F75" s="716" t="n"/>
      <c r="G75" s="716" t="n"/>
      <c r="H75" s="716" t="n"/>
      <c r="I75" s="716" t="n"/>
      <c r="J75" s="716" t="n"/>
      <c r="K75" s="716" t="n"/>
      <c r="L75" s="716" t="n"/>
      <c r="M75" s="716" t="n"/>
      <c r="N75" s="716" t="n"/>
      <c r="O75" s="716" t="n"/>
      <c r="P75" s="716" t="n"/>
      <c r="Q75" s="716" t="n"/>
      <c r="R75" s="716" t="n"/>
      <c r="S75" s="462">
        <f>IF(_epmOfflineCondition_,"  其他非流动金融资产",EPMMemberDesc(V75))</f>
        <v/>
      </c>
      <c r="T75" s="716" t="n"/>
      <c r="U75" s="384" t="inlineStr">
        <is>
          <t>A001010207</t>
        </is>
      </c>
      <c r="V75" s="635">
        <f>IF(_epmOfflineCondition_,"A001010207",EPMOlapMemberO(U75,"[C_ACCOUNT].[PARENTH1].[A001010207]","A001010207 -   其他非流动金融资产","","000"))</f>
        <v/>
      </c>
      <c r="W75" s="462" t="n"/>
      <c r="X75" s="705" t="inlineStr">
        <is>
          <t xml:space="preserve">    其他非流动金融资产</t>
        </is>
      </c>
      <c r="Y75" s="1185">
        <f>ROW()-49</f>
        <v/>
      </c>
      <c r="Z75" s="1189" t="n"/>
      <c r="AA75" s="1189" t="n"/>
      <c r="AB75" s="1190" t="n"/>
      <c r="AC75" s="1189" t="n"/>
      <c r="AD75" s="1189" t="n"/>
      <c r="AE75" s="1187" t="n"/>
      <c r="AF75" s="1188" t="n"/>
      <c r="AG75" s="1188">
        <f>IF(_epmOfflineCondition_,"非流动负债：",EPMMemberDesc(AI75))</f>
        <v/>
      </c>
      <c r="AH75" s="390" t="inlineStr">
        <is>
          <t>A0010499</t>
        </is>
      </c>
      <c r="AI75" s="462">
        <f>IF(_epmOfflineCondition_,"A0010499",EPMOlapMemberO(AH75,"[C_ACCOUNT].[PARENTH1].[A0010499]","A0010499 - 非流动负债：","","001"))</f>
        <v/>
      </c>
      <c r="AJ75" s="1045" t="inlineStr">
        <is>
          <t>非流动负债：</t>
        </is>
      </c>
      <c r="AK75" s="649">
        <f>ROW()-2</f>
        <v/>
      </c>
      <c r="AL75" s="1186">
        <f>"— —"</f>
        <v/>
      </c>
      <c r="AM75" s="1186">
        <f>"— —"</f>
        <v/>
      </c>
      <c r="AN75" s="1186">
        <f>"— —"</f>
        <v/>
      </c>
      <c r="AO75" s="1186">
        <f>"— —"</f>
        <v/>
      </c>
      <c r="AP75" s="1186">
        <f>"— —"</f>
        <v/>
      </c>
      <c r="AQ75" s="716" t="n"/>
      <c r="AR75" s="716" t="n"/>
      <c r="AS75" s="716" t="n"/>
      <c r="AT75" s="716" t="n"/>
      <c r="AU75" s="716" t="n"/>
    </row>
    <row r="76" ht="16.5" customFormat="1" customHeight="1" s="716">
      <c r="A76" s="716" t="n"/>
      <c r="B76" s="716" t="n"/>
      <c r="C76" s="716" t="n"/>
      <c r="D76" s="716" t="n"/>
      <c r="E76" s="716" t="n"/>
      <c r="F76" s="716" t="n"/>
      <c r="G76" s="716" t="n"/>
      <c r="H76" s="716" t="n"/>
      <c r="I76" s="716" t="n"/>
      <c r="J76" s="716" t="n"/>
      <c r="K76" s="716" t="n"/>
      <c r="L76" s="716" t="n"/>
      <c r="M76" s="716" t="n"/>
      <c r="N76" s="716" t="n"/>
      <c r="O76" s="716" t="n"/>
      <c r="P76" s="716" t="n"/>
      <c r="Q76" s="716" t="n"/>
      <c r="R76" s="716" t="n"/>
      <c r="S76" s="462">
        <f>IF(_epmOfflineCondition_,"  投资性房地产",EPMMemberDesc(V76))</f>
        <v/>
      </c>
      <c r="T76" s="716" t="n"/>
      <c r="U76" s="384" t="inlineStr">
        <is>
          <t>A001010208</t>
        </is>
      </c>
      <c r="V76" s="459">
        <f>IF(_epmOfflineCondition_,"A001010208",EPMOlapMemberO(U76,"[C_ACCOUNT].[PARENTH1].[A001010208]","A001010208 -   投资性房地产","","000"))</f>
        <v/>
      </c>
      <c r="W76" s="462" t="n"/>
      <c r="X76" s="705" t="inlineStr">
        <is>
          <t xml:space="preserve">    投资性房地产</t>
        </is>
      </c>
      <c r="Y76" s="1185">
        <f>ROW()-49</f>
        <v/>
      </c>
      <c r="Z76" s="1189" t="n"/>
      <c r="AA76" s="1189" t="n"/>
      <c r="AB76" s="1190" t="n"/>
      <c r="AC76" s="1189" t="n"/>
      <c r="AD76" s="1189" t="n"/>
      <c r="AE76" s="1187" t="n"/>
      <c r="AF76" s="1188" t="n"/>
      <c r="AG76" s="1188">
        <f>IF(_epmOfflineCondition_,"  长期借款",EPMMemberDesc(AI76))</f>
        <v/>
      </c>
      <c r="AH76" s="390" t="inlineStr">
        <is>
          <t>A001020201</t>
        </is>
      </c>
      <c r="AI76" s="635">
        <f>IF(_epmOfflineCondition_,"A001020201",EPMOlapMemberO(AH76,"[C_ACCOUNT].[PARENTH1].[A001020201]","A001020201 -   长期借款","","001"))</f>
        <v/>
      </c>
      <c r="AJ76" s="705" t="inlineStr">
        <is>
          <t>长期借款</t>
        </is>
      </c>
      <c r="AK76" s="649">
        <f>ROW()-2</f>
        <v/>
      </c>
      <c r="AL76" s="1191" t="inlineStr"/>
      <c r="AM76" s="1191" t="inlineStr"/>
      <c r="AN76" s="1191" t="n"/>
      <c r="AO76" s="1191" t="inlineStr"/>
      <c r="AP76" s="1191" t="inlineStr"/>
      <c r="AQ76" s="716" t="n"/>
      <c r="AR76" s="716" t="n"/>
      <c r="AS76" s="716" t="n"/>
      <c r="AT76" s="716" t="n"/>
      <c r="AU76" s="716" t="n"/>
    </row>
    <row r="77" ht="16.5" customFormat="1" customHeight="1" s="716">
      <c r="A77" s="716" t="n"/>
      <c r="B77" s="716" t="n"/>
      <c r="C77" s="716" t="n"/>
      <c r="D77" s="716" t="n"/>
      <c r="E77" s="716" t="n"/>
      <c r="F77" s="716" t="n"/>
      <c r="G77" s="716" t="n"/>
      <c r="H77" s="716" t="n"/>
      <c r="I77" s="716" t="n"/>
      <c r="J77" s="716" t="n"/>
      <c r="K77" s="716" t="n"/>
      <c r="L77" s="716" t="n"/>
      <c r="M77" s="716" t="n"/>
      <c r="N77" s="716" t="n"/>
      <c r="O77" s="716" t="n"/>
      <c r="P77" s="716" t="n"/>
      <c r="Q77" s="716" t="n"/>
      <c r="R77" s="716" t="n"/>
      <c r="S77" s="462">
        <f>IF(_epmOfflineCondition_,"  固定资产原价",EPMMemberDesc(V77))</f>
        <v/>
      </c>
      <c r="T77" s="716" t="n"/>
      <c r="U77" s="384" t="inlineStr">
        <is>
          <t>A001010209</t>
        </is>
      </c>
      <c r="V77" s="637">
        <f>IF(_epmOfflineCondition_,"A001010209",EPMOlapMemberO(U77,"[C_ACCOUNT].[PARENTH1].[A001010209]","A001010209 -   固定资产原价","","000"))</f>
        <v/>
      </c>
      <c r="W77" s="462" t="n"/>
      <c r="X77" s="705" t="inlineStr">
        <is>
          <t xml:space="preserve">    固定资产原价</t>
        </is>
      </c>
      <c r="Y77" s="1185">
        <f>ROW()-49</f>
        <v/>
      </c>
      <c r="Z77" s="1189" t="inlineStr"/>
      <c r="AA77" s="1189" t="inlineStr"/>
      <c r="AB77" s="1190" t="n"/>
      <c r="AC77" s="1189" t="inlineStr"/>
      <c r="AD77" s="1189" t="inlineStr"/>
      <c r="AE77" s="1187" t="n"/>
      <c r="AF77" s="1188" t="n"/>
      <c r="AG77" s="1188">
        <f>IF(_epmOfflineCondition_,"  应付债券",EPMMemberDesc(AI77))</f>
        <v/>
      </c>
      <c r="AH77" s="390" t="inlineStr">
        <is>
          <t>A001020202</t>
        </is>
      </c>
      <c r="AI77" s="635">
        <f>IF(_epmOfflineCondition_,"A001020202",EPMOlapMemberO(AH77,"[C_ACCOUNT].[PARENTH1].[A001020202]","A001020202 -   应付债券","","001"))</f>
        <v/>
      </c>
      <c r="AJ77" s="705" t="inlineStr">
        <is>
          <t>应付债券</t>
        </is>
      </c>
      <c r="AK77" s="649">
        <f>ROW()-2</f>
        <v/>
      </c>
      <c r="AL77" s="1191" t="n"/>
      <c r="AM77" s="1191" t="n"/>
      <c r="AN77" s="1191" t="n"/>
      <c r="AO77" s="1191" t="n"/>
      <c r="AP77" s="1191" t="n"/>
      <c r="AQ77" s="716" t="n"/>
      <c r="AR77" s="716" t="n"/>
      <c r="AS77" s="716" t="n"/>
      <c r="AT77" s="716" t="n"/>
      <c r="AU77" s="716" t="n"/>
    </row>
    <row r="78" ht="16.5" customFormat="1" customHeight="1" s="716">
      <c r="A78" s="716" t="n"/>
      <c r="B78" s="716" t="n"/>
      <c r="C78" s="716" t="n"/>
      <c r="D78" s="716" t="n"/>
      <c r="E78" s="716" t="n"/>
      <c r="F78" s="716" t="n"/>
      <c r="G78" s="716" t="n"/>
      <c r="H78" s="716" t="n"/>
      <c r="I78" s="716" t="n"/>
      <c r="J78" s="716" t="n"/>
      <c r="K78" s="716" t="n"/>
      <c r="L78" s="716" t="n"/>
      <c r="M78" s="716" t="n"/>
      <c r="N78" s="716" t="n"/>
      <c r="O78" s="716" t="n"/>
      <c r="P78" s="716" t="n"/>
      <c r="Q78" s="716" t="n"/>
      <c r="R78" s="716" t="n"/>
      <c r="S78" s="462">
        <f>IF(_epmOfflineCondition_,"      减：累计折旧",EPMMemberDesc(V78))</f>
        <v/>
      </c>
      <c r="T78" s="716" t="n"/>
      <c r="U78" s="384" t="inlineStr">
        <is>
          <t>A001010210</t>
        </is>
      </c>
      <c r="V78" s="637">
        <f>IF(_epmOfflineCondition_,"A001010210",EPMOlapMemberO(U78,"[C_ACCOUNT].[PARENTH1].[A001010210]","A001010210 -       减：累计折旧","","000"))</f>
        <v/>
      </c>
      <c r="W78" s="462" t="n"/>
      <c r="X78" s="705" t="inlineStr">
        <is>
          <t xml:space="preserve">      减：累计折旧</t>
        </is>
      </c>
      <c r="Y78" s="1185">
        <f>ROW()-49</f>
        <v/>
      </c>
      <c r="Z78" s="1189" t="inlineStr"/>
      <c r="AA78" s="1189" t="n"/>
      <c r="AB78" s="1190" t="n"/>
      <c r="AC78" s="1189" t="inlineStr"/>
      <c r="AD78" s="1189" t="inlineStr"/>
      <c r="AE78" s="1187" t="n"/>
      <c r="AF78" s="1188" t="n"/>
      <c r="AG78" s="1188">
        <f>IF(_epmOfflineCondition_,"      其中：优先股",EPMMemberDesc(AI78))</f>
        <v/>
      </c>
      <c r="AH78" s="390" t="inlineStr">
        <is>
          <t>A00102020201</t>
        </is>
      </c>
      <c r="AI78" s="637">
        <f>IF(_epmOfflineCondition_,"A00102020201",EPMOlapMemberO(AH78,"[C_ACCOUNT].[PARENTH1].[A00102020201]","A00102020201 -       其中：优先股","","001"))</f>
        <v/>
      </c>
      <c r="AJ78" s="1047" t="inlineStr">
        <is>
          <t>其中：优先股</t>
        </is>
      </c>
      <c r="AK78" s="649">
        <f>ROW()-2</f>
        <v/>
      </c>
      <c r="AL78" s="1191" t="n"/>
      <c r="AM78" s="1191" t="n"/>
      <c r="AN78" s="1191" t="n"/>
      <c r="AO78" s="1191" t="n"/>
      <c r="AP78" s="1191" t="n"/>
      <c r="AQ78" s="716" t="n"/>
      <c r="AR78" s="716" t="n"/>
      <c r="AS78" s="716" t="n"/>
      <c r="AT78" s="716" t="n"/>
      <c r="AU78" s="716" t="n"/>
    </row>
    <row r="79" ht="16.5" customFormat="1" customHeight="1" s="716">
      <c r="A79" s="716" t="n"/>
      <c r="B79" s="716" t="n"/>
      <c r="C79" s="716" t="n"/>
      <c r="D79" s="716" t="n"/>
      <c r="E79" s="716" t="n"/>
      <c r="F79" s="716" t="n"/>
      <c r="G79" s="716" t="n"/>
      <c r="H79" s="716" t="n"/>
      <c r="I79" s="716" t="n"/>
      <c r="J79" s="716" t="n"/>
      <c r="K79" s="716" t="n"/>
      <c r="L79" s="716" t="n"/>
      <c r="M79" s="716" t="n"/>
      <c r="N79" s="716" t="n"/>
      <c r="O79" s="716" t="n"/>
      <c r="P79" s="716" t="n"/>
      <c r="Q79" s="716" t="n"/>
      <c r="R79" s="716" t="n"/>
      <c r="S79" s="462">
        <f>IF(_epmOfflineCondition_,"  固定资产净值",EPMMemberDesc(V79))</f>
        <v/>
      </c>
      <c r="T79" s="716" t="n"/>
      <c r="U79" s="384" t="inlineStr">
        <is>
          <t>A001010211</t>
        </is>
      </c>
      <c r="V79" s="635">
        <f>IF(_epmOfflineCondition_,"A001010211",EPMOlapMemberO(U79,"[C_ACCOUNT].[PARENTH1].[A001010211]","A001010211 -   固定资产净值","","000"))</f>
        <v/>
      </c>
      <c r="W79" s="462" t="n"/>
      <c r="X79" s="705" t="inlineStr">
        <is>
          <t xml:space="preserve">    固定资产净值</t>
        </is>
      </c>
      <c r="Y79" s="1185">
        <f>ROW()-49</f>
        <v/>
      </c>
      <c r="Z79" s="1189" t="inlineStr"/>
      <c r="AA79" s="1189" t="inlineStr"/>
      <c r="AB79" s="1190" t="n"/>
      <c r="AC79" s="1189" t="inlineStr"/>
      <c r="AD79" s="1189" t="inlineStr"/>
      <c r="AE79" s="1187" t="n"/>
      <c r="AF79" s="1188" t="n"/>
      <c r="AG79" s="1188">
        <f>IF(_epmOfflineCondition_,"                 永续债",EPMMemberDesc(AI79))</f>
        <v/>
      </c>
      <c r="AH79" s="390" t="inlineStr">
        <is>
          <t>A00102020202</t>
        </is>
      </c>
      <c r="AI79" s="637">
        <f>IF(_epmOfflineCondition_,"A00102020202",EPMOlapMemberO(AH79,"[C_ACCOUNT].[PARENTH1].[A00102020202]","A00102020202 -                  永续债","","001"))</f>
        <v/>
      </c>
      <c r="AJ79" s="1048" t="inlineStr">
        <is>
          <t xml:space="preserve"> 永续债</t>
        </is>
      </c>
      <c r="AK79" s="649">
        <f>ROW()-2</f>
        <v/>
      </c>
      <c r="AL79" s="1191" t="n"/>
      <c r="AM79" s="1191" t="n"/>
      <c r="AN79" s="1191" t="n"/>
      <c r="AO79" s="1191" t="n"/>
      <c r="AP79" s="1191" t="n"/>
      <c r="AQ79" s="716" t="n"/>
      <c r="AR79" s="716" t="n"/>
      <c r="AS79" s="716" t="n"/>
      <c r="AT79" s="716" t="n"/>
      <c r="AU79" s="716" t="n"/>
    </row>
    <row r="80" ht="16.5" customFormat="1" customHeight="1" s="716">
      <c r="A80" s="716" t="n"/>
      <c r="B80" s="716" t="n"/>
      <c r="C80" s="716" t="n"/>
      <c r="D80" s="716" t="n"/>
      <c r="E80" s="716" t="n"/>
      <c r="F80" s="716" t="n"/>
      <c r="G80" s="716" t="n"/>
      <c r="H80" s="716" t="n"/>
      <c r="I80" s="716" t="n"/>
      <c r="J80" s="716" t="n"/>
      <c r="K80" s="716" t="n"/>
      <c r="L80" s="716" t="n"/>
      <c r="M80" s="716" t="n"/>
      <c r="N80" s="716" t="n"/>
      <c r="O80" s="716" t="n"/>
      <c r="P80" s="716" t="n"/>
      <c r="Q80" s="716" t="n"/>
      <c r="R80" s="716" t="n"/>
      <c r="S80" s="462">
        <f>IF(_epmOfflineCondition_,"      减：固定资产减值准备",EPMMemberDesc(V80))</f>
        <v/>
      </c>
      <c r="T80" s="716" t="n"/>
      <c r="U80" s="384" t="inlineStr">
        <is>
          <t>A001010212</t>
        </is>
      </c>
      <c r="V80" s="635">
        <f>IF(_epmOfflineCondition_,"A001010212",EPMOlapMemberO(U80,"[C_ACCOUNT].[PARENTH1].[A001010212]","A001010212 -       减：固定资产减值准备","","000"))</f>
        <v/>
      </c>
      <c r="W80" s="462" t="n"/>
      <c r="X80" s="705" t="inlineStr">
        <is>
          <t xml:space="preserve">      减：固定资产减值准备</t>
        </is>
      </c>
      <c r="Y80" s="1185">
        <f>ROW()-49</f>
        <v/>
      </c>
      <c r="Z80" s="1189" t="n"/>
      <c r="AA80" s="1189" t="n"/>
      <c r="AB80" s="1190" t="n"/>
      <c r="AC80" s="1189" t="n"/>
      <c r="AD80" s="1189" t="n"/>
      <c r="AE80" s="1187" t="n"/>
      <c r="AF80" s="1188" t="n"/>
      <c r="AG80" s="1188">
        <f>IF(_epmOfflineCondition_,"  租赁负债",EPMMemberDesc(AI80))</f>
        <v/>
      </c>
      <c r="AH80" s="390" t="inlineStr">
        <is>
          <t>A001020203</t>
        </is>
      </c>
      <c r="AI80" s="635">
        <f>IF(_epmOfflineCondition_,"A001020203",EPMOlapMemberO(AH80,"[C_ACCOUNT].[PARENTH1].[A001020203]","A001020203 -   租赁负债","","001"))</f>
        <v/>
      </c>
      <c r="AJ80" s="705" t="inlineStr">
        <is>
          <t>租赁负债</t>
        </is>
      </c>
      <c r="AK80" s="649">
        <f>ROW()-2</f>
        <v/>
      </c>
      <c r="AL80" s="1191" t="n"/>
      <c r="AM80" s="1191" t="n"/>
      <c r="AN80" s="1191" t="n"/>
      <c r="AO80" s="1191" t="n"/>
      <c r="AP80" s="1191" t="n"/>
      <c r="AQ80" s="716" t="n"/>
      <c r="AR80" s="716" t="n"/>
      <c r="AS80" s="716" t="n"/>
      <c r="AT80" s="716" t="n"/>
      <c r="AU80" s="716" t="n"/>
    </row>
    <row r="81" ht="16.5" customFormat="1" customHeight="1" s="716">
      <c r="A81" s="716" t="n"/>
      <c r="B81" s="716" t="n"/>
      <c r="C81" s="716" t="n"/>
      <c r="D81" s="716" t="n"/>
      <c r="E81" s="716" t="n"/>
      <c r="F81" s="716" t="n"/>
      <c r="G81" s="716" t="n"/>
      <c r="H81" s="716" t="n"/>
      <c r="I81" s="716" t="n"/>
      <c r="J81" s="716" t="n"/>
      <c r="K81" s="716" t="n"/>
      <c r="L81" s="716" t="n"/>
      <c r="M81" s="716" t="n"/>
      <c r="N81" s="716" t="n"/>
      <c r="O81" s="716" t="n"/>
      <c r="P81" s="716" t="n"/>
      <c r="Q81" s="716" t="n"/>
      <c r="R81" s="716" t="n"/>
      <c r="S81" s="462">
        <f>IF(_epmOfflineCondition_,"  固定资产净额",EPMMemberDesc(V81))</f>
        <v/>
      </c>
      <c r="T81" s="716" t="n"/>
      <c r="U81" s="384" t="inlineStr">
        <is>
          <t>A001010214</t>
        </is>
      </c>
      <c r="V81" s="459">
        <f>IF(_epmOfflineCondition_,"A001010214",EPMOlapMemberO(U81,"[C_ACCOUNT].[PARENTH1].[A001010214]","A001010214 -   固定资产净额","","000"))</f>
        <v/>
      </c>
      <c r="W81" s="462" t="n"/>
      <c r="X81" s="705" t="inlineStr">
        <is>
          <t xml:space="preserve">    固定资产净额</t>
        </is>
      </c>
      <c r="Y81" s="1185">
        <f>ROW()-49</f>
        <v/>
      </c>
      <c r="Z81" s="1189" t="inlineStr"/>
      <c r="AA81" s="1189" t="inlineStr"/>
      <c r="AB81" s="1190" t="n"/>
      <c r="AC81" s="1189" t="inlineStr"/>
      <c r="AD81" s="1189" t="inlineStr"/>
      <c r="AE81" s="1187" t="n"/>
      <c r="AF81" s="1188" t="n"/>
      <c r="AG81" s="1188">
        <f>IF(_epmOfflineCondition_,"  长期应付款",EPMMemberDesc(AI81))</f>
        <v/>
      </c>
      <c r="AH81" s="390" t="inlineStr">
        <is>
          <t>A001020204</t>
        </is>
      </c>
      <c r="AI81" s="635">
        <f>IF(_epmOfflineCondition_,"A001020204",EPMOlapMemberO(AH81,"[C_ACCOUNT].[PARENTH1].[A001020204]","A001020204 -   长期应付款","","001"))</f>
        <v/>
      </c>
      <c r="AJ81" s="705" t="inlineStr">
        <is>
          <t>长期应付款</t>
        </is>
      </c>
      <c r="AK81" s="649">
        <f>ROW()-2</f>
        <v/>
      </c>
      <c r="AL81" s="1191" t="inlineStr"/>
      <c r="AM81" s="1191" t="inlineStr"/>
      <c r="AN81" s="1191" t="n"/>
      <c r="AO81" s="1191" t="inlineStr"/>
      <c r="AP81" s="1191" t="inlineStr"/>
      <c r="AQ81" s="716" t="n"/>
      <c r="AR81" s="716" t="n"/>
      <c r="AS81" s="716" t="n"/>
      <c r="AT81" s="716" t="n"/>
      <c r="AU81" s="716" t="n"/>
    </row>
    <row r="82" ht="16.5" customFormat="1" customHeight="1" s="716">
      <c r="A82" s="716" t="n"/>
      <c r="B82" s="716" t="n"/>
      <c r="C82" s="716" t="n"/>
      <c r="D82" s="716" t="n"/>
      <c r="E82" s="716" t="n"/>
      <c r="F82" s="716" t="n"/>
      <c r="G82" s="716" t="n"/>
      <c r="H82" s="716" t="n"/>
      <c r="I82" s="716" t="n"/>
      <c r="J82" s="716" t="n"/>
      <c r="K82" s="716" t="n"/>
      <c r="L82" s="716" t="n"/>
      <c r="M82" s="716" t="n"/>
      <c r="N82" s="716" t="n"/>
      <c r="O82" s="716" t="n"/>
      <c r="P82" s="716" t="n"/>
      <c r="Q82" s="716" t="n"/>
      <c r="R82" s="716" t="n"/>
      <c r="S82" s="462">
        <f>IF(_epmOfflineCondition_,"  在建工程",EPMMemberDesc(V82))</f>
        <v/>
      </c>
      <c r="T82" s="716" t="n"/>
      <c r="U82" s="384" t="inlineStr">
        <is>
          <t>A001010215</t>
        </is>
      </c>
      <c r="V82" s="459">
        <f>IF(_epmOfflineCondition_,"A001010215",EPMOlapMemberO(U82,"[C_ACCOUNT].[PARENTH1].[A001010215]","A001010215 -   在建工程","","000"))</f>
        <v/>
      </c>
      <c r="W82" s="462" t="n"/>
      <c r="X82" s="705" t="inlineStr">
        <is>
          <t xml:space="preserve">    在建工程</t>
        </is>
      </c>
      <c r="Y82" s="1185">
        <f>ROW()-49</f>
        <v/>
      </c>
      <c r="Z82" s="1189" t="inlineStr"/>
      <c r="AA82" s="1189" t="inlineStr"/>
      <c r="AB82" s="1190" t="n"/>
      <c r="AC82" s="1189" t="inlineStr"/>
      <c r="AD82" s="1189" t="inlineStr"/>
      <c r="AE82" s="1187" t="n"/>
      <c r="AF82" s="1188" t="n"/>
      <c r="AG82" s="1188">
        <f>IF(_epmOfflineCondition_,"  长期应付职工薪酬",EPMMemberDesc(AI82))</f>
        <v/>
      </c>
      <c r="AH82" s="390" t="inlineStr">
        <is>
          <t>A001020205</t>
        </is>
      </c>
      <c r="AI82" s="635">
        <f>IF(_epmOfflineCondition_,"A001020205",EPMOlapMemberO(AH82,"[C_ACCOUNT].[PARENTH1].[A001020205]","A001020205 -   长期应付职工薪酬","","001"))</f>
        <v/>
      </c>
      <c r="AJ82" s="705" t="inlineStr">
        <is>
          <t>长期应付职工薪酬</t>
        </is>
      </c>
      <c r="AK82" s="649">
        <f>ROW()-2</f>
        <v/>
      </c>
      <c r="AL82" s="1191" t="n"/>
      <c r="AM82" s="1191" t="n"/>
      <c r="AN82" s="1191" t="n"/>
      <c r="AO82" s="1191" t="n"/>
      <c r="AP82" s="1191" t="n"/>
      <c r="AQ82" s="716" t="n"/>
      <c r="AR82" s="716" t="n"/>
      <c r="AS82" s="716" t="n"/>
      <c r="AT82" s="716" t="n"/>
      <c r="AU82" s="716" t="n"/>
    </row>
    <row r="83" ht="16.5" customFormat="1" customHeight="1" s="716">
      <c r="A83" s="716" t="n"/>
      <c r="B83" s="716" t="n"/>
      <c r="C83" s="716" t="n"/>
      <c r="D83" s="716" t="n"/>
      <c r="E83" s="716" t="n"/>
      <c r="F83" s="716" t="n"/>
      <c r="G83" s="716" t="n"/>
      <c r="H83" s="716" t="n"/>
      <c r="I83" s="716" t="n"/>
      <c r="J83" s="716" t="n"/>
      <c r="K83" s="716" t="n"/>
      <c r="L83" s="716" t="n"/>
      <c r="M83" s="716" t="n"/>
      <c r="N83" s="716" t="n"/>
      <c r="O83" s="716" t="n"/>
      <c r="P83" s="716" t="n"/>
      <c r="Q83" s="716" t="n"/>
      <c r="R83" s="716" t="n"/>
      <c r="S83" s="462">
        <f>IF(_epmOfflineCondition_,"  工程物资",EPMMemberDesc(V83))</f>
        <v/>
      </c>
      <c r="T83" s="716" t="n"/>
      <c r="U83" s="384" t="inlineStr">
        <is>
          <t>A001010216</t>
        </is>
      </c>
      <c r="V83" s="459">
        <f>IF(_epmOfflineCondition_,"A001010216",EPMOlapMemberO(U83,"[C_ACCOUNT].[PARENTH1].[A001010216]","A001010216 -   工程物资","","000"))</f>
        <v/>
      </c>
      <c r="W83" s="462" t="n"/>
      <c r="X83" s="705" t="inlineStr">
        <is>
          <t xml:space="preserve">    工程物资</t>
        </is>
      </c>
      <c r="Y83" s="1185">
        <f>ROW()-49</f>
        <v/>
      </c>
      <c r="Z83" s="1189" t="n"/>
      <c r="AA83" s="1189" t="n"/>
      <c r="AB83" s="1190" t="n"/>
      <c r="AC83" s="1189" t="n"/>
      <c r="AD83" s="1189" t="n"/>
      <c r="AE83" s="1187" t="n"/>
      <c r="AF83" s="1188" t="n"/>
      <c r="AG83" s="1188">
        <f>IF(_epmOfflineCondition_,"  专项应付款",EPMMemberDesc(AI83))</f>
        <v/>
      </c>
      <c r="AH83" s="390" t="inlineStr">
        <is>
          <t>A001020206</t>
        </is>
      </c>
      <c r="AI83" s="635">
        <f>IF(_epmOfflineCondition_,"A001020206",EPMOlapMemberO(AH83,"[C_ACCOUNT].[PARENTH1].[A001020206]","A001020206 -   专项应付款","","001"))</f>
        <v/>
      </c>
      <c r="AJ83" s="705" t="inlineStr">
        <is>
          <t>专项应付款</t>
        </is>
      </c>
      <c r="AK83" s="649">
        <f>ROW()-2</f>
        <v/>
      </c>
      <c r="AL83" s="1191" t="n"/>
      <c r="AM83" s="1191" t="n"/>
      <c r="AN83" s="1191" t="n"/>
      <c r="AO83" s="1191" t="n"/>
      <c r="AP83" s="1191" t="n"/>
      <c r="AQ83" s="716" t="n"/>
      <c r="AR83" s="716" t="n"/>
      <c r="AS83" s="716" t="n"/>
      <c r="AT83" s="716" t="n"/>
      <c r="AU83" s="716" t="n"/>
    </row>
    <row r="84" ht="16.5" customFormat="1" customHeight="1" s="716">
      <c r="A84" s="716" t="n"/>
      <c r="B84" s="716" t="n"/>
      <c r="C84" s="716" t="n"/>
      <c r="D84" s="716" t="n"/>
      <c r="E84" s="716" t="n"/>
      <c r="F84" s="716" t="n"/>
      <c r="G84" s="716" t="n"/>
      <c r="H84" s="716" t="n"/>
      <c r="I84" s="716" t="n"/>
      <c r="J84" s="716" t="n"/>
      <c r="K84" s="716" t="n"/>
      <c r="L84" s="716" t="n"/>
      <c r="M84" s="716" t="n"/>
      <c r="N84" s="716" t="n"/>
      <c r="O84" s="716" t="n"/>
      <c r="P84" s="716" t="n"/>
      <c r="Q84" s="716" t="n"/>
      <c r="R84" s="716" t="n"/>
      <c r="S84" s="462">
        <f>IF(_epmOfflineCondition_,"固定资产清理",EPMMemberDesc(V84))</f>
        <v/>
      </c>
      <c r="T84" s="716" t="n"/>
      <c r="U84" s="384" t="inlineStr">
        <is>
          <t>A1606000000</t>
        </is>
      </c>
      <c r="V84" s="635">
        <f>IF(_epmOfflineCondition_,"A1606000000",EPMOlapMemberO(U84,"[C_ACCOUNT].[PARENTH1].[A1606000000]","A1606000000 - 固定资产清理","","000"))</f>
        <v/>
      </c>
      <c r="W84" s="462" t="n"/>
      <c r="X84" s="705" t="inlineStr">
        <is>
          <t xml:space="preserve">    固定资产清理</t>
        </is>
      </c>
      <c r="Y84" s="1185">
        <f>ROW()-49</f>
        <v/>
      </c>
      <c r="Z84" s="1189" t="n"/>
      <c r="AA84" s="1189" t="n"/>
      <c r="AB84" s="1190" t="n"/>
      <c r="AC84" s="1189" t="n"/>
      <c r="AD84" s="1189" t="n"/>
      <c r="AE84" s="1187" t="n"/>
      <c r="AF84" s="1188" t="n"/>
      <c r="AG84" s="1188">
        <f>IF(_epmOfflineCondition_,"  预计负债",EPMMemberDesc(AI84))</f>
        <v/>
      </c>
      <c r="AH84" s="390" t="inlineStr">
        <is>
          <t>A001020207</t>
        </is>
      </c>
      <c r="AI84" s="635">
        <f>IF(_epmOfflineCondition_,"A001020207",EPMOlapMemberO(AH84,"[C_ACCOUNT].[PARENTH1].[A001020207]","A001020207 -   预计负债","","001"))</f>
        <v/>
      </c>
      <c r="AJ84" s="705" t="inlineStr">
        <is>
          <t>预计负债</t>
        </is>
      </c>
      <c r="AK84" s="649">
        <f>ROW()-2</f>
        <v/>
      </c>
      <c r="AL84" s="1191" t="n"/>
      <c r="AM84" s="1191" t="n"/>
      <c r="AN84" s="1191" t="n"/>
      <c r="AO84" s="1191" t="n"/>
      <c r="AP84" s="1191" t="n"/>
      <c r="AQ84" s="716" t="n"/>
      <c r="AR84" s="716" t="n"/>
      <c r="AS84" s="716" t="n"/>
      <c r="AT84" s="716" t="n"/>
      <c r="AU84" s="716" t="n"/>
    </row>
    <row r="85" ht="16.5" customFormat="1" customHeight="1" s="716">
      <c r="A85" s="716" t="n"/>
      <c r="B85" s="716" t="n"/>
      <c r="C85" s="716" t="n"/>
      <c r="D85" s="716" t="n"/>
      <c r="E85" s="716" t="n"/>
      <c r="F85" s="716" t="n"/>
      <c r="G85" s="716" t="n"/>
      <c r="H85" s="716" t="n"/>
      <c r="I85" s="716" t="n"/>
      <c r="J85" s="716" t="n"/>
      <c r="K85" s="716" t="n"/>
      <c r="L85" s="716" t="n"/>
      <c r="M85" s="716" t="n"/>
      <c r="N85" s="716" t="n"/>
      <c r="O85" s="716" t="n"/>
      <c r="P85" s="716" t="n"/>
      <c r="Q85" s="716" t="n"/>
      <c r="R85" s="716" t="n"/>
      <c r="S85" s="462">
        <f>IF(_epmOfflineCondition_,"  生产性生物资产",EPMMemberDesc(V85))</f>
        <v/>
      </c>
      <c r="T85" s="716" t="n"/>
      <c r="U85" s="384" t="inlineStr">
        <is>
          <t>A001010217</t>
        </is>
      </c>
      <c r="V85" s="459">
        <f>IF(_epmOfflineCondition_,"A001010217",EPMOlapMemberO(U85,"[C_ACCOUNT].[PARENTH1].[A001010217]","A001010217 -   生产性生物资产","","000"))</f>
        <v/>
      </c>
      <c r="W85" s="462" t="n"/>
      <c r="X85" s="705" t="inlineStr">
        <is>
          <t xml:space="preserve">    生产性生物资产</t>
        </is>
      </c>
      <c r="Y85" s="1185">
        <f>ROW()-49</f>
        <v/>
      </c>
      <c r="Z85" s="1189" t="n"/>
      <c r="AA85" s="1189" t="n"/>
      <c r="AB85" s="1190" t="n"/>
      <c r="AC85" s="1189" t="n"/>
      <c r="AD85" s="1189" t="n"/>
      <c r="AE85" s="1187" t="n"/>
      <c r="AF85" s="1188" t="n"/>
      <c r="AG85" s="1188">
        <f>IF(_epmOfflineCondition_,"  递延收益",EPMMemberDesc(AI85))</f>
        <v/>
      </c>
      <c r="AH85" s="390" t="inlineStr">
        <is>
          <t>A001020208</t>
        </is>
      </c>
      <c r="AI85" s="635">
        <f>IF(_epmOfflineCondition_,"A001020208",EPMOlapMemberO(AH85,"[C_ACCOUNT].[PARENTH1].[A001020208]","A001020208 -   递延收益","","001"))</f>
        <v/>
      </c>
      <c r="AJ85" s="705" t="inlineStr">
        <is>
          <t>递延收益</t>
        </is>
      </c>
      <c r="AK85" s="649">
        <f>ROW()-2</f>
        <v/>
      </c>
      <c r="AL85" s="1191" t="n"/>
      <c r="AM85" s="1191" t="n"/>
      <c r="AN85" s="1191" t="n"/>
      <c r="AO85" s="1191" t="n"/>
      <c r="AP85" s="1191" t="n"/>
      <c r="AQ85" s="716" t="n"/>
      <c r="AR85" s="716" t="n"/>
      <c r="AS85" s="716" t="n"/>
      <c r="AT85" s="716" t="n"/>
      <c r="AU85" s="716" t="n"/>
    </row>
    <row r="86" ht="16.5" customFormat="1" customHeight="1" s="716">
      <c r="A86" s="716" t="n"/>
      <c r="B86" s="716" t="n"/>
      <c r="C86" s="716" t="n"/>
      <c r="D86" s="716" t="n"/>
      <c r="E86" s="716" t="n"/>
      <c r="F86" s="716" t="n"/>
      <c r="G86" s="716" t="n"/>
      <c r="H86" s="716" t="n"/>
      <c r="I86" s="716" t="n"/>
      <c r="J86" s="716" t="n"/>
      <c r="K86" s="716" t="n"/>
      <c r="L86" s="716" t="n"/>
      <c r="M86" s="716" t="n"/>
      <c r="N86" s="716" t="n"/>
      <c r="O86" s="716" t="n"/>
      <c r="P86" s="716" t="n"/>
      <c r="Q86" s="716" t="n"/>
      <c r="R86" s="716" t="n"/>
      <c r="S86" s="462">
        <f>IF(_epmOfflineCondition_,"  油气资产",EPMMemberDesc(V86))</f>
        <v/>
      </c>
      <c r="T86" s="716" t="n"/>
      <c r="U86" s="384" t="inlineStr">
        <is>
          <t>A001010218</t>
        </is>
      </c>
      <c r="V86" s="459">
        <f>IF(_epmOfflineCondition_,"A001010218",EPMOlapMemberO(U86,"[C_ACCOUNT].[PARENTH1].[A001010218]","A001010218 -   油气资产","","000"))</f>
        <v/>
      </c>
      <c r="W86" s="462" t="n"/>
      <c r="X86" s="705" t="inlineStr">
        <is>
          <t xml:space="preserve">    油气资产</t>
        </is>
      </c>
      <c r="Y86" s="1185">
        <f>ROW()-49</f>
        <v/>
      </c>
      <c r="Z86" s="1189" t="n"/>
      <c r="AA86" s="1189" t="n"/>
      <c r="AB86" s="1190" t="n"/>
      <c r="AC86" s="1189" t="n"/>
      <c r="AD86" s="1189" t="n"/>
      <c r="AE86" s="1187" t="n"/>
      <c r="AF86" s="1188" t="n"/>
      <c r="AG86" s="1188">
        <f>IF(_epmOfflineCondition_,"  递延所得税负债",EPMMemberDesc(AI86))</f>
        <v/>
      </c>
      <c r="AH86" s="390" t="inlineStr">
        <is>
          <t>A001020209</t>
        </is>
      </c>
      <c r="AI86" s="635">
        <f>IF(_epmOfflineCondition_,"A001020209",EPMOlapMemberO(AH86,"[C_ACCOUNT].[PARENTH1].[A001020209]","A001020209 -   递延所得税负债","","001"))</f>
        <v/>
      </c>
      <c r="AJ86" s="705" t="inlineStr">
        <is>
          <t>递延所得税负债</t>
        </is>
      </c>
      <c r="AK86" s="649">
        <f>ROW()-2</f>
        <v/>
      </c>
      <c r="AL86" s="1191" t="n"/>
      <c r="AM86" s="1191" t="n"/>
      <c r="AN86" s="1191" t="n"/>
      <c r="AO86" s="1191" t="n"/>
      <c r="AP86" s="1191" t="n"/>
      <c r="AQ86" s="716" t="n"/>
      <c r="AR86" s="716" t="n"/>
      <c r="AS86" s="716" t="n"/>
      <c r="AT86" s="716" t="n"/>
      <c r="AU86" s="716" t="n"/>
    </row>
    <row r="87" ht="16.5" customFormat="1" customHeight="1" s="716">
      <c r="A87" s="716" t="n"/>
      <c r="B87" s="716" t="n"/>
      <c r="C87" s="716" t="n"/>
      <c r="D87" s="716" t="n"/>
      <c r="E87" s="716" t="n"/>
      <c r="F87" s="716" t="n"/>
      <c r="G87" s="716" t="n"/>
      <c r="H87" s="716" t="n"/>
      <c r="I87" s="716" t="n"/>
      <c r="J87" s="716" t="n"/>
      <c r="K87" s="716" t="n"/>
      <c r="L87" s="716" t="n"/>
      <c r="M87" s="716" t="n"/>
      <c r="N87" s="716" t="n"/>
      <c r="O87" s="716" t="n"/>
      <c r="P87" s="716" t="n"/>
      <c r="Q87" s="716" t="n"/>
      <c r="R87" s="716" t="n"/>
      <c r="S87" s="462">
        <f>IF(_epmOfflineCondition_,"  使用权资产",EPMMemberDesc(V87))</f>
        <v/>
      </c>
      <c r="T87" s="716" t="n"/>
      <c r="U87" s="384" t="inlineStr">
        <is>
          <t>A001010219</t>
        </is>
      </c>
      <c r="V87" s="459">
        <f>IF(_epmOfflineCondition_,"A001010219",EPMOlapMemberO(U87,"[C_ACCOUNT].[PARENTH1].[A001010219]","A001010219 -   使用权资产","","000"))</f>
        <v/>
      </c>
      <c r="W87" s="462" t="n"/>
      <c r="X87" s="705" t="inlineStr">
        <is>
          <t xml:space="preserve">    使用权资产</t>
        </is>
      </c>
      <c r="Y87" s="1185">
        <f>ROW()-49</f>
        <v/>
      </c>
      <c r="Z87" s="1189" t="n"/>
      <c r="AA87" s="1189" t="n"/>
      <c r="AB87" s="1190" t="n"/>
      <c r="AC87" s="1189" t="n"/>
      <c r="AD87" s="1189" t="n"/>
      <c r="AE87" s="1187" t="n"/>
      <c r="AF87" s="1188" t="n"/>
      <c r="AG87" s="1188">
        <f>IF(_epmOfflineCondition_,"　其他非流动负债",EPMMemberDesc(AI87))</f>
        <v/>
      </c>
      <c r="AH87" s="390" t="inlineStr">
        <is>
          <t>A001020210</t>
        </is>
      </c>
      <c r="AI87" s="635">
        <f>IF(_epmOfflineCondition_,"A001020210",EPMOlapMemberO(AH87,"[C_ACCOUNT].[PARENTH1].[A001020210]","A001020210 - 　其他非流动负债","","001"))</f>
        <v/>
      </c>
      <c r="AJ87" s="705" t="inlineStr">
        <is>
          <t>其他非流动负债</t>
        </is>
      </c>
      <c r="AK87" s="649">
        <f>ROW()-2</f>
        <v/>
      </c>
      <c r="AL87" s="1191" t="n"/>
      <c r="AM87" s="1191" t="n"/>
      <c r="AN87" s="1191" t="n"/>
      <c r="AO87" s="1191" t="n"/>
      <c r="AP87" s="1191" t="n"/>
      <c r="AQ87" s="716" t="n"/>
      <c r="AR87" s="716" t="n"/>
      <c r="AS87" s="716" t="n"/>
      <c r="AT87" s="716" t="n"/>
      <c r="AU87" s="716" t="n"/>
    </row>
    <row r="88" ht="16.5" customFormat="1" customHeight="1" s="716">
      <c r="A88" s="716" t="n"/>
      <c r="B88" s="716" t="n"/>
      <c r="C88" s="716" t="n"/>
      <c r="D88" s="716" t="n"/>
      <c r="E88" s="716" t="n"/>
      <c r="F88" s="716" t="n"/>
      <c r="G88" s="716" t="n"/>
      <c r="H88" s="716" t="n"/>
      <c r="I88" s="716" t="n"/>
      <c r="J88" s="716" t="n"/>
      <c r="K88" s="716" t="n"/>
      <c r="L88" s="716" t="n"/>
      <c r="M88" s="716" t="n"/>
      <c r="N88" s="716" t="n"/>
      <c r="O88" s="716" t="n"/>
      <c r="P88" s="716" t="n"/>
      <c r="Q88" s="716" t="n"/>
      <c r="R88" s="716" t="n"/>
      <c r="S88" s="462">
        <f>IF(_epmOfflineCondition_,"  无形资产",EPMMemberDesc(V88))</f>
        <v/>
      </c>
      <c r="T88" s="716" t="n"/>
      <c r="U88" s="384" t="inlineStr">
        <is>
          <t>A001010220</t>
        </is>
      </c>
      <c r="V88" s="459">
        <f>IF(_epmOfflineCondition_,"A001010220",EPMOlapMemberO(U88,"[C_ACCOUNT].[PARENTH1].[A001010220]","A001010220 -   无形资产","","000"))</f>
        <v/>
      </c>
      <c r="W88" s="462" t="n"/>
      <c r="X88" s="705" t="inlineStr">
        <is>
          <t xml:space="preserve">    无形资产</t>
        </is>
      </c>
      <c r="Y88" s="1185">
        <f>ROW()-49</f>
        <v/>
      </c>
      <c r="Z88" s="1189" t="inlineStr"/>
      <c r="AA88" s="1189" t="n"/>
      <c r="AB88" s="1190" t="n"/>
      <c r="AC88" s="1189" t="inlineStr"/>
      <c r="AD88" s="1189" t="inlineStr"/>
      <c r="AE88" s="1187" t="n"/>
      <c r="AF88" s="1188" t="n"/>
      <c r="AG88" s="1188">
        <f>IF(_epmOfflineCondition_,"　       非流动负债合计",EPMMemberDesc(AI88))</f>
        <v/>
      </c>
      <c r="AH88" s="390" t="inlineStr">
        <is>
          <t>A0010202</t>
        </is>
      </c>
      <c r="AI88" s="459">
        <f>IF(_epmOfflineCondition_,"A0010202",EPMOlapMemberO(AH88,"[C_ACCOUNT].[PARENTH1].[A0010202]","A0010202 - 　       非流动负债合计","","001"))</f>
        <v/>
      </c>
      <c r="AJ88" s="852" t="inlineStr">
        <is>
          <t>非流动负债合计</t>
        </is>
      </c>
      <c r="AK88" s="649">
        <f>ROW()-2</f>
        <v/>
      </c>
      <c r="AL88" s="1191" t="inlineStr"/>
      <c r="AM88" s="1191" t="inlineStr"/>
      <c r="AN88" s="1191" t="n"/>
      <c r="AO88" s="1191" t="inlineStr"/>
      <c r="AP88" s="1191" t="inlineStr"/>
      <c r="AQ88" s="716" t="n"/>
      <c r="AR88" s="716" t="n"/>
      <c r="AS88" s="716" t="n"/>
      <c r="AT88" s="716" t="n"/>
      <c r="AU88" s="716" t="n"/>
    </row>
    <row r="89" ht="16.5" customFormat="1" customHeight="1" s="716">
      <c r="A89" s="716" t="n"/>
      <c r="B89" s="716" t="n"/>
      <c r="C89" s="716" t="n"/>
      <c r="D89" s="716" t="n"/>
      <c r="E89" s="716" t="n"/>
      <c r="F89" s="716" t="n"/>
      <c r="G89" s="716" t="n"/>
      <c r="H89" s="716" t="n"/>
      <c r="I89" s="716" t="n"/>
      <c r="J89" s="716" t="n"/>
      <c r="K89" s="716" t="n"/>
      <c r="L89" s="716" t="n"/>
      <c r="M89" s="716" t="n"/>
      <c r="N89" s="716" t="n"/>
      <c r="O89" s="716" t="n"/>
      <c r="P89" s="716" t="n"/>
      <c r="Q89" s="716" t="n"/>
      <c r="R89" s="716" t="n"/>
      <c r="S89" s="462">
        <f>IF(_epmOfflineCondition_,"  开发支出",EPMMemberDesc(V89))</f>
        <v/>
      </c>
      <c r="T89" s="716" t="n"/>
      <c r="U89" s="384" t="inlineStr">
        <is>
          <t>A001010221</t>
        </is>
      </c>
      <c r="V89" s="459">
        <f>IF(_epmOfflineCondition_,"A001010221",EPMOlapMemberO(U89,"[C_ACCOUNT].[PARENTH1].[A001010221]","A001010221 -   开发支出","","000"))</f>
        <v/>
      </c>
      <c r="W89" s="462" t="n"/>
      <c r="X89" s="705" t="inlineStr">
        <is>
          <t xml:space="preserve">    开发支出</t>
        </is>
      </c>
      <c r="Y89" s="1185">
        <f>ROW()-49</f>
        <v/>
      </c>
      <c r="Z89" s="1189" t="n"/>
      <c r="AA89" s="1189" t="n"/>
      <c r="AB89" s="1190" t="n"/>
      <c r="AC89" s="1189" t="n"/>
      <c r="AD89" s="1189" t="n"/>
      <c r="AE89" s="1187" t="n"/>
      <c r="AF89" s="1188" t="n"/>
      <c r="AG89" s="1188">
        <f>IF(_epmOfflineCondition_,"　       负债合计",EPMMemberDesc(AI89))</f>
        <v/>
      </c>
      <c r="AH89" s="390" t="inlineStr">
        <is>
          <t>A00102</t>
        </is>
      </c>
      <c r="AI89" s="535">
        <f>IF(_epmOfflineCondition_,"A00102",EPMOlapMemberO(AH89,"[C_ACCOUNT].[PARENTH1].[A00102]","A00102 - 　       负债合计","","001"))</f>
        <v/>
      </c>
      <c r="AJ89" s="852" t="inlineStr">
        <is>
          <t>负    债    合   计</t>
        </is>
      </c>
      <c r="AK89" s="649">
        <f>ROW()-2</f>
        <v/>
      </c>
      <c r="AL89" s="1191" t="inlineStr"/>
      <c r="AM89" s="1191" t="inlineStr"/>
      <c r="AN89" s="1191" t="inlineStr"/>
      <c r="AO89" s="1191" t="inlineStr"/>
      <c r="AP89" s="1191" t="inlineStr"/>
      <c r="AQ89" s="716" t="n"/>
      <c r="AR89" s="716" t="n"/>
      <c r="AS89" s="716" t="n"/>
      <c r="AT89" s="716" t="n"/>
      <c r="AU89" s="716" t="n"/>
    </row>
    <row r="90" ht="16.5" customFormat="1" customHeight="1" s="716">
      <c r="A90" s="716" t="n"/>
      <c r="B90" s="716" t="n"/>
      <c r="C90" s="716" t="n"/>
      <c r="D90" s="716" t="n"/>
      <c r="E90" s="716" t="n"/>
      <c r="F90" s="716" t="n"/>
      <c r="G90" s="716" t="n"/>
      <c r="H90" s="716" t="n"/>
      <c r="I90" s="716" t="n"/>
      <c r="J90" s="716" t="n"/>
      <c r="K90" s="716" t="n"/>
      <c r="L90" s="716" t="n"/>
      <c r="M90" s="716" t="n"/>
      <c r="N90" s="716" t="n"/>
      <c r="O90" s="716" t="n"/>
      <c r="P90" s="716" t="n"/>
      <c r="Q90" s="716" t="n"/>
      <c r="R90" s="716" t="n"/>
      <c r="S90" s="462">
        <f>IF(_epmOfflineCondition_,"  商誉",EPMMemberDesc(V90))</f>
        <v/>
      </c>
      <c r="T90" s="716" t="n"/>
      <c r="U90" s="384" t="inlineStr">
        <is>
          <t>A001010222</t>
        </is>
      </c>
      <c r="V90" s="459">
        <f>IF(_epmOfflineCondition_,"A001010222",EPMOlapMemberO(U90,"[C_ACCOUNT].[PARENTH1].[A001010222]","A001010222 -   商誉","","000"))</f>
        <v/>
      </c>
      <c r="W90" s="462" t="n"/>
      <c r="X90" s="705" t="inlineStr">
        <is>
          <t xml:space="preserve">    商誉</t>
        </is>
      </c>
      <c r="Y90" s="1185">
        <f>ROW()-49</f>
        <v/>
      </c>
      <c r="Z90" s="1189" t="n"/>
      <c r="AA90" s="1189" t="n"/>
      <c r="AB90" s="1190" t="n"/>
      <c r="AC90" s="1189" t="n"/>
      <c r="AD90" s="1189" t="n"/>
      <c r="AE90" s="1187" t="n"/>
      <c r="AF90" s="1188" t="n"/>
      <c r="AG90" s="1188">
        <f>IF(_epmOfflineCondition_,"所有者权益（或股东权益）：",EPMMemberDesc(AI90))</f>
        <v/>
      </c>
      <c r="AH90" s="390" t="inlineStr">
        <is>
          <t>A0010599</t>
        </is>
      </c>
      <c r="AI90" s="462">
        <f>IF(_epmOfflineCondition_,"A0010599",EPMOlapMemberO(AH90,"[C_ACCOUNT].[PARENTH1].[A0010599]","A0010599 - 所有者权益（或股东权益）：","","001"))</f>
        <v/>
      </c>
      <c r="AJ90" s="1045" t="inlineStr">
        <is>
          <t>所有者权益（或股东权益）：</t>
        </is>
      </c>
      <c r="AK90" s="649" t="inlineStr">
        <is>
          <t>-</t>
        </is>
      </c>
      <c r="AL90" s="1186">
        <f>"— —"</f>
        <v/>
      </c>
      <c r="AM90" s="1186">
        <f>"— —"</f>
        <v/>
      </c>
      <c r="AN90" s="1186">
        <f>"— —"</f>
        <v/>
      </c>
      <c r="AO90" s="1186">
        <f>"— —"</f>
        <v/>
      </c>
      <c r="AP90" s="1186">
        <f>"— —"</f>
        <v/>
      </c>
      <c r="AQ90" s="716" t="n"/>
      <c r="AR90" s="716" t="n"/>
      <c r="AS90" s="716" t="n"/>
      <c r="AT90" s="716" t="n"/>
      <c r="AU90" s="716" t="n"/>
    </row>
    <row r="91" ht="16.5" customFormat="1" customHeight="1" s="716">
      <c r="A91" s="716" t="n"/>
      <c r="B91" s="716" t="n"/>
      <c r="C91" s="716" t="n"/>
      <c r="D91" s="716" t="n"/>
      <c r="E91" s="716" t="n"/>
      <c r="F91" s="716" t="n"/>
      <c r="G91" s="716" t="n"/>
      <c r="H91" s="716" t="n"/>
      <c r="I91" s="716" t="n"/>
      <c r="J91" s="716" t="n"/>
      <c r="K91" s="716" t="n"/>
      <c r="L91" s="716" t="n"/>
      <c r="M91" s="716" t="n"/>
      <c r="N91" s="716" t="n"/>
      <c r="O91" s="716" t="n"/>
      <c r="P91" s="716" t="n"/>
      <c r="Q91" s="716" t="n"/>
      <c r="R91" s="716" t="n"/>
      <c r="S91" s="462">
        <f>IF(_epmOfflineCondition_,"  长期待摊费用",EPMMemberDesc(V91))</f>
        <v/>
      </c>
      <c r="T91" s="716" t="n"/>
      <c r="U91" s="384" t="inlineStr">
        <is>
          <t>A001010223</t>
        </is>
      </c>
      <c r="V91" s="459">
        <f>IF(_epmOfflineCondition_,"A001010223",EPMOlapMemberO(U91,"[C_ACCOUNT].[PARENTH1].[A001010223]","A001010223 -   长期待摊费用","","000"))</f>
        <v/>
      </c>
      <c r="W91" s="462" t="n"/>
      <c r="X91" s="705" t="inlineStr">
        <is>
          <t xml:space="preserve">    长期待摊费用</t>
        </is>
      </c>
      <c r="Y91" s="1185">
        <f>ROW()-49</f>
        <v/>
      </c>
      <c r="Z91" s="1189" t="n"/>
      <c r="AA91" s="1189" t="n"/>
      <c r="AB91" s="1190" t="n"/>
      <c r="AC91" s="1189" t="n"/>
      <c r="AD91" s="1189" t="n"/>
      <c r="AE91" s="1187" t="n"/>
      <c r="AF91" s="1188" t="n"/>
      <c r="AG91" s="1188">
        <f>IF(_epmOfflineCondition_,"  实收资本（或股本）",EPMMemberDesc(AI91))</f>
        <v/>
      </c>
      <c r="AH91" s="390" t="inlineStr">
        <is>
          <t>A0010301</t>
        </is>
      </c>
      <c r="AI91" s="635">
        <f>IF(_epmOfflineCondition_,"A0010301",EPMOlapMemberO(AH91,"[C_ACCOUNT].[PARENTH1].[A0010301]","A0010301 -   实收资本（或股本）","","001"))</f>
        <v/>
      </c>
      <c r="AJ91" s="705" t="inlineStr">
        <is>
          <t>实收资本（股本）</t>
        </is>
      </c>
      <c r="AK91" s="649">
        <f>ROW()-3</f>
        <v/>
      </c>
      <c r="AL91" s="1191" t="inlineStr"/>
      <c r="AM91" s="1191" t="n"/>
      <c r="AN91" s="1191" t="n"/>
      <c r="AO91" s="1191" t="inlineStr"/>
      <c r="AP91" s="1191" t="inlineStr"/>
      <c r="AQ91" s="716" t="n"/>
      <c r="AR91" s="716" t="n"/>
      <c r="AS91" s="716" t="n"/>
      <c r="AT91" s="716" t="n"/>
      <c r="AU91" s="716" t="n"/>
    </row>
    <row r="92" ht="16.5" customFormat="1" customHeight="1" s="716">
      <c r="A92" s="716" t="n"/>
      <c r="B92" s="716" t="n"/>
      <c r="C92" s="716" t="n"/>
      <c r="D92" s="716" t="n"/>
      <c r="E92" s="716" t="n"/>
      <c r="F92" s="716" t="n"/>
      <c r="G92" s="716" t="n"/>
      <c r="H92" s="716" t="n"/>
      <c r="I92" s="716" t="n"/>
      <c r="J92" s="716" t="n"/>
      <c r="K92" s="716" t="n"/>
      <c r="L92" s="716" t="n"/>
      <c r="M92" s="716" t="n"/>
      <c r="N92" s="716" t="n"/>
      <c r="O92" s="716" t="n"/>
      <c r="P92" s="716" t="n"/>
      <c r="Q92" s="716" t="n"/>
      <c r="R92" s="716" t="n"/>
      <c r="S92" s="462">
        <f>IF(_epmOfflineCondition_,"  递延所得税资产",EPMMemberDesc(V92))</f>
        <v/>
      </c>
      <c r="T92" s="716" t="n"/>
      <c r="U92" s="384" t="inlineStr">
        <is>
          <t>A001010224</t>
        </is>
      </c>
      <c r="V92" s="459">
        <f>IF(_epmOfflineCondition_,"A001010224",EPMOlapMemberO(U92,"[C_ACCOUNT].[PARENTH1].[A001010224]","A001010224 -   递延所得税资产","","000"))</f>
        <v/>
      </c>
      <c r="W92" s="462" t="n"/>
      <c r="X92" s="705" t="inlineStr">
        <is>
          <t xml:space="preserve">    递延所得税资产</t>
        </is>
      </c>
      <c r="Y92" s="1185">
        <f>ROW()-49</f>
        <v/>
      </c>
      <c r="Z92" s="1189" t="n"/>
      <c r="AA92" s="1189" t="n"/>
      <c r="AB92" s="1190" t="n"/>
      <c r="AC92" s="1189" t="n"/>
      <c r="AD92" s="1189" t="n"/>
      <c r="AE92" s="1187" t="n"/>
      <c r="AF92" s="1188" t="n"/>
      <c r="AG92" s="1188">
        <f>IF(_epmOfflineCondition_,"  其他权益工具",EPMMemberDesc(AI92))</f>
        <v/>
      </c>
      <c r="AH92" s="390" t="inlineStr">
        <is>
          <t>A0010302</t>
        </is>
      </c>
      <c r="AI92" s="635">
        <f>IF(_epmOfflineCondition_,"A0010302",EPMOlapMemberO(AH92,"[C_ACCOUNT].[PARENTH1].[A0010302]","A0010302 -   其他权益工具","","001"))</f>
        <v/>
      </c>
      <c r="AJ92" s="705" t="inlineStr">
        <is>
          <t>其他权益工具</t>
        </is>
      </c>
      <c r="AK92" s="649">
        <f>ROW()-3</f>
        <v/>
      </c>
      <c r="AL92" s="1191" t="n"/>
      <c r="AM92" s="1191" t="n"/>
      <c r="AN92" s="1191" t="n"/>
      <c r="AO92" s="1191" t="n"/>
      <c r="AP92" s="1191" t="n"/>
      <c r="AQ92" s="716" t="n"/>
      <c r="AR92" s="716" t="n"/>
      <c r="AS92" s="716" t="n"/>
      <c r="AT92" s="716" t="n"/>
      <c r="AU92" s="716" t="n"/>
    </row>
    <row r="93" ht="16.5" customFormat="1" customHeight="1" s="716">
      <c r="A93" s="716" t="n"/>
      <c r="B93" s="716" t="n"/>
      <c r="C93" s="716" t="n"/>
      <c r="D93" s="716" t="n"/>
      <c r="E93" s="716" t="n"/>
      <c r="F93" s="716" t="n"/>
      <c r="G93" s="716" t="n"/>
      <c r="H93" s="716" t="n"/>
      <c r="I93" s="716" t="n"/>
      <c r="J93" s="716" t="n"/>
      <c r="K93" s="716" t="n"/>
      <c r="L93" s="716" t="n"/>
      <c r="M93" s="716" t="n"/>
      <c r="N93" s="716" t="n"/>
      <c r="O93" s="716" t="n"/>
      <c r="P93" s="716" t="n"/>
      <c r="Q93" s="716" t="n"/>
      <c r="R93" s="716" t="n"/>
      <c r="S93" s="462">
        <f>IF(_epmOfflineCondition_,"  其他非流动资产",EPMMemberDesc(V93))</f>
        <v/>
      </c>
      <c r="T93" s="716" t="n"/>
      <c r="U93" s="384" t="inlineStr">
        <is>
          <t>A001010225</t>
        </is>
      </c>
      <c r="V93" s="459">
        <f>IF(_epmOfflineCondition_,"A001010225",EPMOlapMemberO(U93,"[C_ACCOUNT].[PARENTH1].[A001010225]","A001010225 -   其他非流动资产","","000"))</f>
        <v/>
      </c>
      <c r="W93" s="462" t="n"/>
      <c r="X93" s="705" t="inlineStr">
        <is>
          <t xml:space="preserve">    其他非流动资产</t>
        </is>
      </c>
      <c r="Y93" s="1185">
        <f>ROW()-49</f>
        <v/>
      </c>
      <c r="Z93" s="1189" t="n"/>
      <c r="AA93" s="1189" t="inlineStr"/>
      <c r="AB93" s="1190" t="inlineStr"/>
      <c r="AC93" s="1189" t="inlineStr"/>
      <c r="AD93" s="1189" t="inlineStr"/>
      <c r="AE93" s="1187" t="n"/>
      <c r="AF93" s="1188" t="n"/>
      <c r="AG93" s="1188">
        <f>IF(_epmOfflineCondition_,"      其中：优先股",EPMMemberDesc(AI93))</f>
        <v/>
      </c>
      <c r="AH93" s="390" t="inlineStr">
        <is>
          <t>A001030201</t>
        </is>
      </c>
      <c r="AI93" s="637">
        <f>IF(_epmOfflineCondition_,"A001030201",EPMOlapMemberO(AH93,"[C_ACCOUNT].[PARENTH1].[A001030201]","A001030201 -       其中：优先股","","001"))</f>
        <v/>
      </c>
      <c r="AJ93" s="1047" t="inlineStr">
        <is>
          <t>其中：优先股</t>
        </is>
      </c>
      <c r="AK93" s="649">
        <f>ROW()-3</f>
        <v/>
      </c>
      <c r="AL93" s="1191" t="n"/>
      <c r="AM93" s="1191" t="n"/>
      <c r="AN93" s="1191" t="n"/>
      <c r="AO93" s="1191" t="n"/>
      <c r="AP93" s="1191" t="n"/>
      <c r="AQ93" s="716" t="n"/>
      <c r="AR93" s="716" t="n"/>
      <c r="AS93" s="716" t="n"/>
      <c r="AT93" s="716" t="n"/>
      <c r="AU93" s="716" t="n"/>
    </row>
    <row r="94" ht="16.5" customFormat="1" customHeight="1" s="716">
      <c r="A94" s="716" t="n"/>
      <c r="B94" s="716" t="n"/>
      <c r="C94" s="716" t="n"/>
      <c r="D94" s="716" t="n"/>
      <c r="E94" s="716" t="n"/>
      <c r="F94" s="716" t="n"/>
      <c r="G94" s="716" t="n"/>
      <c r="H94" s="716" t="n"/>
      <c r="I94" s="716" t="n"/>
      <c r="J94" s="716" t="n"/>
      <c r="K94" s="716" t="n"/>
      <c r="L94" s="716" t="n"/>
      <c r="M94" s="716" t="n"/>
      <c r="N94" s="716" t="n"/>
      <c r="O94" s="716" t="n"/>
      <c r="P94" s="716" t="n"/>
      <c r="Q94" s="716" t="n"/>
      <c r="R94" s="716" t="n"/>
      <c r="S94" s="462">
        <f>IF(_epmOfflineCondition_,"　       非流动资产合计",EPMMemberDesc(V94))</f>
        <v/>
      </c>
      <c r="T94" s="716" t="n"/>
      <c r="U94" s="384" t="inlineStr">
        <is>
          <t>A0010102</t>
        </is>
      </c>
      <c r="V94" s="535">
        <f>IF(_epmOfflineCondition_,"A0010102",EPMOlapMemberO(U94,"[C_ACCOUNT].[PARENTH1].[A0010102]","A0010102 - 　       非流动资产合计","","000"))</f>
        <v/>
      </c>
      <c r="W94" s="462" t="n"/>
      <c r="X94" s="852" t="inlineStr">
        <is>
          <t xml:space="preserve">　       非流动资产合计</t>
        </is>
      </c>
      <c r="Y94" s="1185">
        <f>ROW()-49</f>
        <v/>
      </c>
      <c r="Z94" s="1189" t="inlineStr"/>
      <c r="AA94" s="1189" t="inlineStr"/>
      <c r="AB94" s="1190" t="inlineStr"/>
      <c r="AC94" s="1189" t="inlineStr"/>
      <c r="AD94" s="1189" t="inlineStr"/>
      <c r="AE94" s="1187" t="n"/>
      <c r="AF94" s="1188" t="n"/>
      <c r="AG94" s="1188">
        <f>IF(_epmOfflineCondition_,"                 永续债",EPMMemberDesc(AI94))</f>
        <v/>
      </c>
      <c r="AH94" s="390" t="inlineStr">
        <is>
          <t>A001030202</t>
        </is>
      </c>
      <c r="AI94" s="637">
        <f>IF(_epmOfflineCondition_,"A001030202",EPMOlapMemberO(AH94,"[C_ACCOUNT].[PARENTH1].[A001030202]","A001030202 -                  永续债","","001"))</f>
        <v/>
      </c>
      <c r="AJ94" s="1048" t="inlineStr">
        <is>
          <t xml:space="preserve"> 永续债</t>
        </is>
      </c>
      <c r="AK94" s="649">
        <f>ROW()-3</f>
        <v/>
      </c>
      <c r="AL94" s="1191" t="n"/>
      <c r="AM94" s="1191" t="n"/>
      <c r="AN94" s="1191" t="n"/>
      <c r="AO94" s="1191" t="n"/>
      <c r="AP94" s="1191" t="n"/>
      <c r="AQ94" s="716" t="n"/>
      <c r="AR94" s="716" t="n"/>
      <c r="AS94" s="716" t="n"/>
      <c r="AT94" s="716" t="n"/>
      <c r="AU94" s="716" t="n"/>
    </row>
    <row r="95" ht="16.5" customFormat="1" customHeight="1" s="716">
      <c r="A95" s="716" t="n"/>
      <c r="B95" s="716" t="n"/>
      <c r="C95" s="716" t="n"/>
      <c r="D95" s="716" t="n"/>
      <c r="E95" s="716" t="n"/>
      <c r="F95" s="716" t="n"/>
      <c r="G95" s="716" t="n"/>
      <c r="H95" s="716" t="n"/>
      <c r="I95" s="716" t="n"/>
      <c r="J95" s="716" t="n"/>
      <c r="K95" s="716" t="n"/>
      <c r="L95" s="716" t="n"/>
      <c r="M95" s="716" t="n"/>
      <c r="N95" s="716" t="n"/>
      <c r="O95" s="716" t="n"/>
      <c r="P95" s="716" t="n"/>
      <c r="Q95" s="716" t="n"/>
      <c r="R95" s="716" t="n"/>
      <c r="S95" s="462" t="n"/>
      <c r="T95" s="716" t="n"/>
      <c r="U95" s="384" t="n"/>
      <c r="V95" s="459" t="n"/>
      <c r="W95" s="462" t="n"/>
      <c r="X95" s="705" t="n"/>
      <c r="Y95" s="1185" t="n"/>
      <c r="Z95" s="1189" t="n"/>
      <c r="AA95" s="1189" t="n"/>
      <c r="AB95" s="1190" t="n"/>
      <c r="AC95" s="1189" t="n"/>
      <c r="AD95" s="1189" t="n"/>
      <c r="AE95" s="1187" t="n"/>
      <c r="AF95" s="1188" t="n"/>
      <c r="AG95" s="1188">
        <f>IF(_epmOfflineCondition_,"  资本公积",EPMMemberDesc(AI95))</f>
        <v/>
      </c>
      <c r="AH95" s="390" t="inlineStr">
        <is>
          <t>A0010303</t>
        </is>
      </c>
      <c r="AI95" s="635">
        <f>IF(_epmOfflineCondition_,"A0010303",EPMOlapMemberO(AH95,"[C_ACCOUNT].[PARENTH1].[A0010303]","A0010303 -   资本公积","","001"))</f>
        <v/>
      </c>
      <c r="AJ95" s="705" t="inlineStr">
        <is>
          <t>资本公积</t>
        </is>
      </c>
      <c r="AK95" s="649">
        <f>ROW()-3</f>
        <v/>
      </c>
      <c r="AL95" s="1191" t="n"/>
      <c r="AM95" s="1191" t="n"/>
      <c r="AN95" s="1191" t="n"/>
      <c r="AO95" s="1191" t="n"/>
      <c r="AP95" s="1191" t="n"/>
      <c r="AQ95" s="716" t="n"/>
      <c r="AR95" s="716" t="n"/>
      <c r="AS95" s="716" t="n"/>
      <c r="AT95" s="716" t="n"/>
      <c r="AU95" s="716" t="n"/>
    </row>
    <row r="96" ht="16.5" customFormat="1" customHeight="1" s="716">
      <c r="A96" s="716" t="n"/>
      <c r="B96" s="716" t="n"/>
      <c r="C96" s="716" t="n"/>
      <c r="D96" s="716" t="n"/>
      <c r="E96" s="716" t="n"/>
      <c r="F96" s="716" t="n"/>
      <c r="G96" s="716" t="n"/>
      <c r="H96" s="716" t="n"/>
      <c r="I96" s="716" t="n"/>
      <c r="J96" s="716" t="n"/>
      <c r="K96" s="716" t="n"/>
      <c r="L96" s="716" t="n"/>
      <c r="M96" s="716" t="n"/>
      <c r="N96" s="716" t="n"/>
      <c r="O96" s="716" t="n"/>
      <c r="P96" s="716" t="n"/>
      <c r="Q96" s="716" t="n"/>
      <c r="R96" s="716" t="n"/>
      <c r="S96" s="462" t="n"/>
      <c r="T96" s="716" t="n"/>
      <c r="U96" s="384" t="n"/>
      <c r="V96" s="459" t="n"/>
      <c r="W96" s="462" t="n"/>
      <c r="X96" s="852" t="n"/>
      <c r="Y96" s="1185" t="n"/>
      <c r="Z96" s="1189" t="n"/>
      <c r="AA96" s="1189" t="n"/>
      <c r="AB96" s="1190" t="n"/>
      <c r="AC96" s="1189" t="n"/>
      <c r="AD96" s="1189" t="n"/>
      <c r="AE96" s="1187" t="n"/>
      <c r="AF96" s="1188" t="n"/>
      <c r="AG96" s="1188">
        <f>IF(_epmOfflineCondition_,"  减：库存股",EPMMemberDesc(AI96))</f>
        <v/>
      </c>
      <c r="AH96" s="390" t="inlineStr">
        <is>
          <t>A0010304</t>
        </is>
      </c>
      <c r="AI96" s="635">
        <f>IF(_epmOfflineCondition_,"A0010304",EPMOlapMemberO(AH96,"[C_ACCOUNT].[PARENTH1].[A0010304]","A0010304 -   减：库存股","","001"))</f>
        <v/>
      </c>
      <c r="AJ96" s="1047" t="inlineStr">
        <is>
          <t>减：库存股</t>
        </is>
      </c>
      <c r="AK96" s="649">
        <f>ROW()-3</f>
        <v/>
      </c>
      <c r="AL96" s="1191" t="n"/>
      <c r="AM96" s="1191" t="n"/>
      <c r="AN96" s="1191" t="n"/>
      <c r="AO96" s="1191" t="n"/>
      <c r="AP96" s="1191" t="n"/>
      <c r="AQ96" s="716" t="n"/>
      <c r="AR96" s="716" t="n"/>
      <c r="AS96" s="716" t="n"/>
      <c r="AT96" s="716" t="n"/>
      <c r="AU96" s="716" t="n"/>
    </row>
    <row r="97" ht="16.5" customFormat="1" customHeight="1" s="716">
      <c r="A97" s="716" t="n"/>
      <c r="B97" s="716" t="n"/>
      <c r="C97" s="716" t="n"/>
      <c r="D97" s="716" t="n"/>
      <c r="E97" s="716" t="n"/>
      <c r="F97" s="716" t="n"/>
      <c r="G97" s="716" t="n"/>
      <c r="H97" s="716" t="n"/>
      <c r="I97" s="716" t="n"/>
      <c r="J97" s="716" t="n"/>
      <c r="K97" s="716" t="n"/>
      <c r="L97" s="716" t="n"/>
      <c r="M97" s="716" t="n"/>
      <c r="N97" s="716" t="n"/>
      <c r="O97" s="716" t="n"/>
      <c r="P97" s="716" t="n"/>
      <c r="Q97" s="716" t="n"/>
      <c r="R97" s="716" t="n"/>
      <c r="S97" s="462" t="n"/>
      <c r="T97" s="716" t="n"/>
      <c r="U97" s="384" t="n"/>
      <c r="V97" s="459" t="n"/>
      <c r="W97" s="462" t="n"/>
      <c r="X97" s="869" t="n"/>
      <c r="Y97" s="1185" t="n"/>
      <c r="Z97" s="1189" t="n"/>
      <c r="AA97" s="1189" t="n"/>
      <c r="AB97" s="1190" t="n"/>
      <c r="AC97" s="1189" t="n"/>
      <c r="AD97" s="1189" t="n"/>
      <c r="AE97" s="1187" t="n"/>
      <c r="AF97" s="1188" t="n"/>
      <c r="AG97" s="1188">
        <f>IF(_epmOfflineCondition_,"  其他综合收益",EPMMemberDesc(AI97))</f>
        <v/>
      </c>
      <c r="AH97" s="390" t="inlineStr">
        <is>
          <t>A0010305</t>
        </is>
      </c>
      <c r="AI97" s="635">
        <f>IF(_epmOfflineCondition_,"A0010305",EPMOlapMemberO(AH97,"[C_ACCOUNT].[PARENTH1].[A0010305]","A0010305 -   其他综合收益","","001"))</f>
        <v/>
      </c>
      <c r="AJ97" s="705" t="inlineStr">
        <is>
          <t>其他综合收益</t>
        </is>
      </c>
      <c r="AK97" s="649">
        <f>ROW()-3</f>
        <v/>
      </c>
      <c r="AL97" s="1191" t="n"/>
      <c r="AM97" s="1191" t="n"/>
      <c r="AN97" s="1191" t="n"/>
      <c r="AO97" s="1191" t="n"/>
      <c r="AP97" s="1191" t="n"/>
      <c r="AQ97" s="716" t="n"/>
      <c r="AR97" s="716" t="n"/>
      <c r="AS97" s="716" t="n"/>
      <c r="AT97" s="716" t="n"/>
      <c r="AU97" s="716" t="n"/>
    </row>
    <row r="98" ht="16.5" customFormat="1" customHeight="1" s="716">
      <c r="A98" s="716" t="n"/>
      <c r="B98" s="716" t="n"/>
      <c r="C98" s="716" t="n"/>
      <c r="D98" s="716" t="n"/>
      <c r="E98" s="716" t="n"/>
      <c r="F98" s="716" t="n"/>
      <c r="G98" s="716" t="n"/>
      <c r="H98" s="716" t="n"/>
      <c r="I98" s="716" t="n"/>
      <c r="J98" s="716" t="n"/>
      <c r="K98" s="716" t="n"/>
      <c r="L98" s="716" t="n"/>
      <c r="M98" s="716" t="n"/>
      <c r="N98" s="716" t="n"/>
      <c r="O98" s="716" t="n"/>
      <c r="P98" s="716" t="n"/>
      <c r="Q98" s="716" t="n"/>
      <c r="R98" s="716" t="n"/>
      <c r="S98" s="462" t="n"/>
      <c r="T98" s="716" t="n"/>
      <c r="U98" s="384" t="n"/>
      <c r="V98" s="459" t="n"/>
      <c r="W98" s="462" t="n"/>
      <c r="X98" s="869" t="n"/>
      <c r="Y98" s="1185" t="n"/>
      <c r="Z98" s="1189" t="n"/>
      <c r="AA98" s="1189" t="n"/>
      <c r="AB98" s="1190" t="n"/>
      <c r="AC98" s="1189" t="n"/>
      <c r="AD98" s="1189" t="n"/>
      <c r="AE98" s="1187" t="n"/>
      <c r="AF98" s="1188" t="n"/>
      <c r="AG98" s="1188">
        <f>IF(_epmOfflineCondition_,"            8.外币财务报表折算差额",EPMMemberDesc(AI98))</f>
        <v/>
      </c>
      <c r="AH98" s="390" t="inlineStr">
        <is>
          <t>A00103051</t>
        </is>
      </c>
      <c r="AI98" s="1018">
        <f>IF(_epmOfflineCondition_,"A00103051",EPMOlapMemberO(AH98,"[C_ACCOUNT].[PARENTH1].[A00103051]","A00103051 -             8.外币财务报表折算差额","","001"))</f>
        <v/>
      </c>
      <c r="AJ98" s="1047" t="inlineStr">
        <is>
          <t>其中：外币报表折算差额</t>
        </is>
      </c>
      <c r="AK98" s="649">
        <f>ROW()-3</f>
        <v/>
      </c>
      <c r="AL98" s="1191" t="n"/>
      <c r="AM98" s="1191" t="n"/>
      <c r="AN98" s="1191" t="n"/>
      <c r="AO98" s="1191" t="n"/>
      <c r="AP98" s="1191" t="n"/>
      <c r="AQ98" s="716" t="n"/>
      <c r="AR98" s="716" t="n"/>
      <c r="AS98" s="716" t="n"/>
      <c r="AT98" s="716" t="n"/>
      <c r="AU98" s="716" t="n"/>
    </row>
    <row r="99" ht="16.5" customFormat="1" customHeight="1" s="716">
      <c r="A99" s="716" t="n"/>
      <c r="B99" s="716" t="n"/>
      <c r="C99" s="716" t="n"/>
      <c r="D99" s="716" t="n"/>
      <c r="E99" s="716" t="n"/>
      <c r="F99" s="716" t="n"/>
      <c r="G99" s="716" t="n"/>
      <c r="H99" s="716" t="n"/>
      <c r="I99" s="716" t="n"/>
      <c r="J99" s="716" t="n"/>
      <c r="K99" s="716" t="n"/>
      <c r="L99" s="716" t="n"/>
      <c r="M99" s="716" t="n"/>
      <c r="N99" s="716" t="n"/>
      <c r="O99" s="716" t="n"/>
      <c r="P99" s="716" t="n"/>
      <c r="Q99" s="716" t="n"/>
      <c r="R99" s="716" t="n"/>
      <c r="S99" s="462" t="n"/>
      <c r="T99" s="716" t="n"/>
      <c r="U99" s="716" t="n"/>
      <c r="V99" s="635" t="n"/>
      <c r="W99" s="462" t="n"/>
      <c r="X99" s="869" t="n"/>
      <c r="Y99" s="1185" t="n"/>
      <c r="Z99" s="1189" t="n"/>
      <c r="AA99" s="1189" t="n"/>
      <c r="AB99" s="1190" t="n"/>
      <c r="AC99" s="1189" t="n"/>
      <c r="AD99" s="1189" t="n"/>
      <c r="AE99" s="1187" t="n"/>
      <c r="AF99" s="1188" t="n"/>
      <c r="AG99" s="1188">
        <f>IF(_epmOfflineCondition_,"  专项储备",EPMMemberDesc(AI99))</f>
        <v/>
      </c>
      <c r="AH99" s="390" t="inlineStr">
        <is>
          <t>A0010306</t>
        </is>
      </c>
      <c r="AI99" s="635">
        <f>IF(_epmOfflineCondition_,"A0010306",EPMOlapMemberO(AH99,"[C_ACCOUNT].[PARENTH1].[A0010306]","A0010306 -   专项储备","","001"))</f>
        <v/>
      </c>
      <c r="AJ99" s="705" t="inlineStr">
        <is>
          <t>专项储备</t>
        </is>
      </c>
      <c r="AK99" s="649">
        <f>ROW()-3</f>
        <v/>
      </c>
      <c r="AL99" s="1191" t="inlineStr"/>
      <c r="AM99" s="1191" t="n"/>
      <c r="AN99" s="1191" t="n"/>
      <c r="AO99" s="1191" t="inlineStr"/>
      <c r="AP99" s="1191" t="inlineStr"/>
      <c r="AQ99" s="716" t="n"/>
      <c r="AR99" s="716" t="n"/>
      <c r="AS99" s="716" t="n"/>
      <c r="AT99" s="716" t="n"/>
      <c r="AU99" s="716" t="n"/>
    </row>
    <row r="100" ht="16.5" customFormat="1" customHeight="1" s="716">
      <c r="A100" s="716" t="n"/>
      <c r="B100" s="716" t="n"/>
      <c r="C100" s="716" t="n"/>
      <c r="D100" s="716" t="n"/>
      <c r="E100" s="716" t="n"/>
      <c r="F100" s="716" t="n"/>
      <c r="G100" s="716" t="n"/>
      <c r="H100" s="716" t="n"/>
      <c r="I100" s="716" t="n"/>
      <c r="J100" s="716" t="n"/>
      <c r="K100" s="716" t="n"/>
      <c r="L100" s="716" t="n"/>
      <c r="M100" s="716" t="n"/>
      <c r="N100" s="716" t="n"/>
      <c r="O100" s="716" t="n"/>
      <c r="P100" s="716" t="n"/>
      <c r="Q100" s="716" t="n"/>
      <c r="R100" s="716" t="n"/>
      <c r="S100" s="462" t="n"/>
      <c r="T100" s="716" t="n"/>
      <c r="U100" s="716" t="n"/>
      <c r="V100" s="635" t="n"/>
      <c r="W100" s="462" t="n"/>
      <c r="X100" s="869" t="n"/>
      <c r="Y100" s="1185" t="n"/>
      <c r="Z100" s="1189" t="n"/>
      <c r="AA100" s="1189" t="n"/>
      <c r="AB100" s="1190" t="n"/>
      <c r="AC100" s="1189" t="n"/>
      <c r="AD100" s="1189" t="n"/>
      <c r="AE100" s="1187" t="n"/>
      <c r="AF100" s="1188" t="n"/>
      <c r="AG100" s="1188">
        <f>IF(_epmOfflineCondition_,"  盈余公积",EPMMemberDesc(AI100))</f>
        <v/>
      </c>
      <c r="AH100" s="390" t="inlineStr">
        <is>
          <t>A0010307</t>
        </is>
      </c>
      <c r="AI100" s="635">
        <f>IF(_epmOfflineCondition_,"A0010307",EPMOlapMemberO(AH100,"[C_ACCOUNT].[PARENTH1].[A0010307]","A0010307 -   盈余公积","","001"))</f>
        <v/>
      </c>
      <c r="AJ100" s="705" t="inlineStr">
        <is>
          <t>盈余公积</t>
        </is>
      </c>
      <c r="AK100" s="649">
        <f>ROW()-3</f>
        <v/>
      </c>
      <c r="AL100" s="1191" t="n"/>
      <c r="AM100" s="1191" t="n"/>
      <c r="AN100" s="1191" t="n"/>
      <c r="AO100" s="1191" t="n"/>
      <c r="AP100" s="1191" t="n"/>
      <c r="AQ100" s="716" t="n"/>
      <c r="AR100" s="716" t="n"/>
      <c r="AS100" s="716" t="n"/>
      <c r="AT100" s="716" t="n"/>
      <c r="AU100" s="716" t="n"/>
    </row>
    <row r="101" ht="16.5" customFormat="1" customHeight="1" s="716">
      <c r="A101" s="716" t="n"/>
      <c r="B101" s="716" t="n"/>
      <c r="C101" s="716" t="n"/>
      <c r="D101" s="716" t="n"/>
      <c r="E101" s="716" t="n"/>
      <c r="F101" s="716" t="n"/>
      <c r="G101" s="716" t="n"/>
      <c r="H101" s="716" t="n"/>
      <c r="I101" s="716" t="n"/>
      <c r="J101" s="716" t="n"/>
      <c r="K101" s="716" t="n"/>
      <c r="L101" s="716" t="n"/>
      <c r="M101" s="716" t="n"/>
      <c r="N101" s="716" t="n"/>
      <c r="O101" s="716" t="n"/>
      <c r="P101" s="716" t="n"/>
      <c r="Q101" s="716" t="n"/>
      <c r="R101" s="716" t="n"/>
      <c r="S101" s="462" t="n"/>
      <c r="T101" s="716" t="n"/>
      <c r="U101" s="384" t="n"/>
      <c r="V101" s="459" t="n"/>
      <c r="W101" s="462" t="n"/>
      <c r="X101" s="869" t="n"/>
      <c r="Y101" s="1185" t="n"/>
      <c r="Z101" s="1189" t="n"/>
      <c r="AA101" s="1189" t="n"/>
      <c r="AB101" s="1190" t="n"/>
      <c r="AC101" s="1189" t="n"/>
      <c r="AD101" s="1189" t="n"/>
      <c r="AE101" s="1187" t="n"/>
      <c r="AF101" s="1188" t="n"/>
      <c r="AG101" s="1188">
        <f>IF(_epmOfflineCondition_,"      其中：法定公积金",EPMMemberDesc(AI101))</f>
        <v/>
      </c>
      <c r="AH101" s="390" t="inlineStr">
        <is>
          <t>A001030701</t>
        </is>
      </c>
      <c r="AI101" s="637">
        <f>IF(_epmOfflineCondition_,"A001030701",EPMOlapMemberO(AH101,"[C_ACCOUNT].[PARENTH1].[A001030701]","A001030701 -       其中：法定公积金","","001"))</f>
        <v/>
      </c>
      <c r="AJ101" s="1047" t="inlineStr">
        <is>
          <t>其中：法定公积金</t>
        </is>
      </c>
      <c r="AK101" s="649">
        <f>ROW()-3</f>
        <v/>
      </c>
      <c r="AL101" s="1191" t="n"/>
      <c r="AM101" s="1191" t="n"/>
      <c r="AN101" s="1191" t="n"/>
      <c r="AO101" s="1191" t="n"/>
      <c r="AP101" s="1191" t="n"/>
      <c r="AQ101" s="716" t="n"/>
      <c r="AR101" s="716" t="n"/>
      <c r="AS101" s="716" t="n"/>
      <c r="AT101" s="716" t="n"/>
      <c r="AU101" s="716" t="n"/>
    </row>
    <row r="102" ht="16.5" customFormat="1" customHeight="1" s="716">
      <c r="A102" s="716" t="n"/>
      <c r="B102" s="716" t="n"/>
      <c r="C102" s="716" t="n"/>
      <c r="D102" s="716" t="n"/>
      <c r="E102" s="716" t="n"/>
      <c r="F102" s="716" t="n"/>
      <c r="G102" s="716" t="n"/>
      <c r="H102" s="716" t="n"/>
      <c r="I102" s="716" t="n"/>
      <c r="J102" s="716" t="n"/>
      <c r="K102" s="716" t="n"/>
      <c r="L102" s="716" t="n"/>
      <c r="M102" s="716" t="n"/>
      <c r="N102" s="716" t="n"/>
      <c r="O102" s="716" t="n"/>
      <c r="P102" s="716" t="n"/>
      <c r="Q102" s="716" t="n"/>
      <c r="R102" s="716" t="n"/>
      <c r="S102" s="462" t="n"/>
      <c r="T102" s="716" t="n"/>
      <c r="U102" s="716" t="n"/>
      <c r="V102" s="635" t="n"/>
      <c r="W102" s="462" t="n"/>
      <c r="X102" s="869" t="n"/>
      <c r="Y102" s="1185" t="n"/>
      <c r="Z102" s="1189" t="n"/>
      <c r="AA102" s="1189" t="n"/>
      <c r="AB102" s="1190" t="n"/>
      <c r="AC102" s="1189" t="n"/>
      <c r="AD102" s="1189" t="n"/>
      <c r="AE102" s="1187" t="n"/>
      <c r="AF102" s="1188" t="n"/>
      <c r="AG102" s="1188">
        <f>IF(_epmOfflineCondition_,"                 任意公积金",EPMMemberDesc(AI102))</f>
        <v/>
      </c>
      <c r="AH102" s="390" t="inlineStr">
        <is>
          <t>A001030702</t>
        </is>
      </c>
      <c r="AI102" s="637">
        <f>IF(_epmOfflineCondition_,"A001030702",EPMOlapMemberO(AH102,"[C_ACCOUNT].[PARENTH1].[A001030702]","A001030702 -                  任意公积金","","001"))</f>
        <v/>
      </c>
      <c r="AJ102" s="1048" t="inlineStr">
        <is>
          <t xml:space="preserve"> 任意公积金</t>
        </is>
      </c>
      <c r="AK102" s="649">
        <f>ROW()-3</f>
        <v/>
      </c>
      <c r="AL102" s="1191" t="n"/>
      <c r="AM102" s="1191" t="n"/>
      <c r="AN102" s="1191" t="n"/>
      <c r="AO102" s="1191" t="n"/>
      <c r="AP102" s="1191" t="n"/>
      <c r="AQ102" s="716" t="n"/>
      <c r="AR102" s="716" t="n"/>
      <c r="AS102" s="716" t="n"/>
      <c r="AT102" s="716" t="n"/>
      <c r="AU102" s="716" t="n"/>
    </row>
    <row r="103" ht="16.5" customFormat="1" customHeight="1" s="716">
      <c r="A103" s="716" t="n"/>
      <c r="B103" s="716" t="n"/>
      <c r="C103" s="716" t="n"/>
      <c r="D103" s="716" t="n"/>
      <c r="E103" s="716" t="n"/>
      <c r="F103" s="716" t="n"/>
      <c r="G103" s="716" t="n"/>
      <c r="H103" s="716" t="n"/>
      <c r="I103" s="716" t="n"/>
      <c r="J103" s="716" t="n"/>
      <c r="K103" s="716" t="n"/>
      <c r="L103" s="716" t="n"/>
      <c r="M103" s="716" t="n"/>
      <c r="N103" s="716" t="n"/>
      <c r="O103" s="716" t="n"/>
      <c r="P103" s="716" t="n"/>
      <c r="Q103" s="716" t="n"/>
      <c r="R103" s="716" t="n"/>
      <c r="S103" s="462" t="n"/>
      <c r="T103" s="716" t="n"/>
      <c r="U103" s="716" t="n"/>
      <c r="V103" s="635" t="n"/>
      <c r="W103" s="462" t="n"/>
      <c r="X103" s="869" t="n"/>
      <c r="Y103" s="1185" t="n"/>
      <c r="Z103" s="1189" t="n"/>
      <c r="AA103" s="1189" t="n"/>
      <c r="AB103" s="1190" t="n"/>
      <c r="AC103" s="1189" t="n"/>
      <c r="AD103" s="1189" t="n"/>
      <c r="AE103" s="1187" t="n"/>
      <c r="AF103" s="1188" t="n"/>
      <c r="AG103" s="1188">
        <f>IF(_epmOfflineCondition_,"　# 一般风险准备",EPMMemberDesc(AI103))</f>
        <v/>
      </c>
      <c r="AH103" s="390" t="inlineStr">
        <is>
          <t>A0010308</t>
        </is>
      </c>
      <c r="AI103" s="635">
        <f>IF(_epmOfflineCondition_,"A0010308",EPMOlapMemberO(AH103,"[C_ACCOUNT].[PARENTH1].[A0010308]","A0010308 - 　# 一般风险准备","","001"))</f>
        <v/>
      </c>
      <c r="AJ103" s="1046" t="inlineStr">
        <is>
          <t xml:space="preserve">  △一般风险准备</t>
        </is>
      </c>
      <c r="AK103" s="649">
        <f>ROW()-3</f>
        <v/>
      </c>
      <c r="AL103" s="1191" t="n"/>
      <c r="AM103" s="1191" t="n"/>
      <c r="AN103" s="1191" t="n"/>
      <c r="AO103" s="1191" t="n"/>
      <c r="AP103" s="1191" t="n"/>
      <c r="AQ103" s="716" t="n"/>
      <c r="AR103" s="716" t="n"/>
      <c r="AS103" s="716" t="n"/>
      <c r="AT103" s="716" t="n"/>
      <c r="AU103" s="716" t="n"/>
    </row>
    <row r="104" ht="16.5" customFormat="1" customHeight="1" s="716">
      <c r="A104" s="716" t="n"/>
      <c r="B104" s="716" t="n"/>
      <c r="C104" s="716" t="n"/>
      <c r="D104" s="716" t="n"/>
      <c r="E104" s="716" t="n"/>
      <c r="F104" s="716" t="n"/>
      <c r="G104" s="716" t="n"/>
      <c r="H104" s="716" t="n"/>
      <c r="I104" s="716" t="n"/>
      <c r="J104" s="716" t="n"/>
      <c r="K104" s="716" t="n"/>
      <c r="L104" s="716" t="n"/>
      <c r="M104" s="716" t="n"/>
      <c r="N104" s="716" t="n"/>
      <c r="O104" s="716" t="n"/>
      <c r="P104" s="716" t="n"/>
      <c r="Q104" s="716" t="n"/>
      <c r="R104" s="716" t="n"/>
      <c r="S104" s="462" t="n"/>
      <c r="T104" s="716" t="n"/>
      <c r="U104" s="716" t="n"/>
      <c r="V104" s="635" t="n"/>
      <c r="W104" s="462" t="n"/>
      <c r="X104" s="869" t="n"/>
      <c r="Y104" s="1185" t="n"/>
      <c r="Z104" s="1189" t="n"/>
      <c r="AA104" s="1189" t="n"/>
      <c r="AB104" s="1190" t="n"/>
      <c r="AC104" s="1189" t="n"/>
      <c r="AD104" s="1189" t="n"/>
      <c r="AE104" s="1187" t="n"/>
      <c r="AF104" s="1188" t="n"/>
      <c r="AG104" s="1188">
        <f>IF(_epmOfflineCondition_,"　未分配利润",EPMMemberDesc(AI104))</f>
        <v/>
      </c>
      <c r="AH104" s="390" t="inlineStr">
        <is>
          <t>A0010309</t>
        </is>
      </c>
      <c r="AI104" s="635">
        <f>IF(_epmOfflineCondition_,"A0010309",EPMOlapMemberO(AH104,"[C_ACCOUNT].[PARENTH1].[A0010309]","A0010309 - 　未分配利润","","001"))</f>
        <v/>
      </c>
      <c r="AJ104" s="705" t="inlineStr">
        <is>
          <t>未分配利润</t>
        </is>
      </c>
      <c r="AK104" s="649">
        <f>ROW()-3</f>
        <v/>
      </c>
      <c r="AL104" s="1191" t="inlineStr"/>
      <c r="AM104" s="1191" t="n"/>
      <c r="AN104" s="1191" t="n"/>
      <c r="AO104" s="1191" t="inlineStr"/>
      <c r="AP104" s="1191" t="inlineStr"/>
      <c r="AQ104" s="1136" t="n"/>
      <c r="AR104" s="1192" t="n"/>
      <c r="AS104" s="716" t="n"/>
      <c r="AT104" s="716" t="n"/>
      <c r="AU104" s="716" t="n"/>
    </row>
    <row r="105" ht="16.5" customFormat="1" customHeight="1" s="716">
      <c r="A105" s="716" t="n"/>
      <c r="B105" s="716" t="n"/>
      <c r="C105" s="716" t="n"/>
      <c r="D105" s="716" t="n"/>
      <c r="E105" s="716" t="n"/>
      <c r="F105" s="716" t="n"/>
      <c r="G105" s="716" t="n"/>
      <c r="H105" s="716" t="n"/>
      <c r="I105" s="716" t="n"/>
      <c r="J105" s="716" t="n"/>
      <c r="K105" s="716" t="n"/>
      <c r="L105" s="716" t="n"/>
      <c r="M105" s="716" t="n"/>
      <c r="N105" s="716" t="n"/>
      <c r="O105" s="716" t="n"/>
      <c r="P105" s="716" t="n"/>
      <c r="Q105" s="716" t="n"/>
      <c r="R105" s="716" t="n"/>
      <c r="S105" s="462" t="n"/>
      <c r="T105" s="716" t="n"/>
      <c r="U105" s="716" t="n"/>
      <c r="V105" s="635" t="n"/>
      <c r="W105" s="462" t="n"/>
      <c r="X105" s="869" t="n"/>
      <c r="Y105" s="1185" t="n"/>
      <c r="Z105" s="1189" t="n"/>
      <c r="AA105" s="1189" t="n"/>
      <c r="AB105" s="1190" t="n"/>
      <c r="AC105" s="1189" t="n"/>
      <c r="AD105" s="1189" t="n"/>
      <c r="AE105" s="1187" t="n"/>
      <c r="AF105" s="1188" t="n"/>
      <c r="AG105" s="1188">
        <f>IF(_epmOfflineCondition_,"　归属于母公司所有者权益合计",EPMMemberDesc(AI105))</f>
        <v/>
      </c>
      <c r="AH105" s="390" t="inlineStr">
        <is>
          <t>A0010310</t>
        </is>
      </c>
      <c r="AI105" s="459">
        <f>IF(_epmOfflineCondition_,"A0010310",EPMOlapMemberO(AH105,"[C_ACCOUNT].[PARENTH1].[A0010310]","A0010310 - 　归属于母公司所有者权益合计","","001"))</f>
        <v/>
      </c>
      <c r="AJ105" s="852" t="inlineStr">
        <is>
          <t>归属于母公司所有者权益合计</t>
        </is>
      </c>
      <c r="AK105" s="649">
        <f>ROW()-3</f>
        <v/>
      </c>
      <c r="AL105" s="1191" t="inlineStr"/>
      <c r="AM105" s="1191" t="n"/>
      <c r="AN105" s="1191" t="n"/>
      <c r="AO105" s="1191" t="inlineStr"/>
      <c r="AP105" s="1191" t="inlineStr"/>
      <c r="AQ105" s="1192" t="n"/>
      <c r="AR105" s="716" t="n"/>
      <c r="AS105" s="716" t="n"/>
      <c r="AT105" s="716" t="n"/>
      <c r="AU105" s="716" t="n"/>
    </row>
    <row r="106" ht="16.5" customFormat="1" customHeight="1" s="716">
      <c r="A106" s="716" t="n"/>
      <c r="B106" s="716" t="n"/>
      <c r="C106" s="716" t="n"/>
      <c r="D106" s="716" t="n"/>
      <c r="E106" s="716" t="n"/>
      <c r="F106" s="716" t="n"/>
      <c r="G106" s="716" t="n"/>
      <c r="H106" s="716" t="n"/>
      <c r="I106" s="716" t="n"/>
      <c r="J106" s="716" t="n"/>
      <c r="K106" s="716" t="n"/>
      <c r="L106" s="716" t="n"/>
      <c r="M106" s="716" t="n"/>
      <c r="N106" s="716" t="n"/>
      <c r="O106" s="716" t="n"/>
      <c r="P106" s="716" t="n"/>
      <c r="Q106" s="716" t="n"/>
      <c r="R106" s="716" t="n"/>
      <c r="S106" s="462" t="n"/>
      <c r="T106" s="716" t="n"/>
      <c r="U106" s="384" t="n"/>
      <c r="V106" s="635" t="n"/>
      <c r="W106" s="462" t="n"/>
      <c r="X106" s="869" t="n"/>
      <c r="Y106" s="1185" t="n"/>
      <c r="Z106" s="1189" t="n"/>
      <c r="AA106" s="1189" t="n"/>
      <c r="AB106" s="1190" t="n"/>
      <c r="AC106" s="1189" t="n"/>
      <c r="AD106" s="1189" t="n"/>
      <c r="AE106" s="1187" t="n"/>
      <c r="AF106" s="1188" t="n"/>
      <c r="AG106" s="1188">
        <f>IF(_epmOfflineCondition_,"　少数股东权益",EPMMemberDesc(AI106))</f>
        <v/>
      </c>
      <c r="AH106" s="390" t="inlineStr">
        <is>
          <t>A0010311</t>
        </is>
      </c>
      <c r="AI106" s="459">
        <f>IF(_epmOfflineCondition_,"A0010311",EPMOlapMemberO(AH106,"[C_ACCOUNT].[PARENTH1].[A0010311]","A0010311 - 　少数股东权益","","001"))</f>
        <v/>
      </c>
      <c r="AJ106" s="705" t="inlineStr">
        <is>
          <t>*少数股东权益</t>
        </is>
      </c>
      <c r="AK106" s="649">
        <f>ROW()-3</f>
        <v/>
      </c>
      <c r="AL106" s="1191" t="n"/>
      <c r="AM106" s="1191" t="n"/>
      <c r="AN106" s="1191" t="n"/>
      <c r="AO106" s="1191" t="n"/>
      <c r="AP106" s="1191" t="n"/>
      <c r="AQ106" s="716" t="n"/>
      <c r="AR106" s="716" t="n"/>
      <c r="AS106" s="716" t="n"/>
      <c r="AT106" s="716" t="n"/>
      <c r="AU106" s="716" t="n"/>
    </row>
    <row r="107" ht="16.5" customFormat="1" customHeight="1" s="716">
      <c r="A107" s="716" t="n"/>
      <c r="B107" s="716" t="n"/>
      <c r="C107" s="716" t="n"/>
      <c r="D107" s="716" t="n"/>
      <c r="E107" s="716" t="n"/>
      <c r="F107" s="716" t="n"/>
      <c r="G107" s="716" t="n"/>
      <c r="H107" s="716" t="n"/>
      <c r="I107" s="716" t="n"/>
      <c r="J107" s="716" t="n"/>
      <c r="K107" s="716" t="n"/>
      <c r="L107" s="716" t="n"/>
      <c r="M107" s="716" t="n"/>
      <c r="N107" s="716" t="n"/>
      <c r="O107" s="716" t="n"/>
      <c r="P107" s="716" t="n"/>
      <c r="Q107" s="716" t="n"/>
      <c r="R107" s="716" t="n"/>
      <c r="S107" s="462" t="n"/>
      <c r="T107" s="716" t="n"/>
      <c r="U107" s="384" t="n"/>
      <c r="V107" s="635" t="n"/>
      <c r="W107" s="462" t="n"/>
      <c r="X107" s="869" t="n"/>
      <c r="Y107" s="1185" t="n"/>
      <c r="Z107" s="1189" t="n"/>
      <c r="AA107" s="1189" t="n"/>
      <c r="AB107" s="1190" t="n"/>
      <c r="AC107" s="1189" t="n"/>
      <c r="AD107" s="1189" t="n"/>
      <c r="AE107" s="1187" t="n"/>
      <c r="AF107" s="1188" t="n"/>
      <c r="AG107" s="1188">
        <f>IF(_epmOfflineCondition_,"        所有者权益合计",EPMMemberDesc(AI107))</f>
        <v/>
      </c>
      <c r="AH107" s="390" t="inlineStr">
        <is>
          <t>A00103</t>
        </is>
      </c>
      <c r="AI107" s="535">
        <f>IF(_epmOfflineCondition_,"A00103",EPMOlapMemberO(AH107,"[C_ACCOUNT].[PARENTH1].[A00103]","A00103 -         所有者权益合计","","001"))</f>
        <v/>
      </c>
      <c r="AJ107" s="852" t="inlineStr">
        <is>
          <t>所有者权益合计</t>
        </is>
      </c>
      <c r="AK107" s="649">
        <f>ROW()-3</f>
        <v/>
      </c>
      <c r="AL107" s="1191" t="inlineStr"/>
      <c r="AM107" s="1191" t="n"/>
      <c r="AN107" s="1191" t="n"/>
      <c r="AO107" s="1191" t="inlineStr"/>
      <c r="AP107" s="1191" t="inlineStr"/>
      <c r="AQ107" s="716" t="n"/>
      <c r="AR107" s="716" t="n"/>
      <c r="AS107" s="716" t="n"/>
      <c r="AT107" s="716" t="n"/>
      <c r="AU107" s="716" t="n"/>
    </row>
    <row r="108" ht="16.5" customFormat="1" customHeight="1" s="716">
      <c r="A108" s="716" t="n"/>
      <c r="B108" s="716" t="n"/>
      <c r="C108" s="716" t="n"/>
      <c r="D108" s="716" t="n"/>
      <c r="E108" s="716" t="n"/>
      <c r="F108" s="716" t="n"/>
      <c r="G108" s="716" t="n"/>
      <c r="H108" s="716" t="n"/>
      <c r="I108" s="716" t="n"/>
      <c r="J108" s="716" t="n"/>
      <c r="K108" s="716" t="n"/>
      <c r="L108" s="716" t="n"/>
      <c r="M108" s="716" t="n"/>
      <c r="N108" s="716" t="n"/>
      <c r="O108" s="716" t="n"/>
      <c r="P108" s="716" t="n"/>
      <c r="Q108" s="716" t="n"/>
      <c r="R108" s="716" t="n"/>
      <c r="S108" s="462">
        <f>IF(_epmOfflineCondition_,"　        资产总计",EPMMemberDesc(U108))</f>
        <v/>
      </c>
      <c r="T108" s="716" t="n"/>
      <c r="U108" s="384" t="inlineStr">
        <is>
          <t>A00101</t>
        </is>
      </c>
      <c r="V108" s="455">
        <f>IF(_epmOfflineCondition_,"A00101",EPMOlapMemberO(U108,"[C_ACCOUNT].[PARENTH1].[A00101]","A00101 - 　        资产总计","","000"))</f>
        <v/>
      </c>
      <c r="W108" s="462" t="n"/>
      <c r="X108" s="852" t="inlineStr">
        <is>
          <t>资    产    总    计</t>
        </is>
      </c>
      <c r="Y108" s="1185">
        <f>ROW()-61</f>
        <v/>
      </c>
      <c r="Z108" s="1189" t="inlineStr"/>
      <c r="AA108" s="1189" t="inlineStr"/>
      <c r="AB108" s="1190" t="inlineStr"/>
      <c r="AC108" s="1189" t="inlineStr"/>
      <c r="AD108" s="1189" t="inlineStr"/>
      <c r="AE108" s="1187" t="n"/>
      <c r="AF108" s="1188" t="n"/>
      <c r="AG108" s="1188">
        <f>IF(_epmOfflineCondition_,"负债和所有者权益总计",EPMMemberDesc(AI108))</f>
        <v/>
      </c>
      <c r="AH108" s="390" t="inlineStr">
        <is>
          <t>A00104</t>
        </is>
      </c>
      <c r="AI108" s="455">
        <f>IF(_epmOfflineCondition_,"A00104",EPMOlapMemberO(AH108,"[C_ACCOUNT].[PARENTH1].[A00104]","A00104 - 负债和所有者权益总计","","001"))</f>
        <v/>
      </c>
      <c r="AJ108" s="852" t="inlineStr">
        <is>
          <t>负债和所有者权益合计</t>
        </is>
      </c>
      <c r="AK108" s="649">
        <f>ROW()-3</f>
        <v/>
      </c>
      <c r="AL108" s="1191" t="inlineStr"/>
      <c r="AM108" s="1191" t="inlineStr"/>
      <c r="AN108" s="1191" t="inlineStr"/>
      <c r="AO108" s="1191" t="inlineStr"/>
      <c r="AP108" s="1191" t="inlineStr"/>
      <c r="AQ108" s="716" t="n"/>
      <c r="AR108" s="716" t="n"/>
      <c r="AS108" s="716" t="n"/>
      <c r="AT108" s="716" t="n"/>
      <c r="AU108" s="716" t="n"/>
    </row>
    <row r="109" ht="15" customFormat="1" customHeight="1" s="716">
      <c r="A109" s="716" t="n"/>
      <c r="B109" s="716" t="n"/>
      <c r="C109" s="716" t="n"/>
      <c r="D109" s="716" t="n"/>
      <c r="E109" s="716" t="n"/>
      <c r="F109" s="716" t="n"/>
      <c r="G109" s="716" t="n"/>
      <c r="H109" s="716" t="n"/>
      <c r="I109" s="716" t="n"/>
      <c r="J109" s="716" t="n"/>
      <c r="K109" s="716" t="n"/>
      <c r="L109" s="716" t="n"/>
      <c r="M109" s="716" t="n"/>
      <c r="N109" s="716" t="n"/>
      <c r="O109" s="716" t="n"/>
      <c r="P109" s="716" t="n"/>
      <c r="Q109" s="716" t="n"/>
      <c r="R109" s="716" t="n"/>
      <c r="S109" s="462" t="n"/>
      <c r="T109" s="716" t="n"/>
      <c r="U109" s="384" t="n"/>
      <c r="V109" s="455" t="n"/>
      <c r="W109" s="462" t="n"/>
      <c r="X109" s="1143" t="inlineStr">
        <is>
          <t>注：表中带*科目为合并会计报表专用；带△科目为金融类企业专用；带#科目为外商投资企业专用</t>
        </is>
      </c>
      <c r="Y109" s="1143" t="n"/>
      <c r="Z109" s="1158" t="n"/>
      <c r="AA109" s="1158" t="n"/>
      <c r="AB109" s="1158" t="n"/>
      <c r="AC109" s="1158" t="n"/>
      <c r="AD109" s="1145" t="n"/>
      <c r="AE109" s="726" t="n"/>
      <c r="AF109" s="1188" t="n"/>
      <c r="AG109" s="1188" t="n"/>
      <c r="AH109" s="716" t="n"/>
      <c r="AI109" s="716" t="n"/>
      <c r="AJ109" s="716" t="n"/>
      <c r="AK109" s="716" t="n"/>
      <c r="AL109" s="716" t="n"/>
      <c r="AM109" s="716" t="n"/>
      <c r="AN109" s="716" t="n"/>
      <c r="AO109" s="716" t="n"/>
      <c r="AP109" s="716" t="n"/>
      <c r="AQ109" s="716" t="n"/>
      <c r="AR109" s="716" t="n"/>
      <c r="AS109" s="716" t="n"/>
      <c r="AT109" s="716" t="n"/>
      <c r="AU109" s="716" t="n"/>
    </row>
    <row r="110">
      <c r="A110" s="384" t="n"/>
      <c r="B110" s="384" t="n"/>
      <c r="C110" s="384" t="n"/>
      <c r="D110" s="384" t="n"/>
      <c r="E110" s="384" t="n"/>
      <c r="F110" s="384" t="n"/>
      <c r="G110" s="384" t="n"/>
      <c r="H110" s="384" t="n"/>
      <c r="I110" s="384" t="n"/>
      <c r="J110" s="384" t="n"/>
      <c r="K110" s="384" t="n"/>
      <c r="L110" s="384" t="n"/>
      <c r="M110" s="384" t="n"/>
      <c r="N110" s="384" t="n"/>
      <c r="O110" s="384" t="n"/>
      <c r="P110" s="384" t="n"/>
      <c r="Q110" s="384" t="n"/>
      <c r="R110" s="384" t="n"/>
      <c r="S110" s="462" t="n"/>
      <c r="T110" s="384" t="n"/>
      <c r="U110" s="384" t="n"/>
      <c r="V110" s="455" t="n"/>
      <c r="W110" s="384" t="n"/>
      <c r="X110" s="735" t="inlineStr">
        <is>
          <t>期末：资产总计-负债和所有者权益合计</t>
        </is>
      </c>
      <c r="Y110" s="1193" t="n"/>
      <c r="Z110" s="1194">
        <f>AC108-AO108</f>
        <v/>
      </c>
      <c r="AA110" s="1195" t="n"/>
      <c r="AB110" s="155" t="n"/>
      <c r="AC110" s="155" t="n"/>
      <c r="AD110" s="155" t="n"/>
      <c r="AE110" s="1188" t="n"/>
      <c r="AF110" s="384" t="n"/>
      <c r="AG110" s="384" t="n"/>
      <c r="AH110" s="716" t="n"/>
      <c r="AI110" s="716" t="n"/>
      <c r="AJ110" s="716" t="n"/>
      <c r="AK110" s="716" t="n"/>
      <c r="AL110" s="1167" t="inlineStr">
        <is>
          <t>资产负债表本年利润：</t>
        </is>
      </c>
      <c r="AM110" s="1196">
        <f>IF(_epmOfflineCondition_,57971792.97,EPMRetrieveData(,D21,D22,D25,D26,D27,D28,D29,"A4103000000",AO43,AO44,AO45,AO46,AO47))</f>
        <v/>
      </c>
      <c r="AN110" s="1197" t="inlineStr">
        <is>
          <t>包含在未分配利润中</t>
        </is>
      </c>
      <c r="AO110" s="716" t="n"/>
      <c r="AP110" s="384" t="n"/>
      <c r="AQ110" s="384" t="n"/>
      <c r="AR110" s="384" t="n"/>
      <c r="AS110" s="384" t="n"/>
      <c r="AT110" s="384" t="n"/>
      <c r="AU110" s="384" t="n"/>
    </row>
    <row r="111">
      <c r="A111" s="384" t="n"/>
      <c r="B111" s="384" t="n"/>
      <c r="C111" s="384" t="n"/>
      <c r="D111" s="384" t="n"/>
      <c r="E111" s="384" t="n"/>
      <c r="F111" s="384" t="n"/>
      <c r="G111" s="384" t="n"/>
      <c r="H111" s="384" t="n"/>
      <c r="I111" s="384" t="n"/>
      <c r="J111" s="384" t="n"/>
      <c r="K111" s="384" t="n"/>
      <c r="L111" s="384" t="n"/>
      <c r="M111" s="384" t="n"/>
      <c r="N111" s="384" t="n"/>
      <c r="O111" s="384" t="n"/>
      <c r="P111" s="384" t="n"/>
      <c r="Q111" s="384" t="n"/>
      <c r="R111" s="384" t="n"/>
      <c r="S111" s="462" t="n"/>
      <c r="T111" s="384" t="n"/>
      <c r="U111" s="384" t="n"/>
      <c r="V111" s="455" t="n"/>
      <c r="W111" s="384" t="n"/>
      <c r="X111" s="116" t="inlineStr">
        <is>
          <t>期初：资产总计-负债和所有者权益合计</t>
        </is>
      </c>
      <c r="Y111" s="1193" t="n"/>
      <c r="Z111" s="1194">
        <f>AD108-AP108</f>
        <v/>
      </c>
      <c r="AA111" s="1195" t="n"/>
      <c r="AB111" s="155" t="n"/>
      <c r="AC111" s="155" t="n"/>
      <c r="AD111" s="155" t="n"/>
      <c r="AE111" s="1188" t="n"/>
      <c r="AF111" s="384" t="n"/>
      <c r="AG111" s="384" t="n"/>
      <c r="AH111" s="716" t="n"/>
      <c r="AI111" s="716" t="n"/>
      <c r="AJ111" s="716" t="n"/>
      <c r="AK111" s="716" t="n"/>
      <c r="AL111" s="1170" t="inlineStr">
        <is>
          <t>利润表净利润：</t>
        </is>
      </c>
      <c r="AM111" s="1188">
        <f>IF(_epmOfflineCondition_,57971792.97,EPMRetrieveData(,D21,D22,D25,D26,D27,D28,D29,"A00205",AN43,AN44,AO45,AN46,AN47))</f>
        <v/>
      </c>
      <c r="AN111" s="1198" t="n"/>
      <c r="AO111" s="1199" t="n"/>
      <c r="AP111" s="384" t="n"/>
      <c r="AQ111" s="384" t="n"/>
      <c r="AR111" s="384" t="n"/>
      <c r="AS111" s="384" t="n"/>
      <c r="AT111" s="384" t="n"/>
      <c r="AU111" s="384" t="n"/>
    </row>
    <row r="112">
      <c r="A112" s="384" t="n"/>
      <c r="B112" s="384" t="n"/>
      <c r="C112" s="384" t="n"/>
      <c r="D112" s="384" t="n"/>
      <c r="E112" s="384" t="n"/>
      <c r="F112" s="384" t="n"/>
      <c r="G112" s="384" t="n"/>
      <c r="H112" s="384" t="n"/>
      <c r="I112" s="384" t="n"/>
      <c r="J112" s="384" t="n"/>
      <c r="K112" s="384" t="n"/>
      <c r="L112" s="384" t="n"/>
      <c r="M112" s="384" t="n"/>
      <c r="N112" s="384" t="n"/>
      <c r="O112" s="384" t="n"/>
      <c r="P112" s="384" t="n"/>
      <c r="Q112" s="384" t="n"/>
      <c r="R112" s="384" t="n"/>
      <c r="S112" s="462" t="n"/>
      <c r="T112" s="384" t="n"/>
      <c r="U112" s="384" t="n"/>
      <c r="V112" s="455" t="n"/>
      <c r="W112" s="384" t="n"/>
      <c r="X112" s="38" t="n"/>
      <c r="Y112" s="1193" t="n"/>
      <c r="Z112" s="155" t="n"/>
      <c r="AA112" s="155" t="n"/>
      <c r="AB112" s="155" t="n"/>
      <c r="AC112" s="155" t="n"/>
      <c r="AD112" s="155" t="n"/>
      <c r="AE112" s="1188" t="n"/>
      <c r="AF112" s="384" t="n"/>
      <c r="AG112" s="384" t="n"/>
      <c r="AH112" s="384" t="n"/>
      <c r="AI112" s="384" t="n"/>
      <c r="AJ112" s="384" t="n"/>
      <c r="AK112" s="384" t="n"/>
      <c r="AL112" s="407" t="inlineStr">
        <is>
          <t>上面二者不允许有差：</t>
        </is>
      </c>
      <c r="AM112" s="1200">
        <f>AM111-AM110</f>
        <v/>
      </c>
      <c r="AN112" s="1201" t="inlineStr">
        <is>
          <t>否则少数股东权益不正确</t>
        </is>
      </c>
      <c r="AO112" s="1199" t="n"/>
      <c r="AP112" s="384" t="n"/>
      <c r="AQ112" s="384" t="n"/>
      <c r="AR112" s="384" t="n"/>
      <c r="AS112" s="384" t="n"/>
      <c r="AT112" s="384" t="n"/>
      <c r="AU112" s="384" t="n"/>
    </row>
    <row r="113" hidden="1" s="1181">
      <c r="A113" s="384" t="n"/>
      <c r="B113" s="384" t="n"/>
      <c r="C113" s="384" t="n"/>
      <c r="D113" s="384" t="n"/>
      <c r="E113" s="384" t="n"/>
      <c r="F113" s="384" t="n"/>
      <c r="G113" s="384" t="n"/>
      <c r="H113" s="384" t="n"/>
      <c r="I113" s="384" t="n"/>
      <c r="J113" s="384" t="n"/>
      <c r="K113" s="384" t="n"/>
      <c r="L113" s="384" t="n"/>
      <c r="M113" s="384" t="n"/>
      <c r="N113" s="384" t="n"/>
      <c r="O113" s="384" t="n"/>
      <c r="P113" s="384" t="n"/>
      <c r="Q113" s="384" t="n"/>
      <c r="R113" s="384" t="n"/>
      <c r="S113" s="462">
        <f>IF(_epmOfflineCondition_,"",EPMMemberDesc(U113))</f>
        <v/>
      </c>
      <c r="T113" s="384" t="n"/>
      <c r="U113" s="716" t="n"/>
      <c r="V113" s="455">
        <f>IF(_epmOfflineCondition_,"",EPMOlapMemberO(U113,"[C_ACCOUNT].[PARENTH1].[A0020701]","A0020701 -     归属于母公司所有者的综合收益总额","","000"))</f>
        <v/>
      </c>
      <c r="W113" s="384" t="n"/>
      <c r="X113" s="726" t="n"/>
      <c r="Y113" s="1193" t="n"/>
      <c r="Z113" s="1195" t="inlineStr"/>
      <c r="AA113" s="1195" t="n"/>
      <c r="AB113" s="1202" t="n"/>
      <c r="AC113" s="1195" t="inlineStr"/>
      <c r="AD113" s="1195" t="n"/>
      <c r="AE113" s="1188" t="n"/>
      <c r="AF113" s="384" t="n"/>
      <c r="AG113" s="384" t="n"/>
      <c r="AH113" s="384" t="n"/>
      <c r="AI113" s="384" t="n"/>
      <c r="AJ113" s="384" t="n"/>
      <c r="AK113" s="384" t="n"/>
      <c r="AL113" s="384" t="n"/>
      <c r="AM113" s="384" t="n"/>
      <c r="AN113" s="124" t="inlineStr">
        <is>
          <t>资产负债表权益类期初数传输保存至权益变动表期初余额</t>
        </is>
      </c>
      <c r="AO113" s="124" t="n"/>
      <c r="AP113" s="124" t="n"/>
      <c r="AQ113" s="384" t="n"/>
      <c r="AR113" s="384" t="n"/>
      <c r="AS113" s="384" t="n"/>
      <c r="AT113" s="384" t="n"/>
      <c r="AU113" s="384" t="n"/>
    </row>
    <row r="114" hidden="1" s="1181">
      <c r="A114" s="384" t="n"/>
      <c r="B114" s="384" t="n"/>
      <c r="C114" s="384" t="n"/>
      <c r="D114" s="384" t="n"/>
      <c r="E114" s="384" t="n"/>
      <c r="F114" s="384" t="n"/>
      <c r="G114" s="384" t="n"/>
      <c r="H114" s="384" t="n"/>
      <c r="I114" s="384" t="n"/>
      <c r="J114" s="384" t="n"/>
      <c r="K114" s="384" t="n"/>
      <c r="L114" s="384" t="n"/>
      <c r="M114" s="384" t="n"/>
      <c r="N114" s="384" t="n"/>
      <c r="O114" s="384" t="n"/>
      <c r="P114" s="384" t="n"/>
      <c r="Q114" s="384" t="n"/>
      <c r="R114" s="384" t="n"/>
      <c r="S114" s="462">
        <f>IF(_epmOfflineCondition_,"",EPMMemberDesc(U114))</f>
        <v/>
      </c>
      <c r="T114" s="384" t="n"/>
      <c r="U114" s="716" t="n"/>
      <c r="V114" s="462">
        <f>IF(_epmOfflineCondition_,"",EPMOlapMemberO(U114,"[C_ACCOUNT].[PARENTH2].[A0020702]","A0020702 -    *归属于少数股东的综合收益总额","","000"))</f>
        <v/>
      </c>
      <c r="W114" s="384" t="n"/>
      <c r="X114" s="726" t="n"/>
      <c r="Y114" s="1193" t="n"/>
      <c r="Z114" s="1195" t="n"/>
      <c r="AA114" s="1195" t="n"/>
      <c r="AB114" s="1202" t="n"/>
      <c r="AC114" s="1195" t="n"/>
      <c r="AD114" s="1195" t="n"/>
      <c r="AE114" s="1188" t="n"/>
      <c r="AF114" s="384" t="n"/>
      <c r="AG114" s="384" t="n"/>
      <c r="AH114" s="384" t="n"/>
      <c r="AI114" s="384" t="n"/>
      <c r="AJ114" s="384" t="n"/>
      <c r="AK114" s="384" t="n"/>
      <c r="AL114" s="384" t="n"/>
      <c r="AM114" s="384" t="n"/>
      <c r="AN114" s="124" t="n"/>
      <c r="AO114" s="124" t="n"/>
      <c r="AP114" s="124" t="n"/>
      <c r="AQ114" s="384" t="n"/>
      <c r="AR114" s="384" t="n"/>
      <c r="AS114" s="384" t="n"/>
      <c r="AT114" s="384" t="n"/>
      <c r="AU114" s="384" t="n"/>
    </row>
    <row r="115" hidden="1" s="1181">
      <c r="A115" s="384" t="n"/>
      <c r="B115" s="384" t="n"/>
      <c r="C115" s="384" t="n"/>
      <c r="D115" s="384" t="n"/>
      <c r="E115" s="384" t="n"/>
      <c r="F115" s="384" t="n"/>
      <c r="G115" s="384" t="n"/>
      <c r="H115" s="384" t="n"/>
      <c r="I115" s="384" t="n"/>
      <c r="J115" s="384" t="n"/>
      <c r="K115" s="384" t="n"/>
      <c r="L115" s="384" t="n"/>
      <c r="M115" s="384" t="n"/>
      <c r="N115" s="384" t="n"/>
      <c r="O115" s="384" t="n"/>
      <c r="P115" s="384" t="n"/>
      <c r="Q115" s="384" t="n"/>
      <c r="R115" s="384" t="n"/>
      <c r="S115" s="462">
        <f>IF(_epmOfflineCondition_,"",EPMMemberDesc(U115))</f>
        <v/>
      </c>
      <c r="T115" s="384" t="n"/>
      <c r="U115" s="716" t="n"/>
      <c r="V115" s="455">
        <f>IF(_epmOfflineCondition_,"",EPMOlapMemberO(U115,"[C_ACCOUNT].[PARENTH1].[A00208]","A00208 - 八、应上交国家利润（国家股利）","","000"))</f>
        <v/>
      </c>
      <c r="W115" s="384" t="n"/>
      <c r="X115" s="190" t="n"/>
      <c r="Y115" s="1193" t="n"/>
      <c r="Z115" s="1195" t="n"/>
      <c r="AA115" s="1195" t="n"/>
      <c r="AB115" s="1202" t="n"/>
      <c r="AC115" s="1195" t="n"/>
      <c r="AD115" s="1195" t="n"/>
      <c r="AE115" s="1188" t="n"/>
      <c r="AF115" s="384" t="n"/>
      <c r="AG115" s="384" t="n"/>
      <c r="AH115" s="384" t="n"/>
      <c r="AI115" s="384" t="n"/>
      <c r="AJ115" s="384" t="n"/>
      <c r="AK115" s="384" t="n"/>
      <c r="AL115" s="384" t="n"/>
      <c r="AM115" s="384" t="n"/>
      <c r="AN115" s="124" t="n"/>
      <c r="AO115" s="124" t="n"/>
      <c r="AP115" s="124" t="n"/>
      <c r="AQ115" s="384" t="n"/>
      <c r="AR115" s="384" t="n"/>
      <c r="AS115" s="384" t="n"/>
      <c r="AT115" s="384" t="n"/>
      <c r="AU115" s="384" t="n"/>
    </row>
    <row r="116" hidden="1" s="1181">
      <c r="A116" s="384" t="n"/>
      <c r="B116" s="384" t="n"/>
      <c r="C116" s="384" t="n"/>
      <c r="D116" s="384" t="n"/>
      <c r="E116" s="384" t="n"/>
      <c r="F116" s="384" t="n"/>
      <c r="G116" s="384" t="n"/>
      <c r="H116" s="384" t="n"/>
      <c r="I116" s="384" t="n"/>
      <c r="J116" s="384" t="n"/>
      <c r="K116" s="384" t="n"/>
      <c r="L116" s="384" t="n"/>
      <c r="M116" s="384" t="n"/>
      <c r="N116" s="384" t="n"/>
      <c r="O116" s="384" t="n"/>
      <c r="P116" s="384" t="n"/>
      <c r="Q116" s="384" t="n"/>
      <c r="R116" s="384" t="n"/>
      <c r="S116" s="462">
        <f>IF(_epmOfflineCondition_,"",EPMMemberDesc(U116))</f>
        <v/>
      </c>
      <c r="T116" s="384" t="n"/>
      <c r="U116" s="716" t="n"/>
      <c r="V116" s="535">
        <f>IF(_epmOfflineCondition_,"",EPMOlapMemberO(U116,"[C_ACCOUNT].[PARENTH1].[A0020801]","A0020801 -    （一）基本每股收益","","000"))</f>
        <v/>
      </c>
      <c r="W116" s="384" t="n"/>
      <c r="X116" s="726" t="n"/>
      <c r="Y116" s="1193" t="n"/>
      <c r="Z116" s="1195" t="n"/>
      <c r="AA116" s="1195" t="n"/>
      <c r="AB116" s="1202" t="n"/>
      <c r="AC116" s="1195" t="n"/>
      <c r="AD116" s="1195" t="n"/>
      <c r="AE116" s="1188" t="n"/>
      <c r="AF116" s="384" t="n"/>
      <c r="AG116" s="384" t="n"/>
      <c r="AH116" s="384" t="n"/>
      <c r="AI116" s="384" t="n"/>
      <c r="AJ116" s="384" t="n"/>
      <c r="AK116" s="384" t="n"/>
      <c r="AL116" s="384" t="n"/>
      <c r="AM116" s="384" t="n"/>
      <c r="AN116" s="124" t="n"/>
      <c r="AO116" s="124" t="n"/>
      <c r="AP116" s="124" t="n"/>
      <c r="AQ116" s="384" t="n"/>
      <c r="AR116" s="384" t="n"/>
      <c r="AS116" s="384" t="n"/>
      <c r="AT116" s="384" t="n"/>
      <c r="AU116" s="384" t="n"/>
    </row>
    <row r="117" hidden="1" s="1181">
      <c r="A117" s="384" t="n"/>
      <c r="B117" s="384" t="n"/>
      <c r="C117" s="384" t="n"/>
      <c r="D117" s="384" t="n"/>
      <c r="E117" s="384" t="n"/>
      <c r="F117" s="384" t="n"/>
      <c r="G117" s="384" t="n"/>
      <c r="H117" s="384" t="n"/>
      <c r="I117" s="384" t="n"/>
      <c r="J117" s="384" t="n"/>
      <c r="K117" s="384" t="n"/>
      <c r="L117" s="384" t="n"/>
      <c r="M117" s="384" t="n"/>
      <c r="N117" s="384" t="n"/>
      <c r="O117" s="384" t="n"/>
      <c r="P117" s="384" t="n"/>
      <c r="Q117" s="384" t="n"/>
      <c r="R117" s="384" t="n"/>
      <c r="S117" s="462">
        <f>IF(_epmOfflineCondition_,"",EPMMemberDesc(U117))</f>
        <v/>
      </c>
      <c r="T117" s="384" t="n"/>
      <c r="U117" s="716" t="n"/>
      <c r="V117" s="535">
        <f>IF(_epmOfflineCondition_,"",EPMOlapMemberO(U117,"[C_ACCOUNT].[PARENTH1].[A0020802]","A0020802 -    （二）稀释每股收益","","000"))</f>
        <v/>
      </c>
      <c r="W117" s="384" t="n"/>
      <c r="X117" s="726" t="n"/>
      <c r="Y117" s="1193" t="n"/>
      <c r="Z117" s="1195" t="n"/>
      <c r="AA117" s="1195" t="n"/>
      <c r="AB117" s="1202" t="n"/>
      <c r="AC117" s="1195" t="n"/>
      <c r="AD117" s="1195" t="n"/>
      <c r="AE117" s="1188" t="n"/>
      <c r="AF117" s="384" t="n"/>
      <c r="AG117" s="384" t="n"/>
      <c r="AH117" s="384" t="n"/>
      <c r="AI117" s="384" t="n"/>
      <c r="AJ117" s="384" t="n"/>
      <c r="AK117" s="384" t="n"/>
      <c r="AL117" s="384" t="n"/>
      <c r="AM117" s="384" t="n"/>
      <c r="AN117" s="124" t="n"/>
      <c r="AO117" s="124" t="n"/>
      <c r="AP117" s="124" t="n"/>
      <c r="AQ117" s="384" t="n"/>
      <c r="AR117" s="384" t="n"/>
      <c r="AS117" s="384" t="n"/>
      <c r="AT117" s="384" t="n"/>
      <c r="AU117" s="384" t="n"/>
    </row>
    <row r="118" hidden="1" s="1181">
      <c r="A118" s="384" t="n"/>
      <c r="B118" s="384" t="n"/>
      <c r="C118" s="384" t="n"/>
      <c r="D118" s="384" t="n"/>
      <c r="E118" s="384" t="n"/>
      <c r="F118" s="384" t="n"/>
      <c r="G118" s="384" t="n"/>
      <c r="H118" s="384" t="n"/>
      <c r="I118" s="384" t="n"/>
      <c r="J118" s="384" t="n"/>
      <c r="K118" s="384" t="n"/>
      <c r="L118" s="384" t="n"/>
      <c r="M118" s="384" t="n"/>
      <c r="N118" s="384" t="n"/>
      <c r="O118" s="384" t="n"/>
      <c r="P118" s="384" t="n"/>
      <c r="Q118" s="384" t="n"/>
      <c r="R118" s="384" t="n"/>
      <c r="S118" s="32" t="n"/>
      <c r="T118" s="384" t="n"/>
      <c r="U118" s="384" t="n"/>
      <c r="V118" s="384" t="n"/>
      <c r="W118" s="384" t="n"/>
      <c r="X118" s="575" t="n"/>
      <c r="Y118" s="38" t="n"/>
      <c r="Z118" s="384" t="n"/>
      <c r="AA118" s="384" t="n"/>
      <c r="AB118" s="384" t="n"/>
      <c r="AC118" s="384" t="n"/>
      <c r="AD118" s="384" t="n"/>
      <c r="AE118" s="384" t="n"/>
      <c r="AF118" s="384" t="n"/>
      <c r="AG118" s="384" t="n"/>
      <c r="AH118" s="384" t="n"/>
      <c r="AI118" s="384" t="n"/>
      <c r="AJ118" s="384" t="n"/>
      <c r="AK118" s="384" t="n"/>
      <c r="AL118" s="384" t="n"/>
      <c r="AM118" s="384" t="n"/>
      <c r="AN118" s="124" t="n"/>
      <c r="AO118" s="124" t="n"/>
      <c r="AP118" s="124" t="n"/>
      <c r="AQ118" s="384" t="n"/>
      <c r="AR118" s="384" t="n"/>
      <c r="AS118" s="384" t="n"/>
      <c r="AT118" s="384" t="n"/>
      <c r="AU118" s="384" t="n"/>
    </row>
    <row r="119" hidden="1" s="1181">
      <c r="A119" s="384" t="n"/>
      <c r="B119" s="384" t="n"/>
      <c r="C119" s="384" t="n"/>
      <c r="D119" s="384" t="n"/>
      <c r="E119" s="384" t="n"/>
      <c r="F119" s="384" t="n"/>
      <c r="G119" s="384" t="n"/>
      <c r="H119" s="384" t="n"/>
      <c r="I119" s="384" t="n"/>
      <c r="J119" s="384" t="n"/>
      <c r="K119" s="384" t="n"/>
      <c r="L119" s="384" t="n"/>
      <c r="M119" s="384" t="n"/>
      <c r="N119" s="384" t="n"/>
      <c r="O119" s="384" t="n"/>
      <c r="P119" s="384" t="n"/>
      <c r="Q119" s="384" t="n"/>
      <c r="R119" s="384" t="n"/>
      <c r="S119" s="32" t="n"/>
      <c r="T119" s="384" t="n"/>
      <c r="U119" s="384" t="n"/>
      <c r="V119" s="384" t="n"/>
      <c r="W119" s="384" t="n"/>
      <c r="X119" s="38" t="n"/>
      <c r="Y119" s="38" t="n"/>
      <c r="Z119" s="384" t="n"/>
      <c r="AA119" s="384" t="n"/>
      <c r="AB119" s="384" t="n"/>
      <c r="AC119" s="384" t="n"/>
      <c r="AD119" s="384" t="n"/>
      <c r="AE119" s="384" t="n"/>
      <c r="AF119" s="384" t="n"/>
      <c r="AG119" s="384" t="n"/>
      <c r="AH119" s="384" t="n"/>
      <c r="AI119" s="384" t="n"/>
      <c r="AJ119" s="384" t="n"/>
      <c r="AK119" s="384" t="n"/>
      <c r="AL119" s="384" t="n"/>
      <c r="AM119" s="384" t="n"/>
      <c r="AN119" s="124" t="n"/>
      <c r="AO119" s="124" t="n"/>
      <c r="AP119" s="124" t="n"/>
      <c r="AQ119" s="384" t="n"/>
      <c r="AR119" s="384" t="n"/>
      <c r="AS119" s="384" t="n"/>
      <c r="AT119" s="384" t="n"/>
      <c r="AU119" s="384" t="n"/>
    </row>
    <row r="120" hidden="1" s="1181">
      <c r="A120" s="384" t="n"/>
      <c r="B120" s="384" t="n"/>
      <c r="C120" s="384" t="n"/>
      <c r="D120" s="384" t="n"/>
      <c r="E120" s="384" t="n"/>
      <c r="F120" s="384" t="n"/>
      <c r="G120" s="384" t="n"/>
      <c r="H120" s="384" t="n"/>
      <c r="I120" s="384" t="n"/>
      <c r="J120" s="384" t="n"/>
      <c r="K120" s="384" t="n"/>
      <c r="L120" s="384" t="n"/>
      <c r="M120" s="384" t="n"/>
      <c r="N120" s="384" t="n"/>
      <c r="O120" s="384" t="n"/>
      <c r="P120" s="384" t="n"/>
      <c r="Q120" s="384" t="n"/>
      <c r="R120" s="384" t="n"/>
      <c r="S120" s="32" t="n"/>
      <c r="T120" s="384" t="n"/>
      <c r="U120" s="384" t="n"/>
      <c r="V120" s="384" t="n"/>
      <c r="W120" s="384" t="n"/>
      <c r="X120" s="1155" t="n"/>
      <c r="Y120" s="1203" t="n"/>
      <c r="Z120" s="1204" t="n"/>
      <c r="AA120" s="13" t="n"/>
      <c r="AB120" s="13" t="n"/>
      <c r="AC120" s="384" t="n"/>
      <c r="AD120" s="384" t="n"/>
      <c r="AE120" s="384" t="n"/>
      <c r="AF120" s="384" t="n"/>
      <c r="AG120" s="384" t="n"/>
      <c r="AH120" s="384" t="n"/>
      <c r="AI120" s="384" t="n"/>
      <c r="AJ120" s="384" t="n"/>
      <c r="AK120" s="384" t="n"/>
      <c r="AL120" s="384" t="n"/>
      <c r="AM120" s="384" t="n"/>
      <c r="AN120" s="124" t="n"/>
      <c r="AO120" s="124" t="n"/>
      <c r="AP120" s="124" t="n"/>
      <c r="AQ120" s="384" t="n"/>
      <c r="AR120" s="384" t="n"/>
      <c r="AS120" s="384" t="n"/>
      <c r="AT120" s="384" t="n"/>
      <c r="AU120" s="384" t="n"/>
    </row>
    <row r="121" hidden="1" s="1181">
      <c r="A121" s="384" t="n"/>
      <c r="B121" s="384" t="n"/>
      <c r="C121" s="384" t="n"/>
      <c r="D121" s="384" t="n"/>
      <c r="E121" s="384" t="n"/>
      <c r="F121" s="384" t="n"/>
      <c r="G121" s="384" t="n"/>
      <c r="H121" s="384" t="n"/>
      <c r="I121" s="384" t="n"/>
      <c r="J121" s="384" t="n"/>
      <c r="K121" s="384" t="n"/>
      <c r="L121" s="384" t="n"/>
      <c r="M121" s="384" t="n"/>
      <c r="N121" s="384" t="n"/>
      <c r="O121" s="384" t="n"/>
      <c r="P121" s="384" t="n"/>
      <c r="Q121" s="384" t="n"/>
      <c r="R121" s="384" t="n"/>
      <c r="S121" s="32" t="n"/>
      <c r="T121" s="384" t="n"/>
      <c r="U121" s="384" t="n"/>
      <c r="V121" s="384" t="n"/>
      <c r="W121" s="384" t="n"/>
      <c r="X121" s="1156" t="n"/>
      <c r="Y121" s="1162" t="n"/>
      <c r="Z121" s="1205" t="n"/>
      <c r="AA121" s="1206" t="n"/>
      <c r="AB121" s="1205" t="n"/>
      <c r="AC121" s="384" t="n"/>
      <c r="AD121" s="384" t="n"/>
      <c r="AE121" s="384" t="n"/>
      <c r="AF121" s="384" t="n"/>
      <c r="AG121" s="384" t="n"/>
      <c r="AH121" s="384" t="n"/>
      <c r="AI121" s="384" t="n"/>
      <c r="AJ121" s="384" t="n"/>
      <c r="AK121" s="384" t="n"/>
      <c r="AL121" s="384" t="n"/>
      <c r="AM121" s="384" t="n"/>
      <c r="AN121" s="124" t="inlineStr">
        <is>
          <t>CFLOW-年初余额</t>
        </is>
      </c>
      <c r="AO121" s="124" t="n"/>
      <c r="AP121" s="124" t="n"/>
      <c r="AQ121" s="384" t="n"/>
      <c r="AR121" s="384" t="n"/>
      <c r="AS121" s="384" t="n"/>
      <c r="AT121" s="384" t="n"/>
      <c r="AU121" s="384" t="n"/>
    </row>
    <row r="122" hidden="1" s="1181">
      <c r="A122" s="384" t="n"/>
      <c r="B122" s="384" t="n"/>
      <c r="C122" s="384" t="n"/>
      <c r="D122" s="384" t="n"/>
      <c r="E122" s="384" t="n"/>
      <c r="F122" s="384" t="n"/>
      <c r="G122" s="384" t="n"/>
      <c r="H122" s="384" t="n"/>
      <c r="I122" s="384" t="n"/>
      <c r="J122" s="384" t="n"/>
      <c r="K122" s="384" t="n"/>
      <c r="L122" s="384" t="n"/>
      <c r="M122" s="384" t="n"/>
      <c r="N122" s="384" t="n"/>
      <c r="O122" s="384" t="n"/>
      <c r="P122" s="384" t="n"/>
      <c r="Q122" s="384" t="n"/>
      <c r="R122" s="384" t="n"/>
      <c r="S122" s="32" t="n"/>
      <c r="T122" s="384" t="n"/>
      <c r="U122" s="384" t="n"/>
      <c r="V122" s="384" t="n"/>
      <c r="W122" s="384" t="n"/>
      <c r="X122" s="1157" t="n"/>
      <c r="Y122" s="1162" t="n"/>
      <c r="Z122" s="1205" t="n"/>
      <c r="AA122" s="1206" t="n"/>
      <c r="AB122" s="1205" t="n"/>
      <c r="AC122" s="384" t="n"/>
      <c r="AD122" s="384" t="n"/>
      <c r="AE122" s="384" t="n"/>
      <c r="AF122" s="384" t="n"/>
      <c r="AG122" s="384" t="n"/>
      <c r="AH122" s="384" t="n"/>
      <c r="AI122" s="384" t="n"/>
      <c r="AJ122" s="384" t="n"/>
      <c r="AK122" s="384" t="n"/>
      <c r="AL122" s="384" t="n"/>
      <c r="AM122" s="384" t="n"/>
      <c r="AN122" s="124" t="inlineStr">
        <is>
          <t>所有者权益变动表-实收资本（或股本）</t>
        </is>
      </c>
      <c r="AO122" s="124" t="n"/>
      <c r="AP122" s="124" t="inlineStr">
        <is>
          <t>EPMSaveData(AP90,"",$AO$112,$AO$113,$AO$114,$AO$115,$AO$116,$AO$117,$AO$118,$AO$119,$AO120,$D$5,$D$21,$D$22)</t>
        </is>
      </c>
      <c r="AQ122" s="384" t="n"/>
      <c r="AR122" s="384" t="n"/>
      <c r="AS122" s="384" t="n"/>
      <c r="AT122" s="384" t="n"/>
      <c r="AU122" s="384" t="n"/>
    </row>
    <row r="123" hidden="1" s="1181">
      <c r="A123" s="384" t="n"/>
      <c r="B123" s="384" t="n"/>
      <c r="C123" s="384" t="n"/>
      <c r="D123" s="384" t="n"/>
      <c r="E123" s="384" t="n"/>
      <c r="F123" s="384" t="n"/>
      <c r="G123" s="384" t="n"/>
      <c r="H123" s="384" t="n"/>
      <c r="I123" s="384" t="n"/>
      <c r="J123" s="384" t="n"/>
      <c r="K123" s="384" t="n"/>
      <c r="L123" s="384" t="n"/>
      <c r="M123" s="384" t="n"/>
      <c r="N123" s="384" t="n"/>
      <c r="O123" s="384" t="n"/>
      <c r="P123" s="384" t="n"/>
      <c r="Q123" s="384" t="n"/>
      <c r="R123" s="384" t="n"/>
      <c r="S123" s="32" t="n"/>
      <c r="T123" s="384" t="n"/>
      <c r="U123" s="384" t="n"/>
      <c r="V123" s="384" t="n"/>
      <c r="W123" s="384" t="n"/>
      <c r="X123" s="1157" t="n"/>
      <c r="Y123" s="1162" t="n"/>
      <c r="Z123" s="1207" t="n"/>
      <c r="AA123" s="1208" t="n"/>
      <c r="AB123" s="1207" t="n"/>
      <c r="AC123" s="384" t="n"/>
      <c r="AD123" s="384" t="n"/>
      <c r="AE123" s="384" t="n"/>
      <c r="AF123" s="384" t="n"/>
      <c r="AG123" s="384" t="n"/>
      <c r="AH123" s="384" t="n"/>
      <c r="AI123" s="384" t="n"/>
      <c r="AJ123" s="384" t="n"/>
      <c r="AK123" s="384" t="n"/>
      <c r="AL123" s="384" t="n"/>
      <c r="AM123" s="384" t="n"/>
      <c r="AN123" s="124" t="inlineStr">
        <is>
          <t>所有者权益变动表-其他权益工具</t>
        </is>
      </c>
      <c r="AO123" s="124" t="n"/>
      <c r="AP123" s="124" t="inlineStr">
        <is>
          <t>EPMSaveData(AP91,"",$AO$112,$AO$113,$AO$114,$AO$115,$AO$116,$AO$117,$AO$118,$AO$119,$AO121,$D$5,$D$21,$D$22)</t>
        </is>
      </c>
      <c r="AQ123" s="384" t="n"/>
      <c r="AR123" s="384" t="n"/>
      <c r="AS123" s="384" t="n"/>
      <c r="AT123" s="384" t="n"/>
      <c r="AU123" s="384" t="n"/>
    </row>
    <row r="124" hidden="1" s="1181">
      <c r="A124" s="384" t="n"/>
      <c r="B124" s="384" t="n"/>
      <c r="C124" s="384" t="n"/>
      <c r="D124" s="384" t="n"/>
      <c r="E124" s="384" t="n"/>
      <c r="F124" s="384" t="n"/>
      <c r="G124" s="384" t="n"/>
      <c r="H124" s="384" t="n"/>
      <c r="I124" s="384" t="n"/>
      <c r="J124" s="384" t="n"/>
      <c r="K124" s="384" t="n"/>
      <c r="L124" s="384" t="n"/>
      <c r="M124" s="384" t="n"/>
      <c r="N124" s="384" t="n"/>
      <c r="O124" s="384" t="n"/>
      <c r="P124" s="384" t="n"/>
      <c r="Q124" s="384" t="n"/>
      <c r="R124" s="384" t="n"/>
      <c r="S124" s="32" t="n"/>
      <c r="T124" s="384" t="n"/>
      <c r="U124" s="384" t="n"/>
      <c r="V124" s="384" t="n"/>
      <c r="W124" s="384" t="n"/>
      <c r="X124" s="38" t="n"/>
      <c r="Y124" s="38" t="n"/>
      <c r="Z124" s="384" t="n"/>
      <c r="AA124" s="384" t="n"/>
      <c r="AB124" s="384" t="n"/>
      <c r="AC124" s="384" t="n"/>
      <c r="AD124" s="384" t="n"/>
      <c r="AE124" s="384" t="n"/>
      <c r="AF124" s="384" t="n"/>
      <c r="AG124" s="384" t="n"/>
      <c r="AH124" s="384" t="n"/>
      <c r="AI124" s="384" t="n"/>
      <c r="AJ124" s="384" t="n"/>
      <c r="AK124" s="384" t="n"/>
      <c r="AL124" s="384" t="n"/>
      <c r="AM124" s="384" t="n"/>
      <c r="AN124" s="124" t="inlineStr">
        <is>
          <t>所有者权益变动表-其他权益工具-优先股</t>
        </is>
      </c>
      <c r="AO124" s="124" t="n"/>
      <c r="AP124" s="124" t="inlineStr">
        <is>
          <t>EPMSaveData(AP92,"",$AO$112,$AO$113,$AO$114,$AO$115,$AO$116,$AO$117,$AO$118,$AO$119,$AO122,$D$5,$D$21,$D$22)</t>
        </is>
      </c>
      <c r="AQ124" s="384" t="n"/>
      <c r="AR124" s="384" t="n"/>
      <c r="AS124" s="384" t="n"/>
      <c r="AT124" s="384" t="n"/>
      <c r="AU124" s="384" t="n"/>
    </row>
    <row r="125" hidden="1" s="1181">
      <c r="A125" s="384" t="n"/>
      <c r="B125" s="384" t="n"/>
      <c r="C125" s="384" t="n"/>
      <c r="D125" s="384" t="n"/>
      <c r="E125" s="384" t="n"/>
      <c r="F125" s="384" t="n"/>
      <c r="G125" s="384" t="n"/>
      <c r="H125" s="384" t="n"/>
      <c r="I125" s="384" t="n"/>
      <c r="J125" s="384" t="n"/>
      <c r="K125" s="384" t="n"/>
      <c r="L125" s="384" t="n"/>
      <c r="M125" s="384" t="n"/>
      <c r="N125" s="384" t="n"/>
      <c r="O125" s="384" t="n"/>
      <c r="P125" s="384" t="n"/>
      <c r="Q125" s="384" t="n"/>
      <c r="R125" s="384" t="n"/>
      <c r="S125" s="32" t="n"/>
      <c r="T125" s="384" t="n"/>
      <c r="U125" s="384" t="n"/>
      <c r="V125" s="384" t="n"/>
      <c r="W125" s="384" t="n"/>
      <c r="X125" s="38" t="n"/>
      <c r="Y125" s="38" t="n"/>
      <c r="Z125" s="384" t="n"/>
      <c r="AA125" s="384" t="n"/>
      <c r="AB125" s="384" t="n"/>
      <c r="AC125" s="384" t="n"/>
      <c r="AD125" s="384" t="n"/>
      <c r="AE125" s="384" t="n"/>
      <c r="AF125" s="384" t="n"/>
      <c r="AG125" s="384" t="n"/>
      <c r="AH125" s="384" t="n"/>
      <c r="AI125" s="384" t="n"/>
      <c r="AJ125" s="384" t="n"/>
      <c r="AK125" s="384" t="n"/>
      <c r="AL125" s="384" t="n"/>
      <c r="AM125" s="384" t="n"/>
      <c r="AN125" s="124" t="inlineStr">
        <is>
          <t>所有者权益变动表-其他权益工具-永续债</t>
        </is>
      </c>
      <c r="AO125" s="124" t="n"/>
      <c r="AP125" s="124" t="inlineStr">
        <is>
          <t>EPMSaveData(AP93,"",$AO$112,$AO$113,$AO$114,$AO$115,$AO$116,$AO$117,$AO$118,$AO$119,$AO123,$D$5,$D$21,$D$22)</t>
        </is>
      </c>
      <c r="AQ125" s="384" t="n"/>
      <c r="AR125" s="384" t="n"/>
      <c r="AS125" s="384" t="n"/>
      <c r="AT125" s="384" t="n"/>
      <c r="AU125" s="384" t="n"/>
    </row>
    <row r="126" hidden="1" s="1181">
      <c r="A126" s="384" t="n"/>
      <c r="B126" s="384" t="n"/>
      <c r="C126" s="384" t="n"/>
      <c r="D126" s="384" t="n"/>
      <c r="E126" s="384" t="n"/>
      <c r="F126" s="384" t="n"/>
      <c r="G126" s="384" t="n"/>
      <c r="H126" s="384" t="n"/>
      <c r="I126" s="384" t="n"/>
      <c r="J126" s="384" t="n"/>
      <c r="K126" s="384" t="n"/>
      <c r="L126" s="384" t="n"/>
      <c r="M126" s="384" t="n"/>
      <c r="N126" s="384" t="n"/>
      <c r="O126" s="384" t="n"/>
      <c r="P126" s="384" t="n"/>
      <c r="Q126" s="384" t="n"/>
      <c r="R126" s="384" t="n"/>
      <c r="S126" s="32" t="n"/>
      <c r="T126" s="384" t="n"/>
      <c r="U126" s="384" t="n"/>
      <c r="V126" s="384" t="n"/>
      <c r="W126" s="384" t="n"/>
      <c r="X126" s="38" t="n"/>
      <c r="Y126" s="38" t="n"/>
      <c r="Z126" s="384" t="n"/>
      <c r="AA126" s="384" t="n"/>
      <c r="AB126" s="384" t="n"/>
      <c r="AC126" s="384" t="n"/>
      <c r="AD126" s="384" t="n"/>
      <c r="AE126" s="384" t="n"/>
      <c r="AF126" s="384" t="n"/>
      <c r="AG126" s="384" t="n"/>
      <c r="AH126" s="384" t="n"/>
      <c r="AI126" s="384" t="n"/>
      <c r="AJ126" s="384" t="n"/>
      <c r="AK126" s="384" t="n"/>
      <c r="AL126" s="384" t="n"/>
      <c r="AM126" s="384" t="n"/>
      <c r="AN126" s="124" t="inlineStr">
        <is>
          <t>所有者权益变动表-其他权益工具-其他</t>
        </is>
      </c>
      <c r="AO126" s="124" t="n"/>
      <c r="AP126" s="124" t="n"/>
      <c r="AQ126" s="384" t="n"/>
      <c r="AR126" s="384" t="n"/>
      <c r="AS126" s="384" t="n"/>
      <c r="AT126" s="384" t="n"/>
      <c r="AU126" s="384" t="n"/>
    </row>
    <row r="127" hidden="1" s="1181">
      <c r="A127" s="384" t="n"/>
      <c r="B127" s="384" t="n"/>
      <c r="C127" s="384" t="n"/>
      <c r="D127" s="384" t="n"/>
      <c r="E127" s="384" t="n"/>
      <c r="F127" s="384" t="n"/>
      <c r="G127" s="384" t="n"/>
      <c r="H127" s="384" t="n"/>
      <c r="I127" s="384" t="n"/>
      <c r="J127" s="384" t="n"/>
      <c r="K127" s="384" t="n"/>
      <c r="L127" s="384" t="n"/>
      <c r="M127" s="384" t="n"/>
      <c r="N127" s="384" t="n"/>
      <c r="O127" s="384" t="n"/>
      <c r="P127" s="384" t="n"/>
      <c r="Q127" s="384" t="n"/>
      <c r="R127" s="384" t="n"/>
      <c r="S127" s="32" t="n"/>
      <c r="T127" s="384" t="n"/>
      <c r="U127" s="384" t="n"/>
      <c r="V127" s="384" t="n"/>
      <c r="W127" s="384" t="n"/>
      <c r="X127" s="38" t="n"/>
      <c r="Y127" s="38" t="n"/>
      <c r="Z127" s="384" t="n"/>
      <c r="AA127" s="384" t="n"/>
      <c r="AB127" s="384" t="n"/>
      <c r="AC127" s="384" t="n"/>
      <c r="AD127" s="384" t="n"/>
      <c r="AE127" s="384" t="n"/>
      <c r="AF127" s="384" t="n"/>
      <c r="AG127" s="384" t="n"/>
      <c r="AH127" s="384" t="n"/>
      <c r="AI127" s="384" t="n"/>
      <c r="AJ127" s="384" t="n"/>
      <c r="AK127" s="384" t="n"/>
      <c r="AL127" s="384" t="n"/>
      <c r="AM127" s="384" t="n"/>
      <c r="AN127" s="124" t="inlineStr">
        <is>
          <t>所有者权益变动表-资本公积</t>
        </is>
      </c>
      <c r="AO127" s="124" t="n"/>
      <c r="AP127" s="124" t="inlineStr">
        <is>
          <t>EPMSaveData(AP95,"",$AO$112,$AO$113,$AO$114,$AO$115,$AO$116,$AO$117,$AO$118,$AO$119,$AO125,$D$5,$D$21,$D$22)</t>
        </is>
      </c>
      <c r="AQ127" s="384" t="n"/>
      <c r="AR127" s="384" t="n"/>
      <c r="AS127" s="384" t="n"/>
      <c r="AT127" s="384" t="n"/>
      <c r="AU127" s="384" t="n"/>
    </row>
    <row r="128" hidden="1" s="1181">
      <c r="A128" s="384" t="n"/>
      <c r="B128" s="384" t="n"/>
      <c r="C128" s="384" t="n"/>
      <c r="D128" s="384" t="n"/>
      <c r="E128" s="384" t="n"/>
      <c r="F128" s="384" t="n"/>
      <c r="G128" s="384" t="n"/>
      <c r="H128" s="384" t="n"/>
      <c r="I128" s="384" t="n"/>
      <c r="J128" s="384" t="n"/>
      <c r="K128" s="384" t="n"/>
      <c r="L128" s="384" t="n"/>
      <c r="M128" s="384" t="n"/>
      <c r="N128" s="384" t="n"/>
      <c r="O128" s="384" t="n"/>
      <c r="P128" s="384" t="n"/>
      <c r="Q128" s="384" t="n"/>
      <c r="R128" s="384" t="n"/>
      <c r="S128" s="32" t="n"/>
      <c r="T128" s="384" t="n"/>
      <c r="U128" s="384" t="n"/>
      <c r="V128" s="384" t="n"/>
      <c r="W128" s="384" t="n"/>
      <c r="X128" s="38" t="n"/>
      <c r="Y128" s="38" t="n"/>
      <c r="Z128" s="384" t="n"/>
      <c r="AA128" s="384" t="n"/>
      <c r="AB128" s="384" t="n"/>
      <c r="AC128" s="384" t="n"/>
      <c r="AD128" s="384" t="n"/>
      <c r="AE128" s="384" t="n"/>
      <c r="AF128" s="384" t="n"/>
      <c r="AG128" s="384" t="n"/>
      <c r="AH128" s="384" t="n"/>
      <c r="AI128" s="384" t="n"/>
      <c r="AJ128" s="384" t="n"/>
      <c r="AK128" s="384" t="n"/>
      <c r="AL128" s="384" t="n"/>
      <c r="AM128" s="384" t="n"/>
      <c r="AN128" s="124" t="inlineStr">
        <is>
          <t>所有者权益变动表-减：库存股</t>
        </is>
      </c>
      <c r="AO128" s="124" t="n"/>
      <c r="AP128" s="124" t="inlineStr">
        <is>
          <t>EPMSaveData(AP96,"",$AO$112,$AO$113,$AO$114,$AO$115,$AO$116,$AO$117,$AO$118,$AO$119,$AO126,$D$5,$D$21,$D$22)</t>
        </is>
      </c>
      <c r="AQ128" s="384" t="n"/>
      <c r="AR128" s="384" t="n"/>
      <c r="AS128" s="384" t="n"/>
      <c r="AT128" s="384" t="n"/>
      <c r="AU128" s="384" t="n"/>
    </row>
    <row r="129" hidden="1" s="1181">
      <c r="A129" s="384" t="n"/>
      <c r="B129" s="384" t="n"/>
      <c r="C129" s="384" t="n"/>
      <c r="D129" s="384" t="n"/>
      <c r="E129" s="384" t="n"/>
      <c r="F129" s="384" t="n"/>
      <c r="G129" s="384" t="n"/>
      <c r="H129" s="384" t="n"/>
      <c r="I129" s="384" t="n"/>
      <c r="J129" s="384" t="n"/>
      <c r="K129" s="384" t="n"/>
      <c r="L129" s="384" t="n"/>
      <c r="M129" s="384" t="n"/>
      <c r="N129" s="384" t="n"/>
      <c r="O129" s="384" t="n"/>
      <c r="P129" s="384" t="n"/>
      <c r="Q129" s="384" t="n"/>
      <c r="R129" s="384" t="n"/>
      <c r="S129" s="32" t="n"/>
      <c r="T129" s="384" t="n"/>
      <c r="U129" s="384" t="n"/>
      <c r="V129" s="384" t="n"/>
      <c r="W129" s="384" t="n"/>
      <c r="X129" s="38" t="n"/>
      <c r="Y129" s="38" t="n"/>
      <c r="Z129" s="384" t="n"/>
      <c r="AA129" s="384" t="n"/>
      <c r="AB129" s="384" t="n"/>
      <c r="AC129" s="384" t="n"/>
      <c r="AD129" s="384" t="n"/>
      <c r="AE129" s="384" t="n"/>
      <c r="AF129" s="384" t="n"/>
      <c r="AG129" s="384" t="n"/>
      <c r="AH129" s="384" t="n"/>
      <c r="AI129" s="384" t="n"/>
      <c r="AJ129" s="384" t="n"/>
      <c r="AK129" s="384" t="n"/>
      <c r="AL129" s="384" t="n"/>
      <c r="AM129" s="384" t="n"/>
      <c r="AN129" s="124" t="inlineStr">
        <is>
          <t>所有者权益变动表-其他综合收益</t>
        </is>
      </c>
      <c r="AO129" s="124" t="n"/>
      <c r="AP129" s="124" t="inlineStr">
        <is>
          <t>EPMSaveData(AP97,"",$AO$112,$AO$113,$AO$114,$AO$115,$AO$116,$AO$117,$AO$118,$AO$119,$AO127,$D$5,$D$21,$D$22)</t>
        </is>
      </c>
      <c r="AQ129" s="384" t="n"/>
      <c r="AR129" s="384" t="n"/>
      <c r="AS129" s="384" t="n"/>
      <c r="AT129" s="384" t="n"/>
      <c r="AU129" s="384" t="n"/>
    </row>
    <row r="130" hidden="1" s="1181">
      <c r="A130" s="384" t="n"/>
      <c r="B130" s="384" t="n"/>
      <c r="C130" s="384" t="n"/>
      <c r="D130" s="384" t="n"/>
      <c r="E130" s="384" t="n"/>
      <c r="F130" s="384" t="n"/>
      <c r="G130" s="384" t="n"/>
      <c r="H130" s="384" t="n"/>
      <c r="I130" s="384" t="n"/>
      <c r="J130" s="384" t="n"/>
      <c r="K130" s="384" t="n"/>
      <c r="L130" s="384" t="n"/>
      <c r="M130" s="384" t="n"/>
      <c r="N130" s="384" t="n"/>
      <c r="O130" s="384" t="n"/>
      <c r="P130" s="384" t="n"/>
      <c r="Q130" s="384" t="n"/>
      <c r="R130" s="384" t="n"/>
      <c r="S130" s="32" t="n"/>
      <c r="T130" s="384" t="n"/>
      <c r="U130" s="384" t="n"/>
      <c r="V130" s="384" t="n"/>
      <c r="W130" s="384" t="n"/>
      <c r="X130" s="38" t="n"/>
      <c r="Y130" s="38" t="n"/>
      <c r="Z130" s="384" t="n"/>
      <c r="AA130" s="384" t="n"/>
      <c r="AB130" s="384" t="n"/>
      <c r="AC130" s="384" t="n"/>
      <c r="AD130" s="384" t="n"/>
      <c r="AE130" s="384" t="n"/>
      <c r="AF130" s="384" t="n"/>
      <c r="AG130" s="384" t="n"/>
      <c r="AH130" s="384" t="n"/>
      <c r="AI130" s="384" t="n"/>
      <c r="AJ130" s="384" t="n"/>
      <c r="AK130" s="384" t="n"/>
      <c r="AL130" s="384" t="n"/>
      <c r="AM130" s="384" t="n"/>
      <c r="AN130" s="124" t="inlineStr">
        <is>
          <t>所有者权益变动表-专项储备</t>
        </is>
      </c>
      <c r="AO130" s="124" t="n"/>
      <c r="AP130" s="124" t="inlineStr">
        <is>
          <t>EPMSaveData(AP98,"",$AO$112,$AO$113,$AO$114,$AO$115,$AO$116,$AO$117,$AO$118,$AO$119,$AO128,$D$5,$D$21,$D$22)</t>
        </is>
      </c>
      <c r="AQ130" s="384" t="n"/>
      <c r="AR130" s="384" t="n"/>
      <c r="AS130" s="384" t="n"/>
      <c r="AT130" s="384" t="n"/>
      <c r="AU130" s="384" t="n"/>
    </row>
    <row r="131" hidden="1" s="1181">
      <c r="A131" s="384" t="n"/>
      <c r="B131" s="384" t="n"/>
      <c r="C131" s="384" t="n"/>
      <c r="D131" s="384" t="n"/>
      <c r="E131" s="384" t="n"/>
      <c r="F131" s="384" t="n"/>
      <c r="G131" s="384" t="n"/>
      <c r="H131" s="384" t="n"/>
      <c r="I131" s="384" t="n"/>
      <c r="J131" s="384" t="n"/>
      <c r="K131" s="384" t="n"/>
      <c r="L131" s="384" t="n"/>
      <c r="M131" s="384" t="n"/>
      <c r="N131" s="384" t="n"/>
      <c r="O131" s="384" t="n"/>
      <c r="P131" s="384" t="n"/>
      <c r="Q131" s="384" t="n"/>
      <c r="R131" s="384" t="n"/>
      <c r="S131" s="32" t="n"/>
      <c r="T131" s="384" t="n"/>
      <c r="U131" s="384" t="n"/>
      <c r="V131" s="384" t="n"/>
      <c r="W131" s="384" t="n"/>
      <c r="X131" s="38" t="n"/>
      <c r="Y131" s="38" t="n"/>
      <c r="Z131" s="384" t="n"/>
      <c r="AA131" s="384" t="n"/>
      <c r="AB131" s="384" t="n"/>
      <c r="AC131" s="384" t="n"/>
      <c r="AD131" s="384" t="n"/>
      <c r="AE131" s="384" t="n"/>
      <c r="AF131" s="384" t="n"/>
      <c r="AG131" s="384" t="n"/>
      <c r="AH131" s="384" t="n"/>
      <c r="AI131" s="384" t="n"/>
      <c r="AJ131" s="384" t="n"/>
      <c r="AK131" s="384" t="n"/>
      <c r="AL131" s="384" t="n"/>
      <c r="AM131" s="384" t="n"/>
      <c r="AN131" s="124" t="inlineStr">
        <is>
          <t>所有者权益变动表-盈余公积</t>
        </is>
      </c>
      <c r="AO131" s="124" t="n"/>
      <c r="AP131" s="124" t="inlineStr">
        <is>
          <t>EPMSaveData(AP99,"",$AO$112,$AO$113,$AO$114,$AO$115,$AO$116,$AO$117,$AO$118,$AO$119,$AO129,$D$5,$D$21,$D$22)</t>
        </is>
      </c>
      <c r="AQ131" s="384" t="n"/>
      <c r="AR131" s="384" t="n"/>
      <c r="AS131" s="384" t="n"/>
      <c r="AT131" s="384" t="n"/>
      <c r="AU131" s="384" t="n"/>
    </row>
    <row r="132" hidden="1" s="1181">
      <c r="A132" s="384" t="n"/>
      <c r="B132" s="384" t="n"/>
      <c r="C132" s="384" t="n"/>
      <c r="D132" s="384" t="n"/>
      <c r="E132" s="384" t="n"/>
      <c r="F132" s="384" t="n"/>
      <c r="G132" s="384" t="n"/>
      <c r="H132" s="384" t="n"/>
      <c r="I132" s="384" t="n"/>
      <c r="J132" s="384" t="n"/>
      <c r="K132" s="384" t="n"/>
      <c r="L132" s="384" t="n"/>
      <c r="M132" s="384" t="n"/>
      <c r="N132" s="384" t="n"/>
      <c r="O132" s="384" t="n"/>
      <c r="P132" s="384" t="n"/>
      <c r="Q132" s="384" t="n"/>
      <c r="R132" s="384" t="n"/>
      <c r="S132" s="32" t="n"/>
      <c r="T132" s="384" t="n"/>
      <c r="U132" s="384" t="n"/>
      <c r="V132" s="384" t="n"/>
      <c r="W132" s="384" t="n"/>
      <c r="X132" s="38" t="n"/>
      <c r="Y132" s="38" t="n"/>
      <c r="Z132" s="384" t="n"/>
      <c r="AA132" s="384" t="n"/>
      <c r="AB132" s="384" t="n"/>
      <c r="AC132" s="384" t="n"/>
      <c r="AD132" s="384" t="n"/>
      <c r="AE132" s="384" t="n"/>
      <c r="AF132" s="384" t="n"/>
      <c r="AG132" s="384" t="n"/>
      <c r="AH132" s="384" t="n"/>
      <c r="AI132" s="384" t="n"/>
      <c r="AJ132" s="384" t="n"/>
      <c r="AK132" s="384" t="n"/>
      <c r="AL132" s="384" t="n"/>
      <c r="AM132" s="384" t="n"/>
      <c r="AN132" s="124" t="inlineStr">
        <is>
          <t>所有者权益变动表-# 一般风险准备</t>
        </is>
      </c>
      <c r="AO132" s="124" t="n"/>
      <c r="AP132" s="124" t="inlineStr">
        <is>
          <t>EPMSaveData(AP100,"",$AO$112,$AO$113,$AO$114,$AO$115,$AO$116,$AO$117,$AO$118,$AO$119,$AO130,$D$5,$D$21,$D$22)</t>
        </is>
      </c>
      <c r="AQ132" s="384" t="n"/>
      <c r="AR132" s="384" t="n"/>
      <c r="AS132" s="384" t="n"/>
      <c r="AT132" s="384" t="n"/>
      <c r="AU132" s="384" t="n"/>
    </row>
    <row r="133" hidden="1" s="1181">
      <c r="A133" s="384" t="n"/>
      <c r="B133" s="384" t="n"/>
      <c r="C133" s="384" t="n"/>
      <c r="D133" s="384" t="n"/>
      <c r="E133" s="384" t="n"/>
      <c r="F133" s="384" t="n"/>
      <c r="G133" s="384" t="n"/>
      <c r="H133" s="384" t="n"/>
      <c r="I133" s="384" t="n"/>
      <c r="J133" s="384" t="n"/>
      <c r="K133" s="384" t="n"/>
      <c r="L133" s="384" t="n"/>
      <c r="M133" s="384" t="n"/>
      <c r="N133" s="384" t="n"/>
      <c r="O133" s="384" t="n"/>
      <c r="P133" s="384" t="n"/>
      <c r="Q133" s="384" t="n"/>
      <c r="R133" s="384" t="n"/>
      <c r="S133" s="32" t="n"/>
      <c r="T133" s="384" t="n"/>
      <c r="U133" s="384" t="n"/>
      <c r="V133" s="384" t="n"/>
      <c r="W133" s="384" t="n"/>
      <c r="X133" s="38" t="n"/>
      <c r="Y133" s="38" t="n"/>
      <c r="Z133" s="384" t="n"/>
      <c r="AA133" s="384" t="n"/>
      <c r="AB133" s="384" t="n"/>
      <c r="AC133" s="384" t="n"/>
      <c r="AD133" s="384" t="n"/>
      <c r="AE133" s="384" t="n"/>
      <c r="AF133" s="384" t="n"/>
      <c r="AG133" s="384" t="n"/>
      <c r="AH133" s="384" t="n"/>
      <c r="AI133" s="384" t="n"/>
      <c r="AJ133" s="384" t="n"/>
      <c r="AK133" s="384" t="n"/>
      <c r="AL133" s="384" t="n"/>
      <c r="AM133" s="384" t="n"/>
      <c r="AN133" s="124" t="inlineStr">
        <is>
          <t>所有者权益变动表-未分配利润</t>
        </is>
      </c>
      <c r="AO133" s="124" t="n"/>
      <c r="AP133" s="124" t="inlineStr">
        <is>
          <t>EPMSaveData(AP101,"",$AO$112,$AO$113,$AO$114,$AO$115,$AO$116,$AO$117,$AO$118,$AO$119,$AO131,$D$5,$D$21,$D$22)</t>
        </is>
      </c>
      <c r="AQ133" s="384" t="n"/>
      <c r="AR133" s="384" t="n"/>
      <c r="AS133" s="384" t="n"/>
      <c r="AT133" s="384" t="n"/>
      <c r="AU133" s="384" t="n"/>
    </row>
    <row r="134" hidden="1" s="1181">
      <c r="A134" s="384" t="n"/>
      <c r="B134" s="384" t="n"/>
      <c r="C134" s="384" t="n"/>
      <c r="D134" s="384" t="n"/>
      <c r="E134" s="384" t="n"/>
      <c r="F134" s="384" t="n"/>
      <c r="G134" s="384" t="n"/>
      <c r="H134" s="384" t="n"/>
      <c r="I134" s="384" t="n"/>
      <c r="J134" s="384" t="n"/>
      <c r="K134" s="384" t="n"/>
      <c r="L134" s="384" t="n"/>
      <c r="M134" s="384" t="n"/>
      <c r="N134" s="384" t="n"/>
      <c r="O134" s="384" t="n"/>
      <c r="P134" s="384" t="n"/>
      <c r="Q134" s="384" t="n"/>
      <c r="R134" s="384" t="n"/>
      <c r="S134" s="32" t="n"/>
      <c r="T134" s="384" t="n"/>
      <c r="U134" s="384" t="n"/>
      <c r="V134" s="384" t="n"/>
      <c r="W134" s="384" t="n"/>
      <c r="X134" s="38" t="n"/>
      <c r="Y134" s="38" t="n"/>
      <c r="Z134" s="384" t="n"/>
      <c r="AA134" s="384" t="n"/>
      <c r="AB134" s="384" t="n"/>
      <c r="AC134" s="384" t="n"/>
      <c r="AD134" s="384" t="n"/>
      <c r="AE134" s="384" t="n"/>
      <c r="AF134" s="384" t="n"/>
      <c r="AG134" s="384" t="n"/>
      <c r="AH134" s="384" t="n"/>
      <c r="AI134" s="384" t="n"/>
      <c r="AJ134" s="384" t="n"/>
      <c r="AK134" s="384" t="n"/>
      <c r="AL134" s="384" t="n"/>
      <c r="AM134" s="384" t="n"/>
      <c r="AN134" s="124" t="inlineStr">
        <is>
          <t>所有者权益变动表-少数股东权益</t>
        </is>
      </c>
      <c r="AO134" s="124" t="n"/>
      <c r="AP134" s="124" t="inlineStr">
        <is>
          <t>EPMSaveData(AP102,"",$AO$112,$AO$113,$AO$114,$AO$115,$AO$116,$AO$117,$AO$118,$AO$119,$AO132,$D$5,$D$21,$D$22)</t>
        </is>
      </c>
      <c r="AQ134" s="384" t="n"/>
      <c r="AR134" s="384" t="n"/>
      <c r="AS134" s="384" t="n"/>
      <c r="AT134" s="384" t="n"/>
      <c r="AU134" s="384" t="n"/>
    </row>
    <row r="135">
      <c r="A135" s="384" t="n"/>
      <c r="B135" s="384" t="n"/>
      <c r="C135" s="384" t="n"/>
      <c r="D135" s="384" t="n"/>
      <c r="E135" s="384" t="n"/>
      <c r="F135" s="384" t="n"/>
      <c r="G135" s="384" t="n"/>
      <c r="H135" s="384" t="n"/>
      <c r="I135" s="384" t="n"/>
      <c r="J135" s="384" t="n"/>
      <c r="K135" s="384" t="n"/>
      <c r="L135" s="384" t="n"/>
      <c r="M135" s="384" t="n"/>
      <c r="N135" s="384" t="n"/>
      <c r="O135" s="384" t="n"/>
      <c r="P135" s="384" t="n"/>
      <c r="Q135" s="384" t="n"/>
      <c r="R135" s="384" t="n"/>
      <c r="S135" s="32" t="n"/>
      <c r="T135" s="384" t="n"/>
      <c r="U135" s="384" t="n"/>
      <c r="V135" s="384" t="n"/>
      <c r="W135" s="384" t="n"/>
      <c r="X135" s="38" t="n"/>
      <c r="Y135" s="38" t="n"/>
      <c r="Z135" s="384" t="n"/>
      <c r="AA135" s="384" t="n"/>
      <c r="AB135" s="384" t="n"/>
      <c r="AC135" s="384" t="n"/>
      <c r="AD135" s="384" t="n"/>
      <c r="AE135" s="384" t="n"/>
      <c r="AF135" s="384" t="n"/>
      <c r="AG135" s="384" t="n"/>
      <c r="AH135" s="384" t="n"/>
      <c r="AI135" s="384" t="n"/>
      <c r="AJ135" s="384" t="n"/>
      <c r="AK135" s="384" t="n"/>
      <c r="AL135" s="384" t="n"/>
      <c r="AM135" s="384" t="n"/>
      <c r="AN135" s="384" t="n"/>
      <c r="AO135" s="1209" t="n"/>
      <c r="AP135" s="384" t="n"/>
      <c r="AQ135" s="384" t="n"/>
      <c r="AR135" s="384" t="n"/>
      <c r="AS135" s="384" t="n"/>
      <c r="AT135" s="384" t="n"/>
      <c r="AU135" s="384" t="n"/>
    </row>
    <row r="136">
      <c r="A136" s="384" t="n"/>
      <c r="B136" s="384" t="n"/>
      <c r="C136" s="384" t="n"/>
      <c r="D136" s="384" t="n"/>
      <c r="E136" s="384" t="n"/>
      <c r="F136" s="384" t="n"/>
      <c r="G136" s="384" t="n"/>
      <c r="H136" s="384" t="n"/>
      <c r="I136" s="384" t="n"/>
      <c r="J136" s="384" t="n"/>
      <c r="K136" s="384" t="n"/>
      <c r="L136" s="384" t="n"/>
      <c r="M136" s="384" t="n"/>
      <c r="N136" s="384" t="n"/>
      <c r="O136" s="384" t="n"/>
      <c r="P136" s="384" t="n"/>
      <c r="Q136" s="384" t="n"/>
      <c r="R136" s="384" t="n"/>
      <c r="S136" s="32" t="n"/>
      <c r="T136" s="384" t="n"/>
      <c r="U136" s="384" t="n"/>
      <c r="V136" s="384" t="n"/>
      <c r="W136" s="384" t="n"/>
      <c r="X136" s="38" t="n"/>
      <c r="Y136" s="38" t="n"/>
      <c r="Z136" s="384" t="n"/>
      <c r="AA136" s="384" t="n"/>
      <c r="AB136" s="384" t="n"/>
      <c r="AC136" s="384" t="n"/>
      <c r="AD136" s="384" t="n"/>
      <c r="AE136" s="384" t="n"/>
      <c r="AF136" s="384" t="n"/>
      <c r="AG136" s="384" t="n"/>
      <c r="AH136" s="384" t="n"/>
      <c r="AI136" s="384" t="n"/>
      <c r="AJ136" s="384" t="n"/>
      <c r="AK136" s="384" t="n"/>
      <c r="AL136" s="384" t="n"/>
      <c r="AM136" s="384" t="n"/>
      <c r="AN136" s="384" t="n"/>
      <c r="AO136" s="1209" t="n"/>
      <c r="AP136" s="384" t="n"/>
      <c r="AQ136" s="384" t="n"/>
      <c r="AR136" s="384" t="n"/>
      <c r="AS136" s="384" t="n"/>
      <c r="AT136" s="384" t="n"/>
      <c r="AU136" s="384" t="n"/>
    </row>
    <row r="137">
      <c r="A137" s="384" t="n"/>
      <c r="B137" s="384" t="n"/>
      <c r="C137" s="384" t="n"/>
      <c r="D137" s="384" t="n"/>
      <c r="E137" s="384" t="n"/>
      <c r="F137" s="384" t="n"/>
      <c r="G137" s="384" t="n"/>
      <c r="H137" s="384" t="n"/>
      <c r="I137" s="384" t="n"/>
      <c r="J137" s="384" t="n"/>
      <c r="K137" s="384" t="n"/>
      <c r="L137" s="384" t="n"/>
      <c r="M137" s="384" t="n"/>
      <c r="N137" s="384" t="n"/>
      <c r="O137" s="384" t="n"/>
      <c r="P137" s="384" t="n"/>
      <c r="Q137" s="384" t="n"/>
      <c r="R137" s="384" t="n"/>
      <c r="S137" s="32" t="n"/>
      <c r="T137" s="384" t="n"/>
      <c r="U137" s="384" t="n"/>
      <c r="V137" s="384" t="n"/>
      <c r="W137" s="384" t="n"/>
      <c r="X137" s="38" t="n"/>
      <c r="Y137" s="38" t="n"/>
      <c r="Z137" s="384" t="n"/>
      <c r="AA137" s="384" t="n"/>
      <c r="AB137" s="384" t="n"/>
      <c r="AC137" s="384" t="n"/>
      <c r="AD137" s="384" t="n"/>
      <c r="AE137" s="384" t="n"/>
      <c r="AF137" s="384" t="n"/>
      <c r="AG137" s="384" t="n"/>
      <c r="AH137" s="384" t="n"/>
      <c r="AI137" s="384" t="n"/>
      <c r="AJ137" s="384" t="n"/>
      <c r="AK137" s="384" t="n"/>
      <c r="AL137" s="384" t="n"/>
      <c r="AM137" s="384" t="n"/>
      <c r="AN137" s="384" t="n"/>
      <c r="AO137" s="1209" t="n"/>
      <c r="AP137" s="384" t="n"/>
      <c r="AQ137" s="384" t="n"/>
      <c r="AR137" s="384" t="n"/>
      <c r="AS137" s="384" t="n"/>
      <c r="AT137" s="384" t="n"/>
      <c r="AU137" s="384" t="n"/>
    </row>
  </sheetData>
  <sheetProtection selectLockedCells="0" selectUnlockedCells="0" algorithmName="SHA-512" sheet="1" objects="0" insertRows="1" insertHyperlinks="1" autoFilter="1" scenarios="1" formatColumns="1" deleteColumns="1" insertColumns="1" pivotTables="1" deleteRows="1" formatCells="1" saltValue="+Sva2oqxvgXD/STJ6HMxWQ==" formatRows="1" sort="1" spinCount="100000" hashValue="VhOYPgvkj7qZIF4FLVwCWD1S6Oki6yaj/GtBiWoWi8BkxCwscmDLiHsGPhHA+mA+PgC/bNuGmwy8/gEYRjwYcA=="/>
  <mergeCells count="16">
    <mergeCell ref="H2:J2"/>
    <mergeCell ref="D16:E16"/>
    <mergeCell ref="X41:X42"/>
    <mergeCell ref="Y41:Y42"/>
    <mergeCell ref="Z41:Z42"/>
    <mergeCell ref="AA41:AA42"/>
    <mergeCell ref="AB41:AB42"/>
    <mergeCell ref="AC41:AC42"/>
    <mergeCell ref="AD41:AD42"/>
    <mergeCell ref="AJ41:AJ42"/>
    <mergeCell ref="AK41:AK42"/>
    <mergeCell ref="AL41:AL42"/>
    <mergeCell ref="AM41:AM42"/>
    <mergeCell ref="AN41:AN42"/>
    <mergeCell ref="AO41:AO42"/>
    <mergeCell ref="AP41:AP42"/>
  </mergeCells>
  <dataValidations count="1">
    <dataValidation sqref="Z39" showErrorMessage="1" showInputMessage="1" allowBlank="1" type="list">
      <formula1>"LC,CNY"</formula1>
    </dataValidation>
  </dataValidations>
  <pageMargins left="0.7086614173228351" right="0.7086614173228351" top="0.748031496062992" bottom="0.748031496062992" header="0.31496062992126" footer="0.31496062992126"/>
  <pageSetup orientation="landscape" paperSize="9" scale="49"/>
  <drawing xmlns:r="http://schemas.openxmlformats.org/officeDocument/2006/relationships" r:id="rId1"/>
</worksheet>
</file>

<file path=xl/worksheets/sheet3.xml><?xml version="1.0" encoding="utf-8"?>
<worksheet xmlns="http://schemas.openxmlformats.org/spreadsheetml/2006/main">
  <sheetPr codeName="Sheet38">
    <outlinePr summaryBelow="1" summaryRight="1"/>
    <pageSetUpPr/>
  </sheetPr>
  <dimension ref="A1:AQ119"/>
  <sheetViews>
    <sheetView topLeftCell="W34" zoomScale="70" zoomScaleNormal="70" workbookViewId="0">
      <pane xSplit="3" ySplit="12" topLeftCell="Z46" activePane="bottomRight" state="frozen"/>
      <selection activeCell="A1" sqref="A1"/>
      <selection pane="topRight" activeCell="A1" sqref="A1"/>
      <selection pane="bottomLeft" activeCell="A1" sqref="A1"/>
      <selection pane="bottomRight" activeCell="Z36" sqref="Z36"/>
    </sheetView>
  </sheetViews>
  <sheetFormatPr baseColWidth="8" defaultColWidth="8.625" defaultRowHeight="16.8"/>
  <cols>
    <col hidden="1" width="8" customWidth="1" style="1181" min="1" max="1"/>
    <col hidden="1" width="15.375" customWidth="1" style="1181" min="2" max="2"/>
    <col hidden="1" width="11.375" customWidth="1" style="1181" min="3" max="3"/>
    <col hidden="1" width="12.25" customWidth="1" style="1181" min="4" max="4"/>
    <col hidden="1" width="7.375" customWidth="1" style="1181" min="5" max="5"/>
    <col hidden="1" width="7.75" customWidth="1" style="1181" min="6" max="7"/>
    <col hidden="1" width="8.375" customWidth="1" style="1181" min="8" max="8"/>
    <col hidden="1" width="7.75" customWidth="1" style="1181" min="9" max="9"/>
    <col hidden="1" width="11.125" customWidth="1" style="1181" min="10" max="10"/>
    <col hidden="1" width="7.75" customWidth="1" style="1181" min="11" max="18"/>
    <col hidden="1" width="48.75" customWidth="1" style="32" min="19" max="19"/>
    <col hidden="1" width="2.375" customWidth="1" style="1181" min="20" max="20"/>
    <col hidden="1" width="20.75" customWidth="1" style="1181" min="21" max="21"/>
    <col hidden="1" width="36.75" customWidth="1" style="1181" min="22" max="22"/>
    <col width="1.375" customWidth="1" style="1181" min="23" max="23"/>
    <col width="54.125" customWidth="1" style="38" min="24" max="24"/>
    <col width="4.375" customWidth="1" style="38" min="25" max="25"/>
    <col width="25.375" customWidth="1" style="1181" min="26" max="26"/>
    <col hidden="1" width="20.375" customWidth="1" style="1181" min="27" max="27"/>
    <col hidden="1" width="28.75" customWidth="1" style="1181" min="28" max="29"/>
    <col width="28.75" customWidth="1" style="1181" min="30" max="31"/>
    <col hidden="1" width="23.375" customWidth="1" style="1181" min="32" max="32"/>
    <col width="20.375" customWidth="1" style="1181" min="33" max="37"/>
    <col width="16.75" customWidth="1" style="1181" min="38" max="38"/>
    <col width="17.375" customWidth="1" style="1181" min="39" max="40"/>
    <col width="16.75" customWidth="1" style="1181" min="41" max="43"/>
    <col width="17.375" customWidth="1" style="1181" min="44" max="45"/>
    <col width="16.75" customWidth="1" style="1181" min="46" max="48"/>
    <col width="17.375" customWidth="1" style="1181" min="49" max="50"/>
    <col width="16.75" customWidth="1" style="1181" min="51" max="53"/>
    <col width="17.375" customWidth="1" style="1181" min="54" max="55"/>
    <col width="16.75" customWidth="1" style="1181" min="56" max="58"/>
    <col width="17.375" customWidth="1" style="1181" min="59" max="60"/>
    <col width="16.75" customWidth="1" style="1181" min="61" max="61"/>
  </cols>
  <sheetData>
    <row r="1" hidden="1" customFormat="1" s="13">
      <c r="A1" s="172" t="inlineStr">
        <is>
          <t>维度清单</t>
        </is>
      </c>
      <c r="B1" s="462" t="n"/>
      <c r="C1" s="173" t="n"/>
      <c r="D1" s="173" t="n"/>
      <c r="E1" s="716" t="n"/>
      <c r="F1" s="13" t="n"/>
      <c r="G1" s="13" t="n"/>
      <c r="H1" s="13" t="n"/>
      <c r="I1" s="13" t="n"/>
      <c r="J1" s="13" t="n"/>
      <c r="K1" s="13" t="n"/>
      <c r="L1" s="13" t="n"/>
      <c r="M1" s="13" t="n"/>
      <c r="N1" s="13" t="n"/>
      <c r="O1" s="13" t="n"/>
      <c r="P1" s="13" t="n"/>
      <c r="Q1" s="13" t="n"/>
      <c r="R1" s="13" t="n"/>
      <c r="S1" s="1103" t="n"/>
      <c r="T1" s="13" t="n"/>
      <c r="U1" s="13" t="n"/>
      <c r="V1" s="13" t="n"/>
      <c r="W1" s="13" t="n"/>
      <c r="X1" s="171" t="n"/>
      <c r="Y1" s="171" t="n"/>
      <c r="Z1" s="13" t="n"/>
      <c r="AA1" s="13" t="n"/>
      <c r="AB1" s="13" t="n"/>
      <c r="AC1" s="13" t="n"/>
      <c r="AD1" s="13" t="n"/>
      <c r="AE1" s="13" t="n"/>
      <c r="AF1" s="13" t="n"/>
      <c r="AG1" s="13" t="n"/>
      <c r="AH1" s="13" t="n"/>
      <c r="AI1" s="13" t="n"/>
      <c r="AJ1" s="13" t="n"/>
      <c r="AK1" s="13" t="n"/>
      <c r="AL1" s="13" t="n"/>
      <c r="AM1" s="13" t="n"/>
      <c r="AN1" s="13" t="n"/>
      <c r="AO1" s="13" t="n"/>
      <c r="AP1" s="13" t="n"/>
      <c r="AQ1" s="220" t="n"/>
    </row>
    <row r="2" hidden="1" customFormat="1" s="13">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103" t="n"/>
      <c r="T2" s="13" t="n"/>
      <c r="U2" s="13" t="n"/>
      <c r="V2" s="13" t="n"/>
      <c r="W2" s="13" t="n"/>
      <c r="X2" s="171" t="n"/>
      <c r="Y2" s="171" t="n"/>
      <c r="Z2" s="13" t="n"/>
      <c r="AA2" s="13" t="n"/>
      <c r="AB2" s="13" t="n"/>
      <c r="AC2" s="13" t="n"/>
      <c r="AD2" s="13" t="n"/>
      <c r="AE2" s="13" t="n"/>
      <c r="AF2" s="13" t="n"/>
      <c r="AG2" s="13" t="n"/>
      <c r="AH2" s="13" t="n"/>
      <c r="AI2" s="13" t="n"/>
      <c r="AJ2" s="13" t="n"/>
      <c r="AK2" s="13" t="n"/>
      <c r="AL2" s="13" t="n"/>
      <c r="AM2" s="13" t="n"/>
      <c r="AN2" s="13" t="n"/>
      <c r="AO2" s="13" t="n"/>
      <c r="AP2" s="13" t="n"/>
      <c r="AQ2" s="220" t="n"/>
    </row>
    <row r="3" hidden="1" customFormat="1" s="13">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103" t="n"/>
      <c r="T3" s="13" t="n"/>
      <c r="U3" s="13" t="n"/>
      <c r="V3" s="13" t="n"/>
      <c r="W3" s="13" t="n"/>
      <c r="X3" s="171" t="n"/>
      <c r="Y3" s="171" t="n"/>
      <c r="Z3" s="13" t="n"/>
      <c r="AA3" s="13" t="n"/>
      <c r="AB3" s="13" t="n"/>
      <c r="AC3" s="13" t="n"/>
      <c r="AD3" s="13" t="n"/>
      <c r="AE3" s="13" t="n"/>
      <c r="AF3" s="13" t="n"/>
      <c r="AG3" s="13" t="n"/>
      <c r="AH3" s="13" t="n"/>
      <c r="AI3" s="13" t="n"/>
      <c r="AJ3" s="13" t="n"/>
      <c r="AK3" s="13" t="n"/>
      <c r="AL3" s="13" t="n"/>
      <c r="AM3" s="13" t="n"/>
      <c r="AN3" s="13" t="n"/>
      <c r="AO3" s="13" t="n"/>
      <c r="AP3" s="13" t="n"/>
      <c r="AQ3" s="220" t="n"/>
    </row>
    <row r="4" hidden="1" customFormat="1" s="13">
      <c r="A4" s="175" t="inlineStr">
        <is>
          <t>C</t>
        </is>
      </c>
      <c r="B4" s="176">
        <f>IF(_epmOfflineCondition_,"C_CATEGORY",EPMDimensionType(,A4))</f>
        <v/>
      </c>
      <c r="C4" s="176">
        <f>IF(_epmOfflineCondition_,"C_ALL",IF(B4="","",EPMContextMember(,B4)))</f>
        <v/>
      </c>
      <c r="D4" s="176">
        <f>IF(_epmOfflineCondition_,"全部类别",EPMMemberDesc(C4))</f>
        <v/>
      </c>
      <c r="E4" s="176" t="n"/>
      <c r="F4" s="13" t="n"/>
      <c r="G4" s="13" t="n"/>
      <c r="H4" s="184" t="inlineStr">
        <is>
          <t>预算年</t>
        </is>
      </c>
      <c r="I4" s="184">
        <f>"V_"&amp;$I$3</f>
        <v/>
      </c>
      <c r="J4" s="184">
        <f>$I$3&amp;".TOTAL"</f>
        <v/>
      </c>
      <c r="K4" s="13" t="n"/>
      <c r="L4" s="13" t="n"/>
      <c r="M4" s="13" t="n"/>
      <c r="N4" s="13" t="n"/>
      <c r="O4" s="13" t="n"/>
      <c r="P4" s="13" t="n"/>
      <c r="Q4" s="13" t="n"/>
      <c r="R4" s="13" t="n"/>
      <c r="S4" s="1103" t="n"/>
      <c r="T4" s="13" t="n"/>
      <c r="U4" s="13" t="n"/>
      <c r="V4" s="13" t="n"/>
      <c r="W4" s="13" t="n"/>
      <c r="X4" s="171" t="n"/>
      <c r="Y4" s="171" t="n"/>
      <c r="Z4" s="13" t="n"/>
      <c r="AA4" s="13" t="n"/>
      <c r="AB4" s="13" t="n"/>
      <c r="AC4" s="13" t="n"/>
      <c r="AD4" s="13" t="n"/>
      <c r="AE4" s="13" t="n"/>
      <c r="AF4" s="13" t="n"/>
      <c r="AG4" s="13" t="n"/>
      <c r="AH4" s="13" t="n"/>
      <c r="AI4" s="13" t="n"/>
      <c r="AJ4" s="13" t="n"/>
      <c r="AK4" s="13" t="n"/>
      <c r="AL4" s="13" t="n"/>
      <c r="AM4" s="13" t="n"/>
      <c r="AN4" s="13" t="n"/>
      <c r="AO4" s="13" t="n"/>
      <c r="AP4" s="13" t="n"/>
      <c r="AQ4" s="220" t="n"/>
    </row>
    <row r="5" hidden="1" customFormat="1" s="13">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13" t="n"/>
      <c r="V5" s="13" t="n"/>
      <c r="W5" s="13" t="n"/>
      <c r="X5" s="171" t="n"/>
      <c r="Y5" s="171" t="n"/>
      <c r="Z5" s="13" t="n"/>
      <c r="AA5" s="13" t="n"/>
      <c r="AB5" s="13" t="n"/>
      <c r="AC5" s="13" t="n"/>
      <c r="AD5" s="13" t="n"/>
      <c r="AE5" s="13" t="n"/>
      <c r="AF5" s="13" t="n"/>
      <c r="AG5" s="13" t="n"/>
      <c r="AH5" s="13" t="n"/>
      <c r="AI5" s="13" t="n"/>
      <c r="AJ5" s="13" t="n"/>
      <c r="AK5" s="13" t="n"/>
      <c r="AL5" s="13" t="n"/>
      <c r="AM5" s="13" t="n"/>
      <c r="AN5" s="13" t="n"/>
      <c r="AO5" s="13" t="n"/>
      <c r="AP5" s="13" t="n"/>
      <c r="AQ5" s="220" t="n"/>
    </row>
    <row r="6" hidden="1" customFormat="1" s="13">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103" t="n"/>
      <c r="T6" s="13" t="n"/>
      <c r="U6" s="13" t="n"/>
      <c r="V6" s="13" t="n"/>
      <c r="W6" s="13" t="n"/>
      <c r="X6" s="171" t="n"/>
      <c r="Y6" s="171" t="n"/>
      <c r="Z6" s="13" t="n"/>
      <c r="AA6" s="13" t="n"/>
      <c r="AB6" s="13" t="n"/>
      <c r="AC6" s="13" t="n"/>
      <c r="AD6" s="13" t="n"/>
      <c r="AE6" s="13" t="n"/>
      <c r="AF6" s="13" t="n"/>
      <c r="AG6" s="13" t="n"/>
      <c r="AH6" s="13" t="n"/>
      <c r="AI6" s="13" t="n"/>
      <c r="AJ6" s="13" t="n"/>
      <c r="AK6" s="13" t="n"/>
      <c r="AL6" s="13" t="n"/>
      <c r="AM6" s="13" t="n"/>
      <c r="AN6" s="13" t="n"/>
      <c r="AO6" s="13" t="n"/>
      <c r="AP6" s="13" t="n"/>
      <c r="AQ6" s="220" t="n"/>
    </row>
    <row r="7" hidden="1" customFormat="1" s="13">
      <c r="A7" s="175" t="inlineStr">
        <is>
          <t>R</t>
        </is>
      </c>
      <c r="B7" s="176">
        <f>IF(_epmOfflineCondition_,"C_RPTCURRENCY",EPMDimensionType(,A7))</f>
        <v/>
      </c>
      <c r="C7" s="176" t="n"/>
      <c r="D7" s="176">
        <f>IF(_epmOfflineCondition_,"",EPMMemberDesc(C7))</f>
        <v/>
      </c>
      <c r="E7" s="176" t="n"/>
      <c r="F7" s="13" t="n"/>
      <c r="G7" s="13" t="n"/>
      <c r="H7" s="13" t="n"/>
      <c r="I7" s="13" t="n"/>
      <c r="J7" s="13" t="n"/>
      <c r="K7" s="13" t="n"/>
      <c r="L7" s="13" t="n"/>
      <c r="M7" s="13" t="n"/>
      <c r="N7" s="13" t="n"/>
      <c r="O7" s="13" t="n"/>
      <c r="P7" s="13" t="n"/>
      <c r="Q7" s="13" t="n"/>
      <c r="R7" s="13" t="n"/>
      <c r="S7" s="1103" t="n"/>
      <c r="T7" s="13" t="n"/>
      <c r="U7" s="13" t="n"/>
      <c r="V7" s="13" t="n"/>
      <c r="W7" s="13" t="n"/>
      <c r="X7" s="171" t="n"/>
      <c r="Y7" s="171" t="n"/>
      <c r="Z7" s="13" t="n"/>
      <c r="AA7" s="13" t="n"/>
      <c r="AB7" s="13" t="n"/>
      <c r="AC7" s="13" t="n"/>
      <c r="AD7" s="13" t="n"/>
      <c r="AE7" s="13" t="n"/>
      <c r="AF7" s="13" t="n"/>
      <c r="AG7" s="13" t="n"/>
      <c r="AH7" s="13" t="n"/>
      <c r="AI7" s="13" t="n"/>
      <c r="AJ7" s="13" t="n"/>
      <c r="AK7" s="13" t="n"/>
      <c r="AL7" s="13" t="n"/>
      <c r="AM7" s="13" t="n"/>
      <c r="AN7" s="13" t="n"/>
      <c r="AO7" s="13" t="n"/>
      <c r="AP7" s="13" t="n"/>
      <c r="AQ7" s="220" t="n"/>
    </row>
    <row r="8" hidden="1" customFormat="1" s="13">
      <c r="A8" s="175" t="inlineStr">
        <is>
          <t>D</t>
        </is>
      </c>
      <c r="B8" s="176">
        <f>IF(_epmOfflineCondition_,"C_AUDITTRAIL",EPMDimensionType(,A8))</f>
        <v/>
      </c>
      <c r="C8" s="176">
        <f>IF(_epmOfflineCondition_,"DTOTAL",IF(B8="","",EPMContextMember(,B8)))</f>
        <v/>
      </c>
      <c r="D8" s="176">
        <f>IF(_epmOfflineCondition_,"全部审计线索",EPMMemberDesc(C8))</f>
        <v/>
      </c>
      <c r="E8" s="176" t="n"/>
      <c r="F8" s="13" t="n"/>
      <c r="G8" s="13" t="n"/>
      <c r="H8" s="184" t="inlineStr">
        <is>
          <t>本月</t>
        </is>
      </c>
      <c r="I8" s="184">
        <f>IF(_epmOfflineCondition_,"03",RIGHT("0"&amp;EPMMemberProperty(,EPMContextMember(,"C_TIME"),"MONTHNUM"),2))</f>
        <v/>
      </c>
      <c r="J8" s="13" t="n"/>
      <c r="K8" s="13" t="n"/>
      <c r="L8" s="13" t="n"/>
      <c r="M8" s="13" t="n"/>
      <c r="N8" s="13" t="n"/>
      <c r="O8" s="13" t="n"/>
      <c r="P8" s="13" t="n"/>
      <c r="Q8" s="13" t="n"/>
      <c r="R8" s="13" t="n"/>
      <c r="S8" s="1103" t="n"/>
      <c r="T8" s="13" t="n"/>
      <c r="U8" s="13" t="n"/>
      <c r="V8" s="13" t="n"/>
      <c r="W8" s="13" t="n"/>
      <c r="X8" s="171" t="n"/>
      <c r="Y8" s="171" t="n"/>
      <c r="Z8" s="13" t="n"/>
      <c r="AA8" s="13" t="n"/>
      <c r="AB8" s="13" t="n"/>
      <c r="AC8" s="13" t="n"/>
      <c r="AD8" s="13" t="n"/>
      <c r="AE8" s="13" t="n"/>
      <c r="AF8" s="13" t="n"/>
      <c r="AG8" s="13" t="n"/>
      <c r="AH8" s="13" t="n"/>
      <c r="AI8" s="13" t="n"/>
      <c r="AJ8" s="13" t="n"/>
      <c r="AK8" s="13" t="n"/>
      <c r="AL8" s="13" t="n"/>
      <c r="AM8" s="13" t="n"/>
      <c r="AN8" s="13" t="n"/>
      <c r="AO8" s="13" t="n"/>
      <c r="AP8" s="13" t="n"/>
      <c r="AQ8" s="220" t="n"/>
    </row>
    <row r="9" hidden="1" customFormat="1" s="13">
      <c r="A9" s="175" t="inlineStr">
        <is>
          <t>S</t>
        </is>
      </c>
      <c r="B9" s="176">
        <f>IF(_epmOfflineCondition_,"C_FLOW",EPMDimensionType(,A9))</f>
        <v/>
      </c>
      <c r="C9" s="176">
        <f>IF(_epmOfflineCondition_,"F20",IF(B9="","",EPMContextMember(,B9)))</f>
        <v/>
      </c>
      <c r="D9" s="176">
        <f>IF(_epmOfflineCondition_,"本期增加",EPMMemberDesc(C9))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13" t="n"/>
      <c r="V9" s="13" t="n"/>
      <c r="W9" s="13" t="n"/>
      <c r="X9" s="171" t="n"/>
      <c r="Y9" s="171" t="n"/>
      <c r="Z9" s="13" t="n"/>
      <c r="AA9" s="13" t="n"/>
      <c r="AB9" s="13" t="n"/>
      <c r="AC9" s="13" t="n"/>
      <c r="AD9" s="13" t="n"/>
      <c r="AE9" s="13" t="n"/>
      <c r="AF9" s="13" t="n"/>
      <c r="AG9" s="13" t="n"/>
      <c r="AH9" s="13" t="n"/>
      <c r="AI9" s="13" t="n"/>
      <c r="AJ9" s="13" t="n"/>
      <c r="AK9" s="13" t="n"/>
      <c r="AL9" s="13" t="n"/>
      <c r="AM9" s="13" t="n"/>
      <c r="AN9" s="13" t="n"/>
      <c r="AO9" s="13" t="n"/>
      <c r="AP9" s="13" t="n"/>
      <c r="AQ9" s="220" t="n"/>
    </row>
    <row r="10" hidden="1" customFormat="1" s="13">
      <c r="A10" s="175" t="inlineStr">
        <is>
          <t>I</t>
        </is>
      </c>
      <c r="B10" s="176">
        <f>IF(_epmOfflineCondition_,"C_INTERCO",EPMDimensionType(,A10))</f>
        <v/>
      </c>
      <c r="C10" s="176">
        <f>IF(_epmOfflineCondition_,"I_DUMMY",IF(B10="","",EPMContextMember(,B10)))</f>
        <v/>
      </c>
      <c r="D10" s="176">
        <f>IF(_epmOfflineCondition_,"贸易伙伴无关",EPMMemberDesc(C10))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13" t="n"/>
      <c r="V10" s="13" t="n"/>
      <c r="W10" s="13" t="n"/>
      <c r="X10" s="171" t="n"/>
      <c r="Y10" s="171" t="n"/>
      <c r="Z10" s="13" t="n"/>
      <c r="AA10" s="13" t="n"/>
      <c r="AB10" s="13" t="n"/>
      <c r="AC10" s="13" t="n"/>
      <c r="AD10" s="13" t="n"/>
      <c r="AE10" s="13" t="n"/>
      <c r="AF10" s="13" t="n"/>
      <c r="AG10" s="13" t="n"/>
      <c r="AH10" s="13" t="n"/>
      <c r="AI10" s="13" t="n"/>
      <c r="AJ10" s="13" t="n"/>
      <c r="AK10" s="13" t="n"/>
      <c r="AL10" s="13" t="n"/>
      <c r="AM10" s="13" t="n"/>
      <c r="AN10" s="13" t="n"/>
      <c r="AO10" s="13" t="n"/>
      <c r="AP10" s="13" t="n"/>
      <c r="AQ10" s="220" t="n"/>
    </row>
    <row r="11" hidden="1" customFormat="1" s="13">
      <c r="A11" s="175" t="inlineStr">
        <is>
          <t>G</t>
        </is>
      </c>
      <c r="B11" s="176">
        <f>IF(_epmOfflineCondition_,"C_SCOPE",EPMDimensionType(,A11))</f>
        <v/>
      </c>
      <c r="C11" s="176">
        <f>IF(_epmOfflineCondition_,"G_DUMMY",IF(B11="","",EPMContextMember(,B11)))</f>
        <v/>
      </c>
      <c r="D11" s="176">
        <f>IF(_epmOfflineCondition_,"合并范围无关",EPMMemberDesc(C11))</f>
        <v/>
      </c>
      <c r="E11" s="176" t="n"/>
      <c r="F11" s="13" t="n"/>
      <c r="G11" s="13" t="n"/>
      <c r="H11" s="184" t="inlineStr">
        <is>
          <t xml:space="preserve">本年月 </t>
        </is>
      </c>
      <c r="I11" s="184">
        <f>I3&amp;"."&amp;I8</f>
        <v/>
      </c>
      <c r="J11" s="13" t="n"/>
      <c r="K11" s="13" t="n"/>
      <c r="L11" s="13" t="n"/>
      <c r="M11" s="13" t="n"/>
      <c r="N11" s="13" t="n"/>
      <c r="O11" s="13" t="n"/>
      <c r="P11" s="13" t="n"/>
      <c r="Q11" s="13" t="n"/>
      <c r="R11" s="13" t="n"/>
      <c r="S11" s="1103" t="n"/>
      <c r="T11" s="13" t="n"/>
      <c r="U11" s="13" t="n"/>
      <c r="V11" s="13" t="n"/>
      <c r="W11" s="13" t="n"/>
      <c r="X11" s="171" t="n"/>
      <c r="Y11" s="171" t="n"/>
      <c r="Z11" s="13" t="n"/>
      <c r="AA11" s="13" t="n"/>
      <c r="AB11" s="13" t="n"/>
      <c r="AC11" s="13" t="n"/>
      <c r="AD11" s="13" t="n"/>
      <c r="AE11" s="13" t="n"/>
      <c r="AF11" s="13" t="n"/>
      <c r="AG11" s="13" t="n"/>
      <c r="AH11" s="13" t="n"/>
      <c r="AI11" s="13" t="n"/>
      <c r="AJ11" s="13" t="n"/>
      <c r="AK11" s="13" t="n"/>
      <c r="AL11" s="13" t="n"/>
      <c r="AM11" s="13" t="n"/>
      <c r="AN11" s="13" t="n"/>
      <c r="AO11" s="13" t="n"/>
      <c r="AP11" s="13" t="n"/>
      <c r="AQ11" s="220" t="n"/>
    </row>
    <row r="12" hidden="1" customFormat="1" s="13">
      <c r="A12" s="175" t="inlineStr">
        <is>
          <t>U8</t>
        </is>
      </c>
      <c r="B12" s="176">
        <f>IF(_epmOfflineCondition_,"C_PROJECT",EPMDimensionType(,A12))</f>
        <v/>
      </c>
      <c r="C12" s="176">
        <f>IF(_epmOfflineCondition_,"ZP_DUMMY",IF(B12="","",EPMContextMember(,B12)))</f>
        <v/>
      </c>
      <c r="D12" s="176">
        <f>IF(_epmOfflineCondition_,"项目无关",EPMMemberDesc(C12))</f>
        <v/>
      </c>
      <c r="E12" s="176" t="n"/>
      <c r="F12" s="13" t="n"/>
      <c r="G12" s="13" t="n"/>
      <c r="H12" s="184" t="inlineStr">
        <is>
          <t>上年月</t>
        </is>
      </c>
      <c r="I12" s="184">
        <f>IF(I8="01",I10&amp;"."&amp;I9,I3&amp;"."&amp;I9)</f>
        <v/>
      </c>
      <c r="J12" s="13" t="n"/>
      <c r="K12" s="13" t="n"/>
      <c r="L12" s="13" t="n"/>
      <c r="M12" s="13" t="n"/>
      <c r="N12" s="13" t="n"/>
      <c r="O12" s="13" t="n"/>
      <c r="P12" s="13" t="n"/>
      <c r="Q12" s="13" t="n"/>
      <c r="R12" s="13" t="n"/>
      <c r="S12" s="1103" t="n"/>
      <c r="T12" s="13" t="n"/>
      <c r="U12" s="13" t="n"/>
      <c r="V12" s="13" t="n"/>
      <c r="W12" s="13" t="n"/>
      <c r="X12" s="171" t="n"/>
      <c r="Y12" s="171" t="n"/>
      <c r="Z12" s="13" t="n"/>
      <c r="AA12" s="13" t="n"/>
      <c r="AB12" s="13" t="n"/>
      <c r="AC12" s="13" t="n"/>
      <c r="AD12" s="13" t="n"/>
      <c r="AE12" s="13" t="n"/>
      <c r="AF12" s="13" t="n"/>
      <c r="AG12" s="13" t="n"/>
      <c r="AH12" s="13" t="n"/>
      <c r="AI12" s="13" t="n"/>
      <c r="AJ12" s="13" t="n"/>
      <c r="AK12" s="13" t="n"/>
      <c r="AL12" s="13" t="n"/>
      <c r="AM12" s="13" t="n"/>
      <c r="AN12" s="13" t="n"/>
      <c r="AO12" s="13" t="n"/>
      <c r="AP12" s="13" t="n"/>
      <c r="AQ12" s="220" t="n"/>
    </row>
    <row r="13" hidden="1" customFormat="1" s="13">
      <c r="A13" s="175" t="inlineStr">
        <is>
          <t>U9</t>
        </is>
      </c>
      <c r="B13" s="176">
        <f>IF(_epmOfflineCondition_,"C_ITEM",EPMDimensionType(,A13))</f>
        <v/>
      </c>
      <c r="C13" s="176">
        <f>IF(_epmOfflineCondition_,"ZI_DUMMY",IF(B13="","",EPMContextMember(,B13)))</f>
        <v/>
      </c>
      <c r="D13" s="176">
        <f>IF(_epmOfflineCondition_,"与子项无关",EPMMemberDesc(C13))</f>
        <v/>
      </c>
      <c r="E13" s="176" t="n"/>
      <c r="F13" s="13" t="n"/>
      <c r="G13" s="13" t="n"/>
      <c r="H13" s="184" t="inlineStr">
        <is>
          <t xml:space="preserve">上年同期 </t>
        </is>
      </c>
      <c r="I13" s="184">
        <f>I10&amp;"."&amp;I8</f>
        <v/>
      </c>
      <c r="J13" s="13" t="n"/>
      <c r="K13" s="13" t="n"/>
      <c r="L13" s="13" t="n"/>
      <c r="M13" s="13" t="n"/>
      <c r="N13" s="13" t="n"/>
      <c r="O13" s="13" t="n"/>
      <c r="P13" s="13" t="n"/>
      <c r="Q13" s="13" t="n"/>
      <c r="R13" s="13" t="n"/>
      <c r="S13" s="1103" t="n"/>
      <c r="T13" s="13" t="n"/>
      <c r="U13" s="13" t="n"/>
      <c r="V13" s="13" t="n"/>
      <c r="W13" s="13" t="n"/>
      <c r="X13" s="171" t="n"/>
      <c r="Y13" s="171" t="n"/>
      <c r="Z13" s="13" t="n"/>
      <c r="AA13" s="13" t="n"/>
      <c r="AB13" s="13" t="n"/>
      <c r="AC13" s="13" t="n"/>
      <c r="AD13" s="13" t="n"/>
      <c r="AE13" s="13" t="n"/>
      <c r="AF13" s="13" t="n"/>
      <c r="AG13" s="13" t="n"/>
      <c r="AH13" s="13" t="n"/>
      <c r="AI13" s="13" t="n"/>
      <c r="AJ13" s="13" t="n"/>
      <c r="AK13" s="13" t="n"/>
      <c r="AL13" s="13" t="n"/>
      <c r="AM13" s="13" t="n"/>
      <c r="AN13" s="13" t="n"/>
      <c r="AO13" s="13" t="n"/>
      <c r="AP13" s="13" t="n"/>
      <c r="AQ13" s="220" t="n"/>
    </row>
    <row r="14" hidden="1" customFormat="1" s="13">
      <c r="A14" s="175" t="inlineStr">
        <is>
          <t>U10</t>
        </is>
      </c>
      <c r="B14" s="176">
        <f>IF(_epmOfflineCondition_,"C_MISK",EPMDimensionType(,A14))</f>
        <v/>
      </c>
      <c r="C14" s="176">
        <f>IF(_epmOfflineCondition_,"ZM_DUMMY",IF(B14="","",EPMContextMember(,B14)))</f>
        <v/>
      </c>
      <c r="D14" s="176">
        <f>IF(_epmOfflineCondition_,"综合无关",EPMMemberDesc(C14))</f>
        <v/>
      </c>
      <c r="E14" s="176" t="n"/>
      <c r="F14" s="13" t="n"/>
      <c r="G14" s="13" t="n"/>
      <c r="H14" s="13" t="n"/>
      <c r="I14" s="13" t="n"/>
      <c r="J14" s="13" t="n"/>
      <c r="K14" s="13" t="n"/>
      <c r="L14" s="13" t="n"/>
      <c r="M14" s="13" t="n"/>
      <c r="N14" s="13" t="n"/>
      <c r="O14" s="13" t="n"/>
      <c r="P14" s="13" t="n"/>
      <c r="Q14" s="13" t="n"/>
      <c r="R14" s="13" t="n"/>
      <c r="S14" s="1103" t="n"/>
      <c r="T14" s="13" t="n"/>
      <c r="U14" s="13" t="n"/>
      <c r="V14" s="13" t="n"/>
      <c r="W14" s="13" t="n"/>
      <c r="X14" s="171" t="n"/>
      <c r="Y14" s="171" t="n"/>
      <c r="Z14" s="13" t="n"/>
      <c r="AA14" s="13" t="n"/>
      <c r="AB14" s="13" t="n"/>
      <c r="AC14" s="13" t="n"/>
      <c r="AD14" s="13" t="n"/>
      <c r="AE14" s="13" t="n"/>
      <c r="AF14" s="13" t="n"/>
      <c r="AG14" s="13" t="n"/>
      <c r="AH14" s="13" t="n"/>
      <c r="AI14" s="13" t="n"/>
      <c r="AJ14" s="13" t="n"/>
      <c r="AK14" s="13" t="n"/>
      <c r="AL14" s="13" t="n"/>
      <c r="AM14" s="13" t="n"/>
      <c r="AN14" s="13" t="n"/>
      <c r="AO14" s="13" t="n"/>
      <c r="AP14" s="13" t="n"/>
      <c r="AQ14" s="220" t="n"/>
    </row>
    <row r="15" hidden="1" customFormat="1" s="13">
      <c r="A15" s="13" t="n"/>
      <c r="B15" s="1103" t="n"/>
      <c r="C15" s="1103" t="n"/>
      <c r="D15" s="1103" t="n"/>
      <c r="E15" s="13" t="n"/>
      <c r="F15" s="13" t="n"/>
      <c r="G15" s="13" t="n"/>
      <c r="H15" s="13" t="n"/>
      <c r="I15" s="13" t="n"/>
      <c r="J15" s="13" t="n"/>
      <c r="K15" s="13" t="n"/>
      <c r="L15" s="13" t="n"/>
      <c r="M15" s="13" t="n"/>
      <c r="N15" s="13" t="n"/>
      <c r="O15" s="13" t="n"/>
      <c r="P15" s="13" t="n"/>
      <c r="Q15" s="13" t="n"/>
      <c r="R15" s="13" t="n"/>
      <c r="S15" s="1103" t="n"/>
      <c r="T15" s="13" t="n"/>
      <c r="U15" s="13" t="n"/>
      <c r="V15" s="13" t="n"/>
      <c r="W15" s="13" t="n"/>
      <c r="X15" s="171" t="n"/>
      <c r="Y15" s="171" t="n"/>
      <c r="Z15" s="13" t="n"/>
      <c r="AA15" s="13" t="n"/>
      <c r="AB15" s="13" t="n"/>
      <c r="AC15" s="13" t="n"/>
      <c r="AD15" s="13" t="n"/>
      <c r="AE15" s="13" t="n"/>
      <c r="AF15" s="13" t="n"/>
      <c r="AG15" s="13" t="n"/>
      <c r="AH15" s="13" t="n"/>
      <c r="AI15" s="13" t="n"/>
      <c r="AJ15" s="13" t="n"/>
      <c r="AK15" s="13" t="n"/>
      <c r="AL15" s="13" t="n"/>
      <c r="AM15" s="13" t="n"/>
      <c r="AN15" s="13" t="n"/>
      <c r="AO15" s="13" t="n"/>
      <c r="AP15" s="13" t="n"/>
      <c r="AQ15" s="220" t="n"/>
    </row>
    <row r="16" hidden="1" customFormat="1" s="13">
      <c r="A16" s="13" t="n"/>
      <c r="B16" s="13" t="n"/>
      <c r="C16" s="13" t="n"/>
      <c r="D16" s="174" t="inlineStr">
        <is>
          <t>页轴</t>
        </is>
      </c>
      <c r="E16" s="1183" t="n"/>
      <c r="F16" s="13" t="n"/>
      <c r="G16" s="13" t="n"/>
      <c r="H16" s="13" t="n"/>
      <c r="I16" s="13" t="n"/>
      <c r="J16" s="13" t="n"/>
      <c r="K16" s="13" t="n"/>
      <c r="L16" s="13" t="n"/>
      <c r="M16" s="13" t="n"/>
      <c r="N16" s="13" t="n"/>
      <c r="O16" s="13" t="n"/>
      <c r="P16" s="13" t="n"/>
      <c r="Q16" s="13" t="n"/>
      <c r="R16" s="13" t="n"/>
      <c r="S16" s="1103" t="n"/>
      <c r="T16" s="13" t="n"/>
      <c r="U16" s="13" t="n"/>
      <c r="V16" s="13" t="n"/>
      <c r="W16" s="13" t="n"/>
      <c r="X16" s="171" t="n"/>
      <c r="Y16" s="171" t="n"/>
      <c r="Z16" s="13" t="n"/>
      <c r="AA16" s="13" t="n"/>
      <c r="AB16" s="13" t="n"/>
      <c r="AC16" s="13" t="n"/>
      <c r="AD16" s="13" t="n"/>
      <c r="AE16" s="13" t="n"/>
      <c r="AF16" s="13" t="n"/>
      <c r="AG16" s="13" t="n"/>
      <c r="AH16" s="13" t="n"/>
      <c r="AI16" s="13" t="n"/>
      <c r="AJ16" s="13" t="n"/>
      <c r="AK16" s="13" t="n"/>
      <c r="AL16" s="13" t="n"/>
      <c r="AM16" s="13" t="n"/>
      <c r="AN16" s="13" t="n"/>
      <c r="AO16" s="13" t="n"/>
      <c r="AP16" s="13" t="n"/>
      <c r="AQ16" s="220" t="n"/>
    </row>
    <row r="17" hidden="1" customFormat="1" s="13">
      <c r="A17" s="174" t="inlineStr">
        <is>
          <t>维度类型</t>
        </is>
      </c>
      <c r="B17" s="174" t="inlineStr">
        <is>
          <t>维度</t>
        </is>
      </c>
      <c r="C17" s="178" t="inlineStr">
        <is>
          <t>页轴替换</t>
        </is>
      </c>
      <c r="D17" s="174" t="inlineStr">
        <is>
          <t>报表001</t>
        </is>
      </c>
      <c r="E17" s="174" t="inlineStr">
        <is>
          <t>报表002</t>
        </is>
      </c>
      <c r="F17" s="13" t="n"/>
      <c r="G17" s="13" t="n"/>
      <c r="H17" s="13" t="n"/>
      <c r="I17" s="13" t="n"/>
      <c r="J17" s="13" t="n"/>
      <c r="K17" s="13" t="n"/>
      <c r="L17" s="13" t="n"/>
      <c r="M17" s="13" t="n"/>
      <c r="N17" s="13" t="n"/>
      <c r="O17" s="13" t="n"/>
      <c r="P17" s="13" t="n"/>
      <c r="Q17" s="13" t="n"/>
      <c r="R17" s="13" t="n"/>
      <c r="S17" s="1103" t="n"/>
      <c r="T17" s="13" t="n"/>
      <c r="U17" s="13" t="n"/>
      <c r="V17" s="13" t="n"/>
      <c r="W17" s="13" t="n"/>
      <c r="X17" s="171" t="n"/>
      <c r="Y17" s="171" t="n"/>
      <c r="Z17" s="13" t="n"/>
      <c r="AA17" s="13" t="n"/>
      <c r="AB17" s="13" t="n"/>
      <c r="AC17" s="13" t="n"/>
      <c r="AD17" s="13" t="n"/>
      <c r="AE17" s="13" t="n"/>
      <c r="AF17" s="13" t="n"/>
      <c r="AG17" s="13" t="n"/>
      <c r="AH17" s="13" t="n"/>
      <c r="AI17" s="180" t="inlineStr">
        <is>
          <t>可编辑单元格参数</t>
        </is>
      </c>
      <c r="AJ17" s="13" t="n"/>
      <c r="AK17" s="13" t="n"/>
      <c r="AL17" s="13" t="n"/>
      <c r="AM17" s="13" t="n"/>
      <c r="AN17" s="13" t="n"/>
      <c r="AO17" s="13" t="n"/>
      <c r="AP17" s="13" t="n"/>
      <c r="AQ17" s="220" t="n"/>
    </row>
    <row r="18" hidden="1" customFormat="1" s="13">
      <c r="A18" s="175" t="inlineStr">
        <is>
          <t>A</t>
        </is>
      </c>
      <c r="B18" s="176">
        <f>IF(_epmOfflineCondition_,"C_ACCOUNT",EPMDimensionType(,A18))</f>
        <v/>
      </c>
      <c r="C18" s="182" t="inlineStr">
        <is>
          <t>A_NOUSED</t>
        </is>
      </c>
      <c r="D18" s="180" t="n"/>
      <c r="E18" s="13" t="n"/>
      <c r="F18" s="13" t="n"/>
      <c r="G18" s="13" t="n"/>
      <c r="H18" s="13" t="n"/>
      <c r="I18" s="13" t="n"/>
      <c r="J18" s="13" t="n"/>
      <c r="K18" s="13" t="n"/>
      <c r="L18" s="13" t="n"/>
      <c r="M18" s="13" t="n"/>
      <c r="N18" s="13" t="n"/>
      <c r="O18" s="13" t="n"/>
      <c r="P18" s="13" t="n"/>
      <c r="Q18" s="13" t="n"/>
      <c r="R18" s="13" t="n"/>
      <c r="S18" s="1103" t="n"/>
      <c r="T18" s="13" t="n"/>
      <c r="U18" s="13" t="n"/>
      <c r="V18" s="13" t="n"/>
      <c r="W18" s="13" t="n"/>
      <c r="X18" s="171" t="n"/>
      <c r="Y18" s="171" t="n"/>
      <c r="Z18" s="13" t="n"/>
      <c r="AA18" s="13" t="n"/>
      <c r="AB18" s="13" t="n"/>
      <c r="AC18" s="13" t="n"/>
      <c r="AD18" s="13" t="n"/>
      <c r="AE18" s="13" t="n"/>
      <c r="AF18" s="13" t="n"/>
      <c r="AG18" s="13" t="n"/>
      <c r="AH18" s="13" t="n"/>
      <c r="AI18" s="180" t="inlineStr">
        <is>
          <t>I_DUMMY</t>
        </is>
      </c>
      <c r="AJ18" s="13" t="n"/>
      <c r="AK18" s="13" t="n"/>
      <c r="AL18" s="13" t="n"/>
      <c r="AM18" s="13" t="n"/>
      <c r="AN18" s="13" t="n"/>
      <c r="AO18" s="13" t="n"/>
      <c r="AP18" s="13" t="n"/>
      <c r="AQ18" s="220" t="n"/>
    </row>
    <row r="19" hidden="1" customFormat="1" s="13">
      <c r="A19" s="175" t="inlineStr">
        <is>
          <t>C</t>
        </is>
      </c>
      <c r="B19" s="176">
        <f>IF(_epmOfflineCondition_,"C_CATEGORY",EPMDimensionType(,A19))</f>
        <v/>
      </c>
      <c r="C19" s="182" t="inlineStr">
        <is>
          <t>C_DUMMY</t>
        </is>
      </c>
      <c r="D19" s="180" t="n"/>
      <c r="E19" s="13" t="n"/>
      <c r="F19" s="13" t="n"/>
      <c r="G19" s="13" t="n"/>
      <c r="H19" s="13" t="n"/>
      <c r="I19" s="13" t="n"/>
      <c r="J19" s="13" t="n"/>
      <c r="K19" s="13" t="n"/>
      <c r="L19" s="13" t="n"/>
      <c r="M19" s="13" t="n"/>
      <c r="N19" s="13" t="n"/>
      <c r="O19" s="13" t="n"/>
      <c r="P19" s="13" t="n"/>
      <c r="Q19" s="13" t="n"/>
      <c r="R19" s="13" t="n"/>
      <c r="S19" s="1103" t="n"/>
      <c r="T19" s="13" t="n"/>
      <c r="U19" s="13" t="n"/>
      <c r="V19" s="13" t="n"/>
      <c r="W19" s="13" t="n"/>
      <c r="X19" s="171" t="n"/>
      <c r="Y19" s="171" t="n"/>
      <c r="Z19" s="13" t="n"/>
      <c r="AA19" s="13" t="n"/>
      <c r="AB19" s="13" t="n"/>
      <c r="AC19" s="13" t="n"/>
      <c r="AD19" s="13" t="n"/>
      <c r="AE19" s="13" t="n"/>
      <c r="AF19" s="13" t="n"/>
      <c r="AG19" s="13" t="n"/>
      <c r="AH19" s="13" t="n"/>
      <c r="AI19" s="180" t="inlineStr">
        <is>
          <t>G_DUMMY</t>
        </is>
      </c>
      <c r="AJ19" s="13" t="n"/>
      <c r="AK19" s="13" t="n"/>
      <c r="AL19" s="13" t="n"/>
      <c r="AM19" s="13" t="n"/>
      <c r="AN19" s="13" t="n"/>
      <c r="AO19" s="13" t="n"/>
      <c r="AP19" s="13" t="n"/>
      <c r="AQ19" s="220" t="n"/>
    </row>
    <row r="20" hidden="1" customFormat="1" s="13">
      <c r="A20" s="175" t="inlineStr">
        <is>
          <t>T</t>
        </is>
      </c>
      <c r="B20" s="176">
        <f>IF(_epmOfflineCondition_,"C_TIME",EPMDimensionType(,A20))</f>
        <v/>
      </c>
      <c r="C20" s="672" t="inlineStr">
        <is>
          <t>T_DUMMY</t>
        </is>
      </c>
      <c r="D20" s="180" t="n"/>
      <c r="E20" s="13" t="n"/>
      <c r="F20" s="384" t="n"/>
      <c r="G20" s="384" t="n"/>
      <c r="H20" s="13" t="n"/>
      <c r="I20" s="13" t="n"/>
      <c r="J20" s="13" t="n"/>
      <c r="K20" s="13" t="n"/>
      <c r="L20" s="13" t="n"/>
      <c r="M20" s="13" t="n"/>
      <c r="N20" s="13" t="n"/>
      <c r="O20" s="13" t="n"/>
      <c r="P20" s="13" t="n"/>
      <c r="Q20" s="13" t="n"/>
      <c r="R20" s="13" t="n"/>
      <c r="S20" s="1103" t="n"/>
      <c r="T20" s="13" t="n"/>
      <c r="U20" s="13" t="n"/>
      <c r="V20" s="13" t="n"/>
      <c r="W20" s="13" t="n"/>
      <c r="X20" s="171" t="n"/>
      <c r="Y20" s="171" t="n"/>
      <c r="Z20" s="384" t="n"/>
      <c r="AA20" s="384" t="n"/>
      <c r="AB20" s="384" t="n"/>
      <c r="AC20" s="13" t="n"/>
      <c r="AD20" s="13" t="n"/>
      <c r="AE20" s="13" t="n"/>
      <c r="AF20" s="13" t="n"/>
      <c r="AG20" s="13" t="n"/>
      <c r="AH20" s="13" t="n"/>
      <c r="AI20" s="180" t="inlineStr">
        <is>
          <t>ZP_DUMMY</t>
        </is>
      </c>
      <c r="AJ20" s="13" t="n"/>
      <c r="AK20" s="13" t="n"/>
      <c r="AL20" s="13" t="n"/>
      <c r="AM20" s="13" t="n"/>
      <c r="AN20" s="13" t="n"/>
      <c r="AO20" s="13" t="n"/>
      <c r="AP20" s="13" t="n"/>
      <c r="AQ20" s="220" t="n"/>
    </row>
    <row r="21" hidden="1" customFormat="1" s="13">
      <c r="A21" s="175" t="inlineStr">
        <is>
          <t>E</t>
        </is>
      </c>
      <c r="B21" s="176">
        <f>IF(_epmOfflineCondition_,"C_ENTITY",EPMDimensionType(,A21))</f>
        <v/>
      </c>
      <c r="C21" s="447">
        <f>IF(_epmOfflineCondition_,"E100787",IF(B21="","",EPMContextMember(,B21)))</f>
        <v/>
      </c>
      <c r="D21" s="390">
        <f>IF(_epmOfflineCondition_,"E100787",EPMOlapMemberO(C6,"[C_ENTITY].[PARENTH1].[E100787]","E100787 - 内蒙古京能苏尼特风力发电有限公司（内蒙古分公司）","","000"))</f>
        <v/>
      </c>
      <c r="E21" s="13" t="n"/>
      <c r="F21" s="384" t="n"/>
      <c r="G21" s="384" t="n"/>
      <c r="H21" s="13" t="n"/>
      <c r="I21" s="13" t="n"/>
      <c r="J21" s="13" t="n"/>
      <c r="K21" s="13" t="n"/>
      <c r="L21" s="13" t="n"/>
      <c r="M21" s="13" t="n"/>
      <c r="N21" s="13" t="n"/>
      <c r="O21" s="13" t="n"/>
      <c r="P21" s="13" t="n"/>
      <c r="Q21" s="13" t="n"/>
      <c r="R21" s="13" t="n"/>
      <c r="S21" s="1103" t="n"/>
      <c r="T21" s="13" t="n"/>
      <c r="U21" s="13" t="n"/>
      <c r="V21" s="13" t="n"/>
      <c r="W21" s="13" t="n"/>
      <c r="X21" s="171" t="n"/>
      <c r="Y21" s="171" t="n"/>
      <c r="Z21" s="384" t="n"/>
      <c r="AA21" s="384" t="n"/>
      <c r="AB21" s="384" t="n"/>
      <c r="AC21" s="13" t="n"/>
      <c r="AD21" s="13" t="n"/>
      <c r="AE21" s="13" t="n"/>
      <c r="AF21" s="13" t="n"/>
      <c r="AG21" s="13" t="n"/>
      <c r="AH21" s="13" t="n"/>
      <c r="AI21" s="180" t="inlineStr">
        <is>
          <t>ZI_DUMMY</t>
        </is>
      </c>
      <c r="AJ21" s="13" t="n"/>
      <c r="AK21" s="13" t="n"/>
      <c r="AL21" s="13" t="n"/>
      <c r="AM21" s="13" t="n"/>
      <c r="AN21" s="13" t="n"/>
      <c r="AO21" s="13" t="n"/>
      <c r="AP21" s="13" t="n"/>
      <c r="AQ21" s="220" t="n"/>
    </row>
    <row r="22" hidden="1" customFormat="1" s="13">
      <c r="A22" s="175" t="inlineStr">
        <is>
          <t>R</t>
        </is>
      </c>
      <c r="B22" s="176">
        <f>IF(_epmOfflineCondition_,"C_RPTCURRENCY",EPMDimensionType(,A22))</f>
        <v/>
      </c>
      <c r="C22" s="176">
        <f>Z37</f>
        <v/>
      </c>
      <c r="D22" s="390">
        <f>IF(_epmOfflineCondition_,"LC",EPMOlapMemberO(C22,"[C_RPTCURRENCY].[].[LC]","LC - 本位币","","000"))</f>
        <v/>
      </c>
      <c r="E22" s="13" t="n"/>
      <c r="F22" s="384" t="n"/>
      <c r="G22" s="384" t="n"/>
      <c r="H22" s="13" t="n"/>
      <c r="I22" s="13" t="n"/>
      <c r="J22" s="13" t="n"/>
      <c r="K22" s="13" t="n"/>
      <c r="L22" s="13" t="n"/>
      <c r="M22" s="13" t="n"/>
      <c r="N22" s="13" t="n"/>
      <c r="O22" s="13" t="n"/>
      <c r="P22" s="13" t="n"/>
      <c r="Q22" s="13" t="n"/>
      <c r="R22" s="13" t="n"/>
      <c r="S22" s="1103" t="n"/>
      <c r="T22" s="13" t="n"/>
      <c r="U22" s="13" t="n"/>
      <c r="V22" s="13" t="n"/>
      <c r="W22" s="13" t="n"/>
      <c r="X22" s="171" t="n"/>
      <c r="Y22" s="171" t="n"/>
      <c r="Z22" s="384" t="n"/>
      <c r="AA22" s="384" t="n"/>
      <c r="AB22" s="384" t="n"/>
      <c r="AC22" s="13" t="n"/>
      <c r="AD22" s="13" t="n"/>
      <c r="AE22" s="13" t="n"/>
      <c r="AF22" s="13" t="n"/>
      <c r="AG22" s="13" t="n"/>
      <c r="AH22" s="13" t="n"/>
      <c r="AI22" s="180" t="inlineStr">
        <is>
          <t>ZM_DUMMY</t>
        </is>
      </c>
      <c r="AJ22" s="13" t="n"/>
      <c r="AK22" s="13" t="n"/>
      <c r="AL22" s="13" t="n"/>
      <c r="AM22" s="13" t="n"/>
      <c r="AN22" s="13" t="n"/>
      <c r="AO22" s="13" t="n"/>
      <c r="AP22" s="13" t="n"/>
      <c r="AQ22" s="220" t="n"/>
    </row>
    <row r="23" hidden="1" customFormat="1" s="13">
      <c r="A23" s="175" t="inlineStr">
        <is>
          <t>D</t>
        </is>
      </c>
      <c r="B23" s="176">
        <f>IF(_epmOfflineCondition_,"C_AUDITTRAIL",EPMDimensionType(,A23))</f>
        <v/>
      </c>
      <c r="C23" s="447">
        <f>IF(_epmOfflineCondition_,"DTOTAL",IF(B23="","",EPMContextMember(,B23)))</f>
        <v/>
      </c>
      <c r="D23" s="390" t="n"/>
      <c r="E23" s="13" t="n"/>
      <c r="F23" s="384" t="n"/>
      <c r="G23" s="384" t="n"/>
      <c r="H23" s="13" t="n"/>
      <c r="I23" s="13" t="n"/>
      <c r="J23" s="13" t="n"/>
      <c r="K23" s="13" t="n"/>
      <c r="L23" s="13" t="n"/>
      <c r="M23" s="13" t="n"/>
      <c r="N23" s="13" t="n"/>
      <c r="O23" s="13" t="n"/>
      <c r="P23" s="13" t="n"/>
      <c r="Q23" s="13" t="n"/>
      <c r="R23" s="13" t="n"/>
      <c r="S23" s="1103" t="n"/>
      <c r="T23" s="13" t="n"/>
      <c r="U23" s="13" t="n"/>
      <c r="V23" s="13" t="n"/>
      <c r="W23" s="13" t="n"/>
      <c r="X23" s="171" t="n"/>
      <c r="Y23" s="171" t="n"/>
      <c r="Z23" s="384" t="n"/>
      <c r="AA23" s="384" t="n"/>
      <c r="AB23" s="384" t="n"/>
      <c r="AC23" s="13" t="n"/>
      <c r="AD23" s="13" t="n"/>
      <c r="AE23" s="13" t="n"/>
      <c r="AF23" s="13" t="n"/>
      <c r="AG23" s="13" t="n"/>
      <c r="AH23" s="13" t="n"/>
      <c r="AI23" s="180" t="inlineStr">
        <is>
          <t>D1151</t>
        </is>
      </c>
      <c r="AJ23" s="13" t="n"/>
      <c r="AK23" s="13" t="n"/>
      <c r="AL23" s="13" t="n"/>
      <c r="AM23" s="13" t="n"/>
      <c r="AN23" s="13" t="n"/>
      <c r="AO23" s="13" t="n"/>
      <c r="AP23" s="13" t="n"/>
      <c r="AQ23" s="220" t="n"/>
    </row>
    <row r="24" hidden="1" customFormat="1" s="13">
      <c r="A24" s="175" t="inlineStr">
        <is>
          <t>S</t>
        </is>
      </c>
      <c r="B24" s="176">
        <f>IF(_epmOfflineCondition_,"C_FLOW",EPMDimensionType(,A24))</f>
        <v/>
      </c>
      <c r="C24" s="176">
        <f>IF(_epmOfflineCondition_,"F20",IF(B24="","",EPMContextMember(,B24)))</f>
        <v/>
      </c>
      <c r="D24" s="390" t="n"/>
      <c r="E24" s="13" t="n"/>
      <c r="F24" s="384" t="n"/>
      <c r="G24" s="384" t="n"/>
      <c r="H24" s="13" t="n"/>
      <c r="I24" s="13" t="n"/>
      <c r="J24" s="13" t="n"/>
      <c r="K24" s="13" t="n"/>
      <c r="L24" s="13" t="n"/>
      <c r="M24" s="13" t="n"/>
      <c r="N24" s="13" t="n"/>
      <c r="O24" s="13" t="n"/>
      <c r="P24" s="13" t="n"/>
      <c r="Q24" s="13" t="n"/>
      <c r="R24" s="13" t="n"/>
      <c r="S24" s="1103" t="n"/>
      <c r="T24" s="13" t="n"/>
      <c r="U24" s="13" t="n"/>
      <c r="V24" s="13" t="n"/>
      <c r="W24" s="13" t="n"/>
      <c r="X24" s="171" t="n"/>
      <c r="Y24" s="171" t="n"/>
      <c r="Z24" s="384" t="n"/>
      <c r="AA24" s="384" t="n"/>
      <c r="AB24" s="384" t="n"/>
      <c r="AC24" s="13" t="n"/>
      <c r="AD24" s="13" t="n"/>
      <c r="AE24" s="13" t="n"/>
      <c r="AF24" s="13" t="n"/>
      <c r="AG24" s="13" t="n"/>
      <c r="AH24" s="13" t="n"/>
      <c r="AI24" s="180" t="inlineStr">
        <is>
          <t>F20</t>
        </is>
      </c>
      <c r="AJ24" s="13" t="n"/>
      <c r="AK24" s="13" t="n"/>
      <c r="AL24" s="13" t="n"/>
      <c r="AM24" s="13" t="n"/>
      <c r="AN24" s="13" t="n"/>
      <c r="AO24" s="13" t="n"/>
      <c r="AP24" s="13" t="n"/>
      <c r="AQ24" s="220" t="n"/>
    </row>
    <row r="25" hidden="1" customFormat="1" s="13">
      <c r="A25" s="175" t="inlineStr">
        <is>
          <t>I</t>
        </is>
      </c>
      <c r="B25" s="176">
        <f>IF(_epmOfflineCondition_,"C_INTERCO",EPMDimensionType(,A25))</f>
        <v/>
      </c>
      <c r="C25" s="176" t="inlineStr">
        <is>
          <t>I_ALL</t>
        </is>
      </c>
      <c r="D25" s="390">
        <f>IF(_epmOfflineCondition_,"I_ALL - 全部贸易伙伴",EPMOlapMemberO("[C_INTERCO].[PARENTH1].[I_ALL]","","I_ALL - 全部贸易伙伴","","000"))</f>
        <v/>
      </c>
      <c r="E25" s="13" t="n"/>
      <c r="F25" s="384" t="n"/>
      <c r="G25" s="384" t="n"/>
      <c r="H25" s="13" t="n"/>
      <c r="I25" s="13" t="n"/>
      <c r="J25" s="13" t="n"/>
      <c r="K25" s="13" t="n"/>
      <c r="L25" s="13" t="n"/>
      <c r="M25" s="13" t="n"/>
      <c r="N25" s="13" t="n"/>
      <c r="O25" s="13" t="n"/>
      <c r="P25" s="13" t="n"/>
      <c r="Q25" s="13" t="n"/>
      <c r="R25" s="13" t="n"/>
      <c r="S25" s="1103" t="n"/>
      <c r="T25" s="13" t="n"/>
      <c r="U25" s="13" t="n"/>
      <c r="V25" s="13" t="n"/>
      <c r="W25" s="13" t="n"/>
      <c r="X25" s="171" t="n"/>
      <c r="Y25" s="171" t="n"/>
      <c r="Z25" s="178" t="inlineStr">
        <is>
          <t>CATEGORY</t>
        </is>
      </c>
      <c r="AA25" s="178" t="n"/>
      <c r="AB25" s="178" t="inlineStr">
        <is>
          <t>C1001</t>
        </is>
      </c>
      <c r="AC25" s="178" t="inlineStr">
        <is>
          <t>C1001</t>
        </is>
      </c>
      <c r="AD25" s="178">
        <f>$C$4</f>
        <v/>
      </c>
      <c r="AE25" s="178">
        <f>$C$4</f>
        <v/>
      </c>
      <c r="AF25" s="178">
        <f>$C$4</f>
        <v/>
      </c>
      <c r="AG25" s="13" t="n"/>
      <c r="AH25" s="384" t="n"/>
      <c r="AI25" s="13" t="n"/>
      <c r="AJ25" s="13" t="n"/>
      <c r="AK25" s="13" t="n"/>
      <c r="AL25" s="13" t="n"/>
      <c r="AM25" s="220" t="n"/>
      <c r="AN25" s="220" t="n"/>
      <c r="AO25" s="220" t="n"/>
      <c r="AP25" s="220" t="n"/>
      <c r="AQ25" s="220" t="n"/>
    </row>
    <row r="26" hidden="1" customFormat="1" s="13">
      <c r="A26" s="175" t="inlineStr">
        <is>
          <t>G</t>
        </is>
      </c>
      <c r="B26" s="176">
        <f>IF(_epmOfflineCondition_,"C_SCOPE",EPMDimensionType(,A26))</f>
        <v/>
      </c>
      <c r="C26" s="182" t="inlineStr">
        <is>
          <t>G_DUMMY</t>
        </is>
      </c>
      <c r="D26" s="390">
        <f>IF(_epmOfflineCondition_,"G_DUMMY - 合并范围无关",EPMOlapMemberO("[C_SCOPE].[PARENTH1].[G_DUMMY]","","G_DUMMY - 合并范围无关","","000"))</f>
        <v/>
      </c>
      <c r="E26" s="13" t="n"/>
      <c r="F26" s="384" t="n"/>
      <c r="G26" s="384" t="n"/>
      <c r="H26" s="13" t="n"/>
      <c r="I26" s="13" t="n"/>
      <c r="J26" s="13" t="n"/>
      <c r="K26" s="13" t="n"/>
      <c r="L26" s="13" t="n"/>
      <c r="M26" s="13" t="n"/>
      <c r="N26" s="13" t="n"/>
      <c r="O26" s="13" t="n"/>
      <c r="P26" s="13" t="n"/>
      <c r="Q26" s="13" t="n"/>
      <c r="R26" s="13" t="n"/>
      <c r="S26" s="1103" t="n"/>
      <c r="T26" s="13" t="n"/>
      <c r="U26" s="13" t="n"/>
      <c r="V26" s="13" t="n"/>
      <c r="W26" s="13" t="n"/>
      <c r="X26" s="171" t="n"/>
      <c r="Y26" s="171" t="n"/>
      <c r="Z26" s="464" t="inlineStr">
        <is>
          <t>TIME</t>
        </is>
      </c>
      <c r="AA26" s="464" t="n"/>
      <c r="AB26" s="464">
        <f>$I$12</f>
        <v/>
      </c>
      <c r="AC26" s="464">
        <f>$I$11</f>
        <v/>
      </c>
      <c r="AD26" s="464">
        <f>$I$11</f>
        <v/>
      </c>
      <c r="AE26" s="178">
        <f>$J$4</f>
        <v/>
      </c>
      <c r="AF26" s="200">
        <f>$I$13</f>
        <v/>
      </c>
      <c r="AG26" s="13" t="n"/>
      <c r="AH26" s="384" t="n"/>
      <c r="AI26" s="13" t="n"/>
      <c r="AJ26" s="13" t="n"/>
      <c r="AK26" s="13" t="n"/>
      <c r="AL26" s="13" t="n"/>
      <c r="AM26" s="220" t="n"/>
      <c r="AN26" s="220" t="n"/>
      <c r="AO26" s="220" t="n"/>
      <c r="AP26" s="220" t="n"/>
      <c r="AQ26" s="220" t="n"/>
    </row>
    <row r="27" hidden="1" customFormat="1" s="13">
      <c r="A27" s="175" t="inlineStr">
        <is>
          <t>U8</t>
        </is>
      </c>
      <c r="B27" s="176">
        <f>IF(_epmOfflineCondition_,"C_PROJECT",EPMDimensionType(,A27))</f>
        <v/>
      </c>
      <c r="C27" s="180" t="inlineStr">
        <is>
          <t>ZP_ALL</t>
        </is>
      </c>
      <c r="D27" s="390">
        <f>IF(_epmOfflineCondition_,"ZP_ALL - 项目合计",EPMOlapMemberO("[C_PROJECT].[PARENTH1].[ZP_ALL]","","ZP_ALL - 项目合计","","000"))</f>
        <v/>
      </c>
      <c r="E27" s="13" t="n"/>
      <c r="F27" s="384" t="n"/>
      <c r="G27" s="384" t="n"/>
      <c r="H27" s="13" t="n"/>
      <c r="I27" s="13" t="n"/>
      <c r="J27" s="13" t="n"/>
      <c r="K27" s="13" t="n"/>
      <c r="L27" s="13" t="n"/>
      <c r="M27" s="13" t="n"/>
      <c r="N27" s="13" t="n"/>
      <c r="O27" s="13" t="n"/>
      <c r="P27" s="13" t="n"/>
      <c r="Q27" s="13" t="n"/>
      <c r="R27" s="13" t="n"/>
      <c r="S27" s="1103" t="n"/>
      <c r="T27" s="13" t="n"/>
      <c r="U27" s="13" t="n"/>
      <c r="V27" s="13" t="n"/>
      <c r="W27" s="13" t="n"/>
      <c r="X27" s="171" t="n"/>
      <c r="Y27" s="171" t="n"/>
      <c r="Z27" s="200" t="inlineStr">
        <is>
          <t>MEASURES</t>
        </is>
      </c>
      <c r="AA27" s="200" t="n"/>
      <c r="AB27" s="200" t="inlineStr">
        <is>
          <t>YTD</t>
        </is>
      </c>
      <c r="AC27" s="200" t="inlineStr">
        <is>
          <t>YTD</t>
        </is>
      </c>
      <c r="AD27" s="200" t="inlineStr">
        <is>
          <t>Periodic</t>
        </is>
      </c>
      <c r="AE27" s="200" t="inlineStr">
        <is>
          <t>Periodic</t>
        </is>
      </c>
      <c r="AF27" s="200" t="inlineStr">
        <is>
          <t>Periodic</t>
        </is>
      </c>
      <c r="AG27" s="200" t="n"/>
      <c r="AH27" s="200" t="n"/>
      <c r="AI27" s="13" t="n"/>
      <c r="AJ27" s="13" t="n"/>
      <c r="AK27" s="13" t="n"/>
      <c r="AL27" s="13" t="n"/>
      <c r="AM27" s="220" t="n"/>
      <c r="AN27" s="220" t="n"/>
      <c r="AO27" s="220" t="n"/>
      <c r="AP27" s="220" t="n"/>
      <c r="AQ27" s="220" t="n"/>
    </row>
    <row r="28" hidden="1" customFormat="1" s="13">
      <c r="A28" s="175" t="inlineStr">
        <is>
          <t>U9</t>
        </is>
      </c>
      <c r="B28" s="176">
        <f>IF(_epmOfflineCondition_,"C_ITEM",EPMDimensionType(,A28))</f>
        <v/>
      </c>
      <c r="C28" s="180" t="inlineStr">
        <is>
          <t>ZI_ALL</t>
        </is>
      </c>
      <c r="D28" s="390">
        <f>IF(_epmOfflineCondition_,"ZI_ALL - 全部ITEM",EPMOlapMemberO("[C_ITEM].[PARENTH1].[ZI_ALL]","","ZI_ALL - 全部ITEM","","000"))</f>
        <v/>
      </c>
      <c r="E28" s="13" t="n"/>
      <c r="F28" s="384" t="n"/>
      <c r="G28" s="384" t="n"/>
      <c r="H28" s="13" t="n"/>
      <c r="I28" s="13" t="n"/>
      <c r="J28" s="13" t="n"/>
      <c r="K28" s="13" t="n"/>
      <c r="L28" s="13" t="n"/>
      <c r="M28" s="13" t="n"/>
      <c r="N28" s="13" t="n"/>
      <c r="O28" s="13" t="n"/>
      <c r="P28" s="13" t="n"/>
      <c r="Q28" s="13" t="n"/>
      <c r="R28" s="13" t="n"/>
      <c r="S28" s="1103" t="n"/>
      <c r="T28" s="13" t="n"/>
      <c r="U28" s="13" t="n"/>
      <c r="V28" s="13" t="n"/>
      <c r="W28" s="13" t="n"/>
      <c r="X28" s="171" t="n"/>
      <c r="Y28" s="171" t="n"/>
      <c r="Z28" s="200" t="inlineStr">
        <is>
          <t>FLOW</t>
        </is>
      </c>
      <c r="AA28" s="200" t="n"/>
      <c r="AB28" s="200" t="inlineStr">
        <is>
          <t>F20</t>
        </is>
      </c>
      <c r="AC28" s="200" t="inlineStr">
        <is>
          <t>F20</t>
        </is>
      </c>
      <c r="AD28" s="200" t="inlineStr">
        <is>
          <t>F20</t>
        </is>
      </c>
      <c r="AE28" s="200" t="inlineStr">
        <is>
          <t>F99</t>
        </is>
      </c>
      <c r="AF28" s="200" t="inlineStr">
        <is>
          <t>FEND</t>
        </is>
      </c>
      <c r="AG28" s="200" t="inlineStr">
        <is>
          <t>FMOV_OP</t>
        </is>
      </c>
      <c r="AH28" s="200" t="inlineStr">
        <is>
          <t>FEND</t>
        </is>
      </c>
      <c r="AI28" s="13" t="n"/>
      <c r="AJ28" s="13" t="n"/>
      <c r="AK28" s="13" t="n"/>
      <c r="AL28" s="13" t="n"/>
      <c r="AM28" s="13" t="n"/>
      <c r="AN28" s="13" t="n"/>
      <c r="AO28" s="220" t="n"/>
      <c r="AP28" s="220" t="n"/>
      <c r="AQ28" s="13" t="n"/>
    </row>
    <row r="29" hidden="1" customFormat="1" s="13">
      <c r="A29" s="175" t="inlineStr">
        <is>
          <t>U10</t>
        </is>
      </c>
      <c r="B29" s="176">
        <f>IF(_epmOfflineCondition_,"C_MISK",EPMDimensionType(,A29))</f>
        <v/>
      </c>
      <c r="C29" s="449" t="inlineStr">
        <is>
          <t>ZM_ALL</t>
        </is>
      </c>
      <c r="D29" s="390">
        <f>IF(_epmOfflineCondition_,"ZM_ALL - ALL",EPMOlapMemberO("[C_MISK].[PARENTH1].[ZM_ALL]","","ZM_ALL - ALL","","000"))</f>
        <v/>
      </c>
      <c r="E29" s="13" t="n"/>
      <c r="F29" s="384" t="n"/>
      <c r="G29" s="384" t="n"/>
      <c r="H29" s="13" t="n"/>
      <c r="I29" s="13" t="n"/>
      <c r="J29" s="13" t="n"/>
      <c r="K29" s="13" t="n"/>
      <c r="L29" s="13" t="n"/>
      <c r="M29" s="13" t="n"/>
      <c r="N29" s="13" t="n"/>
      <c r="O29" s="13" t="n"/>
      <c r="P29" s="13" t="n"/>
      <c r="Q29" s="13" t="n"/>
      <c r="R29" s="13" t="n"/>
      <c r="S29" s="1103" t="n"/>
      <c r="T29" s="13" t="n"/>
      <c r="U29" s="13" t="n"/>
      <c r="V29" s="13" t="n"/>
      <c r="W29" s="13" t="n"/>
      <c r="X29" s="171" t="n"/>
      <c r="Y29" s="171" t="n"/>
      <c r="Z29" s="200" t="inlineStr">
        <is>
          <t>AUDITTRAIL</t>
        </is>
      </c>
      <c r="AA29" s="200" t="n"/>
      <c r="AB29" s="200" t="inlineStr">
        <is>
          <t>DLC_BK</t>
        </is>
      </c>
      <c r="AC29" s="200" t="inlineStr">
        <is>
          <t>DLC_RC</t>
        </is>
      </c>
      <c r="AD29" s="200" t="inlineStr">
        <is>
          <t>DLC</t>
        </is>
      </c>
      <c r="AE29" s="200" t="inlineStr">
        <is>
          <t>DLC</t>
        </is>
      </c>
      <c r="AF29" s="200" t="inlineStr">
        <is>
          <t>DLC</t>
        </is>
      </c>
      <c r="AG29" s="200" t="inlineStr">
        <is>
          <t>DLC_ADJ</t>
        </is>
      </c>
      <c r="AH29" s="384" t="n"/>
      <c r="AI29" s="13" t="n"/>
      <c r="AJ29" s="13" t="n"/>
      <c r="AK29" s="13" t="n"/>
      <c r="AL29" s="13" t="n"/>
      <c r="AM29" s="13" t="n"/>
      <c r="AN29" s="13" t="n"/>
      <c r="AO29" s="220" t="n"/>
      <c r="AP29" s="13" t="n"/>
      <c r="AQ29" s="13" t="n"/>
    </row>
    <row r="30" hidden="1" customFormat="1" s="13">
      <c r="A30" s="175" t="n"/>
      <c r="B30" s="175">
        <f>IF(_epmOfflineCondition_,"",EPMDimensionType(,A30))</f>
        <v/>
      </c>
      <c r="C30" s="182" t="inlineStr">
        <is>
          <t>PERIODIC</t>
        </is>
      </c>
      <c r="D30" s="390" t="n"/>
      <c r="E30" s="13" t="n"/>
      <c r="F30" s="384" t="n"/>
      <c r="G30" s="384" t="n"/>
      <c r="H30" s="13" t="n"/>
      <c r="I30" s="13" t="n"/>
      <c r="J30" s="13" t="n"/>
      <c r="K30" s="13" t="n"/>
      <c r="L30" s="13" t="n"/>
      <c r="M30" s="13" t="n"/>
      <c r="N30" s="13" t="n"/>
      <c r="O30" s="13" t="n"/>
      <c r="P30" s="13" t="n"/>
      <c r="Q30" s="13" t="n"/>
      <c r="R30" s="13" t="n"/>
      <c r="S30" s="1103" t="n"/>
      <c r="T30" s="13" t="n"/>
      <c r="U30" s="13" t="n"/>
      <c r="V30" s="13" t="n"/>
      <c r="W30" s="13" t="n"/>
      <c r="X30" s="171" t="n"/>
      <c r="Y30" s="171" t="n"/>
      <c r="Z30" s="13">
        <f>IF(_epmOfflineCondition_,"单体账面",EPMMemberDesc(AB29))</f>
        <v/>
      </c>
      <c r="AA30" s="13" t="n"/>
      <c r="AB30" s="13">
        <f>IF(_epmOfflineCondition_,"单体重分类",EPMMemberDesc(AC29))</f>
        <v/>
      </c>
      <c r="AC30" s="13">
        <f>IF(_epmOfflineCondition_,"单体报表",EPMMemberDesc(AD29))</f>
        <v/>
      </c>
      <c r="AD30" s="13">
        <f>IF(_epmOfflineCondition_,"单体报表",EPMMemberDesc(AE29))</f>
        <v/>
      </c>
      <c r="AE30" s="13">
        <f>IF(_epmOfflineCondition_,"单体报表",EPMMemberDesc(AF29))</f>
        <v/>
      </c>
      <c r="AF30" s="13">
        <f>IF(_epmOfflineCondition_,"单体调整",EPMMemberDesc(AG29))</f>
        <v/>
      </c>
      <c r="AG30" s="384" t="n"/>
      <c r="AH30" s="13" t="n"/>
      <c r="AI30" s="13" t="n"/>
      <c r="AJ30" s="13" t="n"/>
      <c r="AK30" s="13" t="n"/>
      <c r="AL30" s="13" t="n"/>
      <c r="AM30" s="13" t="n"/>
      <c r="AN30" s="220" t="n"/>
      <c r="AO30" s="13" t="n"/>
      <c r="AP30" s="13" t="n"/>
      <c r="AQ30" s="13" t="n"/>
    </row>
    <row r="31" hidden="1" customFormat="1" s="13">
      <c r="A31" s="13" t="n"/>
      <c r="B31" s="1103" t="n"/>
      <c r="C31" s="1103" t="n"/>
      <c r="D31" s="1103" t="n"/>
      <c r="E31" s="13" t="n"/>
      <c r="F31" s="13" t="n"/>
      <c r="G31" s="13" t="n"/>
      <c r="H31" s="13" t="n"/>
      <c r="I31" s="13" t="n"/>
      <c r="J31" s="13" t="n"/>
      <c r="K31" s="13" t="n"/>
      <c r="L31" s="13" t="n"/>
      <c r="M31" s="13" t="n"/>
      <c r="N31" s="13" t="n"/>
      <c r="O31" s="13" t="n"/>
      <c r="P31" s="13" t="n"/>
      <c r="Q31" s="13" t="n"/>
      <c r="R31" s="13" t="n"/>
      <c r="S31" s="1103" t="n"/>
      <c r="T31" s="13" t="n"/>
      <c r="U31" s="13" t="n"/>
      <c r="V31" s="13" t="n"/>
      <c r="W31" s="13" t="n"/>
      <c r="X31" s="171" t="n"/>
      <c r="Y31" s="171" t="n"/>
      <c r="Z31" s="384" t="n"/>
      <c r="AA31" s="384" t="n"/>
      <c r="AB31" s="384" t="n"/>
      <c r="AC31" s="13" t="n"/>
      <c r="AD31" s="13" t="n"/>
      <c r="AE31" s="13" t="n"/>
      <c r="AF31" s="13" t="n"/>
      <c r="AG31" s="13" t="n"/>
      <c r="AH31" s="13" t="n"/>
      <c r="AI31" s="13" t="n"/>
      <c r="AJ31" s="13" t="n"/>
      <c r="AK31" s="13" t="n"/>
      <c r="AL31" s="13" t="n"/>
      <c r="AM31" s="13" t="n"/>
      <c r="AN31" s="13" t="n"/>
      <c r="AO31" s="13" t="n"/>
      <c r="AP31" s="13" t="n"/>
      <c r="AQ31" s="220" t="n"/>
    </row>
    <row r="32" hidden="1" customFormat="1" s="13">
      <c r="A32" s="13" t="n"/>
      <c r="B32" s="1103" t="n"/>
      <c r="C32" s="1103" t="n"/>
      <c r="D32" s="1103" t="n"/>
      <c r="E32" s="13" t="n"/>
      <c r="F32" s="13" t="n"/>
      <c r="G32" s="13" t="n"/>
      <c r="H32" s="13" t="n"/>
      <c r="I32" s="13" t="n"/>
      <c r="J32" s="13" t="n"/>
      <c r="K32" s="13" t="n"/>
      <c r="L32" s="13" t="n"/>
      <c r="M32" s="13" t="n"/>
      <c r="N32" s="13" t="n"/>
      <c r="O32" s="13" t="n"/>
      <c r="P32" s="13" t="n"/>
      <c r="Q32" s="13" t="n"/>
      <c r="R32" s="13" t="n"/>
      <c r="S32" s="1103" t="n"/>
      <c r="T32" s="13" t="n"/>
      <c r="U32" s="13" t="n"/>
      <c r="V32" s="13" t="n"/>
      <c r="W32" s="13" t="n"/>
      <c r="X32" s="171" t="n"/>
      <c r="Y32" s="171" t="n"/>
      <c r="Z32" s="13" t="n"/>
      <c r="AA32" s="13" t="n"/>
      <c r="AB32" s="13" t="n"/>
      <c r="AC32" s="13" t="n"/>
      <c r="AD32" s="13" t="n"/>
      <c r="AE32" s="13" t="n"/>
      <c r="AF32" s="13" t="n"/>
      <c r="AG32" s="13" t="n"/>
      <c r="AH32" s="13" t="n"/>
      <c r="AI32" s="13" t="n"/>
      <c r="AJ32" s="13" t="n"/>
      <c r="AK32" s="13" t="n"/>
      <c r="AL32" s="13" t="n"/>
      <c r="AM32" s="13" t="n"/>
      <c r="AN32" s="13" t="n"/>
      <c r="AO32" s="13" t="n"/>
      <c r="AP32" s="13" t="n"/>
      <c r="AQ32" s="220" t="n"/>
    </row>
    <row r="33" hidden="1" customFormat="1" s="13">
      <c r="A33" s="13" t="n"/>
      <c r="B33" s="1103" t="n"/>
      <c r="C33" s="1103" t="n"/>
      <c r="D33" s="1103" t="n"/>
      <c r="E33" s="13" t="n"/>
      <c r="F33" s="13" t="n"/>
      <c r="G33" s="13" t="n"/>
      <c r="H33" s="13" t="n"/>
      <c r="I33" s="13" t="n"/>
      <c r="J33" s="13" t="n"/>
      <c r="K33" s="13" t="n"/>
      <c r="L33" s="13" t="n"/>
      <c r="M33" s="13" t="n"/>
      <c r="N33" s="13" t="n"/>
      <c r="O33" s="13" t="n"/>
      <c r="P33" s="13" t="n"/>
      <c r="Q33" s="13" t="n"/>
      <c r="R33" s="13" t="n"/>
      <c r="S33" s="1103" t="n"/>
      <c r="T33" s="13" t="n"/>
      <c r="U33" s="13" t="n"/>
      <c r="V33" s="13" t="n"/>
      <c r="W33" s="13" t="n"/>
      <c r="X33" s="171" t="n"/>
      <c r="Y33" s="171" t="n"/>
      <c r="Z33" s="13" t="n"/>
      <c r="AA33" s="13" t="n"/>
      <c r="AB33" s="13" t="n"/>
      <c r="AC33" s="13" t="n"/>
      <c r="AD33" s="13" t="n"/>
      <c r="AE33" s="13" t="n"/>
      <c r="AF33" s="13" t="n"/>
      <c r="AG33" s="13" t="n"/>
      <c r="AH33" s="13" t="n"/>
      <c r="AI33" s="13" t="n"/>
      <c r="AJ33" s="13" t="n"/>
      <c r="AK33" s="13" t="n"/>
      <c r="AL33" s="13" t="n"/>
      <c r="AM33" s="13" t="n"/>
      <c r="AN33" s="13" t="n"/>
      <c r="AO33" s="13" t="n"/>
      <c r="AP33" s="13" t="n"/>
      <c r="AQ33" s="220" t="n"/>
    </row>
    <row r="34" ht="10.5" customFormat="1" customHeight="1" s="13">
      <c r="A34" s="13" t="n"/>
      <c r="B34" s="1103" t="n"/>
      <c r="C34" s="1103" t="n"/>
      <c r="D34" s="1103" t="n"/>
      <c r="E34" s="13" t="n"/>
      <c r="F34" s="13" t="n"/>
      <c r="G34" s="13" t="n"/>
      <c r="H34" s="13" t="n"/>
      <c r="I34" s="13" t="n"/>
      <c r="J34" s="13" t="n"/>
      <c r="K34" s="13" t="n"/>
      <c r="L34" s="13" t="n"/>
      <c r="M34" s="13" t="n"/>
      <c r="N34" s="13" t="n"/>
      <c r="O34" s="13" t="n"/>
      <c r="P34" s="13" t="n"/>
      <c r="Q34" s="13" t="n"/>
      <c r="R34" s="13" t="n"/>
      <c r="S34" s="1103" t="n"/>
      <c r="T34" s="13" t="n"/>
      <c r="U34" s="13" t="n"/>
      <c r="V34" s="13" t="n"/>
      <c r="W34" s="13" t="n"/>
      <c r="X34" s="171" t="n"/>
      <c r="Y34" s="171" t="n"/>
      <c r="Z34" s="13" t="n"/>
      <c r="AA34" s="13" t="n"/>
      <c r="AB34" s="13" t="n"/>
      <c r="AC34" s="13" t="n"/>
      <c r="AD34" s="13" t="n"/>
      <c r="AE34" s="13" t="n"/>
      <c r="AF34" s="13" t="n"/>
      <c r="AG34" s="13" t="n"/>
      <c r="AH34" s="13" t="n"/>
      <c r="AI34" s="13" t="n"/>
      <c r="AJ34" s="13" t="n"/>
      <c r="AK34" s="13" t="n"/>
      <c r="AL34" s="13" t="n"/>
      <c r="AM34" s="716" t="n"/>
      <c r="AN34" s="13" t="n"/>
      <c r="AO34" s="13" t="n"/>
      <c r="AP34" s="13" t="n"/>
      <c r="AQ34" s="220" t="n"/>
    </row>
    <row r="35" ht="32.25" customHeight="1" s="1181">
      <c r="A35" s="384" t="n"/>
      <c r="B35" s="384" t="n"/>
      <c r="C35" s="384" t="n"/>
      <c r="D35" s="384" t="n"/>
      <c r="E35" s="384" t="n"/>
      <c r="F35" s="384" t="n"/>
      <c r="G35" s="384" t="n"/>
      <c r="H35" s="384" t="n"/>
      <c r="I35" s="384" t="n"/>
      <c r="J35" s="384" t="n"/>
      <c r="K35" s="384" t="n"/>
      <c r="L35" s="384" t="n"/>
      <c r="M35" s="384" t="n"/>
      <c r="N35" s="384" t="n"/>
      <c r="O35" s="384" t="n"/>
      <c r="P35" s="384" t="n"/>
      <c r="Q35" s="384" t="n"/>
      <c r="R35" s="384" t="n"/>
      <c r="S35" s="32" t="n"/>
      <c r="T35" s="384" t="n"/>
      <c r="U35" s="384" t="n"/>
      <c r="V35" s="384" t="n"/>
      <c r="W35" s="384" t="n"/>
      <c r="X35" s="38" t="n"/>
      <c r="Y35" s="38" t="n"/>
      <c r="Z35" s="13" t="n"/>
      <c r="AA35" s="13" t="n"/>
      <c r="AB35" s="384" t="n"/>
      <c r="AC35" s="384" t="n"/>
      <c r="AD35" s="520" t="inlineStr">
        <is>
          <t>利润表-单体</t>
        </is>
      </c>
      <c r="AE35" s="384" t="n"/>
      <c r="AF35" s="465" t="n"/>
      <c r="AG35" s="384" t="n"/>
      <c r="AH35" s="384" t="n"/>
      <c r="AI35" s="384" t="n"/>
      <c r="AJ35" s="384" t="n"/>
      <c r="AK35" s="384" t="n"/>
      <c r="AL35" s="384" t="n"/>
      <c r="AM35" s="384" t="n"/>
      <c r="AN35" s="384" t="n"/>
      <c r="AO35" s="384" t="n"/>
      <c r="AP35" s="384" t="n"/>
      <c r="AQ35" s="384" t="n"/>
    </row>
    <row r="36" ht="15.2" customFormat="1" customHeight="1" s="716">
      <c r="A36" s="716" t="n"/>
      <c r="B36" s="716" t="n"/>
      <c r="C36" s="716" t="n"/>
      <c r="D36" s="716" t="n"/>
      <c r="E36" s="716" t="n"/>
      <c r="F36" s="716" t="n"/>
      <c r="G36" s="716" t="n"/>
      <c r="H36" s="716" t="n"/>
      <c r="I36" s="716" t="n"/>
      <c r="J36" s="716" t="n"/>
      <c r="K36" s="716" t="n"/>
      <c r="L36" s="716" t="n"/>
      <c r="M36" s="716" t="n"/>
      <c r="N36" s="716" t="n"/>
      <c r="O36" s="716" t="n"/>
      <c r="P36" s="716" t="n"/>
      <c r="Q36" s="716" t="n"/>
      <c r="R36" s="716" t="n"/>
      <c r="S36" s="462" t="n"/>
      <c r="T36" s="716" t="n"/>
      <c r="U36" s="716" t="n"/>
      <c r="V36" s="716" t="n"/>
      <c r="W36" s="716" t="n"/>
      <c r="X36" s="190">
        <f>IF(_epmOfflineCondition_,"编制单位：内蒙古京能苏尼特风力发电有限公司（内蒙古分公司）","编制单位："&amp;EPMMemberDesc($D$6))</f>
        <v/>
      </c>
      <c r="Y36" s="190" t="n"/>
      <c r="Z36" s="716" t="n"/>
      <c r="AA36" s="716" t="n"/>
      <c r="AB36" s="716" t="n"/>
      <c r="AC36" s="203" t="n"/>
      <c r="AD36" s="716" t="n"/>
      <c r="AE36" s="716" t="n"/>
      <c r="AF36" s="716" t="n"/>
      <c r="AG36" s="716" t="n"/>
      <c r="AH36" s="716" t="n"/>
      <c r="AI36" s="716" t="n"/>
      <c r="AJ36" s="716" t="n"/>
      <c r="AK36" s="716" t="n"/>
      <c r="AL36" s="716" t="n"/>
      <c r="AM36" s="716" t="n"/>
      <c r="AN36" s="716" t="n"/>
      <c r="AO36" s="716" t="n"/>
      <c r="AP36" s="716" t="n"/>
      <c r="AQ36" s="716" t="n"/>
    </row>
    <row r="37" ht="15.2" customFormat="1" customHeight="1" s="716">
      <c r="A37" s="716" t="n"/>
      <c r="B37" s="716" t="n"/>
      <c r="C37" s="716" t="n"/>
      <c r="D37" s="716" t="n"/>
      <c r="E37" s="716" t="n"/>
      <c r="F37" s="716" t="n"/>
      <c r="G37" s="716" t="n"/>
      <c r="H37" s="716" t="n"/>
      <c r="I37" s="716" t="n"/>
      <c r="J37" s="716" t="n"/>
      <c r="K37" s="716" t="n"/>
      <c r="L37" s="716" t="n"/>
      <c r="M37" s="716" t="n"/>
      <c r="N37" s="716" t="n"/>
      <c r="O37" s="716" t="n"/>
      <c r="P37" s="716" t="n"/>
      <c r="Q37" s="716" t="n"/>
      <c r="R37" s="716" t="n"/>
      <c r="S37" s="462" t="n"/>
      <c r="T37" s="716" t="n"/>
      <c r="U37" s="716" t="n"/>
      <c r="V37" s="716" t="n"/>
      <c r="W37" s="716" t="n"/>
      <c r="X37" s="190">
        <f>"编制月份："&amp;$I$3&amp;"年"&amp;$I$8&amp;"月"</f>
        <v/>
      </c>
      <c r="Y37" s="190" t="inlineStr">
        <is>
          <t>币种：</t>
        </is>
      </c>
      <c r="Z37" s="716" t="inlineStr">
        <is>
          <t>LC</t>
        </is>
      </c>
      <c r="AA37" s="716" t="n"/>
      <c r="AB37" s="716" t="inlineStr">
        <is>
          <t>操作提示：表单默认币种LC（本位币），外币记账单位，可点击左侧，更换币种，更换后点击EPM选项卡中的“刷新”按钮</t>
        </is>
      </c>
      <c r="AC37" s="716" t="n"/>
      <c r="AD37" s="716" t="n"/>
      <c r="AE37" s="716" t="n"/>
      <c r="AF37" s="716" t="n"/>
      <c r="AG37" s="716" t="n"/>
      <c r="AH37" s="716" t="n"/>
      <c r="AI37" s="716" t="n"/>
      <c r="AJ37" s="716" t="n"/>
      <c r="AK37" s="716" t="n"/>
      <c r="AL37" s="716" t="n"/>
      <c r="AM37" s="716" t="n"/>
      <c r="AN37" s="716" t="n"/>
      <c r="AO37" s="716" t="n"/>
      <c r="AP37" s="716" t="n"/>
      <c r="AQ37" s="716" t="n"/>
    </row>
    <row r="38" ht="10.35" customFormat="1" customHeight="1" s="716">
      <c r="A38" s="716" t="n"/>
      <c r="B38" s="716" t="n"/>
      <c r="C38" s="716" t="n"/>
      <c r="D38" s="716" t="n"/>
      <c r="E38" s="716" t="n"/>
      <c r="F38" s="716" t="n"/>
      <c r="G38" s="716" t="n"/>
      <c r="H38" s="716" t="n"/>
      <c r="I38" s="716" t="n"/>
      <c r="J38" s="716" t="n"/>
      <c r="K38" s="716" t="n"/>
      <c r="L38" s="716" t="n"/>
      <c r="M38" s="716" t="n"/>
      <c r="N38" s="716" t="n"/>
      <c r="O38" s="716" t="n"/>
      <c r="P38" s="716" t="n"/>
      <c r="Q38" s="716" t="n"/>
      <c r="R38" s="716" t="n"/>
      <c r="S38" s="462" t="n"/>
      <c r="T38" s="716" t="n"/>
      <c r="U38" s="716" t="n"/>
      <c r="V38" s="716" t="n"/>
      <c r="W38" s="716" t="n"/>
      <c r="X38" s="190" t="n"/>
      <c r="Y38" s="190" t="n"/>
      <c r="Z38" s="716" t="n"/>
      <c r="AA38" s="716" t="n"/>
      <c r="AB38" s="716" t="n"/>
      <c r="AC38" s="203" t="n"/>
      <c r="AD38" s="716" t="n"/>
      <c r="AE38" s="223" t="n"/>
      <c r="AF38" s="716" t="n"/>
      <c r="AG38" s="716" t="n"/>
      <c r="AH38" s="716" t="n"/>
      <c r="AI38" s="716" t="n"/>
      <c r="AJ38" s="716" t="n"/>
      <c r="AK38" s="716" t="n"/>
      <c r="AL38" s="716" t="n"/>
      <c r="AM38" s="716" t="n"/>
      <c r="AN38" s="716" t="n"/>
      <c r="AO38" s="716" t="n"/>
      <c r="AP38" s="716" t="n"/>
      <c r="AQ38" s="716" t="n"/>
    </row>
    <row r="39" ht="16.5" customFormat="1" customHeight="1" s="716">
      <c r="A39" s="716" t="n"/>
      <c r="B39" s="716" t="n"/>
      <c r="C39" s="716" t="n"/>
      <c r="D39" s="716" t="n"/>
      <c r="E39" s="716" t="n"/>
      <c r="F39" s="716" t="n"/>
      <c r="G39" s="716" t="n"/>
      <c r="H39" s="716" t="n"/>
      <c r="I39" s="716" t="n"/>
      <c r="J39" s="716" t="n"/>
      <c r="K39" s="716" t="n"/>
      <c r="L39" s="716" t="n"/>
      <c r="M39" s="716" t="n"/>
      <c r="N39" s="716" t="n"/>
      <c r="O39" s="716" t="n"/>
      <c r="P39" s="716" t="n"/>
      <c r="Q39" s="716" t="n"/>
      <c r="R39" s="716" t="n"/>
      <c r="S39" s="462" t="n"/>
      <c r="T39" s="716" t="n"/>
      <c r="U39" s="716" t="n"/>
      <c r="V39" s="716" t="n"/>
      <c r="W39" s="716" t="n"/>
      <c r="X39" s="450" t="inlineStr">
        <is>
          <t>项        目</t>
        </is>
      </c>
      <c r="Y39" s="450" t="inlineStr">
        <is>
          <t>行次</t>
        </is>
      </c>
      <c r="Z39" s="1138" t="inlineStr">
        <is>
          <t>本月数</t>
        </is>
      </c>
      <c r="AA39" s="1139" t="inlineStr">
        <is>
          <t>上月累计数</t>
        </is>
      </c>
      <c r="AB39" s="466" t="inlineStr">
        <is>
          <t>本年累计-科目余额表
（系统自动生成）</t>
        </is>
      </c>
      <c r="AC39" s="466" t="inlineStr">
        <is>
          <t>本年累计-人工调整
（重分类调整）</t>
        </is>
      </c>
      <c r="AD39" s="467" t="inlineStr">
        <is>
          <t>本年累计数</t>
        </is>
      </c>
      <c r="AE39" s="467" t="inlineStr">
        <is>
          <t>上年同期累计数</t>
        </is>
      </c>
      <c r="AF39" s="716" t="n"/>
      <c r="AG39" s="716" t="n"/>
      <c r="AH39" s="716" t="n"/>
      <c r="AI39" s="716" t="n"/>
      <c r="AJ39" s="716" t="n"/>
      <c r="AK39" s="716" t="n"/>
      <c r="AL39" s="716" t="n"/>
      <c r="AM39" s="716" t="n"/>
      <c r="AN39" s="716" t="n"/>
      <c r="AO39" s="716" t="n"/>
      <c r="AP39" s="716" t="n"/>
      <c r="AQ39" s="716" t="n"/>
    </row>
    <row r="40" ht="15" customFormat="1" customHeight="1" s="716">
      <c r="A40" s="716" t="n"/>
      <c r="B40" s="716" t="n"/>
      <c r="C40" s="716" t="n"/>
      <c r="D40" s="716" t="n"/>
      <c r="E40" s="716" t="n"/>
      <c r="F40" s="716" t="n"/>
      <c r="G40" s="716" t="n"/>
      <c r="H40" s="716" t="n"/>
      <c r="I40" s="716" t="n"/>
      <c r="J40" s="716" t="n"/>
      <c r="K40" s="716" t="n"/>
      <c r="L40" s="716" t="n"/>
      <c r="M40" s="716" t="n"/>
      <c r="N40" s="716" t="n"/>
      <c r="O40" s="716" t="n"/>
      <c r="P40" s="716" t="n"/>
      <c r="Q40" s="716" t="n"/>
      <c r="R40" s="716" t="n"/>
      <c r="S40" s="462" t="n"/>
      <c r="T40" s="716" t="n"/>
      <c r="U40" s="716" t="n"/>
      <c r="V40" s="716" t="n"/>
      <c r="W40" s="716" t="n"/>
      <c r="X40" s="1184" t="n"/>
      <c r="Y40" s="1184" t="n"/>
      <c r="Z40" s="1210" t="n"/>
      <c r="AA40" s="1211" t="n"/>
      <c r="AB40" s="1211" t="n"/>
      <c r="AC40" s="1211" t="n"/>
      <c r="AD40" s="1211" t="n"/>
      <c r="AE40" s="1211" t="n"/>
      <c r="AF40" s="716" t="n"/>
      <c r="AG40" s="716" t="n"/>
      <c r="AH40" s="716" t="n"/>
      <c r="AI40" s="716" t="n"/>
      <c r="AJ40" s="716" t="n"/>
      <c r="AK40" s="716" t="n"/>
      <c r="AL40" s="716" t="n"/>
      <c r="AM40" s="716" t="n"/>
      <c r="AN40" s="716" t="n"/>
      <c r="AO40" s="716" t="n"/>
      <c r="AP40" s="716" t="n"/>
      <c r="AQ40" s="716" t="n"/>
    </row>
    <row r="41" hidden="1" ht="14.25" customFormat="1" customHeight="1" s="24">
      <c r="A41" s="24" t="n"/>
      <c r="B41" s="24" t="n"/>
      <c r="C41" s="24" t="n"/>
      <c r="D41" s="24" t="n"/>
      <c r="E41" s="24" t="n"/>
      <c r="F41" s="24" t="n"/>
      <c r="G41" s="24" t="n"/>
      <c r="H41" s="24" t="n"/>
      <c r="I41" s="24" t="n"/>
      <c r="J41" s="24" t="n"/>
      <c r="K41" s="24" t="n"/>
      <c r="L41" s="24" t="n"/>
      <c r="M41" s="24" t="n"/>
      <c r="N41" s="24" t="n"/>
      <c r="O41" s="24" t="n"/>
      <c r="P41" s="24" t="n"/>
      <c r="Q41" s="24" t="n"/>
      <c r="R41" s="24" t="n"/>
      <c r="S41" s="24" t="n"/>
      <c r="T41" s="24" t="n"/>
      <c r="U41" s="24" t="n"/>
      <c r="V41" s="24" t="n"/>
      <c r="W41" s="24" t="n"/>
      <c r="X41" s="451" t="inlineStr">
        <is>
          <t>time</t>
        </is>
      </c>
      <c r="Y41" s="726" t="n"/>
      <c r="Z41" s="384" t="n"/>
      <c r="AA41" s="384">
        <f>IF(_epmOfflineCondition_,"2025.02",EPMOlapMemberO($I$12,"[C_TIME].[PARENTH1].[2025.02]","2025.02 - 2025.02","","000"))</f>
        <v/>
      </c>
      <c r="AB41" s="384">
        <f>IF(_epmOfflineCondition_,"2025.03",EPMOlapMemberO($I$11,"[C_TIME].[PARENTH1].[2025.03]","2025.03 - 2025.03","","000"))</f>
        <v/>
      </c>
      <c r="AC41" s="384">
        <f>IF(_epmOfflineCondition_,"2025.03",EPMOlapMemberO($I$11,"[C_TIME].[PARENTH1].[2025.03]","2025.03 - 2025.03","","000"))</f>
        <v/>
      </c>
      <c r="AD41" s="384">
        <f>IF(_epmOfflineCondition_,"2025.03",EPMOlapMemberO($I$11,"[C_TIME].[PARENTH1].[2025.03]","2025.03 - 2025.03","","000"))</f>
        <v/>
      </c>
      <c r="AE41" s="384">
        <f>IF(_epmOfflineCondition_,"2024.03",EPMOlapMemberO(I13,"[C_TIME].[PARENTH1].[2024.03]","2024.03 - 2024.03","","000"))</f>
        <v/>
      </c>
      <c r="AF41" s="716" t="n"/>
      <c r="AG41" s="462" t="n"/>
      <c r="AH41" s="462" t="n"/>
      <c r="AI41" s="462" t="n"/>
      <c r="AJ41" s="462" t="n"/>
      <c r="AK41" s="462" t="n"/>
      <c r="AL41" s="462" t="n"/>
      <c r="AM41" s="462" t="n"/>
      <c r="AN41" s="24" t="n"/>
      <c r="AO41" s="24" t="n"/>
      <c r="AP41" s="24" t="n"/>
      <c r="AQ41" s="24" t="n"/>
    </row>
    <row r="42" hidden="1" ht="14.25" customFormat="1" customHeight="1" s="716">
      <c r="A42" s="716" t="n"/>
      <c r="B42" s="716" t="n"/>
      <c r="C42" s="716" t="n"/>
      <c r="D42" s="716" t="n"/>
      <c r="E42" s="716" t="n"/>
      <c r="F42" s="716" t="n"/>
      <c r="G42" s="716" t="n"/>
      <c r="H42" s="716" t="n"/>
      <c r="I42" s="716" t="n"/>
      <c r="J42" s="716" t="n"/>
      <c r="K42" s="716" t="n"/>
      <c r="L42" s="716" t="n"/>
      <c r="M42" s="716" t="n"/>
      <c r="N42" s="716" t="n"/>
      <c r="O42" s="716" t="n"/>
      <c r="P42" s="716" t="n"/>
      <c r="Q42" s="716" t="n"/>
      <c r="R42" s="716" t="n"/>
      <c r="S42" s="462" t="n"/>
      <c r="T42" s="716" t="n"/>
      <c r="U42" s="716" t="n"/>
      <c r="V42" s="716" t="n"/>
      <c r="W42" s="716" t="n"/>
      <c r="X42" s="451" t="inlineStr">
        <is>
          <t>category</t>
        </is>
      </c>
      <c r="Y42" s="451" t="n"/>
      <c r="Z42" s="384" t="n"/>
      <c r="AA42" s="384">
        <f>IF(_epmOfflineCondition_,"C1001",EPMOlapMemberO($AB$25,"[C_CATEGORY].[PARENTH1].[C1001]","C1001 - 实际数/决算数","","000"))</f>
        <v/>
      </c>
      <c r="AB42" s="384">
        <f>IF(_epmOfflineCondition_,"C1001",EPMOlapMemberO($AB$25,"[C_CATEGORY].[PARENTH1].[C1001]","C1001 - 实际数/决算数","","000"))</f>
        <v/>
      </c>
      <c r="AC42" s="384">
        <f>IF(_epmOfflineCondition_,"C1001",EPMOlapMemberO($AB$25,"[C_CATEGORY].[PARENTH1].[C1001]","C1001 - 实际数/决算数","","000"))</f>
        <v/>
      </c>
      <c r="AD42" s="384">
        <f>IF(_epmOfflineCondition_,"C1001",EPMOlapMemberO($AB$25,"[C_CATEGORY].[PARENTH1].[C1001]","C1001 - 实际数/决算数","","000"))</f>
        <v/>
      </c>
      <c r="AE42" s="384">
        <f>IF(_epmOfflineCondition_,"C1001",EPMOlapMemberO($AB$25,"[C_CATEGORY].[PARENTH1].[C1001]","C1001 - 实际数/决算数","","000"))</f>
        <v/>
      </c>
      <c r="AF42" s="716" t="n"/>
      <c r="AG42" s="716" t="n"/>
      <c r="AH42" s="716" t="n"/>
      <c r="AI42" s="716" t="n"/>
      <c r="AJ42" s="716" t="n"/>
      <c r="AK42" s="716" t="n"/>
      <c r="AL42" s="716" t="n"/>
      <c r="AM42" s="716" t="n"/>
      <c r="AN42" s="716" t="n"/>
      <c r="AO42" s="716" t="n"/>
      <c r="AP42" s="716" t="n"/>
      <c r="AQ42" s="716" t="n"/>
    </row>
    <row r="43" hidden="1" ht="13.5" customFormat="1" customHeight="1" s="716">
      <c r="A43" s="716" t="n"/>
      <c r="B43" s="716" t="n"/>
      <c r="C43" s="716" t="n"/>
      <c r="D43" s="716" t="n"/>
      <c r="E43" s="716" t="n"/>
      <c r="F43" s="716" t="n"/>
      <c r="G43" s="716" t="n"/>
      <c r="H43" s="716" t="n"/>
      <c r="I43" s="716" t="n"/>
      <c r="J43" s="716" t="n"/>
      <c r="K43" s="716" t="n"/>
      <c r="L43" s="716" t="n"/>
      <c r="M43" s="716" t="n"/>
      <c r="N43" s="716" t="n"/>
      <c r="O43" s="716" t="n"/>
      <c r="P43" s="716" t="n"/>
      <c r="Q43" s="716" t="n"/>
      <c r="R43" s="716" t="n"/>
      <c r="S43" s="462" t="n"/>
      <c r="T43" s="716" t="n"/>
      <c r="U43" s="716" t="n"/>
      <c r="V43" s="716" t="n"/>
      <c r="W43" s="716" t="n"/>
      <c r="X43" s="451" t="inlineStr">
        <is>
          <t>audittrail</t>
        </is>
      </c>
      <c r="Y43" s="451" t="n"/>
      <c r="Z43" s="384" t="n"/>
      <c r="AA43" s="384">
        <f>IF(_epmOfflineCondition_,"DLC",EPMOlapMemberO($AD$29,"[C_AUDITTRAIL].[PARENTH1].[DLC]","DLC - 单体报表","","000"))</f>
        <v/>
      </c>
      <c r="AB43" s="384">
        <f>IF(_epmOfflineCondition_,"DLC_BK",EPMOlapMemberO($AB$29,"[C_AUDITTRAIL].[PARENTH1].[DLC_BK]","DLC_BK - 单体账面","","000"))</f>
        <v/>
      </c>
      <c r="AC43" s="384">
        <f>IF(_epmOfflineCondition_,"DLC_RC",EPMOlapMemberO($AC$29,"[C_AUDITTRAIL].[PARENTH1].[DLC_RC]","DLC_RC - 单体重分类","","000"))</f>
        <v/>
      </c>
      <c r="AD43" s="384">
        <f>IF(_epmOfflineCondition_,"DLC",EPMOlapMemberO($AD$29,"[C_AUDITTRAIL].[PARENTH1].[DLC]","DLC - 单体报表","","000"))</f>
        <v/>
      </c>
      <c r="AE43" s="384">
        <f>IF(_epmOfflineCondition_,"DLC",EPMOlapMemberO($AD$29,"[C_AUDITTRAIL].[PARENTH1].[DLC]","DLC - 单体报表","","000"))</f>
        <v/>
      </c>
      <c r="AF43" s="716" t="n"/>
      <c r="AG43" s="716" t="n"/>
      <c r="AH43" s="716" t="n"/>
      <c r="AI43" s="716" t="n"/>
      <c r="AJ43" s="716" t="n"/>
      <c r="AK43" s="716" t="n"/>
      <c r="AL43" s="716" t="n"/>
      <c r="AM43" s="716" t="n"/>
      <c r="AN43" s="716" t="n"/>
      <c r="AO43" s="716" t="n"/>
      <c r="AP43" s="716" t="n"/>
      <c r="AQ43" s="716" t="n"/>
    </row>
    <row r="44" hidden="1" ht="13.5" customFormat="1" customHeight="1" s="716">
      <c r="A44" s="716" t="n"/>
      <c r="B44" s="716" t="n"/>
      <c r="C44" s="716" t="n"/>
      <c r="D44" s="716" t="n"/>
      <c r="E44" s="716" t="n"/>
      <c r="F44" s="716" t="n"/>
      <c r="G44" s="716" t="n"/>
      <c r="H44" s="716" t="n"/>
      <c r="I44" s="716" t="n"/>
      <c r="J44" s="716" t="n"/>
      <c r="K44" s="716" t="n"/>
      <c r="L44" s="716" t="n"/>
      <c r="M44" s="716" t="n"/>
      <c r="N44" s="716" t="n"/>
      <c r="O44" s="716" t="n"/>
      <c r="P44" s="716" t="n"/>
      <c r="Q44" s="716" t="n"/>
      <c r="R44" s="716" t="n"/>
      <c r="S44" s="462" t="n"/>
      <c r="T44" s="716" t="n"/>
      <c r="U44" s="716" t="n"/>
      <c r="V44" s="452" t="n"/>
      <c r="W44" s="716" t="n"/>
      <c r="X44" s="451" t="inlineStr">
        <is>
          <t>flow</t>
        </is>
      </c>
      <c r="Y44" s="451" t="n"/>
      <c r="Z44" s="384" t="n"/>
      <c r="AA44" s="384">
        <f>IF(_epmOfflineCondition_,"FMOV_OP",EPMOlapMemberO($AG$28,"[C_FLOW].[PARENTH4].[FMOV_OP]","FMOV_OP - 本期变动_经营","","000"))</f>
        <v/>
      </c>
      <c r="AB44" s="384">
        <f>IF(_epmOfflineCondition_,"FMOV_OP",EPMOlapMemberO($AG$28,"[C_FLOW].[PARENTH4].[FMOV_OP]","FMOV_OP - 本期变动_经营","","000"))</f>
        <v/>
      </c>
      <c r="AC44" s="384">
        <f>IF(_epmOfflineCondition_,"FMOV_OP",EPMOlapMemberO($AG$28,"[C_FLOW].[PARENTH4].[FMOV_OP]","FMOV_OP - 本期变动_经营","","000"))</f>
        <v/>
      </c>
      <c r="AD44" s="384">
        <f>IF(_epmOfflineCondition_,"FMOV_OP",EPMOlapMemberO($AG$28,"[C_FLOW].[PARENTH4].[FMOV_OP]","FMOV_OP - 本期变动_经营","","000"))</f>
        <v/>
      </c>
      <c r="AE44" s="384">
        <f>IF(_epmOfflineCondition_,"FMOV_OP",EPMOlapMemberO($AG$28,"[C_FLOW].[PARENTH4].[FMOV_OP]","FMOV_OP - 本期变动_经营","","000"))</f>
        <v/>
      </c>
      <c r="AF44" s="716" t="n"/>
      <c r="AG44" s="716" t="n"/>
      <c r="AH44" s="716" t="n"/>
      <c r="AI44" s="716" t="n"/>
      <c r="AJ44" s="716" t="n"/>
      <c r="AK44" s="716" t="n"/>
      <c r="AL44" s="716" t="n"/>
      <c r="AM44" s="716" t="n"/>
      <c r="AN44" s="716" t="n"/>
      <c r="AO44" s="716" t="n"/>
      <c r="AP44" s="716" t="n"/>
      <c r="AQ44" s="716" t="n"/>
    </row>
    <row r="45" hidden="1" ht="13.5" customFormat="1" customHeight="1" s="716">
      <c r="A45" s="716" t="n"/>
      <c r="B45" s="716" t="n"/>
      <c r="C45" s="716" t="n"/>
      <c r="D45" s="716" t="n"/>
      <c r="E45" s="716" t="n"/>
      <c r="F45" s="716" t="n"/>
      <c r="G45" s="716" t="n"/>
      <c r="H45" s="716" t="n"/>
      <c r="I45" s="716" t="n"/>
      <c r="J45" s="716" t="n"/>
      <c r="K45" s="716" t="n"/>
      <c r="L45" s="716" t="n"/>
      <c r="M45" s="716" t="n"/>
      <c r="N45" s="716" t="n"/>
      <c r="O45" s="716" t="n"/>
      <c r="P45" s="716" t="n"/>
      <c r="Q45" s="716" t="n"/>
      <c r="R45" s="716" t="n"/>
      <c r="S45" s="462" t="n"/>
      <c r="T45" s="716" t="n"/>
      <c r="U45" s="716" t="n"/>
      <c r="V45" s="716" t="n"/>
      <c r="W45" s="716" t="n"/>
      <c r="X45" s="451" t="inlineStr">
        <is>
          <t>measures</t>
        </is>
      </c>
      <c r="Y45" s="451" t="n"/>
      <c r="Z45" s="384" t="n"/>
      <c r="AA45" s="384">
        <f>IF(_epmOfflineCondition_,"YTD",EPMOlapMemberO($AB$27,"[MEASURES].[].[YTD]","YTD - Year To Date","","000"))</f>
        <v/>
      </c>
      <c r="AB45" s="384">
        <f>IF(_epmOfflineCondition_,"YTD",EPMOlapMemberO($AC$27,"[MEASURES].[].[YTD]","YTD - Year To Date","","000"))</f>
        <v/>
      </c>
      <c r="AC45" s="384">
        <f>IF(_epmOfflineCondition_,"YTD",EPMOlapMemberO($AC$27,"[MEASURES].[].[YTD]","YTD - Year To Date","","000"))</f>
        <v/>
      </c>
      <c r="AD45" s="384">
        <f>IF(_epmOfflineCondition_,"YTD",EPMOlapMemberO($AC$27,"[MEASURES].[].[YTD]","YTD - Year To Date","","000"))</f>
        <v/>
      </c>
      <c r="AE45" s="384">
        <f>IF(_epmOfflineCondition_,"YTD",EPMOlapMemberO($AC$27,"[MEASURES].[].[YTD]","YTD - Year To Date","","000"))</f>
        <v/>
      </c>
      <c r="AF45" s="716" t="n"/>
      <c r="AG45" s="716" t="n"/>
      <c r="AH45" s="716" t="n"/>
      <c r="AI45" s="716" t="n"/>
      <c r="AJ45" s="716" t="n"/>
      <c r="AK45" s="716" t="n"/>
      <c r="AL45" s="716" t="n"/>
      <c r="AM45" s="716" t="n"/>
      <c r="AN45" s="716" t="n"/>
      <c r="AO45" s="716" t="n"/>
      <c r="AP45" s="716" t="n"/>
      <c r="AQ45" s="716" t="n"/>
    </row>
    <row r="46" ht="16.35" customFormat="1" customHeight="1" s="716">
      <c r="A46" s="716" t="n"/>
      <c r="B46" s="716" t="n"/>
      <c r="C46" s="716" t="n"/>
      <c r="D46" s="716" t="n"/>
      <c r="E46" s="716" t="n"/>
      <c r="F46" s="716" t="n"/>
      <c r="G46" s="716" t="n"/>
      <c r="H46" s="716" t="n"/>
      <c r="I46" s="716" t="n"/>
      <c r="J46" s="716" t="n"/>
      <c r="K46" s="716" t="n"/>
      <c r="L46" s="716" t="n"/>
      <c r="M46" s="716" t="n"/>
      <c r="N46" s="716" t="n"/>
      <c r="O46" s="716" t="n"/>
      <c r="P46" s="716" t="n"/>
      <c r="Q46" s="716" t="n"/>
      <c r="R46" s="716">
        <f>IF(_epmOfflineCondition_,"Y",EPMMemberProperty(,U46,"SCALING"))</f>
        <v/>
      </c>
      <c r="S46" s="462">
        <f>IF(_epmOfflineCondition_,"一、营业总收入",EPMMemberDesc(U46))</f>
        <v/>
      </c>
      <c r="T46" s="716" t="n"/>
      <c r="U46" s="716" t="inlineStr">
        <is>
          <t>A00201</t>
        </is>
      </c>
      <c r="V46" s="1018">
        <f>IF(_epmOfflineCondition_,"A00201",EPMOlapMemberO(U46,"[C_ACCOUNT].[PARENTH1].[A00201]","A00201 - 一、营业总收入","","000"))</f>
        <v/>
      </c>
      <c r="W46" s="462" t="n"/>
      <c r="X46" s="454" t="inlineStr">
        <is>
          <t>一、营业总收入</t>
        </is>
      </c>
      <c r="Y46" s="1185">
        <f>ROW()-45</f>
        <v/>
      </c>
      <c r="Z46" s="1212">
        <f>IF($I$8="01",AD46,AD46-AA46)</f>
        <v/>
      </c>
      <c r="AA46" s="1190" t="inlineStr"/>
      <c r="AB46" s="1190" t="inlineStr"/>
      <c r="AC46" s="1189" t="n"/>
      <c r="AD46" s="1190" t="inlineStr"/>
      <c r="AE46" s="1189" t="inlineStr"/>
      <c r="AF46" s="716" t="n"/>
      <c r="AG46" s="716" t="n"/>
      <c r="AH46" s="716" t="n"/>
      <c r="AI46" s="716" t="n"/>
      <c r="AJ46" s="716" t="n"/>
      <c r="AK46" s="716" t="n"/>
      <c r="AL46" s="716" t="n"/>
      <c r="AM46" s="716" t="n"/>
      <c r="AN46" s="716" t="n"/>
      <c r="AO46" s="716" t="n"/>
      <c r="AP46" s="716" t="n"/>
      <c r="AQ46" s="716" t="n"/>
    </row>
    <row r="47" ht="16.35" customFormat="1" customHeight="1" s="716">
      <c r="A47" s="716" t="n"/>
      <c r="B47" s="716" t="n"/>
      <c r="C47" s="716" t="n"/>
      <c r="D47" s="716" t="n"/>
      <c r="E47" s="716" t="n"/>
      <c r="F47" s="716" t="n"/>
      <c r="G47" s="716" t="n"/>
      <c r="H47" s="716" t="n"/>
      <c r="I47" s="716" t="n"/>
      <c r="J47" s="716" t="n"/>
      <c r="K47" s="716" t="n"/>
      <c r="L47" s="716" t="n"/>
      <c r="M47" s="716" t="n"/>
      <c r="N47" s="716" t="n"/>
      <c r="O47" s="716" t="n"/>
      <c r="P47" s="716" t="n"/>
      <c r="Q47" s="716" t="n"/>
      <c r="R47" s="716">
        <f>IF(_epmOfflineCondition_,"Y",EPMMemberProperty(,U47,"SCALING"))</f>
        <v/>
      </c>
      <c r="S47" s="462">
        <f>IF(_epmOfflineCondition_,"   其中：营业收入",EPMMemberDesc(U47))</f>
        <v/>
      </c>
      <c r="T47" s="716" t="n"/>
      <c r="U47" s="716" t="inlineStr">
        <is>
          <t>A0020101</t>
        </is>
      </c>
      <c r="V47" s="699">
        <f>IF(_epmOfflineCondition_,"A0020101",EPMOlapMemberO(U47,"[C_ACCOUNT].[PARENTH1].[A0020101]","A0020101 -    其中：营业收入","","000"))</f>
        <v/>
      </c>
      <c r="W47" s="462" t="n"/>
      <c r="X47" s="457" t="inlineStr">
        <is>
          <t xml:space="preserve"> 其中：营业收入</t>
        </is>
      </c>
      <c r="Y47" s="1185">
        <f>ROW()-45</f>
        <v/>
      </c>
      <c r="Z47" s="1212">
        <f>IF($I$8="01",AD47,AD47-AA47)</f>
        <v/>
      </c>
      <c r="AA47" s="1190" t="inlineStr"/>
      <c r="AB47" s="1190" t="inlineStr"/>
      <c r="AC47" s="1189" t="n"/>
      <c r="AD47" s="1190" t="inlineStr"/>
      <c r="AE47" s="1189" t="inlineStr"/>
      <c r="AF47" s="716" t="n"/>
      <c r="AG47" s="716" t="n"/>
      <c r="AH47" s="716" t="n"/>
      <c r="AI47" s="716" t="n"/>
      <c r="AJ47" s="716" t="n"/>
      <c r="AK47" s="716" t="n"/>
      <c r="AL47" s="716" t="n"/>
      <c r="AM47" s="716" t="n"/>
      <c r="AN47" s="716" t="n"/>
      <c r="AO47" s="716" t="n"/>
      <c r="AP47" s="716" t="n"/>
      <c r="AQ47" s="716" t="n"/>
    </row>
    <row r="48" ht="16.35" customFormat="1" customHeight="1" s="716">
      <c r="A48" s="716" t="n"/>
      <c r="B48" s="716" t="n"/>
      <c r="C48" s="716" t="n"/>
      <c r="D48" s="716" t="n"/>
      <c r="E48" s="716" t="n"/>
      <c r="F48" s="716" t="n"/>
      <c r="G48" s="716" t="n"/>
      <c r="H48" s="716" t="n"/>
      <c r="I48" s="716" t="n"/>
      <c r="J48" s="716" t="n"/>
      <c r="K48" s="716" t="n"/>
      <c r="L48" s="716" t="n"/>
      <c r="M48" s="716" t="n"/>
      <c r="N48" s="716" t="n"/>
      <c r="O48" s="716" t="n"/>
      <c r="P48" s="716" t="n"/>
      <c r="Q48" s="716" t="n"/>
      <c r="R48" s="716">
        <f>IF(_epmOfflineCondition_,"Y",EPMMemberProperty(,U48,"SCALING"))</f>
        <v/>
      </c>
      <c r="S48" s="462">
        <f>IF(_epmOfflineCondition_,"        # 利息收入",EPMMemberDesc(U48))</f>
        <v/>
      </c>
      <c r="T48" s="716" t="n"/>
      <c r="U48" s="716" t="inlineStr">
        <is>
          <t>A0020102</t>
        </is>
      </c>
      <c r="V48" s="699">
        <f>IF(_epmOfflineCondition_,"A0020102",EPMOlapMemberO(U48,"[C_ACCOUNT].[PARENTH1].[A0020102]","A0020102 -         # 利息收入","","000"))</f>
        <v/>
      </c>
      <c r="W48" s="462" t="n"/>
      <c r="X48" s="732" t="inlineStr">
        <is>
          <t xml:space="preserve"> △利息收入</t>
        </is>
      </c>
      <c r="Y48" s="1185">
        <f>ROW()-45</f>
        <v/>
      </c>
      <c r="Z48" s="1212">
        <f>IF($I$8="01",AD48,AD48-AA48)</f>
        <v/>
      </c>
      <c r="AA48" s="1190" t="n"/>
      <c r="AB48" s="1190" t="n"/>
      <c r="AC48" s="1189" t="n"/>
      <c r="AD48" s="1190" t="n"/>
      <c r="AE48" s="1189" t="n"/>
      <c r="AF48" s="716" t="n"/>
      <c r="AG48" s="716" t="n"/>
      <c r="AH48" s="716" t="n"/>
      <c r="AI48" s="716" t="n"/>
      <c r="AJ48" s="716" t="n"/>
      <c r="AK48" s="716" t="n"/>
      <c r="AL48" s="716" t="n"/>
      <c r="AM48" s="716" t="n"/>
      <c r="AN48" s="716" t="n"/>
      <c r="AO48" s="716" t="n"/>
      <c r="AP48" s="716" t="n"/>
      <c r="AQ48" s="716" t="n"/>
    </row>
    <row r="49" ht="16.35" customFormat="1" customHeight="1" s="716">
      <c r="A49" s="716" t="n"/>
      <c r="B49" s="716" t="n"/>
      <c r="C49" s="716" t="n"/>
      <c r="D49" s="716" t="n"/>
      <c r="E49" s="716" t="n"/>
      <c r="F49" s="716" t="n"/>
      <c r="G49" s="716" t="n"/>
      <c r="H49" s="716" t="n"/>
      <c r="I49" s="716" t="n"/>
      <c r="J49" s="716" t="n"/>
      <c r="K49" s="716" t="n"/>
      <c r="L49" s="716" t="n"/>
      <c r="M49" s="716" t="n"/>
      <c r="N49" s="716" t="n"/>
      <c r="O49" s="716" t="n"/>
      <c r="P49" s="716" t="n"/>
      <c r="Q49" s="716" t="n"/>
      <c r="R49" s="716">
        <f>IF(_epmOfflineCondition_,"Y",EPMMemberProperty(,U49,"SCALING"))</f>
        <v/>
      </c>
      <c r="S49" s="462">
        <f>IF(_epmOfflineCondition_,"        # 手续费及佣金收入",EPMMemberDesc(U49))</f>
        <v/>
      </c>
      <c r="T49" s="716" t="n"/>
      <c r="U49" s="716" t="inlineStr">
        <is>
          <t>A0020103</t>
        </is>
      </c>
      <c r="V49" s="699">
        <f>IF(_epmOfflineCondition_,"A0020103",EPMOlapMemberO(U49,"[C_ACCOUNT].[PARENTH1].[A0020103]","A0020103 -         # 手续费及佣金收入","","000"))</f>
        <v/>
      </c>
      <c r="W49" s="462" t="n"/>
      <c r="X49" s="1027" t="inlineStr">
        <is>
          <t xml:space="preserve"> △手续费及佣金收入</t>
        </is>
      </c>
      <c r="Y49" s="1185">
        <f>ROW()-45</f>
        <v/>
      </c>
      <c r="Z49" s="1212">
        <f>IF($I$8="01",AD49,AD49-AA49)</f>
        <v/>
      </c>
      <c r="AA49" s="1190" t="n"/>
      <c r="AB49" s="1190" t="n"/>
      <c r="AC49" s="1189" t="n"/>
      <c r="AD49" s="1190" t="n"/>
      <c r="AE49" s="1189" t="n"/>
      <c r="AF49" s="716" t="n"/>
      <c r="AG49" s="716" t="n"/>
      <c r="AH49" s="716" t="n"/>
      <c r="AI49" s="716" t="n"/>
      <c r="AJ49" s="716" t="n"/>
      <c r="AK49" s="716" t="n"/>
      <c r="AL49" s="716" t="n"/>
      <c r="AM49" s="716" t="n"/>
      <c r="AN49" s="716" t="n"/>
      <c r="AO49" s="716" t="n"/>
      <c r="AP49" s="716" t="n"/>
      <c r="AQ49" s="716" t="n"/>
    </row>
    <row r="50" ht="16.35" customFormat="1" customHeight="1" s="716">
      <c r="A50" s="716" t="n"/>
      <c r="B50" s="716" t="n"/>
      <c r="C50" s="716" t="n"/>
      <c r="D50" s="716" t="n"/>
      <c r="E50" s="716" t="n"/>
      <c r="F50" s="716" t="n"/>
      <c r="G50" s="716" t="n"/>
      <c r="H50" s="716" t="n"/>
      <c r="I50" s="716" t="n"/>
      <c r="J50" s="716" t="n"/>
      <c r="K50" s="716" t="n"/>
      <c r="L50" s="716" t="n"/>
      <c r="M50" s="716" t="n"/>
      <c r="N50" s="716" t="n"/>
      <c r="O50" s="716" t="n"/>
      <c r="P50" s="716" t="n"/>
      <c r="Q50" s="716" t="n"/>
      <c r="R50" s="716">
        <f>IF(_epmOfflineCondition_,"Y",EPMMemberProperty(,U50,"SCALING"))</f>
        <v/>
      </c>
      <c r="S50" s="462">
        <f>IF(_epmOfflineCondition_,"二、营业总成本",EPMMemberDesc(U50))</f>
        <v/>
      </c>
      <c r="T50" s="716" t="n"/>
      <c r="U50" s="716" t="inlineStr">
        <is>
          <t>A00202</t>
        </is>
      </c>
      <c r="V50" s="1018">
        <f>IF(_epmOfflineCondition_,"A00202",EPMOlapMemberO(U50,"[C_ACCOUNT].[PARENTH1].[A00202]","A00202 - 二、营业总成本","","000"))</f>
        <v/>
      </c>
      <c r="W50" s="462" t="n"/>
      <c r="X50" s="454" t="inlineStr">
        <is>
          <t>二、营业总成本</t>
        </is>
      </c>
      <c r="Y50" s="1185">
        <f>ROW()-45</f>
        <v/>
      </c>
      <c r="Z50" s="1212">
        <f>IF($I$8="01",AD50,AD50-AA50)</f>
        <v/>
      </c>
      <c r="AA50" s="1190" t="inlineStr"/>
      <c r="AB50" s="1190" t="inlineStr"/>
      <c r="AC50" s="1189" t="n"/>
      <c r="AD50" s="1190" t="inlineStr"/>
      <c r="AE50" s="1189" t="inlineStr"/>
      <c r="AF50" s="716" t="n"/>
      <c r="AG50" s="716" t="n"/>
      <c r="AH50" s="716" t="n"/>
      <c r="AI50" s="716" t="n"/>
      <c r="AJ50" s="716" t="n"/>
      <c r="AK50" s="716" t="n"/>
      <c r="AL50" s="716" t="n"/>
      <c r="AM50" s="716" t="n"/>
      <c r="AN50" s="716" t="n"/>
      <c r="AO50" s="716" t="n"/>
      <c r="AP50" s="716" t="n"/>
      <c r="AQ50" s="716" t="n"/>
    </row>
    <row r="51" ht="16.35" customFormat="1" customHeight="1" s="716">
      <c r="A51" s="716" t="n"/>
      <c r="B51" s="716" t="n"/>
      <c r="C51" s="716" t="n"/>
      <c r="D51" s="716" t="n"/>
      <c r="E51" s="716" t="n"/>
      <c r="F51" s="716" t="n"/>
      <c r="G51" s="716" t="n"/>
      <c r="H51" s="716" t="n"/>
      <c r="I51" s="716" t="n"/>
      <c r="J51" s="716" t="n"/>
      <c r="K51" s="716" t="n"/>
      <c r="L51" s="716" t="n"/>
      <c r="M51" s="716" t="n"/>
      <c r="N51" s="716" t="n"/>
      <c r="O51" s="716" t="n"/>
      <c r="P51" s="716" t="n"/>
      <c r="Q51" s="716" t="n"/>
      <c r="R51" s="716">
        <f>IF(_epmOfflineCondition_,"Y",EPMMemberProperty(,U51,"SCALING"))</f>
        <v/>
      </c>
      <c r="S51" s="462">
        <f>IF(_epmOfflineCondition_,"   其中：营业成本",EPMMemberDesc(U51))</f>
        <v/>
      </c>
      <c r="T51" s="716" t="n"/>
      <c r="U51" s="716" t="inlineStr">
        <is>
          <t>A0020201</t>
        </is>
      </c>
      <c r="V51" s="699">
        <f>IF(_epmOfflineCondition_,"A0020201",EPMOlapMemberO(U51,"[C_ACCOUNT].[PARENTH1].[A0020201]","A0020201 -    其中：营业成本","","000"))</f>
        <v/>
      </c>
      <c r="W51" s="462" t="n"/>
      <c r="X51" s="588" t="inlineStr">
        <is>
          <t xml:space="preserve">    其中：营业成本</t>
        </is>
      </c>
      <c r="Y51" s="1185">
        <f>ROW()-45</f>
        <v/>
      </c>
      <c r="Z51" s="1212">
        <f>IF($I$8="01",AD51,AD51-AA51)</f>
        <v/>
      </c>
      <c r="AA51" s="1190" t="inlineStr"/>
      <c r="AB51" s="1190" t="inlineStr"/>
      <c r="AC51" s="1189" t="n"/>
      <c r="AD51" s="1190" t="inlineStr"/>
      <c r="AE51" s="1189" t="n"/>
      <c r="AF51" s="716" t="n"/>
      <c r="AG51" s="716" t="n"/>
      <c r="AH51" s="716" t="n"/>
      <c r="AI51" s="716" t="n"/>
      <c r="AJ51" s="716" t="n"/>
      <c r="AK51" s="716" t="n"/>
      <c r="AL51" s="716" t="n"/>
      <c r="AM51" s="716" t="n"/>
      <c r="AN51" s="716" t="n"/>
      <c r="AO51" s="716" t="n"/>
      <c r="AP51" s="716" t="n"/>
      <c r="AQ51" s="716" t="n"/>
    </row>
    <row r="52" ht="16.35" customFormat="1" customHeight="1" s="716">
      <c r="A52" s="716" t="n"/>
      <c r="B52" s="716" t="n"/>
      <c r="C52" s="716" t="n"/>
      <c r="D52" s="716" t="n"/>
      <c r="E52" s="716" t="n"/>
      <c r="F52" s="716" t="n"/>
      <c r="G52" s="716" t="n"/>
      <c r="H52" s="716" t="n"/>
      <c r="I52" s="716" t="n"/>
      <c r="J52" s="716" t="n"/>
      <c r="K52" s="716" t="n"/>
      <c r="L52" s="716" t="n"/>
      <c r="M52" s="716" t="n"/>
      <c r="N52" s="716" t="n"/>
      <c r="O52" s="716" t="n"/>
      <c r="P52" s="716" t="n"/>
      <c r="Q52" s="716" t="n"/>
      <c r="R52" s="716">
        <f>IF(_epmOfflineCondition_,"Y",EPMMemberProperty(,U52,"SCALING"))</f>
        <v/>
      </c>
      <c r="S52" s="462">
        <f>IF(_epmOfflineCondition_,"        # 利息支出",EPMMemberDesc(U52))</f>
        <v/>
      </c>
      <c r="T52" s="716" t="n"/>
      <c r="U52" s="716" t="inlineStr">
        <is>
          <t>A0020202</t>
        </is>
      </c>
      <c r="V52" s="699">
        <f>IF(_epmOfflineCondition_,"A0020202",EPMOlapMemberO(U52,"[C_ACCOUNT].[PARENTH1].[A0020202]","A0020202 -         # 利息支出","","000"))</f>
        <v/>
      </c>
      <c r="W52" s="462" t="n"/>
      <c r="X52" s="732" t="inlineStr">
        <is>
          <t xml:space="preserve"> △利息支出</t>
        </is>
      </c>
      <c r="Y52" s="1185">
        <f>ROW()-45</f>
        <v/>
      </c>
      <c r="Z52" s="1212">
        <f>IF($I$8="01",AD52,AD52-AA52)</f>
        <v/>
      </c>
      <c r="AA52" s="1190" t="n"/>
      <c r="AB52" s="1190" t="n"/>
      <c r="AC52" s="1189" t="n"/>
      <c r="AD52" s="1190" t="n"/>
      <c r="AE52" s="1189" t="n"/>
      <c r="AF52" s="716" t="n"/>
      <c r="AG52" s="716" t="n"/>
      <c r="AH52" s="716" t="n"/>
      <c r="AI52" s="716" t="n"/>
      <c r="AJ52" s="716" t="n"/>
      <c r="AK52" s="716" t="n"/>
      <c r="AL52" s="716" t="n"/>
      <c r="AM52" s="716" t="n"/>
      <c r="AN52" s="716" t="n"/>
      <c r="AO52" s="716" t="n"/>
      <c r="AP52" s="716" t="n"/>
      <c r="AQ52" s="716" t="n"/>
    </row>
    <row r="53" ht="16.35" customFormat="1" customHeight="1" s="716">
      <c r="A53" s="716" t="n"/>
      <c r="B53" s="716" t="n"/>
      <c r="C53" s="716" t="n"/>
      <c r="D53" s="716" t="n"/>
      <c r="E53" s="716" t="n"/>
      <c r="F53" s="716" t="n"/>
      <c r="G53" s="716" t="n"/>
      <c r="H53" s="716" t="n"/>
      <c r="I53" s="716" t="n"/>
      <c r="J53" s="716" t="n"/>
      <c r="K53" s="716" t="n"/>
      <c r="L53" s="716" t="n"/>
      <c r="M53" s="716" t="n"/>
      <c r="N53" s="716" t="n"/>
      <c r="O53" s="716" t="n"/>
      <c r="P53" s="716" t="n"/>
      <c r="Q53" s="716" t="n"/>
      <c r="R53" s="716">
        <f>IF(_epmOfflineCondition_,"Y",EPMMemberProperty(,U53,"SCALING"))</f>
        <v/>
      </c>
      <c r="S53" s="462">
        <f>IF(_epmOfflineCondition_,"        # 手续费及佣金支出",EPMMemberDesc(U53))</f>
        <v/>
      </c>
      <c r="T53" s="716" t="n"/>
      <c r="U53" s="716" t="inlineStr">
        <is>
          <t>A0020203</t>
        </is>
      </c>
      <c r="V53" s="699">
        <f>IF(_epmOfflineCondition_,"A0020203",EPMOlapMemberO(U53,"[C_ACCOUNT].[PARENTH1].[A0020203]","A0020203 -         # 手续费及佣金支出","","000"))</f>
        <v/>
      </c>
      <c r="W53" s="462" t="n"/>
      <c r="X53" s="1027" t="inlineStr">
        <is>
          <t xml:space="preserve"> △手续费及佣金支出</t>
        </is>
      </c>
      <c r="Y53" s="1185">
        <f>ROW()-45</f>
        <v/>
      </c>
      <c r="Z53" s="1212">
        <f>IF($I$8="01",AD53,AD53-AA53)</f>
        <v/>
      </c>
      <c r="AA53" s="1190" t="n"/>
      <c r="AB53" s="1190" t="n"/>
      <c r="AC53" s="1189" t="n"/>
      <c r="AD53" s="1190" t="n"/>
      <c r="AE53" s="1189" t="n"/>
      <c r="AF53" s="716" t="n"/>
      <c r="AG53" s="716" t="n"/>
      <c r="AH53" s="716" t="n"/>
      <c r="AI53" s="716" t="n"/>
      <c r="AJ53" s="716" t="n"/>
      <c r="AK53" s="716" t="n"/>
      <c r="AL53" s="716" t="n"/>
      <c r="AM53" s="716" t="n"/>
      <c r="AN53" s="716" t="n"/>
      <c r="AO53" s="716" t="n"/>
      <c r="AP53" s="716" t="n"/>
      <c r="AQ53" s="716" t="n"/>
    </row>
    <row r="54" ht="16.35" customFormat="1" customHeight="1" s="716">
      <c r="A54" s="716" t="n"/>
      <c r="B54" s="716" t="n"/>
      <c r="C54" s="716" t="n"/>
      <c r="D54" s="716" t="n"/>
      <c r="E54" s="716" t="n"/>
      <c r="F54" s="716" t="n"/>
      <c r="G54" s="716" t="n"/>
      <c r="H54" s="716" t="n"/>
      <c r="I54" s="716" t="n"/>
      <c r="J54" s="716" t="n"/>
      <c r="K54" s="716" t="n"/>
      <c r="L54" s="716" t="n"/>
      <c r="M54" s="716" t="n"/>
      <c r="N54" s="716" t="n"/>
      <c r="O54" s="716" t="n"/>
      <c r="P54" s="716" t="n"/>
      <c r="Q54" s="716" t="n"/>
      <c r="R54" s="716">
        <f>IF(_epmOfflineCondition_,"Y",EPMMemberProperty(,U54,"SCALING"))</f>
        <v/>
      </c>
      <c r="S54" s="462">
        <f>IF(_epmOfflineCondition_,"　　    税金及附加",EPMMemberDesc(U54))</f>
        <v/>
      </c>
      <c r="T54" s="716" t="n"/>
      <c r="U54" s="716" t="inlineStr">
        <is>
          <t>A0020204</t>
        </is>
      </c>
      <c r="V54" s="699">
        <f>IF(_epmOfflineCondition_,"A0020204",EPMOlapMemberO(U54,"[C_ACCOUNT].[PARENTH1].[A0020204]","A0020204 - 　　    税金及附加","","000"))</f>
        <v/>
      </c>
      <c r="W54" s="462" t="n"/>
      <c r="X54" s="457" t="inlineStr">
        <is>
          <t xml:space="preserve">            税金及附加</t>
        </is>
      </c>
      <c r="Y54" s="1185">
        <f>ROW()-45</f>
        <v/>
      </c>
      <c r="Z54" s="1212">
        <f>IF($I$8="01",AD54,AD54-AA54)</f>
        <v/>
      </c>
      <c r="AA54" s="1190" t="inlineStr"/>
      <c r="AB54" s="1190" t="inlineStr"/>
      <c r="AC54" s="1189" t="n"/>
      <c r="AD54" s="1190" t="inlineStr"/>
      <c r="AE54" s="1189" t="inlineStr"/>
      <c r="AF54" s="716" t="n"/>
      <c r="AG54" s="716" t="n"/>
      <c r="AH54" s="716" t="n"/>
      <c r="AI54" s="716" t="n"/>
      <c r="AJ54" s="716" t="n"/>
      <c r="AK54" s="716" t="n"/>
      <c r="AL54" s="716" t="n"/>
      <c r="AM54" s="716" t="n"/>
      <c r="AN54" s="716" t="n"/>
      <c r="AO54" s="716" t="n"/>
      <c r="AP54" s="716" t="n"/>
      <c r="AQ54" s="716" t="n"/>
    </row>
    <row r="55" ht="16.35" customFormat="1" customHeight="1" s="716">
      <c r="A55" s="716" t="n"/>
      <c r="B55" s="716" t="n"/>
      <c r="C55" s="716" t="n"/>
      <c r="D55" s="716" t="n"/>
      <c r="E55" s="716" t="n"/>
      <c r="F55" s="716" t="n"/>
      <c r="G55" s="716" t="n"/>
      <c r="H55" s="716" t="n"/>
      <c r="I55" s="716" t="n"/>
      <c r="J55" s="716" t="n"/>
      <c r="K55" s="716" t="n"/>
      <c r="L55" s="716" t="n"/>
      <c r="M55" s="716" t="n"/>
      <c r="N55" s="716" t="n"/>
      <c r="O55" s="716" t="n"/>
      <c r="P55" s="716" t="n"/>
      <c r="Q55" s="716" t="n"/>
      <c r="R55" s="716">
        <f>IF(_epmOfflineCondition_,"Y",EPMMemberProperty(,U55,"SCALING"))</f>
        <v/>
      </c>
      <c r="S55" s="462">
        <f>IF(_epmOfflineCondition_,"           销售费用",EPMMemberDesc(U55))</f>
        <v/>
      </c>
      <c r="T55" s="716" t="n"/>
      <c r="U55" s="716" t="inlineStr">
        <is>
          <t>A0020205</t>
        </is>
      </c>
      <c r="V55" s="699">
        <f>IF(_epmOfflineCondition_,"A0020205",EPMOlapMemberO(U55,"[C_ACCOUNT].[PARENTH1].[A0020205]","A0020205 -            销售费用","","000"))</f>
        <v/>
      </c>
      <c r="W55" s="462" t="n"/>
      <c r="X55" s="457" t="inlineStr">
        <is>
          <t xml:space="preserve">            销售费用</t>
        </is>
      </c>
      <c r="Y55" s="1185">
        <f>ROW()-45</f>
        <v/>
      </c>
      <c r="Z55" s="1212">
        <f>IF($I$8="01",AD55,AD55-AA55)</f>
        <v/>
      </c>
      <c r="AA55" s="1190" t="n"/>
      <c r="AB55" s="1190" t="n"/>
      <c r="AC55" s="1189" t="n"/>
      <c r="AD55" s="1190" t="n"/>
      <c r="AE55" s="1189" t="n"/>
      <c r="AF55" s="716" t="n"/>
      <c r="AG55" s="716" t="n"/>
      <c r="AH55" s="716" t="n"/>
      <c r="AI55" s="716" t="n"/>
      <c r="AJ55" s="716" t="n"/>
      <c r="AK55" s="716" t="n"/>
      <c r="AL55" s="716" t="n"/>
      <c r="AM55" s="716" t="n"/>
      <c r="AN55" s="716" t="n"/>
      <c r="AO55" s="716" t="n"/>
      <c r="AP55" s="716" t="n"/>
      <c r="AQ55" s="716" t="n"/>
    </row>
    <row r="56" ht="16.35" customFormat="1" customHeight="1" s="716">
      <c r="A56" s="716" t="n"/>
      <c r="B56" s="716" t="n"/>
      <c r="C56" s="716" t="n"/>
      <c r="D56" s="716" t="n"/>
      <c r="E56" s="716" t="n"/>
      <c r="F56" s="716" t="n"/>
      <c r="G56" s="716" t="n"/>
      <c r="H56" s="716" t="n"/>
      <c r="I56" s="716" t="n"/>
      <c r="J56" s="716" t="n"/>
      <c r="K56" s="716" t="n"/>
      <c r="L56" s="716" t="n"/>
      <c r="M56" s="716" t="n"/>
      <c r="N56" s="716" t="n"/>
      <c r="O56" s="716" t="n"/>
      <c r="P56" s="716" t="n"/>
      <c r="Q56" s="716" t="n"/>
      <c r="R56" s="716">
        <f>IF(_epmOfflineCondition_,"Y",EPMMemberProperty(,U56,"SCALING"))</f>
        <v/>
      </c>
      <c r="S56" s="462">
        <f>IF(_epmOfflineCondition_,"　　    管理费用",EPMMemberDesc(U56))</f>
        <v/>
      </c>
      <c r="T56" s="716" t="n"/>
      <c r="U56" s="716" t="inlineStr">
        <is>
          <t>A0020206</t>
        </is>
      </c>
      <c r="V56" s="699">
        <f>IF(_epmOfflineCondition_,"A0020206",EPMOlapMemberO(U56,"[C_ACCOUNT].[PARENTH1].[A0020206]","A0020206 - 　　    管理费用","","000"))</f>
        <v/>
      </c>
      <c r="W56" s="462" t="n"/>
      <c r="X56" s="457" t="inlineStr">
        <is>
          <t xml:space="preserve">            管理费用</t>
        </is>
      </c>
      <c r="Y56" s="1185">
        <f>ROW()-45</f>
        <v/>
      </c>
      <c r="Z56" s="1212">
        <f>IF($I$8="01",AD56,AD56-AA56)</f>
        <v/>
      </c>
      <c r="AA56" s="1190" t="n"/>
      <c r="AB56" s="1190" t="n"/>
      <c r="AC56" s="1189" t="n"/>
      <c r="AD56" s="1190" t="n"/>
      <c r="AE56" s="1189" t="n"/>
      <c r="AF56" s="716" t="n"/>
      <c r="AG56" s="716" t="n"/>
      <c r="AH56" s="716" t="n"/>
      <c r="AI56" s="716" t="n"/>
      <c r="AJ56" s="716" t="n"/>
      <c r="AK56" s="716" t="n"/>
      <c r="AL56" s="716" t="n"/>
      <c r="AM56" s="716" t="n"/>
      <c r="AN56" s="716" t="n"/>
      <c r="AO56" s="716" t="n"/>
      <c r="AP56" s="716" t="n"/>
      <c r="AQ56" s="716" t="n"/>
    </row>
    <row r="57" ht="16.35" customFormat="1" customHeight="1" s="716">
      <c r="A57" s="716" t="n"/>
      <c r="B57" s="716" t="n"/>
      <c r="C57" s="716" t="n"/>
      <c r="D57" s="716" t="n"/>
      <c r="E57" s="716" t="n"/>
      <c r="F57" s="716" t="n"/>
      <c r="G57" s="716" t="n"/>
      <c r="H57" s="716" t="n"/>
      <c r="I57" s="716" t="n"/>
      <c r="J57" s="716" t="n"/>
      <c r="K57" s="716" t="n"/>
      <c r="L57" s="716" t="n"/>
      <c r="M57" s="716" t="n"/>
      <c r="N57" s="716" t="n"/>
      <c r="O57" s="716" t="n"/>
      <c r="P57" s="716" t="n"/>
      <c r="Q57" s="716" t="n"/>
      <c r="R57" s="716">
        <f>IF(_epmOfflineCondition_,"Y",EPMMemberProperty(,U57,"SCALING"))</f>
        <v/>
      </c>
      <c r="S57" s="462">
        <f>IF(_epmOfflineCondition_,"           研发费用",EPMMemberDesc(U57))</f>
        <v/>
      </c>
      <c r="T57" s="716" t="n"/>
      <c r="U57" s="716" t="inlineStr">
        <is>
          <t>A0020207</t>
        </is>
      </c>
      <c r="V57" s="699">
        <f>IF(_epmOfflineCondition_,"A0020207",EPMOlapMemberO(U57,"[C_ACCOUNT].[PARENTH1].[A0020207]","A0020207 -            研发费用","","000"))</f>
        <v/>
      </c>
      <c r="W57" s="462" t="n"/>
      <c r="X57" s="457" t="inlineStr">
        <is>
          <t xml:space="preserve">            研发费用</t>
        </is>
      </c>
      <c r="Y57" s="1185">
        <f>ROW()-45</f>
        <v/>
      </c>
      <c r="Z57" s="1212">
        <f>IF($I$8="01",AD57,AD57-AA57)</f>
        <v/>
      </c>
      <c r="AA57" s="1190" t="n"/>
      <c r="AB57" s="1190" t="n"/>
      <c r="AC57" s="1189" t="n"/>
      <c r="AD57" s="1190" t="n"/>
      <c r="AE57" s="1189" t="n"/>
      <c r="AF57" s="716" t="n"/>
      <c r="AG57" s="716" t="n"/>
      <c r="AH57" s="716" t="n"/>
      <c r="AI57" s="716" t="n"/>
      <c r="AJ57" s="716" t="n"/>
      <c r="AK57" s="716" t="n"/>
      <c r="AL57" s="716" t="n"/>
      <c r="AM57" s="716" t="n"/>
      <c r="AN57" s="716" t="n"/>
      <c r="AO57" s="716" t="n"/>
      <c r="AP57" s="716" t="n"/>
      <c r="AQ57" s="716" t="n"/>
    </row>
    <row r="58" ht="16.35" customFormat="1" customHeight="1" s="716">
      <c r="A58" s="716" t="n"/>
      <c r="B58" s="716" t="n"/>
      <c r="C58" s="716" t="n"/>
      <c r="D58" s="716" t="n"/>
      <c r="E58" s="716" t="n"/>
      <c r="F58" s="716" t="n"/>
      <c r="G58" s="716" t="n"/>
      <c r="H58" s="716" t="n"/>
      <c r="I58" s="716" t="n"/>
      <c r="J58" s="716" t="n"/>
      <c r="K58" s="716" t="n"/>
      <c r="L58" s="716" t="n"/>
      <c r="M58" s="716" t="n"/>
      <c r="N58" s="716" t="n"/>
      <c r="O58" s="716" t="n"/>
      <c r="P58" s="716" t="n"/>
      <c r="Q58" s="716" t="n"/>
      <c r="R58" s="716">
        <f>IF(_epmOfflineCondition_,"Y",EPMMemberProperty(,U58,"SCALING"))</f>
        <v/>
      </c>
      <c r="S58" s="462">
        <f>IF(_epmOfflineCondition_,"　　    财务费用",EPMMemberDesc(U58))</f>
        <v/>
      </c>
      <c r="T58" s="716" t="n"/>
      <c r="U58" s="716" t="inlineStr">
        <is>
          <t>A0020208</t>
        </is>
      </c>
      <c r="V58" s="699">
        <f>IF(_epmOfflineCondition_,"A0020208",EPMOlapMemberO(U58,"[C_ACCOUNT].[PARENTH1].[A0020208]","A0020208 - 　　    财务费用","","000"))</f>
        <v/>
      </c>
      <c r="W58" s="462" t="n"/>
      <c r="X58" s="457" t="inlineStr">
        <is>
          <t xml:space="preserve">            财务费用</t>
        </is>
      </c>
      <c r="Y58" s="1185">
        <f>ROW()-45</f>
        <v/>
      </c>
      <c r="Z58" s="1212">
        <f>IF($I$8="01",AD58,AD58-AA58)</f>
        <v/>
      </c>
      <c r="AA58" s="1190" t="inlineStr"/>
      <c r="AB58" s="1190" t="inlineStr"/>
      <c r="AC58" s="1189" t="n"/>
      <c r="AD58" s="1190" t="inlineStr"/>
      <c r="AE58" s="1189" t="n"/>
      <c r="AF58" s="716" t="n"/>
      <c r="AG58" s="716" t="n"/>
      <c r="AH58" s="716" t="n"/>
      <c r="AI58" s="716" t="n"/>
      <c r="AJ58" s="716" t="n"/>
      <c r="AK58" s="716" t="n"/>
      <c r="AL58" s="716" t="n"/>
      <c r="AM58" s="716" t="n"/>
      <c r="AN58" s="716" t="n"/>
      <c r="AO58" s="716" t="n"/>
      <c r="AP58" s="716" t="n"/>
      <c r="AQ58" s="716" t="n"/>
    </row>
    <row r="59" ht="16.35" customFormat="1" customHeight="1" s="716">
      <c r="A59" s="716" t="n"/>
      <c r="B59" s="716" t="n"/>
      <c r="C59" s="716" t="n"/>
      <c r="D59" s="716" t="n"/>
      <c r="E59" s="716" t="n"/>
      <c r="F59" s="716" t="n"/>
      <c r="G59" s="716" t="n"/>
      <c r="H59" s="716" t="n"/>
      <c r="I59" s="716" t="n"/>
      <c r="J59" s="716" t="n"/>
      <c r="K59" s="716" t="n"/>
      <c r="L59" s="716" t="n"/>
      <c r="M59" s="716" t="n"/>
      <c r="N59" s="716" t="n"/>
      <c r="O59" s="716" t="n"/>
      <c r="P59" s="716" t="n"/>
      <c r="Q59" s="716" t="n"/>
      <c r="R59" s="716">
        <f>IF(_epmOfflineCondition_,"Y",EPMMemberProperty(,U59,"SCALING"))</f>
        <v/>
      </c>
      <c r="S59" s="462">
        <f>IF(_epmOfflineCondition_,"财务费用-利息费用",EPMMemberDesc(U59))</f>
        <v/>
      </c>
      <c r="T59" s="716" t="n"/>
      <c r="U59" s="716" t="inlineStr">
        <is>
          <t>A660302</t>
        </is>
      </c>
      <c r="V59" s="701">
        <f>IF(_epmOfflineCondition_,"A660302",EPMOlapMemberO(U59,"[C_ACCOUNT].[PARENTH1].[A660302]","A660302 - 财务费用-利息费用","","000"))</f>
        <v/>
      </c>
      <c r="W59" s="462" t="n"/>
      <c r="X59" s="588" t="inlineStr">
        <is>
          <t xml:space="preserve">                      其中：利息费用</t>
        </is>
      </c>
      <c r="Y59" s="1185">
        <f>ROW()-45</f>
        <v/>
      </c>
      <c r="Z59" s="1212">
        <f>IF($I$8="01",AD59,AD59-AA59)</f>
        <v/>
      </c>
      <c r="AA59" s="1190" t="inlineStr"/>
      <c r="AB59" s="1190" t="inlineStr"/>
      <c r="AC59" s="1189" t="n"/>
      <c r="AD59" s="1190" t="inlineStr"/>
      <c r="AE59" s="1189" t="n"/>
      <c r="AF59" s="716" t="n"/>
      <c r="AG59" s="716" t="n"/>
      <c r="AH59" s="716" t="n"/>
      <c r="AI59" s="716" t="n"/>
      <c r="AJ59" s="716" t="n"/>
      <c r="AK59" s="716" t="n"/>
      <c r="AL59" s="716" t="n"/>
      <c r="AM59" s="716" t="n"/>
      <c r="AN59" s="716" t="n"/>
      <c r="AO59" s="716" t="n"/>
      <c r="AP59" s="716" t="n"/>
      <c r="AQ59" s="716" t="n"/>
    </row>
    <row r="60" ht="16.35" customFormat="1" customHeight="1" s="716">
      <c r="A60" s="716" t="n"/>
      <c r="B60" s="716" t="n"/>
      <c r="C60" s="716" t="n"/>
      <c r="D60" s="716" t="n"/>
      <c r="E60" s="716" t="n"/>
      <c r="F60" s="716" t="n"/>
      <c r="G60" s="716" t="n"/>
      <c r="H60" s="716" t="n"/>
      <c r="I60" s="716" t="n"/>
      <c r="J60" s="716" t="n"/>
      <c r="K60" s="716" t="n"/>
      <c r="L60" s="716" t="n"/>
      <c r="M60" s="716" t="n"/>
      <c r="N60" s="716" t="n"/>
      <c r="O60" s="716" t="n"/>
      <c r="P60" s="716" t="n"/>
      <c r="Q60" s="716" t="n"/>
      <c r="R60" s="716">
        <f>IF(_epmOfflineCondition_,"Y",EPMMemberProperty(,U60,"SCALING"))</f>
        <v/>
      </c>
      <c r="S60" s="462">
        <f>IF(_epmOfflineCondition_,"财务费用-利息收入",EPMMemberDesc(U60))</f>
        <v/>
      </c>
      <c r="T60" s="716" t="n"/>
      <c r="U60" s="716" t="inlineStr">
        <is>
          <t>A660301</t>
        </is>
      </c>
      <c r="V60" s="701">
        <f>IF(_epmOfflineCondition_,"A660301",EPMOlapMemberO(U60,"[C_ACCOUNT].[PARENTH1].[A660301]","A660301 - 财务费用-利息收入","","000"))</f>
        <v/>
      </c>
      <c r="W60" s="462" t="n"/>
      <c r="X60" s="457" t="inlineStr">
        <is>
          <t xml:space="preserve">                             利息收入</t>
        </is>
      </c>
      <c r="Y60" s="1185">
        <f>ROW()-45</f>
        <v/>
      </c>
      <c r="Z60" s="1212">
        <f>IF($I$8="01",AD60,AD60-AA60)</f>
        <v/>
      </c>
      <c r="AA60" s="1190" t="n"/>
      <c r="AB60" s="1190" t="inlineStr"/>
      <c r="AC60" s="1189" t="n"/>
      <c r="AD60" s="1190" t="inlineStr"/>
      <c r="AE60" s="1189" t="n"/>
      <c r="AF60" s="716" t="n"/>
      <c r="AG60" s="716" t="n"/>
      <c r="AH60" s="716" t="n"/>
      <c r="AI60" s="716" t="n"/>
      <c r="AJ60" s="716" t="n"/>
      <c r="AK60" s="716" t="n"/>
      <c r="AL60" s="716" t="n"/>
      <c r="AM60" s="716" t="n"/>
      <c r="AN60" s="716" t="n"/>
      <c r="AO60" s="716" t="n"/>
      <c r="AP60" s="716" t="n"/>
      <c r="AQ60" s="716" t="n"/>
    </row>
    <row r="61" ht="16.35" customFormat="1" customHeight="1" s="716">
      <c r="A61" s="716" t="n"/>
      <c r="B61" s="716" t="n"/>
      <c r="C61" s="716" t="n"/>
      <c r="D61" s="716" t="n"/>
      <c r="E61" s="716" t="n"/>
      <c r="F61" s="716" t="n"/>
      <c r="G61" s="716" t="n"/>
      <c r="H61" s="716" t="n"/>
      <c r="I61" s="716" t="n"/>
      <c r="J61" s="716" t="n"/>
      <c r="K61" s="716" t="n"/>
      <c r="L61" s="716" t="n"/>
      <c r="M61" s="716" t="n"/>
      <c r="N61" s="716" t="n"/>
      <c r="O61" s="716" t="n"/>
      <c r="P61" s="716" t="n"/>
      <c r="Q61" s="716" t="n"/>
      <c r="R61" s="716">
        <f>IF(_epmOfflineCondition_,"Y",EPMMemberProperty(,U61,"SCALING"))</f>
        <v/>
      </c>
      <c r="S61" s="462">
        <f>IF(_epmOfflineCondition_,"财务费用-汇兑损益",EPMMemberDesc(U61))</f>
        <v/>
      </c>
      <c r="T61" s="716" t="n"/>
      <c r="U61" s="716" t="inlineStr">
        <is>
          <t>A6603030000</t>
        </is>
      </c>
      <c r="V61" s="703">
        <f>IF(_epmOfflineCondition_,"A6603030000",EPMOlapMemberO(U61,"[C_ACCOUNT].[PARENTH1].[A6603030000]","A6603030000 - 财务费用-汇兑损益","","000"))</f>
        <v/>
      </c>
      <c r="W61" s="462" t="n"/>
      <c r="X61" s="457" t="inlineStr">
        <is>
          <t xml:space="preserve">                             汇兑净损失（净收益以“－”号填列）</t>
        </is>
      </c>
      <c r="Y61" s="1185">
        <f>ROW()-45</f>
        <v/>
      </c>
      <c r="Z61" s="1212">
        <f>IF($I$8="01",AD61,AD61-AA61)</f>
        <v/>
      </c>
      <c r="AA61" s="1190" t="n"/>
      <c r="AB61" s="1190" t="n"/>
      <c r="AC61" s="1189" t="n"/>
      <c r="AD61" s="1190" t="n"/>
      <c r="AE61" s="1189" t="n"/>
      <c r="AF61" s="716" t="n"/>
      <c r="AG61" s="716" t="n"/>
      <c r="AH61" s="716" t="n"/>
      <c r="AI61" s="716" t="n"/>
      <c r="AJ61" s="716" t="n"/>
      <c r="AK61" s="716" t="n"/>
      <c r="AL61" s="716" t="n"/>
      <c r="AM61" s="716" t="n"/>
      <c r="AN61" s="716" t="n"/>
      <c r="AO61" s="716" t="n"/>
      <c r="AP61" s="716" t="n"/>
      <c r="AQ61" s="716" t="n"/>
    </row>
    <row r="62" ht="16.35" customFormat="1" customHeight="1" s="716">
      <c r="A62" s="716" t="n"/>
      <c r="B62" s="716" t="n"/>
      <c r="C62" s="716" t="n"/>
      <c r="D62" s="716" t="n"/>
      <c r="E62" s="716" t="n"/>
      <c r="F62" s="716" t="n"/>
      <c r="G62" s="716" t="n"/>
      <c r="H62" s="716" t="n"/>
      <c r="I62" s="716" t="n"/>
      <c r="J62" s="716" t="n"/>
      <c r="K62" s="716" t="n"/>
      <c r="L62" s="716" t="n"/>
      <c r="M62" s="716" t="n"/>
      <c r="N62" s="716" t="n"/>
      <c r="O62" s="716" t="n"/>
      <c r="P62" s="716" t="n"/>
      <c r="Q62" s="716" t="n"/>
      <c r="R62" s="716">
        <f>IF(_epmOfflineCondition_,"Y",EPMMemberProperty(,U62,"SCALING"))</f>
        <v/>
      </c>
      <c r="S62" s="462">
        <f>IF(_epmOfflineCondition_,"其他",EPMMemberDesc(U62))</f>
        <v/>
      </c>
      <c r="T62" s="716" t="n"/>
      <c r="U62" s="716" t="inlineStr">
        <is>
          <t>A0020299</t>
        </is>
      </c>
      <c r="V62" s="699">
        <f>IF(_epmOfflineCondition_,"A0020299",EPMOlapMemberO(U62,"[C_ACCOUNT].[PARENTH1].[A0020299]","A0020299 - 其他","","000"))</f>
        <v/>
      </c>
      <c r="W62" s="462" t="n"/>
      <c r="X62" s="457" t="inlineStr">
        <is>
          <t xml:space="preserve">            其他</t>
        </is>
      </c>
      <c r="Y62" s="1185">
        <f>ROW()-45</f>
        <v/>
      </c>
      <c r="Z62" s="1212">
        <f>IF($I$8="01",AD62,AD62-AA62)</f>
        <v/>
      </c>
      <c r="AA62" s="1190" t="n"/>
      <c r="AB62" s="1190" t="n"/>
      <c r="AC62" s="1186" t="n"/>
      <c r="AD62" s="1186" t="n"/>
      <c r="AE62" s="1186" t="n"/>
      <c r="AF62" s="716" t="n"/>
      <c r="AG62" s="716" t="n"/>
      <c r="AH62" s="716" t="n"/>
      <c r="AI62" s="716" t="n"/>
      <c r="AJ62" s="716" t="n"/>
      <c r="AK62" s="716" t="n"/>
      <c r="AL62" s="716" t="n"/>
      <c r="AM62" s="716" t="n"/>
      <c r="AN62" s="716" t="n"/>
      <c r="AO62" s="716" t="n"/>
      <c r="AP62" s="716" t="n"/>
      <c r="AQ62" s="716" t="n"/>
    </row>
    <row r="63" ht="16.35" customFormat="1" customHeight="1" s="716">
      <c r="A63" s="716" t="n"/>
      <c r="B63" s="716" t="n"/>
      <c r="C63" s="716" t="n"/>
      <c r="D63" s="716" t="n"/>
      <c r="E63" s="716" t="n"/>
      <c r="F63" s="716" t="n"/>
      <c r="G63" s="716" t="n"/>
      <c r="H63" s="716" t="n"/>
      <c r="I63" s="716" t="n"/>
      <c r="J63" s="716" t="n"/>
      <c r="K63" s="716" t="n"/>
      <c r="L63" s="716" t="n"/>
      <c r="M63" s="716" t="n"/>
      <c r="N63" s="716" t="n"/>
      <c r="O63" s="716" t="n"/>
      <c r="P63" s="716" t="n"/>
      <c r="Q63" s="716" t="n"/>
      <c r="R63" s="716">
        <f>IF(_epmOfflineCondition_,"Y",EPMMemberProperty(,U63,"SCALING"))</f>
        <v/>
      </c>
      <c r="S63" s="462">
        <f>IF(_epmOfflineCondition_,"    加：其他收益",EPMMemberDesc(U63))</f>
        <v/>
      </c>
      <c r="T63" s="716" t="n"/>
      <c r="U63" s="716" t="inlineStr">
        <is>
          <t>A0020211</t>
        </is>
      </c>
      <c r="V63" s="1018">
        <f>IF(_epmOfflineCondition_,"A0020211",EPMOlapMemberO(U63,"[C_ACCOUNT].[PARENTH1].[A0020211]","A0020211 -     加：其他收益","","000"))</f>
        <v/>
      </c>
      <c r="W63" s="462" t="n"/>
      <c r="X63" s="457" t="inlineStr">
        <is>
          <t xml:space="preserve">   加：其他收益</t>
        </is>
      </c>
      <c r="Y63" s="1185">
        <f>ROW()-45</f>
        <v/>
      </c>
      <c r="Z63" s="1212">
        <f>IF($I$8="01",AD63,AD63-AA63)</f>
        <v/>
      </c>
      <c r="AA63" s="1190" t="n"/>
      <c r="AB63" s="1190" t="n"/>
      <c r="AC63" s="1189" t="n"/>
      <c r="AD63" s="1190" t="n"/>
      <c r="AE63" s="1189" t="n"/>
      <c r="AF63" s="716" t="n"/>
      <c r="AG63" s="716" t="n"/>
      <c r="AH63" s="716" t="n"/>
      <c r="AI63" s="716" t="n"/>
      <c r="AJ63" s="716" t="n"/>
      <c r="AK63" s="716" t="n"/>
      <c r="AL63" s="716" t="n"/>
      <c r="AM63" s="716" t="n"/>
      <c r="AN63" s="716" t="n"/>
      <c r="AO63" s="716" t="n"/>
      <c r="AP63" s="716" t="n"/>
      <c r="AQ63" s="716" t="n"/>
    </row>
    <row r="64" ht="16.35" customFormat="1" customHeight="1" s="716">
      <c r="A64" s="716" t="n"/>
      <c r="B64" s="716" t="n"/>
      <c r="C64" s="716" t="n"/>
      <c r="D64" s="716" t="n"/>
      <c r="E64" s="716" t="n"/>
      <c r="F64" s="716" t="n"/>
      <c r="G64" s="716" t="n"/>
      <c r="H64" s="716" t="n"/>
      <c r="I64" s="716" t="n"/>
      <c r="J64" s="716" t="n"/>
      <c r="K64" s="716" t="n"/>
      <c r="L64" s="716" t="n"/>
      <c r="M64" s="716" t="n"/>
      <c r="N64" s="716" t="n"/>
      <c r="O64" s="716" t="n"/>
      <c r="P64" s="716" t="n"/>
      <c r="Q64" s="716" t="n"/>
      <c r="R64" s="716">
        <f>IF(_epmOfflineCondition_,"Y",EPMMemberProperty(,U64,"SCALING"))</f>
        <v/>
      </c>
      <c r="S64" s="462">
        <f>IF(_epmOfflineCondition_,"　      投资收益（损失以“-”号填列）",EPMMemberDesc(U64))</f>
        <v/>
      </c>
      <c r="T64" s="716" t="n"/>
      <c r="U64" s="716" t="inlineStr">
        <is>
          <t>A0020212</t>
        </is>
      </c>
      <c r="V64" s="1018">
        <f>IF(_epmOfflineCondition_,"A0020212",EPMOlapMemberO(U64,"[C_ACCOUNT].[PARENTH1].[A0020212]","A0020212 - 　      投资收益（损失以“-""号填列）","","000"))</f>
        <v/>
      </c>
      <c r="W64" s="462" t="n"/>
      <c r="X64" s="458" t="inlineStr">
        <is>
          <t xml:space="preserve"> 投资收益（损失以“－”号填列）</t>
        </is>
      </c>
      <c r="Y64" s="1185">
        <f>ROW()-45</f>
        <v/>
      </c>
      <c r="Z64" s="1212">
        <f>IF($I$8="01",AD64,AD64-AA64)</f>
        <v/>
      </c>
      <c r="AA64" s="1190" t="n"/>
      <c r="AB64" s="1190" t="n"/>
      <c r="AC64" s="1189" t="n"/>
      <c r="AD64" s="1190" t="n"/>
      <c r="AE64" s="1189" t="n"/>
      <c r="AF64" s="716" t="n"/>
      <c r="AG64" s="716" t="n"/>
      <c r="AH64" s="716" t="n"/>
      <c r="AI64" s="716" t="n"/>
      <c r="AJ64" s="716" t="n"/>
      <c r="AK64" s="716" t="n"/>
      <c r="AL64" s="716" t="n"/>
      <c r="AM64" s="716" t="n"/>
      <c r="AN64" s="716" t="n"/>
      <c r="AO64" s="716" t="n"/>
      <c r="AP64" s="716" t="n"/>
      <c r="AQ64" s="716" t="n"/>
    </row>
    <row r="65" ht="16.35" customFormat="1" customHeight="1" s="716">
      <c r="A65" s="716" t="n"/>
      <c r="B65" s="716" t="n"/>
      <c r="C65" s="716" t="n"/>
      <c r="D65" s="716" t="n"/>
      <c r="E65" s="716" t="n"/>
      <c r="F65" s="716" t="n"/>
      <c r="G65" s="716" t="n"/>
      <c r="H65" s="716" t="n"/>
      <c r="I65" s="716" t="n"/>
      <c r="J65" s="716" t="n"/>
      <c r="K65" s="716" t="n"/>
      <c r="L65" s="716" t="n"/>
      <c r="M65" s="716" t="n"/>
      <c r="N65" s="716" t="n"/>
      <c r="O65" s="716" t="n"/>
      <c r="P65" s="716" t="n"/>
      <c r="Q65" s="716" t="n"/>
      <c r="R65" s="716">
        <f>IF(_epmOfflineCondition_,"Y",EPMMemberProperty(,U65,"SCALING"))</f>
        <v/>
      </c>
      <c r="S65" s="462">
        <f>IF(_epmOfflineCondition_,"          其中：对联营企业和合营企业的投资收益",EPMMemberDesc(U65))</f>
        <v/>
      </c>
      <c r="T65" s="716" t="n"/>
      <c r="U65" s="716" t="inlineStr">
        <is>
          <t>A002021201</t>
        </is>
      </c>
      <c r="V65" s="701">
        <f>IF(_epmOfflineCondition_,"A002021201",EPMOlapMemberO(U65,"[C_ACCOUNT].[PARENTH1].[A002021201]","A002021201 -           其中：对联营企业和合营企业的投资收益","","000"))</f>
        <v/>
      </c>
      <c r="W65" s="462" t="n"/>
      <c r="X65" s="458" t="inlineStr">
        <is>
          <t xml:space="preserve">        其中：对联营企业和合营企业的投资收益</t>
        </is>
      </c>
      <c r="Y65" s="1185">
        <f>ROW()-45</f>
        <v/>
      </c>
      <c r="Z65" s="1212">
        <f>IF($I$8="01",AD65,AD65-AA65)</f>
        <v/>
      </c>
      <c r="AA65" s="1190" t="n"/>
      <c r="AB65" s="1190" t="n"/>
      <c r="AC65" s="1189" t="n"/>
      <c r="AD65" s="1190" t="n"/>
      <c r="AE65" s="1189" t="n"/>
      <c r="AF65" s="716" t="n"/>
      <c r="AG65" s="716" t="n"/>
      <c r="AH65" s="716" t="n"/>
      <c r="AI65" s="716" t="n"/>
      <c r="AJ65" s="716" t="n"/>
      <c r="AK65" s="716" t="n"/>
      <c r="AL65" s="716" t="n"/>
      <c r="AM65" s="716" t="n"/>
      <c r="AN65" s="716" t="n"/>
      <c r="AO65" s="716" t="n"/>
      <c r="AP65" s="716" t="n"/>
      <c r="AQ65" s="716" t="n"/>
    </row>
    <row r="66" ht="16.35" customFormat="1" customHeight="1" s="716">
      <c r="A66" s="716" t="n"/>
      <c r="B66" s="716" t="n"/>
      <c r="C66" s="716" t="n"/>
      <c r="D66" s="716" t="n"/>
      <c r="E66" s="716" t="n"/>
      <c r="F66" s="716" t="n"/>
      <c r="G66" s="716" t="n"/>
      <c r="H66" s="716" t="n"/>
      <c r="I66" s="716" t="n"/>
      <c r="J66" s="716" t="n"/>
      <c r="K66" s="716" t="n"/>
      <c r="L66" s="716" t="n"/>
      <c r="M66" s="716" t="n"/>
      <c r="N66" s="716" t="n"/>
      <c r="O66" s="716" t="n"/>
      <c r="P66" s="716" t="n"/>
      <c r="Q66" s="716" t="n"/>
      <c r="R66" s="716">
        <f>IF(_epmOfflineCondition_,"Y",EPMMemberProperty(,U66,"SCALING"))</f>
        <v/>
      </c>
      <c r="S66" s="462">
        <f>IF(_epmOfflineCondition_,"                     以摊余成本计量的金融资产终止确认收益",EPMMemberDesc(U66))</f>
        <v/>
      </c>
      <c r="T66" s="716" t="n"/>
      <c r="U66" s="716" t="inlineStr">
        <is>
          <t>A002021202</t>
        </is>
      </c>
      <c r="V66" s="699">
        <f>IF(_epmOfflineCondition_,"A002021202",EPMOlapMemberO(U66,"[C_ACCOUNT].[PARENTH1].[A002021202]","A002021202 -                      以摊余成本计量的金融资产终止确认收益","","000"))</f>
        <v/>
      </c>
      <c r="W66" s="462" t="n"/>
      <c r="X66" s="1029" t="inlineStr">
        <is>
          <t xml:space="preserve">   以摊余成本计量的金融资产终止确认收益</t>
        </is>
      </c>
      <c r="Y66" s="1185">
        <f>ROW()-45</f>
        <v/>
      </c>
      <c r="Z66" s="1212">
        <f>IF($I$8="01",AD66,AD66-AA66)</f>
        <v/>
      </c>
      <c r="AA66" s="1190" t="n"/>
      <c r="AB66" s="1190" t="n"/>
      <c r="AC66" s="1189" t="n"/>
      <c r="AD66" s="1190" t="n"/>
      <c r="AE66" s="1189" t="n"/>
      <c r="AF66" s="716" t="n"/>
      <c r="AG66" s="716" t="n"/>
      <c r="AH66" s="716" t="n"/>
      <c r="AI66" s="716" t="n"/>
      <c r="AJ66" s="716" t="n"/>
      <c r="AK66" s="716" t="n"/>
      <c r="AL66" s="716" t="n"/>
      <c r="AM66" s="716" t="n"/>
      <c r="AN66" s="716" t="n"/>
      <c r="AO66" s="716" t="n"/>
      <c r="AP66" s="716" t="n"/>
      <c r="AQ66" s="716" t="n"/>
    </row>
    <row r="67" ht="16.35" customFormat="1" customHeight="1" s="716">
      <c r="A67" s="716" t="n"/>
      <c r="B67" s="716" t="n"/>
      <c r="C67" s="716" t="n"/>
      <c r="D67" s="716" t="n"/>
      <c r="E67" s="716" t="n"/>
      <c r="F67" s="716" t="n"/>
      <c r="G67" s="716" t="n"/>
      <c r="H67" s="716" t="n"/>
      <c r="I67" s="716" t="n"/>
      <c r="J67" s="716" t="n"/>
      <c r="K67" s="716" t="n"/>
      <c r="L67" s="716" t="n"/>
      <c r="M67" s="716" t="n"/>
      <c r="N67" s="716" t="n"/>
      <c r="O67" s="716" t="n"/>
      <c r="P67" s="716" t="n"/>
      <c r="Q67" s="716" t="n"/>
      <c r="R67" s="716">
        <f>IF(_epmOfflineCondition_,"Y",EPMMemberProperty(,U67,"SCALING"))</f>
        <v/>
      </c>
      <c r="S67" s="462">
        <f>IF(_epmOfflineCondition_,"　      # 汇兑收益（损失以“-”号填列）",EPMMemberDesc(U67))</f>
        <v/>
      </c>
      <c r="T67" s="716" t="n"/>
      <c r="U67" s="716" t="inlineStr">
        <is>
          <t>A0020213</t>
        </is>
      </c>
      <c r="V67" s="1018">
        <f>IF(_epmOfflineCondition_,"A0020213",EPMOlapMemberO(U67,"[C_ACCOUNT].[PARENTH1].[A0020213]","A0020213 - 　      # 汇兑收益（损失以“-""号填列）","","000"))</f>
        <v/>
      </c>
      <c r="W67" s="462" t="n"/>
      <c r="X67" s="1030" t="inlineStr">
        <is>
          <t xml:space="preserve">   △汇兑收益（损失以“-”号填列）</t>
        </is>
      </c>
      <c r="Y67" s="1185">
        <f>ROW()-45</f>
        <v/>
      </c>
      <c r="Z67" s="1212">
        <f>IF($I$8="01",AD67,AD67-AA67)</f>
        <v/>
      </c>
      <c r="AA67" s="1190" t="n"/>
      <c r="AB67" s="1190" t="n"/>
      <c r="AC67" s="1189" t="n"/>
      <c r="AD67" s="1190" t="n"/>
      <c r="AE67" s="1189" t="n"/>
      <c r="AF67" s="716" t="n"/>
      <c r="AG67" s="716" t="n"/>
      <c r="AH67" s="716" t="n"/>
      <c r="AI67" s="716" t="n"/>
      <c r="AJ67" s="716" t="n"/>
      <c r="AK67" s="716" t="n"/>
      <c r="AL67" s="716" t="n"/>
      <c r="AM67" s="716" t="n"/>
      <c r="AN67" s="716" t="n"/>
      <c r="AO67" s="716" t="n"/>
      <c r="AP67" s="716" t="n"/>
      <c r="AQ67" s="716" t="n"/>
    </row>
    <row r="68" ht="16.35" customFormat="1" customHeight="1" s="716">
      <c r="A68" s="716" t="n"/>
      <c r="B68" s="716" t="n"/>
      <c r="C68" s="716" t="n"/>
      <c r="D68" s="716" t="n"/>
      <c r="E68" s="716" t="n"/>
      <c r="F68" s="716" t="n"/>
      <c r="G68" s="716" t="n"/>
      <c r="H68" s="716" t="n"/>
      <c r="I68" s="716" t="n"/>
      <c r="J68" s="716" t="n"/>
      <c r="K68" s="716" t="n"/>
      <c r="L68" s="716" t="n"/>
      <c r="M68" s="716" t="n"/>
      <c r="N68" s="716" t="n"/>
      <c r="O68" s="716" t="n"/>
      <c r="P68" s="716" t="n"/>
      <c r="Q68" s="716" t="n"/>
      <c r="R68" s="716">
        <f>IF(_epmOfflineCondition_,"Y",EPMMemberProperty(,U68,"SCALING"))</f>
        <v/>
      </c>
      <c r="S68" s="462">
        <f>IF(_epmOfflineCondition_,"        净敞口套期收益（损失以“-”号填列）",EPMMemberDesc(U68))</f>
        <v/>
      </c>
      <c r="T68" s="716" t="n"/>
      <c r="U68" s="716" t="inlineStr">
        <is>
          <t>A0020214</t>
        </is>
      </c>
      <c r="V68" s="1018">
        <f>IF(_epmOfflineCondition_,"A0020214",EPMOlapMemberO(U68,"[C_ACCOUNT].[PARENTH1].[A0020214]","A0020214 -         净敞口套期收益（损失以“-""号填列）","","000"))</f>
        <v/>
      </c>
      <c r="W68" s="462" t="n"/>
      <c r="X68" s="458" t="inlineStr">
        <is>
          <t xml:space="preserve"> 净敞口套期收益（损失以“-”号填列）</t>
        </is>
      </c>
      <c r="Y68" s="1185">
        <f>ROW()-45</f>
        <v/>
      </c>
      <c r="Z68" s="1212">
        <f>IF($I$8="01",AD68,AD68-AA68)</f>
        <v/>
      </c>
      <c r="AA68" s="1190" t="n"/>
      <c r="AB68" s="1190" t="n"/>
      <c r="AC68" s="1189" t="n"/>
      <c r="AD68" s="1190" t="n"/>
      <c r="AE68" s="1189" t="n"/>
      <c r="AF68" s="716" t="n"/>
      <c r="AG68" s="716" t="n"/>
      <c r="AH68" s="716" t="n"/>
      <c r="AI68" s="716" t="n"/>
      <c r="AJ68" s="716" t="n"/>
      <c r="AK68" s="716" t="n"/>
      <c r="AL68" s="716" t="n"/>
      <c r="AM68" s="716" t="n"/>
      <c r="AN68" s="716" t="n"/>
      <c r="AO68" s="716" t="n"/>
      <c r="AP68" s="716" t="n"/>
      <c r="AQ68" s="716" t="n"/>
    </row>
    <row r="69" ht="16.35" customFormat="1" customHeight="1" s="716">
      <c r="A69" s="716" t="n"/>
      <c r="B69" s="716" t="n"/>
      <c r="C69" s="716" t="n"/>
      <c r="D69" s="716" t="n"/>
      <c r="E69" s="716" t="n"/>
      <c r="F69" s="716" t="n"/>
      <c r="G69" s="716" t="n"/>
      <c r="H69" s="716" t="n"/>
      <c r="I69" s="716" t="n"/>
      <c r="J69" s="716" t="n"/>
      <c r="K69" s="716" t="n"/>
      <c r="L69" s="716" t="n"/>
      <c r="M69" s="716" t="n"/>
      <c r="N69" s="716" t="n"/>
      <c r="O69" s="716" t="n"/>
      <c r="P69" s="716" t="n"/>
      <c r="Q69" s="716" t="n"/>
      <c r="R69" s="716">
        <f>IF(_epmOfflineCondition_,"Y",EPMMemberProperty(,U69,"SCALING"))</f>
        <v/>
      </c>
      <c r="S69" s="462">
        <f>IF(_epmOfflineCondition_,"        公允价值变动收益（损失以“-”号填列）",EPMMemberDesc(U69))</f>
        <v/>
      </c>
      <c r="T69" s="716" t="n"/>
      <c r="U69" s="716" t="inlineStr">
        <is>
          <t>A0020215</t>
        </is>
      </c>
      <c r="V69" s="1018">
        <f>IF(_epmOfflineCondition_,"A0020215",EPMOlapMemberO(U69,"[C_ACCOUNT].[PARENTH1].[A0020215]","A0020215 -         公允价值变动收益（损失以“-""号填列）","","000"))</f>
        <v/>
      </c>
      <c r="W69" s="462" t="n"/>
      <c r="X69" s="458" t="inlineStr">
        <is>
          <t xml:space="preserve"> 公允价值变动收益（损失以“-”号填列）</t>
        </is>
      </c>
      <c r="Y69" s="1185">
        <f>ROW()-45</f>
        <v/>
      </c>
      <c r="Z69" s="1212">
        <f>IF($I$8="01",AD69,AD69-AA69)</f>
        <v/>
      </c>
      <c r="AA69" s="1190" t="n"/>
      <c r="AB69" s="1190" t="n"/>
      <c r="AC69" s="1189" t="n"/>
      <c r="AD69" s="1190" t="n"/>
      <c r="AE69" s="1189" t="n"/>
      <c r="AF69" s="716" t="n"/>
      <c r="AG69" s="716" t="n"/>
      <c r="AH69" s="716" t="n"/>
      <c r="AI69" s="716" t="n"/>
      <c r="AJ69" s="716" t="n"/>
      <c r="AK69" s="716" t="n"/>
      <c r="AL69" s="716" t="n"/>
      <c r="AM69" s="716" t="n"/>
      <c r="AN69" s="716" t="n"/>
      <c r="AO69" s="716" t="n"/>
      <c r="AP69" s="716" t="n"/>
      <c r="AQ69" s="716" t="n"/>
    </row>
    <row r="70" ht="16.35" customFormat="1" customHeight="1" s="716">
      <c r="A70" s="716" t="n"/>
      <c r="B70" s="716" t="n"/>
      <c r="C70" s="716" t="n"/>
      <c r="D70" s="716" t="n"/>
      <c r="E70" s="716" t="n"/>
      <c r="F70" s="716" t="n"/>
      <c r="G70" s="716" t="n"/>
      <c r="H70" s="716" t="n"/>
      <c r="I70" s="716" t="n"/>
      <c r="J70" s="716" t="n"/>
      <c r="K70" s="716" t="n"/>
      <c r="L70" s="716" t="n"/>
      <c r="M70" s="716" t="n"/>
      <c r="N70" s="716" t="n"/>
      <c r="O70" s="716" t="n"/>
      <c r="P70" s="716" t="n"/>
      <c r="Q70" s="716" t="n"/>
      <c r="R70" s="716">
        <f>IF(_epmOfflineCondition_,"Y",EPMMemberProperty(,U70,"SCALING"))</f>
        <v/>
      </c>
      <c r="S70" s="462">
        <f>IF(_epmOfflineCondition_,"        信用减值损失（损失以“-”号填列）",EPMMemberDesc(U70))</f>
        <v/>
      </c>
      <c r="T70" s="716" t="n"/>
      <c r="U70" s="716" t="inlineStr">
        <is>
          <t>A0020210</t>
        </is>
      </c>
      <c r="V70" s="1018">
        <f>IF(_epmOfflineCondition_,"A0020210",EPMOlapMemberO(U70,"[C_ACCOUNT].[PARENTH1].[A0020210]","A0020210 -         信用减值损失（损失以“-""号填列）","","000"))</f>
        <v/>
      </c>
      <c r="W70" s="462" t="n"/>
      <c r="X70" s="458" t="inlineStr">
        <is>
          <t xml:space="preserve"> 信用减值损失（损失以“－”号填列）</t>
        </is>
      </c>
      <c r="Y70" s="1185">
        <f>ROW()-45</f>
        <v/>
      </c>
      <c r="Z70" s="1212">
        <f>IF($I$8="01",AD70,AD70-AA70)</f>
        <v/>
      </c>
      <c r="AA70" s="1190" t="n"/>
      <c r="AB70" s="1190" t="n"/>
      <c r="AC70" s="1189" t="n"/>
      <c r="AD70" s="1190" t="n"/>
      <c r="AE70" s="1189" t="n"/>
      <c r="AF70" s="716" t="n"/>
      <c r="AG70" s="716" t="n"/>
      <c r="AH70" s="716" t="n"/>
      <c r="AI70" s="716" t="n"/>
      <c r="AJ70" s="716" t="n"/>
      <c r="AK70" s="716" t="n"/>
      <c r="AL70" s="716" t="n"/>
      <c r="AM70" s="716" t="n"/>
      <c r="AN70" s="716" t="n"/>
      <c r="AO70" s="716" t="n"/>
      <c r="AP70" s="716" t="n"/>
      <c r="AQ70" s="716" t="n"/>
    </row>
    <row r="71" ht="16.35" customFormat="1" customHeight="1" s="716">
      <c r="A71" s="716" t="n"/>
      <c r="B71" s="716" t="n"/>
      <c r="C71" s="716" t="n"/>
      <c r="D71" s="716" t="n"/>
      <c r="E71" s="716" t="n"/>
      <c r="F71" s="716" t="n"/>
      <c r="G71" s="716" t="n"/>
      <c r="H71" s="716" t="n"/>
      <c r="I71" s="716" t="n"/>
      <c r="J71" s="716" t="n"/>
      <c r="K71" s="716" t="n"/>
      <c r="L71" s="716" t="n"/>
      <c r="M71" s="716" t="n"/>
      <c r="N71" s="716" t="n"/>
      <c r="O71" s="716" t="n"/>
      <c r="P71" s="716" t="n"/>
      <c r="Q71" s="716" t="n"/>
      <c r="R71" s="716">
        <f>IF(_epmOfflineCondition_,"Y",EPMMemberProperty(,U71,"SCALING"))</f>
        <v/>
      </c>
      <c r="S71" s="462">
        <f>IF(_epmOfflineCondition_,"        资产减值损失（损失以“-”号填列）",EPMMemberDesc(U71))</f>
        <v/>
      </c>
      <c r="T71" s="716" t="n"/>
      <c r="U71" s="716" t="inlineStr">
        <is>
          <t>A0020209</t>
        </is>
      </c>
      <c r="V71" s="1018">
        <f>IF(_epmOfflineCondition_,"A0020209",EPMOlapMemberO(U71,"[C_ACCOUNT].[PARENTH1].[A0020209]","A0020209 -         资产减值损失（损失以“-""号填列）","","000"))</f>
        <v/>
      </c>
      <c r="W71" s="462" t="n"/>
      <c r="X71" s="458" t="inlineStr">
        <is>
          <t xml:space="preserve"> 资产减值损失（损失以“－”号填列）</t>
        </is>
      </c>
      <c r="Y71" s="1185">
        <f>ROW()-45</f>
        <v/>
      </c>
      <c r="Z71" s="1212">
        <f>IF($I$8="01",AD71,AD71-AA71)</f>
        <v/>
      </c>
      <c r="AA71" s="1190" t="n"/>
      <c r="AB71" s="1190" t="n"/>
      <c r="AC71" s="1189" t="n"/>
      <c r="AD71" s="1190" t="n"/>
      <c r="AE71" s="1189" t="n"/>
      <c r="AF71" s="716" t="n"/>
      <c r="AG71" s="716" t="n"/>
      <c r="AH71" s="716" t="n"/>
      <c r="AI71" s="716" t="n"/>
      <c r="AJ71" s="716" t="n"/>
      <c r="AK71" s="716" t="n"/>
      <c r="AL71" s="716" t="n"/>
      <c r="AM71" s="716" t="n"/>
      <c r="AN71" s="716" t="n"/>
      <c r="AO71" s="716" t="n"/>
      <c r="AP71" s="716" t="n"/>
      <c r="AQ71" s="716" t="n"/>
    </row>
    <row r="72" ht="16.35" customFormat="1" customHeight="1" s="716">
      <c r="A72" s="716" t="n"/>
      <c r="B72" s="716" t="n"/>
      <c r="C72" s="716" t="n"/>
      <c r="D72" s="716" t="n"/>
      <c r="E72" s="716" t="n"/>
      <c r="F72" s="716" t="n"/>
      <c r="G72" s="716" t="n"/>
      <c r="H72" s="716" t="n"/>
      <c r="I72" s="716" t="n"/>
      <c r="J72" s="716" t="n"/>
      <c r="K72" s="716" t="n"/>
      <c r="L72" s="716" t="n"/>
      <c r="M72" s="716" t="n"/>
      <c r="N72" s="716" t="n"/>
      <c r="O72" s="716" t="n"/>
      <c r="P72" s="716" t="n"/>
      <c r="Q72" s="716" t="n"/>
      <c r="R72" s="716">
        <f>IF(_epmOfflineCondition_,"Y",EPMMemberProperty(,U72,"SCALING"))</f>
        <v/>
      </c>
      <c r="S72" s="462">
        <f>IF(_epmOfflineCondition_,"        资产处置收益（损失以“-”号填列）",EPMMemberDesc(U72))</f>
        <v/>
      </c>
      <c r="T72" s="716" t="n"/>
      <c r="U72" s="716" t="inlineStr">
        <is>
          <t>A0020216</t>
        </is>
      </c>
      <c r="V72" s="1018">
        <f>IF(_epmOfflineCondition_,"A0020216",EPMOlapMemberO(U72,"[C_ACCOUNT].[PARENTH1].[A0020216]","A0020216 -         资产处置收益（损失以“-""号填列）","","000"))</f>
        <v/>
      </c>
      <c r="W72" s="462" t="n"/>
      <c r="X72" s="458" t="inlineStr">
        <is>
          <t xml:space="preserve"> 资产处置收益（损失以“-”号填列）</t>
        </is>
      </c>
      <c r="Y72" s="1185">
        <f>ROW()-45</f>
        <v/>
      </c>
      <c r="Z72" s="1212">
        <f>IF($I$8="01",AD72,AD72-AA72)</f>
        <v/>
      </c>
      <c r="AA72" s="1190" t="n"/>
      <c r="AB72" s="1190" t="n"/>
      <c r="AC72" s="1189" t="n"/>
      <c r="AD72" s="1190" t="n"/>
      <c r="AE72" s="1189" t="n"/>
      <c r="AF72" s="716" t="n"/>
      <c r="AG72" s="716" t="n"/>
      <c r="AH72" s="716" t="n"/>
      <c r="AI72" s="716" t="n"/>
      <c r="AJ72" s="716" t="n"/>
      <c r="AK72" s="716" t="n"/>
      <c r="AL72" s="716" t="n"/>
      <c r="AM72" s="716" t="n"/>
      <c r="AN72" s="716" t="n"/>
      <c r="AO72" s="716" t="n"/>
      <c r="AP72" s="716" t="n"/>
      <c r="AQ72" s="716" t="n"/>
    </row>
    <row r="73" ht="16.35" customFormat="1" customHeight="1" s="716">
      <c r="A73" s="716" t="n"/>
      <c r="B73" s="716" t="n"/>
      <c r="C73" s="716" t="n"/>
      <c r="D73" s="716" t="n"/>
      <c r="E73" s="716" t="n"/>
      <c r="F73" s="716" t="n"/>
      <c r="G73" s="716" t="n"/>
      <c r="H73" s="716" t="n"/>
      <c r="I73" s="716" t="n"/>
      <c r="J73" s="716" t="n"/>
      <c r="K73" s="716" t="n"/>
      <c r="L73" s="716" t="n"/>
      <c r="M73" s="716" t="n"/>
      <c r="N73" s="716" t="n"/>
      <c r="O73" s="716" t="n"/>
      <c r="P73" s="716" t="n"/>
      <c r="Q73" s="716" t="n"/>
      <c r="R73" s="716">
        <f>IF(_epmOfflineCondition_,"Y",EPMMemberProperty(,U73,"SCALING"))</f>
        <v/>
      </c>
      <c r="S73" s="462">
        <f>IF(_epmOfflineCondition_,"三、营业利润（亏损以“-”号填列）",EPMMemberDesc(U73))</f>
        <v/>
      </c>
      <c r="T73" s="716" t="n"/>
      <c r="U73" s="716" t="inlineStr">
        <is>
          <t>A00203</t>
        </is>
      </c>
      <c r="V73" s="637">
        <f>IF(_epmOfflineCondition_,"A00203",EPMOlapMemberO(U73,"[C_ACCOUNT].[PARENTH1].[A00203]","A00203 - 三、营业利润（亏损以“-""号填列）","","000"))</f>
        <v/>
      </c>
      <c r="W73" s="462" t="n"/>
      <c r="X73" s="454" t="inlineStr">
        <is>
          <t>三、营业利润（亏损以“-”号填列）</t>
        </is>
      </c>
      <c r="Y73" s="1185">
        <f>ROW()-45</f>
        <v/>
      </c>
      <c r="Z73" s="1212">
        <f>IF($I$8="01",AD73,AD73-AA73)</f>
        <v/>
      </c>
      <c r="AA73" s="1190" t="inlineStr"/>
      <c r="AB73" s="1190" t="inlineStr"/>
      <c r="AC73" s="1189" t="n"/>
      <c r="AD73" s="1190" t="inlineStr"/>
      <c r="AE73" s="1189" t="inlineStr"/>
      <c r="AF73" s="716" t="n"/>
      <c r="AG73" s="716" t="n"/>
      <c r="AH73" s="716" t="n"/>
      <c r="AI73" s="716" t="n"/>
      <c r="AJ73" s="716" t="n"/>
      <c r="AK73" s="716" t="n"/>
      <c r="AL73" s="716" t="n"/>
      <c r="AM73" s="716" t="n"/>
      <c r="AN73" s="716" t="n"/>
      <c r="AO73" s="716" t="n"/>
      <c r="AP73" s="716" t="n"/>
      <c r="AQ73" s="716" t="n"/>
    </row>
    <row r="74" ht="16.35" customFormat="1" customHeight="1" s="716">
      <c r="A74" s="716" t="n"/>
      <c r="B74" s="716" t="n"/>
      <c r="C74" s="716" t="n"/>
      <c r="D74" s="716" t="n"/>
      <c r="E74" s="716" t="n"/>
      <c r="F74" s="716" t="n"/>
      <c r="G74" s="716" t="n"/>
      <c r="H74" s="716" t="n"/>
      <c r="I74" s="716" t="n"/>
      <c r="J74" s="716" t="n"/>
      <c r="K74" s="716" t="n"/>
      <c r="L74" s="716" t="n"/>
      <c r="M74" s="716" t="n"/>
      <c r="N74" s="716" t="n"/>
      <c r="O74" s="716" t="n"/>
      <c r="P74" s="716" t="n"/>
      <c r="Q74" s="716" t="n"/>
      <c r="R74" s="716">
        <f>IF(_epmOfflineCondition_,"Y",EPMMemberProperty(,U74,"SCALING"))</f>
        <v/>
      </c>
      <c r="S74" s="462">
        <f>IF(_epmOfflineCondition_,"    加：营业外收入",EPMMemberDesc(U74))</f>
        <v/>
      </c>
      <c r="T74" s="716" t="n"/>
      <c r="U74" s="716" t="inlineStr">
        <is>
          <t>A0020301</t>
        </is>
      </c>
      <c r="V74" s="637">
        <f>IF(_epmOfflineCondition_,"A0020301",EPMOlapMemberO(U74,"[C_ACCOUNT].[PARENTH1].[A0020301]","A0020301 -     加：营业外收入","","000"))</f>
        <v/>
      </c>
      <c r="W74" s="462" t="n"/>
      <c r="X74" s="588" t="inlineStr">
        <is>
          <t xml:space="preserve">   加：营业外收入</t>
        </is>
      </c>
      <c r="Y74" s="1185">
        <f>ROW()-45</f>
        <v/>
      </c>
      <c r="Z74" s="1212">
        <f>IF($I$8="01",AD74,AD74-AA74)</f>
        <v/>
      </c>
      <c r="AA74" s="1190" t="n"/>
      <c r="AB74" s="1190" t="n"/>
      <c r="AC74" s="1189" t="n"/>
      <c r="AD74" s="1190" t="n"/>
      <c r="AE74" s="1189" t="n"/>
      <c r="AF74" s="716" t="n"/>
      <c r="AG74" s="716" t="n"/>
      <c r="AH74" s="716" t="n"/>
      <c r="AI74" s="716" t="n"/>
      <c r="AJ74" s="716" t="n"/>
      <c r="AK74" s="716" t="n"/>
      <c r="AL74" s="716" t="n"/>
      <c r="AM74" s="716" t="n"/>
      <c r="AN74" s="716" t="n"/>
      <c r="AO74" s="716" t="n"/>
      <c r="AP74" s="716" t="n"/>
      <c r="AQ74" s="716" t="n"/>
    </row>
    <row r="75" ht="16.35" customFormat="1" customHeight="1" s="716">
      <c r="A75" s="716" t="n"/>
      <c r="B75" s="716" t="n"/>
      <c r="C75" s="716" t="n"/>
      <c r="D75" s="716" t="n"/>
      <c r="E75" s="716" t="n"/>
      <c r="F75" s="716" t="n"/>
      <c r="G75" s="716" t="n"/>
      <c r="H75" s="716" t="n"/>
      <c r="I75" s="716" t="n"/>
      <c r="J75" s="716" t="n"/>
      <c r="K75" s="716" t="n"/>
      <c r="L75" s="716" t="n"/>
      <c r="M75" s="716" t="n"/>
      <c r="N75" s="716" t="n"/>
      <c r="O75" s="716" t="n"/>
      <c r="P75" s="716" t="n"/>
      <c r="Q75" s="716" t="n"/>
      <c r="R75" s="716">
        <f>IF(_epmOfflineCondition_,"Y",EPMMemberProperty(,U75,"SCALING"))</f>
        <v/>
      </c>
      <c r="S75" s="462">
        <f>IF(_epmOfflineCondition_,"营业外收入-非流动资产报废损毁利得",EPMMemberDesc(U75))</f>
        <v/>
      </c>
      <c r="T75" s="716" t="n"/>
      <c r="U75" s="716" t="inlineStr">
        <is>
          <t>A630101</t>
        </is>
      </c>
      <c r="V75" s="1018">
        <f>IF(_epmOfflineCondition_,"A630101",EPMOlapMemberO(U75,"[C_ACCOUNT].[PARENTH1].[A630101]","A630101 - 营业外收入-非流动资产报废损毁利得","","000"))</f>
        <v/>
      </c>
      <c r="W75" s="462" t="n"/>
      <c r="X75" s="614" t="inlineStr">
        <is>
          <t xml:space="preserve">          其中：非流动资产毁损报废利得</t>
        </is>
      </c>
      <c r="Y75" s="1185">
        <f>ROW()-45</f>
        <v/>
      </c>
      <c r="Z75" s="1212">
        <f>IF($I$8="01",AD75,AD75-AA75)</f>
        <v/>
      </c>
      <c r="AA75" s="1190" t="n"/>
      <c r="AB75" s="1190" t="n"/>
      <c r="AC75" s="1189" t="n"/>
      <c r="AD75" s="1190" t="n"/>
      <c r="AE75" s="1189" t="n"/>
      <c r="AF75" s="716" t="n"/>
      <c r="AG75" s="716" t="n"/>
      <c r="AH75" s="716" t="n"/>
      <c r="AI75" s="716" t="n"/>
      <c r="AJ75" s="716" t="n"/>
      <c r="AK75" s="716" t="n"/>
      <c r="AL75" s="716" t="n"/>
      <c r="AM75" s="716" t="n"/>
      <c r="AN75" s="716" t="n"/>
      <c r="AO75" s="716" t="n"/>
      <c r="AP75" s="716" t="n"/>
      <c r="AQ75" s="716" t="n"/>
    </row>
    <row r="76" ht="16.35" customFormat="1" customHeight="1" s="716">
      <c r="A76" s="716" t="n"/>
      <c r="B76" s="716" t="n"/>
      <c r="C76" s="716" t="n"/>
      <c r="D76" s="716" t="n"/>
      <c r="E76" s="716" t="n"/>
      <c r="F76" s="716" t="n"/>
      <c r="G76" s="716" t="n"/>
      <c r="H76" s="716" t="n"/>
      <c r="I76" s="716" t="n"/>
      <c r="J76" s="716" t="n"/>
      <c r="K76" s="716" t="n"/>
      <c r="L76" s="716" t="n"/>
      <c r="M76" s="716" t="n"/>
      <c r="N76" s="716" t="n"/>
      <c r="O76" s="716" t="n"/>
      <c r="P76" s="716" t="n"/>
      <c r="Q76" s="716" t="n"/>
      <c r="R76" s="716">
        <f>IF(_epmOfflineCondition_,"Y",EPMMemberProperty(,U76,"SCALING"))</f>
        <v/>
      </c>
      <c r="S76" s="462">
        <f>IF(_epmOfflineCondition_,"营业外收入-政府补助",EPMMemberDesc(U76))</f>
        <v/>
      </c>
      <c r="T76" s="716" t="n"/>
      <c r="U76" s="716" t="inlineStr">
        <is>
          <t>A6301040000</t>
        </is>
      </c>
      <c r="V76" s="1018">
        <f>IF(_epmOfflineCondition_,"A6301040000",EPMOlapMemberO(U76,"[C_ACCOUNT].[PARENTH1].[A6301040000]","A6301040000 - 营业外收入-政府补助","","000"))</f>
        <v/>
      </c>
      <c r="W76" s="462" t="n"/>
      <c r="X76" s="614" t="inlineStr">
        <is>
          <t xml:space="preserve">                     政府补助</t>
        </is>
      </c>
      <c r="Y76" s="1185">
        <f>ROW()-45</f>
        <v/>
      </c>
      <c r="Z76" s="1212">
        <f>IF($I$8="01",AD76,AD76-AA76)</f>
        <v/>
      </c>
      <c r="AA76" s="1190" t="n"/>
      <c r="AB76" s="1190" t="n"/>
      <c r="AC76" s="1189" t="n"/>
      <c r="AD76" s="1190" t="n"/>
      <c r="AE76" s="1189" t="n"/>
      <c r="AF76" s="716" t="n"/>
      <c r="AG76" s="716" t="n"/>
      <c r="AH76" s="716" t="n"/>
      <c r="AI76" s="716" t="n"/>
      <c r="AJ76" s="716" t="n"/>
      <c r="AK76" s="716" t="n"/>
      <c r="AL76" s="716" t="n"/>
      <c r="AM76" s="716" t="n"/>
      <c r="AN76" s="716" t="n"/>
      <c r="AO76" s="716" t="n"/>
      <c r="AP76" s="716" t="n"/>
      <c r="AQ76" s="716" t="n"/>
    </row>
    <row r="77" ht="16.35" customFormat="1" customHeight="1" s="716">
      <c r="A77" s="716" t="n"/>
      <c r="B77" s="716" t="n"/>
      <c r="C77" s="716" t="n"/>
      <c r="D77" s="716" t="n"/>
      <c r="E77" s="716" t="n"/>
      <c r="F77" s="716" t="n"/>
      <c r="G77" s="716" t="n"/>
      <c r="H77" s="716" t="n"/>
      <c r="I77" s="716" t="n"/>
      <c r="J77" s="716" t="n"/>
      <c r="K77" s="716" t="n"/>
      <c r="L77" s="716" t="n"/>
      <c r="M77" s="716" t="n"/>
      <c r="N77" s="716" t="n"/>
      <c r="O77" s="716" t="n"/>
      <c r="P77" s="716" t="n"/>
      <c r="Q77" s="716" t="n"/>
      <c r="R77" s="716">
        <f>IF(_epmOfflineCondition_,"Y",EPMMemberProperty(,U77,"SCALING"))</f>
        <v/>
      </c>
      <c r="S77" s="462">
        <f>IF(_epmOfflineCondition_,"　　减：营业外支出",EPMMemberDesc(U77))</f>
        <v/>
      </c>
      <c r="T77" s="716" t="n"/>
      <c r="U77" s="716" t="inlineStr">
        <is>
          <t>A0020302</t>
        </is>
      </c>
      <c r="V77" s="637">
        <f>IF(_epmOfflineCondition_,"A0020302",EPMOlapMemberO(U77,"[C_ACCOUNT].[PARENTH1].[A0020302]","A0020302 - 　　减：营业外支出","","000"))</f>
        <v/>
      </c>
      <c r="W77" s="462" t="n"/>
      <c r="X77" s="588" t="inlineStr">
        <is>
          <t xml:space="preserve">　减：营业外支出</t>
        </is>
      </c>
      <c r="Y77" s="1185">
        <f>ROW()-45</f>
        <v/>
      </c>
      <c r="Z77" s="1212">
        <f>IF($I$8="01",AD77,AD77-AA77)</f>
        <v/>
      </c>
      <c r="AA77" s="1190" t="n"/>
      <c r="AB77" s="1190" t="n"/>
      <c r="AC77" s="1189" t="n"/>
      <c r="AD77" s="1190" t="n"/>
      <c r="AE77" s="1189" t="n"/>
      <c r="AF77" s="716" t="n"/>
      <c r="AG77" s="716" t="n"/>
      <c r="AH77" s="716" t="n"/>
      <c r="AI77" s="716" t="n"/>
      <c r="AJ77" s="716" t="n"/>
      <c r="AK77" s="716" t="n"/>
      <c r="AL77" s="716" t="n"/>
      <c r="AM77" s="716" t="n"/>
      <c r="AN77" s="716" t="n"/>
      <c r="AO77" s="716" t="n"/>
      <c r="AP77" s="716" t="n"/>
      <c r="AQ77" s="716" t="n"/>
    </row>
    <row r="78" ht="16.35" customFormat="1" customHeight="1" s="716">
      <c r="A78" s="716" t="n"/>
      <c r="B78" s="716" t="n"/>
      <c r="C78" s="716" t="n"/>
      <c r="D78" s="716" t="n"/>
      <c r="E78" s="716" t="n"/>
      <c r="F78" s="716" t="n"/>
      <c r="G78" s="716" t="n"/>
      <c r="H78" s="716" t="n"/>
      <c r="I78" s="716" t="n"/>
      <c r="J78" s="716" t="n"/>
      <c r="K78" s="716" t="n"/>
      <c r="L78" s="716" t="n"/>
      <c r="M78" s="716" t="n"/>
      <c r="N78" s="716" t="n"/>
      <c r="O78" s="716" t="n"/>
      <c r="P78" s="716" t="n"/>
      <c r="Q78" s="716" t="n"/>
      <c r="R78" s="716">
        <f>IF(_epmOfflineCondition_,"Y",EPMMemberProperty(,U78,"SCALING"))</f>
        <v/>
      </c>
      <c r="S78" s="462">
        <f>IF(_epmOfflineCondition_,"营业外支出-非流动资产报废损毁损失",EPMMemberDesc(U78))</f>
        <v/>
      </c>
      <c r="T78" s="716" t="n"/>
      <c r="U78" s="716" t="inlineStr">
        <is>
          <t>A671101</t>
        </is>
      </c>
      <c r="V78" s="1018">
        <f>IF(_epmOfflineCondition_,"A671101",EPMOlapMemberO(U78,"[C_ACCOUNT].[PARENTH1].[A671101]","A671101 - 营业外支出-非流动资产报废损毁损失","","000"))</f>
        <v/>
      </c>
      <c r="W78" s="462" t="n"/>
      <c r="X78" s="614" t="inlineStr">
        <is>
          <t xml:space="preserve">          其中：非流动资产毁损报废损失</t>
        </is>
      </c>
      <c r="Y78" s="1185">
        <f>ROW()-45</f>
        <v/>
      </c>
      <c r="Z78" s="1212">
        <f>IF($I$8="01",AD78,AD78-AA78)</f>
        <v/>
      </c>
      <c r="AA78" s="1190" t="n"/>
      <c r="AB78" s="1190" t="n"/>
      <c r="AC78" s="1189" t="n"/>
      <c r="AD78" s="1190" t="n"/>
      <c r="AE78" s="1189" t="n"/>
      <c r="AF78" s="716" t="n"/>
      <c r="AG78" s="716" t="n"/>
      <c r="AH78" s="716" t="n"/>
      <c r="AI78" s="716" t="n"/>
      <c r="AJ78" s="716" t="n"/>
      <c r="AK78" s="716" t="n"/>
      <c r="AL78" s="716" t="n"/>
      <c r="AM78" s="716" t="n"/>
      <c r="AN78" s="716" t="n"/>
      <c r="AO78" s="716" t="n"/>
      <c r="AP78" s="716" t="n"/>
      <c r="AQ78" s="716" t="n"/>
    </row>
    <row r="79" ht="16.35" customFormat="1" customHeight="1" s="716">
      <c r="A79" s="716" t="n"/>
      <c r="B79" s="716" t="n"/>
      <c r="C79" s="716" t="n"/>
      <c r="D79" s="716" t="n"/>
      <c r="E79" s="716" t="n"/>
      <c r="F79" s="716" t="n"/>
      <c r="G79" s="716" t="n"/>
      <c r="H79" s="716" t="n"/>
      <c r="I79" s="716" t="n"/>
      <c r="J79" s="716" t="n"/>
      <c r="K79" s="716" t="n"/>
      <c r="L79" s="716" t="n"/>
      <c r="M79" s="716" t="n"/>
      <c r="N79" s="716" t="n"/>
      <c r="O79" s="716" t="n"/>
      <c r="P79" s="716" t="n"/>
      <c r="Q79" s="716" t="n"/>
      <c r="R79" s="716">
        <f>IF(_epmOfflineCondition_,"Y",EPMMemberProperty(,U79,"SCALING"))</f>
        <v/>
      </c>
      <c r="S79" s="462">
        <f>IF(_epmOfflineCondition_,"四、利润总额（亏损总额以“-”号填列）",EPMMemberDesc(U79))</f>
        <v/>
      </c>
      <c r="T79" s="716" t="n"/>
      <c r="U79" s="716" t="inlineStr">
        <is>
          <t>A00204</t>
        </is>
      </c>
      <c r="V79" s="635">
        <f>IF(_epmOfflineCondition_,"A00204",EPMOlapMemberO(U79,"[C_ACCOUNT].[PARENTH1].[A00204]","A00204 - 四、利润总额（亏损总额以“-""号填列）","","000"))</f>
        <v/>
      </c>
      <c r="W79" s="462" t="n"/>
      <c r="X79" s="454" t="inlineStr">
        <is>
          <t>四、利润总额（亏损总额以“-”号填列）</t>
        </is>
      </c>
      <c r="Y79" s="1185">
        <f>ROW()-45</f>
        <v/>
      </c>
      <c r="Z79" s="1212">
        <f>IF($I$8="01",AD79,AD79-AA79)</f>
        <v/>
      </c>
      <c r="AA79" s="1190" t="inlineStr"/>
      <c r="AB79" s="1190" t="inlineStr"/>
      <c r="AC79" s="1189" t="n"/>
      <c r="AD79" s="1190" t="inlineStr"/>
      <c r="AE79" s="1189" t="inlineStr"/>
      <c r="AF79" s="716" t="n"/>
      <c r="AG79" s="716" t="n"/>
      <c r="AH79" s="716" t="n"/>
      <c r="AI79" s="716" t="n"/>
      <c r="AJ79" s="716" t="n"/>
      <c r="AK79" s="716" t="n"/>
      <c r="AL79" s="716" t="n"/>
      <c r="AM79" s="716" t="n"/>
      <c r="AN79" s="716" t="n"/>
      <c r="AO79" s="716" t="n"/>
      <c r="AP79" s="716" t="n"/>
      <c r="AQ79" s="716" t="n"/>
    </row>
    <row r="80" ht="16.35" customFormat="1" customHeight="1" s="716">
      <c r="A80" s="716" t="n"/>
      <c r="B80" s="716" t="n"/>
      <c r="C80" s="716" t="n"/>
      <c r="D80" s="716" t="n"/>
      <c r="E80" s="716" t="n"/>
      <c r="F80" s="716" t="n"/>
      <c r="G80" s="716" t="n"/>
      <c r="H80" s="716" t="n"/>
      <c r="I80" s="716" t="n"/>
      <c r="J80" s="716" t="n"/>
      <c r="K80" s="716" t="n"/>
      <c r="L80" s="716" t="n"/>
      <c r="M80" s="716" t="n"/>
      <c r="N80" s="716" t="n"/>
      <c r="O80" s="716" t="n"/>
      <c r="P80" s="716" t="n"/>
      <c r="Q80" s="716" t="n"/>
      <c r="R80" s="716">
        <f>IF(_epmOfflineCondition_,"Y",EPMMemberProperty(,U80,"SCALING"))</f>
        <v/>
      </c>
      <c r="S80" s="462">
        <f>IF(_epmOfflineCondition_,"　　减：所得税费用",EPMMemberDesc(U80))</f>
        <v/>
      </c>
      <c r="T80" s="716" t="n"/>
      <c r="U80" s="716" t="inlineStr">
        <is>
          <t>A0020401</t>
        </is>
      </c>
      <c r="V80" s="635">
        <f>IF(_epmOfflineCondition_,"A0020401",EPMOlapMemberO(U80,"[C_ACCOUNT].[PARENTH1].[A0020401]","A0020401 - 　　减：所得税费用","","000"))</f>
        <v/>
      </c>
      <c r="W80" s="462" t="n"/>
      <c r="X80" s="588" t="inlineStr">
        <is>
          <t xml:space="preserve">　减：所得税费用</t>
        </is>
      </c>
      <c r="Y80" s="1185">
        <f>ROW()-45</f>
        <v/>
      </c>
      <c r="Z80" s="1212">
        <f>IF($I$8="01",AD80,AD80-AA80)</f>
        <v/>
      </c>
      <c r="AA80" s="1190" t="n"/>
      <c r="AB80" s="1190" t="n"/>
      <c r="AC80" s="1189" t="n"/>
      <c r="AD80" s="1190" t="n"/>
      <c r="AE80" s="1189" t="n"/>
      <c r="AF80" s="716" t="n"/>
      <c r="AG80" s="716" t="n"/>
      <c r="AH80" s="716" t="n"/>
      <c r="AI80" s="716" t="n"/>
      <c r="AJ80" s="716" t="n"/>
      <c r="AK80" s="716" t="n"/>
      <c r="AL80" s="716" t="n"/>
      <c r="AM80" s="716" t="n"/>
      <c r="AN80" s="716" t="n"/>
      <c r="AO80" s="716" t="n"/>
      <c r="AP80" s="716" t="n"/>
      <c r="AQ80" s="716" t="n"/>
    </row>
    <row r="81" ht="16.35" customFormat="1" customHeight="1" s="716">
      <c r="A81" s="716" t="n"/>
      <c r="B81" s="716" t="n"/>
      <c r="C81" s="716" t="n"/>
      <c r="D81" s="716" t="n"/>
      <c r="E81" s="716" t="n"/>
      <c r="F81" s="716" t="n"/>
      <c r="G81" s="716" t="n"/>
      <c r="H81" s="716" t="n"/>
      <c r="I81" s="716" t="n"/>
      <c r="J81" s="716" t="n"/>
      <c r="K81" s="716" t="n"/>
      <c r="L81" s="716" t="n"/>
      <c r="M81" s="716" t="n"/>
      <c r="N81" s="716" t="n"/>
      <c r="O81" s="716" t="n"/>
      <c r="P81" s="716" t="n"/>
      <c r="Q81" s="716" t="n"/>
      <c r="R81" s="716">
        <f>IF(_epmOfflineCondition_,"Y",EPMMemberProperty(,U81,"SCALING"))</f>
        <v/>
      </c>
      <c r="S81" s="462">
        <f>IF(_epmOfflineCondition_,"五、净利润（净亏损以“-”号填列）",EPMMemberDesc(U81))</f>
        <v/>
      </c>
      <c r="T81" s="716" t="n"/>
      <c r="U81" s="716" t="inlineStr">
        <is>
          <t>A00205</t>
        </is>
      </c>
      <c r="V81" s="459">
        <f>IF(_epmOfflineCondition_,"A00205",EPMOlapMemberO(U81,"[C_ACCOUNT].[PARENTH1].[A00205]","A00205 - 五、净利润（净亏损以“-""号填列）","","000"))</f>
        <v/>
      </c>
      <c r="W81" s="462" t="n"/>
      <c r="X81" s="454" t="inlineStr">
        <is>
          <t>五、净利润（净亏损以“-”号填列）</t>
        </is>
      </c>
      <c r="Y81" s="1185">
        <f>ROW()-45</f>
        <v/>
      </c>
      <c r="Z81" s="1212">
        <f>IF($I$8="01",AD81,AD81-AA81)</f>
        <v/>
      </c>
      <c r="AA81" s="1190" t="inlineStr"/>
      <c r="AB81" s="1190" t="inlineStr"/>
      <c r="AC81" s="1189" t="n"/>
      <c r="AD81" s="1190" t="inlineStr"/>
      <c r="AE81" s="1189" t="inlineStr"/>
      <c r="AF81" s="716" t="n"/>
      <c r="AG81" s="716" t="n"/>
      <c r="AH81" s="716" t="n"/>
      <c r="AI81" s="716" t="n"/>
      <c r="AJ81" s="716" t="n"/>
      <c r="AK81" s="716" t="n"/>
      <c r="AL81" s="716" t="n"/>
      <c r="AM81" s="716" t="n"/>
      <c r="AN81" s="716" t="n"/>
      <c r="AO81" s="716" t="n"/>
      <c r="AP81" s="716" t="n"/>
      <c r="AQ81" s="716" t="n"/>
    </row>
    <row r="82" ht="16.35" customFormat="1" customHeight="1" s="716">
      <c r="A82" s="716" t="n"/>
      <c r="B82" s="716" t="n"/>
      <c r="C82" s="716" t="n"/>
      <c r="D82" s="716" t="n"/>
      <c r="E82" s="716" t="n"/>
      <c r="F82" s="716" t="n"/>
      <c r="G82" s="716" t="n"/>
      <c r="H82" s="716" t="n"/>
      <c r="I82" s="716" t="n"/>
      <c r="J82" s="716" t="n"/>
      <c r="K82" s="716" t="n"/>
      <c r="L82" s="716" t="n"/>
      <c r="M82" s="716" t="n"/>
      <c r="N82" s="716" t="n"/>
      <c r="O82" s="716" t="n"/>
      <c r="P82" s="716" t="n"/>
      <c r="Q82" s="716" t="n"/>
      <c r="R82" s="716">
        <f>IF(_epmOfflineCondition_,"Y",EPMMemberProperty(,U82,"SCALING"))</f>
        <v/>
      </c>
      <c r="S82" s="462">
        <f>IF(_epmOfflineCondition_,"　　归属于母公司所有者的净利润",EPMMemberDesc(U82))</f>
        <v/>
      </c>
      <c r="T82" s="716" t="n"/>
      <c r="U82" s="636" t="inlineStr">
        <is>
          <t>A0020504</t>
        </is>
      </c>
      <c r="V82" s="535">
        <f>IF(_epmOfflineCondition_,"A0020504",EPMOlapMemberO(U82,"[C_ACCOUNT].[PARENTH1].[A0020504]","A0020504 - 　　归属于母公司所有者的净利润","","000"))</f>
        <v/>
      </c>
      <c r="W82" s="462" t="n"/>
      <c r="X82" s="585" t="inlineStr">
        <is>
          <t xml:space="preserve">       归属于母公司所有者的净利润</t>
        </is>
      </c>
      <c r="Y82" s="1185">
        <f>ROW()-45</f>
        <v/>
      </c>
      <c r="Z82" s="1212">
        <f>IF($I$8="01",AD82,AD82-AA82)</f>
        <v/>
      </c>
      <c r="AA82" s="1190" t="inlineStr"/>
      <c r="AB82" s="1190" t="inlineStr"/>
      <c r="AC82" s="1189" t="n"/>
      <c r="AD82" s="1190" t="inlineStr"/>
      <c r="AE82" s="1189" t="inlineStr"/>
      <c r="AF82" s="716" t="n"/>
      <c r="AG82" s="716" t="n"/>
      <c r="AH82" s="716" t="n"/>
      <c r="AI82" s="716" t="n"/>
      <c r="AJ82" s="716" t="n"/>
      <c r="AK82" s="716" t="n"/>
      <c r="AL82" s="716" t="n"/>
      <c r="AM82" s="716" t="n"/>
      <c r="AN82" s="716" t="n"/>
      <c r="AO82" s="716" t="n"/>
      <c r="AP82" s="716" t="n"/>
      <c r="AQ82" s="716" t="n"/>
    </row>
    <row r="83" ht="16.35" customFormat="1" customHeight="1" s="716">
      <c r="A83" s="716" t="n"/>
      <c r="B83" s="716" t="n"/>
      <c r="C83" s="716" t="n"/>
      <c r="D83" s="716" t="n"/>
      <c r="E83" s="716" t="n"/>
      <c r="F83" s="716" t="n"/>
      <c r="G83" s="716" t="n"/>
      <c r="H83" s="716" t="n"/>
      <c r="I83" s="716" t="n"/>
      <c r="J83" s="716" t="n"/>
      <c r="K83" s="716" t="n"/>
      <c r="L83" s="716" t="n"/>
      <c r="M83" s="716" t="n"/>
      <c r="N83" s="716" t="n"/>
      <c r="O83" s="716" t="n"/>
      <c r="P83" s="716" t="n"/>
      <c r="Q83" s="716" t="n"/>
      <c r="R83" s="716">
        <f>IF(_epmOfflineCondition_,"Y",EPMMemberProperty(,U83,"SCALING"))</f>
        <v/>
      </c>
      <c r="S83" s="462">
        <f>IF(_epmOfflineCondition_,"　　少数股东损益",EPMMemberDesc(U83))</f>
        <v/>
      </c>
      <c r="T83" s="716" t="n"/>
      <c r="U83" s="716" t="inlineStr">
        <is>
          <t>A0020503</t>
        </is>
      </c>
      <c r="V83" s="635">
        <f>IF(_epmOfflineCondition_,"A0020503",EPMOlapMemberO(U83,"[C_ACCOUNT].[PARENTH1].[A0020503]","A0020503 - 　　少数股东损益","","000"))</f>
        <v/>
      </c>
      <c r="W83" s="462" t="n"/>
      <c r="X83" s="585" t="inlineStr">
        <is>
          <t xml:space="preserve">       少数股东损益</t>
        </is>
      </c>
      <c r="Y83" s="1185">
        <f>ROW()-45</f>
        <v/>
      </c>
      <c r="Z83" s="1212">
        <f>IF($I$8="01",AD83,AD83-AA83)</f>
        <v/>
      </c>
      <c r="AA83" s="1190" t="n"/>
      <c r="AB83" s="1190" t="n"/>
      <c r="AC83" s="1189" t="n"/>
      <c r="AD83" s="1190" t="n"/>
      <c r="AE83" s="1189" t="n"/>
      <c r="AF83" s="716" t="n"/>
      <c r="AG83" s="716" t="n"/>
      <c r="AH83" s="716" t="n"/>
      <c r="AI83" s="716" t="n"/>
      <c r="AJ83" s="716" t="n"/>
      <c r="AK83" s="716" t="n"/>
      <c r="AL83" s="716" t="n"/>
      <c r="AM83" s="716" t="n"/>
      <c r="AN83" s="716" t="n"/>
      <c r="AO83" s="716" t="n"/>
      <c r="AP83" s="716" t="n"/>
      <c r="AQ83" s="716" t="n"/>
    </row>
    <row r="84" ht="16.35" customFormat="1" customHeight="1" s="716">
      <c r="A84" s="716" t="n"/>
      <c r="B84" s="716" t="n"/>
      <c r="C84" s="716" t="n"/>
      <c r="D84" s="716" t="n"/>
      <c r="E84" s="716" t="n"/>
      <c r="F84" s="716" t="n"/>
      <c r="G84" s="716" t="n"/>
      <c r="H84" s="716" t="n"/>
      <c r="I84" s="716" t="n"/>
      <c r="J84" s="716" t="n"/>
      <c r="K84" s="716" t="n"/>
      <c r="L84" s="716" t="n"/>
      <c r="M84" s="716" t="n"/>
      <c r="N84" s="716" t="n"/>
      <c r="O84" s="716" t="n"/>
      <c r="P84" s="716" t="n"/>
      <c r="Q84" s="716" t="n"/>
      <c r="R84" s="716">
        <f>IF(_epmOfflineCondition_,"Y",EPMMemberProperty(,U84,"SCALING"))</f>
        <v/>
      </c>
      <c r="S84" s="462">
        <f>IF(_epmOfflineCondition_,"　　（一）持续经营净利润（净亏损以“－”号填列）",EPMMemberDesc(U84))</f>
        <v/>
      </c>
      <c r="T84" s="716" t="n"/>
      <c r="U84" s="716" t="inlineStr">
        <is>
          <t>A0020501</t>
        </is>
      </c>
      <c r="V84" s="462">
        <f>IF(_epmOfflineCondition_,"A0020501",EPMOlapMemberO(U84,"[C_ACCOUNT].[PARENTH2].[A0020501]","A0020501 - 　　（一）持续经营净利润（净亏损以“－""号填列）","","000"))</f>
        <v/>
      </c>
      <c r="W84" s="462" t="n"/>
      <c r="X84" s="475" t="inlineStr">
        <is>
          <t>（一）持续经营净利润（净亏损以“-”号填列）</t>
        </is>
      </c>
      <c r="Y84" s="1185">
        <f>ROW()-45</f>
        <v/>
      </c>
      <c r="Z84" s="1212">
        <f>IF($I$8="01",AD84,AD84-AA84)</f>
        <v/>
      </c>
      <c r="AA84" s="1190" t="inlineStr"/>
      <c r="AB84" s="1190" t="inlineStr"/>
      <c r="AC84" s="1189" t="n"/>
      <c r="AD84" s="1190" t="inlineStr"/>
      <c r="AE84" s="1189" t="inlineStr"/>
      <c r="AF84" s="716" t="n"/>
      <c r="AG84" s="716" t="n"/>
      <c r="AH84" s="716" t="n"/>
      <c r="AI84" s="716" t="n"/>
      <c r="AJ84" s="716" t="n"/>
      <c r="AK84" s="716" t="n"/>
      <c r="AL84" s="716" t="n"/>
      <c r="AM84" s="716" t="n"/>
      <c r="AN84" s="716" t="n"/>
      <c r="AO84" s="716" t="n"/>
      <c r="AP84" s="716" t="n"/>
      <c r="AQ84" s="716" t="n"/>
    </row>
    <row r="85" ht="16.35" customFormat="1" customHeight="1" s="716">
      <c r="A85" s="716" t="n"/>
      <c r="B85" s="716" t="n"/>
      <c r="C85" s="716" t="n"/>
      <c r="D85" s="716" t="n"/>
      <c r="E85" s="716" t="n"/>
      <c r="F85" s="716" t="n"/>
      <c r="G85" s="716" t="n"/>
      <c r="H85" s="716" t="n"/>
      <c r="I85" s="716" t="n"/>
      <c r="J85" s="716" t="n"/>
      <c r="K85" s="716" t="n"/>
      <c r="L85" s="716" t="n"/>
      <c r="M85" s="716" t="n"/>
      <c r="N85" s="716" t="n"/>
      <c r="O85" s="716" t="n"/>
      <c r="P85" s="716" t="n"/>
      <c r="Q85" s="716" t="n"/>
      <c r="R85" s="716">
        <f>IF(_epmOfflineCondition_,"Y",EPMMemberProperty(,U85,"SCALING"))</f>
        <v/>
      </c>
      <c r="S85" s="462">
        <f>IF(_epmOfflineCondition_,"　　（二）终止经营净利润（净亏损以“－”号填列）",EPMMemberDesc(U85))</f>
        <v/>
      </c>
      <c r="T85" s="716" t="n"/>
      <c r="U85" s="716" t="inlineStr">
        <is>
          <t>A0020502</t>
        </is>
      </c>
      <c r="V85" s="535">
        <f>IF(_epmOfflineCondition_,"A0020502",EPMOlapMemberO(U85,"[C_ACCOUNT].[PARENTH1].[A0020502]","A0020502 - 　　（二）终止经营净利润（净亏损以“－""号填列）","","000"))</f>
        <v/>
      </c>
      <c r="W85" s="462" t="n"/>
      <c r="X85" s="475" t="inlineStr">
        <is>
          <t>（二）终止经营净利润（净亏损以“-”号填列）</t>
        </is>
      </c>
      <c r="Y85" s="1185">
        <f>ROW()-45</f>
        <v/>
      </c>
      <c r="Z85" s="1212">
        <f>IF($I$8="01",AD85,AD85-AA85)</f>
        <v/>
      </c>
      <c r="AA85" s="1190" t="n"/>
      <c r="AB85" s="1190" t="n"/>
      <c r="AC85" s="1189" t="n"/>
      <c r="AD85" s="1190" t="n"/>
      <c r="AE85" s="1189" t="n"/>
      <c r="AF85" s="716" t="n"/>
      <c r="AG85" s="716" t="n"/>
      <c r="AH85" s="716" t="n"/>
      <c r="AI85" s="716" t="n"/>
      <c r="AJ85" s="716" t="n"/>
      <c r="AK85" s="716" t="n"/>
      <c r="AL85" s="716" t="n"/>
      <c r="AM85" s="716" t="n"/>
      <c r="AN85" s="716" t="n"/>
      <c r="AO85" s="716" t="n"/>
      <c r="AP85" s="716" t="n"/>
      <c r="AQ85" s="716" t="n"/>
    </row>
    <row r="86" ht="16.35" customFormat="1" customHeight="1" s="716">
      <c r="A86" s="716" t="n"/>
      <c r="B86" s="716" t="n"/>
      <c r="C86" s="716" t="n"/>
      <c r="D86" s="716" t="n"/>
      <c r="E86" s="716" t="n"/>
      <c r="F86" s="716" t="n"/>
      <c r="G86" s="716" t="n"/>
      <c r="H86" s="716" t="n"/>
      <c r="I86" s="716" t="n"/>
      <c r="J86" s="716" t="n"/>
      <c r="K86" s="716" t="n"/>
      <c r="L86" s="716" t="n"/>
      <c r="M86" s="716" t="n"/>
      <c r="N86" s="716" t="n"/>
      <c r="O86" s="716" t="n"/>
      <c r="P86" s="716" t="n"/>
      <c r="Q86" s="716" t="n"/>
      <c r="R86" s="716">
        <f>IF(_epmOfflineCondition_,"",EPMMemberProperty(,U86,"SCALING"))</f>
        <v/>
      </c>
      <c r="S86" s="462">
        <f>IF(_epmOfflineCondition_,"",EPMMemberDesc(U86))</f>
        <v/>
      </c>
      <c r="T86" s="716" t="n"/>
      <c r="U86" s="716" t="n"/>
      <c r="V86" s="455">
        <f>IF(_epmOfflineCondition_,"",EPMOlapMemberO(U86,"[C_ACCOUNT].[PARENTH3].[A00206]","A00206 - 六、其他综合收益的税后净额","","000"))</f>
        <v/>
      </c>
      <c r="W86" s="462" t="n"/>
      <c r="X86" s="463" t="inlineStr">
        <is>
          <t>六、其他综合收益的税后净额</t>
        </is>
      </c>
      <c r="Y86" s="1185">
        <f>ROW()-45</f>
        <v/>
      </c>
      <c r="Z86" s="1212">
        <f>IF($I$8="01",AD86,AD86-AA86)</f>
        <v/>
      </c>
      <c r="AA86" s="1190">
        <f>AA87+AA104</f>
        <v/>
      </c>
      <c r="AB86" s="1190">
        <f>AB87+AB104</f>
        <v/>
      </c>
      <c r="AC86" s="1189">
        <f>AC87+AC104</f>
        <v/>
      </c>
      <c r="AD86" s="1189">
        <f>AD87+AD104</f>
        <v/>
      </c>
      <c r="AE86" s="1189">
        <f>AE87+AE104</f>
        <v/>
      </c>
      <c r="AF86" s="716" t="n"/>
      <c r="AG86" s="716" t="n"/>
      <c r="AH86" s="716" t="n"/>
      <c r="AI86" s="716" t="n"/>
      <c r="AJ86" s="716" t="n"/>
      <c r="AK86" s="716" t="n"/>
      <c r="AL86" s="716" t="n"/>
      <c r="AM86" s="716" t="n"/>
      <c r="AN86" s="716" t="n"/>
      <c r="AO86" s="716" t="n"/>
      <c r="AP86" s="716" t="n"/>
      <c r="AQ86" s="716" t="n"/>
    </row>
    <row r="87" ht="16.35" customFormat="1" customHeight="1" s="716">
      <c r="A87" s="716" t="n"/>
      <c r="B87" s="716" t="n"/>
      <c r="C87" s="716" t="n"/>
      <c r="D87" s="716" t="n"/>
      <c r="E87" s="716" t="n"/>
      <c r="F87" s="716" t="n"/>
      <c r="G87" s="716" t="n"/>
      <c r="H87" s="716" t="n"/>
      <c r="I87" s="716" t="n"/>
      <c r="J87" s="716" t="n"/>
      <c r="K87" s="716" t="n"/>
      <c r="L87" s="716" t="n"/>
      <c r="M87" s="716" t="n"/>
      <c r="N87" s="716" t="n"/>
      <c r="O87" s="716" t="n"/>
      <c r="P87" s="716" t="n"/>
      <c r="Q87" s="716" t="n"/>
      <c r="R87" s="716">
        <f>IF(_epmOfflineCondition_,"Y",EPMMemberProperty(,U87,"SCALING"))</f>
        <v/>
      </c>
      <c r="S87" s="462">
        <f>IF(_epmOfflineCondition_,"  其他综合收益",EPMMemberDesc(U87))</f>
        <v/>
      </c>
      <c r="T87" s="716" t="n"/>
      <c r="U87" s="716" t="inlineStr">
        <is>
          <t>A0010305</t>
        </is>
      </c>
      <c r="V87" s="635">
        <f>IF(_epmOfflineCondition_,"A0010305",EPMOlapMemberO(U87,"[C_ACCOUNT].[PARENTH1].[A0010305]","A0010305 -   其他综合收益","","000"))</f>
        <v/>
      </c>
      <c r="W87" s="462" t="n"/>
      <c r="X87" s="1017" t="inlineStr">
        <is>
          <t>归属于母公司所有者的其他综合收益的税后净额</t>
        </is>
      </c>
      <c r="Y87" s="1185">
        <f>ROW()-45</f>
        <v/>
      </c>
      <c r="Z87" s="1212">
        <f>IF($I$8="01",AD87,AD87-AA87)</f>
        <v/>
      </c>
      <c r="AA87" s="1190">
        <f>SUM(AA88,AA94)</f>
        <v/>
      </c>
      <c r="AB87" s="1190">
        <f>SUM(AB88,AB94)</f>
        <v/>
      </c>
      <c r="AC87" s="1189">
        <f>SUM(AC88,AC94)</f>
        <v/>
      </c>
      <c r="AD87" s="1189">
        <f>SUM(AD88,AD94)</f>
        <v/>
      </c>
      <c r="AE87" s="1189">
        <f>SUM(AE88,AE94)</f>
        <v/>
      </c>
      <c r="AF87" s="716" t="n"/>
      <c r="AG87" s="716" t="n"/>
      <c r="AH87" s="716" t="n"/>
      <c r="AI87" s="716" t="n"/>
      <c r="AJ87" s="716" t="n"/>
      <c r="AK87" s="716" t="n"/>
      <c r="AL87" s="716" t="n"/>
      <c r="AM87" s="716" t="n"/>
      <c r="AN87" s="716" t="n"/>
      <c r="AO87" s="716" t="n"/>
      <c r="AP87" s="716" t="n"/>
      <c r="AQ87" s="716" t="n"/>
    </row>
    <row r="88" ht="16.35" customFormat="1" customHeight="1" s="716">
      <c r="A88" s="716" t="n"/>
      <c r="B88" s="716" t="n"/>
      <c r="C88" s="716" t="n"/>
      <c r="D88" s="716" t="n"/>
      <c r="E88" s="716" t="n"/>
      <c r="F88" s="716" t="n"/>
      <c r="G88" s="716" t="n"/>
      <c r="H88" s="716" t="n"/>
      <c r="I88" s="716" t="n"/>
      <c r="J88" s="716" t="n"/>
      <c r="K88" s="716" t="n"/>
      <c r="L88" s="716" t="n"/>
      <c r="M88" s="716" t="n"/>
      <c r="N88" s="716" t="n"/>
      <c r="O88" s="716" t="n"/>
      <c r="P88" s="716" t="n"/>
      <c r="Q88" s="716" t="n"/>
      <c r="R88" s="716">
        <f>IF(_epmOfflineCondition_,"Y",EPMMemberProperty(,U88,"SCALING"))</f>
        <v/>
      </c>
      <c r="S88" s="462">
        <f>IF(_epmOfflineCondition_,"（一）不能重分类进损益的其他综合收益",EPMMemberDesc(U88))</f>
        <v/>
      </c>
      <c r="T88" s="716" t="n"/>
      <c r="U88" s="462" t="inlineStr">
        <is>
          <t>A400401</t>
        </is>
      </c>
      <c r="V88" s="637">
        <f>IF(_epmOfflineCondition_,"A400401",EPMOlapMemberO(U88,"[C_ACCOUNT].[PARENTH1].[A400401]","A400401 - （一）不能重分类进损益的其他综合收益","","000"))</f>
        <v/>
      </c>
      <c r="W88" s="462" t="n"/>
      <c r="X88" s="475" t="inlineStr">
        <is>
          <t>（一）不能重分类进损益的其他综合收益</t>
        </is>
      </c>
      <c r="Y88" s="1185">
        <f>ROW()-45</f>
        <v/>
      </c>
      <c r="Z88" s="1212">
        <f>IF($I$8="01",AD88,AD88-AA88)</f>
        <v/>
      </c>
      <c r="AA88" s="1190">
        <f>SUM(AA89:AA93)</f>
        <v/>
      </c>
      <c r="AB88" s="1190">
        <f>SUM(AB89:AB93)</f>
        <v/>
      </c>
      <c r="AC88" s="1189">
        <f>SUM(AC89:AC93)</f>
        <v/>
      </c>
      <c r="AD88" s="1189">
        <f>SUM(AD89:AD93)</f>
        <v/>
      </c>
      <c r="AE88" s="1189">
        <f>SUM(AE89:AE93)</f>
        <v/>
      </c>
      <c r="AF88" s="716" t="n"/>
      <c r="AG88" s="716" t="n"/>
      <c r="AH88" s="716" t="n"/>
      <c r="AI88" s="716" t="n"/>
      <c r="AJ88" s="716" t="n"/>
      <c r="AK88" s="716" t="n"/>
      <c r="AL88" s="716" t="n"/>
      <c r="AM88" s="716" t="n"/>
      <c r="AN88" s="716" t="n"/>
      <c r="AO88" s="716" t="n"/>
      <c r="AP88" s="716" t="n"/>
      <c r="AQ88" s="716" t="n"/>
    </row>
    <row r="89" ht="16.35" customFormat="1" customHeight="1" s="716">
      <c r="A89" s="716" t="n"/>
      <c r="B89" s="716" t="n"/>
      <c r="C89" s="716" t="n"/>
      <c r="D89" s="716" t="n"/>
      <c r="E89" s="716" t="n"/>
      <c r="F89" s="716" t="n"/>
      <c r="G89" s="716" t="n"/>
      <c r="H89" s="716" t="n"/>
      <c r="I89" s="716" t="n"/>
      <c r="J89" s="716" t="n"/>
      <c r="K89" s="716" t="n"/>
      <c r="L89" s="716" t="n"/>
      <c r="M89" s="716" t="n"/>
      <c r="N89" s="716" t="n"/>
      <c r="O89" s="716" t="n"/>
      <c r="P89" s="716" t="n"/>
      <c r="Q89" s="716" t="n"/>
      <c r="R89" s="716">
        <f>IF(_epmOfflineCondition_,"Y",EPMMemberProperty(,U89,"SCALING"))</f>
        <v/>
      </c>
      <c r="S89" s="462">
        <f>IF(_epmOfflineCondition_,"    其中：1.重新计量设定受益计划变动额",EPMMemberDesc(U89))</f>
        <v/>
      </c>
      <c r="T89" s="716" t="n"/>
      <c r="U89" s="462" t="inlineStr">
        <is>
          <t>A4004010100</t>
        </is>
      </c>
      <c r="V89" s="1018">
        <f>IF(_epmOfflineCondition_,"A4004010100",EPMOlapMemberO(U89,"[C_ACCOUNT].[PARENTH1].[A4004010100]","A4004010100 -     其中：1.重新计量设定受益计划变动额","","000"))</f>
        <v/>
      </c>
      <c r="W89" s="462" t="n"/>
      <c r="X89" s="585" t="inlineStr">
        <is>
          <t xml:space="preserve">                 1.重新计量设定受益计划变动额</t>
        </is>
      </c>
      <c r="Y89" s="1185">
        <f>ROW()-45</f>
        <v/>
      </c>
      <c r="Z89" s="1212">
        <f>IF($I$8="01",AD89,AD89-AA89)</f>
        <v/>
      </c>
      <c r="AA89" s="1190" t="n"/>
      <c r="AB89" s="1190" t="n"/>
      <c r="AC89" s="1189" t="n"/>
      <c r="AD89" s="1190" t="n"/>
      <c r="AE89" s="1189" t="n"/>
      <c r="AF89" s="716" t="n"/>
      <c r="AG89" s="716" t="n"/>
      <c r="AH89" s="716" t="n"/>
      <c r="AI89" s="716" t="n"/>
      <c r="AJ89" s="716" t="n"/>
      <c r="AK89" s="716" t="n"/>
      <c r="AL89" s="716" t="n"/>
      <c r="AM89" s="716" t="n"/>
      <c r="AN89" s="716" t="n"/>
      <c r="AO89" s="716" t="n"/>
      <c r="AP89" s="716" t="n"/>
      <c r="AQ89" s="716" t="n"/>
    </row>
    <row r="90" ht="16.35" customFormat="1" customHeight="1" s="716">
      <c r="A90" s="716" t="n"/>
      <c r="B90" s="716" t="n"/>
      <c r="C90" s="716" t="n"/>
      <c r="D90" s="716" t="n"/>
      <c r="E90" s="716" t="n"/>
      <c r="F90" s="716" t="n"/>
      <c r="G90" s="716" t="n"/>
      <c r="H90" s="716" t="n"/>
      <c r="I90" s="716" t="n"/>
      <c r="J90" s="716" t="n"/>
      <c r="K90" s="716" t="n"/>
      <c r="L90" s="716" t="n"/>
      <c r="M90" s="716" t="n"/>
      <c r="N90" s="716" t="n"/>
      <c r="O90" s="716" t="n"/>
      <c r="P90" s="716" t="n"/>
      <c r="Q90" s="716" t="n"/>
      <c r="R90" s="716">
        <f>IF(_epmOfflineCondition_,"Y",EPMMemberProperty(,U90,"SCALING"))</f>
        <v/>
      </c>
      <c r="S90" s="462">
        <f>IF(_epmOfflineCondition_,"            2.权益法下不能转损益的其他综合收益",EPMMemberDesc(U90))</f>
        <v/>
      </c>
      <c r="T90" s="716" t="n"/>
      <c r="U90" s="462" t="inlineStr">
        <is>
          <t>A4004010400</t>
        </is>
      </c>
      <c r="V90" s="1018">
        <f>IF(_epmOfflineCondition_,"A4004010400",EPMOlapMemberO(U90,"[C_ACCOUNT].[PARENTH1].[A4004010400]","A4004010400 -             2.权益法下不能转损益的其他综合收益","","000"))</f>
        <v/>
      </c>
      <c r="W90" s="462" t="n"/>
      <c r="X90" s="585" t="inlineStr">
        <is>
          <t xml:space="preserve">                 2.权益法下不能转损益的其他综合收益</t>
        </is>
      </c>
      <c r="Y90" s="1185">
        <f>ROW()-45</f>
        <v/>
      </c>
      <c r="Z90" s="1212">
        <f>IF($I$8="01",AD90,AD90-AA90)</f>
        <v/>
      </c>
      <c r="AA90" s="1190" t="n"/>
      <c r="AB90" s="1190" t="n"/>
      <c r="AC90" s="1189" t="n"/>
      <c r="AD90" s="1190" t="n"/>
      <c r="AE90" s="1189" t="n"/>
      <c r="AF90" s="716" t="n"/>
      <c r="AG90" s="716" t="n"/>
      <c r="AH90" s="716" t="n"/>
      <c r="AI90" s="716" t="n"/>
      <c r="AJ90" s="716" t="n"/>
      <c r="AK90" s="716" t="n"/>
      <c r="AL90" s="716" t="n"/>
      <c r="AM90" s="716" t="n"/>
      <c r="AN90" s="716" t="n"/>
      <c r="AO90" s="716" t="n"/>
      <c r="AP90" s="716" t="n"/>
      <c r="AQ90" s="716" t="n"/>
    </row>
    <row r="91" ht="16.35" customFormat="1" customHeight="1" s="716">
      <c r="A91" s="716" t="n"/>
      <c r="B91" s="716" t="n"/>
      <c r="C91" s="716" t="n"/>
      <c r="D91" s="716" t="n"/>
      <c r="E91" s="716" t="n"/>
      <c r="F91" s="716" t="n"/>
      <c r="G91" s="716" t="n"/>
      <c r="H91" s="716" t="n"/>
      <c r="I91" s="716" t="n"/>
      <c r="J91" s="716" t="n"/>
      <c r="K91" s="716" t="n"/>
      <c r="L91" s="716" t="n"/>
      <c r="M91" s="716" t="n"/>
      <c r="N91" s="716" t="n"/>
      <c r="O91" s="716" t="n"/>
      <c r="P91" s="716" t="n"/>
      <c r="Q91" s="716" t="n"/>
      <c r="R91" s="716">
        <f>IF(_epmOfflineCondition_,"Y",EPMMemberProperty(,U91,"SCALING"))</f>
        <v/>
      </c>
      <c r="S91" s="462">
        <f>IF(_epmOfflineCondition_,"            3.其他权益工具投资公允价值变动",EPMMemberDesc(U91))</f>
        <v/>
      </c>
      <c r="T91" s="716" t="n"/>
      <c r="U91" s="462" t="inlineStr">
        <is>
          <t>A4004010200</t>
        </is>
      </c>
      <c r="V91" s="1018">
        <f>IF(_epmOfflineCondition_,"A4004010200",EPMOlapMemberO(U91,"[C_ACCOUNT].[PARENTH1].[A4004010200]","A4004010200 -             3.其他权益工具投资公允价值变动","","000"))</f>
        <v/>
      </c>
      <c r="W91" s="462" t="n"/>
      <c r="X91" s="585" t="inlineStr">
        <is>
          <t xml:space="preserve">                 3.其他权益工具投资公允价值变动</t>
        </is>
      </c>
      <c r="Y91" s="1185">
        <f>ROW()-45</f>
        <v/>
      </c>
      <c r="Z91" s="1212">
        <f>IF($I$8="01",AD91,AD91-AA91)</f>
        <v/>
      </c>
      <c r="AA91" s="1190" t="n"/>
      <c r="AB91" s="1190" t="n"/>
      <c r="AC91" s="1189" t="n"/>
      <c r="AD91" s="1190" t="n"/>
      <c r="AE91" s="1189" t="n"/>
      <c r="AF91" s="716" t="n"/>
      <c r="AG91" s="716" t="n"/>
      <c r="AH91" s="716" t="n"/>
      <c r="AI91" s="716" t="n"/>
      <c r="AJ91" s="716" t="n"/>
      <c r="AK91" s="716" t="n"/>
      <c r="AL91" s="716" t="n"/>
      <c r="AM91" s="716" t="n"/>
      <c r="AN91" s="716" t="n"/>
      <c r="AO91" s="716" t="n"/>
      <c r="AP91" s="716" t="n"/>
      <c r="AQ91" s="716" t="n"/>
    </row>
    <row r="92" ht="16.35" customFormat="1" customHeight="1" s="716">
      <c r="A92" s="716" t="n"/>
      <c r="B92" s="716" t="n"/>
      <c r="C92" s="716" t="n"/>
      <c r="D92" s="716" t="n"/>
      <c r="E92" s="716" t="n"/>
      <c r="F92" s="716" t="n"/>
      <c r="G92" s="716" t="n"/>
      <c r="H92" s="716" t="n"/>
      <c r="I92" s="716" t="n"/>
      <c r="J92" s="716" t="n"/>
      <c r="K92" s="716" t="n"/>
      <c r="L92" s="716" t="n"/>
      <c r="M92" s="716" t="n"/>
      <c r="N92" s="716" t="n"/>
      <c r="O92" s="716" t="n"/>
      <c r="P92" s="716" t="n"/>
      <c r="Q92" s="716" t="n"/>
      <c r="R92" s="716">
        <f>IF(_epmOfflineCondition_,"Y",EPMMemberProperty(,U92,"SCALING"))</f>
        <v/>
      </c>
      <c r="S92" s="462">
        <f>IF(_epmOfflineCondition_,"            4.企业自身信用风险公允价值变动",EPMMemberDesc(U92))</f>
        <v/>
      </c>
      <c r="T92" s="716" t="n"/>
      <c r="U92" s="462" t="inlineStr">
        <is>
          <t>A4004010300</t>
        </is>
      </c>
      <c r="V92" s="1018">
        <f>IF(_epmOfflineCondition_,"A4004010300",EPMOlapMemberO(U92,"[C_ACCOUNT].[PARENTH1].[A4004010300]","A4004010300 -             4.企业自身信用风险公允价值变动","","000"))</f>
        <v/>
      </c>
      <c r="W92" s="462" t="n"/>
      <c r="X92" s="585" t="inlineStr">
        <is>
          <t xml:space="preserve">                 4.企业自身信用风险公允价值变动</t>
        </is>
      </c>
      <c r="Y92" s="1185">
        <f>ROW()-45</f>
        <v/>
      </c>
      <c r="Z92" s="1212">
        <f>IF($I$8="01",AD92,AD92-AA92)</f>
        <v/>
      </c>
      <c r="AA92" s="1190" t="n"/>
      <c r="AB92" s="1190" t="n"/>
      <c r="AC92" s="1189" t="n"/>
      <c r="AD92" s="1190" t="n"/>
      <c r="AE92" s="1189" t="n"/>
      <c r="AF92" s="716" t="n"/>
      <c r="AG92" s="716" t="n"/>
      <c r="AH92" s="716" t="n"/>
      <c r="AI92" s="716" t="n"/>
      <c r="AJ92" s="716" t="n"/>
      <c r="AK92" s="716" t="n"/>
      <c r="AL92" s="716" t="n"/>
      <c r="AM92" s="716" t="n"/>
      <c r="AN92" s="716" t="n"/>
      <c r="AO92" s="716" t="n"/>
      <c r="AP92" s="716" t="n"/>
      <c r="AQ92" s="716" t="n"/>
    </row>
    <row r="93" ht="16.35" customFormat="1" customHeight="1" s="716">
      <c r="A93" s="716" t="n"/>
      <c r="B93" s="716" t="n"/>
      <c r="C93" s="716" t="n"/>
      <c r="D93" s="716" t="n"/>
      <c r="E93" s="716" t="n"/>
      <c r="F93" s="716" t="n"/>
      <c r="G93" s="716" t="n"/>
      <c r="H93" s="716" t="n"/>
      <c r="I93" s="716" t="n"/>
      <c r="J93" s="716" t="n"/>
      <c r="K93" s="716" t="n"/>
      <c r="L93" s="716" t="n"/>
      <c r="M93" s="716" t="n"/>
      <c r="N93" s="716" t="n"/>
      <c r="O93" s="716" t="n"/>
      <c r="P93" s="716" t="n"/>
      <c r="Q93" s="716" t="n"/>
      <c r="R93" s="716">
        <f>IF(_epmOfflineCondition_,"Y",EPMMemberProperty(,U93,"SCALING"))</f>
        <v/>
      </c>
      <c r="S93" s="462">
        <f>IF(_epmOfflineCondition_,"            5.其他",EPMMemberDesc(U93))</f>
        <v/>
      </c>
      <c r="T93" s="716" t="n"/>
      <c r="U93" s="462" t="inlineStr">
        <is>
          <t>A4004019900</t>
        </is>
      </c>
      <c r="V93" s="1018">
        <f>IF(_epmOfflineCondition_,"A4004019900",EPMOlapMemberO(U93,"[C_ACCOUNT].[PARENTH1].[A4004019900]","A4004019900 -             5.其他","","000"))</f>
        <v/>
      </c>
      <c r="W93" s="462" t="n"/>
      <c r="X93" s="585" t="inlineStr">
        <is>
          <t xml:space="preserve">                 5.其他</t>
        </is>
      </c>
      <c r="Y93" s="1185">
        <f>ROW()-45</f>
        <v/>
      </c>
      <c r="Z93" s="1212">
        <f>IF($I$8="01",AD93,AD93-AA93)</f>
        <v/>
      </c>
      <c r="AA93" s="1190" t="n"/>
      <c r="AB93" s="1190" t="n"/>
      <c r="AC93" s="1189" t="n"/>
      <c r="AD93" s="1190" t="n"/>
      <c r="AE93" s="1189" t="n"/>
      <c r="AF93" s="716" t="n"/>
      <c r="AG93" s="716" t="n"/>
      <c r="AH93" s="716" t="n"/>
      <c r="AI93" s="716" t="n"/>
      <c r="AJ93" s="716" t="n"/>
      <c r="AK93" s="716" t="n"/>
      <c r="AL93" s="716" t="n"/>
      <c r="AM93" s="716" t="n"/>
      <c r="AN93" s="716" t="n"/>
      <c r="AO93" s="716" t="n"/>
      <c r="AP93" s="716" t="n"/>
      <c r="AQ93" s="716" t="n"/>
    </row>
    <row r="94" ht="16.35" customFormat="1" customHeight="1" s="716">
      <c r="A94" s="716" t="n"/>
      <c r="B94" s="716" t="n"/>
      <c r="C94" s="716" t="n"/>
      <c r="D94" s="716" t="n"/>
      <c r="E94" s="716" t="n"/>
      <c r="F94" s="716" t="n"/>
      <c r="G94" s="716" t="n"/>
      <c r="H94" s="716" t="n"/>
      <c r="I94" s="716" t="n"/>
      <c r="J94" s="716" t="n"/>
      <c r="K94" s="716" t="n"/>
      <c r="L94" s="716" t="n"/>
      <c r="M94" s="716" t="n"/>
      <c r="N94" s="716" t="n"/>
      <c r="O94" s="716" t="n"/>
      <c r="P94" s="716" t="n"/>
      <c r="Q94" s="716" t="n"/>
      <c r="R94" s="716">
        <f>IF(_epmOfflineCondition_,"Y",EPMMemberProperty(,U94,"SCALING"))</f>
        <v/>
      </c>
      <c r="S94" s="462">
        <f>IF(_epmOfflineCondition_,"（二）将重分类进损益的其他综合收益",EPMMemberDesc(U94))</f>
        <v/>
      </c>
      <c r="T94" s="716" t="n"/>
      <c r="U94" s="462" t="inlineStr">
        <is>
          <t>A400402</t>
        </is>
      </c>
      <c r="V94" s="637">
        <f>IF(_epmOfflineCondition_,"A400402",EPMOlapMemberO(U94,"[C_ACCOUNT].[PARENTH1].[A400402]","A400402 - （二）将重分类进损益的其他综合收益","","000"))</f>
        <v/>
      </c>
      <c r="W94" s="462" t="n"/>
      <c r="X94" s="475" t="inlineStr">
        <is>
          <t>（二）将重分类进损益的其他综合收益</t>
        </is>
      </c>
      <c r="Y94" s="1185">
        <f>ROW()-45</f>
        <v/>
      </c>
      <c r="Z94" s="1212">
        <f>IF($I$8="01",AD94,AD94-AA94)</f>
        <v/>
      </c>
      <c r="AA94" s="1190">
        <f>SUM(AA95:AA103)</f>
        <v/>
      </c>
      <c r="AB94" s="1190">
        <f>SUM(AB95:AB103)</f>
        <v/>
      </c>
      <c r="AC94" s="1189">
        <f>SUM(AC95:AC103)</f>
        <v/>
      </c>
      <c r="AD94" s="1189">
        <f>SUM(AD95:AD103)</f>
        <v/>
      </c>
      <c r="AE94" s="1189">
        <f>SUM(AE95:AE103)</f>
        <v/>
      </c>
      <c r="AF94" s="716" t="n"/>
      <c r="AG94" s="716" t="n"/>
      <c r="AH94" s="716" t="n"/>
      <c r="AI94" s="716" t="n"/>
      <c r="AJ94" s="716" t="n"/>
      <c r="AK94" s="716" t="n"/>
      <c r="AL94" s="716" t="n"/>
      <c r="AM94" s="716" t="n"/>
      <c r="AN94" s="716" t="n"/>
      <c r="AO94" s="716" t="n"/>
      <c r="AP94" s="716" t="n"/>
      <c r="AQ94" s="716" t="n"/>
    </row>
    <row r="95" ht="16.35" customFormat="1" customHeight="1" s="716">
      <c r="A95" s="716" t="n"/>
      <c r="B95" s="716" t="n"/>
      <c r="C95" s="716" t="n"/>
      <c r="D95" s="716" t="n"/>
      <c r="E95" s="716" t="n"/>
      <c r="F95" s="716" t="n"/>
      <c r="G95" s="716" t="n"/>
      <c r="H95" s="716" t="n"/>
      <c r="I95" s="716" t="n"/>
      <c r="J95" s="716" t="n"/>
      <c r="K95" s="716" t="n"/>
      <c r="L95" s="716" t="n"/>
      <c r="M95" s="716" t="n"/>
      <c r="N95" s="716" t="n"/>
      <c r="O95" s="716" t="n"/>
      <c r="P95" s="716" t="n"/>
      <c r="Q95" s="716" t="n"/>
      <c r="R95" s="716">
        <f>IF(_epmOfflineCondition_,"Y",EPMMemberProperty(,U95,"SCALING"))</f>
        <v/>
      </c>
      <c r="S95" s="462">
        <f>IF(_epmOfflineCondition_,"    其中：1.权益法下可转换的其他综合收益",EPMMemberDesc(U95))</f>
        <v/>
      </c>
      <c r="T95" s="716" t="n"/>
      <c r="U95" s="462" t="inlineStr">
        <is>
          <t>A4004020500</t>
        </is>
      </c>
      <c r="V95" s="1018">
        <f>IF(_epmOfflineCondition_,"A4004020500",EPMOlapMemberO(U95,"[C_ACCOUNT].[PARENTH1].[A4004020500]","A4004020500 -     其中：1.权益法下可转换的其他综合收益","","000"))</f>
        <v/>
      </c>
      <c r="W95" s="462" t="n"/>
      <c r="X95" s="475" t="inlineStr">
        <is>
          <t xml:space="preserve">                 1.权益法下可转换的其他综合收益</t>
        </is>
      </c>
      <c r="Y95" s="1185">
        <f>ROW()-45</f>
        <v/>
      </c>
      <c r="Z95" s="1212">
        <f>IF($I$8="01",AD95,AD95-AA95)</f>
        <v/>
      </c>
      <c r="AA95" s="1190" t="n"/>
      <c r="AB95" s="1190" t="n"/>
      <c r="AC95" s="1189" t="n"/>
      <c r="AD95" s="1190" t="n"/>
      <c r="AE95" s="1189" t="n"/>
      <c r="AF95" s="716" t="n"/>
      <c r="AG95" s="716" t="n"/>
      <c r="AH95" s="716" t="n"/>
      <c r="AI95" s="716" t="n"/>
      <c r="AJ95" s="716" t="n"/>
      <c r="AK95" s="716" t="n"/>
      <c r="AL95" s="716" t="n"/>
      <c r="AM95" s="716" t="n"/>
      <c r="AN95" s="716" t="n"/>
      <c r="AO95" s="716" t="n"/>
      <c r="AP95" s="716" t="n"/>
      <c r="AQ95" s="716" t="n"/>
    </row>
    <row r="96" ht="16.35" customFormat="1" customHeight="1" s="716">
      <c r="A96" s="716" t="n"/>
      <c r="B96" s="716" t="n"/>
      <c r="C96" s="716" t="n"/>
      <c r="D96" s="716" t="n"/>
      <c r="E96" s="716" t="n"/>
      <c r="F96" s="716" t="n"/>
      <c r="G96" s="716" t="n"/>
      <c r="H96" s="716" t="n"/>
      <c r="I96" s="716" t="n"/>
      <c r="J96" s="716" t="n"/>
      <c r="K96" s="716" t="n"/>
      <c r="L96" s="716" t="n"/>
      <c r="M96" s="716" t="n"/>
      <c r="N96" s="716" t="n"/>
      <c r="O96" s="716" t="n"/>
      <c r="P96" s="716" t="n"/>
      <c r="Q96" s="716" t="n"/>
      <c r="R96" s="716">
        <f>IF(_epmOfflineCondition_,"Y",EPMMemberProperty(,U96,"SCALING"))</f>
        <v/>
      </c>
      <c r="S96" s="462">
        <f>IF(_epmOfflineCondition_,"            2.其他债权投资公允价值",EPMMemberDesc(U96))</f>
        <v/>
      </c>
      <c r="T96" s="716" t="n"/>
      <c r="U96" s="462" t="inlineStr">
        <is>
          <t>A4004020200</t>
        </is>
      </c>
      <c r="V96" s="1018">
        <f>IF(_epmOfflineCondition_,"A4004020200",EPMOlapMemberO(U96,"[C_ACCOUNT].[PARENTH1].[A4004020200]","A4004020200 -             2.其他债权投资公允价值","","000"))</f>
        <v/>
      </c>
      <c r="W96" s="462" t="n"/>
      <c r="X96" s="475" t="inlineStr">
        <is>
          <t xml:space="preserve">                 2.其他债权投资公允价值变动</t>
        </is>
      </c>
      <c r="Y96" s="1185">
        <f>ROW()-45</f>
        <v/>
      </c>
      <c r="Z96" s="1212">
        <f>IF($I$8="01",AD96,AD96-AA96)</f>
        <v/>
      </c>
      <c r="AA96" s="1190" t="n"/>
      <c r="AB96" s="1190" t="n"/>
      <c r="AC96" s="1189" t="n"/>
      <c r="AD96" s="1190" t="n"/>
      <c r="AE96" s="1189" t="n"/>
      <c r="AF96" s="716" t="n"/>
      <c r="AG96" s="716" t="n"/>
      <c r="AH96" s="716" t="n"/>
      <c r="AI96" s="716" t="n"/>
      <c r="AJ96" s="716" t="n"/>
      <c r="AK96" s="716" t="n"/>
      <c r="AL96" s="716" t="n"/>
      <c r="AM96" s="716" t="n"/>
      <c r="AN96" s="716" t="n"/>
      <c r="AO96" s="716" t="n"/>
      <c r="AP96" s="716" t="n"/>
      <c r="AQ96" s="716" t="n"/>
    </row>
    <row r="97" ht="16.35" customFormat="1" customHeight="1" s="716">
      <c r="A97" s="716" t="n"/>
      <c r="B97" s="716" t="n"/>
      <c r="C97" s="716" t="n"/>
      <c r="D97" s="716" t="n"/>
      <c r="E97" s="716" t="n"/>
      <c r="F97" s="716" t="n"/>
      <c r="G97" s="716" t="n"/>
      <c r="H97" s="716" t="n"/>
      <c r="I97" s="716" t="n"/>
      <c r="J97" s="716" t="n"/>
      <c r="K97" s="716" t="n"/>
      <c r="L97" s="716" t="n"/>
      <c r="M97" s="716" t="n"/>
      <c r="N97" s="716" t="n"/>
      <c r="O97" s="716" t="n"/>
      <c r="P97" s="716" t="n"/>
      <c r="Q97" s="716" t="n"/>
      <c r="R97" s="716" t="n"/>
      <c r="S97" s="462" t="n"/>
      <c r="T97" s="716" t="n"/>
      <c r="U97" s="462" t="n"/>
      <c r="V97" s="1018" t="n"/>
      <c r="W97" s="462" t="n"/>
      <c r="X97" s="475" t="inlineStr">
        <is>
          <t xml:space="preserve">                 3.可供出售金融资产公允价值变动损益</t>
        </is>
      </c>
      <c r="Y97" s="1185">
        <f>ROW()-45</f>
        <v/>
      </c>
      <c r="Z97" s="1212">
        <f>"——"</f>
        <v/>
      </c>
      <c r="AA97" s="1190">
        <f>"——"</f>
        <v/>
      </c>
      <c r="AB97" s="1190">
        <f>"——"</f>
        <v/>
      </c>
      <c r="AC97" s="1186">
        <f>"——"</f>
        <v/>
      </c>
      <c r="AD97" s="1186">
        <f>"——"</f>
        <v/>
      </c>
      <c r="AE97" s="1186">
        <f>"——"</f>
        <v/>
      </c>
      <c r="AF97" s="716" t="n"/>
      <c r="AG97" s="716" t="n"/>
      <c r="AH97" s="716" t="n"/>
      <c r="AI97" s="716" t="n"/>
      <c r="AJ97" s="716" t="n"/>
      <c r="AK97" s="716" t="n"/>
      <c r="AL97" s="716" t="n"/>
      <c r="AM97" s="716" t="n"/>
      <c r="AN97" s="716" t="n"/>
      <c r="AO97" s="716" t="n"/>
      <c r="AP97" s="716" t="n"/>
      <c r="AQ97" s="716" t="n"/>
    </row>
    <row r="98" ht="16.35" customFormat="1" customHeight="1" s="716">
      <c r="A98" s="716" t="n"/>
      <c r="B98" s="716" t="n"/>
      <c r="C98" s="716" t="n"/>
      <c r="D98" s="716" t="n"/>
      <c r="E98" s="716" t="n"/>
      <c r="F98" s="716" t="n"/>
      <c r="G98" s="716" t="n"/>
      <c r="H98" s="716" t="n"/>
      <c r="I98" s="716" t="n"/>
      <c r="J98" s="716" t="n"/>
      <c r="K98" s="716" t="n"/>
      <c r="L98" s="716" t="n"/>
      <c r="M98" s="716" t="n"/>
      <c r="N98" s="716" t="n"/>
      <c r="O98" s="716" t="n"/>
      <c r="P98" s="716" t="n"/>
      <c r="Q98" s="716" t="n"/>
      <c r="R98" s="716">
        <f>IF(_epmOfflineCondition_,"Y",EPMMemberProperty(,U98,"SCALING"))</f>
        <v/>
      </c>
      <c r="S98" s="462">
        <f>IF(_epmOfflineCondition_,"            4.金融资产重分类计入其他综合收益的金额",EPMMemberDesc(U98))</f>
        <v/>
      </c>
      <c r="T98" s="716" t="n"/>
      <c r="U98" s="462" t="inlineStr">
        <is>
          <t>A4004020300</t>
        </is>
      </c>
      <c r="V98" s="1018">
        <f>IF(_epmOfflineCondition_,"A4004020300",EPMOlapMemberO(U98,"[C_ACCOUNT].[PARENTH1].[A4004020300]","A4004020300 -             4.金融资产重分类计入其他综合收益的金额","","000"))</f>
        <v/>
      </c>
      <c r="W98" s="462" t="n"/>
      <c r="X98" s="475" t="inlineStr">
        <is>
          <t xml:space="preserve">                 4.金融资产重分类计入其他综合收益的金额</t>
        </is>
      </c>
      <c r="Y98" s="1185">
        <f>ROW()-45</f>
        <v/>
      </c>
      <c r="Z98" s="1212">
        <f>IF($I$8="01",AD98,AD98-AA98)</f>
        <v/>
      </c>
      <c r="AA98" s="1190" t="n"/>
      <c r="AB98" s="1190" t="n"/>
      <c r="AC98" s="1189" t="n"/>
      <c r="AD98" s="1190" t="n"/>
      <c r="AE98" s="1189" t="n"/>
      <c r="AF98" s="716" t="n"/>
      <c r="AG98" s="716" t="n"/>
      <c r="AH98" s="716" t="n"/>
      <c r="AI98" s="716" t="n"/>
      <c r="AJ98" s="716" t="n"/>
      <c r="AK98" s="716" t="n"/>
      <c r="AL98" s="716" t="n"/>
      <c r="AM98" s="716" t="n"/>
      <c r="AN98" s="716" t="n"/>
      <c r="AO98" s="716" t="n"/>
      <c r="AP98" s="716" t="n"/>
      <c r="AQ98" s="716" t="n"/>
    </row>
    <row r="99" ht="16.35" customFormat="1" customHeight="1" s="716">
      <c r="A99" s="716" t="n"/>
      <c r="B99" s="716" t="n"/>
      <c r="C99" s="716" t="n"/>
      <c r="D99" s="716" t="n"/>
      <c r="E99" s="716" t="n"/>
      <c r="F99" s="716" t="n"/>
      <c r="G99" s="716" t="n"/>
      <c r="H99" s="716" t="n"/>
      <c r="I99" s="716" t="n"/>
      <c r="J99" s="716" t="n"/>
      <c r="K99" s="716" t="n"/>
      <c r="L99" s="716" t="n"/>
      <c r="M99" s="716" t="n"/>
      <c r="N99" s="716" t="n"/>
      <c r="O99" s="716" t="n"/>
      <c r="P99" s="716" t="n"/>
      <c r="Q99" s="716" t="n"/>
      <c r="R99" s="716" t="n"/>
      <c r="S99" s="462" t="n"/>
      <c r="T99" s="716" t="n"/>
      <c r="U99" s="716" t="n"/>
      <c r="V99" s="1018" t="n"/>
      <c r="W99" s="462" t="n"/>
      <c r="X99" s="475" t="inlineStr">
        <is>
          <t xml:space="preserve">                 5.持有至到期投资重分类为可供出售金融资产损益</t>
        </is>
      </c>
      <c r="Y99" s="1185">
        <f>ROW()-45</f>
        <v/>
      </c>
      <c r="Z99" s="1212">
        <f>"——"</f>
        <v/>
      </c>
      <c r="AA99" s="1190">
        <f>"——"</f>
        <v/>
      </c>
      <c r="AB99" s="1190">
        <f>"——"</f>
        <v/>
      </c>
      <c r="AC99" s="1186">
        <f>"——"</f>
        <v/>
      </c>
      <c r="AD99" s="1186">
        <f>"——"</f>
        <v/>
      </c>
      <c r="AE99" s="1186">
        <f>"——"</f>
        <v/>
      </c>
      <c r="AF99" s="716" t="n"/>
      <c r="AG99" s="716" t="n"/>
      <c r="AH99" s="716" t="n"/>
      <c r="AI99" s="716" t="n"/>
      <c r="AJ99" s="716" t="n"/>
      <c r="AK99" s="716" t="n"/>
      <c r="AL99" s="716" t="n"/>
      <c r="AM99" s="716" t="n"/>
      <c r="AN99" s="716" t="n"/>
      <c r="AO99" s="716" t="n"/>
      <c r="AP99" s="716" t="n"/>
      <c r="AQ99" s="716" t="n"/>
    </row>
    <row r="100" ht="16.35" customFormat="1" customHeight="1" s="716">
      <c r="A100" s="716" t="n"/>
      <c r="B100" s="716" t="n"/>
      <c r="C100" s="716" t="n"/>
      <c r="D100" s="716" t="n"/>
      <c r="E100" s="716" t="n"/>
      <c r="F100" s="716" t="n"/>
      <c r="G100" s="716" t="n"/>
      <c r="H100" s="716" t="n"/>
      <c r="I100" s="716" t="n"/>
      <c r="J100" s="716" t="n"/>
      <c r="K100" s="716" t="n"/>
      <c r="L100" s="716" t="n"/>
      <c r="M100" s="716" t="n"/>
      <c r="N100" s="716" t="n"/>
      <c r="O100" s="716" t="n"/>
      <c r="P100" s="716" t="n"/>
      <c r="Q100" s="716" t="n"/>
      <c r="R100" s="716">
        <f>IF(_epmOfflineCondition_,"Y",EPMMemberProperty(,U100,"SCALING"))</f>
        <v/>
      </c>
      <c r="S100" s="462">
        <f>IF(_epmOfflineCondition_,"            6.其他债权投资信用减值准备",EPMMemberDesc(U100))</f>
        <v/>
      </c>
      <c r="T100" s="716" t="n"/>
      <c r="U100" s="462" t="inlineStr">
        <is>
          <t>A4004020700</t>
        </is>
      </c>
      <c r="V100" s="1018">
        <f>IF(_epmOfflineCondition_,"A4004020700",EPMOlapMemberO(U100,"[C_ACCOUNT].[PARENTH1].[A4004020700]","A4004020700 -             6.其他债权投资信用减值准备","","000"))</f>
        <v/>
      </c>
      <c r="W100" s="462" t="n"/>
      <c r="X100" s="475" t="inlineStr">
        <is>
          <t xml:space="preserve">                 6.其他债权投资信用减值准备</t>
        </is>
      </c>
      <c r="Y100" s="1185">
        <f>ROW()-45</f>
        <v/>
      </c>
      <c r="Z100" s="1212">
        <f>IF($I$8="01",AD100,AD100-AA100)</f>
        <v/>
      </c>
      <c r="AA100" s="1190" t="n"/>
      <c r="AB100" s="1190" t="n"/>
      <c r="AC100" s="1189" t="n"/>
      <c r="AD100" s="1190" t="n"/>
      <c r="AE100" s="1189" t="n"/>
      <c r="AF100" s="716" t="n"/>
      <c r="AG100" s="716" t="n"/>
      <c r="AH100" s="716" t="n"/>
      <c r="AI100" s="716" t="n"/>
      <c r="AJ100" s="716" t="n"/>
      <c r="AK100" s="716" t="n"/>
      <c r="AL100" s="716" t="n"/>
      <c r="AM100" s="716" t="n"/>
      <c r="AN100" s="716" t="n"/>
      <c r="AO100" s="716" t="n"/>
      <c r="AP100" s="716" t="n"/>
      <c r="AQ100" s="716" t="n"/>
    </row>
    <row r="101" ht="16.35" customFormat="1" customHeight="1" s="716">
      <c r="A101" s="716" t="n"/>
      <c r="B101" s="716" t="n"/>
      <c r="C101" s="716" t="n"/>
      <c r="D101" s="716" t="n"/>
      <c r="E101" s="716" t="n"/>
      <c r="F101" s="716" t="n"/>
      <c r="G101" s="716" t="n"/>
      <c r="H101" s="716" t="n"/>
      <c r="I101" s="716" t="n"/>
      <c r="J101" s="716" t="n"/>
      <c r="K101" s="716" t="n"/>
      <c r="L101" s="716" t="n"/>
      <c r="M101" s="716" t="n"/>
      <c r="N101" s="716" t="n"/>
      <c r="O101" s="716" t="n"/>
      <c r="P101" s="716" t="n"/>
      <c r="Q101" s="716" t="n"/>
      <c r="R101" s="716">
        <f>IF(_epmOfflineCondition_,"Y",EPMMemberProperty(,U101,"SCALING"))</f>
        <v/>
      </c>
      <c r="S101" s="462">
        <f>IF(_epmOfflineCondition_,"            7.现金流量套期损益的有效部分",EPMMemberDesc(U101))</f>
        <v/>
      </c>
      <c r="T101" s="716" t="n"/>
      <c r="U101" s="462" t="inlineStr">
        <is>
          <t>A4004020400</t>
        </is>
      </c>
      <c r="V101" s="1018">
        <f>IF(_epmOfflineCondition_,"A4004020400",EPMOlapMemberO(U101,"[C_ACCOUNT].[PARENTH1].[A4004020400]","A4004020400 -             7.现金流量套期损益的有效部分","","000"))</f>
        <v/>
      </c>
      <c r="W101" s="462" t="n"/>
      <c r="X101" s="475" t="inlineStr">
        <is>
          <t xml:space="preserve">                 7.现金流量套期损益的有效部分</t>
        </is>
      </c>
      <c r="Y101" s="1185">
        <f>ROW()-45</f>
        <v/>
      </c>
      <c r="Z101" s="1212">
        <f>IF($I$8="01",AD101,AD101-AA101)</f>
        <v/>
      </c>
      <c r="AA101" s="1190" t="n"/>
      <c r="AB101" s="1190" t="n"/>
      <c r="AC101" s="1189" t="n"/>
      <c r="AD101" s="1190" t="n"/>
      <c r="AE101" s="1189" t="n"/>
      <c r="AF101" s="716" t="n"/>
      <c r="AG101" s="716" t="n"/>
      <c r="AH101" s="716" t="n"/>
      <c r="AI101" s="716" t="n"/>
      <c r="AJ101" s="716" t="n"/>
      <c r="AK101" s="716" t="n"/>
      <c r="AL101" s="716" t="n"/>
      <c r="AM101" s="716" t="n"/>
      <c r="AN101" s="716" t="n"/>
      <c r="AO101" s="716" t="n"/>
      <c r="AP101" s="716" t="n"/>
      <c r="AQ101" s="716" t="n"/>
    </row>
    <row r="102" ht="16.35" customFormat="1" customHeight="1" s="716">
      <c r="A102" s="716" t="n"/>
      <c r="B102" s="716" t="n"/>
      <c r="C102" s="716" t="n"/>
      <c r="D102" s="716" t="n"/>
      <c r="E102" s="716" t="n"/>
      <c r="F102" s="716" t="n"/>
      <c r="G102" s="716" t="n"/>
      <c r="H102" s="716" t="n"/>
      <c r="I102" s="716" t="n"/>
      <c r="J102" s="716" t="n"/>
      <c r="K102" s="716" t="n"/>
      <c r="L102" s="716" t="n"/>
      <c r="M102" s="716" t="n"/>
      <c r="N102" s="716" t="n"/>
      <c r="O102" s="716" t="n"/>
      <c r="P102" s="716" t="n"/>
      <c r="Q102" s="716" t="n"/>
      <c r="R102" s="716">
        <f>IF(_epmOfflineCondition_,"Y",EPMMemberProperty(,U102,"SCALING"))</f>
        <v/>
      </c>
      <c r="S102" s="462">
        <f>IF(_epmOfflineCondition_,"            8.外币财务报表折算差额",EPMMemberDesc(U102))</f>
        <v/>
      </c>
      <c r="T102" s="716" t="n"/>
      <c r="U102" s="462" t="inlineStr">
        <is>
          <t>A00103051</t>
        </is>
      </c>
      <c r="V102" s="1018">
        <f>IF(_epmOfflineCondition_,"A00103051",EPMOlapMemberO(U102,"[C_ACCOUNT].[PARENTH1].[A00103051]","A00103051 -             8.外币财务报表折算差额","","000"))</f>
        <v/>
      </c>
      <c r="W102" s="462" t="n"/>
      <c r="X102" s="475" t="inlineStr">
        <is>
          <t xml:space="preserve">                 8.外币财务报表折算差额</t>
        </is>
      </c>
      <c r="Y102" s="1185">
        <f>ROW()-45</f>
        <v/>
      </c>
      <c r="Z102" s="1212">
        <f>IF($I$8="01",AD102,AD102-AA102)</f>
        <v/>
      </c>
      <c r="AA102" s="1190" t="n"/>
      <c r="AB102" s="1190" t="n"/>
      <c r="AC102" s="1189" t="n"/>
      <c r="AD102" s="1190" t="n"/>
      <c r="AE102" s="1189" t="n"/>
      <c r="AF102" s="716" t="n"/>
      <c r="AG102" s="716" t="n"/>
      <c r="AH102" s="716" t="n"/>
      <c r="AI102" s="716" t="n"/>
      <c r="AJ102" s="716" t="n"/>
      <c r="AK102" s="716" t="n"/>
      <c r="AL102" s="716" t="n"/>
      <c r="AM102" s="716" t="n"/>
      <c r="AN102" s="716" t="n"/>
      <c r="AO102" s="716" t="n"/>
      <c r="AP102" s="716" t="n"/>
      <c r="AQ102" s="716" t="n"/>
    </row>
    <row r="103" ht="16.35" customFormat="1" customHeight="1" s="716">
      <c r="A103" s="716" t="n"/>
      <c r="B103" s="716" t="n"/>
      <c r="C103" s="716" t="n"/>
      <c r="D103" s="716" t="n"/>
      <c r="E103" s="716" t="n"/>
      <c r="F103" s="716" t="n"/>
      <c r="G103" s="716" t="n"/>
      <c r="H103" s="716" t="n"/>
      <c r="I103" s="716" t="n"/>
      <c r="J103" s="716" t="n"/>
      <c r="K103" s="716" t="n"/>
      <c r="L103" s="716" t="n"/>
      <c r="M103" s="716" t="n"/>
      <c r="N103" s="716" t="n"/>
      <c r="O103" s="716" t="n"/>
      <c r="P103" s="716" t="n"/>
      <c r="Q103" s="716" t="n"/>
      <c r="R103" s="716">
        <f>IF(_epmOfflineCondition_,"Y",EPMMemberProperty(,U103,"SCALING"))</f>
        <v/>
      </c>
      <c r="S103" s="462">
        <f>IF(_epmOfflineCondition_,"            9.其他",EPMMemberDesc(U103))</f>
        <v/>
      </c>
      <c r="T103" s="716" t="n"/>
      <c r="U103" s="462" t="inlineStr">
        <is>
          <t>A4004029999</t>
        </is>
      </c>
      <c r="V103" s="1018">
        <f>IF(_epmOfflineCondition_,"A4004029999",EPMOlapMemberO(U103,"[C_ACCOUNT].[PARENTH1].[A4004029999]","A4004029999 -             9.其他","","000"))</f>
        <v/>
      </c>
      <c r="W103" s="462" t="n"/>
      <c r="X103" s="475" t="inlineStr">
        <is>
          <t xml:space="preserve">                 9.其他</t>
        </is>
      </c>
      <c r="Y103" s="1185">
        <f>ROW()-45</f>
        <v/>
      </c>
      <c r="Z103" s="1212">
        <f>IF($I$8="01",AD103,AD103-AA103)</f>
        <v/>
      </c>
      <c r="AA103" s="1190" t="n"/>
      <c r="AB103" s="1190" t="n"/>
      <c r="AC103" s="1189" t="n"/>
      <c r="AD103" s="1190" t="n"/>
      <c r="AE103" s="1189" t="n"/>
      <c r="AF103" s="716" t="n"/>
      <c r="AG103" s="716" t="n"/>
      <c r="AH103" s="716" t="n"/>
      <c r="AI103" s="716" t="n"/>
      <c r="AJ103" s="716" t="n"/>
      <c r="AK103" s="716" t="n"/>
      <c r="AL103" s="716" t="n"/>
      <c r="AM103" s="716" t="n"/>
      <c r="AN103" s="716" t="n"/>
      <c r="AO103" s="716" t="n"/>
      <c r="AP103" s="716" t="n"/>
      <c r="AQ103" s="716" t="n"/>
    </row>
    <row r="104" ht="16.35" customFormat="1" customHeight="1" s="716">
      <c r="A104" s="716" t="n"/>
      <c r="B104" s="716" t="n"/>
      <c r="C104" s="716" t="n"/>
      <c r="D104" s="716" t="n"/>
      <c r="E104" s="716" t="n"/>
      <c r="F104" s="716" t="n"/>
      <c r="G104" s="716" t="n"/>
      <c r="H104" s="716" t="n"/>
      <c r="I104" s="716" t="n"/>
      <c r="J104" s="716" t="n"/>
      <c r="K104" s="716" t="n"/>
      <c r="L104" s="716" t="n"/>
      <c r="M104" s="716" t="n"/>
      <c r="N104" s="716" t="n"/>
      <c r="O104" s="716" t="n"/>
      <c r="P104" s="716" t="n"/>
      <c r="Q104" s="716" t="n"/>
      <c r="R104" s="716">
        <f>IF(_epmOfflineCondition_,"Y",EPMMemberProperty(,U104,"SCALING"))</f>
        <v/>
      </c>
      <c r="S104" s="462">
        <f>IF(_epmOfflineCondition_,"归属于少数股东的其他综合收益的税后净额_余额计算",EPMMemberDesc(U104))</f>
        <v/>
      </c>
      <c r="T104" s="716" t="n"/>
      <c r="U104" s="716" t="inlineStr">
        <is>
          <t>ATEC0020602_FEND</t>
        </is>
      </c>
      <c r="V104" s="462">
        <f>IF(_epmOfflineCondition_,"ATEC0020602_FEND",EPMOlapMemberO(U104,"[C_ACCOUNT].[PARENTH1].[ATEC0020602_FEND]","ATEC0020602_FEND - 归属于少数股东的其他综合收益的税后净额_余额计算","","000"))</f>
        <v/>
      </c>
      <c r="W104" s="462" t="n"/>
      <c r="X104" s="1017" t="inlineStr">
        <is>
          <t>*归属于少数股东的其他综合收益的税后净额</t>
        </is>
      </c>
      <c r="Y104" s="1185">
        <f>ROW()-45</f>
        <v/>
      </c>
      <c r="Z104" s="1212">
        <f>IF($I$8="01",AD104,AD104-AA104)</f>
        <v/>
      </c>
      <c r="AA104" s="1190">
        <f>IF(_epmOfflineCondition_,0,EPMRetrieveData(,AA41,AA42,AA44,AA45,$C$6,$D$22,$D$25,$C$11,$D$27,$D$28,$D$29,$AF$104))</f>
        <v/>
      </c>
      <c r="AB104" s="1190" t="n"/>
      <c r="AC104" s="1190" t="n"/>
      <c r="AD104" s="1190" t="n"/>
      <c r="AE104" s="1190" t="n"/>
      <c r="AF104" s="716" t="inlineStr">
        <is>
          <t>DELIM</t>
        </is>
      </c>
      <c r="AG104" s="716" t="n"/>
      <c r="AH104" s="716" t="n"/>
      <c r="AI104" s="716" t="n"/>
      <c r="AJ104" s="716" t="n"/>
      <c r="AK104" s="716" t="n"/>
      <c r="AL104" s="716" t="n"/>
      <c r="AM104" s="716" t="n"/>
      <c r="AN104" s="716" t="n"/>
      <c r="AO104" s="716" t="n"/>
      <c r="AP104" s="716" t="n"/>
      <c r="AQ104" s="716" t="n"/>
    </row>
    <row r="105" ht="16.35" customFormat="1" customHeight="1" s="716">
      <c r="A105" s="716" t="n"/>
      <c r="B105" s="716" t="n"/>
      <c r="C105" s="716" t="n"/>
      <c r="D105" s="716" t="n"/>
      <c r="E105" s="716" t="n"/>
      <c r="F105" s="716" t="n"/>
      <c r="G105" s="716" t="n"/>
      <c r="H105" s="716" t="n"/>
      <c r="I105" s="716" t="n"/>
      <c r="J105" s="716" t="n"/>
      <c r="K105" s="716" t="n"/>
      <c r="L105" s="716" t="n"/>
      <c r="M105" s="716" t="n"/>
      <c r="N105" s="716" t="n"/>
      <c r="O105" s="716" t="n"/>
      <c r="P105" s="716" t="n"/>
      <c r="Q105" s="716" t="n"/>
      <c r="R105" s="716">
        <f>IF(_epmOfflineCondition_,"Y",EPMMemberProperty(,U105,"SCALING"))</f>
        <v/>
      </c>
      <c r="S105" s="462">
        <f>IF(_epmOfflineCondition_,"七、综合收益总额",EPMMemberDesc(U105))</f>
        <v/>
      </c>
      <c r="T105" s="716" t="n"/>
      <c r="U105" s="716" t="inlineStr">
        <is>
          <t>A00207</t>
        </is>
      </c>
      <c r="V105" s="462">
        <f>IF(_epmOfflineCondition_,"A00207",EPMOlapMemberO(U105,"[C_ACCOUNT].[PARENTH3].[A00207]","A00207 - 七、综合收益总额","","000"))</f>
        <v/>
      </c>
      <c r="W105" s="462" t="n"/>
      <c r="X105" s="454" t="inlineStr">
        <is>
          <t>七、综合收益总额</t>
        </is>
      </c>
      <c r="Y105" s="1185">
        <f>ROW()-45</f>
        <v/>
      </c>
      <c r="Z105" s="1212">
        <f>IF($I$8="01",AD105,AD105-AA105)</f>
        <v/>
      </c>
      <c r="AA105" s="1190">
        <f>SUM(AA106:AA107)</f>
        <v/>
      </c>
      <c r="AB105" s="1190">
        <f>SUM(AB106:AB107)</f>
        <v/>
      </c>
      <c r="AC105" s="1189">
        <f>SUM(AC106:AC107)</f>
        <v/>
      </c>
      <c r="AD105" s="1189">
        <f>SUM(AD106:AD107)</f>
        <v/>
      </c>
      <c r="AE105" s="1189">
        <f>SUM(AE106:AE107)</f>
        <v/>
      </c>
      <c r="AF105" s="716" t="n"/>
      <c r="AG105" s="716" t="n"/>
      <c r="AH105" s="716" t="n"/>
      <c r="AI105" s="716" t="n"/>
      <c r="AJ105" s="716" t="n"/>
      <c r="AK105" s="716" t="n"/>
      <c r="AL105" s="716" t="n"/>
      <c r="AM105" s="716" t="n"/>
      <c r="AN105" s="716" t="n"/>
      <c r="AO105" s="716" t="n"/>
      <c r="AP105" s="716" t="n"/>
      <c r="AQ105" s="716" t="n"/>
    </row>
    <row r="106" ht="16.35" customFormat="1" customHeight="1" s="716">
      <c r="A106" s="716" t="n"/>
      <c r="B106" s="716" t="n"/>
      <c r="C106" s="716" t="n"/>
      <c r="D106" s="716" t="n"/>
      <c r="E106" s="716" t="n"/>
      <c r="F106" s="716" t="n"/>
      <c r="G106" s="716" t="n"/>
      <c r="H106" s="716" t="n"/>
      <c r="I106" s="716" t="n"/>
      <c r="J106" s="716" t="n"/>
      <c r="K106" s="716" t="n"/>
      <c r="L106" s="716" t="n"/>
      <c r="M106" s="716" t="n"/>
      <c r="N106" s="716" t="n"/>
      <c r="O106" s="716" t="n"/>
      <c r="P106" s="716" t="n"/>
      <c r="Q106" s="716" t="n"/>
      <c r="R106" s="716">
        <f>IF(_epmOfflineCondition_,"Y",EPMMemberProperty(,U106,"SCALING"))</f>
        <v/>
      </c>
      <c r="S106" s="462">
        <f>IF(_epmOfflineCondition_,"    归属于母公司所有者的综合收益总额",EPMMemberDesc(U106))</f>
        <v/>
      </c>
      <c r="T106" s="716" t="n"/>
      <c r="U106" s="716" t="inlineStr">
        <is>
          <t>A0020701</t>
        </is>
      </c>
      <c r="V106" s="455">
        <f>IF(_epmOfflineCondition_,"A0020701",EPMOlapMemberO(U106,"[C_ACCOUNT].[PARENTH1].[A0020701]","A0020701 -     归属于母公司所有者的综合收益总额","","000"))</f>
        <v/>
      </c>
      <c r="W106" s="462" t="n"/>
      <c r="X106" s="588" t="inlineStr">
        <is>
          <t xml:space="preserve">    归属于母公司所有者的综合收益总额</t>
        </is>
      </c>
      <c r="Y106" s="1185">
        <f>ROW()-45</f>
        <v/>
      </c>
      <c r="Z106" s="1212">
        <f>IF($I$8="01",AD106,AD106-AA106)</f>
        <v/>
      </c>
      <c r="AA106" s="1190">
        <f>SUM(AA82,AA87)</f>
        <v/>
      </c>
      <c r="AB106" s="1190">
        <f>SUM(AB82,AB87)</f>
        <v/>
      </c>
      <c r="AC106" s="1189">
        <f>SUM(AC82,AC87)</f>
        <v/>
      </c>
      <c r="AD106" s="1189">
        <f>SUM(AD82,AD87)</f>
        <v/>
      </c>
      <c r="AE106" s="1189">
        <f>SUM(AE82,AE87)</f>
        <v/>
      </c>
      <c r="AF106" s="716" t="n"/>
      <c r="AG106" s="716" t="n"/>
      <c r="AH106" s="716" t="n"/>
      <c r="AI106" s="716" t="n"/>
      <c r="AJ106" s="716" t="n"/>
      <c r="AK106" s="716" t="n"/>
      <c r="AL106" s="716" t="n"/>
      <c r="AM106" s="716" t="n"/>
      <c r="AN106" s="716" t="n"/>
      <c r="AO106" s="716" t="n"/>
      <c r="AP106" s="716" t="n"/>
      <c r="AQ106" s="716" t="n"/>
    </row>
    <row r="107" ht="16.35" customFormat="1" customHeight="1" s="716">
      <c r="A107" s="716" t="n"/>
      <c r="B107" s="716" t="n"/>
      <c r="C107" s="716" t="n"/>
      <c r="D107" s="716" t="n"/>
      <c r="E107" s="716" t="n"/>
      <c r="F107" s="716" t="n"/>
      <c r="G107" s="716" t="n"/>
      <c r="H107" s="716" t="n"/>
      <c r="I107" s="716" t="n"/>
      <c r="J107" s="716" t="n"/>
      <c r="K107" s="716" t="n"/>
      <c r="L107" s="716" t="n"/>
      <c r="M107" s="716" t="n"/>
      <c r="N107" s="716" t="n"/>
      <c r="O107" s="716" t="n"/>
      <c r="P107" s="716" t="n"/>
      <c r="Q107" s="716" t="n"/>
      <c r="R107" s="716">
        <f>IF(_epmOfflineCondition_,"Y",EPMMemberProperty(,U107,"SCALING"))</f>
        <v/>
      </c>
      <c r="S107" s="462">
        <f>IF(_epmOfflineCondition_,"   *归属于少数股东的综合收益总额",EPMMemberDesc(U107))</f>
        <v/>
      </c>
      <c r="T107" s="716" t="n"/>
      <c r="U107" s="716" t="inlineStr">
        <is>
          <t>A0020702</t>
        </is>
      </c>
      <c r="V107" s="462">
        <f>IF(_epmOfflineCondition_,"A0020702",EPMOlapMemberO(U107,"[C_ACCOUNT].[PARENTH2].[A0020702]","A0020702 -    *归属于少数股东的综合收益总额","","000"))</f>
        <v/>
      </c>
      <c r="W107" s="462" t="n"/>
      <c r="X107" s="588" t="inlineStr">
        <is>
          <t xml:space="preserve">   *归属于少数股东的综合收益总额</t>
        </is>
      </c>
      <c r="Y107" s="1185">
        <f>ROW()-45</f>
        <v/>
      </c>
      <c r="Z107" s="1212">
        <f>IF($I$8="01",AD107,AD107-AA107)</f>
        <v/>
      </c>
      <c r="AA107" s="1190" t="n"/>
      <c r="AB107" s="1190" t="n"/>
      <c r="AC107" s="1189" t="n"/>
      <c r="AD107" s="1190" t="n"/>
      <c r="AE107" s="1189" t="n"/>
      <c r="AF107" s="716" t="n"/>
      <c r="AG107" s="716" t="n"/>
      <c r="AH107" s="716" t="n"/>
      <c r="AI107" s="716" t="n"/>
      <c r="AJ107" s="716" t="n"/>
      <c r="AK107" s="716" t="n"/>
      <c r="AL107" s="716" t="n"/>
      <c r="AM107" s="716" t="n"/>
      <c r="AN107" s="716" t="n"/>
      <c r="AO107" s="716" t="n"/>
      <c r="AP107" s="716" t="n"/>
      <c r="AQ107" s="716" t="n"/>
    </row>
    <row r="108" ht="16.35" customFormat="1" customHeight="1" s="716">
      <c r="A108" s="716" t="n"/>
      <c r="B108" s="716" t="n"/>
      <c r="C108" s="716" t="n"/>
      <c r="D108" s="716" t="n"/>
      <c r="E108" s="716" t="n"/>
      <c r="F108" s="716" t="n"/>
      <c r="G108" s="716" t="n"/>
      <c r="H108" s="716" t="n"/>
      <c r="I108" s="716" t="n"/>
      <c r="J108" s="716" t="n"/>
      <c r="K108" s="716" t="n"/>
      <c r="L108" s="716" t="n"/>
      <c r="M108" s="716" t="n"/>
      <c r="N108" s="716" t="n"/>
      <c r="O108" s="716" t="n"/>
      <c r="P108" s="716" t="n"/>
      <c r="Q108" s="716" t="n"/>
      <c r="R108" s="716">
        <f>IF(_epmOfflineCondition_,"Y",EPMMemberProperty(,U108,"SCALING"))</f>
        <v/>
      </c>
      <c r="S108" s="462">
        <f>IF(_epmOfflineCondition_,"八、应上交国家利润（国家股利）",EPMMemberDesc(U108))</f>
        <v/>
      </c>
      <c r="T108" s="716" t="n"/>
      <c r="U108" s="716" t="inlineStr">
        <is>
          <t>A00208</t>
        </is>
      </c>
      <c r="V108" s="455">
        <f>IF(_epmOfflineCondition_,"A00208",EPMOlapMemberO(U108,"[C_ACCOUNT].[PARENTH1].[A00208]","A00208 - 八、应上交国家利润（国家股利）","","000"))</f>
        <v/>
      </c>
      <c r="W108" s="462" t="n"/>
      <c r="X108" s="454" t="inlineStr">
        <is>
          <t>八、每股收益：</t>
        </is>
      </c>
      <c r="Y108" s="1185">
        <f>ROW()-45</f>
        <v/>
      </c>
      <c r="Z108" s="1212">
        <f>IF($I$8="01",AD108,AD108-AA108)</f>
        <v/>
      </c>
      <c r="AA108" s="1190">
        <f>SUM(AA109:AA110)</f>
        <v/>
      </c>
      <c r="AB108" s="1190">
        <f>SUM(AB109:AB110)</f>
        <v/>
      </c>
      <c r="AC108" s="1189">
        <f>SUM(AC109:AC110)</f>
        <v/>
      </c>
      <c r="AD108" s="1189">
        <f>SUM(AD109:AD110)</f>
        <v/>
      </c>
      <c r="AE108" s="1189">
        <f>SUM(AE109:AE110)</f>
        <v/>
      </c>
      <c r="AF108" s="716" t="n"/>
      <c r="AG108" s="716" t="n"/>
      <c r="AH108" s="716" t="n"/>
      <c r="AI108" s="716" t="n"/>
      <c r="AJ108" s="716" t="n"/>
      <c r="AK108" s="716" t="n"/>
      <c r="AL108" s="716" t="n"/>
      <c r="AM108" s="716" t="n"/>
      <c r="AN108" s="716" t="n"/>
      <c r="AO108" s="716" t="n"/>
      <c r="AP108" s="716" t="n"/>
      <c r="AQ108" s="716" t="n"/>
    </row>
    <row r="109" ht="16.35" customHeight="1" s="1181">
      <c r="A109" s="384" t="n"/>
      <c r="B109" s="384" t="n"/>
      <c r="C109" s="384" t="n"/>
      <c r="D109" s="384" t="n"/>
      <c r="E109" s="384" t="n"/>
      <c r="F109" s="384" t="n"/>
      <c r="G109" s="384" t="n"/>
      <c r="H109" s="384" t="n"/>
      <c r="I109" s="384" t="n"/>
      <c r="J109" s="384" t="n"/>
      <c r="K109" s="384" t="n"/>
      <c r="L109" s="384" t="n"/>
      <c r="M109" s="384" t="n"/>
      <c r="N109" s="384" t="n"/>
      <c r="O109" s="384" t="n"/>
      <c r="P109" s="384" t="n"/>
      <c r="Q109" s="384" t="n"/>
      <c r="R109" s="716">
        <f>IF(_epmOfflineCondition_,"Y",EPMMemberProperty(,U109,"SCALING"))</f>
        <v/>
      </c>
      <c r="S109" s="462">
        <f>IF(_epmOfflineCondition_,"   （一）基本每股收益",EPMMemberDesc(U109))</f>
        <v/>
      </c>
      <c r="T109" s="384" t="n"/>
      <c r="U109" s="716" t="inlineStr">
        <is>
          <t>A0020801</t>
        </is>
      </c>
      <c r="V109" s="535">
        <f>IF(_epmOfflineCondition_,"A0020801",EPMOlapMemberO(U109,"[C_ACCOUNT].[PARENTH1].[A0020801]","A0020801 -    （一）基本每股收益","","000"))</f>
        <v/>
      </c>
      <c r="W109" s="384" t="n"/>
      <c r="X109" s="475" t="inlineStr">
        <is>
          <t>（一）基本每股收益</t>
        </is>
      </c>
      <c r="Y109" s="1185">
        <f>ROW()-45</f>
        <v/>
      </c>
      <c r="Z109" s="1212">
        <f>IF($I$8="01",AD109,AD109-AA109)</f>
        <v/>
      </c>
      <c r="AA109" s="1190" t="n"/>
      <c r="AB109" s="1190" t="n"/>
      <c r="AC109" s="1189" t="n"/>
      <c r="AD109" s="1190" t="n"/>
      <c r="AE109" s="1189" t="n"/>
      <c r="AF109" s="716" t="n"/>
      <c r="AG109" s="716" t="n"/>
      <c r="AH109" s="716" t="n"/>
      <c r="AI109" s="716" t="n"/>
      <c r="AJ109" s="716" t="n"/>
      <c r="AK109" s="716" t="n"/>
      <c r="AL109" s="716" t="n"/>
      <c r="AM109" s="716" t="n"/>
      <c r="AN109" s="384" t="n"/>
      <c r="AO109" s="384" t="n"/>
      <c r="AP109" s="384" t="n"/>
      <c r="AQ109" s="384" t="n"/>
    </row>
    <row r="110" ht="16.35" customHeight="1" s="1181">
      <c r="A110" s="384" t="n"/>
      <c r="B110" s="384" t="n"/>
      <c r="C110" s="384" t="n"/>
      <c r="D110" s="384" t="n"/>
      <c r="E110" s="384" t="n"/>
      <c r="F110" s="384" t="n"/>
      <c r="G110" s="384" t="n"/>
      <c r="H110" s="384" t="n"/>
      <c r="I110" s="384" t="n"/>
      <c r="J110" s="384" t="n"/>
      <c r="K110" s="384" t="n"/>
      <c r="L110" s="384" t="n"/>
      <c r="M110" s="384" t="n"/>
      <c r="N110" s="384" t="n"/>
      <c r="O110" s="384" t="n"/>
      <c r="P110" s="384" t="n"/>
      <c r="Q110" s="384" t="n"/>
      <c r="R110" s="716">
        <f>IF(_epmOfflineCondition_,"Y",EPMMemberProperty(,U110,"SCALING"))</f>
        <v/>
      </c>
      <c r="S110" s="462">
        <f>IF(_epmOfflineCondition_,"   （二）稀释每股收益",EPMMemberDesc(U110))</f>
        <v/>
      </c>
      <c r="T110" s="384" t="n"/>
      <c r="U110" s="716" t="inlineStr">
        <is>
          <t>A0020802</t>
        </is>
      </c>
      <c r="V110" s="535">
        <f>IF(_epmOfflineCondition_,"A0020802",EPMOlapMemberO(U110,"[C_ACCOUNT].[PARENTH1].[A0020802]","A0020802 -    （二）稀释每股收益","","000"))</f>
        <v/>
      </c>
      <c r="W110" s="384" t="n"/>
      <c r="X110" s="475" t="inlineStr">
        <is>
          <t>（二）稀释每股收益</t>
        </is>
      </c>
      <c r="Y110" s="1185">
        <f>ROW()-45</f>
        <v/>
      </c>
      <c r="Z110" s="1212">
        <f>IF($I$8="01",AD110,AD110-AA110)</f>
        <v/>
      </c>
      <c r="AA110" s="1190" t="n"/>
      <c r="AB110" s="1190" t="n"/>
      <c r="AC110" s="1189" t="n"/>
      <c r="AD110" s="1190" t="n"/>
      <c r="AE110" s="1189" t="n"/>
      <c r="AF110" s="716" t="n"/>
      <c r="AG110" s="716" t="n"/>
      <c r="AH110" s="716" t="n"/>
      <c r="AI110" s="716" t="n"/>
      <c r="AJ110" s="716" t="n"/>
      <c r="AK110" s="716" t="n"/>
      <c r="AL110" s="716" t="n"/>
      <c r="AM110" s="716" t="n"/>
      <c r="AN110" s="384" t="n"/>
      <c r="AO110" s="384" t="n"/>
      <c r="AP110" s="384" t="n"/>
      <c r="AQ110" s="384" t="n"/>
    </row>
    <row r="111" ht="16.35" customHeight="1" s="1181">
      <c r="A111" s="384" t="n"/>
      <c r="B111" s="384" t="n"/>
      <c r="C111" s="384" t="n"/>
      <c r="D111" s="384" t="n"/>
      <c r="E111" s="384" t="n"/>
      <c r="F111" s="384" t="n"/>
      <c r="G111" s="384" t="n"/>
      <c r="H111" s="384" t="n"/>
      <c r="I111" s="384" t="n"/>
      <c r="J111" s="384" t="n"/>
      <c r="K111" s="384" t="n"/>
      <c r="L111" s="384" t="n"/>
      <c r="M111" s="384" t="n"/>
      <c r="N111" s="384" t="n"/>
      <c r="O111" s="384" t="n"/>
      <c r="P111" s="384" t="n"/>
      <c r="Q111" s="384" t="n"/>
      <c r="R111" s="384" t="n"/>
      <c r="S111" s="462" t="n"/>
      <c r="T111" s="384" t="n"/>
      <c r="U111" s="716" t="n"/>
      <c r="V111" s="535" t="n"/>
      <c r="W111" s="384" t="n"/>
      <c r="X111" s="1143" t="inlineStr">
        <is>
          <t>注：表中带*科目为合并会计报表专用；带△科目为金融类企业专用；带#科目为外商投资企业专用</t>
        </is>
      </c>
      <c r="Y111" s="1193" t="n"/>
      <c r="Z111" s="1188" t="n"/>
      <c r="AA111" s="1195" t="n"/>
      <c r="AB111" s="1195" t="n"/>
      <c r="AC111" s="1195" t="n"/>
      <c r="AD111" s="1202" t="n"/>
      <c r="AE111" s="1195" t="n"/>
      <c r="AF111" s="716" t="n"/>
      <c r="AG111" s="716" t="n"/>
      <c r="AH111" s="716" t="n"/>
      <c r="AI111" s="716" t="n"/>
      <c r="AJ111" s="716" t="n"/>
      <c r="AK111" s="716" t="n"/>
      <c r="AL111" s="716" t="n"/>
      <c r="AM111" s="716" t="n"/>
      <c r="AN111" s="384" t="n"/>
      <c r="AO111" s="384" t="n"/>
      <c r="AP111" s="384" t="n"/>
      <c r="AQ111" s="384" t="n"/>
    </row>
    <row r="112">
      <c r="A112" s="384" t="n"/>
      <c r="B112" s="384" t="n"/>
      <c r="C112" s="384" t="n"/>
      <c r="D112" s="384" t="n"/>
      <c r="E112" s="384" t="n"/>
      <c r="F112" s="384" t="n"/>
      <c r="G112" s="384" t="n"/>
      <c r="H112" s="384" t="n"/>
      <c r="I112" s="384" t="n"/>
      <c r="J112" s="384" t="n"/>
      <c r="K112" s="384" t="n"/>
      <c r="L112" s="384" t="n"/>
      <c r="M112" s="384" t="n"/>
      <c r="N112" s="384" t="n"/>
      <c r="O112" s="384" t="n"/>
      <c r="P112" s="384" t="n"/>
      <c r="Q112" s="384" t="n"/>
      <c r="R112" s="384" t="n"/>
      <c r="S112" s="462">
        <f>IF(_epmOfflineCondition_,"",EPMMemberDesc(U112))</f>
        <v/>
      </c>
      <c r="T112" s="384" t="n"/>
      <c r="U112" s="384" t="n"/>
      <c r="V112" s="535">
        <f>IF(_epmOfflineCondition_,"",EPMOlapMemberO(U112,"[C_ACCOUNT].[PARENTH1].[A0020802]","A0020802 -    （二）稀释每股收益","","000"))</f>
        <v/>
      </c>
      <c r="W112" s="384" t="n"/>
      <c r="X112" s="1144" t="inlineStr">
        <is>
          <t>补充资料：</t>
        </is>
      </c>
      <c r="Y112" s="726" t="n"/>
      <c r="Z112" s="726" t="n"/>
      <c r="AA112" s="1145" t="n"/>
      <c r="AB112" s="1145" t="n"/>
      <c r="AC112" s="1145" t="n"/>
      <c r="AD112" s="1145" t="n"/>
      <c r="AE112" s="1145" t="n"/>
      <c r="AF112" s="716" t="n"/>
      <c r="AG112" s="384" t="inlineStr"/>
      <c r="AH112" s="384" t="inlineStr"/>
      <c r="AI112" s="384" t="n"/>
      <c r="AJ112" s="384" t="n"/>
      <c r="AK112" s="384" t="n"/>
      <c r="AL112" s="384" t="n"/>
      <c r="AM112" s="384" t="n"/>
      <c r="AN112" s="384" t="n"/>
      <c r="AO112" s="384" t="n"/>
      <c r="AP112" s="384" t="n"/>
      <c r="AQ112" s="384" t="n"/>
    </row>
    <row r="113">
      <c r="A113" s="384" t="n"/>
      <c r="B113" s="384" t="n"/>
      <c r="C113" s="384" t="n"/>
      <c r="D113" s="384" t="n"/>
      <c r="E113" s="384" t="n"/>
      <c r="F113" s="384" t="n"/>
      <c r="G113" s="384" t="n"/>
      <c r="H113" s="384" t="n"/>
      <c r="I113" s="384" t="n"/>
      <c r="J113" s="384" t="n"/>
      <c r="K113" s="384" t="n"/>
      <c r="L113" s="384" t="n"/>
      <c r="M113" s="384" t="n"/>
      <c r="N113" s="384" t="n"/>
      <c r="O113" s="384" t="n"/>
      <c r="P113" s="384" t="n"/>
      <c r="Q113" s="384" t="n"/>
      <c r="R113" s="384" t="n"/>
      <c r="S113" s="462">
        <f>IF(_epmOfflineCondition_,"",EPMMemberDesc(U113))</f>
        <v/>
      </c>
      <c r="T113" s="384" t="n"/>
      <c r="U113" s="384" t="n"/>
      <c r="V113" s="535">
        <f>IF(_epmOfflineCondition_,"",EPMOlapMemberO(U113,"[C_ACCOUNT].[PARENTH1].[A0020802]","A0020802 -    （二）稀释每股收益","","000"))</f>
        <v/>
      </c>
      <c r="W113" s="384" t="n"/>
      <c r="X113" s="450" t="inlineStr">
        <is>
          <t>项           目</t>
        </is>
      </c>
      <c r="Y113" s="1213">
        <f>"-"</f>
        <v/>
      </c>
      <c r="Z113" s="1214" t="n"/>
      <c r="AA113" s="1189" t="n"/>
      <c r="AB113" s="1189" t="n"/>
      <c r="AC113" s="1189" t="n"/>
      <c r="AD113" s="1190" t="n"/>
      <c r="AE113" s="1189" t="n"/>
      <c r="AF113" s="384" t="n"/>
      <c r="AG113" s="384" t="n"/>
      <c r="AH113" s="384" t="n"/>
      <c r="AI113" s="384" t="n"/>
      <c r="AJ113" s="384" t="n"/>
      <c r="AK113" s="384" t="n"/>
      <c r="AL113" s="384" t="n"/>
      <c r="AM113" s="384" t="n"/>
      <c r="AN113" s="384" t="n"/>
      <c r="AO113" s="384" t="n"/>
      <c r="AP113" s="384" t="n"/>
      <c r="AQ113" s="384" t="n"/>
    </row>
    <row r="114">
      <c r="A114" s="384" t="n"/>
      <c r="B114" s="384" t="n"/>
      <c r="C114" s="384" t="n"/>
      <c r="D114" s="384" t="n"/>
      <c r="E114" s="384" t="n"/>
      <c r="F114" s="384" t="n"/>
      <c r="G114" s="384" t="n"/>
      <c r="H114" s="384" t="n"/>
      <c r="I114" s="384" t="n"/>
      <c r="J114" s="384" t="n"/>
      <c r="K114" s="384" t="n"/>
      <c r="L114" s="384" t="n"/>
      <c r="M114" s="384" t="n"/>
      <c r="N114" s="384" t="n"/>
      <c r="O114" s="384" t="n"/>
      <c r="P114" s="384" t="n"/>
      <c r="Q114" s="384" t="n"/>
      <c r="R114" s="384" t="n"/>
      <c r="S114" s="462">
        <f>IF(_epmOfflineCondition_,"   其中：营业收入",EPMMemberDesc(U114))</f>
        <v/>
      </c>
      <c r="T114" s="384" t="n"/>
      <c r="U114" s="716" t="inlineStr">
        <is>
          <t>A0020101</t>
        </is>
      </c>
      <c r="V114" s="699">
        <f>IF(_epmOfflineCondition_,"A0020101",EPMOlapMemberO(U114,"[C_ACCOUNT].[PARENTH1].[A0020101]","A0020101 -    其中：营业收入","","000"))</f>
        <v/>
      </c>
      <c r="W114" s="384" t="n"/>
      <c r="X114" s="463" t="inlineStr">
        <is>
          <t>一、营业收入</t>
        </is>
      </c>
      <c r="Y114" s="1213">
        <f>ROW()-48</f>
        <v/>
      </c>
      <c r="Z114" s="1214">
        <f>IF($I$8="01",AD114,AD114-AA114)</f>
        <v/>
      </c>
      <c r="AA114" s="1189" t="inlineStr"/>
      <c r="AB114" s="1189" t="inlineStr"/>
      <c r="AC114" s="1189" t="n"/>
      <c r="AD114" s="1190" t="inlineStr"/>
      <c r="AE114" s="1189" t="inlineStr"/>
      <c r="AF114" s="384" t="n"/>
      <c r="AG114" s="384" t="n"/>
      <c r="AH114" s="384" t="n"/>
      <c r="AI114" s="384" t="n"/>
      <c r="AJ114" s="384" t="n"/>
      <c r="AK114" s="384" t="n"/>
      <c r="AL114" s="384" t="n"/>
      <c r="AM114" s="384" t="n"/>
      <c r="AN114" s="384" t="n"/>
      <c r="AO114" s="384" t="n"/>
      <c r="AP114" s="384" t="n"/>
      <c r="AQ114" s="384" t="n"/>
    </row>
    <row r="115">
      <c r="A115" s="384" t="n"/>
      <c r="B115" s="384" t="n"/>
      <c r="C115" s="384" t="n"/>
      <c r="D115" s="384" t="n"/>
      <c r="E115" s="384" t="n"/>
      <c r="F115" s="384" t="n"/>
      <c r="G115" s="384" t="n"/>
      <c r="H115" s="384" t="n"/>
      <c r="I115" s="384" t="n"/>
      <c r="J115" s="384" t="n"/>
      <c r="K115" s="384" t="n"/>
      <c r="L115" s="384" t="n"/>
      <c r="M115" s="384" t="n"/>
      <c r="N115" s="384" t="n"/>
      <c r="O115" s="384" t="n"/>
      <c r="P115" s="384" t="n"/>
      <c r="Q115" s="384" t="n"/>
      <c r="R115" s="384" t="n"/>
      <c r="S115" s="462">
        <f>IF(_epmOfflineCondition_,"主营业务收入",EPMMemberDesc(U115))</f>
        <v/>
      </c>
      <c r="T115" s="384" t="n"/>
      <c r="U115" s="716" t="inlineStr">
        <is>
          <t>A6001</t>
        </is>
      </c>
      <c r="V115" s="701">
        <f>IF(_epmOfflineCondition_,"A6001",EPMOlapMemberO(U115,"[C_ACCOUNT].[PARENTH1].[A6001]","A6001 - 主营业务收入","","000"))</f>
        <v/>
      </c>
      <c r="W115" s="384" t="n"/>
      <c r="X115" s="457" t="inlineStr">
        <is>
          <t>主营业务收入</t>
        </is>
      </c>
      <c r="Y115" s="1213">
        <f>ROW()-48</f>
        <v/>
      </c>
      <c r="Z115" s="1214">
        <f>IF($I$8="01",AD115,AD115-AA115)</f>
        <v/>
      </c>
      <c r="AA115" s="1189" t="inlineStr"/>
      <c r="AB115" s="1189" t="inlineStr"/>
      <c r="AC115" s="1189" t="n"/>
      <c r="AD115" s="1190" t="inlineStr"/>
      <c r="AE115" s="1189" t="inlineStr"/>
      <c r="AF115" s="384" t="n"/>
      <c r="AG115" s="384" t="n"/>
      <c r="AH115" s="384" t="n"/>
      <c r="AI115" s="384" t="n"/>
      <c r="AJ115" s="384" t="n"/>
      <c r="AK115" s="384" t="n"/>
      <c r="AL115" s="384" t="n"/>
      <c r="AM115" s="384" t="n"/>
      <c r="AN115" s="384" t="n"/>
      <c r="AO115" s="384" t="n"/>
      <c r="AP115" s="384" t="n"/>
      <c r="AQ115" s="384" t="n"/>
    </row>
    <row r="116">
      <c r="A116" s="384" t="n"/>
      <c r="B116" s="384" t="n"/>
      <c r="C116" s="384" t="n"/>
      <c r="D116" s="384" t="n"/>
      <c r="E116" s="384" t="n"/>
      <c r="F116" s="384" t="n"/>
      <c r="G116" s="384" t="n"/>
      <c r="H116" s="384" t="n"/>
      <c r="I116" s="384" t="n"/>
      <c r="J116" s="384" t="n"/>
      <c r="K116" s="384" t="n"/>
      <c r="L116" s="384" t="n"/>
      <c r="M116" s="384" t="n"/>
      <c r="N116" s="384" t="n"/>
      <c r="O116" s="384" t="n"/>
      <c r="P116" s="384" t="n"/>
      <c r="Q116" s="384" t="n"/>
      <c r="R116" s="384" t="n"/>
      <c r="S116" s="462">
        <f>IF(_epmOfflineCondition_,"其他业务收入",EPMMemberDesc(U116))</f>
        <v/>
      </c>
      <c r="T116" s="384" t="n"/>
      <c r="U116" s="716" t="inlineStr">
        <is>
          <t>A6051</t>
        </is>
      </c>
      <c r="V116" s="701">
        <f>IF(_epmOfflineCondition_,"A6051",EPMOlapMemberO(U116,"[C_ACCOUNT].[PARENTH1].[A6051]","A6051 - 其他业务收入","","000"))</f>
        <v/>
      </c>
      <c r="W116" s="384" t="n"/>
      <c r="X116" s="457" t="inlineStr">
        <is>
          <t>其他业务收入</t>
        </is>
      </c>
      <c r="Y116" s="1213">
        <f>ROW()-48</f>
        <v/>
      </c>
      <c r="Z116" s="1214">
        <f>IF($I$8="01",AD116,AD116-AA116)</f>
        <v/>
      </c>
      <c r="AA116" s="1189" t="n"/>
      <c r="AB116" s="1189" t="n"/>
      <c r="AC116" s="1189" t="n"/>
      <c r="AD116" s="1190" t="n"/>
      <c r="AE116" s="1189" t="n"/>
      <c r="AF116" s="384" t="n"/>
      <c r="AG116" s="384" t="n"/>
      <c r="AH116" s="384" t="n"/>
      <c r="AI116" s="384" t="n"/>
      <c r="AJ116" s="384" t="n"/>
      <c r="AK116" s="384" t="n"/>
      <c r="AL116" s="384" t="n"/>
      <c r="AM116" s="384" t="n"/>
      <c r="AN116" s="384" t="n"/>
      <c r="AO116" s="384" t="n"/>
      <c r="AP116" s="384" t="n"/>
      <c r="AQ116" s="384" t="n"/>
    </row>
    <row r="117">
      <c r="A117" s="384" t="n"/>
      <c r="B117" s="384" t="n"/>
      <c r="C117" s="384" t="n"/>
      <c r="D117" s="384" t="n"/>
      <c r="E117" s="384" t="n"/>
      <c r="F117" s="384" t="n"/>
      <c r="G117" s="384" t="n"/>
      <c r="H117" s="384" t="n"/>
      <c r="I117" s="384" t="n"/>
      <c r="J117" s="384" t="n"/>
      <c r="K117" s="384" t="n"/>
      <c r="L117" s="384" t="n"/>
      <c r="M117" s="384" t="n"/>
      <c r="N117" s="384" t="n"/>
      <c r="O117" s="384" t="n"/>
      <c r="P117" s="384" t="n"/>
      <c r="Q117" s="384" t="n"/>
      <c r="R117" s="384" t="n"/>
      <c r="S117" s="462">
        <f>IF(_epmOfflineCondition_,"   其中：营业成本",EPMMemberDesc(U117))</f>
        <v/>
      </c>
      <c r="T117" s="384" t="n"/>
      <c r="U117" s="716" t="inlineStr">
        <is>
          <t>A0020201</t>
        </is>
      </c>
      <c r="V117" s="699">
        <f>IF(_epmOfflineCondition_,"A0020201",EPMOlapMemberO(U117,"[C_ACCOUNT].[PARENTH1].[A0020201]","A0020201 -    其中：营业成本","","000"))</f>
        <v/>
      </c>
      <c r="W117" s="384" t="n"/>
      <c r="X117" s="463" t="inlineStr">
        <is>
          <t>二、营业成本</t>
        </is>
      </c>
      <c r="Y117" s="1213">
        <f>ROW()-48</f>
        <v/>
      </c>
      <c r="Z117" s="1214">
        <f>IF($I$8="01",AD117,AD117-AA117)</f>
        <v/>
      </c>
      <c r="AA117" s="1189" t="inlineStr"/>
      <c r="AB117" s="1189" t="inlineStr"/>
      <c r="AC117" s="1189" t="n"/>
      <c r="AD117" s="1190" t="inlineStr"/>
      <c r="AE117" s="1189" t="n"/>
      <c r="AF117" s="384" t="n"/>
      <c r="AG117" s="384" t="n"/>
      <c r="AH117" s="384" t="n"/>
      <c r="AI117" s="384" t="n"/>
      <c r="AJ117" s="384" t="n"/>
      <c r="AK117" s="384" t="n"/>
      <c r="AL117" s="384" t="n"/>
      <c r="AM117" s="384" t="n"/>
      <c r="AN117" s="384" t="n"/>
      <c r="AO117" s="384" t="n"/>
      <c r="AP117" s="384" t="n"/>
      <c r="AQ117" s="384" t="n"/>
    </row>
    <row r="118">
      <c r="A118" s="384" t="n"/>
      <c r="B118" s="384" t="n"/>
      <c r="C118" s="384" t="n"/>
      <c r="D118" s="384" t="n"/>
      <c r="E118" s="384" t="n"/>
      <c r="F118" s="384" t="n"/>
      <c r="G118" s="384" t="n"/>
      <c r="H118" s="384" t="n"/>
      <c r="I118" s="384" t="n"/>
      <c r="J118" s="384" t="n"/>
      <c r="K118" s="384" t="n"/>
      <c r="L118" s="384" t="n"/>
      <c r="M118" s="384" t="n"/>
      <c r="N118" s="384" t="n"/>
      <c r="O118" s="384" t="n"/>
      <c r="P118" s="384" t="n"/>
      <c r="Q118" s="384" t="n"/>
      <c r="R118" s="384" t="n"/>
      <c r="S118" s="462">
        <f>IF(_epmOfflineCondition_,"主营业务成本",EPMMemberDesc(U118))</f>
        <v/>
      </c>
      <c r="T118" s="384" t="n"/>
      <c r="U118" s="716" t="inlineStr">
        <is>
          <t>A6401</t>
        </is>
      </c>
      <c r="V118" s="701">
        <f>IF(_epmOfflineCondition_,"A6401",EPMOlapMemberO(U118,"[C_ACCOUNT].[PARENTH1].[A6401]","A6401 - 主营业务成本","","000"))</f>
        <v/>
      </c>
      <c r="W118" s="384" t="n"/>
      <c r="X118" s="457" t="inlineStr">
        <is>
          <t>主营业务成本</t>
        </is>
      </c>
      <c r="Y118" s="1213">
        <f>ROW()-48</f>
        <v/>
      </c>
      <c r="Z118" s="1214">
        <f>IF($I$8="01",AD118,AD118-AA118)</f>
        <v/>
      </c>
      <c r="AA118" s="1189" t="inlineStr"/>
      <c r="AB118" s="1189" t="inlineStr"/>
      <c r="AC118" s="1189" t="n"/>
      <c r="AD118" s="1190" t="inlineStr"/>
      <c r="AE118" s="1189" t="n"/>
      <c r="AF118" s="384" t="n"/>
      <c r="AG118" s="384" t="n"/>
      <c r="AH118" s="384" t="n"/>
      <c r="AI118" s="384" t="n"/>
      <c r="AJ118" s="384" t="n"/>
      <c r="AK118" s="384" t="n"/>
      <c r="AL118" s="384" t="n"/>
      <c r="AM118" s="384" t="n"/>
      <c r="AN118" s="384" t="n"/>
      <c r="AO118" s="384" t="n"/>
      <c r="AP118" s="384" t="n"/>
      <c r="AQ118" s="384" t="n"/>
    </row>
    <row r="119">
      <c r="A119" s="384" t="n"/>
      <c r="B119" s="384" t="n"/>
      <c r="C119" s="384" t="n"/>
      <c r="D119" s="384" t="n"/>
      <c r="E119" s="384" t="n"/>
      <c r="F119" s="384" t="n"/>
      <c r="G119" s="384" t="n"/>
      <c r="H119" s="384" t="n"/>
      <c r="I119" s="384" t="n"/>
      <c r="J119" s="384" t="n"/>
      <c r="K119" s="384" t="n"/>
      <c r="L119" s="384" t="n"/>
      <c r="M119" s="384" t="n"/>
      <c r="N119" s="384" t="n"/>
      <c r="O119" s="384" t="n"/>
      <c r="P119" s="384" t="n"/>
      <c r="Q119" s="384" t="n"/>
      <c r="R119" s="384" t="n"/>
      <c r="S119" s="462">
        <f>IF(_epmOfflineCondition_,"其他业务成本",EPMMemberDesc(U119))</f>
        <v/>
      </c>
      <c r="T119" s="384" t="n"/>
      <c r="U119" s="716" t="inlineStr">
        <is>
          <t>A6402</t>
        </is>
      </c>
      <c r="V119" s="701">
        <f>IF(_epmOfflineCondition_,"A6402",EPMOlapMemberO(U119,"[C_ACCOUNT].[PARENTH1].[A6402]","A6402 - 其他业务成本","","000"))</f>
        <v/>
      </c>
      <c r="W119" s="384" t="n"/>
      <c r="X119" s="457" t="inlineStr">
        <is>
          <t>其他业务成本</t>
        </is>
      </c>
      <c r="Y119" s="1213">
        <f>ROW()-48</f>
        <v/>
      </c>
      <c r="Z119" s="1214">
        <f>IF($I$8="01",AD119,AD119-AA119)</f>
        <v/>
      </c>
      <c r="AA119" s="1189" t="n"/>
      <c r="AB119" s="1189" t="n"/>
      <c r="AC119" s="1189" t="n"/>
      <c r="AD119" s="1190" t="n"/>
      <c r="AE119" s="1189" t="n"/>
      <c r="AF119" s="384" t="n"/>
      <c r="AG119" s="384" t="n"/>
      <c r="AH119" s="384" t="n"/>
      <c r="AI119" s="384" t="n"/>
      <c r="AJ119" s="384" t="n"/>
      <c r="AK119" s="384" t="n"/>
      <c r="AL119" s="384" t="n"/>
      <c r="AM119" s="384" t="n"/>
      <c r="AN119" s="384" t="n"/>
      <c r="AO119" s="384" t="n"/>
      <c r="AP119" s="384" t="n"/>
      <c r="AQ119" s="384" t="n"/>
    </row>
  </sheetData>
  <sheetProtection selectLockedCells="0" selectUnlockedCells="0" algorithmName="SHA-512" sheet="1" objects="0" insertRows="1" insertHyperlinks="1" autoFilter="1" scenarios="1" formatColumns="1" deleteColumns="1" insertColumns="1" pivotTables="1" deleteRows="1" formatCells="1" saltValue="9EtOk+WxPF5s8w9JnPDDkw==" formatRows="1" sort="1" spinCount="100000" hashValue="KFJ6+oONq6/2/tD0p5Ozf+NDRKoKZcKxmi6bdjWvaXrbHbeJ8b0qIpbPJ5vcqzFBkxr/zoNjTXIao263RZfwQQ=="/>
  <mergeCells count="10">
    <mergeCell ref="H2:J2"/>
    <mergeCell ref="D16:E16"/>
    <mergeCell ref="X39:X40"/>
    <mergeCell ref="Y39:Y40"/>
    <mergeCell ref="Z39:Z40"/>
    <mergeCell ref="AA39:AA40"/>
    <mergeCell ref="AB39:AB40"/>
    <mergeCell ref="AC39:AC40"/>
    <mergeCell ref="AD39:AD40"/>
    <mergeCell ref="AE39:AE40"/>
  </mergeCells>
  <dataValidations count="1">
    <dataValidation sqref="Z37:AA37" showErrorMessage="1" showInputMessage="1" allowBlank="1" type="list">
      <formula1>"LC,CNY"</formula1>
    </dataValidation>
  </dataValidations>
  <pageMargins left="0.7" right="0.7" top="0.75" bottom="0.75" header="0.3" footer="0.3"/>
  <pageSetup orientation="portrait" paperSize="9"/>
  <drawing xmlns:r="http://schemas.openxmlformats.org/officeDocument/2006/relationships" r:id="rId1"/>
</worksheet>
</file>

<file path=xl/worksheets/sheet4.xml><?xml version="1.0" encoding="utf-8"?>
<worksheet xmlns="http://schemas.openxmlformats.org/spreadsheetml/2006/main">
  <sheetPr codeName="Sheet11">
    <outlinePr summaryBelow="1" summaryRight="1"/>
    <pageSetUpPr/>
  </sheetPr>
  <dimension ref="A1:AR132"/>
  <sheetViews>
    <sheetView topLeftCell="W34" workbookViewId="0">
      <pane xSplit="3" ySplit="12" topLeftCell="Z46" activePane="bottomRight" state="frozen"/>
      <selection activeCell="A1" sqref="A1"/>
      <selection pane="topRight" activeCell="A1" sqref="A1"/>
      <selection pane="bottomLeft" activeCell="A1" sqref="A1"/>
      <selection pane="bottomRight" activeCell="Z53" sqref="Z53"/>
    </sheetView>
  </sheetViews>
  <sheetFormatPr baseColWidth="8" defaultColWidth="8.375" defaultRowHeight="16.8"/>
  <cols>
    <col hidden="1" width="8.25" customWidth="1" style="1181" min="1" max="1"/>
    <col hidden="1" width="15.75" customWidth="1" style="1181" min="2" max="2"/>
    <col hidden="1" width="12" customWidth="1" style="1181" min="3" max="3"/>
    <col hidden="1" width="34" customWidth="1" style="1181" min="4" max="4"/>
    <col hidden="1" width="7.75" customWidth="1" style="1181" min="5" max="7"/>
    <col hidden="1" width="8.625" customWidth="1" style="1181" min="8" max="8"/>
    <col hidden="1" width="7.75" customWidth="1" style="1181" min="9" max="9"/>
    <col hidden="1" width="11.125" customWidth="1" style="1181" min="10" max="10"/>
    <col hidden="1" width="7.75" customWidth="1" style="1181" min="11" max="12"/>
    <col hidden="1" width="7.125" customWidth="1" style="1181" min="13" max="13"/>
    <col hidden="1" width="17.375" customWidth="1" style="1181" min="14" max="14"/>
    <col hidden="1" width="11.75" customWidth="1" style="1181" min="15" max="17"/>
    <col hidden="1" width="13" customWidth="1" style="1181" min="18" max="18"/>
    <col hidden="1" width="56.25" customWidth="1" style="32" min="19" max="19"/>
    <col hidden="1" width="2.375" customWidth="1" style="1181" min="20" max="20"/>
    <col hidden="1" width="11.75" customWidth="1" style="1181" min="21" max="21"/>
    <col hidden="1" width="21.75" customWidth="1" style="1181" min="22" max="22"/>
    <col width="1.375" customWidth="1" style="1181" min="23" max="23"/>
    <col width="79.75" customWidth="1" style="38" min="24" max="24"/>
    <col width="6.625" customWidth="1" style="38" min="25" max="25"/>
    <col width="26.75" customWidth="1" style="1181" min="26" max="26"/>
    <col hidden="1" width="26.75" customWidth="1" style="1181" min="27" max="28"/>
    <col width="26.75" customWidth="1" style="1181" min="29" max="30"/>
    <col width="9.25" customWidth="1" style="1181" min="31" max="31"/>
    <col width="11.125" customWidth="1" style="1181" min="32" max="32"/>
    <col width="9.25" customWidth="1" style="1181" min="33" max="33"/>
    <col width="9.75" customWidth="1" style="1181" min="34" max="34"/>
    <col width="6.625" customWidth="1" style="1181" min="35" max="35"/>
    <col width="20.375" customWidth="1" style="1181" min="36" max="36"/>
    <col width="16.75" customWidth="1" style="1181" min="37" max="37"/>
    <col width="17.375" customWidth="1" style="1181" min="38" max="39"/>
    <col width="16.75" customWidth="1" style="1181" min="40" max="42"/>
    <col width="17.375" customWidth="1" style="1181" min="43" max="44"/>
    <col width="16.75" customWidth="1" style="1181" min="45" max="47"/>
    <col width="17.375" customWidth="1" style="1181" min="48" max="49"/>
    <col width="16.75" customWidth="1" style="1181" min="50" max="52"/>
    <col width="17.375" customWidth="1" style="1181" min="53" max="54"/>
    <col width="16.75" customWidth="1" style="1181" min="55" max="57"/>
    <col width="17.375" customWidth="1" style="1181" min="58" max="59"/>
    <col width="16.75" customWidth="1" style="1181" min="60" max="60"/>
  </cols>
  <sheetData>
    <row r="1" hidden="1" customFormat="1" s="13">
      <c r="A1" s="172" t="inlineStr">
        <is>
          <t>维度清单</t>
        </is>
      </c>
      <c r="B1" s="462" t="n"/>
      <c r="C1" s="173" t="n"/>
      <c r="D1" s="173" t="n"/>
      <c r="E1" s="716" t="n"/>
      <c r="F1" s="13" t="n"/>
      <c r="G1" s="13" t="n"/>
      <c r="H1" s="13" t="n"/>
      <c r="I1" s="13" t="n"/>
      <c r="J1" s="13" t="n"/>
      <c r="K1" s="13" t="n"/>
      <c r="L1" s="13" t="n"/>
      <c r="M1" s="13" t="n"/>
      <c r="N1" s="13" t="n"/>
      <c r="O1" s="13" t="n"/>
      <c r="P1" s="13" t="n"/>
      <c r="Q1" s="13" t="n"/>
      <c r="R1" s="13" t="n"/>
      <c r="S1" s="1103" t="n"/>
      <c r="T1" s="13" t="n"/>
      <c r="U1" s="13" t="n"/>
      <c r="V1" s="13" t="n"/>
      <c r="W1" s="13" t="n"/>
      <c r="X1" s="171" t="n"/>
      <c r="Y1" s="171" t="n"/>
      <c r="Z1" s="13" t="n"/>
      <c r="AA1" s="13" t="n"/>
      <c r="AB1" s="13" t="n"/>
      <c r="AC1" s="13" t="n"/>
      <c r="AD1" s="13" t="n"/>
      <c r="AE1" s="13" t="n"/>
      <c r="AF1" s="13" t="n"/>
      <c r="AG1" s="13" t="n"/>
      <c r="AH1" s="13" t="n"/>
      <c r="AI1" s="13" t="n"/>
      <c r="AJ1" s="13" t="n"/>
      <c r="AK1" s="13" t="n"/>
      <c r="AL1" s="13" t="n"/>
      <c r="AM1" s="13" t="n"/>
      <c r="AN1" s="13" t="n"/>
      <c r="AO1" s="13" t="n"/>
      <c r="AP1" s="220" t="n"/>
      <c r="AQ1" s="13" t="n"/>
      <c r="AR1" s="13" t="n"/>
    </row>
    <row r="2" hidden="1" customFormat="1" s="13">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103" t="n"/>
      <c r="T2" s="13" t="n"/>
      <c r="U2" s="13" t="n"/>
      <c r="V2" s="13" t="n"/>
      <c r="W2" s="13" t="n"/>
      <c r="X2" s="171" t="n"/>
      <c r="Y2" s="171" t="n"/>
      <c r="Z2" s="13" t="n"/>
      <c r="AA2" s="13" t="n"/>
      <c r="AB2" s="13" t="n"/>
      <c r="AC2" s="13" t="n"/>
      <c r="AD2" s="13" t="n"/>
      <c r="AE2" s="13" t="n"/>
      <c r="AF2" s="13" t="n"/>
      <c r="AG2" s="13" t="n"/>
      <c r="AH2" s="13" t="n"/>
      <c r="AI2" s="13" t="n"/>
      <c r="AJ2" s="13" t="n"/>
      <c r="AK2" s="13" t="n"/>
      <c r="AL2" s="13" t="n"/>
      <c r="AM2" s="13" t="n"/>
      <c r="AN2" s="13" t="n"/>
      <c r="AO2" s="13" t="n"/>
      <c r="AP2" s="220" t="n"/>
      <c r="AQ2" s="13" t="n"/>
      <c r="AR2" s="13" t="n"/>
    </row>
    <row r="3" hidden="1" customFormat="1" s="13">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103" t="n"/>
      <c r="T3" s="13" t="n"/>
      <c r="U3" s="13" t="n"/>
      <c r="V3" s="13" t="n"/>
      <c r="W3" s="13" t="n"/>
      <c r="X3" s="171" t="n"/>
      <c r="Y3" s="171" t="n"/>
      <c r="Z3" s="13" t="n"/>
      <c r="AA3" s="13" t="n"/>
      <c r="AB3" s="13" t="n"/>
      <c r="AC3" s="13" t="n"/>
      <c r="AD3" s="13" t="n"/>
      <c r="AE3" s="13" t="n"/>
      <c r="AF3" s="13" t="n"/>
      <c r="AG3" s="13" t="n"/>
      <c r="AH3" s="13" t="n"/>
      <c r="AI3" s="13" t="n"/>
      <c r="AJ3" s="13" t="n"/>
      <c r="AK3" s="13" t="n"/>
      <c r="AL3" s="13" t="n"/>
      <c r="AM3" s="13" t="n"/>
      <c r="AN3" s="13" t="n"/>
      <c r="AO3" s="13" t="n"/>
      <c r="AP3" s="220" t="n"/>
      <c r="AQ3" s="13" t="n"/>
      <c r="AR3" s="13" t="n"/>
    </row>
    <row r="4" hidden="1" customFormat="1" s="13">
      <c r="A4" s="175" t="inlineStr">
        <is>
          <t>C</t>
        </is>
      </c>
      <c r="B4" s="176">
        <f>IF(_epmOfflineCondition_,"C_CATEGORY",EPMDimensionType(,A4))</f>
        <v/>
      </c>
      <c r="C4" s="176">
        <f>IF(_epmOfflineCondition_,"C_ALL",IF(B4="","",EPMContextMember(,B4)))</f>
        <v/>
      </c>
      <c r="D4" s="176">
        <f>IF(_epmOfflineCondition_,"全部类别",EPMMemberDesc(C4))</f>
        <v/>
      </c>
      <c r="E4" s="176" t="n"/>
      <c r="F4" s="13" t="n"/>
      <c r="G4" s="13" t="n"/>
      <c r="H4" s="184" t="inlineStr">
        <is>
          <t>预算年</t>
        </is>
      </c>
      <c r="I4" s="184">
        <f>"V_"&amp;$I$3</f>
        <v/>
      </c>
      <c r="J4" s="184">
        <f>$I$3&amp;".TOTAL"</f>
        <v/>
      </c>
      <c r="K4" s="13" t="n"/>
      <c r="L4" s="13" t="n"/>
      <c r="M4" s="13" t="n"/>
      <c r="N4" s="13" t="n"/>
      <c r="O4" s="13" t="n"/>
      <c r="P4" s="13" t="n"/>
      <c r="Q4" s="13" t="n"/>
      <c r="R4" s="13" t="n"/>
      <c r="S4" s="1103" t="n"/>
      <c r="T4" s="13" t="n"/>
      <c r="U4" s="13" t="n"/>
      <c r="V4" s="13" t="n"/>
      <c r="W4" s="13" t="n"/>
      <c r="X4" s="171" t="n"/>
      <c r="Y4" s="171" t="n"/>
      <c r="Z4" s="13" t="n"/>
      <c r="AA4" s="13" t="n"/>
      <c r="AB4" s="13" t="n"/>
      <c r="AC4" s="13" t="n"/>
      <c r="AD4" s="13" t="n"/>
      <c r="AE4" s="13" t="n"/>
      <c r="AF4" s="13" t="n"/>
      <c r="AG4" s="13" t="n"/>
      <c r="AH4" s="13" t="n"/>
      <c r="AI4" s="13" t="n"/>
      <c r="AJ4" s="13" t="n"/>
      <c r="AK4" s="13" t="n"/>
      <c r="AL4" s="13" t="n"/>
      <c r="AM4" s="13" t="n"/>
      <c r="AN4" s="13" t="n"/>
      <c r="AO4" s="13" t="n"/>
      <c r="AP4" s="220" t="n"/>
      <c r="AQ4" s="13" t="n"/>
      <c r="AR4" s="13" t="n"/>
    </row>
    <row r="5" hidden="1" customFormat="1" s="13">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13" t="n"/>
      <c r="V5" s="13" t="n"/>
      <c r="W5" s="13" t="n"/>
      <c r="X5" s="171" t="n"/>
      <c r="Y5" s="171" t="n"/>
      <c r="Z5" s="13" t="n"/>
      <c r="AA5" s="13" t="n"/>
      <c r="AB5" s="13" t="n"/>
      <c r="AC5" s="13" t="n"/>
      <c r="AD5" s="13" t="n"/>
      <c r="AE5" s="13" t="n"/>
      <c r="AF5" s="13" t="n"/>
      <c r="AG5" s="13" t="n"/>
      <c r="AH5" s="13" t="n"/>
      <c r="AI5" s="13" t="n"/>
      <c r="AJ5" s="13" t="n"/>
      <c r="AK5" s="13" t="n"/>
      <c r="AL5" s="13" t="n"/>
      <c r="AM5" s="13" t="n"/>
      <c r="AN5" s="13" t="n"/>
      <c r="AO5" s="13" t="n"/>
      <c r="AP5" s="220" t="n"/>
      <c r="AQ5" s="13" t="n"/>
      <c r="AR5" s="13" t="n"/>
    </row>
    <row r="6" hidden="1" customFormat="1" s="13">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103" t="n"/>
      <c r="T6" s="13" t="n"/>
      <c r="U6" s="13" t="n"/>
      <c r="V6" s="13" t="n"/>
      <c r="W6" s="13" t="n"/>
      <c r="X6" s="171" t="n"/>
      <c r="Y6" s="171" t="n"/>
      <c r="Z6" s="13" t="n"/>
      <c r="AA6" s="13" t="n"/>
      <c r="AB6" s="13" t="n"/>
      <c r="AC6" s="13" t="n"/>
      <c r="AD6" s="13" t="n"/>
      <c r="AE6" s="13" t="n"/>
      <c r="AF6" s="13" t="n"/>
      <c r="AG6" s="13" t="n"/>
      <c r="AH6" s="13" t="n"/>
      <c r="AI6" s="13" t="n"/>
      <c r="AJ6" s="13" t="n"/>
      <c r="AK6" s="13" t="n"/>
      <c r="AL6" s="13" t="n"/>
      <c r="AM6" s="13" t="n"/>
      <c r="AN6" s="13" t="n"/>
      <c r="AO6" s="13" t="n"/>
      <c r="AP6" s="220" t="n"/>
      <c r="AQ6" s="13" t="n"/>
      <c r="AR6" s="13" t="n"/>
    </row>
    <row r="7" hidden="1" customFormat="1" s="13">
      <c r="A7" s="175" t="inlineStr">
        <is>
          <t>R</t>
        </is>
      </c>
      <c r="B7" s="176">
        <f>IF(_epmOfflineCondition_,"C_RPTCURRENCY",EPMDimensionType(,A7))</f>
        <v/>
      </c>
      <c r="C7" s="176">
        <f>IF(_epmOfflineCondition_,"AUD",IF(B7="","",EPMContextMember(,B7)))</f>
        <v/>
      </c>
      <c r="D7" s="176">
        <f>IF(_epmOfflineCondition_,"澳元",EPMMemberDesc(C7))</f>
        <v/>
      </c>
      <c r="E7" s="176" t="n"/>
      <c r="F7" s="13" t="n"/>
      <c r="G7" s="13" t="n"/>
      <c r="H7" s="13" t="n"/>
      <c r="I7" s="13" t="n"/>
      <c r="J7" s="13" t="n"/>
      <c r="K7" s="13" t="n"/>
      <c r="L7" s="13" t="n"/>
      <c r="M7" s="13" t="n"/>
      <c r="N7" s="13" t="n"/>
      <c r="O7" s="13" t="n"/>
      <c r="P7" s="13" t="n"/>
      <c r="Q7" s="13" t="n"/>
      <c r="R7" s="13" t="n"/>
      <c r="S7" s="1103" t="n"/>
      <c r="T7" s="13" t="n"/>
      <c r="U7" s="13" t="n"/>
      <c r="V7" s="13" t="n"/>
      <c r="W7" s="13" t="n"/>
      <c r="X7" s="171" t="n"/>
      <c r="Y7" s="171" t="n"/>
      <c r="Z7" s="13" t="n"/>
      <c r="AA7" s="13" t="n"/>
      <c r="AB7" s="13" t="n"/>
      <c r="AC7" s="13" t="n"/>
      <c r="AD7" s="13" t="n"/>
      <c r="AE7" s="13" t="n"/>
      <c r="AF7" s="13" t="n"/>
      <c r="AG7" s="13" t="n"/>
      <c r="AH7" s="13" t="n"/>
      <c r="AI7" s="13" t="n"/>
      <c r="AJ7" s="13" t="n"/>
      <c r="AK7" s="13" t="n"/>
      <c r="AL7" s="13" t="n"/>
      <c r="AM7" s="13" t="n"/>
      <c r="AN7" s="13" t="n"/>
      <c r="AO7" s="13" t="n"/>
      <c r="AP7" s="220" t="n"/>
      <c r="AQ7" s="13" t="n"/>
      <c r="AR7" s="13" t="n"/>
    </row>
    <row r="8" hidden="1" customFormat="1" s="13">
      <c r="A8" s="175" t="inlineStr">
        <is>
          <t>D</t>
        </is>
      </c>
      <c r="B8" s="176">
        <f>IF(_epmOfflineCondition_,"C_AUDITTRAIL",EPMDimensionType(,A8))</f>
        <v/>
      </c>
      <c r="C8" s="176">
        <f>IF(_epmOfflineCondition_,"DTOTAL",IF(B8="","",EPMContextMember(,B8)))</f>
        <v/>
      </c>
      <c r="D8" s="176">
        <f>IF(_epmOfflineCondition_,"全部审计线索",EPMMemberDesc(C8))</f>
        <v/>
      </c>
      <c r="E8" s="176" t="n"/>
      <c r="F8" s="13" t="n"/>
      <c r="G8" s="13" t="n"/>
      <c r="H8" s="184" t="inlineStr">
        <is>
          <t>本月</t>
        </is>
      </c>
      <c r="I8" s="184">
        <f>IF(_epmOfflineCondition_,"03",RIGHT("0"&amp;EPMMemberProperty(,EPMContextMember(,"C_TIME"),"MONTHNUM"),2))</f>
        <v/>
      </c>
      <c r="J8" s="13" t="n"/>
      <c r="K8" s="13" t="n"/>
      <c r="L8" s="13" t="n"/>
      <c r="M8" s="13" t="n"/>
      <c r="N8" s="13" t="n"/>
      <c r="O8" s="13" t="n"/>
      <c r="P8" s="13" t="n"/>
      <c r="Q8" s="13" t="n"/>
      <c r="R8" s="13" t="n"/>
      <c r="S8" s="1103" t="n"/>
      <c r="T8" s="13" t="n"/>
      <c r="U8" s="13" t="n"/>
      <c r="V8" s="13" t="n"/>
      <c r="W8" s="13" t="n"/>
      <c r="X8" s="171" t="n"/>
      <c r="Y8" s="171" t="n"/>
      <c r="Z8" s="13" t="n"/>
      <c r="AA8" s="13" t="n"/>
      <c r="AB8" s="13" t="n"/>
      <c r="AC8" s="13" t="n"/>
      <c r="AD8" s="13" t="n"/>
      <c r="AE8" s="13" t="n"/>
      <c r="AF8" s="13" t="n"/>
      <c r="AG8" s="13" t="n"/>
      <c r="AH8" s="13" t="n"/>
      <c r="AI8" s="13" t="n"/>
      <c r="AJ8" s="13" t="n"/>
      <c r="AK8" s="13" t="n"/>
      <c r="AL8" s="13" t="n"/>
      <c r="AM8" s="13" t="n"/>
      <c r="AN8" s="13" t="n"/>
      <c r="AO8" s="13" t="n"/>
      <c r="AP8" s="220" t="n"/>
      <c r="AQ8" s="13" t="n"/>
      <c r="AR8" s="13" t="n"/>
    </row>
    <row r="9" hidden="1" customFormat="1" s="13">
      <c r="A9" s="175" t="inlineStr">
        <is>
          <t>S</t>
        </is>
      </c>
      <c r="B9" s="176">
        <f>IF(_epmOfflineCondition_,"C_FLOW",EPMDimensionType(,A9))</f>
        <v/>
      </c>
      <c r="C9" s="176">
        <f>IF(_epmOfflineCondition_,"FTOTAL",IF(B9="","",EPMContextMember(,B9)))</f>
        <v/>
      </c>
      <c r="D9" s="176">
        <f>IF(_epmOfflineCondition_,"全部变动",EPMMemberDesc(C9))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13" t="n"/>
      <c r="V9" s="13" t="n"/>
      <c r="W9" s="13" t="n"/>
      <c r="X9" s="171" t="n"/>
      <c r="Y9" s="171" t="n"/>
      <c r="Z9" s="13" t="n"/>
      <c r="AA9" s="13" t="n"/>
      <c r="AB9" s="13" t="n"/>
      <c r="AC9" s="13" t="n"/>
      <c r="AD9" s="13" t="n"/>
      <c r="AE9" s="13" t="n"/>
      <c r="AF9" s="13" t="n"/>
      <c r="AG9" s="13" t="n"/>
      <c r="AH9" s="13" t="n"/>
      <c r="AI9" s="13" t="n"/>
      <c r="AJ9" s="13" t="n"/>
      <c r="AK9" s="13" t="n"/>
      <c r="AL9" s="13" t="n"/>
      <c r="AM9" s="13" t="n"/>
      <c r="AN9" s="13" t="n"/>
      <c r="AO9" s="13" t="n"/>
      <c r="AP9" s="220" t="n"/>
      <c r="AQ9" s="13" t="n"/>
      <c r="AR9" s="13" t="n"/>
    </row>
    <row r="10" hidden="1" customFormat="1" s="13">
      <c r="A10" s="175" t="inlineStr">
        <is>
          <t>I</t>
        </is>
      </c>
      <c r="B10" s="176">
        <f>IF(_epmOfflineCondition_,"C_INTERCO",EPMDimensionType(,A10))</f>
        <v/>
      </c>
      <c r="C10" s="176">
        <f>IF(_epmOfflineCondition_,"I_ALL",IF(B10="","",EPMContextMember(,B10)))</f>
        <v/>
      </c>
      <c r="D10" s="176">
        <f>IF(_epmOfflineCondition_,"全部贸易伙伴",EPMMemberDesc(C10))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13" t="n"/>
      <c r="V10" s="13" t="n"/>
      <c r="W10" s="13" t="n"/>
      <c r="X10" s="171" t="n"/>
      <c r="Y10" s="171" t="n"/>
      <c r="Z10" s="13" t="n"/>
      <c r="AA10" s="13" t="n"/>
      <c r="AB10" s="13" t="n"/>
      <c r="AC10" s="13" t="n"/>
      <c r="AD10" s="13" t="n"/>
      <c r="AE10" s="13" t="n"/>
      <c r="AF10" s="13" t="n"/>
      <c r="AG10" s="13" t="n"/>
      <c r="AH10" s="13" t="n"/>
      <c r="AI10" s="13" t="n"/>
      <c r="AJ10" s="13" t="n"/>
      <c r="AK10" s="13" t="n"/>
      <c r="AL10" s="13" t="n"/>
      <c r="AM10" s="13" t="n"/>
      <c r="AN10" s="13" t="n"/>
      <c r="AO10" s="13" t="n"/>
      <c r="AP10" s="220" t="n"/>
      <c r="AQ10" s="13" t="n"/>
      <c r="AR10" s="13" t="n"/>
    </row>
    <row r="11" hidden="1" customFormat="1" s="13">
      <c r="A11" s="175" t="inlineStr">
        <is>
          <t>G</t>
        </is>
      </c>
      <c r="B11" s="176">
        <f>IF(_epmOfflineCondition_,"C_SCOPE",EPMDimensionType(,A11))</f>
        <v/>
      </c>
      <c r="C11" s="176">
        <f>IF(_epmOfflineCondition_,"G_DUMMY",IF(B11="","",EPMContextMember(,B11)))</f>
        <v/>
      </c>
      <c r="D11" s="176">
        <f>IF(_epmOfflineCondition_,"合并范围无关",EPMMemberDesc(C11))</f>
        <v/>
      </c>
      <c r="E11" s="176" t="n"/>
      <c r="F11" s="13" t="n"/>
      <c r="G11" s="13" t="n"/>
      <c r="H11" s="184" t="inlineStr">
        <is>
          <t xml:space="preserve">本年月 </t>
        </is>
      </c>
      <c r="I11" s="184">
        <f>I3&amp;"."&amp;I8</f>
        <v/>
      </c>
      <c r="J11" s="13" t="n"/>
      <c r="K11" s="13" t="n"/>
      <c r="L11" s="13" t="n"/>
      <c r="M11" s="13" t="n"/>
      <c r="N11" s="13" t="n"/>
      <c r="O11" s="13" t="n"/>
      <c r="P11" s="13" t="n"/>
      <c r="Q11" s="13" t="n"/>
      <c r="R11" s="13" t="n"/>
      <c r="S11" s="1103" t="n"/>
      <c r="T11" s="13" t="n"/>
      <c r="U11" s="13" t="n"/>
      <c r="V11" s="13" t="n"/>
      <c r="W11" s="13" t="n"/>
      <c r="X11" s="171" t="n"/>
      <c r="Y11" s="171" t="n"/>
      <c r="Z11" s="13" t="n"/>
      <c r="AA11" s="13" t="n"/>
      <c r="AB11" s="13" t="n"/>
      <c r="AC11" s="13" t="n"/>
      <c r="AD11" s="13" t="n"/>
      <c r="AE11" s="13" t="n"/>
      <c r="AF11" s="13" t="n"/>
      <c r="AG11" s="13" t="n"/>
      <c r="AH11" s="13" t="n"/>
      <c r="AI11" s="13" t="n"/>
      <c r="AJ11" s="13" t="n"/>
      <c r="AK11" s="13" t="n"/>
      <c r="AL11" s="13" t="n"/>
      <c r="AM11" s="13" t="n"/>
      <c r="AN11" s="13" t="n"/>
      <c r="AO11" s="13" t="n"/>
      <c r="AP11" s="220" t="n"/>
      <c r="AQ11" s="13" t="n"/>
      <c r="AR11" s="13" t="n"/>
    </row>
    <row r="12" hidden="1" customFormat="1" s="13">
      <c r="A12" s="175" t="inlineStr">
        <is>
          <t>U8</t>
        </is>
      </c>
      <c r="B12" s="176">
        <f>IF(_epmOfflineCondition_,"C_PROJECT",EPMDimensionType(,A12))</f>
        <v/>
      </c>
      <c r="C12" s="176">
        <f>IF(_epmOfflineCondition_,"ZP_ALL",IF(B12="","",EPMContextMember(,B12)))</f>
        <v/>
      </c>
      <c r="D12" s="176">
        <f>IF(_epmOfflineCondition_,"项目合计",EPMMemberDesc(C12))</f>
        <v/>
      </c>
      <c r="E12" s="176" t="n"/>
      <c r="F12" s="13" t="n"/>
      <c r="G12" s="13" t="n"/>
      <c r="H12" s="184" t="inlineStr">
        <is>
          <t>上年月</t>
        </is>
      </c>
      <c r="I12" s="184">
        <f>IF(I8="01",I10&amp;"."&amp;I9,I3&amp;"."&amp;I9)</f>
        <v/>
      </c>
      <c r="J12" s="13" t="n"/>
      <c r="K12" s="13" t="n"/>
      <c r="L12" s="13" t="n"/>
      <c r="M12" s="13" t="n"/>
      <c r="N12" s="13" t="n"/>
      <c r="O12" s="13" t="n"/>
      <c r="P12" s="13" t="n"/>
      <c r="Q12" s="13" t="n"/>
      <c r="R12" s="13" t="n"/>
      <c r="S12" s="1103" t="n"/>
      <c r="T12" s="13" t="n"/>
      <c r="U12" s="13" t="n"/>
      <c r="V12" s="13" t="n"/>
      <c r="W12" s="13" t="n"/>
      <c r="X12" s="171" t="n"/>
      <c r="Y12" s="171" t="n"/>
      <c r="Z12" s="13" t="n"/>
      <c r="AA12" s="13" t="n"/>
      <c r="AB12" s="13" t="n"/>
      <c r="AC12" s="13" t="n"/>
      <c r="AD12" s="13" t="n"/>
      <c r="AE12" s="13" t="n"/>
      <c r="AF12" s="13" t="n"/>
      <c r="AG12" s="13" t="n"/>
      <c r="AH12" s="13" t="n"/>
      <c r="AI12" s="13" t="n"/>
      <c r="AJ12" s="13" t="n"/>
      <c r="AK12" s="13" t="n"/>
      <c r="AL12" s="13" t="n"/>
      <c r="AM12" s="13" t="n"/>
      <c r="AN12" s="13" t="n"/>
      <c r="AO12" s="13" t="n"/>
      <c r="AP12" s="220" t="n"/>
      <c r="AQ12" s="13" t="n"/>
      <c r="AR12" s="13" t="n"/>
    </row>
    <row r="13" hidden="1" customFormat="1" s="13">
      <c r="A13" s="175" t="inlineStr">
        <is>
          <t>U9</t>
        </is>
      </c>
      <c r="B13" s="176">
        <f>IF(_epmOfflineCondition_,"C_ITEM",EPMDimensionType(,A13))</f>
        <v/>
      </c>
      <c r="C13" s="176">
        <f>IF(_epmOfflineCondition_,"ZI_ALL",IF(B13="","",EPMContextMember(,B13)))</f>
        <v/>
      </c>
      <c r="D13" s="176">
        <f>IF(_epmOfflineCondition_,"全部ITEM",EPMMemberDesc(C13))</f>
        <v/>
      </c>
      <c r="E13" s="176" t="n"/>
      <c r="F13" s="13" t="n"/>
      <c r="G13" s="13" t="n"/>
      <c r="H13" s="184" t="inlineStr">
        <is>
          <t xml:space="preserve">上年同期 </t>
        </is>
      </c>
      <c r="I13" s="184">
        <f>I10&amp;"."&amp;I8</f>
        <v/>
      </c>
      <c r="J13" s="13" t="n"/>
      <c r="K13" s="13" t="n"/>
      <c r="L13" s="13" t="n"/>
      <c r="M13" s="13" t="n"/>
      <c r="N13" s="13" t="n"/>
      <c r="O13" s="13" t="n"/>
      <c r="P13" s="13" t="n"/>
      <c r="Q13" s="13" t="n"/>
      <c r="R13" s="13" t="n"/>
      <c r="S13" s="1103" t="n"/>
      <c r="T13" s="13" t="n"/>
      <c r="U13" s="13" t="n"/>
      <c r="V13" s="13" t="n"/>
      <c r="W13" s="13" t="n"/>
      <c r="X13" s="171" t="n"/>
      <c r="Y13" s="171" t="n"/>
      <c r="Z13" s="13" t="n"/>
      <c r="AA13" s="13" t="n"/>
      <c r="AB13" s="13" t="n"/>
      <c r="AC13" s="13" t="n"/>
      <c r="AD13" s="13" t="n"/>
      <c r="AE13" s="13" t="n"/>
      <c r="AF13" s="13" t="n"/>
      <c r="AG13" s="13" t="n"/>
      <c r="AH13" s="13" t="n"/>
      <c r="AI13" s="13" t="n"/>
      <c r="AJ13" s="13" t="n"/>
      <c r="AK13" s="13" t="n"/>
      <c r="AL13" s="13" t="n"/>
      <c r="AM13" s="13" t="n"/>
      <c r="AN13" s="13" t="n"/>
      <c r="AO13" s="13" t="n"/>
      <c r="AP13" s="220" t="n"/>
      <c r="AQ13" s="13" t="n"/>
      <c r="AR13" s="13" t="n"/>
    </row>
    <row r="14" hidden="1" customFormat="1" s="13">
      <c r="A14" s="175" t="inlineStr">
        <is>
          <t>U10</t>
        </is>
      </c>
      <c r="B14" s="176">
        <f>IF(_epmOfflineCondition_,"C_MISK",EPMDimensionType(,A14))</f>
        <v/>
      </c>
      <c r="C14" s="176">
        <f>IF(_epmOfflineCondition_,"ZM_ALL",IF(B14="","",EPMContextMember(,B14)))</f>
        <v/>
      </c>
      <c r="D14" s="176">
        <f>IF(_epmOfflineCondition_,"ALL",EPMMemberDesc(C14))</f>
        <v/>
      </c>
      <c r="E14" s="176" t="n"/>
      <c r="F14" s="13" t="n"/>
      <c r="G14" s="13" t="n"/>
      <c r="H14" s="13" t="n"/>
      <c r="I14" s="13" t="n"/>
      <c r="J14" s="13" t="n"/>
      <c r="K14" s="13" t="n"/>
      <c r="L14" s="13" t="n"/>
      <c r="M14" s="13" t="n"/>
      <c r="N14" s="13" t="n"/>
      <c r="O14" s="13" t="n"/>
      <c r="P14" s="13" t="n"/>
      <c r="Q14" s="13" t="n"/>
      <c r="R14" s="13" t="n"/>
      <c r="S14" s="1103" t="n"/>
      <c r="T14" s="13" t="n"/>
      <c r="U14" s="13" t="n"/>
      <c r="V14" s="13" t="n"/>
      <c r="W14" s="13" t="n"/>
      <c r="X14" s="171" t="n"/>
      <c r="Y14" s="171" t="n"/>
      <c r="Z14" s="13" t="n"/>
      <c r="AA14" s="13" t="n"/>
      <c r="AB14" s="13" t="n"/>
      <c r="AC14" s="13" t="n"/>
      <c r="AD14" s="13" t="n"/>
      <c r="AE14" s="13" t="n"/>
      <c r="AF14" s="13" t="n"/>
      <c r="AG14" s="13" t="n"/>
      <c r="AH14" s="13" t="n"/>
      <c r="AI14" s="13" t="n"/>
      <c r="AJ14" s="13" t="n"/>
      <c r="AK14" s="13" t="n"/>
      <c r="AL14" s="13" t="n"/>
      <c r="AM14" s="13" t="n"/>
      <c r="AN14" s="13" t="n"/>
      <c r="AO14" s="13" t="n"/>
      <c r="AP14" s="220" t="n"/>
      <c r="AQ14" s="13" t="n"/>
      <c r="AR14" s="13" t="n"/>
    </row>
    <row r="15" hidden="1" customFormat="1" s="13">
      <c r="A15" s="13" t="n"/>
      <c r="B15" s="1103" t="n"/>
      <c r="C15" s="1103" t="n"/>
      <c r="D15" s="1103" t="n"/>
      <c r="E15" s="13" t="n"/>
      <c r="F15" s="13" t="n"/>
      <c r="G15" s="13" t="n"/>
      <c r="H15" s="13" t="n"/>
      <c r="I15" s="13" t="n"/>
      <c r="J15" s="13" t="n"/>
      <c r="K15" s="13" t="n"/>
      <c r="L15" s="13" t="n"/>
      <c r="M15" s="13" t="n"/>
      <c r="N15" s="13" t="n"/>
      <c r="O15" s="13" t="n"/>
      <c r="P15" s="13" t="n"/>
      <c r="Q15" s="13" t="n"/>
      <c r="R15" s="13" t="n"/>
      <c r="S15" s="1103" t="n"/>
      <c r="T15" s="13" t="n"/>
      <c r="U15" s="13" t="n"/>
      <c r="V15" s="13" t="n"/>
      <c r="W15" s="13" t="n"/>
      <c r="X15" s="171" t="n"/>
      <c r="Y15" s="171" t="n"/>
      <c r="Z15" s="13" t="n"/>
      <c r="AA15" s="13" t="n"/>
      <c r="AB15" s="13" t="n"/>
      <c r="AC15" s="13" t="n"/>
      <c r="AD15" s="13" t="n"/>
      <c r="AE15" s="13" t="n"/>
      <c r="AF15" s="13" t="n"/>
      <c r="AG15" s="13" t="n"/>
      <c r="AH15" s="13" t="n"/>
      <c r="AI15" s="13" t="n"/>
      <c r="AJ15" s="13" t="n"/>
      <c r="AK15" s="13" t="n"/>
      <c r="AL15" s="13" t="n"/>
      <c r="AM15" s="13" t="n"/>
      <c r="AN15" s="13" t="n"/>
      <c r="AO15" s="13" t="n"/>
      <c r="AP15" s="220" t="n"/>
      <c r="AQ15" s="13" t="n"/>
      <c r="AR15" s="13" t="n"/>
    </row>
    <row r="16" hidden="1" customFormat="1" s="13">
      <c r="A16" s="13" t="n"/>
      <c r="B16" s="13" t="n"/>
      <c r="C16" s="13" t="n"/>
      <c r="D16" s="174" t="inlineStr">
        <is>
          <t>页轴</t>
        </is>
      </c>
      <c r="E16" s="1183" t="n"/>
      <c r="F16" s="13" t="n"/>
      <c r="G16" s="13" t="n"/>
      <c r="H16" s="13" t="n"/>
      <c r="I16" s="13" t="n"/>
      <c r="J16" s="13" t="n"/>
      <c r="K16" s="13" t="n"/>
      <c r="L16" s="13" t="n"/>
      <c r="M16" s="13" t="n"/>
      <c r="N16" s="13" t="n"/>
      <c r="O16" s="13" t="n"/>
      <c r="P16" s="13" t="n"/>
      <c r="Q16" s="13" t="n"/>
      <c r="R16" s="13" t="n"/>
      <c r="S16" s="1103" t="n"/>
      <c r="T16" s="13" t="n"/>
      <c r="U16" s="13" t="n"/>
      <c r="V16" s="13" t="n"/>
      <c r="W16" s="13" t="n"/>
      <c r="X16" s="171" t="n"/>
      <c r="Y16" s="171" t="n"/>
      <c r="Z16" s="13" t="n"/>
      <c r="AA16" s="13" t="n"/>
      <c r="AB16" s="13" t="n"/>
      <c r="AC16" s="13" t="n"/>
      <c r="AD16" s="13" t="n"/>
      <c r="AE16" s="13" t="n"/>
      <c r="AF16" s="13" t="n"/>
      <c r="AG16" s="13" t="n"/>
      <c r="AH16" s="13" t="n"/>
      <c r="AI16" s="13" t="n"/>
      <c r="AJ16" s="13" t="n"/>
      <c r="AK16" s="13" t="n"/>
      <c r="AL16" s="13" t="n"/>
      <c r="AM16" s="13" t="n"/>
      <c r="AN16" s="13" t="n"/>
      <c r="AO16" s="13" t="n"/>
      <c r="AP16" s="220" t="n"/>
      <c r="AQ16" s="13" t="n"/>
      <c r="AR16" s="13" t="n"/>
    </row>
    <row r="17" hidden="1" customFormat="1" s="13">
      <c r="A17" s="174" t="inlineStr">
        <is>
          <t>维度类型</t>
        </is>
      </c>
      <c r="B17" s="174" t="inlineStr">
        <is>
          <t>维度</t>
        </is>
      </c>
      <c r="C17" s="464" t="inlineStr">
        <is>
          <t>页轴替换</t>
        </is>
      </c>
      <c r="D17" s="1130" t="inlineStr">
        <is>
          <t>报表001</t>
        </is>
      </c>
      <c r="E17" s="1130" t="inlineStr">
        <is>
          <t>报表002</t>
        </is>
      </c>
      <c r="F17" s="13" t="n"/>
      <c r="G17" s="13" t="n"/>
      <c r="H17" s="13" t="n"/>
      <c r="I17" s="13" t="n"/>
      <c r="J17" s="13" t="n"/>
      <c r="K17" s="13" t="n"/>
      <c r="L17" s="13" t="n"/>
      <c r="M17" s="13" t="n"/>
      <c r="N17" s="13" t="n"/>
      <c r="O17" s="13" t="n"/>
      <c r="P17" s="13" t="n"/>
      <c r="Q17" s="13" t="n"/>
      <c r="R17" s="13" t="n"/>
      <c r="S17" s="1103" t="n"/>
      <c r="T17" s="13" t="n"/>
      <c r="U17" s="13" t="n"/>
      <c r="V17" s="13" t="n"/>
      <c r="W17" s="13" t="n"/>
      <c r="X17" s="171" t="n"/>
      <c r="Y17" s="171" t="n"/>
      <c r="Z17" s="13" t="n"/>
      <c r="AA17" s="13" t="n"/>
      <c r="AB17" s="13" t="n"/>
      <c r="AC17" s="13" t="n"/>
      <c r="AD17" s="13" t="n"/>
      <c r="AE17" s="13" t="n"/>
      <c r="AF17" s="13" t="n"/>
      <c r="AG17" s="13" t="n"/>
      <c r="AH17" s="13" t="n"/>
      <c r="AI17" s="13" t="n"/>
      <c r="AJ17" s="13" t="n"/>
      <c r="AK17" s="13" t="n"/>
      <c r="AL17" s="13" t="n"/>
      <c r="AM17" s="13" t="n"/>
      <c r="AN17" s="13" t="n"/>
      <c r="AO17" s="13" t="n"/>
      <c r="AP17" s="220" t="n"/>
      <c r="AQ17" s="13" t="n"/>
      <c r="AR17" s="13" t="n"/>
    </row>
    <row r="18" hidden="1" customFormat="1" s="13">
      <c r="A18" s="175" t="inlineStr">
        <is>
          <t>A</t>
        </is>
      </c>
      <c r="B18" s="1131">
        <f>IF(_epmOfflineCondition_,"C_ACCOUNT",EPMDimensionType(,A18))</f>
        <v/>
      </c>
      <c r="C18" s="182" t="inlineStr">
        <is>
          <t>A_NOUSED</t>
        </is>
      </c>
      <c r="D18" s="182" t="n"/>
      <c r="E18" s="182" t="n"/>
      <c r="F18" s="13" t="n"/>
      <c r="G18" s="13" t="n"/>
      <c r="H18" s="13" t="n"/>
      <c r="I18" s="13" t="n"/>
      <c r="J18" s="13" t="n"/>
      <c r="K18" s="13" t="n"/>
      <c r="L18" s="13" t="n"/>
      <c r="M18" s="13" t="n"/>
      <c r="N18" s="13" t="n"/>
      <c r="O18" s="13" t="n"/>
      <c r="P18" s="13" t="n"/>
      <c r="Q18" s="13" t="n"/>
      <c r="R18" s="13" t="n"/>
      <c r="S18" s="1103" t="n"/>
      <c r="T18" s="13" t="n"/>
      <c r="U18" s="13" t="n"/>
      <c r="V18" s="13" t="n"/>
      <c r="W18" s="13" t="n"/>
      <c r="X18" s="171" t="n"/>
      <c r="Y18" s="171" t="n"/>
      <c r="Z18" s="13" t="n"/>
      <c r="AA18" s="13" t="n"/>
      <c r="AB18" s="13" t="n"/>
      <c r="AC18" s="13" t="n"/>
      <c r="AD18" s="13" t="n"/>
      <c r="AE18" s="13" t="n"/>
      <c r="AF18" s="13" t="n"/>
      <c r="AG18" s="13" t="n"/>
      <c r="AH18" s="13" t="n"/>
      <c r="AI18" s="13" t="n"/>
      <c r="AJ18" s="13" t="n"/>
      <c r="AK18" s="13" t="n"/>
      <c r="AL18" s="13" t="n"/>
      <c r="AM18" s="13" t="n"/>
      <c r="AN18" s="13" t="n"/>
      <c r="AO18" s="13" t="n"/>
      <c r="AP18" s="220" t="n"/>
      <c r="AQ18" s="13" t="n"/>
      <c r="AR18" s="13" t="n"/>
    </row>
    <row r="19" hidden="1" customFormat="1" s="13">
      <c r="A19" s="175" t="inlineStr">
        <is>
          <t>C</t>
        </is>
      </c>
      <c r="B19" s="1131">
        <f>IF(_epmOfflineCondition_,"C_CATEGORY",EPMDimensionType(,A19))</f>
        <v/>
      </c>
      <c r="C19" s="182" t="inlineStr">
        <is>
          <t>C_DUMMY</t>
        </is>
      </c>
      <c r="D19" s="182" t="n"/>
      <c r="E19" s="182" t="n"/>
      <c r="F19" s="13" t="n"/>
      <c r="G19" s="13" t="n"/>
      <c r="H19" s="13" t="n"/>
      <c r="I19" s="13" t="n"/>
      <c r="J19" s="13" t="n"/>
      <c r="K19" s="13" t="n"/>
      <c r="L19" s="13" t="n"/>
      <c r="M19" s="13" t="n"/>
      <c r="N19" s="13" t="n"/>
      <c r="O19" s="13" t="n"/>
      <c r="P19" s="13" t="n"/>
      <c r="Q19" s="13" t="n"/>
      <c r="R19" s="13" t="n"/>
      <c r="S19" s="1103" t="n"/>
      <c r="T19" s="13" t="n"/>
      <c r="U19" s="13" t="n"/>
      <c r="V19" s="13" t="n"/>
      <c r="W19" s="13" t="n"/>
      <c r="X19" s="171" t="n"/>
      <c r="Y19" s="171" t="n"/>
      <c r="Z19" s="13" t="n"/>
      <c r="AA19" s="13" t="n"/>
      <c r="AB19" s="13" t="n"/>
      <c r="AC19" s="13" t="n"/>
      <c r="AD19" s="13" t="n"/>
      <c r="AE19" s="13" t="n"/>
      <c r="AF19" s="13" t="n"/>
      <c r="AG19" s="13" t="n"/>
      <c r="AH19" s="13" t="n"/>
      <c r="AI19" s="13" t="n"/>
      <c r="AJ19" s="13" t="n"/>
      <c r="AK19" s="13" t="n"/>
      <c r="AL19" s="13" t="n"/>
      <c r="AM19" s="13" t="n"/>
      <c r="AN19" s="13" t="n"/>
      <c r="AO19" s="13" t="n"/>
      <c r="AP19" s="220" t="n"/>
      <c r="AQ19" s="13" t="n"/>
      <c r="AR19" s="13" t="n"/>
    </row>
    <row r="20" hidden="1" customFormat="1" s="13">
      <c r="A20" s="175" t="inlineStr">
        <is>
          <t>T</t>
        </is>
      </c>
      <c r="B20" s="1131">
        <f>IF(_epmOfflineCondition_,"C_TIME",EPMDimensionType(,A20))</f>
        <v/>
      </c>
      <c r="C20" s="672" t="inlineStr">
        <is>
          <t>T_DUMMY</t>
        </is>
      </c>
      <c r="D20" s="182" t="n"/>
      <c r="E20" s="182" t="n"/>
      <c r="F20" s="384" t="n"/>
      <c r="G20" s="384" t="n"/>
      <c r="H20" s="13" t="n"/>
      <c r="I20" s="13" t="n"/>
      <c r="J20" s="13" t="n"/>
      <c r="K20" s="13" t="n"/>
      <c r="L20" s="13" t="n"/>
      <c r="M20" s="13" t="n"/>
      <c r="N20" s="13" t="n"/>
      <c r="O20" s="13" t="n"/>
      <c r="P20" s="13" t="n"/>
      <c r="Q20" s="13" t="n"/>
      <c r="R20" s="13" t="n"/>
      <c r="S20" s="1103" t="n"/>
      <c r="T20" s="13" t="n"/>
      <c r="U20" s="13" t="n"/>
      <c r="V20" s="13" t="n"/>
      <c r="W20" s="13" t="n"/>
      <c r="X20" s="171" t="n"/>
      <c r="Y20" s="171" t="n"/>
      <c r="Z20" s="384" t="n"/>
      <c r="AA20" s="384" t="n"/>
      <c r="AB20" s="13" t="n"/>
      <c r="AC20" s="13" t="n"/>
      <c r="AD20" s="13" t="n"/>
      <c r="AE20" s="13" t="n"/>
      <c r="AF20" s="13" t="n"/>
      <c r="AG20" s="13" t="n"/>
      <c r="AH20" s="13" t="n"/>
      <c r="AI20" s="13" t="n"/>
      <c r="AJ20" s="13" t="n"/>
      <c r="AK20" s="13" t="n"/>
      <c r="AL20" s="13" t="n"/>
      <c r="AM20" s="13" t="n"/>
      <c r="AN20" s="13" t="n"/>
      <c r="AO20" s="13" t="n"/>
      <c r="AP20" s="220" t="n"/>
      <c r="AQ20" s="13" t="n"/>
      <c r="AR20" s="13" t="n"/>
    </row>
    <row r="21" hidden="1" customFormat="1" s="13">
      <c r="A21" s="175" t="inlineStr">
        <is>
          <t>E</t>
        </is>
      </c>
      <c r="B21" s="1131">
        <f>IF(_epmOfflineCondition_,"C_ENTITY",EPMDimensionType(,A21))</f>
        <v/>
      </c>
      <c r="C21" s="447">
        <f>IF(_epmOfflineCondition_,"E100787",IF(B21="","",EPMContextMember(,B21)))</f>
        <v/>
      </c>
      <c r="D21" s="182">
        <f>IF(_epmOfflineCondition_,"E100787",EPMOlapMemberO(C21,"[C_ENTITY].[PARENTH1].[E100787]","E100787 - 内蒙古京能苏尼特风力发电有限公司（内蒙古分公司）","","000"))</f>
        <v/>
      </c>
      <c r="E21" s="182" t="n"/>
      <c r="F21" s="384" t="n"/>
      <c r="G21" s="384" t="n"/>
      <c r="H21" s="13" t="n"/>
      <c r="I21" s="13" t="n"/>
      <c r="J21" s="13" t="n"/>
      <c r="K21" s="13" t="n"/>
      <c r="L21" s="13" t="n"/>
      <c r="M21" s="13" t="n"/>
      <c r="N21" s="13" t="n"/>
      <c r="O21" s="13" t="n"/>
      <c r="P21" s="13" t="n"/>
      <c r="Q21" s="13" t="n"/>
      <c r="R21" s="13" t="n"/>
      <c r="S21" s="1103" t="n"/>
      <c r="T21" s="13" t="n"/>
      <c r="U21" s="13" t="n"/>
      <c r="V21" s="13" t="n"/>
      <c r="W21" s="13" t="n"/>
      <c r="X21" s="171" t="n"/>
      <c r="Y21" s="171" t="n"/>
      <c r="Z21" s="384" t="n"/>
      <c r="AA21" s="384" t="n"/>
      <c r="AB21" s="13" t="n"/>
      <c r="AC21" s="13" t="n"/>
      <c r="AD21" s="13" t="n"/>
      <c r="AE21" s="13" t="n"/>
      <c r="AF21" s="13" t="n"/>
      <c r="AG21" s="13" t="n"/>
      <c r="AH21" s="13" t="n"/>
      <c r="AI21" s="13" t="n"/>
      <c r="AJ21" s="13" t="n"/>
      <c r="AK21" s="13" t="n"/>
      <c r="AL21" s="13" t="n"/>
      <c r="AM21" s="13" t="n"/>
      <c r="AN21" s="13" t="n"/>
      <c r="AO21" s="13" t="n"/>
      <c r="AP21" s="220" t="n"/>
      <c r="AQ21" s="13" t="n"/>
      <c r="AR21" s="13" t="n"/>
    </row>
    <row r="22" hidden="1" customFormat="1" s="13">
      <c r="A22" s="175" t="inlineStr">
        <is>
          <t>R</t>
        </is>
      </c>
      <c r="B22" s="1131">
        <f>IF(_epmOfflineCondition_,"C_RPTCURRENCY",EPMDimensionType(,A22))</f>
        <v/>
      </c>
      <c r="C22" s="176">
        <f>Z37</f>
        <v/>
      </c>
      <c r="D22" s="182">
        <f>IF(_epmOfflineCondition_,"LC",EPMOlapMemberO(Z37,"[C_RPTCURRENCY].[].[LC]","LC - 本位币","","000"))</f>
        <v/>
      </c>
      <c r="E22" s="182" t="n"/>
      <c r="F22" s="384" t="n"/>
      <c r="G22" s="384" t="n"/>
      <c r="H22" s="13" t="n"/>
      <c r="I22" s="13" t="n"/>
      <c r="J22" s="13" t="n"/>
      <c r="K22" s="13" t="n"/>
      <c r="L22" s="13" t="n"/>
      <c r="M22" s="13" t="n"/>
      <c r="N22" s="13" t="n"/>
      <c r="O22" s="13" t="n"/>
      <c r="P22" s="13" t="n"/>
      <c r="Q22" s="13" t="n"/>
      <c r="R22" s="13" t="n"/>
      <c r="S22" s="1103" t="n"/>
      <c r="T22" s="13" t="n"/>
      <c r="U22" s="13" t="n"/>
      <c r="V22" s="13" t="n"/>
      <c r="W22" s="13" t="n"/>
      <c r="X22" s="171" t="n"/>
      <c r="Y22" s="171" t="n"/>
      <c r="Z22" s="384" t="n"/>
      <c r="AA22" s="384" t="n"/>
      <c r="AB22" s="13" t="n"/>
      <c r="AC22" s="13" t="n"/>
      <c r="AD22" s="13" t="n"/>
      <c r="AE22" s="13" t="n"/>
      <c r="AF22" s="13" t="n"/>
      <c r="AG22" s="13" t="n"/>
      <c r="AH22" s="13" t="n"/>
      <c r="AI22" s="13" t="n"/>
      <c r="AJ22" s="13" t="n"/>
      <c r="AK22" s="13" t="n"/>
      <c r="AL22" s="13" t="n"/>
      <c r="AM22" s="13" t="n"/>
      <c r="AN22" s="13" t="n"/>
      <c r="AO22" s="13" t="n"/>
      <c r="AP22" s="220" t="n"/>
      <c r="AQ22" s="13" t="n"/>
      <c r="AR22" s="13" t="n"/>
    </row>
    <row r="23" hidden="1" customFormat="1" s="13">
      <c r="A23" s="175" t="inlineStr">
        <is>
          <t>D</t>
        </is>
      </c>
      <c r="B23" s="1131">
        <f>IF(_epmOfflineCondition_,"C_AUDITTRAIL",EPMDimensionType(,A23))</f>
        <v/>
      </c>
      <c r="C23" s="447">
        <f>IF(_epmOfflineCondition_,"DTOTAL",IF(B23="","",EPMContextMember(,B23)))</f>
        <v/>
      </c>
      <c r="D23" s="182" t="n"/>
      <c r="E23" s="182" t="n"/>
      <c r="F23" s="384" t="n"/>
      <c r="G23" s="384" t="n"/>
      <c r="H23" s="13" t="n"/>
      <c r="I23" s="13" t="n"/>
      <c r="J23" s="13" t="n"/>
      <c r="K23" s="13" t="n"/>
      <c r="L23" s="13" t="n"/>
      <c r="M23" s="13" t="n"/>
      <c r="N23" s="13" t="n"/>
      <c r="O23" s="13" t="n"/>
      <c r="P23" s="13" t="n"/>
      <c r="Q23" s="13" t="n"/>
      <c r="R23" s="13" t="n"/>
      <c r="S23" s="1103" t="n"/>
      <c r="T23" s="13" t="n"/>
      <c r="U23" s="13" t="n"/>
      <c r="V23" s="13" t="n"/>
      <c r="W23" s="13" t="n"/>
      <c r="X23" s="171" t="n"/>
      <c r="Y23" s="171" t="n"/>
      <c r="Z23" s="384" t="n"/>
      <c r="AA23" s="384" t="n"/>
      <c r="AB23" s="13" t="n"/>
      <c r="AC23" s="13" t="n"/>
      <c r="AD23" s="13" t="n"/>
      <c r="AE23" s="13" t="n"/>
      <c r="AF23" s="13" t="n"/>
      <c r="AG23" s="13" t="n"/>
      <c r="AH23" s="13" t="n"/>
      <c r="AI23" s="13" t="n"/>
      <c r="AJ23" s="13" t="n"/>
      <c r="AK23" s="13" t="n"/>
      <c r="AL23" s="13" t="n"/>
      <c r="AM23" s="13" t="n"/>
      <c r="AN23" s="13" t="n"/>
      <c r="AO23" s="13" t="n"/>
      <c r="AP23" s="220" t="n"/>
      <c r="AQ23" s="13" t="n"/>
      <c r="AR23" s="13" t="n"/>
    </row>
    <row r="24" hidden="1" customFormat="1" s="13">
      <c r="A24" s="175" t="inlineStr">
        <is>
          <t>S</t>
        </is>
      </c>
      <c r="B24" s="1131">
        <f>IF(_epmOfflineCondition_,"C_FLOW",EPMDimensionType(,A24))</f>
        <v/>
      </c>
      <c r="C24" s="176">
        <f>IF(_epmOfflineCondition_,"FTOTAL",IF(B24="","",EPMContextMember(,B24)))</f>
        <v/>
      </c>
      <c r="D24" s="182" t="n"/>
      <c r="E24" s="182" t="n"/>
      <c r="F24" s="384" t="n"/>
      <c r="G24" s="384" t="n"/>
      <c r="H24" s="13" t="n"/>
      <c r="I24" s="13" t="n"/>
      <c r="J24" s="13" t="n"/>
      <c r="K24" s="13" t="n"/>
      <c r="L24" s="13" t="n"/>
      <c r="M24" s="13" t="n"/>
      <c r="N24" s="13" t="n"/>
      <c r="O24" s="13" t="n"/>
      <c r="P24" s="13" t="n"/>
      <c r="Q24" s="13" t="n"/>
      <c r="R24" s="13" t="n"/>
      <c r="S24" s="1103" t="n"/>
      <c r="T24" s="13" t="n"/>
      <c r="U24" s="13" t="n"/>
      <c r="V24" s="13" t="n"/>
      <c r="W24" s="13" t="n"/>
      <c r="X24" s="171" t="n"/>
      <c r="Y24" s="171" t="n"/>
      <c r="Z24" s="384" t="n"/>
      <c r="AA24" s="384" t="n"/>
      <c r="AB24" s="13" t="n"/>
      <c r="AC24" s="13" t="n"/>
      <c r="AD24" s="13" t="n"/>
      <c r="AE24" s="13" t="n"/>
      <c r="AF24" s="13" t="n"/>
      <c r="AG24" s="13" t="n"/>
      <c r="AH24" s="13" t="n"/>
      <c r="AI24" s="13" t="n"/>
      <c r="AJ24" s="13" t="n"/>
      <c r="AK24" s="13" t="n"/>
      <c r="AL24" s="13" t="n"/>
      <c r="AM24" s="13" t="n"/>
      <c r="AN24" s="13" t="n"/>
      <c r="AO24" s="13" t="n"/>
      <c r="AP24" s="220" t="n"/>
      <c r="AQ24" s="13" t="n"/>
      <c r="AR24" s="13" t="n"/>
    </row>
    <row r="25" hidden="1" customFormat="1" s="13">
      <c r="A25" s="175" t="inlineStr">
        <is>
          <t>I</t>
        </is>
      </c>
      <c r="B25" s="1131">
        <f>IF(_epmOfflineCondition_,"C_INTERCO",EPMDimensionType(,A25))</f>
        <v/>
      </c>
      <c r="C25" s="176" t="inlineStr">
        <is>
          <t>I_ALL</t>
        </is>
      </c>
      <c r="D25" s="182">
        <f>IF(_epmOfflineCondition_,"I_ALL",EPMOlapMemberO(C25,"[C_INTERCO].[PARENTH1].[I_ALL]","I_ALL - 全部贸易伙伴","","000"))</f>
        <v/>
      </c>
      <c r="E25" s="182" t="n"/>
      <c r="F25" s="384" t="n"/>
      <c r="G25" s="384" t="n"/>
      <c r="H25" s="13" t="n"/>
      <c r="I25" s="13" t="n"/>
      <c r="J25" s="13" t="n"/>
      <c r="K25" s="13" t="n"/>
      <c r="L25" s="13" t="n"/>
      <c r="M25" s="13" t="n"/>
      <c r="N25" s="13" t="n"/>
      <c r="O25" s="13" t="n"/>
      <c r="P25" s="13" t="n"/>
      <c r="Q25" s="13" t="n"/>
      <c r="R25" s="13" t="n"/>
      <c r="S25" s="1103" t="n"/>
      <c r="T25" s="13" t="n"/>
      <c r="U25" s="13" t="n"/>
      <c r="V25" s="13" t="n"/>
      <c r="W25" s="13" t="n"/>
      <c r="X25" s="171" t="n"/>
      <c r="Y25" s="171" t="n"/>
      <c r="Z25" s="384" t="n"/>
      <c r="AA25" s="384" t="n"/>
      <c r="AB25" s="178" t="inlineStr">
        <is>
          <t>CATEGORY</t>
        </is>
      </c>
      <c r="AC25" s="178" t="inlineStr">
        <is>
          <t>C1001</t>
        </is>
      </c>
      <c r="AD25" s="178" t="inlineStr">
        <is>
          <t>C1001</t>
        </is>
      </c>
      <c r="AE25" s="178">
        <f>$C$4</f>
        <v/>
      </c>
      <c r="AF25" s="178">
        <f>$C$4</f>
        <v/>
      </c>
      <c r="AG25" s="178">
        <f>$C$4</f>
        <v/>
      </c>
      <c r="AH25" s="13" t="n"/>
      <c r="AI25" s="384" t="n"/>
      <c r="AJ25" s="13" t="n"/>
      <c r="AK25" s="13" t="n"/>
      <c r="AL25" s="13" t="n"/>
      <c r="AM25" s="13" t="n"/>
      <c r="AN25" s="220" t="n"/>
      <c r="AO25" s="220" t="n"/>
      <c r="AP25" s="220" t="n"/>
      <c r="AQ25" s="220" t="n"/>
      <c r="AR25" s="220" t="n"/>
    </row>
    <row r="26" hidden="1" customFormat="1" s="13">
      <c r="A26" s="175" t="inlineStr">
        <is>
          <t>G</t>
        </is>
      </c>
      <c r="B26" s="1131">
        <f>IF(_epmOfflineCondition_,"C_SCOPE",EPMDimensionType(,A26))</f>
        <v/>
      </c>
      <c r="C26" s="182" t="inlineStr">
        <is>
          <t>G_DUMMY</t>
        </is>
      </c>
      <c r="D26" s="182">
        <f>IF(_epmOfflineCondition_,"G_DUMMY",EPMOlapMemberO(C26,"[C_SCOPE].[PARENTH1].[G_DUMMY]","G_DUMMY - 合并范围无关","","000"))</f>
        <v/>
      </c>
      <c r="E26" s="182" t="n"/>
      <c r="F26" s="384" t="n"/>
      <c r="G26" s="384" t="n"/>
      <c r="H26" s="13" t="n"/>
      <c r="I26" s="13" t="n"/>
      <c r="J26" s="13" t="n"/>
      <c r="K26" s="13" t="n"/>
      <c r="L26" s="13" t="n"/>
      <c r="M26" s="13" t="n"/>
      <c r="N26" s="13" t="n"/>
      <c r="O26" s="13" t="n"/>
      <c r="P26" s="13" t="n"/>
      <c r="Q26" s="13" t="n"/>
      <c r="R26" s="13" t="n"/>
      <c r="S26" s="1103" t="n"/>
      <c r="T26" s="13" t="n"/>
      <c r="U26" s="13" t="n"/>
      <c r="V26" s="13" t="n"/>
      <c r="W26" s="13" t="n"/>
      <c r="X26" s="171" t="n"/>
      <c r="Y26" s="171" t="n"/>
      <c r="Z26" s="384" t="n"/>
      <c r="AA26" s="384" t="n"/>
      <c r="AB26" s="464" t="inlineStr">
        <is>
          <t>TIME</t>
        </is>
      </c>
      <c r="AC26" s="464">
        <f>$I$11</f>
        <v/>
      </c>
      <c r="AD26" s="464">
        <f>$I$11</f>
        <v/>
      </c>
      <c r="AE26" s="464">
        <f>$I$11</f>
        <v/>
      </c>
      <c r="AF26" s="178">
        <f>$J$4</f>
        <v/>
      </c>
      <c r="AG26" s="200">
        <f>$I$13</f>
        <v/>
      </c>
      <c r="AH26" s="13" t="n"/>
      <c r="AI26" s="384" t="n"/>
      <c r="AJ26" s="13" t="n"/>
      <c r="AK26" s="13" t="n"/>
      <c r="AL26" s="13" t="n"/>
      <c r="AM26" s="13" t="n"/>
      <c r="AN26" s="220" t="n"/>
      <c r="AO26" s="220" t="n"/>
      <c r="AP26" s="220" t="n"/>
      <c r="AQ26" s="220" t="n"/>
      <c r="AR26" s="220" t="n"/>
    </row>
    <row r="27" hidden="1" customFormat="1" s="13">
      <c r="A27" s="175" t="inlineStr">
        <is>
          <t>U8</t>
        </is>
      </c>
      <c r="B27" s="1131">
        <f>IF(_epmOfflineCondition_,"C_PROJECT",EPMDimensionType(,A27))</f>
        <v/>
      </c>
      <c r="C27" s="182" t="inlineStr">
        <is>
          <t>ZP_ALL</t>
        </is>
      </c>
      <c r="D27" s="182">
        <f>IF(_epmOfflineCondition_,"ZP_ALL",EPMOlapMemberO(C27,"[C_PROJECT].[PARENTH1].[ZP_ALL]","ZP_ALL - 项目合计","","000"))</f>
        <v/>
      </c>
      <c r="E27" s="182" t="n"/>
      <c r="F27" s="384" t="n"/>
      <c r="G27" s="384" t="n"/>
      <c r="H27" s="13" t="n"/>
      <c r="I27" s="13" t="n"/>
      <c r="J27" s="13" t="n"/>
      <c r="K27" s="13" t="n"/>
      <c r="L27" s="13" t="n"/>
      <c r="M27" s="13" t="n"/>
      <c r="N27" s="13" t="n"/>
      <c r="O27" s="13" t="n"/>
      <c r="P27" s="13" t="n"/>
      <c r="Q27" s="13" t="n"/>
      <c r="R27" s="13" t="n"/>
      <c r="S27" s="1103" t="n"/>
      <c r="T27" s="13" t="n"/>
      <c r="U27" s="13" t="n"/>
      <c r="V27" s="13" t="n"/>
      <c r="W27" s="13" t="n"/>
      <c r="X27" s="171" t="n"/>
      <c r="Y27" s="171" t="n"/>
      <c r="Z27" s="384" t="n"/>
      <c r="AA27" s="384" t="n"/>
      <c r="AB27" s="200" t="inlineStr">
        <is>
          <t>MEASURES</t>
        </is>
      </c>
      <c r="AC27" s="200" t="inlineStr">
        <is>
          <t>YTD</t>
        </is>
      </c>
      <c r="AD27" s="200" t="inlineStr">
        <is>
          <t>YTD</t>
        </is>
      </c>
      <c r="AE27" s="200" t="inlineStr">
        <is>
          <t>Periodic</t>
        </is>
      </c>
      <c r="AF27" s="200" t="inlineStr">
        <is>
          <t>Periodic</t>
        </is>
      </c>
      <c r="AG27" s="200" t="inlineStr">
        <is>
          <t>Periodic</t>
        </is>
      </c>
      <c r="AH27" s="200" t="n"/>
      <c r="AI27" s="200" t="n"/>
      <c r="AJ27" s="13" t="n"/>
      <c r="AK27" s="13" t="n"/>
      <c r="AL27" s="13" t="n"/>
      <c r="AM27" s="13" t="n"/>
      <c r="AN27" s="220" t="n"/>
      <c r="AO27" s="220" t="n"/>
      <c r="AP27" s="220" t="n"/>
      <c r="AQ27" s="220" t="n"/>
      <c r="AR27" s="220" t="n"/>
    </row>
    <row r="28" hidden="1" customFormat="1" s="13">
      <c r="A28" s="175" t="inlineStr">
        <is>
          <t>U9</t>
        </is>
      </c>
      <c r="B28" s="1131">
        <f>IF(_epmOfflineCondition_,"C_ITEM",EPMDimensionType(,A28))</f>
        <v/>
      </c>
      <c r="C28" s="182" t="inlineStr">
        <is>
          <t>ZI_ALL</t>
        </is>
      </c>
      <c r="D28" s="182">
        <f>IF(_epmOfflineCondition_,"ZI_ALL",EPMOlapMemberO(C28,"[C_ITEM].[PARENTH1].[ZI_ALL]","ZI_ALL - 全部ITEM","","000"))</f>
        <v/>
      </c>
      <c r="E28" s="182" t="n"/>
      <c r="F28" s="384" t="n"/>
      <c r="G28" s="384" t="n"/>
      <c r="H28" s="13" t="n"/>
      <c r="I28" s="13" t="n"/>
      <c r="J28" s="13" t="n"/>
      <c r="K28" s="13" t="n"/>
      <c r="L28" s="13" t="n"/>
      <c r="M28" s="13" t="n"/>
      <c r="N28" s="13" t="n"/>
      <c r="O28" s="13" t="n"/>
      <c r="P28" s="13" t="n"/>
      <c r="Q28" s="13" t="n"/>
      <c r="R28" s="13" t="n"/>
      <c r="S28" s="1103" t="n"/>
      <c r="T28" s="13" t="n"/>
      <c r="U28" s="13" t="n"/>
      <c r="V28" s="13" t="n"/>
      <c r="W28" s="13" t="n"/>
      <c r="X28" s="171" t="n"/>
      <c r="Y28" s="171" t="n"/>
      <c r="Z28" s="384" t="n"/>
      <c r="AA28" s="384" t="n"/>
      <c r="AB28" s="200" t="inlineStr">
        <is>
          <t>FLOW</t>
        </is>
      </c>
      <c r="AC28" s="200" t="inlineStr">
        <is>
          <t>F20</t>
        </is>
      </c>
      <c r="AD28" s="200" t="inlineStr">
        <is>
          <t>F20</t>
        </is>
      </c>
      <c r="AE28" s="200" t="inlineStr">
        <is>
          <t>F20</t>
        </is>
      </c>
      <c r="AF28" s="200" t="inlineStr">
        <is>
          <t>F99</t>
        </is>
      </c>
      <c r="AG28" s="200" t="inlineStr">
        <is>
          <t>FEND</t>
        </is>
      </c>
      <c r="AH28" s="200" t="inlineStr">
        <is>
          <t>FMOV</t>
        </is>
      </c>
      <c r="AI28" s="200" t="inlineStr">
        <is>
          <t>FEND</t>
        </is>
      </c>
      <c r="AJ28" s="13" t="n"/>
      <c r="AK28" s="13" t="n"/>
      <c r="AL28" s="13" t="n"/>
      <c r="AM28" s="13" t="n"/>
      <c r="AN28" s="13" t="n"/>
      <c r="AO28" s="13" t="n"/>
      <c r="AP28" s="220" t="n"/>
      <c r="AQ28" s="220" t="n"/>
      <c r="AR28" s="13" t="n"/>
    </row>
    <row r="29" hidden="1" customFormat="1" s="13">
      <c r="A29" s="175" t="inlineStr">
        <is>
          <t>U10</t>
        </is>
      </c>
      <c r="B29" s="1131">
        <f>IF(_epmOfflineCondition_,"C_MISK",EPMDimensionType(,A29))</f>
        <v/>
      </c>
      <c r="C29" s="672" t="inlineStr">
        <is>
          <t>ZM_ALL</t>
        </is>
      </c>
      <c r="D29" s="182">
        <f>IF(_epmOfflineCondition_,"ZM_ALL",EPMOlapMemberO(C29,"[C_MISK].[PARENTH1].[ZM_ALL]","ZM_ALL - ALL","","000"))</f>
        <v/>
      </c>
      <c r="E29" s="182" t="n"/>
      <c r="F29" s="384" t="n"/>
      <c r="G29" s="384" t="n"/>
      <c r="H29" s="13" t="n"/>
      <c r="I29" s="13" t="n"/>
      <c r="J29" s="13" t="n"/>
      <c r="K29" s="13" t="n"/>
      <c r="L29" s="13" t="n"/>
      <c r="M29" s="13" t="n"/>
      <c r="N29" s="13" t="n"/>
      <c r="O29" s="13" t="n"/>
      <c r="P29" s="13" t="n"/>
      <c r="Q29" s="13" t="n"/>
      <c r="R29" s="13" t="n"/>
      <c r="S29" s="1103" t="n"/>
      <c r="T29" s="13" t="n"/>
      <c r="U29" s="13" t="n"/>
      <c r="V29" s="13" t="n"/>
      <c r="W29" s="13" t="n"/>
      <c r="X29" s="171" t="n"/>
      <c r="Y29" s="171" t="n"/>
      <c r="Z29" s="384" t="n"/>
      <c r="AA29" s="384" t="n"/>
      <c r="AB29" s="200" t="inlineStr">
        <is>
          <t>AUDITTRAIL</t>
        </is>
      </c>
      <c r="AC29" s="200" t="inlineStr">
        <is>
          <t>DLC_BK</t>
        </is>
      </c>
      <c r="AD29" s="200" t="inlineStr">
        <is>
          <t>DLC_RC_IPT</t>
        </is>
      </c>
      <c r="AE29" s="200" t="inlineStr">
        <is>
          <t>DLC</t>
        </is>
      </c>
      <c r="AF29" s="200" t="inlineStr">
        <is>
          <t>DLC</t>
        </is>
      </c>
      <c r="AG29" s="200" t="inlineStr">
        <is>
          <t>DLC</t>
        </is>
      </c>
      <c r="AH29" s="200" t="inlineStr">
        <is>
          <t>DLC_ADJ</t>
        </is>
      </c>
      <c r="AI29" s="384" t="n"/>
      <c r="AJ29" s="13" t="n"/>
      <c r="AK29" s="13" t="n"/>
      <c r="AL29" s="13" t="n"/>
      <c r="AM29" s="13" t="n"/>
      <c r="AN29" s="13" t="n"/>
      <c r="AO29" s="13" t="n"/>
      <c r="AP29" s="220" t="n"/>
      <c r="AQ29" s="13" t="n"/>
      <c r="AR29" s="13" t="n"/>
    </row>
    <row r="30" hidden="1" customFormat="1" s="13">
      <c r="A30" s="175" t="n"/>
      <c r="B30" s="1132">
        <f>IF(_epmOfflineCondition_,"",EPMDimensionType(,A30))</f>
        <v/>
      </c>
      <c r="C30" s="182" t="inlineStr">
        <is>
          <t>PERIODIC</t>
        </is>
      </c>
      <c r="D30" s="182" t="n"/>
      <c r="E30" s="182" t="n"/>
      <c r="F30" s="384" t="n"/>
      <c r="G30" s="384" t="n"/>
      <c r="H30" s="13" t="n"/>
      <c r="I30" s="13" t="n"/>
      <c r="J30" s="13" t="n"/>
      <c r="K30" s="13" t="n"/>
      <c r="L30" s="13" t="n"/>
      <c r="M30" s="13" t="n"/>
      <c r="N30" s="13" t="n"/>
      <c r="O30" s="13" t="n"/>
      <c r="P30" s="13" t="n"/>
      <c r="Q30" s="13" t="n"/>
      <c r="R30" s="13" t="n"/>
      <c r="S30" s="1103" t="n"/>
      <c r="T30" s="13" t="n"/>
      <c r="U30" s="13" t="n"/>
      <c r="V30" s="13" t="n"/>
      <c r="W30" s="13" t="n"/>
      <c r="X30" s="171" t="n"/>
      <c r="Y30" s="171" t="n"/>
      <c r="Z30" s="384" t="n"/>
      <c r="AA30" s="384" t="n"/>
      <c r="AB30" s="13" t="n"/>
      <c r="AC30" s="13">
        <f>IF(_epmOfflineCondition_,"单体账面",EPMMemberDesc(AC29))</f>
        <v/>
      </c>
      <c r="AD30" s="13">
        <f>IF(_epmOfflineCondition_,"重分类清单调整",EPMMemberDesc(AD29))</f>
        <v/>
      </c>
      <c r="AE30" s="13">
        <f>IF(_epmOfflineCondition_,"单体报表",EPMMemberDesc(AE29))</f>
        <v/>
      </c>
      <c r="AF30" s="13">
        <f>IF(_epmOfflineCondition_,"单体报表",EPMMemberDesc(AF29))</f>
        <v/>
      </c>
      <c r="AG30" s="13">
        <f>IF(_epmOfflineCondition_,"单体报表",EPMMemberDesc(AG29))</f>
        <v/>
      </c>
      <c r="AH30" s="13">
        <f>IF(_epmOfflineCondition_,"单体调整",EPMMemberDesc(AH29))</f>
        <v/>
      </c>
      <c r="AI30" s="384" t="n"/>
      <c r="AJ30" s="13" t="n"/>
      <c r="AK30" s="13" t="n"/>
      <c r="AL30" s="13" t="n"/>
      <c r="AM30" s="13" t="n"/>
      <c r="AN30" s="13" t="n"/>
      <c r="AO30" s="13" t="n"/>
      <c r="AP30" s="220" t="n"/>
      <c r="AQ30" s="13" t="n"/>
      <c r="AR30" s="13" t="n"/>
    </row>
    <row r="31" hidden="1" customFormat="1" s="13">
      <c r="A31" s="13" t="n"/>
      <c r="B31" s="1103" t="n"/>
      <c r="C31" s="1103" t="n"/>
      <c r="D31" s="1103" t="n"/>
      <c r="E31" s="13" t="n"/>
      <c r="F31" s="13" t="n"/>
      <c r="G31" s="13" t="n"/>
      <c r="H31" s="13" t="n"/>
      <c r="I31" s="13" t="n"/>
      <c r="J31" s="13" t="n"/>
      <c r="K31" s="13" t="n"/>
      <c r="L31" s="13" t="n"/>
      <c r="M31" s="13" t="n"/>
      <c r="N31" s="13" t="n"/>
      <c r="O31" s="13" t="n"/>
      <c r="P31" s="13" t="n"/>
      <c r="Q31" s="13" t="n"/>
      <c r="R31" s="13" t="n"/>
      <c r="S31" s="1103" t="n"/>
      <c r="T31" s="13" t="n"/>
      <c r="U31" s="13" t="n"/>
      <c r="V31" s="13" t="n"/>
      <c r="W31" s="13" t="n"/>
      <c r="X31" s="171" t="n"/>
      <c r="Y31" s="171" t="n"/>
      <c r="Z31" s="384" t="n"/>
      <c r="AA31" s="384" t="n"/>
      <c r="AB31" s="13" t="n"/>
      <c r="AC31" s="13" t="n"/>
      <c r="AD31" s="13" t="n"/>
      <c r="AE31" s="13" t="n"/>
      <c r="AF31" s="13" t="n"/>
      <c r="AG31" s="13" t="n"/>
      <c r="AH31" s="13" t="n"/>
      <c r="AI31" s="13" t="n"/>
      <c r="AJ31" s="13" t="n"/>
      <c r="AK31" s="13" t="n"/>
      <c r="AL31" s="13" t="n"/>
      <c r="AM31" s="13" t="n"/>
      <c r="AN31" s="13" t="n"/>
      <c r="AO31" s="13" t="n"/>
      <c r="AP31" s="220" t="n"/>
      <c r="AQ31" s="13" t="n"/>
      <c r="AR31" s="13" t="n"/>
    </row>
    <row r="32" hidden="1" customFormat="1" s="13">
      <c r="A32" s="13" t="n"/>
      <c r="B32" s="1103" t="n"/>
      <c r="C32" s="1103" t="n"/>
      <c r="D32" s="1103" t="n"/>
      <c r="E32" s="13" t="n"/>
      <c r="F32" s="13" t="n"/>
      <c r="G32" s="13" t="n"/>
      <c r="H32" s="13" t="n"/>
      <c r="I32" s="13" t="n"/>
      <c r="J32" s="13" t="n"/>
      <c r="K32" s="13" t="n"/>
      <c r="L32" s="13" t="n"/>
      <c r="M32" s="13" t="n"/>
      <c r="N32" s="13" t="n"/>
      <c r="O32" s="13" t="n"/>
      <c r="P32" s="13" t="n"/>
      <c r="Q32" s="13" t="n"/>
      <c r="R32" s="13" t="n"/>
      <c r="S32" s="1103" t="n"/>
      <c r="T32" s="13" t="n"/>
      <c r="U32" s="13" t="n"/>
      <c r="V32" s="13" t="n"/>
      <c r="W32" s="13" t="n"/>
      <c r="X32" s="171" t="n"/>
      <c r="Y32" s="171" t="n"/>
      <c r="Z32" s="13" t="n"/>
      <c r="AA32" s="13" t="n"/>
      <c r="AB32" s="13" t="n"/>
      <c r="AC32" s="13" t="n"/>
      <c r="AD32" s="13" t="n"/>
      <c r="AE32" s="13" t="n"/>
      <c r="AF32" s="13" t="n"/>
      <c r="AG32" s="13" t="n"/>
      <c r="AH32" s="13" t="n"/>
      <c r="AI32" s="13" t="n"/>
      <c r="AJ32" s="13" t="n"/>
      <c r="AK32" s="13" t="n"/>
      <c r="AL32" s="13" t="n"/>
      <c r="AM32" s="13" t="n"/>
      <c r="AN32" s="13" t="n"/>
      <c r="AO32" s="13" t="n"/>
      <c r="AP32" s="220" t="n"/>
      <c r="AQ32" s="13" t="n"/>
      <c r="AR32" s="13" t="n"/>
    </row>
    <row r="33" hidden="1" customFormat="1" s="13">
      <c r="A33" s="13" t="n"/>
      <c r="B33" s="1103" t="n"/>
      <c r="C33" s="1103" t="n"/>
      <c r="D33" s="1103" t="n"/>
      <c r="E33" s="13" t="n"/>
      <c r="F33" s="13" t="n"/>
      <c r="G33" s="13" t="n"/>
      <c r="H33" s="13" t="n"/>
      <c r="I33" s="13" t="n"/>
      <c r="J33" s="13" t="n"/>
      <c r="K33" s="13" t="n"/>
      <c r="L33" s="13" t="n"/>
      <c r="M33" s="13" t="n"/>
      <c r="N33" s="13" t="n"/>
      <c r="O33" s="13" t="n"/>
      <c r="P33" s="13" t="n"/>
      <c r="Q33" s="13" t="n"/>
      <c r="R33" s="13" t="n"/>
      <c r="S33" s="1103" t="n"/>
      <c r="T33" s="13" t="n"/>
      <c r="U33" s="13" t="n"/>
      <c r="V33" s="13" t="n"/>
      <c r="W33" s="13" t="n"/>
      <c r="X33" s="171" t="n"/>
      <c r="Y33" s="171" t="n"/>
      <c r="Z33" s="13" t="n"/>
      <c r="AA33" s="13" t="n"/>
      <c r="AB33" s="13" t="n"/>
      <c r="AC33" s="13" t="n"/>
      <c r="AD33" s="13" t="n"/>
      <c r="AE33" s="13" t="n"/>
      <c r="AF33" s="13" t="n"/>
      <c r="AG33" s="13" t="n"/>
      <c r="AH33" s="13" t="n"/>
      <c r="AI33" s="13" t="n"/>
      <c r="AJ33" s="13" t="n"/>
      <c r="AK33" s="13" t="n"/>
      <c r="AL33" s="13" t="n"/>
      <c r="AM33" s="13" t="n"/>
      <c r="AN33" s="13" t="n"/>
      <c r="AO33" s="13" t="n"/>
      <c r="AP33" s="220" t="n"/>
      <c r="AQ33" s="13" t="n"/>
      <c r="AR33" s="13" t="n"/>
    </row>
    <row r="34" customFormat="1" s="13">
      <c r="A34" s="13" t="n"/>
      <c r="B34" s="1103" t="n"/>
      <c r="C34" s="1103" t="n"/>
      <c r="D34" s="1103" t="n"/>
      <c r="E34" s="13" t="n"/>
      <c r="F34" s="13" t="n"/>
      <c r="G34" s="13" t="n"/>
      <c r="H34" s="13" t="n"/>
      <c r="I34" s="13" t="n"/>
      <c r="J34" s="13" t="n"/>
      <c r="K34" s="13" t="n"/>
      <c r="L34" s="13" t="n"/>
      <c r="M34" s="13" t="n"/>
      <c r="N34" s="13" t="n"/>
      <c r="O34" s="13" t="n"/>
      <c r="P34" s="13" t="n"/>
      <c r="Q34" s="13" t="n"/>
      <c r="R34" s="13" t="n"/>
      <c r="S34" s="1103" t="n"/>
      <c r="T34" s="13" t="n"/>
      <c r="U34" s="13" t="n"/>
      <c r="V34" s="13" t="n"/>
      <c r="W34" s="13" t="n"/>
      <c r="X34" s="171" t="n"/>
      <c r="Y34" s="171" t="n"/>
      <c r="Z34" s="13" t="n"/>
      <c r="AA34" s="13" t="n"/>
      <c r="AB34" s="13" t="n"/>
      <c r="AC34" s="13" t="n"/>
      <c r="AD34" s="13" t="n"/>
      <c r="AE34" s="13" t="n"/>
      <c r="AF34" s="13" t="n"/>
      <c r="AG34" s="13" t="n"/>
      <c r="AH34" s="13" t="n"/>
      <c r="AI34" s="13" t="n"/>
      <c r="AJ34" s="13" t="n"/>
      <c r="AK34" s="13" t="n"/>
      <c r="AL34" s="716" t="n"/>
      <c r="AM34" s="13" t="n"/>
      <c r="AN34" s="13" t="n"/>
      <c r="AO34" s="13" t="n"/>
      <c r="AP34" s="220" t="n"/>
      <c r="AQ34" s="13" t="n"/>
      <c r="AR34" s="13" t="n"/>
    </row>
    <row r="35" ht="28.8" customHeight="1" s="1181">
      <c r="A35" s="384" t="n"/>
      <c r="B35" s="384" t="n"/>
      <c r="C35" s="384" t="n"/>
      <c r="D35" s="384" t="n"/>
      <c r="E35" s="384" t="n"/>
      <c r="F35" s="384" t="n"/>
      <c r="G35" s="384" t="n"/>
      <c r="H35" s="384" t="n"/>
      <c r="I35" s="384" t="n"/>
      <c r="J35" s="384" t="n"/>
      <c r="K35" s="384" t="n"/>
      <c r="L35" s="384" t="n"/>
      <c r="M35" s="384" t="n"/>
      <c r="N35" s="384" t="n"/>
      <c r="O35" s="384" t="n"/>
      <c r="P35" s="384" t="n"/>
      <c r="Q35" s="384" t="n"/>
      <c r="R35" s="384" t="n"/>
      <c r="S35" s="32" t="n"/>
      <c r="T35" s="384" t="n"/>
      <c r="U35" s="384" t="n"/>
      <c r="V35" s="384" t="n"/>
      <c r="W35" s="384" t="n"/>
      <c r="X35" s="38" t="n"/>
      <c r="Y35" s="38" t="n"/>
      <c r="Z35" s="13" t="n"/>
      <c r="AA35" s="520" t="n"/>
      <c r="AB35" s="465" t="n"/>
      <c r="AC35" s="520" t="inlineStr">
        <is>
          <t>现金流量表-单体</t>
        </is>
      </c>
      <c r="AD35" s="384" t="n"/>
      <c r="AE35" s="465" t="n"/>
      <c r="AF35" s="384" t="n"/>
      <c r="AG35" s="384" t="n"/>
      <c r="AH35" s="384" t="n"/>
      <c r="AI35" s="384" t="n"/>
      <c r="AJ35" s="384" t="n"/>
      <c r="AK35" s="384" t="n"/>
      <c r="AL35" s="384" t="n"/>
      <c r="AM35" s="384" t="n"/>
      <c r="AN35" s="384" t="n"/>
      <c r="AO35" s="384" t="n"/>
      <c r="AP35" s="384" t="n"/>
      <c r="AQ35" s="384" t="n"/>
      <c r="AR35" s="384" t="n"/>
    </row>
    <row r="36" ht="15.2" customFormat="1" customHeight="1" s="716">
      <c r="A36" s="716" t="n"/>
      <c r="B36" s="716" t="n"/>
      <c r="C36" s="716" t="n"/>
      <c r="D36" s="716" t="n"/>
      <c r="E36" s="716" t="n"/>
      <c r="F36" s="716" t="n"/>
      <c r="G36" s="716" t="n"/>
      <c r="H36" s="716" t="n"/>
      <c r="I36" s="716" t="n"/>
      <c r="J36" s="716" t="n"/>
      <c r="K36" s="716" t="n"/>
      <c r="L36" s="716" t="n"/>
      <c r="M36" s="716" t="n"/>
      <c r="N36" s="716" t="n"/>
      <c r="O36" s="716" t="n"/>
      <c r="P36" s="716" t="n"/>
      <c r="Q36" s="716" t="n"/>
      <c r="R36" s="716" t="n"/>
      <c r="S36" s="462" t="n"/>
      <c r="T36" s="716" t="n"/>
      <c r="U36" s="716" t="n"/>
      <c r="V36" s="716" t="n"/>
      <c r="W36" s="716" t="n"/>
      <c r="X36" s="190">
        <f>IF(_epmOfflineCondition_,"编制单位：内蒙古京能苏尼特风力发电有限公司（内蒙古分公司）","编制单位："&amp;EPMMemberDesc($D$6))</f>
        <v/>
      </c>
      <c r="Y36" s="190" t="n"/>
      <c r="Z36" s="716" t="n"/>
      <c r="AA36" s="716" t="n"/>
      <c r="AB36" s="203" t="n"/>
      <c r="AC36" s="716" t="n"/>
      <c r="AD36" s="716" t="n"/>
      <c r="AE36" s="716" t="n"/>
      <c r="AF36" s="716" t="n"/>
      <c r="AG36" s="716" t="n"/>
      <c r="AH36" s="716" t="n"/>
      <c r="AI36" s="716" t="n"/>
      <c r="AJ36" s="716" t="n"/>
      <c r="AK36" s="716" t="n"/>
      <c r="AL36" s="716" t="n"/>
      <c r="AM36" s="716" t="n"/>
      <c r="AN36" s="716" t="n"/>
      <c r="AO36" s="716" t="n"/>
      <c r="AP36" s="716" t="n"/>
      <c r="AQ36" s="716" t="n"/>
      <c r="AR36" s="716" t="n"/>
    </row>
    <row r="37" ht="15.2" customFormat="1" customHeight="1" s="716">
      <c r="A37" s="716" t="n"/>
      <c r="B37" s="716" t="n"/>
      <c r="C37" s="716" t="n"/>
      <c r="D37" s="716" t="n"/>
      <c r="E37" s="716" t="n"/>
      <c r="F37" s="716" t="n"/>
      <c r="G37" s="716" t="n"/>
      <c r="H37" s="716" t="n"/>
      <c r="I37" s="716" t="n"/>
      <c r="J37" s="716" t="n"/>
      <c r="K37" s="716" t="n"/>
      <c r="L37" s="716" t="n"/>
      <c r="M37" s="716" t="n"/>
      <c r="N37" s="716" t="n"/>
      <c r="O37" s="716" t="n"/>
      <c r="P37" s="716" t="n"/>
      <c r="Q37" s="716" t="n"/>
      <c r="R37" s="716" t="n"/>
      <c r="S37" s="462" t="n"/>
      <c r="T37" s="716" t="n"/>
      <c r="U37" s="716" t="n"/>
      <c r="V37" s="716" t="n"/>
      <c r="W37" s="716" t="n"/>
      <c r="X37" s="190">
        <f>"编制月份："&amp;$I$3&amp;"年"&amp;$I$8&amp;"月"</f>
        <v/>
      </c>
      <c r="Y37" s="190" t="inlineStr">
        <is>
          <t>币种：</t>
        </is>
      </c>
      <c r="Z37" s="716" t="inlineStr">
        <is>
          <t>LC</t>
        </is>
      </c>
      <c r="AA37" s="716" t="inlineStr">
        <is>
          <t>操作提示：表单默认币种LC（本位币），外币记账单位，可点击左侧，更换币种，更换后点击EPM选项卡中的“刷新”按钮</t>
        </is>
      </c>
      <c r="AB37" s="203" t="n"/>
      <c r="AC37" s="716" t="n"/>
      <c r="AD37" s="223" t="inlineStr">
        <is>
          <t>金额单位：元</t>
        </is>
      </c>
      <c r="AE37" s="716" t="n"/>
      <c r="AF37" s="716" t="n"/>
      <c r="AG37" s="716" t="n"/>
      <c r="AH37" s="716" t="n"/>
      <c r="AI37" s="716" t="n"/>
      <c r="AJ37" s="716" t="n"/>
      <c r="AK37" s="716" t="n"/>
      <c r="AL37" s="716" t="n"/>
      <c r="AM37" s="716" t="n"/>
      <c r="AN37" s="716" t="n"/>
      <c r="AO37" s="716" t="n"/>
      <c r="AP37" s="716" t="n"/>
      <c r="AQ37" s="716" t="n"/>
      <c r="AR37" s="716" t="n"/>
    </row>
    <row r="38" hidden="1" ht="15.2" customFormat="1" customHeight="1" s="716">
      <c r="A38" s="716" t="n"/>
      <c r="B38" s="716" t="n"/>
      <c r="C38" s="716" t="n"/>
      <c r="D38" s="716" t="n"/>
      <c r="E38" s="716" t="n"/>
      <c r="F38" s="716" t="n"/>
      <c r="G38" s="716" t="n"/>
      <c r="H38" s="716" t="n"/>
      <c r="I38" s="716" t="n"/>
      <c r="J38" s="716" t="n"/>
      <c r="K38" s="716" t="n"/>
      <c r="L38" s="716" t="n"/>
      <c r="M38" s="716" t="n"/>
      <c r="N38" s="716" t="n"/>
      <c r="O38" s="716" t="n"/>
      <c r="P38" s="716" t="n"/>
      <c r="Q38" s="716" t="n"/>
      <c r="R38" s="716" t="n"/>
      <c r="S38" s="462" t="n"/>
      <c r="T38" s="716" t="n"/>
      <c r="U38" s="716" t="n"/>
      <c r="V38" s="716" t="n"/>
      <c r="W38" s="716" t="n"/>
      <c r="X38" s="190" t="n"/>
      <c r="Y38" s="190" t="n"/>
      <c r="Z38" s="716" t="n"/>
      <c r="AA38" s="716" t="n"/>
      <c r="AB38" s="203" t="n"/>
      <c r="AC38" s="716" t="n"/>
      <c r="AD38" s="223" t="n"/>
      <c r="AE38" s="716" t="n"/>
      <c r="AF38" s="716" t="n"/>
      <c r="AG38" s="716" t="n"/>
      <c r="AH38" s="716" t="n"/>
      <c r="AI38" s="716" t="n"/>
      <c r="AJ38" s="716" t="n"/>
      <c r="AK38" s="716" t="n"/>
      <c r="AL38" s="716" t="n"/>
      <c r="AM38" s="716" t="n"/>
      <c r="AN38" s="716" t="n"/>
      <c r="AO38" s="716" t="n"/>
      <c r="AP38" s="716" t="n"/>
      <c r="AQ38" s="716" t="n"/>
      <c r="AR38" s="716" t="n"/>
    </row>
    <row r="39" ht="15.2" customFormat="1" customHeight="1" s="716">
      <c r="A39" s="716" t="n"/>
      <c r="B39" s="716" t="n"/>
      <c r="C39" s="716" t="n"/>
      <c r="D39" s="716" t="n"/>
      <c r="E39" s="716" t="n"/>
      <c r="F39" s="716" t="n"/>
      <c r="G39" s="716" t="n"/>
      <c r="H39" s="716" t="n"/>
      <c r="I39" s="716" t="n"/>
      <c r="J39" s="716" t="n"/>
      <c r="K39" s="716" t="n"/>
      <c r="L39" s="716" t="n"/>
      <c r="M39" s="716" t="n"/>
      <c r="N39" s="716" t="n"/>
      <c r="O39" s="716" t="n"/>
      <c r="P39" s="716" t="n"/>
      <c r="Q39" s="716" t="n"/>
      <c r="R39" s="716" t="n"/>
      <c r="S39" s="462" t="n"/>
      <c r="T39" s="716" t="n"/>
      <c r="U39" s="716" t="n"/>
      <c r="V39" s="716" t="n"/>
      <c r="W39" s="716" t="n"/>
      <c r="X39" s="450" t="inlineStr">
        <is>
          <t>项        目</t>
        </is>
      </c>
      <c r="Y39" s="450" t="inlineStr">
        <is>
          <t>行次</t>
        </is>
      </c>
      <c r="Z39" s="466" t="inlineStr">
        <is>
          <t>本月数</t>
        </is>
      </c>
      <c r="AA39" s="466" t="inlineStr">
        <is>
          <t>本年累计-科目余额表
（系统自动生成）</t>
        </is>
      </c>
      <c r="AB39" s="466" t="inlineStr">
        <is>
          <t>本年累计-单体调整
（人工调整）</t>
        </is>
      </c>
      <c r="AC39" s="467" t="inlineStr">
        <is>
          <t>本年累计数</t>
        </is>
      </c>
      <c r="AD39" s="467" t="inlineStr">
        <is>
          <t>上年同期累计数</t>
        </is>
      </c>
      <c r="AE39" s="716" t="n"/>
      <c r="AF39" s="716" t="n"/>
      <c r="AG39" s="716" t="n"/>
      <c r="AH39" s="716" t="n"/>
      <c r="AI39" s="716" t="n"/>
      <c r="AJ39" s="716" t="n"/>
      <c r="AK39" s="716" t="n"/>
      <c r="AL39" s="716" t="n"/>
      <c r="AM39" s="716" t="n"/>
      <c r="AN39" s="716" t="n"/>
      <c r="AO39" s="716" t="n"/>
      <c r="AP39" s="716" t="n"/>
      <c r="AQ39" s="716" t="n"/>
      <c r="AR39" s="716" t="n"/>
    </row>
    <row r="40" ht="15.2" customFormat="1" customHeight="1" s="716">
      <c r="A40" s="716" t="n"/>
      <c r="B40" s="716" t="n"/>
      <c r="C40" s="716" t="n"/>
      <c r="D40" s="716" t="n"/>
      <c r="E40" s="716" t="n"/>
      <c r="F40" s="716" t="n"/>
      <c r="G40" s="716" t="n"/>
      <c r="H40" s="716" t="n"/>
      <c r="I40" s="716" t="n"/>
      <c r="J40" s="716" t="n"/>
      <c r="K40" s="716" t="n"/>
      <c r="L40" s="716" t="n"/>
      <c r="M40" s="716" t="n"/>
      <c r="N40" s="716" t="n"/>
      <c r="O40" s="716" t="n"/>
      <c r="P40" s="716" t="n"/>
      <c r="Q40" s="716" t="n"/>
      <c r="R40" s="716" t="n"/>
      <c r="S40" s="462" t="n"/>
      <c r="T40" s="716" t="n"/>
      <c r="U40" s="716" t="n"/>
      <c r="V40" s="716" t="n"/>
      <c r="W40" s="716" t="n"/>
      <c r="X40" s="1184" t="n"/>
      <c r="Y40" s="1184" t="n"/>
      <c r="Z40" s="1211" t="n"/>
      <c r="AA40" s="1211" t="n"/>
      <c r="AB40" s="1211" t="n"/>
      <c r="AC40" s="1211" t="n"/>
      <c r="AD40" s="1211" t="n"/>
      <c r="AE40" s="716" t="n"/>
      <c r="AF40" s="716" t="n"/>
      <c r="AG40" s="716" t="n"/>
      <c r="AH40" s="716" t="n"/>
      <c r="AI40" s="716" t="n"/>
      <c r="AJ40" s="716" t="n"/>
      <c r="AK40" s="716" t="n"/>
      <c r="AL40" s="716" t="n"/>
      <c r="AM40" s="716" t="n"/>
      <c r="AN40" s="716" t="n"/>
      <c r="AO40" s="716" t="n"/>
      <c r="AP40" s="716" t="n"/>
      <c r="AQ40" s="716" t="n"/>
      <c r="AR40" s="716" t="n"/>
    </row>
    <row r="41" hidden="1" ht="15.2" customFormat="1" customHeight="1" s="24">
      <c r="A41" s="24" t="n"/>
      <c r="B41" s="24" t="n"/>
      <c r="C41" s="24" t="n"/>
      <c r="D41" s="24" t="n"/>
      <c r="E41" s="24" t="n"/>
      <c r="F41" s="24" t="n"/>
      <c r="G41" s="24" t="n"/>
      <c r="H41" s="24" t="n"/>
      <c r="I41" s="24" t="n"/>
      <c r="J41" s="24" t="n"/>
      <c r="K41" s="24" t="n"/>
      <c r="L41" s="24" t="n"/>
      <c r="M41" s="24" t="n"/>
      <c r="N41" s="24" t="n"/>
      <c r="O41" s="24" t="n"/>
      <c r="P41" s="24" t="n"/>
      <c r="Q41" s="24" t="n"/>
      <c r="R41" s="24" t="n"/>
      <c r="S41" s="24" t="n"/>
      <c r="T41" s="24" t="n"/>
      <c r="U41" s="24" t="n"/>
      <c r="V41" s="24" t="n"/>
      <c r="W41" s="24" t="n"/>
      <c r="X41" s="451" t="inlineStr">
        <is>
          <t>time</t>
        </is>
      </c>
      <c r="Y41" s="726" t="n"/>
      <c r="Z41" s="469">
        <f>IF(_epmOfflineCondition_,"2025.03",EPMOlapMemberO($I$11,"[C_TIME].[PARENTH1].[2025.03]","2025.03 - 2025.03","","000"))</f>
        <v/>
      </c>
      <c r="AA41" s="469">
        <f>IF(_epmOfflineCondition_,"2025.03",EPMOlapMemberO($I$11,"[C_TIME].[PARENTH1].[2025.03]","2025.03 - 2025.03","","000"))</f>
        <v/>
      </c>
      <c r="AB41" s="469">
        <f>IF(_epmOfflineCondition_,"2025.03",EPMOlapMemberO($I$11,"[C_TIME].[PARENTH1].[2025.03]","2025.03 - 2025.03","","000"))</f>
        <v/>
      </c>
      <c r="AC41" s="469">
        <f>IF(_epmOfflineCondition_,"2025.03",EPMOlapMemberO($I$11,"[C_TIME].[PARENTH1].[2025.03]","2025.03 - 2025.03","","000"))</f>
        <v/>
      </c>
      <c r="AD41" s="469">
        <f>IF(_epmOfflineCondition_,"2024.03",EPMOlapMemberO(I13,"[C_TIME].[PARENTH1].[2024.03]","2024.03 - 2024.03","","000"))</f>
        <v/>
      </c>
      <c r="AE41" s="716" t="n"/>
      <c r="AF41" s="462" t="n"/>
      <c r="AG41" s="462" t="n"/>
      <c r="AH41" s="462" t="n"/>
      <c r="AI41" s="462" t="n"/>
      <c r="AJ41" s="462" t="n"/>
      <c r="AK41" s="462" t="n"/>
      <c r="AL41" s="462" t="n"/>
      <c r="AM41" s="24" t="n"/>
      <c r="AN41" s="24" t="n"/>
      <c r="AO41" s="24" t="n"/>
      <c r="AP41" s="24" t="n"/>
      <c r="AQ41" s="24" t="n"/>
      <c r="AR41" s="24" t="n"/>
    </row>
    <row r="42" hidden="1" ht="15.2" customFormat="1" customHeight="1" s="716">
      <c r="A42" s="716" t="n"/>
      <c r="B42" s="716" t="n"/>
      <c r="C42" s="716" t="n"/>
      <c r="D42" s="716" t="n"/>
      <c r="E42" s="716" t="n"/>
      <c r="F42" s="716" t="n"/>
      <c r="G42" s="716" t="n"/>
      <c r="H42" s="716" t="n"/>
      <c r="I42" s="716" t="n"/>
      <c r="J42" s="716" t="n"/>
      <c r="K42" s="716" t="n"/>
      <c r="L42" s="716" t="n"/>
      <c r="M42" s="716" t="n"/>
      <c r="N42" s="716" t="n"/>
      <c r="O42" s="716" t="n"/>
      <c r="P42" s="716" t="n"/>
      <c r="Q42" s="716" t="n"/>
      <c r="R42" s="716" t="n"/>
      <c r="S42" s="462" t="n"/>
      <c r="T42" s="716" t="n"/>
      <c r="U42" s="716" t="n"/>
      <c r="V42" s="716" t="n"/>
      <c r="W42" s="716" t="n"/>
      <c r="X42" s="451" t="inlineStr">
        <is>
          <t>category</t>
        </is>
      </c>
      <c r="Y42" s="451" t="n"/>
      <c r="Z42" s="182">
        <f>IF(_epmOfflineCondition_,"C1001",EPMOlapMemberO($AC$25,"[C_CATEGORY].[PARENTH1].[C1001]","C1001 - 实际数/决算数","","000"))</f>
        <v/>
      </c>
      <c r="AA42" s="182">
        <f>IF(_epmOfflineCondition_,"C1001",EPMOlapMemberO($AC$25,"[C_CATEGORY].[PARENTH1].[C1001]","C1001 - 实际数/决算数","","000"))</f>
        <v/>
      </c>
      <c r="AB42" s="182">
        <f>IF(_epmOfflineCondition_,"C1001",EPMOlapMemberO($AC$25,"[C_CATEGORY].[PARENTH1].[C1001]","C1001 - 实际数/决算数","","000"))</f>
        <v/>
      </c>
      <c r="AC42" s="182">
        <f>IF(_epmOfflineCondition_,"C1001",EPMOlapMemberO($AC$25,"[C_CATEGORY].[PARENTH1].[C1001]","C1001 - 实际数/决算数","","000"))</f>
        <v/>
      </c>
      <c r="AD42" s="182">
        <f>IF(_epmOfflineCondition_,"C1001",EPMOlapMemberO($AC$25,"[C_CATEGORY].[PARENTH1].[C1001]","C1001 - 实际数/决算数","","000"))</f>
        <v/>
      </c>
      <c r="AE42" s="716" t="n"/>
      <c r="AF42" s="716" t="n"/>
      <c r="AG42" s="716" t="n"/>
      <c r="AH42" s="716" t="n"/>
      <c r="AI42" s="716" t="n"/>
      <c r="AJ42" s="716" t="n"/>
      <c r="AK42" s="716" t="n"/>
      <c r="AL42" s="716" t="n"/>
      <c r="AM42" s="716" t="n"/>
      <c r="AN42" s="716" t="n"/>
      <c r="AO42" s="716" t="n"/>
      <c r="AP42" s="716" t="n"/>
      <c r="AQ42" s="716" t="n"/>
      <c r="AR42" s="716" t="n"/>
    </row>
    <row r="43" hidden="1" ht="15.2" customFormat="1" customHeight="1" s="716">
      <c r="A43" s="716" t="n"/>
      <c r="B43" s="716" t="n"/>
      <c r="C43" s="716" t="n"/>
      <c r="D43" s="716" t="n"/>
      <c r="E43" s="716" t="n"/>
      <c r="F43" s="716" t="n"/>
      <c r="G43" s="716" t="n"/>
      <c r="H43" s="716" t="n"/>
      <c r="I43" s="716" t="n"/>
      <c r="J43" s="716" t="n"/>
      <c r="K43" s="716" t="n"/>
      <c r="L43" s="716" t="n"/>
      <c r="M43" s="716" t="n"/>
      <c r="N43" s="716" t="n"/>
      <c r="O43" s="716" t="n"/>
      <c r="P43" s="716" t="n"/>
      <c r="Q43" s="716" t="n"/>
      <c r="R43" s="716" t="n"/>
      <c r="S43" s="462" t="n"/>
      <c r="T43" s="716" t="n"/>
      <c r="U43" s="716" t="n"/>
      <c r="V43" s="716" t="n"/>
      <c r="W43" s="716" t="n"/>
      <c r="X43" s="451" t="inlineStr">
        <is>
          <t>audittrail</t>
        </is>
      </c>
      <c r="Y43" s="451" t="n"/>
      <c r="Z43" s="182">
        <f>IF(_epmOfflineCondition_,"DLC",EPMOlapMemberO($AE$29,"[C_AUDITTRAIL].[PARENTH1].[DLC]","DLC - 单体报表","","000"))</f>
        <v/>
      </c>
      <c r="AA43" s="182">
        <f>IF(_epmOfflineCondition_,"DLC_BK",EPMOlapMemberO($AC$29,"[C_AUDITTRAIL].[PARENTH1].[DLC_BK]","DLC_BK - 单体账面","","000"))</f>
        <v/>
      </c>
      <c r="AB43" s="182">
        <f>IF(_epmOfflineCondition_,"DLC_RC_IPT",EPMOlapMemberO($AD$29,"[C_AUDITTRAIL].[PARENTH1].[DLC_RC_IPT]","DLC_RC_IPT - 重分类清单调整","","000"))</f>
        <v/>
      </c>
      <c r="AC43" s="182">
        <f>IF(_epmOfflineCondition_,"DLC",EPMOlapMemberO($AE$29,"[C_AUDITTRAIL].[PARENTH1].[DLC]","DLC - 单体报表","","000"))</f>
        <v/>
      </c>
      <c r="AD43" s="182">
        <f>IF(_epmOfflineCondition_,"DLC",EPMOlapMemberO($AE$29,"[C_AUDITTRAIL].[PARENTH1].[DLC]","DLC - 单体报表","","000"))</f>
        <v/>
      </c>
      <c r="AE43" s="716" t="n"/>
      <c r="AF43" s="716" t="n"/>
      <c r="AG43" s="716" t="n"/>
      <c r="AH43" s="716" t="n"/>
      <c r="AI43" s="716" t="n"/>
      <c r="AJ43" s="716" t="n"/>
      <c r="AK43" s="716" t="n"/>
      <c r="AL43" s="716" t="n"/>
      <c r="AM43" s="716" t="n"/>
      <c r="AN43" s="716" t="n"/>
      <c r="AO43" s="716" t="n"/>
      <c r="AP43" s="716" t="n"/>
      <c r="AQ43" s="716" t="n"/>
      <c r="AR43" s="716" t="n"/>
    </row>
    <row r="44" hidden="1" ht="26" customFormat="1" customHeight="1" s="716">
      <c r="A44" s="716" t="n"/>
      <c r="B44" s="716" t="n"/>
      <c r="C44" s="716" t="n"/>
      <c r="D44" s="716" t="n"/>
      <c r="E44" s="716" t="n"/>
      <c r="F44" s="716" t="n"/>
      <c r="G44" s="716" t="n"/>
      <c r="H44" s="716" t="n"/>
      <c r="I44" s="716" t="n"/>
      <c r="J44" s="716" t="n"/>
      <c r="K44" s="716" t="n"/>
      <c r="L44" s="716" t="n"/>
      <c r="M44" s="716" t="n"/>
      <c r="N44" s="716" t="n"/>
      <c r="O44" s="716" t="n"/>
      <c r="P44" s="716" t="n"/>
      <c r="Q44" s="716" t="n"/>
      <c r="R44" s="716" t="n"/>
      <c r="S44" s="462" t="n"/>
      <c r="T44" s="716" t="n"/>
      <c r="U44" s="716" t="n"/>
      <c r="V44" s="452" t="n"/>
      <c r="W44" s="716" t="n"/>
      <c r="X44" s="451" t="inlineStr">
        <is>
          <t>flow</t>
        </is>
      </c>
      <c r="Y44" s="451" t="n"/>
      <c r="Z44" s="182">
        <f>IF(_epmOfflineCondition_,"FMOV",EPMOlapMemberO($AH$28,"[C_FLOW].[PARENTH1].[FMOV]","FMOV - 本期变动","","000"))</f>
        <v/>
      </c>
      <c r="AA44" s="182">
        <f>IF(_epmOfflineCondition_,"FEND",EPMOlapMemberO($AG$28,"[C_FLOW].[PARENTH1].[FEND]","FEND - 期末金额","","000"))</f>
        <v/>
      </c>
      <c r="AB44" s="182">
        <f>IF(_epmOfflineCondition_,"FEND",EPMOlapMemberO($AG$28,"[C_FLOW].[PARENTH1].[FEND]","FEND - 期末金额","","000"))</f>
        <v/>
      </c>
      <c r="AC44" s="182">
        <f>IF(_epmOfflineCondition_,"FEND",EPMOlapMemberO($AG$28,"[C_FLOW].[PARENTH1].[FEND]","FEND - 期末金额","","000"))</f>
        <v/>
      </c>
      <c r="AD44" s="182">
        <f>IF(_epmOfflineCondition_,"FEND",EPMOlapMemberO($AG$28,"[C_FLOW].[PARENTH1].[FEND]","FEND - 期末金额","","000"))</f>
        <v/>
      </c>
      <c r="AE44" s="716" t="n"/>
      <c r="AF44" s="716" t="n"/>
      <c r="AG44" s="716" t="n"/>
      <c r="AH44" s="716" t="n"/>
      <c r="AI44" s="716" t="n"/>
      <c r="AJ44" s="716" t="n"/>
      <c r="AK44" s="716" t="n"/>
      <c r="AL44" s="716" t="n"/>
      <c r="AM44" s="716" t="n"/>
      <c r="AN44" s="716" t="n"/>
      <c r="AO44" s="716" t="n"/>
      <c r="AP44" s="716" t="n"/>
      <c r="AQ44" s="716" t="n"/>
      <c r="AR44" s="716" t="n"/>
    </row>
    <row r="45" hidden="1" ht="15.2" customFormat="1" customHeight="1" s="716">
      <c r="A45" s="716" t="n"/>
      <c r="B45" s="716" t="n"/>
      <c r="C45" s="716" t="n"/>
      <c r="D45" s="716" t="n"/>
      <c r="E45" s="716" t="n"/>
      <c r="F45" s="716" t="n"/>
      <c r="G45" s="716" t="n"/>
      <c r="H45" s="716" t="n"/>
      <c r="I45" s="716" t="n"/>
      <c r="J45" s="716" t="n"/>
      <c r="K45" s="716" t="n"/>
      <c r="L45" s="716" t="n"/>
      <c r="M45" s="716" t="n"/>
      <c r="N45" s="716" t="n"/>
      <c r="O45" s="716" t="n"/>
      <c r="P45" s="716" t="n"/>
      <c r="Q45" s="716" t="n"/>
      <c r="R45" s="716" t="n"/>
      <c r="S45" s="462" t="n"/>
      <c r="T45" s="716" t="n"/>
      <c r="U45" s="716" t="n"/>
      <c r="V45" s="716" t="n"/>
      <c r="W45" s="716" t="n"/>
      <c r="X45" s="451" t="inlineStr">
        <is>
          <t>measures</t>
        </is>
      </c>
      <c r="Y45" s="451" t="n"/>
      <c r="Z45" s="182">
        <f>IF(_epmOfflineCondition_,"Periodic",EPMOlapMemberO($AE$27,"[MEASURES].[].[PERIODIC]","PERIODIC - Periodic","","000"))</f>
        <v/>
      </c>
      <c r="AA45" s="182">
        <f>IF(_epmOfflineCondition_,"YTD",EPMOlapMemberO($AD$27,"[MEASURES].[].[YTD]","YTD - Year To Date","","000"))</f>
        <v/>
      </c>
      <c r="AB45" s="182">
        <f>IF(_epmOfflineCondition_,"YTD",EPMOlapMemberO($AD$27,"[MEASURES].[].[YTD]","YTD - Year To Date","","000"))</f>
        <v/>
      </c>
      <c r="AC45" s="182">
        <f>IF(_epmOfflineCondition_,"YTD",EPMOlapMemberO($AD$27,"[MEASURES].[].[YTD]","YTD - Year To Date","","000"))</f>
        <v/>
      </c>
      <c r="AD45" s="182">
        <f>IF(_epmOfflineCondition_,"YTD",EPMOlapMemberO($AD$27,"[MEASURES].[].[YTD]","YTD - Year To Date","","000"))</f>
        <v/>
      </c>
      <c r="AE45" s="716" t="n"/>
      <c r="AF45" s="716" t="n"/>
      <c r="AG45" s="716" t="n"/>
      <c r="AH45" s="716" t="n"/>
      <c r="AI45" s="716" t="n"/>
      <c r="AJ45" s="716" t="n"/>
      <c r="AK45" s="716" t="n"/>
      <c r="AL45" s="716" t="n"/>
      <c r="AM45" s="716" t="n"/>
      <c r="AN45" s="716" t="n"/>
      <c r="AO45" s="716" t="n"/>
      <c r="AP45" s="716" t="n"/>
      <c r="AQ45" s="716" t="n"/>
      <c r="AR45" s="716" t="n"/>
    </row>
    <row r="46" ht="15.2" customFormat="1" customHeight="1" s="716">
      <c r="A46" s="716" t="n"/>
      <c r="B46" s="716" t="n"/>
      <c r="C46" s="716" t="n"/>
      <c r="D46" s="716" t="n"/>
      <c r="E46" s="716" t="n"/>
      <c r="F46" s="716" t="n"/>
      <c r="G46" s="716" t="n"/>
      <c r="H46" s="716" t="n"/>
      <c r="I46" s="716" t="n"/>
      <c r="J46" s="716" t="n"/>
      <c r="K46" s="716" t="n"/>
      <c r="L46" s="716" t="n"/>
      <c r="M46" s="716" t="n"/>
      <c r="N46" s="716" t="n"/>
      <c r="O46" s="716" t="n"/>
      <c r="P46" s="716" t="n"/>
      <c r="Q46" s="716" t="n"/>
      <c r="R46" s="716" t="n"/>
      <c r="S46" s="462">
        <f>IF(_epmOfflineCondition_,"一、经营活动产生的现金流量：",EPMMemberDesc(U46))</f>
        <v/>
      </c>
      <c r="T46" s="716" t="n"/>
      <c r="U46" s="716" t="inlineStr">
        <is>
          <t>A00301</t>
        </is>
      </c>
      <c r="V46" s="455">
        <f>IF(_epmOfflineCondition_,"A00301",EPMOlapMemberO(U46,"[C_ACCOUNT].[PARENTH1].[A00301]","A00301 - 一、经营活动产生的现金流量：","","000"))</f>
        <v/>
      </c>
      <c r="W46" s="462" t="n"/>
      <c r="X46" s="454" t="inlineStr">
        <is>
          <t>一、经营活动产生的现金流量：</t>
        </is>
      </c>
      <c r="Y46" s="1185" t="inlineStr">
        <is>
          <t>-</t>
        </is>
      </c>
      <c r="Z46" s="1186">
        <f>"— —"</f>
        <v/>
      </c>
      <c r="AA46" s="1186">
        <f>"— —"</f>
        <v/>
      </c>
      <c r="AB46" s="1186">
        <f>"— —"</f>
        <v/>
      </c>
      <c r="AC46" s="1186">
        <f>"— —"</f>
        <v/>
      </c>
      <c r="AD46" s="1186">
        <f>"— —"</f>
        <v/>
      </c>
      <c r="AE46" s="716" t="n"/>
      <c r="AF46" s="716" t="n"/>
      <c r="AG46" s="716" t="n"/>
      <c r="AH46" s="716" t="n"/>
      <c r="AI46" s="716" t="n"/>
      <c r="AJ46" s="716" t="n"/>
      <c r="AK46" s="716" t="n"/>
      <c r="AL46" s="716" t="n"/>
      <c r="AM46" s="716" t="n"/>
      <c r="AN46" s="716" t="n"/>
      <c r="AO46" s="716" t="n"/>
      <c r="AP46" s="716" t="n"/>
      <c r="AQ46" s="716" t="n"/>
      <c r="AR46" s="716" t="n"/>
    </row>
    <row r="47" ht="15.2" customFormat="1" customHeight="1" s="716">
      <c r="A47" s="716" t="n"/>
      <c r="B47" s="716" t="n"/>
      <c r="C47" s="716" t="n"/>
      <c r="D47" s="716" t="n"/>
      <c r="E47" s="716" t="n"/>
      <c r="F47" s="716" t="n"/>
      <c r="G47" s="716" t="n"/>
      <c r="H47" s="716" t="n"/>
      <c r="I47" s="716" t="n"/>
      <c r="J47" s="716" t="n"/>
      <c r="K47" s="716" t="n"/>
      <c r="L47" s="716" t="n"/>
      <c r="M47" s="716" t="n"/>
      <c r="N47" s="716" t="n"/>
      <c r="O47" s="716" t="n"/>
      <c r="P47" s="716" t="n"/>
      <c r="Q47" s="716" t="n"/>
      <c r="R47" s="716" t="n"/>
      <c r="S47" s="462">
        <f>IF(_epmOfflineCondition_,"销售商品、提供劳务收到的现金",EPMMemberDesc(U47))</f>
        <v/>
      </c>
      <c r="T47" s="716" t="n"/>
      <c r="U47" s="716" t="inlineStr">
        <is>
          <t>A0030101</t>
        </is>
      </c>
      <c r="V47" s="635">
        <f>IF(_epmOfflineCondition_,"A0030101",EPMOlapMemberO(U47,"[C_ACCOUNT].[PARENTH1].[A0030101]","A0030101 - 销售商品、提供劳务收到的现金","","000"))</f>
        <v/>
      </c>
      <c r="W47" s="462" t="n"/>
      <c r="X47" s="585" t="inlineStr">
        <is>
          <t xml:space="preserve">　　 销售商品、提供劳务收到的现金</t>
        </is>
      </c>
      <c r="Y47" s="1185" t="inlineStr"/>
      <c r="Z47" s="1189" t="inlineStr"/>
      <c r="AA47" s="1189" t="inlineStr"/>
      <c r="AB47" s="1189" t="n"/>
      <c r="AC47" s="1190" t="inlineStr"/>
      <c r="AD47" s="1189" t="n"/>
      <c r="AE47" s="716" t="n"/>
      <c r="AF47" s="716" t="n"/>
      <c r="AG47" s="716" t="n"/>
      <c r="AH47" s="716" t="n"/>
      <c r="AI47" s="716" t="n"/>
      <c r="AJ47" s="716" t="n"/>
      <c r="AK47" s="716" t="n"/>
      <c r="AL47" s="716" t="n"/>
      <c r="AM47" s="716" t="n"/>
      <c r="AN47" s="716" t="n"/>
      <c r="AO47" s="716" t="n"/>
      <c r="AP47" s="716" t="n"/>
      <c r="AQ47" s="716" t="n"/>
      <c r="AR47" s="716" t="n"/>
    </row>
    <row r="48" ht="17" customFormat="1" customHeight="1" s="716">
      <c r="A48" s="716" t="n"/>
      <c r="B48" s="716" t="n"/>
      <c r="C48" s="716" t="n"/>
      <c r="D48" s="716" t="n"/>
      <c r="E48" s="716" t="n"/>
      <c r="F48" s="716" t="n"/>
      <c r="G48" s="716" t="n"/>
      <c r="H48" s="716" t="n"/>
      <c r="I48" s="716" t="n"/>
      <c r="J48" s="716" t="n"/>
      <c r="K48" s="716" t="n"/>
      <c r="L48" s="716" t="n"/>
      <c r="M48" s="716" t="n"/>
      <c r="N48" s="716" t="n"/>
      <c r="O48" s="716" t="n"/>
      <c r="P48" s="716" t="n"/>
      <c r="Q48" s="716" t="n"/>
      <c r="R48" s="716" t="n"/>
      <c r="S48" s="462">
        <f>IF(_epmOfflineCondition_,"    # 客户存款和同业存放款项净增加额",EPMMemberDesc(U48))</f>
        <v/>
      </c>
      <c r="T48" s="716" t="n"/>
      <c r="U48" s="716" t="inlineStr">
        <is>
          <t>A0030102</t>
        </is>
      </c>
      <c r="V48" s="635">
        <f>IF(_epmOfflineCondition_,"A0030102",EPMOlapMemberO(U48,"[C_ACCOUNT].[PARENTH1].[A0030102]","A0030102 -     # 客户存款和同业存放款项净增加额","","000"))</f>
        <v/>
      </c>
      <c r="W48" s="462" t="n"/>
      <c r="X48" s="999" t="inlineStr">
        <is>
          <t xml:space="preserve">  △客户存款和同业存放款项净增加额</t>
        </is>
      </c>
      <c r="Y48" s="1185" t="inlineStr"/>
      <c r="Z48" s="1189" t="n"/>
      <c r="AA48" s="1189" t="n"/>
      <c r="AB48" s="1189" t="n"/>
      <c r="AC48" s="1190" t="n"/>
      <c r="AD48" s="1189" t="n"/>
      <c r="AE48" s="716" t="n"/>
      <c r="AF48" s="716" t="n"/>
      <c r="AG48" s="716" t="n"/>
      <c r="AH48" s="716" t="n"/>
      <c r="AI48" s="716" t="n"/>
      <c r="AJ48" s="716" t="n"/>
      <c r="AK48" s="716" t="n"/>
      <c r="AL48" s="716" t="n"/>
      <c r="AM48" s="716" t="n"/>
      <c r="AN48" s="716" t="n"/>
      <c r="AO48" s="716" t="n"/>
      <c r="AP48" s="716" t="n"/>
      <c r="AQ48" s="716" t="n"/>
      <c r="AR48" s="716" t="n"/>
    </row>
    <row r="49" ht="17" customFormat="1" customHeight="1" s="716">
      <c r="A49" s="716" t="n"/>
      <c r="B49" s="716" t="n"/>
      <c r="C49" s="716" t="n"/>
      <c r="D49" s="716" t="n"/>
      <c r="E49" s="716" t="n"/>
      <c r="F49" s="716" t="n"/>
      <c r="G49" s="716" t="n"/>
      <c r="H49" s="716" t="n"/>
      <c r="I49" s="716" t="n"/>
      <c r="J49" s="716" t="n"/>
      <c r="K49" s="716" t="n"/>
      <c r="L49" s="716" t="n"/>
      <c r="M49" s="716" t="n"/>
      <c r="N49" s="716" t="n"/>
      <c r="O49" s="716" t="n"/>
      <c r="P49" s="716" t="n"/>
      <c r="Q49" s="716" t="n"/>
      <c r="R49" s="716" t="n"/>
      <c r="S49" s="462">
        <f>IF(_epmOfflineCondition_,"    # 向中央银行借款净增加额",EPMMemberDesc(U49))</f>
        <v/>
      </c>
      <c r="T49" s="716" t="n"/>
      <c r="U49" s="716" t="inlineStr">
        <is>
          <t>A0030103</t>
        </is>
      </c>
      <c r="V49" s="635">
        <f>IF(_epmOfflineCondition_,"A0030103",EPMOlapMemberO(U49,"[C_ACCOUNT].[PARENTH1].[A0030103]","A0030103 -     # 向中央银行借款净增加额","","000"))</f>
        <v/>
      </c>
      <c r="W49" s="462" t="n"/>
      <c r="X49" s="999" t="inlineStr">
        <is>
          <t xml:space="preserve">  △向中央银行借款净增加额</t>
        </is>
      </c>
      <c r="Y49" s="1185" t="inlineStr"/>
      <c r="Z49" s="1189" t="n"/>
      <c r="AA49" s="1189" t="n"/>
      <c r="AB49" s="1189" t="n"/>
      <c r="AC49" s="1190" t="n"/>
      <c r="AD49" s="1189" t="n"/>
      <c r="AE49" s="716" t="n"/>
      <c r="AF49" s="716" t="n"/>
      <c r="AG49" s="716" t="n"/>
      <c r="AH49" s="716" t="n"/>
      <c r="AI49" s="716" t="n"/>
      <c r="AJ49" s="716" t="n"/>
      <c r="AK49" s="716" t="n"/>
      <c r="AL49" s="716" t="n"/>
      <c r="AM49" s="716" t="n"/>
      <c r="AN49" s="716" t="n"/>
      <c r="AO49" s="716" t="n"/>
      <c r="AP49" s="716" t="n"/>
      <c r="AQ49" s="716" t="n"/>
      <c r="AR49" s="716" t="n"/>
    </row>
    <row r="50" ht="17" customFormat="1" customHeight="1" s="716">
      <c r="A50" s="716" t="n"/>
      <c r="B50" s="716" t="n"/>
      <c r="C50" s="716" t="n"/>
      <c r="D50" s="716" t="n"/>
      <c r="E50" s="716" t="n"/>
      <c r="F50" s="716" t="n"/>
      <c r="G50" s="716" t="n"/>
      <c r="H50" s="716" t="n"/>
      <c r="I50" s="716" t="n"/>
      <c r="J50" s="716" t="n"/>
      <c r="K50" s="716" t="n"/>
      <c r="L50" s="716" t="n"/>
      <c r="M50" s="716" t="n"/>
      <c r="N50" s="716" t="n"/>
      <c r="O50" s="716" t="n"/>
      <c r="P50" s="716" t="n"/>
      <c r="Q50" s="716" t="n"/>
      <c r="R50" s="716" t="n"/>
      <c r="S50" s="462">
        <f>IF(_epmOfflineCondition_,"    # 向其他金融机构拆入资金净增加额",EPMMemberDesc(U50))</f>
        <v/>
      </c>
      <c r="T50" s="716" t="n"/>
      <c r="U50" s="716" t="inlineStr">
        <is>
          <t>A0030104</t>
        </is>
      </c>
      <c r="V50" s="635">
        <f>IF(_epmOfflineCondition_,"A0030104",EPMOlapMemberO(U50,"[C_ACCOUNT].[PARENTH1].[A0030104]","A0030104 -     # 向其他金融机构拆入资金净增加额","","000"))</f>
        <v/>
      </c>
      <c r="W50" s="462" t="n"/>
      <c r="X50" s="999" t="inlineStr">
        <is>
          <t xml:space="preserve">  △向其他金融机构拆入资金净增加额</t>
        </is>
      </c>
      <c r="Y50" s="1185" t="inlineStr"/>
      <c r="Z50" s="1189" t="n"/>
      <c r="AA50" s="1189" t="n"/>
      <c r="AB50" s="1189" t="n"/>
      <c r="AC50" s="1190" t="n"/>
      <c r="AD50" s="1189" t="n"/>
      <c r="AE50" s="716" t="n"/>
      <c r="AF50" s="716" t="n"/>
      <c r="AG50" s="716" t="n"/>
      <c r="AH50" s="716" t="n"/>
      <c r="AI50" s="716" t="n"/>
      <c r="AJ50" s="716" t="n"/>
      <c r="AK50" s="716" t="n"/>
      <c r="AL50" s="716" t="n"/>
      <c r="AM50" s="716" t="n"/>
      <c r="AN50" s="716" t="n"/>
      <c r="AO50" s="716" t="n"/>
      <c r="AP50" s="716" t="n"/>
      <c r="AQ50" s="716" t="n"/>
      <c r="AR50" s="716" t="n"/>
    </row>
    <row r="51" ht="17" customFormat="1" customHeight="1" s="716">
      <c r="A51" s="716" t="n"/>
      <c r="B51" s="716" t="n"/>
      <c r="C51" s="716" t="n"/>
      <c r="D51" s="716" t="n"/>
      <c r="E51" s="716" t="n"/>
      <c r="F51" s="716" t="n"/>
      <c r="G51" s="716" t="n"/>
      <c r="H51" s="716" t="n"/>
      <c r="I51" s="716" t="n"/>
      <c r="J51" s="716" t="n"/>
      <c r="K51" s="716" t="n"/>
      <c r="L51" s="716" t="n"/>
      <c r="M51" s="716" t="n"/>
      <c r="N51" s="716" t="n"/>
      <c r="O51" s="716" t="n"/>
      <c r="P51" s="716" t="n"/>
      <c r="Q51" s="716" t="n"/>
      <c r="R51" s="716" t="n"/>
      <c r="S51" s="462">
        <f>IF(_epmOfflineCondition_,"    # 处置以公允价值计量且其变动计入当期损益的金融资产净增加额",EPMMemberDesc(U51))</f>
        <v/>
      </c>
      <c r="T51" s="716" t="n"/>
      <c r="U51" s="716" t="inlineStr">
        <is>
          <t>A0030105</t>
        </is>
      </c>
      <c r="V51" s="635">
        <f>IF(_epmOfflineCondition_,"A0030105",EPMOlapMemberO(U51,"[C_ACCOUNT].[PARENTH1].[A0030105]","A0030105 -     # 处置以公允价值计量且其变动计入当期损益的金融资产净增加额","","000"))</f>
        <v/>
      </c>
      <c r="W51" s="462" t="n"/>
      <c r="X51" s="999" t="inlineStr">
        <is>
          <t xml:space="preserve">  △处置以公允价值计量且其变动计入当期损益的金融资产净增加额</t>
        </is>
      </c>
      <c r="Y51" s="1185" t="inlineStr"/>
      <c r="Z51" s="1189" t="n"/>
      <c r="AA51" s="1189" t="n"/>
      <c r="AB51" s="1189" t="n"/>
      <c r="AC51" s="1190" t="n"/>
      <c r="AD51" s="1189" t="n"/>
      <c r="AE51" s="716" t="n"/>
      <c r="AF51" s="716" t="n"/>
      <c r="AG51" s="716" t="n"/>
      <c r="AH51" s="716" t="n"/>
      <c r="AI51" s="716" t="n"/>
      <c r="AJ51" s="716" t="n"/>
      <c r="AK51" s="716" t="n"/>
      <c r="AL51" s="716" t="n"/>
      <c r="AM51" s="716" t="n"/>
      <c r="AN51" s="716" t="n"/>
      <c r="AO51" s="716" t="n"/>
      <c r="AP51" s="716" t="n"/>
      <c r="AQ51" s="716" t="n"/>
      <c r="AR51" s="716" t="n"/>
    </row>
    <row r="52" ht="17" customFormat="1" customHeight="1" s="716">
      <c r="A52" s="716" t="n"/>
      <c r="B52" s="716" t="n"/>
      <c r="C52" s="716" t="n"/>
      <c r="D52" s="716" t="n"/>
      <c r="E52" s="716" t="n"/>
      <c r="F52" s="716" t="n"/>
      <c r="G52" s="716" t="n"/>
      <c r="H52" s="716" t="n"/>
      <c r="I52" s="716" t="n"/>
      <c r="J52" s="716" t="n"/>
      <c r="K52" s="716" t="n"/>
      <c r="L52" s="716" t="n"/>
      <c r="M52" s="716" t="n"/>
      <c r="N52" s="716" t="n"/>
      <c r="O52" s="716" t="n"/>
      <c r="P52" s="716" t="n"/>
      <c r="Q52" s="716" t="n"/>
      <c r="R52" s="716" t="n"/>
      <c r="S52" s="462">
        <f>IF(_epmOfflineCondition_,"　# 收取利息、手续费及佣金的现金",EPMMemberDesc(U52))</f>
        <v/>
      </c>
      <c r="T52" s="716" t="n"/>
      <c r="U52" s="716" t="inlineStr">
        <is>
          <t>A0030106</t>
        </is>
      </c>
      <c r="V52" s="635">
        <f>IF(_epmOfflineCondition_,"A0030106",EPMOlapMemberO(U52,"[C_ACCOUNT].[PARENTH1].[A0030106]","A0030106 - 　# 收取利息、手续费及佣金的现金","","000"))</f>
        <v/>
      </c>
      <c r="W52" s="462" t="n"/>
      <c r="X52" s="999" t="inlineStr">
        <is>
          <t xml:space="preserve">  △收取利息、手续费及佣金的现金</t>
        </is>
      </c>
      <c r="Y52" s="1185" t="inlineStr"/>
      <c r="Z52" s="1189" t="n"/>
      <c r="AA52" s="1189" t="n"/>
      <c r="AB52" s="1189" t="n"/>
      <c r="AC52" s="1190" t="n"/>
      <c r="AD52" s="1189" t="n"/>
      <c r="AE52" s="716" t="n"/>
      <c r="AF52" s="716" t="n"/>
      <c r="AG52" s="716" t="n"/>
      <c r="AH52" s="716" t="n"/>
      <c r="AI52" s="716" t="n"/>
      <c r="AJ52" s="716" t="n"/>
      <c r="AK52" s="716" t="n"/>
      <c r="AL52" s="716" t="n"/>
      <c r="AM52" s="716" t="n"/>
      <c r="AN52" s="716" t="n"/>
      <c r="AO52" s="716" t="n"/>
      <c r="AP52" s="716" t="n"/>
      <c r="AQ52" s="716" t="n"/>
      <c r="AR52" s="716" t="n"/>
    </row>
    <row r="53" ht="17" customFormat="1" customHeight="1" s="716">
      <c r="A53" s="716" t="n"/>
      <c r="B53" s="716" t="n"/>
      <c r="C53" s="716" t="n"/>
      <c r="D53" s="716" t="n"/>
      <c r="E53" s="716" t="n"/>
      <c r="F53" s="716" t="n"/>
      <c r="G53" s="716" t="n"/>
      <c r="H53" s="716" t="n"/>
      <c r="I53" s="716" t="n"/>
      <c r="J53" s="716" t="n"/>
      <c r="K53" s="716" t="n"/>
      <c r="L53" s="716" t="n"/>
      <c r="M53" s="716" t="n"/>
      <c r="N53" s="716" t="n"/>
      <c r="O53" s="716" t="n"/>
      <c r="P53" s="716" t="n"/>
      <c r="Q53" s="716" t="n"/>
      <c r="R53" s="716" t="n"/>
      <c r="S53" s="462">
        <f>IF(_epmOfflineCondition_,"    # 拆入资金净增加额",EPMMemberDesc(U53))</f>
        <v/>
      </c>
      <c r="T53" s="716" t="n"/>
      <c r="U53" s="716" t="inlineStr">
        <is>
          <t>A0030107</t>
        </is>
      </c>
      <c r="V53" s="635">
        <f>IF(_epmOfflineCondition_,"A0030107",EPMOlapMemberO(U53,"[C_ACCOUNT].[PARENTH1].[A0030107]","A0030107 -     # 拆入资金净增加额","","000"))</f>
        <v/>
      </c>
      <c r="W53" s="462" t="n"/>
      <c r="X53" s="999" t="inlineStr">
        <is>
          <t xml:space="preserve">  △拆入资金净增加额</t>
        </is>
      </c>
      <c r="Y53" s="1185" t="inlineStr"/>
      <c r="Z53" s="1189" t="n"/>
      <c r="AA53" s="1189" t="n"/>
      <c r="AB53" s="1189" t="n"/>
      <c r="AC53" s="1190" t="n"/>
      <c r="AD53" s="1189" t="n"/>
      <c r="AE53" s="716" t="n"/>
      <c r="AF53" s="716" t="n"/>
      <c r="AG53" s="716" t="n"/>
      <c r="AH53" s="716" t="n"/>
      <c r="AI53" s="716" t="n"/>
      <c r="AJ53" s="716" t="n"/>
      <c r="AK53" s="716" t="n"/>
      <c r="AL53" s="716" t="n"/>
      <c r="AM53" s="716" t="n"/>
      <c r="AN53" s="716" t="n"/>
      <c r="AO53" s="716" t="n"/>
      <c r="AP53" s="716" t="n"/>
      <c r="AQ53" s="716" t="n"/>
      <c r="AR53" s="716" t="n"/>
    </row>
    <row r="54" ht="17" customFormat="1" customHeight="1" s="716">
      <c r="A54" s="716" t="n"/>
      <c r="B54" s="716" t="n"/>
      <c r="C54" s="716" t="n"/>
      <c r="D54" s="716" t="n"/>
      <c r="E54" s="716" t="n"/>
      <c r="F54" s="716" t="n"/>
      <c r="G54" s="716" t="n"/>
      <c r="H54" s="716" t="n"/>
      <c r="I54" s="716" t="n"/>
      <c r="J54" s="716" t="n"/>
      <c r="K54" s="716" t="n"/>
      <c r="L54" s="716" t="n"/>
      <c r="M54" s="716" t="n"/>
      <c r="N54" s="716" t="n"/>
      <c r="O54" s="716" t="n"/>
      <c r="P54" s="716" t="n"/>
      <c r="Q54" s="716" t="n"/>
      <c r="R54" s="716" t="n"/>
      <c r="S54" s="462">
        <f>IF(_epmOfflineCondition_,"    # 回购业务资金净增加额",EPMMemberDesc(U54))</f>
        <v/>
      </c>
      <c r="T54" s="716" t="n"/>
      <c r="U54" s="716" t="inlineStr">
        <is>
          <t>A0030108</t>
        </is>
      </c>
      <c r="V54" s="635">
        <f>IF(_epmOfflineCondition_,"A0030108",EPMOlapMemberO(U54,"[C_ACCOUNT].[PARENTH1].[A0030108]","A0030108 -     # 回购业务资金净增加额","","000"))</f>
        <v/>
      </c>
      <c r="W54" s="462" t="n"/>
      <c r="X54" s="999" t="inlineStr">
        <is>
          <t xml:space="preserve">  △回购业务资金净增加额</t>
        </is>
      </c>
      <c r="Y54" s="1185" t="inlineStr"/>
      <c r="Z54" s="1189" t="n"/>
      <c r="AA54" s="1189" t="n"/>
      <c r="AB54" s="1189" t="n"/>
      <c r="AC54" s="1190" t="n"/>
      <c r="AD54" s="1189" t="n"/>
      <c r="AE54" s="716" t="n"/>
      <c r="AF54" s="716" t="n"/>
      <c r="AG54" s="716" t="n"/>
      <c r="AH54" s="716" t="n"/>
      <c r="AI54" s="716" t="n"/>
      <c r="AJ54" s="716" t="n"/>
      <c r="AK54" s="716" t="n"/>
      <c r="AL54" s="716" t="n"/>
      <c r="AM54" s="716" t="n"/>
      <c r="AN54" s="716" t="n"/>
      <c r="AO54" s="716" t="n"/>
      <c r="AP54" s="716" t="n"/>
      <c r="AQ54" s="716" t="n"/>
      <c r="AR54" s="716" t="n"/>
    </row>
    <row r="55" ht="15.2" customFormat="1" customHeight="1" s="716">
      <c r="A55" s="716" t="n"/>
      <c r="B55" s="716" t="n"/>
      <c r="C55" s="716" t="n"/>
      <c r="D55" s="716" t="n"/>
      <c r="E55" s="716" t="n"/>
      <c r="F55" s="716" t="n"/>
      <c r="G55" s="716" t="n"/>
      <c r="H55" s="716" t="n"/>
      <c r="I55" s="716" t="n"/>
      <c r="J55" s="716" t="n"/>
      <c r="K55" s="716" t="n"/>
      <c r="L55" s="716" t="n"/>
      <c r="M55" s="716" t="n"/>
      <c r="N55" s="716" t="n"/>
      <c r="O55" s="716" t="n"/>
      <c r="P55" s="716" t="n"/>
      <c r="Q55" s="716" t="n"/>
      <c r="R55" s="716" t="n"/>
      <c r="S55" s="462">
        <f>IF(_epmOfflineCondition_,"　　收到的税费返还",EPMMemberDesc(U55))</f>
        <v/>
      </c>
      <c r="T55" s="716" t="n"/>
      <c r="U55" s="716" t="inlineStr">
        <is>
          <t>A0030109</t>
        </is>
      </c>
      <c r="V55" s="635">
        <f>IF(_epmOfflineCondition_,"A0030109",EPMOlapMemberO(U55,"[C_ACCOUNT].[PARENTH1].[A0030109]","A0030109 - 　　收到的税费返还","","000"))</f>
        <v/>
      </c>
      <c r="W55" s="462" t="n"/>
      <c r="X55" s="475" t="inlineStr">
        <is>
          <t xml:space="preserve">　　 收到的税费返还</t>
        </is>
      </c>
      <c r="Y55" s="1185" t="inlineStr"/>
      <c r="Z55" s="1189" t="n"/>
      <c r="AA55" s="1189" t="n"/>
      <c r="AB55" s="1189" t="n"/>
      <c r="AC55" s="1190" t="n"/>
      <c r="AD55" s="1189" t="n"/>
      <c r="AE55" s="716" t="n"/>
      <c r="AF55" s="716" t="n"/>
      <c r="AG55" s="716" t="n"/>
      <c r="AH55" s="716" t="n"/>
      <c r="AI55" s="716" t="n"/>
      <c r="AJ55" s="716" t="n"/>
      <c r="AK55" s="716" t="n"/>
      <c r="AL55" s="716" t="n"/>
      <c r="AM55" s="716" t="n"/>
      <c r="AN55" s="716" t="n"/>
      <c r="AO55" s="716" t="n"/>
      <c r="AP55" s="716" t="n"/>
      <c r="AQ55" s="716" t="n"/>
      <c r="AR55" s="716" t="n"/>
    </row>
    <row r="56" ht="15.2" customFormat="1" customHeight="1" s="716">
      <c r="A56" s="716" t="n"/>
      <c r="B56" s="716" t="n"/>
      <c r="C56" s="716" t="n"/>
      <c r="D56" s="716" t="n"/>
      <c r="E56" s="716" t="n"/>
      <c r="F56" s="716" t="n"/>
      <c r="G56" s="716" t="n"/>
      <c r="H56" s="716" t="n"/>
      <c r="I56" s="716" t="n"/>
      <c r="J56" s="716" t="n"/>
      <c r="K56" s="716" t="n"/>
      <c r="L56" s="716" t="n"/>
      <c r="M56" s="716" t="n"/>
      <c r="N56" s="716" t="n"/>
      <c r="O56" s="716" t="n"/>
      <c r="P56" s="716" t="n"/>
      <c r="Q56" s="716" t="n"/>
      <c r="R56" s="716" t="n"/>
      <c r="S56" s="462">
        <f>IF(_epmOfflineCondition_,"　　收到的其他与经营有关的现金",EPMMemberDesc(U56))</f>
        <v/>
      </c>
      <c r="T56" s="716" t="n"/>
      <c r="U56" s="716" t="inlineStr">
        <is>
          <t>A0030110</t>
        </is>
      </c>
      <c r="V56" s="637">
        <f>IF(_epmOfflineCondition_,"A0030110",EPMOlapMemberO(U56,"[C_ACCOUNT].[PARENTH1].[A0030110]","A0030110 - 　　收到的其他与经营有关的现金","","000"))</f>
        <v/>
      </c>
      <c r="W56" s="462" t="n"/>
      <c r="X56" s="475" t="inlineStr">
        <is>
          <t xml:space="preserve">　　 收到的其他与经营有关的现金</t>
        </is>
      </c>
      <c r="Y56" s="1185" t="inlineStr"/>
      <c r="Z56" s="1189" t="inlineStr"/>
      <c r="AA56" s="1189" t="inlineStr"/>
      <c r="AB56" s="1189" t="n"/>
      <c r="AC56" s="1190" t="inlineStr"/>
      <c r="AD56" s="1189" t="n"/>
      <c r="AE56" s="716" t="n"/>
      <c r="AF56" s="716" t="n"/>
      <c r="AG56" s="716" t="n"/>
      <c r="AH56" s="716" t="n"/>
      <c r="AI56" s="716" t="n"/>
      <c r="AJ56" s="716" t="n"/>
      <c r="AK56" s="716" t="n"/>
      <c r="AL56" s="716" t="n"/>
      <c r="AM56" s="716" t="n"/>
      <c r="AN56" s="716" t="n"/>
      <c r="AO56" s="716" t="n"/>
      <c r="AP56" s="716" t="n"/>
      <c r="AQ56" s="716" t="n"/>
      <c r="AR56" s="716" t="n"/>
    </row>
    <row r="57" ht="15.2" customFormat="1" customHeight="1" s="716">
      <c r="A57" s="716" t="n"/>
      <c r="B57" s="716" t="n"/>
      <c r="C57" s="716" t="n"/>
      <c r="D57" s="716" t="n"/>
      <c r="E57" s="716" t="n"/>
      <c r="F57" s="716" t="n"/>
      <c r="G57" s="716" t="n"/>
      <c r="H57" s="716" t="n"/>
      <c r="I57" s="716" t="n"/>
      <c r="J57" s="716" t="n"/>
      <c r="K57" s="716" t="n"/>
      <c r="L57" s="716" t="n"/>
      <c r="M57" s="716" t="n"/>
      <c r="N57" s="716" t="n"/>
      <c r="O57" s="716" t="n"/>
      <c r="P57" s="716" t="n"/>
      <c r="Q57" s="716" t="n"/>
      <c r="R57" s="716" t="n"/>
      <c r="S57" s="462">
        <f>IF(_epmOfflineCondition_,"       经营活动现金流入小计",EPMMemberDesc(U57))</f>
        <v/>
      </c>
      <c r="T57" s="716" t="n"/>
      <c r="U57" s="716" t="inlineStr">
        <is>
          <t>A0030111</t>
        </is>
      </c>
      <c r="V57" s="459">
        <f>IF(_epmOfflineCondition_,"A0030111",EPMOlapMemberO(U57,"[C_ACCOUNT].[PARENTH1].[A0030111]","A0030111 -        经营活动现金流入小计","","000"))</f>
        <v/>
      </c>
      <c r="W57" s="462" t="n"/>
      <c r="X57" s="450" t="inlineStr">
        <is>
          <t xml:space="preserve">        经营活动现金流入小计</t>
        </is>
      </c>
      <c r="Y57" s="1185" t="inlineStr"/>
      <c r="Z57" s="1189" t="inlineStr"/>
      <c r="AA57" s="1189" t="inlineStr"/>
      <c r="AB57" s="1189" t="n"/>
      <c r="AC57" s="1190" t="inlineStr"/>
      <c r="AD57" s="1189" t="n"/>
      <c r="AE57" s="716" t="n"/>
      <c r="AF57" s="716" t="n"/>
      <c r="AG57" s="716" t="n"/>
      <c r="AH57" s="716" t="n"/>
      <c r="AI57" s="716" t="n"/>
      <c r="AJ57" s="716" t="n"/>
      <c r="AK57" s="716" t="n"/>
      <c r="AL57" s="716" t="n"/>
      <c r="AM57" s="716" t="n"/>
      <c r="AN57" s="716" t="n"/>
      <c r="AO57" s="716" t="n"/>
      <c r="AP57" s="716" t="n"/>
      <c r="AQ57" s="716" t="n"/>
      <c r="AR57" s="716" t="n"/>
    </row>
    <row r="58" ht="15.2" customFormat="1" customHeight="1" s="716">
      <c r="A58" s="716" t="n"/>
      <c r="B58" s="716" t="n"/>
      <c r="C58" s="716" t="n"/>
      <c r="D58" s="716" t="n"/>
      <c r="E58" s="716" t="n"/>
      <c r="F58" s="716" t="n"/>
      <c r="G58" s="716" t="n"/>
      <c r="H58" s="716" t="n"/>
      <c r="I58" s="716" t="n"/>
      <c r="J58" s="716" t="n"/>
      <c r="K58" s="716" t="n"/>
      <c r="L58" s="716" t="n"/>
      <c r="M58" s="716" t="n"/>
      <c r="N58" s="716" t="n"/>
      <c r="O58" s="716" t="n"/>
      <c r="P58" s="716" t="n"/>
      <c r="Q58" s="716" t="n"/>
      <c r="R58" s="716" t="n"/>
      <c r="S58" s="462">
        <f>IF(_epmOfflineCondition_,"　　购买商品、接受劳务支付的现金",EPMMemberDesc(U58))</f>
        <v/>
      </c>
      <c r="T58" s="716" t="n"/>
      <c r="U58" s="716" t="inlineStr">
        <is>
          <t>A0030112</t>
        </is>
      </c>
      <c r="V58" s="635">
        <f>IF(_epmOfflineCondition_,"A0030112",EPMOlapMemberO(U58,"[C_ACCOUNT].[PARENTH1].[A0030112]","A0030112 - 　　购买商品、接受劳务支付的现金","","000"))</f>
        <v/>
      </c>
      <c r="W58" s="462" t="n"/>
      <c r="X58" s="475" t="inlineStr">
        <is>
          <t xml:space="preserve">　　 购买商品、接受劳务支付的现金</t>
        </is>
      </c>
      <c r="Y58" s="1185" t="inlineStr"/>
      <c r="Z58" s="1189" t="inlineStr"/>
      <c r="AA58" s="1189" t="inlineStr"/>
      <c r="AB58" s="1189" t="n"/>
      <c r="AC58" s="1190" t="inlineStr"/>
      <c r="AD58" s="1189" t="n"/>
      <c r="AE58" s="716" t="n"/>
      <c r="AF58" s="716" t="n"/>
      <c r="AG58" s="716" t="n"/>
      <c r="AH58" s="716" t="n"/>
      <c r="AI58" s="716" t="n"/>
      <c r="AJ58" s="716" t="n"/>
      <c r="AK58" s="716" t="n"/>
      <c r="AL58" s="716" t="n"/>
      <c r="AM58" s="716" t="n"/>
      <c r="AN58" s="716" t="n"/>
      <c r="AO58" s="716" t="n"/>
      <c r="AP58" s="716" t="n"/>
      <c r="AQ58" s="716" t="n"/>
      <c r="AR58" s="716" t="n"/>
    </row>
    <row r="59" ht="17" customFormat="1" customHeight="1" s="716">
      <c r="A59" s="716" t="n"/>
      <c r="B59" s="716" t="n"/>
      <c r="C59" s="716" t="n"/>
      <c r="D59" s="716" t="n"/>
      <c r="E59" s="716" t="n"/>
      <c r="F59" s="716" t="n"/>
      <c r="G59" s="716" t="n"/>
      <c r="H59" s="716" t="n"/>
      <c r="I59" s="716" t="n"/>
      <c r="J59" s="716" t="n"/>
      <c r="K59" s="716" t="n"/>
      <c r="L59" s="716" t="n"/>
      <c r="M59" s="716" t="n"/>
      <c r="N59" s="716" t="n"/>
      <c r="O59" s="716" t="n"/>
      <c r="P59" s="716" t="n"/>
      <c r="Q59" s="716" t="n"/>
      <c r="R59" s="716" t="n"/>
      <c r="S59" s="462">
        <f>IF(_epmOfflineCondition_,"    # 客户贷款及垫款净增加额",EPMMemberDesc(U59))</f>
        <v/>
      </c>
      <c r="T59" s="716" t="n"/>
      <c r="U59" s="716" t="inlineStr">
        <is>
          <t>A0030113</t>
        </is>
      </c>
      <c r="V59" s="635">
        <f>IF(_epmOfflineCondition_,"A0030113",EPMOlapMemberO(U59,"[C_ACCOUNT].[PARENTH1].[A0030113]","A0030113 -     # 客户贷款及垫款净增加额","","000"))</f>
        <v/>
      </c>
      <c r="W59" s="462" t="n"/>
      <c r="X59" s="999" t="inlineStr">
        <is>
          <t xml:space="preserve">  △客户贷款及垫款净增加额</t>
        </is>
      </c>
      <c r="Y59" s="1185" t="inlineStr"/>
      <c r="Z59" s="1189" t="n"/>
      <c r="AA59" s="1189" t="n"/>
      <c r="AB59" s="1189" t="n"/>
      <c r="AC59" s="1190" t="n"/>
      <c r="AD59" s="1189" t="n"/>
      <c r="AE59" s="716" t="n"/>
      <c r="AF59" s="716" t="n"/>
      <c r="AG59" s="716" t="n"/>
      <c r="AH59" s="716" t="n"/>
      <c r="AI59" s="716" t="n"/>
      <c r="AJ59" s="716" t="n"/>
      <c r="AK59" s="716" t="n"/>
      <c r="AL59" s="716" t="n"/>
      <c r="AM59" s="716" t="n"/>
      <c r="AN59" s="716" t="n"/>
      <c r="AO59" s="716" t="n"/>
      <c r="AP59" s="716" t="n"/>
      <c r="AQ59" s="716" t="n"/>
      <c r="AR59" s="716" t="n"/>
    </row>
    <row r="60" ht="17" customFormat="1" customHeight="1" s="716">
      <c r="A60" s="716" t="n"/>
      <c r="B60" s="716" t="n"/>
      <c r="C60" s="716" t="n"/>
      <c r="D60" s="716" t="n"/>
      <c r="E60" s="716" t="n"/>
      <c r="F60" s="716" t="n"/>
      <c r="G60" s="716" t="n"/>
      <c r="H60" s="716" t="n"/>
      <c r="I60" s="716" t="n"/>
      <c r="J60" s="716" t="n"/>
      <c r="K60" s="716" t="n"/>
      <c r="L60" s="716" t="n"/>
      <c r="M60" s="716" t="n"/>
      <c r="N60" s="716" t="n"/>
      <c r="O60" s="716" t="n"/>
      <c r="P60" s="716" t="n"/>
      <c r="Q60" s="716" t="n"/>
      <c r="R60" s="716" t="n"/>
      <c r="S60" s="462">
        <f>IF(_epmOfflineCondition_,"    # 存放中央银行和同业款项净增加额",EPMMemberDesc(U60))</f>
        <v/>
      </c>
      <c r="T60" s="716" t="n"/>
      <c r="U60" s="716" t="inlineStr">
        <is>
          <t>A0030114</t>
        </is>
      </c>
      <c r="V60" s="635">
        <f>IF(_epmOfflineCondition_,"A0030114",EPMOlapMemberO(U60,"[C_ACCOUNT].[PARENTH1].[A0030114]","A0030114 -     # 存放中央银行和同业款项净增加额","","000"))</f>
        <v/>
      </c>
      <c r="W60" s="462" t="n"/>
      <c r="X60" s="999" t="inlineStr">
        <is>
          <t xml:space="preserve">  △存放中央银行和同业款项净增加额</t>
        </is>
      </c>
      <c r="Y60" s="1185" t="inlineStr"/>
      <c r="Z60" s="1189" t="n"/>
      <c r="AA60" s="1189" t="n"/>
      <c r="AB60" s="1189" t="n"/>
      <c r="AC60" s="1190" t="n"/>
      <c r="AD60" s="1189" t="n"/>
      <c r="AE60" s="716" t="n"/>
      <c r="AF60" s="716" t="n"/>
      <c r="AG60" s="716" t="n"/>
      <c r="AH60" s="716" t="n"/>
      <c r="AI60" s="716" t="n"/>
      <c r="AJ60" s="716" t="n"/>
      <c r="AK60" s="716" t="n"/>
      <c r="AL60" s="716" t="n"/>
      <c r="AM60" s="716" t="n"/>
      <c r="AN60" s="716" t="n"/>
      <c r="AO60" s="716" t="n"/>
      <c r="AP60" s="716" t="n"/>
      <c r="AQ60" s="716" t="n"/>
      <c r="AR60" s="716" t="n"/>
    </row>
    <row r="61" ht="17" customFormat="1" customHeight="1" s="716">
      <c r="A61" s="716" t="n"/>
      <c r="B61" s="716" t="n"/>
      <c r="C61" s="716" t="n"/>
      <c r="D61" s="716" t="n"/>
      <c r="E61" s="716" t="n"/>
      <c r="F61" s="716" t="n"/>
      <c r="G61" s="716" t="n"/>
      <c r="H61" s="716" t="n"/>
      <c r="I61" s="716" t="n"/>
      <c r="J61" s="716" t="n"/>
      <c r="K61" s="716" t="n"/>
      <c r="L61" s="716" t="n"/>
      <c r="M61" s="716" t="n"/>
      <c r="N61" s="716" t="n"/>
      <c r="O61" s="716" t="n"/>
      <c r="P61" s="716" t="n"/>
      <c r="Q61" s="716" t="n"/>
      <c r="R61" s="716" t="n"/>
      <c r="S61" s="462">
        <f>IF(_epmOfflineCondition_,"　# 支付利息、手续费及佣金的现金",EPMMemberDesc(U61))</f>
        <v/>
      </c>
      <c r="T61" s="716" t="n"/>
      <c r="U61" s="716" t="inlineStr">
        <is>
          <t>A0030115</t>
        </is>
      </c>
      <c r="V61" s="635">
        <f>IF(_epmOfflineCondition_,"A0030115",EPMOlapMemberO(U61,"[C_ACCOUNT].[PARENTH1].[A0030115]","A0030115 - 　# 支付利息、手续费及佣金的现金","","000"))</f>
        <v/>
      </c>
      <c r="W61" s="462" t="n"/>
      <c r="X61" s="999" t="inlineStr">
        <is>
          <t xml:space="preserve">  △支付利息、手续费及佣金的现金</t>
        </is>
      </c>
      <c r="Y61" s="1185" t="inlineStr"/>
      <c r="Z61" s="1189" t="n"/>
      <c r="AA61" s="1189" t="n"/>
      <c r="AB61" s="1189" t="n"/>
      <c r="AC61" s="1190" t="n"/>
      <c r="AD61" s="1189" t="n"/>
      <c r="AE61" s="716" t="n"/>
      <c r="AF61" s="716" t="n"/>
      <c r="AG61" s="716" t="n"/>
      <c r="AH61" s="716" t="n"/>
      <c r="AI61" s="716" t="n"/>
      <c r="AJ61" s="716" t="n"/>
      <c r="AK61" s="716" t="n"/>
      <c r="AL61" s="716" t="n"/>
      <c r="AM61" s="716" t="n"/>
      <c r="AN61" s="716" t="n"/>
      <c r="AO61" s="716" t="n"/>
      <c r="AP61" s="716" t="n"/>
      <c r="AQ61" s="716" t="n"/>
      <c r="AR61" s="716" t="n"/>
    </row>
    <row r="62" ht="15.2" customFormat="1" customHeight="1" s="716">
      <c r="A62" s="716" t="n"/>
      <c r="B62" s="716" t="n"/>
      <c r="C62" s="716" t="n"/>
      <c r="D62" s="716" t="n"/>
      <c r="E62" s="716" t="n"/>
      <c r="F62" s="716" t="n"/>
      <c r="G62" s="716" t="n"/>
      <c r="H62" s="716" t="n"/>
      <c r="I62" s="716" t="n"/>
      <c r="J62" s="716" t="n"/>
      <c r="K62" s="716" t="n"/>
      <c r="L62" s="716" t="n"/>
      <c r="M62" s="716" t="n"/>
      <c r="N62" s="716" t="n"/>
      <c r="O62" s="716" t="n"/>
      <c r="P62" s="716" t="n"/>
      <c r="Q62" s="716" t="n"/>
      <c r="R62" s="716" t="n"/>
      <c r="S62" s="462">
        <f>IF(_epmOfflineCondition_,"　　支付给职工以及为职工支付的现金",EPMMemberDesc(U62))</f>
        <v/>
      </c>
      <c r="T62" s="716" t="n"/>
      <c r="U62" s="716" t="inlineStr">
        <is>
          <t>A0030116</t>
        </is>
      </c>
      <c r="V62" s="635">
        <f>IF(_epmOfflineCondition_,"A0030116",EPMOlapMemberO(U62,"[C_ACCOUNT].[PARENTH1].[A0030116]","A0030116 - 　　支付给职工以及为职工支付的现金","","000"))</f>
        <v/>
      </c>
      <c r="W62" s="462" t="n"/>
      <c r="X62" s="585" t="inlineStr">
        <is>
          <t xml:space="preserve">　　 支付给职工以及为职工支付的现金</t>
        </is>
      </c>
      <c r="Y62" s="1185" t="inlineStr"/>
      <c r="Z62" s="1189" t="inlineStr"/>
      <c r="AA62" s="1189" t="inlineStr"/>
      <c r="AB62" s="1189" t="n"/>
      <c r="AC62" s="1190" t="inlineStr"/>
      <c r="AD62" s="1189" t="n"/>
      <c r="AE62" s="716" t="n"/>
      <c r="AF62" s="716" t="n"/>
      <c r="AG62" s="716" t="n"/>
      <c r="AH62" s="716" t="n"/>
      <c r="AI62" s="716" t="n"/>
      <c r="AJ62" s="716" t="n"/>
      <c r="AK62" s="716" t="n"/>
      <c r="AL62" s="716" t="n"/>
      <c r="AM62" s="716" t="n"/>
      <c r="AN62" s="716" t="n"/>
      <c r="AO62" s="716" t="n"/>
      <c r="AP62" s="716" t="n"/>
      <c r="AQ62" s="716" t="n"/>
      <c r="AR62" s="716" t="n"/>
    </row>
    <row r="63" ht="15.2" customFormat="1" customHeight="1" s="716">
      <c r="A63" s="716" t="n"/>
      <c r="B63" s="716" t="n"/>
      <c r="C63" s="716" t="n"/>
      <c r="D63" s="716" t="n"/>
      <c r="E63" s="716" t="n"/>
      <c r="F63" s="716" t="n"/>
      <c r="G63" s="716" t="n"/>
      <c r="H63" s="716" t="n"/>
      <c r="I63" s="716" t="n"/>
      <c r="J63" s="716" t="n"/>
      <c r="K63" s="716" t="n"/>
      <c r="L63" s="716" t="n"/>
      <c r="M63" s="716" t="n"/>
      <c r="N63" s="716" t="n"/>
      <c r="O63" s="716" t="n"/>
      <c r="P63" s="716" t="n"/>
      <c r="Q63" s="716" t="n"/>
      <c r="R63" s="716" t="n"/>
      <c r="S63" s="462">
        <f>IF(_epmOfflineCondition_,"　　支付的各项税费",EPMMemberDesc(U63))</f>
        <v/>
      </c>
      <c r="T63" s="716" t="n"/>
      <c r="U63" s="716" t="inlineStr">
        <is>
          <t>A0030117</t>
        </is>
      </c>
      <c r="V63" s="635">
        <f>IF(_epmOfflineCondition_,"A0030117",EPMOlapMemberO(U63,"[C_ACCOUNT].[PARENTH1].[A0030117]","A0030117 - 　　支付的各项税费","","000"))</f>
        <v/>
      </c>
      <c r="W63" s="462" t="n"/>
      <c r="X63" s="585" t="inlineStr">
        <is>
          <t xml:space="preserve">　　 支付的各项税费</t>
        </is>
      </c>
      <c r="Y63" s="1185" t="inlineStr"/>
      <c r="Z63" s="1189" t="n"/>
      <c r="AA63" s="1189" t="n"/>
      <c r="AB63" s="1189" t="n"/>
      <c r="AC63" s="1190" t="n"/>
      <c r="AD63" s="1189" t="n"/>
      <c r="AE63" s="716" t="n"/>
      <c r="AF63" s="716" t="n"/>
      <c r="AG63" s="716" t="n"/>
      <c r="AH63" s="716" t="n"/>
      <c r="AI63" s="716" t="n"/>
      <c r="AJ63" s="716" t="n"/>
      <c r="AK63" s="716" t="n"/>
      <c r="AL63" s="716" t="n"/>
      <c r="AM63" s="716" t="n"/>
      <c r="AN63" s="716" t="n"/>
      <c r="AO63" s="716" t="n"/>
      <c r="AP63" s="716" t="n"/>
      <c r="AQ63" s="716" t="n"/>
      <c r="AR63" s="716" t="n"/>
    </row>
    <row r="64" ht="15.2" customFormat="1" customHeight="1" s="716">
      <c r="A64" s="716" t="n"/>
      <c r="B64" s="716" t="n"/>
      <c r="C64" s="716" t="n"/>
      <c r="D64" s="716" t="n"/>
      <c r="E64" s="716" t="n"/>
      <c r="F64" s="716" t="n"/>
      <c r="G64" s="716" t="n"/>
      <c r="H64" s="716" t="n"/>
      <c r="I64" s="716" t="n"/>
      <c r="J64" s="716" t="n"/>
      <c r="K64" s="716" t="n"/>
      <c r="L64" s="716" t="n"/>
      <c r="M64" s="716" t="n"/>
      <c r="N64" s="716" t="n"/>
      <c r="O64" s="716" t="n"/>
      <c r="P64" s="716" t="n"/>
      <c r="Q64" s="716" t="n"/>
      <c r="R64" s="716" t="n"/>
      <c r="S64" s="462">
        <f>IF(_epmOfflineCondition_,"支付的其他与经营活动有关的现金",EPMMemberDesc(U64))</f>
        <v/>
      </c>
      <c r="T64" s="716" t="n"/>
      <c r="U64" s="716" t="inlineStr">
        <is>
          <t>A0030118T</t>
        </is>
      </c>
      <c r="V64" s="635">
        <f>IF(_epmOfflineCondition_,"A0030118T",EPMOlapMemberO(U64,"[C_ACCOUNT].[PARENTH1].[A0030118T]","A0030118T - 支付的其他与经营活动有关的现金","","000"))</f>
        <v/>
      </c>
      <c r="W64" s="462" t="n"/>
      <c r="X64" s="585" t="inlineStr">
        <is>
          <t xml:space="preserve">　　 支付的其他与经营活动有关的现金</t>
        </is>
      </c>
      <c r="Y64" s="1185" t="inlineStr"/>
      <c r="Z64" s="1189" t="inlineStr"/>
      <c r="AA64" s="1189" t="inlineStr"/>
      <c r="AB64" s="1189" t="n"/>
      <c r="AC64" s="1190" t="inlineStr"/>
      <c r="AD64" s="1189" t="n"/>
      <c r="AE64" s="716" t="n"/>
      <c r="AF64" s="716" t="n"/>
      <c r="AG64" s="716" t="n"/>
      <c r="AH64" s="716" t="n"/>
      <c r="AI64" s="716" t="n"/>
      <c r="AJ64" s="716" t="n"/>
      <c r="AK64" s="716" t="n"/>
      <c r="AL64" s="716" t="n"/>
      <c r="AM64" s="716" t="n"/>
      <c r="AN64" s="716" t="n"/>
      <c r="AO64" s="716" t="n"/>
      <c r="AP64" s="716" t="n"/>
      <c r="AQ64" s="716" t="n"/>
      <c r="AR64" s="716" t="n"/>
    </row>
    <row r="65" ht="15.2" customFormat="1" customHeight="1" s="716">
      <c r="A65" s="716" t="n"/>
      <c r="B65" s="716" t="n"/>
      <c r="C65" s="716" t="n"/>
      <c r="D65" s="716" t="n"/>
      <c r="E65" s="716" t="n"/>
      <c r="F65" s="716" t="n"/>
      <c r="G65" s="716" t="n"/>
      <c r="H65" s="716" t="n"/>
      <c r="I65" s="716" t="n"/>
      <c r="J65" s="716" t="n"/>
      <c r="K65" s="716" t="n"/>
      <c r="L65" s="716" t="n"/>
      <c r="M65" s="716" t="n"/>
      <c r="N65" s="716" t="n"/>
      <c r="O65" s="716" t="n"/>
      <c r="P65" s="716" t="n"/>
      <c r="Q65" s="716" t="n"/>
      <c r="R65" s="716" t="n"/>
      <c r="S65" s="462">
        <f>IF(_epmOfflineCondition_,"       经营活动现金流出小计",EPMMemberDesc(U65))</f>
        <v/>
      </c>
      <c r="T65" s="716" t="n"/>
      <c r="U65" s="716" t="inlineStr">
        <is>
          <t>A0030119</t>
        </is>
      </c>
      <c r="V65" s="459">
        <f>IF(_epmOfflineCondition_,"A0030119",EPMOlapMemberO(U65,"[C_ACCOUNT].[PARENTH1].[A0030119]","A0030119 -        经营活动现金流出小计","","000"))</f>
        <v/>
      </c>
      <c r="W65" s="462" t="n"/>
      <c r="X65" s="450" t="inlineStr">
        <is>
          <t xml:space="preserve">        经营活动现金流出小计</t>
        </is>
      </c>
      <c r="Y65" s="1185" t="inlineStr"/>
      <c r="Z65" s="1189" t="inlineStr"/>
      <c r="AA65" s="1189" t="inlineStr"/>
      <c r="AB65" s="1189" t="n"/>
      <c r="AC65" s="1190" t="inlineStr"/>
      <c r="AD65" s="1189" t="n"/>
      <c r="AE65" s="716" t="n"/>
      <c r="AF65" s="716" t="n"/>
      <c r="AG65" s="716" t="n"/>
      <c r="AH65" s="716" t="n"/>
      <c r="AI65" s="716" t="n"/>
      <c r="AJ65" s="716" t="n"/>
      <c r="AK65" s="716" t="n"/>
      <c r="AL65" s="716" t="n"/>
      <c r="AM65" s="716" t="n"/>
      <c r="AN65" s="716" t="n"/>
      <c r="AO65" s="716" t="n"/>
      <c r="AP65" s="716" t="n"/>
      <c r="AQ65" s="716" t="n"/>
      <c r="AR65" s="716" t="n"/>
    </row>
    <row r="66" ht="15.2" customFormat="1" customHeight="1" s="716">
      <c r="A66" s="716" t="n"/>
      <c r="B66" s="716" t="n"/>
      <c r="C66" s="716" t="n"/>
      <c r="D66" s="716" t="n"/>
      <c r="E66" s="716" t="n"/>
      <c r="F66" s="716" t="n"/>
      <c r="G66" s="716" t="n"/>
      <c r="H66" s="716" t="n"/>
      <c r="I66" s="716" t="n"/>
      <c r="J66" s="716" t="n"/>
      <c r="K66" s="716" t="n"/>
      <c r="L66" s="716" t="n"/>
      <c r="M66" s="716" t="n"/>
      <c r="N66" s="716" t="n"/>
      <c r="O66" s="716" t="n"/>
      <c r="P66" s="716" t="n"/>
      <c r="Q66" s="716" t="n"/>
      <c r="R66" s="716" t="n"/>
      <c r="S66" s="462">
        <f>IF(_epmOfflineCondition_,"              经营活动产生的现金流量净额",EPMMemberDesc(U66))</f>
        <v/>
      </c>
      <c r="T66" s="716" t="n"/>
      <c r="U66" s="716" t="inlineStr">
        <is>
          <t>A0030120</t>
        </is>
      </c>
      <c r="V66" s="535">
        <f>IF(_epmOfflineCondition_,"A0030120",EPMOlapMemberO(U66,"[C_ACCOUNT].[PARENTH1].[A0030120]","A0030120 -               经营活动产生的现金流量净额","","000"))</f>
        <v/>
      </c>
      <c r="W66" s="462" t="n"/>
      <c r="X66" s="450" t="inlineStr">
        <is>
          <t xml:space="preserve">　　   经营活动产生的现金流量净额</t>
        </is>
      </c>
      <c r="Y66" s="1185" t="inlineStr"/>
      <c r="Z66" s="1189" t="inlineStr"/>
      <c r="AA66" s="1189" t="inlineStr"/>
      <c r="AB66" s="1189" t="n"/>
      <c r="AC66" s="1190" t="inlineStr"/>
      <c r="AD66" s="1189" t="n"/>
      <c r="AE66" s="716" t="n"/>
      <c r="AF66" s="716" t="n"/>
      <c r="AG66" s="716" t="n"/>
      <c r="AH66" s="716" t="n"/>
      <c r="AI66" s="716" t="n"/>
      <c r="AJ66" s="716" t="n"/>
      <c r="AK66" s="716" t="n"/>
      <c r="AL66" s="716" t="n"/>
      <c r="AM66" s="716" t="n"/>
      <c r="AN66" s="716" t="n"/>
      <c r="AO66" s="716" t="n"/>
      <c r="AP66" s="716" t="n"/>
      <c r="AQ66" s="716" t="n"/>
      <c r="AR66" s="716" t="n"/>
    </row>
    <row r="67" ht="15.2" customFormat="1" customHeight="1" s="716">
      <c r="A67" s="716" t="n"/>
      <c r="B67" s="716" t="n"/>
      <c r="C67" s="716" t="n"/>
      <c r="D67" s="716" t="n"/>
      <c r="E67" s="716" t="n"/>
      <c r="F67" s="716" t="n"/>
      <c r="G67" s="716" t="n"/>
      <c r="H67" s="716" t="n"/>
      <c r="I67" s="716" t="n"/>
      <c r="J67" s="716" t="n"/>
      <c r="K67" s="716" t="n"/>
      <c r="L67" s="716" t="n"/>
      <c r="M67" s="716" t="n"/>
      <c r="N67" s="716" t="n"/>
      <c r="O67" s="716" t="n"/>
      <c r="P67" s="716" t="n"/>
      <c r="Q67" s="716" t="n"/>
      <c r="R67" s="716" t="n"/>
      <c r="S67" s="462">
        <f>IF(_epmOfflineCondition_,"二、投资活动产生的现金流量：",EPMMemberDesc(U67))</f>
        <v/>
      </c>
      <c r="T67" s="716" t="n"/>
      <c r="U67" s="716" t="inlineStr">
        <is>
          <t>A00302</t>
        </is>
      </c>
      <c r="V67" s="455">
        <f>IF(_epmOfflineCondition_,"A00302",EPMOlapMemberO(U67,"[C_ACCOUNT].[PARENTH1].[A00302]","A00302 - 二、投资活动产生的现金流量：","","000"))</f>
        <v/>
      </c>
      <c r="W67" s="462" t="n"/>
      <c r="X67" s="454" t="inlineStr">
        <is>
          <t>二、投资活动产生的现金流量：</t>
        </is>
      </c>
      <c r="Y67" s="1185" t="inlineStr">
        <is>
          <t>-</t>
        </is>
      </c>
      <c r="Z67" s="1186">
        <f>"— —"</f>
        <v/>
      </c>
      <c r="AA67" s="1186">
        <f>"— —"</f>
        <v/>
      </c>
      <c r="AB67" s="1186">
        <f>"— —"</f>
        <v/>
      </c>
      <c r="AC67" s="1186">
        <f>"— —"</f>
        <v/>
      </c>
      <c r="AD67" s="1186">
        <f>"— —"</f>
        <v/>
      </c>
      <c r="AE67" s="716" t="n"/>
      <c r="AF67" s="716" t="n"/>
      <c r="AG67" s="716" t="n"/>
      <c r="AH67" s="716" t="n"/>
      <c r="AI67" s="716" t="n"/>
      <c r="AJ67" s="716" t="n"/>
      <c r="AK67" s="716" t="n"/>
      <c r="AL67" s="716" t="n"/>
      <c r="AM67" s="716" t="n"/>
      <c r="AN67" s="716" t="n"/>
      <c r="AO67" s="716" t="n"/>
      <c r="AP67" s="716" t="n"/>
      <c r="AQ67" s="716" t="n"/>
      <c r="AR67" s="716" t="n"/>
    </row>
    <row r="68" ht="15.2" customFormat="1" customHeight="1" s="716">
      <c r="A68" s="716" t="n"/>
      <c r="B68" s="716" t="n"/>
      <c r="C68" s="716" t="n"/>
      <c r="D68" s="716" t="n"/>
      <c r="E68" s="716" t="n"/>
      <c r="F68" s="716" t="n"/>
      <c r="G68" s="716" t="n"/>
      <c r="H68" s="716" t="n"/>
      <c r="I68" s="716" t="n"/>
      <c r="J68" s="716" t="n"/>
      <c r="K68" s="716" t="n"/>
      <c r="L68" s="716" t="n"/>
      <c r="M68" s="716" t="n"/>
      <c r="N68" s="716" t="n"/>
      <c r="O68" s="716" t="n"/>
      <c r="P68" s="716" t="n"/>
      <c r="Q68" s="716" t="n"/>
      <c r="R68" s="716" t="n"/>
      <c r="S68" s="462">
        <f>IF(_epmOfflineCondition_,"　　收回投资收到的现金",EPMMemberDesc(U68))</f>
        <v/>
      </c>
      <c r="T68" s="716" t="n"/>
      <c r="U68" s="716" t="inlineStr">
        <is>
          <t>A003020102</t>
        </is>
      </c>
      <c r="V68" s="635">
        <f>IF(_epmOfflineCondition_,"A003020102",EPMOlapMemberO(U68,"[C_ACCOUNT].[PARENTH1].[A003020102]","A003020102 - 　　收回投资收到的现金","","000"))</f>
        <v/>
      </c>
      <c r="W68" s="462" t="n"/>
      <c r="X68" s="475" t="inlineStr">
        <is>
          <t xml:space="preserve">　　收回投资收到的现金</t>
        </is>
      </c>
      <c r="Y68" s="1185" t="inlineStr"/>
      <c r="Z68" s="1189" t="n"/>
      <c r="AA68" s="1189" t="n"/>
      <c r="AB68" s="1189" t="n"/>
      <c r="AC68" s="1190" t="n"/>
      <c r="AD68" s="1189" t="n"/>
      <c r="AE68" s="716" t="n"/>
      <c r="AF68" s="716" t="n"/>
      <c r="AG68" s="716" t="n"/>
      <c r="AH68" s="716" t="n"/>
      <c r="AI68" s="716" t="n"/>
      <c r="AJ68" s="716" t="n"/>
      <c r="AK68" s="716" t="n"/>
      <c r="AL68" s="716" t="n"/>
      <c r="AM68" s="716" t="n"/>
      <c r="AN68" s="716" t="n"/>
      <c r="AO68" s="716" t="n"/>
      <c r="AP68" s="716" t="n"/>
      <c r="AQ68" s="716" t="n"/>
      <c r="AR68" s="716" t="n"/>
    </row>
    <row r="69" ht="15.2" customFormat="1" customHeight="1" s="716">
      <c r="A69" s="716" t="n"/>
      <c r="B69" s="716" t="n"/>
      <c r="C69" s="716" t="n"/>
      <c r="D69" s="716" t="n"/>
      <c r="E69" s="716" t="n"/>
      <c r="F69" s="716" t="n"/>
      <c r="G69" s="716" t="n"/>
      <c r="H69" s="716" t="n"/>
      <c r="I69" s="716" t="n"/>
      <c r="J69" s="716" t="n"/>
      <c r="K69" s="716" t="n"/>
      <c r="L69" s="716" t="n"/>
      <c r="M69" s="716" t="n"/>
      <c r="N69" s="716" t="n"/>
      <c r="O69" s="716" t="n"/>
      <c r="P69" s="716" t="n"/>
      <c r="Q69" s="716" t="n"/>
      <c r="R69" s="716" t="n"/>
      <c r="S69" s="462">
        <f>IF(_epmOfflineCondition_,"　　取得投资收益收到的现金",EPMMemberDesc(U69))</f>
        <v/>
      </c>
      <c r="T69" s="716" t="n"/>
      <c r="U69" s="716" t="inlineStr">
        <is>
          <t>A003020202</t>
        </is>
      </c>
      <c r="V69" s="635">
        <f>IF(_epmOfflineCondition_,"A003020202",EPMOlapMemberO(U69,"[C_ACCOUNT].[PARENTH1].[A003020202]","A003020202 - 　　取得投资收益收到的现金","","000"))</f>
        <v/>
      </c>
      <c r="W69" s="462" t="n"/>
      <c r="X69" s="475" t="inlineStr">
        <is>
          <t xml:space="preserve">　　取得投资收益收到的现金</t>
        </is>
      </c>
      <c r="Y69" s="1185" t="inlineStr"/>
      <c r="Z69" s="1189" t="n"/>
      <c r="AA69" s="1189" t="n"/>
      <c r="AB69" s="1189" t="n"/>
      <c r="AC69" s="1190" t="n"/>
      <c r="AD69" s="1189" t="n"/>
      <c r="AE69" s="716" t="n"/>
      <c r="AF69" s="716" t="n"/>
      <c r="AG69" s="716" t="n"/>
      <c r="AH69" s="716" t="n"/>
      <c r="AI69" s="716" t="n"/>
      <c r="AJ69" s="716" t="n"/>
      <c r="AK69" s="716" t="n"/>
      <c r="AL69" s="716" t="n"/>
      <c r="AM69" s="716" t="n"/>
      <c r="AN69" s="716" t="n"/>
      <c r="AO69" s="716" t="n"/>
      <c r="AP69" s="716" t="n"/>
      <c r="AQ69" s="716" t="n"/>
      <c r="AR69" s="716" t="n"/>
    </row>
    <row r="70" ht="15.2" customFormat="1" customHeight="1" s="716">
      <c r="A70" s="716" t="n"/>
      <c r="B70" s="716" t="n"/>
      <c r="C70" s="716" t="n"/>
      <c r="D70" s="716" t="n"/>
      <c r="E70" s="716" t="n"/>
      <c r="F70" s="716" t="n"/>
      <c r="G70" s="716" t="n"/>
      <c r="H70" s="716" t="n"/>
      <c r="I70" s="716" t="n"/>
      <c r="J70" s="716" t="n"/>
      <c r="K70" s="716" t="n"/>
      <c r="L70" s="716" t="n"/>
      <c r="M70" s="716" t="n"/>
      <c r="N70" s="716" t="n"/>
      <c r="O70" s="716" t="n"/>
      <c r="P70" s="716" t="n"/>
      <c r="Q70" s="716" t="n"/>
      <c r="R70" s="716" t="n"/>
      <c r="S70" s="462">
        <f>IF(_epmOfflineCondition_,"       处置固定资产、无形资产和其他长期资产所回现金净额",EPMMemberDesc(U70))</f>
        <v/>
      </c>
      <c r="T70" s="716" t="n"/>
      <c r="U70" s="716" t="inlineStr">
        <is>
          <t>A0030203</t>
        </is>
      </c>
      <c r="V70" s="635">
        <f>IF(_epmOfflineCondition_,"A0030203",EPMOlapMemberO(U70,"[C_ACCOUNT].[PARENTH1].[A0030203]","A0030203 -        处置固定资产、无形资产和其他长期资产所回现金净额","","000"))</f>
        <v/>
      </c>
      <c r="W70" s="462" t="n"/>
      <c r="X70" s="475" t="inlineStr">
        <is>
          <t xml:space="preserve">　　处置固定资产、无形资产和其他长期资产收回现金净额</t>
        </is>
      </c>
      <c r="Y70" s="1185" t="inlineStr"/>
      <c r="Z70" s="1189" t="n"/>
      <c r="AA70" s="1189" t="n"/>
      <c r="AB70" s="1189" t="n"/>
      <c r="AC70" s="1190" t="n"/>
      <c r="AD70" s="1189" t="n"/>
      <c r="AE70" s="716" t="n"/>
      <c r="AF70" s="716" t="n"/>
      <c r="AG70" s="716" t="n"/>
      <c r="AH70" s="716" t="n"/>
      <c r="AI70" s="716" t="n"/>
      <c r="AJ70" s="716" t="n"/>
      <c r="AK70" s="716" t="n"/>
      <c r="AL70" s="716" t="n"/>
      <c r="AM70" s="716" t="n"/>
      <c r="AN70" s="716" t="n"/>
      <c r="AO70" s="716" t="n"/>
      <c r="AP70" s="716" t="n"/>
      <c r="AQ70" s="716" t="n"/>
      <c r="AR70" s="716" t="n"/>
    </row>
    <row r="71" ht="15.2" customFormat="1" customHeight="1" s="716">
      <c r="A71" s="716" t="n"/>
      <c r="B71" s="716" t="n"/>
      <c r="C71" s="716" t="n"/>
      <c r="D71" s="716" t="n"/>
      <c r="E71" s="716" t="n"/>
      <c r="F71" s="716" t="n"/>
      <c r="G71" s="716" t="n"/>
      <c r="H71" s="716" t="n"/>
      <c r="I71" s="716" t="n"/>
      <c r="J71" s="716" t="n"/>
      <c r="K71" s="716" t="n"/>
      <c r="L71" s="716" t="n"/>
      <c r="M71" s="716" t="n"/>
      <c r="N71" s="716" t="n"/>
      <c r="O71" s="716" t="n"/>
      <c r="P71" s="716" t="n"/>
      <c r="Q71" s="716" t="n"/>
      <c r="R71" s="716" t="n"/>
      <c r="S71" s="462">
        <f>IF(_epmOfflineCondition_,"       处置子公司及其他营业单位收到的现金净额",EPMMemberDesc(U71))</f>
        <v/>
      </c>
      <c r="T71" s="716" t="n"/>
      <c r="U71" s="716" t="inlineStr">
        <is>
          <t>A003020402</t>
        </is>
      </c>
      <c r="V71" s="635">
        <f>IF(_epmOfflineCondition_,"A003020402",EPMOlapMemberO(U71,"[C_ACCOUNT].[PARENTH1].[A003020402]","A003020402 -        处置子公司及其他营业单位收到的现金净额","","000"))</f>
        <v/>
      </c>
      <c r="W71" s="462" t="n"/>
      <c r="X71" s="475" t="inlineStr">
        <is>
          <t xml:space="preserve">   　处置子公司及其他营业单位收到的现金净额</t>
        </is>
      </c>
      <c r="Y71" s="1185" t="inlineStr"/>
      <c r="Z71" s="1189" t="n"/>
      <c r="AA71" s="1189" t="n"/>
      <c r="AB71" s="1189" t="n"/>
      <c r="AC71" s="1190" t="n"/>
      <c r="AD71" s="1189" t="n"/>
      <c r="AE71" s="716" t="n"/>
      <c r="AF71" s="716" t="n"/>
      <c r="AG71" s="716" t="n"/>
      <c r="AH71" s="716" t="n"/>
      <c r="AI71" s="716" t="n"/>
      <c r="AJ71" s="716" t="n"/>
      <c r="AK71" s="716" t="n"/>
      <c r="AL71" s="716" t="n"/>
      <c r="AM71" s="716" t="n"/>
      <c r="AN71" s="716" t="n"/>
      <c r="AO71" s="716" t="n"/>
      <c r="AP71" s="716" t="n"/>
      <c r="AQ71" s="716" t="n"/>
      <c r="AR71" s="716" t="n"/>
    </row>
    <row r="72" ht="15.2" customFormat="1" customHeight="1" s="716">
      <c r="A72" s="716" t="n"/>
      <c r="B72" s="716" t="n"/>
      <c r="C72" s="716" t="n"/>
      <c r="D72" s="716" t="n"/>
      <c r="E72" s="716" t="n"/>
      <c r="F72" s="716" t="n"/>
      <c r="G72" s="716" t="n"/>
      <c r="H72" s="716" t="n"/>
      <c r="I72" s="716" t="n"/>
      <c r="J72" s="716" t="n"/>
      <c r="K72" s="716" t="n"/>
      <c r="L72" s="716" t="n"/>
      <c r="M72" s="716" t="n"/>
      <c r="N72" s="716" t="n"/>
      <c r="O72" s="716" t="n"/>
      <c r="P72" s="716" t="n"/>
      <c r="Q72" s="716" t="n"/>
      <c r="R72" s="716" t="n"/>
      <c r="S72" s="462">
        <f>IF(_epmOfflineCondition_,"　　收到其他与投资活动有关的现金",EPMMemberDesc(U72))</f>
        <v/>
      </c>
      <c r="T72" s="716" t="n"/>
      <c r="U72" s="716" t="inlineStr">
        <is>
          <t>A003020502</t>
        </is>
      </c>
      <c r="V72" s="635">
        <f>IF(_epmOfflineCondition_,"A003020502",EPMOlapMemberO(U72,"[C_ACCOUNT].[PARENTH1].[A003020502]","A003020502 - 　　收到其他与投资活动有关的现金","","000"))</f>
        <v/>
      </c>
      <c r="W72" s="462" t="n"/>
      <c r="X72" s="475" t="inlineStr">
        <is>
          <t xml:space="preserve">　　收到其他与投资活动有关的现金</t>
        </is>
      </c>
      <c r="Y72" s="1185" t="inlineStr"/>
      <c r="Z72" s="1189" t="inlineStr"/>
      <c r="AA72" s="1189" t="n"/>
      <c r="AB72" s="1189" t="inlineStr"/>
      <c r="AC72" s="1190" t="inlineStr"/>
      <c r="AD72" s="1189" t="inlineStr"/>
      <c r="AE72" s="716" t="n"/>
      <c r="AF72" s="716" t="n"/>
      <c r="AG72" s="716" t="n"/>
      <c r="AH72" s="716" t="n"/>
      <c r="AI72" s="716" t="n"/>
      <c r="AJ72" s="716" t="n"/>
      <c r="AK72" s="716" t="n"/>
      <c r="AL72" s="716" t="n"/>
      <c r="AM72" s="716" t="n"/>
      <c r="AN72" s="716" t="n"/>
      <c r="AO72" s="716" t="n"/>
      <c r="AP72" s="716" t="n"/>
      <c r="AQ72" s="716" t="n"/>
      <c r="AR72" s="716" t="n"/>
    </row>
    <row r="73" ht="15.2" customFormat="1" customHeight="1" s="716">
      <c r="A73" s="716" t="n"/>
      <c r="B73" s="716" t="n"/>
      <c r="C73" s="716" t="n"/>
      <c r="D73" s="716" t="n"/>
      <c r="E73" s="716" t="n"/>
      <c r="F73" s="716" t="n"/>
      <c r="G73" s="716" t="n"/>
      <c r="H73" s="716" t="n"/>
      <c r="I73" s="716" t="n"/>
      <c r="J73" s="716" t="n"/>
      <c r="K73" s="716" t="n"/>
      <c r="L73" s="716" t="n"/>
      <c r="M73" s="716" t="n"/>
      <c r="N73" s="716" t="n"/>
      <c r="O73" s="716" t="n"/>
      <c r="P73" s="716" t="n"/>
      <c r="Q73" s="716" t="n"/>
      <c r="R73" s="716" t="n"/>
      <c r="S73" s="462">
        <f>IF(_epmOfflineCondition_,"       投资活动现金流入小计",EPMMemberDesc(U73))</f>
        <v/>
      </c>
      <c r="T73" s="716" t="n"/>
      <c r="U73" s="716" t="inlineStr">
        <is>
          <t>A0030206</t>
        </is>
      </c>
      <c r="V73" s="459">
        <f>IF(_epmOfflineCondition_,"A0030206",EPMOlapMemberO(U73,"[C_ACCOUNT].[PARENTH1].[A0030206]","A0030206 -        投资活动现金流入小计","","000"))</f>
        <v/>
      </c>
      <c r="W73" s="462" t="n"/>
      <c r="X73" s="450" t="inlineStr">
        <is>
          <t xml:space="preserve"> 投资活动现金流入小计 </t>
        </is>
      </c>
      <c r="Y73" s="1185" t="inlineStr"/>
      <c r="Z73" s="1189" t="inlineStr"/>
      <c r="AA73" s="1189" t="n"/>
      <c r="AB73" s="1189" t="inlineStr"/>
      <c r="AC73" s="1190" t="inlineStr"/>
      <c r="AD73" s="1189" t="inlineStr"/>
      <c r="AE73" s="716" t="n"/>
      <c r="AF73" s="716" t="n"/>
      <c r="AG73" s="716" t="n"/>
      <c r="AH73" s="716" t="n"/>
      <c r="AI73" s="716" t="n"/>
      <c r="AJ73" s="716" t="n"/>
      <c r="AK73" s="716" t="n"/>
      <c r="AL73" s="716" t="n"/>
      <c r="AM73" s="716" t="n"/>
      <c r="AN73" s="716" t="n"/>
      <c r="AO73" s="716" t="n"/>
      <c r="AP73" s="716" t="n"/>
      <c r="AQ73" s="716" t="n"/>
      <c r="AR73" s="716" t="n"/>
    </row>
    <row r="74" ht="15.2" customFormat="1" customHeight="1" s="716">
      <c r="A74" s="716" t="n"/>
      <c r="B74" s="716" t="n"/>
      <c r="C74" s="716" t="n"/>
      <c r="D74" s="716" t="n"/>
      <c r="E74" s="716" t="n"/>
      <c r="F74" s="716" t="n"/>
      <c r="G74" s="716" t="n"/>
      <c r="H74" s="716" t="n"/>
      <c r="I74" s="716" t="n"/>
      <c r="J74" s="716" t="n"/>
      <c r="K74" s="716" t="n"/>
      <c r="L74" s="716" t="n"/>
      <c r="M74" s="716" t="n"/>
      <c r="N74" s="716" t="n"/>
      <c r="O74" s="716" t="n"/>
      <c r="P74" s="716" t="n"/>
      <c r="Q74" s="716" t="n"/>
      <c r="R74" s="716" t="n"/>
      <c r="S74" s="462">
        <f>IF(_epmOfflineCondition_,"       购建固定资产、无形资产和其他长期资产所支付的现金",EPMMemberDesc(U74))</f>
        <v/>
      </c>
      <c r="T74" s="716" t="n"/>
      <c r="U74" s="716" t="inlineStr">
        <is>
          <t>A0030207</t>
        </is>
      </c>
      <c r="V74" s="635">
        <f>IF(_epmOfflineCondition_,"A0030207",EPMOlapMemberO(U74,"[C_ACCOUNT].[PARENTH1].[A0030207]","A0030207 -        购建固定资产、无形资产和其他长期资产所支付的现金","","000"))</f>
        <v/>
      </c>
      <c r="W74" s="462" t="n"/>
      <c r="X74" s="475" t="inlineStr">
        <is>
          <t xml:space="preserve"> 　　购建固定资产、无形资产和其他长期资产支付的现金 </t>
        </is>
      </c>
      <c r="Y74" s="1185" t="inlineStr"/>
      <c r="Z74" s="1189" t="inlineStr"/>
      <c r="AA74" s="1189" t="inlineStr"/>
      <c r="AB74" s="1189" t="inlineStr"/>
      <c r="AC74" s="1190" t="inlineStr"/>
      <c r="AD74" s="1189" t="inlineStr"/>
      <c r="AE74" s="1192" t="n"/>
      <c r="AF74" s="716" t="n"/>
      <c r="AG74" s="716" t="n"/>
      <c r="AH74" s="716" t="n"/>
      <c r="AI74" s="716" t="n"/>
      <c r="AJ74" s="716" t="n"/>
      <c r="AK74" s="716" t="n"/>
      <c r="AL74" s="716" t="n"/>
      <c r="AM74" s="716" t="n"/>
      <c r="AN74" s="716" t="n"/>
      <c r="AO74" s="716" t="n"/>
      <c r="AP74" s="716" t="n"/>
      <c r="AQ74" s="716" t="n"/>
      <c r="AR74" s="716" t="n"/>
    </row>
    <row r="75" ht="15.2" customFormat="1" customHeight="1" s="716">
      <c r="A75" s="716" t="n"/>
      <c r="B75" s="716" t="n"/>
      <c r="C75" s="716" t="n"/>
      <c r="D75" s="716" t="n"/>
      <c r="E75" s="716" t="n"/>
      <c r="F75" s="716" t="n"/>
      <c r="G75" s="716" t="n"/>
      <c r="H75" s="716" t="n"/>
      <c r="I75" s="716" t="n"/>
      <c r="J75" s="716" t="n"/>
      <c r="K75" s="716" t="n"/>
      <c r="L75" s="716" t="n"/>
      <c r="M75" s="716" t="n"/>
      <c r="N75" s="716" t="n"/>
      <c r="O75" s="716" t="n"/>
      <c r="P75" s="716" t="n"/>
      <c r="Q75" s="716" t="n"/>
      <c r="R75" s="716" t="n"/>
      <c r="S75" s="462">
        <f>IF(_epmOfflineCondition_,"       投资支付的现金",EPMMemberDesc(U75))</f>
        <v/>
      </c>
      <c r="T75" s="716" t="n"/>
      <c r="U75" s="716" t="inlineStr">
        <is>
          <t>A003020802</t>
        </is>
      </c>
      <c r="V75" s="635">
        <f>IF(_epmOfflineCondition_,"A003020802",EPMOlapMemberO(U75,"[C_ACCOUNT].[PARENTH1].[A003020802]","A003020802 -        投资支付的现金","","000"))</f>
        <v/>
      </c>
      <c r="W75" s="462" t="n"/>
      <c r="X75" s="475" t="inlineStr">
        <is>
          <t xml:space="preserve"> 　　投资支付的现金 </t>
        </is>
      </c>
      <c r="Y75" s="1185" t="inlineStr"/>
      <c r="Z75" s="1189" t="n"/>
      <c r="AA75" s="1189" t="n"/>
      <c r="AB75" s="1189" t="n"/>
      <c r="AC75" s="1190" t="n"/>
      <c r="AD75" s="1189" t="n"/>
      <c r="AE75" s="1136" t="n"/>
      <c r="AF75" s="716" t="n"/>
      <c r="AG75" s="716" t="n"/>
      <c r="AH75" s="716" t="n"/>
      <c r="AI75" s="716" t="n"/>
      <c r="AJ75" s="716" t="n"/>
      <c r="AK75" s="716" t="n"/>
      <c r="AL75" s="716" t="n"/>
      <c r="AM75" s="716" t="n"/>
      <c r="AN75" s="716" t="n"/>
      <c r="AO75" s="716" t="n"/>
      <c r="AP75" s="716" t="n"/>
      <c r="AQ75" s="716" t="n"/>
      <c r="AR75" s="716" t="n"/>
    </row>
    <row r="76" ht="17" customFormat="1" customHeight="1" s="716">
      <c r="A76" s="716" t="n"/>
      <c r="B76" s="716" t="n"/>
      <c r="C76" s="716" t="n"/>
      <c r="D76" s="716" t="n"/>
      <c r="E76" s="716" t="n"/>
      <c r="F76" s="716" t="n"/>
      <c r="G76" s="716" t="n"/>
      <c r="H76" s="716" t="n"/>
      <c r="I76" s="716" t="n"/>
      <c r="J76" s="716" t="n"/>
      <c r="K76" s="716" t="n"/>
      <c r="L76" s="716" t="n"/>
      <c r="M76" s="716" t="n"/>
      <c r="N76" s="716" t="n"/>
      <c r="O76" s="716" t="n"/>
      <c r="P76" s="716" t="n"/>
      <c r="Q76" s="716" t="n"/>
      <c r="R76" s="716" t="n"/>
      <c r="S76" s="462">
        <f>IF(_epmOfflineCondition_,"    # 质押贷款净增加额",EPMMemberDesc(U76))</f>
        <v/>
      </c>
      <c r="T76" s="716" t="n"/>
      <c r="U76" s="716" t="inlineStr">
        <is>
          <t>A0030209</t>
        </is>
      </c>
      <c r="V76" s="635">
        <f>IF(_epmOfflineCondition_,"A0030209",EPMOlapMemberO(U76,"[C_ACCOUNT].[PARENTH1].[A0030209]","A0030209 -     # 质押贷款净增加额","","000"))</f>
        <v/>
      </c>
      <c r="W76" s="462" t="n"/>
      <c r="X76" s="1015" t="inlineStr">
        <is>
          <t xml:space="preserve">  △质押贷款净增加额</t>
        </is>
      </c>
      <c r="Y76" s="1185" t="inlineStr"/>
      <c r="Z76" s="1189" t="n"/>
      <c r="AA76" s="1189" t="n"/>
      <c r="AB76" s="1189" t="n"/>
      <c r="AC76" s="1190" t="n"/>
      <c r="AD76" s="1189" t="n"/>
      <c r="AE76" s="1215" t="n"/>
      <c r="AF76" s="716" t="n"/>
      <c r="AG76" s="716" t="n"/>
      <c r="AH76" s="716" t="n"/>
      <c r="AI76" s="716" t="n"/>
      <c r="AJ76" s="716" t="n"/>
      <c r="AK76" s="716" t="n"/>
      <c r="AL76" s="716" t="n"/>
      <c r="AM76" s="716" t="n"/>
      <c r="AN76" s="716" t="n"/>
      <c r="AO76" s="716" t="n"/>
      <c r="AP76" s="716" t="n"/>
      <c r="AQ76" s="716" t="n"/>
      <c r="AR76" s="716" t="n"/>
    </row>
    <row r="77" ht="15.2" customFormat="1" customHeight="1" s="716">
      <c r="A77" s="716" t="n"/>
      <c r="B77" s="716" t="n"/>
      <c r="C77" s="716" t="n"/>
      <c r="D77" s="716" t="n"/>
      <c r="E77" s="716" t="n"/>
      <c r="F77" s="716" t="n"/>
      <c r="G77" s="716" t="n"/>
      <c r="H77" s="716" t="n"/>
      <c r="I77" s="716" t="n"/>
      <c r="J77" s="716" t="n"/>
      <c r="K77" s="716" t="n"/>
      <c r="L77" s="716" t="n"/>
      <c r="M77" s="716" t="n"/>
      <c r="N77" s="716" t="n"/>
      <c r="O77" s="716" t="n"/>
      <c r="P77" s="716" t="n"/>
      <c r="Q77" s="716" t="n"/>
      <c r="R77" s="716" t="n"/>
      <c r="S77" s="462">
        <f>IF(_epmOfflineCondition_,"       取得子公司及其他营业单位支付的现金净额",EPMMemberDesc(U77))</f>
        <v/>
      </c>
      <c r="T77" s="716" t="n"/>
      <c r="U77" s="716" t="inlineStr">
        <is>
          <t>A003021002</t>
        </is>
      </c>
      <c r="V77" s="635">
        <f>IF(_epmOfflineCondition_,"A003021002",EPMOlapMemberO(U77,"[C_ACCOUNT].[PARENTH1].[A003021002]","A003021002 -        取得子公司及其他营业单位支付的现金净额","","000"))</f>
        <v/>
      </c>
      <c r="W77" s="462" t="n"/>
      <c r="X77" s="475" t="inlineStr">
        <is>
          <t xml:space="preserve"> 　　取得子公司及其他营业单位支付的现金净额 </t>
        </is>
      </c>
      <c r="Y77" s="1185" t="inlineStr"/>
      <c r="Z77" s="1189" t="n"/>
      <c r="AA77" s="1189" t="n"/>
      <c r="AB77" s="1189" t="n"/>
      <c r="AC77" s="1190" t="n"/>
      <c r="AD77" s="1189" t="n"/>
      <c r="AE77" s="1199" t="n"/>
      <c r="AF77" s="716" t="n"/>
      <c r="AG77" s="716" t="n"/>
      <c r="AH77" s="716" t="n"/>
      <c r="AI77" s="716" t="n"/>
      <c r="AJ77" s="716" t="n"/>
      <c r="AK77" s="716" t="n"/>
      <c r="AL77" s="716" t="n"/>
      <c r="AM77" s="716" t="n"/>
      <c r="AN77" s="716" t="n"/>
      <c r="AO77" s="716" t="n"/>
      <c r="AP77" s="716" t="n"/>
      <c r="AQ77" s="716" t="n"/>
      <c r="AR77" s="716" t="n"/>
    </row>
    <row r="78" ht="15.2" customFormat="1" customHeight="1" s="716">
      <c r="A78" s="716" t="n"/>
      <c r="B78" s="716" t="n"/>
      <c r="C78" s="716" t="n"/>
      <c r="D78" s="716" t="n"/>
      <c r="E78" s="716" t="n"/>
      <c r="F78" s="716" t="n"/>
      <c r="G78" s="716" t="n"/>
      <c r="H78" s="716" t="n"/>
      <c r="I78" s="716" t="n"/>
      <c r="J78" s="716" t="n"/>
      <c r="K78" s="716" t="n"/>
      <c r="L78" s="716" t="n"/>
      <c r="M78" s="716" t="n"/>
      <c r="N78" s="716" t="n"/>
      <c r="O78" s="716" t="n"/>
      <c r="P78" s="716" t="n"/>
      <c r="Q78" s="716" t="n"/>
      <c r="R78" s="716" t="n"/>
      <c r="S78" s="462">
        <f>IF(_epmOfflineCondition_,"       支付其他与投资活动有关的现金",EPMMemberDesc(U78))</f>
        <v/>
      </c>
      <c r="T78" s="716" t="n"/>
      <c r="U78" s="716" t="inlineStr">
        <is>
          <t>A0030211</t>
        </is>
      </c>
      <c r="V78" s="635">
        <f>IF(_epmOfflineCondition_,"A0030211",EPMOlapMemberO(U78,"[C_ACCOUNT].[PARENTH1].[A0030211]","A0030211 -        支付其他与投资活动有关的现金","","000"))</f>
        <v/>
      </c>
      <c r="W78" s="462" t="n"/>
      <c r="X78" s="475" t="inlineStr">
        <is>
          <t xml:space="preserve"> 　   支付其他与投资活动有关的现金 </t>
        </is>
      </c>
      <c r="Y78" s="1185" t="inlineStr"/>
      <c r="Z78" s="1189" t="inlineStr"/>
      <c r="AA78" s="1189" t="inlineStr"/>
      <c r="AB78" s="1189" t="n"/>
      <c r="AC78" s="1190" t="inlineStr"/>
      <c r="AD78" s="1189" t="n"/>
      <c r="AE78" s="716" t="n"/>
      <c r="AF78" s="716" t="n"/>
      <c r="AG78" s="716" t="n"/>
      <c r="AH78" s="716" t="n"/>
      <c r="AI78" s="716" t="n"/>
      <c r="AJ78" s="716" t="n"/>
      <c r="AK78" s="716" t="n"/>
      <c r="AL78" s="716" t="n"/>
      <c r="AM78" s="716" t="n"/>
      <c r="AN78" s="716" t="n"/>
      <c r="AO78" s="716" t="n"/>
      <c r="AP78" s="716" t="n"/>
      <c r="AQ78" s="716" t="n"/>
      <c r="AR78" s="716" t="n"/>
    </row>
    <row r="79" ht="15.2" customFormat="1" customHeight="1" s="716">
      <c r="A79" s="716" t="n"/>
      <c r="B79" s="716" t="n"/>
      <c r="C79" s="716" t="n"/>
      <c r="D79" s="716" t="n"/>
      <c r="E79" s="716" t="n"/>
      <c r="F79" s="716" t="n"/>
      <c r="G79" s="716" t="n"/>
      <c r="H79" s="716" t="n"/>
      <c r="I79" s="716" t="n"/>
      <c r="J79" s="716" t="n"/>
      <c r="K79" s="716" t="n"/>
      <c r="L79" s="716" t="n"/>
      <c r="M79" s="716" t="n"/>
      <c r="N79" s="716" t="n"/>
      <c r="O79" s="716" t="n"/>
      <c r="P79" s="716" t="n"/>
      <c r="Q79" s="716" t="n"/>
      <c r="R79" s="716" t="n"/>
      <c r="S79" s="462">
        <f>IF(_epmOfflineCondition_,"       投资活动现金流出小计",EPMMemberDesc(U79))</f>
        <v/>
      </c>
      <c r="T79" s="716" t="n"/>
      <c r="U79" s="716" t="inlineStr">
        <is>
          <t>A0030212</t>
        </is>
      </c>
      <c r="V79" s="459">
        <f>IF(_epmOfflineCondition_,"A0030212",EPMOlapMemberO(U79,"[C_ACCOUNT].[PARENTH1].[A0030212]","A0030212 -        投资活动现金流出小计","","000"))</f>
        <v/>
      </c>
      <c r="W79" s="462" t="n"/>
      <c r="X79" s="450" t="inlineStr">
        <is>
          <t xml:space="preserve"> 投资活动现金流出小计 </t>
        </is>
      </c>
      <c r="Y79" s="1185" t="inlineStr"/>
      <c r="Z79" s="1189" t="inlineStr"/>
      <c r="AA79" s="1189" t="inlineStr"/>
      <c r="AB79" s="1189" t="inlineStr"/>
      <c r="AC79" s="1190" t="inlineStr"/>
      <c r="AD79" s="1189" t="inlineStr"/>
      <c r="AE79" s="716" t="n"/>
      <c r="AF79" s="716" t="n"/>
      <c r="AG79" s="716" t="n"/>
      <c r="AH79" s="716" t="n"/>
      <c r="AI79" s="716" t="n"/>
      <c r="AJ79" s="716" t="n"/>
      <c r="AK79" s="716" t="n"/>
      <c r="AL79" s="716" t="n"/>
      <c r="AM79" s="716" t="n"/>
      <c r="AN79" s="716" t="n"/>
      <c r="AO79" s="716" t="n"/>
      <c r="AP79" s="716" t="n"/>
      <c r="AQ79" s="716" t="n"/>
      <c r="AR79" s="716" t="n"/>
    </row>
    <row r="80" ht="15.2" customFormat="1" customHeight="1" s="716">
      <c r="A80" s="716" t="n"/>
      <c r="B80" s="716" t="n"/>
      <c r="C80" s="716" t="n"/>
      <c r="D80" s="716" t="n"/>
      <c r="E80" s="716" t="n"/>
      <c r="F80" s="716" t="n"/>
      <c r="G80" s="716" t="n"/>
      <c r="H80" s="716" t="n"/>
      <c r="I80" s="716" t="n"/>
      <c r="J80" s="716" t="n"/>
      <c r="K80" s="716" t="n"/>
      <c r="L80" s="716" t="n"/>
      <c r="M80" s="716" t="n"/>
      <c r="N80" s="716" t="n"/>
      <c r="O80" s="716" t="n"/>
      <c r="P80" s="716" t="n"/>
      <c r="Q80" s="716" t="n"/>
      <c r="R80" s="716" t="n"/>
      <c r="S80" s="462">
        <f>IF(_epmOfflineCondition_,"              投资活动产生的现金流量净额",EPMMemberDesc(U80))</f>
        <v/>
      </c>
      <c r="T80" s="716" t="n"/>
      <c r="U80" s="716" t="inlineStr">
        <is>
          <t>A0030213</t>
        </is>
      </c>
      <c r="V80" s="535">
        <f>IF(_epmOfflineCondition_,"A0030213",EPMOlapMemberO(U80,"[C_ACCOUNT].[PARENTH1].[A0030213]","A0030213 -               投资活动产生的现金流量净额","","000"))</f>
        <v/>
      </c>
      <c r="W80" s="462" t="n"/>
      <c r="X80" s="450" t="inlineStr">
        <is>
          <t xml:space="preserve">投资活动产生的现金流量净额 </t>
        </is>
      </c>
      <c r="Y80" s="1185" t="inlineStr"/>
      <c r="Z80" s="1189" t="inlineStr"/>
      <c r="AA80" s="1190" t="inlineStr"/>
      <c r="AB80" s="1189" t="inlineStr"/>
      <c r="AC80" s="1190" t="inlineStr"/>
      <c r="AD80" s="1189" t="inlineStr"/>
      <c r="AE80" s="716" t="n"/>
      <c r="AF80" s="716" t="n"/>
      <c r="AG80" s="716" t="n"/>
      <c r="AH80" s="716" t="n"/>
      <c r="AI80" s="716" t="n"/>
      <c r="AJ80" s="716" t="n"/>
      <c r="AK80" s="716" t="n"/>
      <c r="AL80" s="716" t="n"/>
      <c r="AM80" s="716" t="n"/>
      <c r="AN80" s="716" t="n"/>
      <c r="AO80" s="716" t="n"/>
      <c r="AP80" s="716" t="n"/>
      <c r="AQ80" s="716" t="n"/>
      <c r="AR80" s="716" t="n"/>
    </row>
    <row r="81" ht="15.2" customFormat="1" customHeight="1" s="716">
      <c r="A81" s="716" t="n"/>
      <c r="B81" s="716" t="n"/>
      <c r="C81" s="716" t="n"/>
      <c r="D81" s="716" t="n"/>
      <c r="E81" s="716" t="n"/>
      <c r="F81" s="716" t="n"/>
      <c r="G81" s="716" t="n"/>
      <c r="H81" s="716" t="n"/>
      <c r="I81" s="716" t="n"/>
      <c r="J81" s="716" t="n"/>
      <c r="K81" s="716" t="n"/>
      <c r="L81" s="716" t="n"/>
      <c r="M81" s="716" t="n"/>
      <c r="N81" s="716" t="n"/>
      <c r="O81" s="716" t="n"/>
      <c r="P81" s="716" t="n"/>
      <c r="Q81" s="716" t="n"/>
      <c r="R81" s="716" t="n"/>
      <c r="S81" s="462">
        <f>IF(_epmOfflineCondition_,"三、筹资活动产生的现金流量：",EPMMemberDesc(U81))</f>
        <v/>
      </c>
      <c r="T81" s="716" t="n"/>
      <c r="U81" s="716" t="inlineStr">
        <is>
          <t>A00303</t>
        </is>
      </c>
      <c r="V81" s="455">
        <f>IF(_epmOfflineCondition_,"A00303",EPMOlapMemberO(U81,"[C_ACCOUNT].[PARENTH1].[A00303]","A00303 - 三、筹资活动产生的现金流量：","","000"))</f>
        <v/>
      </c>
      <c r="W81" s="462" t="n"/>
      <c r="X81" s="454" t="inlineStr">
        <is>
          <t xml:space="preserve"> 三、筹资活动产生的现金流量： </t>
        </is>
      </c>
      <c r="Y81" s="1185" t="inlineStr">
        <is>
          <t>-</t>
        </is>
      </c>
      <c r="Z81" s="1186">
        <f>"— —"</f>
        <v/>
      </c>
      <c r="AA81" s="1216">
        <f>"— —"</f>
        <v/>
      </c>
      <c r="AB81" s="1186">
        <f>"— —"</f>
        <v/>
      </c>
      <c r="AC81" s="1186">
        <f>"— —"</f>
        <v/>
      </c>
      <c r="AD81" s="1186">
        <f>"— —"</f>
        <v/>
      </c>
      <c r="AE81" s="716" t="n"/>
      <c r="AF81" s="716" t="n"/>
      <c r="AG81" s="716" t="n"/>
      <c r="AH81" s="716" t="n"/>
      <c r="AI81" s="716" t="n"/>
      <c r="AJ81" s="716" t="n"/>
      <c r="AK81" s="716" t="n"/>
      <c r="AL81" s="716" t="n"/>
      <c r="AM81" s="716" t="n"/>
      <c r="AN81" s="716" t="n"/>
      <c r="AO81" s="716" t="n"/>
      <c r="AP81" s="716" t="n"/>
      <c r="AQ81" s="716" t="n"/>
      <c r="AR81" s="716" t="n"/>
    </row>
    <row r="82" ht="15.2" customFormat="1" customHeight="1" s="716">
      <c r="A82" s="716" t="n"/>
      <c r="B82" s="716" t="n"/>
      <c r="C82" s="716" t="n"/>
      <c r="D82" s="716" t="n"/>
      <c r="E82" s="716" t="n"/>
      <c r="F82" s="716" t="n"/>
      <c r="G82" s="716" t="n"/>
      <c r="H82" s="716" t="n"/>
      <c r="I82" s="716" t="n"/>
      <c r="J82" s="716" t="n"/>
      <c r="K82" s="716" t="n"/>
      <c r="L82" s="716" t="n"/>
      <c r="M82" s="716" t="n"/>
      <c r="N82" s="716" t="n"/>
      <c r="O82" s="716" t="n"/>
      <c r="P82" s="716" t="n"/>
      <c r="Q82" s="716" t="n"/>
      <c r="R82" s="716" t="n"/>
      <c r="S82" s="462">
        <f>IF(_epmOfflineCondition_,"       吸收投资收到的现金",EPMMemberDesc(U82))</f>
        <v/>
      </c>
      <c r="T82" s="716" t="n"/>
      <c r="U82" s="716" t="inlineStr">
        <is>
          <t>A0030311</t>
        </is>
      </c>
      <c r="V82" s="635">
        <f>IF(_epmOfflineCondition_,"A0030311",EPMOlapMemberO(U82,"[C_ACCOUNT].[PARENTH1].[A0030311]","A0030311 -        吸收投资收到的现金","","000"))</f>
        <v/>
      </c>
      <c r="W82" s="462" t="n"/>
      <c r="X82" s="588" t="inlineStr">
        <is>
          <t xml:space="preserve">     吸收投资收到的现金 </t>
        </is>
      </c>
      <c r="Y82" s="1185" t="inlineStr"/>
      <c r="Z82" s="1189" t="n"/>
      <c r="AA82" s="1190" t="n"/>
      <c r="AB82" s="1189" t="n"/>
      <c r="AC82" s="1190" t="n"/>
      <c r="AD82" s="1189" t="n"/>
      <c r="AE82" s="716" t="n"/>
      <c r="AF82" s="716" t="n"/>
      <c r="AG82" s="716" t="n"/>
      <c r="AH82" s="716" t="n"/>
      <c r="AI82" s="716" t="n"/>
      <c r="AJ82" s="716" t="n"/>
      <c r="AK82" s="716" t="n"/>
      <c r="AL82" s="716" t="n"/>
      <c r="AM82" s="716" t="n"/>
      <c r="AN82" s="716" t="n"/>
      <c r="AO82" s="716" t="n"/>
      <c r="AP82" s="716" t="n"/>
      <c r="AQ82" s="716" t="n"/>
      <c r="AR82" s="716" t="n"/>
    </row>
    <row r="83" ht="15.2" customFormat="1" customHeight="1" s="716">
      <c r="A83" s="716" t="n"/>
      <c r="B83" s="716" t="n"/>
      <c r="C83" s="716" t="n"/>
      <c r="D83" s="716" t="n"/>
      <c r="E83" s="716" t="n"/>
      <c r="F83" s="716" t="n"/>
      <c r="G83" s="716" t="n"/>
      <c r="H83" s="716" t="n"/>
      <c r="I83" s="716" t="n"/>
      <c r="J83" s="716" t="n"/>
      <c r="K83" s="716" t="n"/>
      <c r="L83" s="716" t="n"/>
      <c r="M83" s="716" t="n"/>
      <c r="N83" s="716" t="n"/>
      <c r="O83" s="716" t="n"/>
      <c r="P83" s="716" t="n"/>
      <c r="Q83" s="716" t="n"/>
      <c r="R83" s="716" t="n"/>
      <c r="S83" s="462">
        <f>IF(_epmOfflineCondition_,"       其中：子公司吸收少数股东投资收到的现金",EPMMemberDesc(U83))</f>
        <v/>
      </c>
      <c r="T83" s="716" t="n"/>
      <c r="U83" s="716" t="inlineStr">
        <is>
          <t>A003030101</t>
        </is>
      </c>
      <c r="V83" s="637">
        <f>IF(_epmOfflineCondition_,"A003030101",EPMOlapMemberO(U83,"[C_ACCOUNT].[PARENTH1].[A003030101]","A003030101 -        其中：子公司吸收少数股东投资收到的现金","","000"))</f>
        <v/>
      </c>
      <c r="W83" s="462" t="n"/>
      <c r="X83" s="585" t="inlineStr">
        <is>
          <t xml:space="preserve"> 　　　　其中：子公司吸收少数股东投资收到的现金 </t>
        </is>
      </c>
      <c r="Y83" s="1185" t="inlineStr"/>
      <c r="Z83" s="1189" t="n"/>
      <c r="AA83" s="1190" t="n"/>
      <c r="AB83" s="1189" t="n"/>
      <c r="AC83" s="1190" t="n"/>
      <c r="AD83" s="1189" t="n"/>
      <c r="AE83" s="716" t="n"/>
      <c r="AF83" s="716" t="n"/>
      <c r="AG83" s="716" t="n"/>
      <c r="AH83" s="716" t="n"/>
      <c r="AI83" s="716" t="n"/>
      <c r="AJ83" s="716" t="n"/>
      <c r="AK83" s="716" t="n"/>
      <c r="AL83" s="716" t="n"/>
      <c r="AM83" s="716" t="n"/>
      <c r="AN83" s="716" t="n"/>
      <c r="AO83" s="716" t="n"/>
      <c r="AP83" s="716" t="n"/>
      <c r="AQ83" s="716" t="n"/>
      <c r="AR83" s="716" t="n"/>
    </row>
    <row r="84" ht="15.2" customFormat="1" customHeight="1" s="716">
      <c r="A84" s="716" t="n"/>
      <c r="B84" s="716" t="n"/>
      <c r="C84" s="716" t="n"/>
      <c r="D84" s="716" t="n"/>
      <c r="E84" s="716" t="n"/>
      <c r="F84" s="716" t="n"/>
      <c r="G84" s="716" t="n"/>
      <c r="H84" s="716" t="n"/>
      <c r="I84" s="716" t="n"/>
      <c r="J84" s="716" t="n"/>
      <c r="K84" s="716" t="n"/>
      <c r="L84" s="716" t="n"/>
      <c r="M84" s="716" t="n"/>
      <c r="N84" s="716" t="n"/>
      <c r="O84" s="716" t="n"/>
      <c r="P84" s="716" t="n"/>
      <c r="Q84" s="716" t="n"/>
      <c r="R84" s="716" t="n"/>
      <c r="S84" s="462">
        <f>IF(_epmOfflineCondition_,"       取得借款收到的现金",EPMMemberDesc(U84))</f>
        <v/>
      </c>
      <c r="T84" s="716" t="n"/>
      <c r="U84" s="716" t="inlineStr">
        <is>
          <t>A0030302</t>
        </is>
      </c>
      <c r="V84" s="635">
        <f>IF(_epmOfflineCondition_,"A0030302",EPMOlapMemberO(U84,"[C_ACCOUNT].[PARENTH1].[A0030302]","A0030302 -        取得借款收到的现金","","000"))</f>
        <v/>
      </c>
      <c r="W84" s="462" t="n"/>
      <c r="X84" s="588" t="inlineStr">
        <is>
          <t xml:space="preserve">     取得借款收到的现金 </t>
        </is>
      </c>
      <c r="Y84" s="1185" t="inlineStr"/>
      <c r="Z84" s="1189" t="n"/>
      <c r="AA84" s="1190" t="n"/>
      <c r="AB84" s="1189" t="n"/>
      <c r="AC84" s="1190" t="n"/>
      <c r="AD84" s="1189" t="inlineStr"/>
      <c r="AE84" s="716" t="n"/>
      <c r="AF84" s="716" t="n"/>
      <c r="AG84" s="716" t="n"/>
      <c r="AH84" s="716" t="n"/>
      <c r="AI84" s="716" t="n"/>
      <c r="AJ84" s="716" t="n"/>
      <c r="AK84" s="716" t="n"/>
      <c r="AL84" s="716" t="n"/>
      <c r="AM84" s="716" t="n"/>
      <c r="AN84" s="716" t="n"/>
      <c r="AO84" s="716" t="n"/>
      <c r="AP84" s="716" t="n"/>
      <c r="AQ84" s="716" t="n"/>
      <c r="AR84" s="716" t="n"/>
    </row>
    <row r="85" ht="17" customFormat="1" customHeight="1" s="716">
      <c r="A85" s="716" t="n"/>
      <c r="B85" s="716" t="n"/>
      <c r="C85" s="716" t="n"/>
      <c r="D85" s="716" t="n"/>
      <c r="E85" s="716" t="n"/>
      <c r="F85" s="716" t="n"/>
      <c r="G85" s="716" t="n"/>
      <c r="H85" s="716" t="n"/>
      <c r="I85" s="716" t="n"/>
      <c r="J85" s="716" t="n"/>
      <c r="K85" s="716" t="n"/>
      <c r="L85" s="716" t="n"/>
      <c r="M85" s="716" t="n"/>
      <c r="N85" s="716" t="n"/>
      <c r="O85" s="716" t="n"/>
      <c r="P85" s="716" t="n"/>
      <c r="Q85" s="716" t="n"/>
      <c r="R85" s="716" t="n"/>
      <c r="S85" s="462">
        <f>IF(_epmOfflineCondition_,"    # 发行债券收到的现金",EPMMemberDesc(U85))</f>
        <v/>
      </c>
      <c r="T85" s="716" t="n"/>
      <c r="U85" s="716" t="inlineStr">
        <is>
          <t>A0030303</t>
        </is>
      </c>
      <c r="V85" s="635">
        <f>IF(_epmOfflineCondition_,"A0030303",EPMOlapMemberO(U85,"[C_ACCOUNT].[PARENTH1].[A0030303]","A0030303 -     # 发行债券收到的现金","","000"))</f>
        <v/>
      </c>
      <c r="W85" s="462" t="n"/>
      <c r="X85" s="1016" t="inlineStr">
        <is>
          <t xml:space="preserve">  △发行债券收到的现金</t>
        </is>
      </c>
      <c r="Y85" s="1185" t="inlineStr"/>
      <c r="Z85" s="1189" t="n"/>
      <c r="AA85" s="1190" t="n"/>
      <c r="AB85" s="1189" t="n"/>
      <c r="AC85" s="1190" t="n"/>
      <c r="AD85" s="1189" t="n"/>
      <c r="AE85" s="716" t="n"/>
      <c r="AF85" s="716" t="n"/>
      <c r="AG85" s="716" t="n"/>
      <c r="AH85" s="716" t="n"/>
      <c r="AI85" s="716" t="n"/>
      <c r="AJ85" s="716" t="n"/>
      <c r="AK85" s="716" t="n"/>
      <c r="AL85" s="716" t="n"/>
      <c r="AM85" s="716" t="n"/>
      <c r="AN85" s="716" t="n"/>
      <c r="AO85" s="716" t="n"/>
      <c r="AP85" s="716" t="n"/>
      <c r="AQ85" s="716" t="n"/>
      <c r="AR85" s="716" t="n"/>
    </row>
    <row r="86" ht="15.2" customFormat="1" customHeight="1" s="716">
      <c r="A86" s="716" t="n"/>
      <c r="B86" s="716" t="n"/>
      <c r="C86" s="716" t="n"/>
      <c r="D86" s="716" t="n"/>
      <c r="E86" s="716" t="n"/>
      <c r="F86" s="716" t="n"/>
      <c r="G86" s="716" t="n"/>
      <c r="H86" s="716" t="n"/>
      <c r="I86" s="716" t="n"/>
      <c r="J86" s="716" t="n"/>
      <c r="K86" s="716" t="n"/>
      <c r="L86" s="716" t="n"/>
      <c r="M86" s="716" t="n"/>
      <c r="N86" s="716" t="n"/>
      <c r="O86" s="716" t="n"/>
      <c r="P86" s="716" t="n"/>
      <c r="Q86" s="716" t="n"/>
      <c r="R86" s="716" t="n"/>
      <c r="S86" s="462">
        <f>IF(_epmOfflineCondition_,"       收到的其他与筹资活动有关的现金",EPMMemberDesc(U86))</f>
        <v/>
      </c>
      <c r="T86" s="716" t="n"/>
      <c r="U86" s="716" t="inlineStr">
        <is>
          <t>A003030402</t>
        </is>
      </c>
      <c r="V86" s="635">
        <f>IF(_epmOfflineCondition_,"A003030402",EPMOlapMemberO(U86,"[C_ACCOUNT].[PARENTH1].[A003030402]","A003030402 -        收到的其他与筹资活动有关的现金","","000"))</f>
        <v/>
      </c>
      <c r="W86" s="462" t="n"/>
      <c r="X86" s="588" t="inlineStr">
        <is>
          <t xml:space="preserve">     收到的其他与筹资活动有关的现金 </t>
        </is>
      </c>
      <c r="Y86" s="1185" t="inlineStr"/>
      <c r="Z86" s="1189" t="n"/>
      <c r="AA86" s="1190" t="n"/>
      <c r="AB86" s="1189" t="n"/>
      <c r="AC86" s="1190" t="n"/>
      <c r="AD86" s="1189" t="inlineStr"/>
      <c r="AE86" s="716" t="n"/>
      <c r="AF86" s="716" t="n"/>
      <c r="AG86" s="716" t="n"/>
      <c r="AH86" s="716" t="n"/>
      <c r="AI86" s="716" t="n"/>
      <c r="AJ86" s="716" t="n"/>
      <c r="AK86" s="716" t="n"/>
      <c r="AL86" s="716" t="n"/>
      <c r="AM86" s="716" t="n"/>
      <c r="AN86" s="716" t="n"/>
      <c r="AO86" s="716" t="n"/>
      <c r="AP86" s="716" t="n"/>
      <c r="AQ86" s="716" t="n"/>
      <c r="AR86" s="716" t="n"/>
    </row>
    <row r="87" ht="15.2" customFormat="1" customHeight="1" s="716">
      <c r="A87" s="716" t="n"/>
      <c r="B87" s="716" t="n"/>
      <c r="C87" s="716" t="n"/>
      <c r="D87" s="716" t="n"/>
      <c r="E87" s="716" t="n"/>
      <c r="F87" s="716" t="n"/>
      <c r="G87" s="716" t="n"/>
      <c r="H87" s="716" t="n"/>
      <c r="I87" s="716" t="n"/>
      <c r="J87" s="716" t="n"/>
      <c r="K87" s="716" t="n"/>
      <c r="L87" s="716" t="n"/>
      <c r="M87" s="716" t="n"/>
      <c r="N87" s="716" t="n"/>
      <c r="O87" s="716" t="n"/>
      <c r="P87" s="716" t="n"/>
      <c r="Q87" s="716" t="n"/>
      <c r="R87" s="716" t="n"/>
      <c r="S87" s="462">
        <f>IF(_epmOfflineCondition_,"筹资活动现金流入小计",EPMMemberDesc(U87))</f>
        <v/>
      </c>
      <c r="T87" s="716" t="n"/>
      <c r="U87" s="716" t="inlineStr">
        <is>
          <t>A0030305</t>
        </is>
      </c>
      <c r="V87" s="459">
        <f>IF(_epmOfflineCondition_,"A0030305",EPMOlapMemberO(U87,"[C_ACCOUNT].[PARENTH1].[A0030305]","A0030305 - 筹资活动现金流入小计","","000"))</f>
        <v/>
      </c>
      <c r="W87" s="462" t="n"/>
      <c r="X87" s="1017" t="inlineStr">
        <is>
          <t xml:space="preserve">         筹资活动现金流入小计 </t>
        </is>
      </c>
      <c r="Y87" s="1185" t="inlineStr"/>
      <c r="Z87" s="1189" t="n"/>
      <c r="AA87" s="1190" t="n"/>
      <c r="AB87" s="1189" t="n"/>
      <c r="AC87" s="1190" t="n"/>
      <c r="AD87" s="1189" t="inlineStr"/>
      <c r="AE87" s="716" t="n"/>
      <c r="AF87" s="716" t="n"/>
      <c r="AG87" s="716" t="n"/>
      <c r="AH87" s="716" t="n"/>
      <c r="AI87" s="716" t="n"/>
      <c r="AJ87" s="716" t="n"/>
      <c r="AK87" s="716" t="n"/>
      <c r="AL87" s="716" t="n"/>
      <c r="AM87" s="716" t="n"/>
      <c r="AN87" s="716" t="n"/>
      <c r="AO87" s="716" t="n"/>
      <c r="AP87" s="716" t="n"/>
      <c r="AQ87" s="716" t="n"/>
      <c r="AR87" s="716" t="n"/>
    </row>
    <row r="88" ht="15.2" customFormat="1" customHeight="1" s="716">
      <c r="A88" s="716" t="n"/>
      <c r="B88" s="716" t="n"/>
      <c r="C88" s="716" t="n"/>
      <c r="D88" s="716" t="n"/>
      <c r="E88" s="716" t="n"/>
      <c r="F88" s="716" t="n"/>
      <c r="G88" s="716" t="n"/>
      <c r="H88" s="716" t="n"/>
      <c r="I88" s="716" t="n"/>
      <c r="J88" s="716" t="n"/>
      <c r="K88" s="716" t="n"/>
      <c r="L88" s="716" t="n"/>
      <c r="M88" s="716" t="n"/>
      <c r="N88" s="716" t="n"/>
      <c r="O88" s="716" t="n"/>
      <c r="P88" s="716" t="n"/>
      <c r="Q88" s="716" t="n"/>
      <c r="R88" s="716" t="n"/>
      <c r="S88" s="462">
        <f>IF(_epmOfflineCondition_,"       偿还债务所支付的现金",EPMMemberDesc(U88))</f>
        <v/>
      </c>
      <c r="T88" s="716" t="n"/>
      <c r="U88" s="716" t="inlineStr">
        <is>
          <t>A0030306</t>
        </is>
      </c>
      <c r="V88" s="635">
        <f>IF(_epmOfflineCondition_,"A0030306",EPMOlapMemberO(U88,"[C_ACCOUNT].[PARENTH1].[A0030306]","A0030306 -        偿还债务所支付的现金","","000"))</f>
        <v/>
      </c>
      <c r="W88" s="462" t="n"/>
      <c r="X88" s="588" t="inlineStr">
        <is>
          <t xml:space="preserve">     偿还债务所支付的现金 </t>
        </is>
      </c>
      <c r="Y88" s="1185" t="inlineStr"/>
      <c r="Z88" s="1189" t="n"/>
      <c r="AA88" s="1190" t="n"/>
      <c r="AB88" s="1189" t="n"/>
      <c r="AC88" s="1190" t="n"/>
      <c r="AD88" s="1189" t="n"/>
      <c r="AE88" s="716" t="n"/>
      <c r="AF88" s="716" t="n"/>
      <c r="AG88" s="716" t="n"/>
      <c r="AH88" s="716" t="n"/>
      <c r="AI88" s="716" t="n"/>
      <c r="AJ88" s="716" t="n"/>
      <c r="AK88" s="716" t="n"/>
      <c r="AL88" s="716" t="n"/>
      <c r="AM88" s="716" t="n"/>
      <c r="AN88" s="716" t="n"/>
      <c r="AO88" s="716" t="n"/>
      <c r="AP88" s="716" t="n"/>
      <c r="AQ88" s="716" t="n"/>
      <c r="AR88" s="716" t="n"/>
    </row>
    <row r="89" ht="15.2" customFormat="1" customHeight="1" s="716">
      <c r="A89" s="716" t="n"/>
      <c r="B89" s="716" t="n"/>
      <c r="C89" s="716" t="n"/>
      <c r="D89" s="716" t="n"/>
      <c r="E89" s="716" t="n"/>
      <c r="F89" s="716" t="n"/>
      <c r="G89" s="716" t="n"/>
      <c r="H89" s="716" t="n"/>
      <c r="I89" s="716" t="n"/>
      <c r="J89" s="716" t="n"/>
      <c r="K89" s="716" t="n"/>
      <c r="L89" s="716" t="n"/>
      <c r="M89" s="716" t="n"/>
      <c r="N89" s="716" t="n"/>
      <c r="O89" s="716" t="n"/>
      <c r="P89" s="716" t="n"/>
      <c r="Q89" s="716" t="n"/>
      <c r="R89" s="716" t="n"/>
      <c r="S89" s="462">
        <f>IF(_epmOfflineCondition_,"       分配股利、利润或偿付利息所支付的现金",EPMMemberDesc(U89))</f>
        <v/>
      </c>
      <c r="T89" s="716" t="n"/>
      <c r="U89" s="716" t="inlineStr">
        <is>
          <t>A0030307</t>
        </is>
      </c>
      <c r="V89" s="637">
        <f>IF(_epmOfflineCondition_,"A0030307",EPMOlapMemberO(U89,"[C_ACCOUNT].[PARENTH1].[A0030307]","A0030307 -        分配股利、利润或偿付利息所支付的现金","","000"))</f>
        <v/>
      </c>
      <c r="W89" s="462" t="n"/>
      <c r="X89" s="588" t="inlineStr">
        <is>
          <t xml:space="preserve">     分配股利、利润或偿付利息所支付的现金 </t>
        </is>
      </c>
      <c r="Y89" s="1185" t="inlineStr"/>
      <c r="Z89" s="1189" t="inlineStr"/>
      <c r="AA89" s="1190" t="inlineStr"/>
      <c r="AB89" s="1189" t="n"/>
      <c r="AC89" s="1190" t="inlineStr"/>
      <c r="AD89" s="1189" t="inlineStr"/>
      <c r="AE89" s="716" t="n"/>
      <c r="AF89" s="716" t="n"/>
      <c r="AG89" s="716" t="n"/>
      <c r="AH89" s="716" t="n"/>
      <c r="AI89" s="716" t="n"/>
      <c r="AJ89" s="716" t="n"/>
      <c r="AK89" s="716" t="n"/>
      <c r="AL89" s="716" t="n"/>
      <c r="AM89" s="716" t="n"/>
      <c r="AN89" s="716" t="n"/>
      <c r="AO89" s="716" t="n"/>
      <c r="AP89" s="716" t="n"/>
      <c r="AQ89" s="716" t="n"/>
      <c r="AR89" s="716" t="n"/>
    </row>
    <row r="90" ht="15.2" customFormat="1" customHeight="1" s="716">
      <c r="A90" s="716" t="n"/>
      <c r="B90" s="716" t="n"/>
      <c r="C90" s="716" t="n"/>
      <c r="D90" s="716" t="n"/>
      <c r="E90" s="716" t="n"/>
      <c r="F90" s="716" t="n"/>
      <c r="G90" s="716" t="n"/>
      <c r="H90" s="716" t="n"/>
      <c r="I90" s="716" t="n"/>
      <c r="J90" s="716" t="n"/>
      <c r="K90" s="716" t="n"/>
      <c r="L90" s="716" t="n"/>
      <c r="M90" s="716" t="n"/>
      <c r="N90" s="716" t="n"/>
      <c r="O90" s="716" t="n"/>
      <c r="P90" s="716" t="n"/>
      <c r="Q90" s="716" t="n"/>
      <c r="R90" s="716" t="n"/>
      <c r="S90" s="462">
        <f>IF(_epmOfflineCondition_,"       其中：子公司支付给少数股东的股利、利润",EPMMemberDesc(U90))</f>
        <v/>
      </c>
      <c r="T90" s="716" t="n"/>
      <c r="U90" s="716" t="inlineStr">
        <is>
          <t>A003030701</t>
        </is>
      </c>
      <c r="V90" s="1018">
        <f>IF(_epmOfflineCondition_,"A003030701",EPMOlapMemberO(U90,"[C_ACCOUNT].[PARENTH1].[A003030701]","A003030701 -        其中：子公司支付给少数股东的股利、利润","","000"))</f>
        <v/>
      </c>
      <c r="W90" s="462" t="n"/>
      <c r="X90" s="458" t="inlineStr">
        <is>
          <t xml:space="preserve">其中：子公司支付给少数股东的股利，利润 </t>
        </is>
      </c>
      <c r="Y90" s="1185" t="inlineStr"/>
      <c r="Z90" s="1189" t="n"/>
      <c r="AA90" s="1190" t="n"/>
      <c r="AB90" s="1189" t="n"/>
      <c r="AC90" s="1190" t="n"/>
      <c r="AD90" s="1189" t="n"/>
      <c r="AE90" s="716" t="n"/>
      <c r="AF90" s="716" t="n"/>
      <c r="AG90" s="716" t="n"/>
      <c r="AH90" s="716" t="n"/>
      <c r="AI90" s="716" t="n"/>
      <c r="AJ90" s="716" t="n"/>
      <c r="AK90" s="716" t="n"/>
      <c r="AL90" s="716" t="n"/>
      <c r="AM90" s="716" t="n"/>
      <c r="AN90" s="716" t="n"/>
      <c r="AO90" s="716" t="n"/>
      <c r="AP90" s="716" t="n"/>
      <c r="AQ90" s="716" t="n"/>
      <c r="AR90" s="716" t="n"/>
    </row>
    <row r="91" ht="15.2" customFormat="1" customHeight="1" s="716">
      <c r="A91" s="716" t="n"/>
      <c r="B91" s="716" t="n"/>
      <c r="C91" s="716" t="n"/>
      <c r="D91" s="716" t="n"/>
      <c r="E91" s="716" t="n"/>
      <c r="F91" s="716" t="n"/>
      <c r="G91" s="716" t="n"/>
      <c r="H91" s="716" t="n"/>
      <c r="I91" s="716" t="n"/>
      <c r="J91" s="716" t="n"/>
      <c r="K91" s="716" t="n"/>
      <c r="L91" s="716" t="n"/>
      <c r="M91" s="716" t="n"/>
      <c r="N91" s="716" t="n"/>
      <c r="O91" s="716" t="n"/>
      <c r="P91" s="716" t="n"/>
      <c r="Q91" s="716" t="n"/>
      <c r="R91" s="716" t="n"/>
      <c r="S91" s="462">
        <f>IF(_epmOfflineCondition_,"       支付其他与筹资活动有关的现金",EPMMemberDesc(U91))</f>
        <v/>
      </c>
      <c r="T91" s="716" t="n"/>
      <c r="U91" s="716" t="inlineStr">
        <is>
          <t>A003030802</t>
        </is>
      </c>
      <c r="V91" s="635">
        <f>IF(_epmOfflineCondition_,"A003030802",EPMOlapMemberO(U91,"[C_ACCOUNT].[PARENTH1].[A003030802]","A003030802 -        支付其他与筹资活动有关的现金","","000"))</f>
        <v/>
      </c>
      <c r="W91" s="462" t="n"/>
      <c r="X91" s="588" t="inlineStr">
        <is>
          <t xml:space="preserve">     支付其他与筹资活动有关的现金 </t>
        </is>
      </c>
      <c r="Y91" s="1185" t="inlineStr"/>
      <c r="Z91" s="1189" t="n"/>
      <c r="AA91" s="1189" t="n"/>
      <c r="AB91" s="1189" t="n"/>
      <c r="AC91" s="1190" t="n"/>
      <c r="AD91" s="1189" t="n"/>
      <c r="AE91" s="716" t="n"/>
      <c r="AF91" s="716" t="n"/>
      <c r="AG91" s="716" t="n"/>
      <c r="AH91" s="716" t="n"/>
      <c r="AI91" s="716" t="n"/>
      <c r="AJ91" s="716" t="n"/>
      <c r="AK91" s="716" t="n"/>
      <c r="AL91" s="716" t="n"/>
      <c r="AM91" s="716" t="n"/>
      <c r="AN91" s="716" t="n"/>
      <c r="AO91" s="716" t="n"/>
      <c r="AP91" s="716" t="n"/>
      <c r="AQ91" s="716" t="n"/>
      <c r="AR91" s="716" t="n"/>
    </row>
    <row r="92" ht="15.2" customFormat="1" customHeight="1" s="716">
      <c r="A92" s="716" t="n"/>
      <c r="B92" s="716" t="n"/>
      <c r="C92" s="716" t="n"/>
      <c r="D92" s="716" t="n"/>
      <c r="E92" s="716" t="n"/>
      <c r="F92" s="716" t="n"/>
      <c r="G92" s="716" t="n"/>
      <c r="H92" s="716" t="n"/>
      <c r="I92" s="716" t="n"/>
      <c r="J92" s="716" t="n"/>
      <c r="K92" s="716" t="n"/>
      <c r="L92" s="716" t="n"/>
      <c r="M92" s="716" t="n"/>
      <c r="N92" s="716" t="n"/>
      <c r="O92" s="716" t="n"/>
      <c r="P92" s="716" t="n"/>
      <c r="Q92" s="716" t="n"/>
      <c r="R92" s="716" t="n"/>
      <c r="S92" s="462">
        <f>IF(_epmOfflineCondition_,"        筹资活动现金流出小计",EPMMemberDesc(U92))</f>
        <v/>
      </c>
      <c r="T92" s="716" t="n"/>
      <c r="U92" s="716" t="inlineStr">
        <is>
          <t>A0030309</t>
        </is>
      </c>
      <c r="V92" s="459">
        <f>IF(_epmOfflineCondition_,"A0030309",EPMOlapMemberO(U92,"[C_ACCOUNT].[PARENTH1].[A0030309]","A0030309 -         筹资活动现金流出小计","","000"))</f>
        <v/>
      </c>
      <c r="W92" s="462" t="n"/>
      <c r="X92" s="450" t="inlineStr">
        <is>
          <t xml:space="preserve">筹资活动现金流出小计 </t>
        </is>
      </c>
      <c r="Y92" s="1185" t="inlineStr"/>
      <c r="Z92" s="1189" t="inlineStr"/>
      <c r="AA92" s="1189" t="inlineStr"/>
      <c r="AB92" s="1189" t="n"/>
      <c r="AC92" s="1190" t="inlineStr"/>
      <c r="AD92" s="1189" t="inlineStr"/>
      <c r="AE92" s="716" t="n"/>
      <c r="AF92" s="716" t="n"/>
      <c r="AG92" s="716" t="n"/>
      <c r="AH92" s="716" t="n"/>
      <c r="AI92" s="716" t="n"/>
      <c r="AJ92" s="716" t="n"/>
      <c r="AK92" s="716" t="n"/>
      <c r="AL92" s="716" t="n"/>
      <c r="AM92" s="716" t="n"/>
      <c r="AN92" s="716" t="n"/>
      <c r="AO92" s="716" t="n"/>
      <c r="AP92" s="716" t="n"/>
      <c r="AQ92" s="716" t="n"/>
      <c r="AR92" s="716" t="n"/>
    </row>
    <row r="93" ht="15.2" customFormat="1" customHeight="1" s="716">
      <c r="A93" s="716" t="n"/>
      <c r="B93" s="716" t="n"/>
      <c r="C93" s="716" t="n"/>
      <c r="D93" s="716" t="n"/>
      <c r="E93" s="716" t="n"/>
      <c r="F93" s="716" t="n"/>
      <c r="G93" s="716" t="n"/>
      <c r="H93" s="716" t="n"/>
      <c r="I93" s="716" t="n"/>
      <c r="J93" s="716" t="n"/>
      <c r="K93" s="716" t="n"/>
      <c r="L93" s="716" t="n"/>
      <c r="M93" s="716" t="n"/>
      <c r="N93" s="716" t="n"/>
      <c r="O93" s="716" t="n"/>
      <c r="P93" s="716" t="n"/>
      <c r="Q93" s="716" t="n"/>
      <c r="R93" s="716" t="n"/>
      <c r="S93" s="462">
        <f>IF(_epmOfflineCondition_,"　        　筹资活动产生的现金流量净额",EPMMemberDesc(U93))</f>
        <v/>
      </c>
      <c r="T93" s="716" t="n"/>
      <c r="U93" s="716" t="inlineStr">
        <is>
          <t>A0030310</t>
        </is>
      </c>
      <c r="V93" s="535">
        <f>IF(_epmOfflineCondition_,"A0030310",EPMOlapMemberO(U93,"[C_ACCOUNT].[PARENTH1].[A0030310]","A0030310 - 　        　筹资活动产生的现金流量净额","","000"))</f>
        <v/>
      </c>
      <c r="W93" s="462" t="n"/>
      <c r="X93" s="450" t="inlineStr">
        <is>
          <t xml:space="preserve">筹资活动产生的现金流量净额 </t>
        </is>
      </c>
      <c r="Y93" s="1185" t="inlineStr"/>
      <c r="Z93" s="1189" t="inlineStr"/>
      <c r="AA93" s="1189" t="inlineStr"/>
      <c r="AB93" s="1189" t="n"/>
      <c r="AC93" s="1190" t="inlineStr"/>
      <c r="AD93" s="1189" t="inlineStr"/>
      <c r="AE93" s="716" t="n"/>
      <c r="AF93" s="716" t="n"/>
      <c r="AG93" s="716" t="n"/>
      <c r="AH93" s="716" t="n"/>
      <c r="AI93" s="716" t="n"/>
      <c r="AJ93" s="716" t="n"/>
      <c r="AK93" s="716" t="n"/>
      <c r="AL93" s="716" t="n"/>
      <c r="AM93" s="716" t="n"/>
      <c r="AN93" s="716" t="n"/>
      <c r="AO93" s="716" t="n"/>
      <c r="AP93" s="716" t="n"/>
      <c r="AQ93" s="716" t="n"/>
      <c r="AR93" s="716" t="n"/>
    </row>
    <row r="94" ht="15.2" customFormat="1" customHeight="1" s="716">
      <c r="A94" s="716" t="n"/>
      <c r="B94" s="716" t="n"/>
      <c r="C94" s="716" t="n"/>
      <c r="D94" s="716" t="n"/>
      <c r="E94" s="716" t="n"/>
      <c r="F94" s="716" t="n"/>
      <c r="G94" s="716" t="n"/>
      <c r="H94" s="716" t="n"/>
      <c r="I94" s="716" t="n"/>
      <c r="J94" s="716" t="n"/>
      <c r="K94" s="716" t="n"/>
      <c r="L94" s="716" t="n"/>
      <c r="M94" s="716" t="n"/>
      <c r="N94" s="716" t="n"/>
      <c r="O94" s="716" t="n"/>
      <c r="P94" s="716" t="n"/>
      <c r="Q94" s="716" t="n"/>
      <c r="R94" s="716" t="n"/>
      <c r="S94" s="462">
        <f>IF(_epmOfflineCondition_,"四、汇率变动对现金及现金等价物的影响",EPMMemberDesc(U94))</f>
        <v/>
      </c>
      <c r="T94" s="716" t="n"/>
      <c r="U94" s="716" t="inlineStr">
        <is>
          <t>A0030402</t>
        </is>
      </c>
      <c r="V94" s="535">
        <f>IF(_epmOfflineCondition_,"A0030402",EPMOlapMemberO(U94,"[C_ACCOUNT].[PARENTH1].[A0030402]","A0030402 - 四、汇率变动对现金及现金等价物的影响","","000"))</f>
        <v/>
      </c>
      <c r="W94" s="462" t="n"/>
      <c r="X94" s="454" t="inlineStr">
        <is>
          <t xml:space="preserve"> 四、汇率变动对现金及现金等价物的影响 </t>
        </is>
      </c>
      <c r="Y94" s="1185" t="inlineStr"/>
      <c r="Z94" s="1189" t="n"/>
      <c r="AA94" s="1189" t="n"/>
      <c r="AB94" s="1189" t="n"/>
      <c r="AC94" s="1190" t="n"/>
      <c r="AD94" s="1189" t="n"/>
      <c r="AE94" s="716" t="n"/>
      <c r="AF94" s="716" t="n"/>
      <c r="AG94" s="716" t="n"/>
      <c r="AH94" s="716" t="n"/>
      <c r="AI94" s="716" t="n"/>
      <c r="AJ94" s="716" t="n"/>
      <c r="AK94" s="716" t="n"/>
      <c r="AL94" s="716" t="n"/>
      <c r="AM94" s="716" t="n"/>
      <c r="AN94" s="716" t="n"/>
      <c r="AO94" s="716" t="n"/>
      <c r="AP94" s="716" t="n"/>
      <c r="AQ94" s="716" t="n"/>
      <c r="AR94" s="716" t="n"/>
    </row>
    <row r="95" ht="15.2" customFormat="1" customHeight="1" s="716">
      <c r="A95" s="716" t="n"/>
      <c r="B95" s="716" t="n"/>
      <c r="C95" s="716" t="n"/>
      <c r="D95" s="716" t="n"/>
      <c r="E95" s="716" t="n"/>
      <c r="F95" s="716" t="n"/>
      <c r="G95" s="716" t="n"/>
      <c r="H95" s="716" t="n"/>
      <c r="I95" s="716" t="n"/>
      <c r="J95" s="716" t="n"/>
      <c r="K95" s="716" t="n"/>
      <c r="L95" s="716" t="n"/>
      <c r="M95" s="716" t="n"/>
      <c r="N95" s="716" t="n"/>
      <c r="O95" s="716" t="n"/>
      <c r="P95" s="716" t="n"/>
      <c r="Q95" s="716" t="n"/>
      <c r="R95" s="716" t="n"/>
      <c r="S95" s="462">
        <f>IF(_epmOfflineCondition_,"五、现金及现金等价物净增加额",EPMMemberDesc(U95))</f>
        <v/>
      </c>
      <c r="T95" s="716" t="n"/>
      <c r="U95" s="716" t="inlineStr">
        <is>
          <t>A00305</t>
        </is>
      </c>
      <c r="V95" s="455">
        <f>IF(_epmOfflineCondition_,"A00305",EPMOlapMemberO(U95,"[C_ACCOUNT].[PARENTH1].[A00305]","A00305 - 五、现金及现金等价物净增加额","","000"))</f>
        <v/>
      </c>
      <c r="W95" s="462" t="n"/>
      <c r="X95" s="454" t="inlineStr">
        <is>
          <t xml:space="preserve"> 五、现金及现金等价物净增加额 </t>
        </is>
      </c>
      <c r="Y95" s="1185" t="inlineStr"/>
      <c r="Z95" s="1189" t="inlineStr"/>
      <c r="AA95" s="1189" t="inlineStr"/>
      <c r="AB95" s="1189" t="inlineStr"/>
      <c r="AC95" s="1190" t="inlineStr"/>
      <c r="AD95" s="1189" t="inlineStr"/>
      <c r="AE95" s="716" t="n"/>
      <c r="AF95" s="716" t="n"/>
      <c r="AG95" s="716" t="n"/>
      <c r="AH95" s="716" t="n"/>
      <c r="AI95" s="716" t="n"/>
      <c r="AJ95" s="716" t="n"/>
      <c r="AK95" s="716" t="n"/>
      <c r="AL95" s="716" t="n"/>
      <c r="AM95" s="716" t="n"/>
      <c r="AN95" s="716" t="n"/>
      <c r="AO95" s="716" t="n"/>
      <c r="AP95" s="716" t="n"/>
      <c r="AQ95" s="716" t="n"/>
      <c r="AR95" s="716" t="n"/>
    </row>
    <row r="96" ht="15.2" customFormat="1" customHeight="1" s="716">
      <c r="A96" s="716" t="n"/>
      <c r="B96" s="716" t="n"/>
      <c r="C96" s="716" t="n"/>
      <c r="D96" s="716" t="n"/>
      <c r="E96" s="716" t="n"/>
      <c r="F96" s="716" t="n"/>
      <c r="G96" s="716" t="n"/>
      <c r="H96" s="716" t="n"/>
      <c r="I96" s="716" t="n"/>
      <c r="J96" s="716" t="n"/>
      <c r="K96" s="716" t="n"/>
      <c r="L96" s="716" t="n"/>
      <c r="M96" s="716" t="n"/>
      <c r="N96" s="716" t="n"/>
      <c r="O96" s="716" t="n"/>
      <c r="P96" s="716" t="n"/>
      <c r="Q96" s="716" t="n"/>
      <c r="R96" s="716" t="n"/>
      <c r="S96" s="462">
        <f>IF(_epmOfflineCondition_,"　   加：期初现金及现金等价物余额",EPMMemberDesc(U96))</f>
        <v/>
      </c>
      <c r="T96" s="716" t="n"/>
      <c r="U96" s="716" t="inlineStr">
        <is>
          <t>A00306T</t>
        </is>
      </c>
      <c r="V96" s="455">
        <f>IF(_epmOfflineCondition_,"A00306T",EPMOlapMemberO(U96,"[C_ACCOUNT].[PARENTH1].[A00306T]","A00306T - 　   加：期初现金及现金等价物余额","","000"))</f>
        <v/>
      </c>
      <c r="W96" s="462" t="n"/>
      <c r="X96" s="588" t="inlineStr">
        <is>
          <t xml:space="preserve"> 　加：期初现金及现金等价物余额 </t>
        </is>
      </c>
      <c r="Y96" s="1185" t="inlineStr"/>
      <c r="Z96" s="1189">
        <f>$Q$116</f>
        <v/>
      </c>
      <c r="AA96" s="1189" t="inlineStr"/>
      <c r="AB96" s="1189" t="inlineStr"/>
      <c r="AC96" s="1190" t="inlineStr"/>
      <c r="AD96" s="1189" t="inlineStr"/>
      <c r="AE96" s="716" t="n"/>
      <c r="AF96" s="716" t="n"/>
      <c r="AG96" s="716" t="n"/>
      <c r="AH96" s="716" t="n"/>
      <c r="AI96" s="716" t="n"/>
      <c r="AJ96" s="716" t="n"/>
      <c r="AK96" s="716" t="n"/>
      <c r="AL96" s="716" t="n"/>
      <c r="AM96" s="716" t="n"/>
      <c r="AN96" s="716" t="n"/>
      <c r="AO96" s="716" t="n"/>
      <c r="AP96" s="716" t="n"/>
      <c r="AQ96" s="716" t="n"/>
      <c r="AR96" s="716" t="n"/>
    </row>
    <row r="97" ht="15.2" customFormat="1" customHeight="1" s="716">
      <c r="A97" s="716" t="n"/>
      <c r="B97" s="716" t="n"/>
      <c r="C97" s="716" t="n"/>
      <c r="D97" s="716" t="n"/>
      <c r="E97" s="716" t="n"/>
      <c r="F97" s="716" t="n"/>
      <c r="G97" s="716" t="n"/>
      <c r="H97" s="716" t="n"/>
      <c r="I97" s="716" t="n"/>
      <c r="J97" s="716" t="n"/>
      <c r="K97" s="716" t="n"/>
      <c r="L97" s="716" t="n"/>
      <c r="M97" s="716" t="n"/>
      <c r="N97" s="716" t="n"/>
      <c r="O97" s="716" t="n"/>
      <c r="P97" s="716" t="n"/>
      <c r="Q97" s="716" t="n"/>
      <c r="R97" s="716" t="n"/>
      <c r="S97" s="462">
        <f>IF(_epmOfflineCondition_,"六、期末现金及现金等价物余额",EPMMemberDesc(U97))</f>
        <v/>
      </c>
      <c r="T97" s="716" t="n"/>
      <c r="U97" s="716" t="inlineStr">
        <is>
          <t>A00307</t>
        </is>
      </c>
      <c r="V97" s="462">
        <f>IF(_epmOfflineCondition_,"A00307",EPMOlapMemberO(U97,"[C_ACCOUNT].[PARENTH1].[A00307]","A00307 - 六、期末现金及现金等价物余额","","000"))</f>
        <v/>
      </c>
      <c r="W97" s="462" t="n"/>
      <c r="X97" s="454" t="inlineStr">
        <is>
          <t xml:space="preserve"> 六、期末现金及现金等价物余额 </t>
        </is>
      </c>
      <c r="Y97" s="1185" t="inlineStr"/>
      <c r="Z97" s="1189">
        <f>Z95+Z96</f>
        <v/>
      </c>
      <c r="AA97" s="1189" t="inlineStr"/>
      <c r="AB97" s="1189">
        <f>AB95+AB96</f>
        <v/>
      </c>
      <c r="AC97" s="1189" t="inlineStr"/>
      <c r="AD97" s="1189">
        <f>AD95+AD96</f>
        <v/>
      </c>
      <c r="AE97" s="716" t="n"/>
      <c r="AF97" s="716" t="n"/>
      <c r="AG97" s="716" t="n"/>
      <c r="AH97" s="716" t="n"/>
      <c r="AI97" s="716" t="n"/>
      <c r="AJ97" s="716" t="n"/>
      <c r="AK97" s="716" t="n"/>
      <c r="AL97" s="716" t="n"/>
      <c r="AM97" s="716" t="n"/>
      <c r="AN97" s="716" t="n"/>
      <c r="AO97" s="716" t="n"/>
      <c r="AP97" s="716" t="n"/>
      <c r="AQ97" s="716" t="n"/>
      <c r="AR97" s="716" t="n"/>
    </row>
    <row r="98" customFormat="1" s="13">
      <c r="A98" s="13" t="n"/>
      <c r="B98" s="13" t="n"/>
      <c r="C98" s="13" t="n"/>
      <c r="D98" s="13" t="n"/>
      <c r="E98" s="13" t="n"/>
      <c r="F98" s="13" t="n"/>
      <c r="G98" s="13" t="n"/>
      <c r="H98" s="13" t="n"/>
      <c r="I98" s="13" t="n"/>
      <c r="J98" s="13" t="n"/>
      <c r="K98" s="13" t="n"/>
      <c r="L98" s="13" t="n"/>
      <c r="M98" s="13" t="n"/>
      <c r="N98" s="13" t="n"/>
      <c r="O98" s="13" t="n"/>
      <c r="P98" s="13" t="n"/>
      <c r="Q98" s="13" t="n"/>
      <c r="R98" s="13" t="n"/>
      <c r="S98" s="1103" t="n"/>
      <c r="T98" s="13" t="n"/>
      <c r="U98" s="13" t="n"/>
      <c r="V98" s="13" t="n"/>
      <c r="W98" s="13" t="n"/>
      <c r="X98" s="575" t="inlineStr">
        <is>
          <t>注：表中带*科目为合并会计报表专用；带△科目为金融类企业专用；带#科目为外商投资企业专用</t>
        </is>
      </c>
      <c r="Y98" s="171" t="n"/>
      <c r="Z98" s="13" t="n"/>
      <c r="AA98" s="13" t="n"/>
      <c r="AB98" s="13" t="n"/>
      <c r="AC98" s="13" t="n"/>
      <c r="AD98" s="13" t="n"/>
      <c r="AE98" s="13" t="n"/>
      <c r="AF98" s="13" t="n"/>
      <c r="AG98" s="13" t="n"/>
      <c r="AH98" s="13" t="n"/>
      <c r="AI98" s="13" t="n"/>
      <c r="AJ98" s="13" t="n"/>
      <c r="AK98" s="13" t="n"/>
      <c r="AL98" s="13" t="n"/>
      <c r="AM98" s="13" t="n"/>
      <c r="AN98" s="13" t="n"/>
      <c r="AO98" s="13" t="n"/>
      <c r="AP98" s="13" t="n"/>
      <c r="AQ98" s="13" t="n"/>
      <c r="AR98" s="13" t="n"/>
    </row>
    <row r="99">
      <c r="A99" s="384" t="n"/>
      <c r="B99" s="384" t="n"/>
      <c r="C99" s="384" t="n"/>
      <c r="D99" s="384" t="n"/>
      <c r="E99" s="384" t="n"/>
      <c r="F99" s="384" t="n"/>
      <c r="G99" s="384" t="n"/>
      <c r="H99" s="384" t="n"/>
      <c r="I99" s="384" t="n"/>
      <c r="J99" s="384" t="n"/>
      <c r="K99" s="384" t="n"/>
      <c r="L99" s="384" t="n"/>
      <c r="M99" s="384" t="n"/>
      <c r="N99" s="384" t="n"/>
      <c r="O99" s="384" t="n"/>
      <c r="P99" s="384" t="n"/>
      <c r="Q99" s="384" t="n"/>
      <c r="R99" s="384" t="n"/>
      <c r="S99" s="32" t="n"/>
      <c r="T99" s="384" t="n"/>
      <c r="U99" s="384" t="n"/>
      <c r="V99" s="384" t="n"/>
      <c r="W99" s="384" t="n"/>
      <c r="X99" s="38" t="n"/>
      <c r="Y99" s="38" t="n"/>
      <c r="Z99" s="384" t="n"/>
      <c r="AA99" s="384" t="n"/>
      <c r="AB99" s="384" t="n"/>
      <c r="AC99" s="384" t="n"/>
      <c r="AD99" s="384" t="n"/>
      <c r="AE99" s="384" t="n"/>
      <c r="AF99" s="384" t="n"/>
      <c r="AG99" s="384" t="n"/>
      <c r="AH99" s="384" t="n"/>
      <c r="AI99" s="384" t="n"/>
      <c r="AJ99" s="384" t="n"/>
      <c r="AK99" s="384" t="n"/>
      <c r="AL99" s="384" t="n"/>
      <c r="AM99" s="384" t="n"/>
      <c r="AN99" s="384" t="n"/>
      <c r="AO99" s="384" t="n"/>
      <c r="AP99" s="384" t="n"/>
      <c r="AQ99" s="384" t="n"/>
      <c r="AR99" s="384" t="n"/>
    </row>
    <row r="100">
      <c r="A100" s="384" t="n"/>
      <c r="B100" s="384" t="n"/>
      <c r="C100" s="384" t="n"/>
      <c r="D100" s="384" t="n"/>
      <c r="E100" s="384" t="n"/>
      <c r="F100" s="384" t="n"/>
      <c r="G100" s="384" t="n"/>
      <c r="H100" s="384" t="n"/>
      <c r="I100" s="384" t="n"/>
      <c r="J100" s="384" t="n"/>
      <c r="K100" s="384" t="n"/>
      <c r="L100" s="384" t="n"/>
      <c r="M100" s="1133" t="inlineStr">
        <is>
          <t>取数：</t>
        </is>
      </c>
      <c r="N100" s="116" t="inlineStr">
        <is>
          <t>资产负债表期初现金</t>
        </is>
      </c>
      <c r="O100" s="716" t="n"/>
      <c r="P100" s="384" t="n"/>
      <c r="Q100" s="384" t="n"/>
      <c r="R100" s="384" t="n"/>
      <c r="S100" s="32" t="n"/>
      <c r="T100" s="384" t="n"/>
      <c r="U100" s="716" t="n"/>
      <c r="V100" s="384" t="n"/>
      <c r="W100" s="384" t="n"/>
      <c r="X100" s="38" t="n"/>
      <c r="Y100" s="38" t="n"/>
      <c r="Z100" s="384" t="n"/>
      <c r="AA100" s="384" t="n"/>
      <c r="AB100" s="384" t="n"/>
      <c r="AC100" s="384" t="n"/>
      <c r="AD100" s="384" t="n"/>
      <c r="AE100" s="384" t="n"/>
      <c r="AF100" s="384" t="n"/>
      <c r="AG100" s="384" t="n"/>
      <c r="AH100" s="384" t="n"/>
      <c r="AI100" s="384" t="n"/>
      <c r="AJ100" s="384" t="n"/>
      <c r="AK100" s="384" t="n"/>
      <c r="AL100" s="384" t="n"/>
      <c r="AM100" s="384" t="n"/>
      <c r="AN100" s="384" t="n"/>
      <c r="AO100" s="384" t="n"/>
      <c r="AP100" s="384" t="n"/>
      <c r="AQ100" s="384" t="n"/>
      <c r="AR100" s="384" t="n"/>
    </row>
    <row r="101">
      <c r="A101" s="384" t="n"/>
      <c r="B101" s="384" t="n"/>
      <c r="C101" s="384" t="n"/>
      <c r="D101" s="384" t="n"/>
      <c r="E101" s="384" t="n"/>
      <c r="F101" s="384" t="n"/>
      <c r="G101" s="384" t="n"/>
      <c r="H101" s="384" t="n"/>
      <c r="I101" s="384" t="n"/>
      <c r="J101" s="384" t="n"/>
      <c r="K101" s="384" t="n"/>
      <c r="L101" s="384" t="n"/>
      <c r="M101" s="384" t="n"/>
      <c r="N101" s="384" t="n"/>
      <c r="O101" s="384" t="n"/>
      <c r="P101" s="384" t="n"/>
      <c r="Q101" s="384" t="n"/>
      <c r="R101" s="384" t="n"/>
      <c r="S101" s="32" t="n"/>
      <c r="T101" s="384" t="n"/>
      <c r="U101" s="384" t="n"/>
      <c r="V101" s="384" t="n"/>
      <c r="W101" s="384" t="n"/>
      <c r="X101" s="38" t="n"/>
      <c r="Y101" s="38" t="n"/>
      <c r="Z101" s="384" t="n"/>
      <c r="AA101" s="384" t="n"/>
      <c r="AB101" s="384" t="n"/>
      <c r="AC101" s="384" t="n"/>
      <c r="AD101" s="384" t="n"/>
      <c r="AE101" s="384" t="n"/>
      <c r="AF101" s="384" t="n"/>
      <c r="AG101" s="384" t="n"/>
      <c r="AH101" s="384" t="n"/>
      <c r="AI101" s="384" t="n"/>
      <c r="AJ101" s="384" t="n"/>
      <c r="AK101" s="384" t="n"/>
      <c r="AL101" s="384" t="n"/>
      <c r="AM101" s="384" t="n"/>
      <c r="AN101" s="384" t="n"/>
      <c r="AO101" s="384" t="n"/>
      <c r="AP101" s="384" t="n"/>
      <c r="AQ101" s="384" t="n"/>
      <c r="AR101" s="384" t="n"/>
    </row>
    <row r="102">
      <c r="A102" s="384" t="n"/>
      <c r="B102" s="384" t="n"/>
      <c r="C102" s="384" t="n"/>
      <c r="D102" s="384" t="n"/>
      <c r="E102" s="384" t="n"/>
      <c r="F102" s="384" t="n"/>
      <c r="G102" s="384" t="n"/>
      <c r="H102" s="384" t="n"/>
      <c r="I102" s="384" t="n"/>
      <c r="J102" s="384" t="n"/>
      <c r="K102" s="384" t="n"/>
      <c r="L102" s="384" t="n"/>
      <c r="M102" s="384" t="n"/>
      <c r="N102" s="1134" t="n"/>
      <c r="O102" s="1135" t="n"/>
      <c r="P102" s="1011" t="inlineStr">
        <is>
          <t>期末数</t>
        </is>
      </c>
      <c r="Q102" s="1011" t="inlineStr">
        <is>
          <t>期末数</t>
        </is>
      </c>
      <c r="R102" s="1011" t="inlineStr">
        <is>
          <t>期末数</t>
        </is>
      </c>
      <c r="S102" s="32" t="n"/>
      <c r="T102" s="384" t="n"/>
      <c r="U102" s="384" t="n"/>
      <c r="V102" s="384" t="n"/>
      <c r="W102" s="384" t="n"/>
      <c r="X102" s="38" t="n"/>
      <c r="Y102" s="38" t="n"/>
      <c r="Z102" s="384" t="n"/>
      <c r="AA102" s="384" t="n"/>
      <c r="AB102" s="384" t="n"/>
      <c r="AC102" s="384" t="n"/>
      <c r="AD102" s="384" t="n"/>
      <c r="AE102" s="384" t="n"/>
      <c r="AF102" s="384" t="n"/>
      <c r="AG102" s="384" t="n"/>
      <c r="AH102" s="384" t="n"/>
      <c r="AI102" s="384" t="n"/>
      <c r="AJ102" s="384" t="n"/>
      <c r="AK102" s="384" t="n"/>
      <c r="AL102" s="384" t="n"/>
      <c r="AM102" s="384" t="n"/>
      <c r="AN102" s="384" t="n"/>
      <c r="AO102" s="384" t="n"/>
      <c r="AP102" s="384" t="n"/>
      <c r="AQ102" s="384" t="n"/>
      <c r="AR102" s="384" t="n"/>
    </row>
    <row r="103">
      <c r="A103" s="384" t="n"/>
      <c r="B103" s="384" t="n"/>
      <c r="C103" s="384" t="n"/>
      <c r="D103" s="384" t="n"/>
      <c r="E103" s="384" t="n"/>
      <c r="F103" s="384" t="n"/>
      <c r="G103" s="384" t="n"/>
      <c r="H103" s="384" t="n"/>
      <c r="I103" s="384" t="n"/>
      <c r="J103" s="384" t="n"/>
      <c r="K103" s="384" t="n"/>
      <c r="L103" s="384" t="n"/>
      <c r="M103" s="384" t="n"/>
      <c r="N103" s="1012" t="n"/>
      <c r="O103" s="1012" t="n"/>
      <c r="P103" s="1012" t="inlineStr"/>
      <c r="Q103" s="1012">
        <f>I12</f>
        <v/>
      </c>
      <c r="R103" s="1012">
        <f>I12</f>
        <v/>
      </c>
      <c r="S103" s="32" t="n"/>
      <c r="T103" s="384" t="n"/>
      <c r="U103" s="384" t="n"/>
      <c r="V103" s="384" t="n"/>
      <c r="W103" s="384" t="n"/>
      <c r="X103" s="38" t="n"/>
      <c r="Y103" s="38" t="n"/>
      <c r="Z103" s="384" t="n"/>
      <c r="AA103" s="384" t="n"/>
      <c r="AB103" s="384" t="n"/>
      <c r="AC103" s="384" t="n"/>
      <c r="AD103" s="384" t="n"/>
      <c r="AE103" s="384" t="n"/>
      <c r="AF103" s="384" t="n"/>
      <c r="AG103" s="384" t="n"/>
      <c r="AH103" s="384" t="n"/>
      <c r="AI103" s="384" t="n"/>
      <c r="AJ103" s="384" t="n"/>
      <c r="AK103" s="384" t="n"/>
      <c r="AL103" s="384" t="n"/>
      <c r="AM103" s="384" t="n"/>
      <c r="AN103" s="384" t="n"/>
      <c r="AO103" s="384" t="n"/>
      <c r="AP103" s="384" t="n"/>
      <c r="AQ103" s="384" t="n"/>
      <c r="AR103" s="384" t="n"/>
    </row>
    <row r="104">
      <c r="A104" s="384" t="n"/>
      <c r="B104" s="384" t="n"/>
      <c r="C104" s="384" t="n"/>
      <c r="D104" s="384" t="n"/>
      <c r="E104" s="384" t="n"/>
      <c r="F104" s="384" t="n"/>
      <c r="G104" s="384" t="n"/>
      <c r="H104" s="384" t="n"/>
      <c r="I104" s="384" t="n"/>
      <c r="J104" s="384" t="n"/>
      <c r="K104" s="384" t="n"/>
      <c r="L104" s="384" t="n"/>
      <c r="M104" s="384" t="n"/>
      <c r="N104" s="390" t="n"/>
      <c r="O104" s="1012" t="n"/>
      <c r="P104" s="1012" t="inlineStr">
        <is>
          <t>C1001</t>
        </is>
      </c>
      <c r="Q104" s="1012" t="inlineStr">
        <is>
          <t>C1001</t>
        </is>
      </c>
      <c r="R104" s="1012" t="inlineStr">
        <is>
          <t>C1001</t>
        </is>
      </c>
      <c r="S104" s="32" t="n"/>
      <c r="T104" s="384" t="n"/>
      <c r="U104" s="384" t="n"/>
      <c r="V104" s="384" t="n"/>
      <c r="W104" s="384" t="n"/>
      <c r="X104" s="38" t="n"/>
      <c r="Y104" s="38" t="n"/>
      <c r="Z104" s="384" t="n"/>
      <c r="AA104" s="384" t="n"/>
      <c r="AB104" s="384" t="n"/>
      <c r="AC104" s="384" t="n"/>
      <c r="AD104" s="384" t="n"/>
      <c r="AE104" s="384" t="n"/>
      <c r="AF104" s="384" t="n"/>
      <c r="AG104" s="384" t="n"/>
      <c r="AH104" s="384" t="n"/>
      <c r="AI104" s="384" t="n"/>
      <c r="AJ104" s="384" t="n"/>
      <c r="AK104" s="384" t="n"/>
      <c r="AL104" s="384" t="n"/>
      <c r="AM104" s="384" t="n"/>
      <c r="AN104" s="384" t="n"/>
      <c r="AO104" s="384" t="n"/>
      <c r="AP104" s="384" t="n"/>
      <c r="AQ104" s="384" t="n"/>
      <c r="AR104" s="384" t="n"/>
    </row>
    <row r="105">
      <c r="A105" s="384" t="n"/>
      <c r="B105" s="384" t="n"/>
      <c r="C105" s="384" t="n"/>
      <c r="D105" s="384" t="n"/>
      <c r="E105" s="384" t="n"/>
      <c r="F105" s="384" t="n"/>
      <c r="G105" s="384" t="n"/>
      <c r="H105" s="384" t="n"/>
      <c r="I105" s="384" t="n"/>
      <c r="J105" s="384" t="n"/>
      <c r="K105" s="384" t="n"/>
      <c r="L105" s="384" t="n"/>
      <c r="M105" s="384" t="n"/>
      <c r="N105" s="390" t="n"/>
      <c r="O105" s="1012" t="n"/>
      <c r="P105" s="1012" t="inlineStr">
        <is>
          <t>DLC</t>
        </is>
      </c>
      <c r="Q105" s="1012" t="inlineStr">
        <is>
          <t>DLC</t>
        </is>
      </c>
      <c r="R105" s="1012" t="inlineStr">
        <is>
          <t>DLC</t>
        </is>
      </c>
      <c r="S105" s="32" t="n"/>
      <c r="T105" s="384" t="n"/>
      <c r="U105" s="384" t="n"/>
      <c r="V105" s="384" t="n"/>
      <c r="W105" s="384" t="n"/>
      <c r="X105" s="38" t="n"/>
      <c r="Y105" s="38" t="n"/>
      <c r="Z105" s="384" t="n"/>
      <c r="AA105" s="384" t="n"/>
      <c r="AB105" s="384" t="n"/>
      <c r="AC105" s="384" t="n"/>
      <c r="AD105" s="384" t="n"/>
      <c r="AE105" s="384" t="n"/>
      <c r="AF105" s="384" t="n"/>
      <c r="AG105" s="384" t="n"/>
      <c r="AH105" s="384" t="n"/>
      <c r="AI105" s="384" t="n"/>
      <c r="AJ105" s="384" t="n"/>
      <c r="AK105" s="384" t="n"/>
      <c r="AL105" s="384" t="n"/>
      <c r="AM105" s="384" t="n"/>
      <c r="AN105" s="384" t="n"/>
      <c r="AO105" s="384" t="n"/>
      <c r="AP105" s="384" t="n"/>
      <c r="AQ105" s="384" t="n"/>
      <c r="AR105" s="384" t="n"/>
    </row>
    <row r="106">
      <c r="A106" s="384" t="n"/>
      <c r="B106" s="384" t="n"/>
      <c r="C106" s="384" t="n"/>
      <c r="D106" s="384" t="n"/>
      <c r="E106" s="384" t="n"/>
      <c r="F106" s="384" t="n"/>
      <c r="G106" s="384" t="n"/>
      <c r="H106" s="384" t="n"/>
      <c r="I106" s="384" t="n"/>
      <c r="J106" s="384" t="n"/>
      <c r="K106" s="384" t="n"/>
      <c r="L106" s="384" t="n"/>
      <c r="M106" s="384" t="n"/>
      <c r="N106" s="390" t="n"/>
      <c r="O106" s="1012" t="n"/>
      <c r="P106" s="1012" t="inlineStr">
        <is>
          <t>FEND</t>
        </is>
      </c>
      <c r="Q106" s="1012" t="inlineStr">
        <is>
          <t>FEND</t>
        </is>
      </c>
      <c r="R106" s="1012" t="inlineStr">
        <is>
          <t>FEND</t>
        </is>
      </c>
      <c r="S106" s="32" t="n"/>
      <c r="T106" s="384" t="n"/>
      <c r="U106" s="384" t="n"/>
      <c r="V106" s="384" t="n"/>
      <c r="W106" s="384" t="n"/>
      <c r="X106" s="38" t="n"/>
      <c r="Y106" s="38" t="n"/>
      <c r="Z106" s="384" t="n"/>
      <c r="AA106" s="384" t="n"/>
      <c r="AB106" s="384" t="n"/>
      <c r="AC106" s="384" t="n"/>
      <c r="AD106" s="384" t="n"/>
      <c r="AE106" s="384" t="n"/>
      <c r="AF106" s="384" t="n"/>
      <c r="AG106" s="384" t="n"/>
      <c r="AH106" s="384" t="n"/>
      <c r="AI106" s="384" t="n"/>
      <c r="AJ106" s="384" t="n"/>
      <c r="AK106" s="384" t="n"/>
      <c r="AL106" s="384" t="n"/>
      <c r="AM106" s="384" t="n"/>
      <c r="AN106" s="384" t="n"/>
      <c r="AO106" s="384" t="n"/>
      <c r="AP106" s="384" t="n"/>
      <c r="AQ106" s="384" t="n"/>
      <c r="AR106" s="384" t="n"/>
    </row>
    <row r="107">
      <c r="A107" s="384" t="n"/>
      <c r="B107" s="384" t="n"/>
      <c r="C107" s="384" t="n"/>
      <c r="D107" s="384" t="n"/>
      <c r="E107" s="384" t="n"/>
      <c r="F107" s="384" t="n"/>
      <c r="G107" s="384" t="n"/>
      <c r="H107" s="384" t="n"/>
      <c r="I107" s="384" t="n"/>
      <c r="J107" s="384" t="n"/>
      <c r="K107" s="384" t="n"/>
      <c r="L107" s="384" t="n"/>
      <c r="M107" s="384" t="n"/>
      <c r="N107" s="390" t="n"/>
      <c r="O107" s="1012" t="n"/>
      <c r="P107" s="1012" t="inlineStr">
        <is>
          <t>YTD</t>
        </is>
      </c>
      <c r="Q107" s="1012" t="inlineStr">
        <is>
          <t>YTD</t>
        </is>
      </c>
      <c r="R107" s="1012" t="inlineStr">
        <is>
          <t>YTD</t>
        </is>
      </c>
      <c r="S107" s="32" t="n"/>
      <c r="T107" s="384" t="n"/>
      <c r="U107" s="384" t="n"/>
      <c r="V107" s="384" t="n"/>
      <c r="W107" s="384" t="n"/>
      <c r="X107" s="38" t="n"/>
      <c r="Y107" s="38" t="n"/>
      <c r="Z107" s="384" t="n"/>
      <c r="AA107" s="384" t="n"/>
      <c r="AB107" s="384" t="n"/>
      <c r="AC107" s="384" t="n"/>
      <c r="AD107" s="384" t="n"/>
      <c r="AE107" s="384" t="n"/>
      <c r="AF107" s="384" t="n"/>
      <c r="AG107" s="384" t="n"/>
      <c r="AH107" s="384" t="n"/>
      <c r="AI107" s="384" t="n"/>
      <c r="AJ107" s="384" t="n"/>
      <c r="AK107" s="384" t="n"/>
      <c r="AL107" s="384" t="n"/>
      <c r="AM107" s="384" t="n"/>
      <c r="AN107" s="384" t="n"/>
      <c r="AO107" s="384" t="n"/>
      <c r="AP107" s="384" t="n"/>
      <c r="AQ107" s="384" t="n"/>
      <c r="AR107" s="384" t="n"/>
    </row>
    <row r="108">
      <c r="A108" s="384" t="n"/>
      <c r="B108" s="384" t="n"/>
      <c r="C108" s="384" t="n"/>
      <c r="D108" s="384" t="n"/>
      <c r="E108" s="384" t="n"/>
      <c r="F108" s="384" t="n"/>
      <c r="G108" s="384" t="n"/>
      <c r="H108" s="384" t="n"/>
      <c r="I108" s="384" t="n"/>
      <c r="J108" s="384" t="n"/>
      <c r="K108" s="384" t="n"/>
      <c r="L108" s="384" t="n"/>
      <c r="M108" s="384" t="n"/>
      <c r="N108" s="390" t="n"/>
      <c r="O108" s="390" t="n"/>
      <c r="P108" s="390">
        <f>$C$6</f>
        <v/>
      </c>
      <c r="Q108" s="390">
        <f>$C$6</f>
        <v/>
      </c>
      <c r="R108" s="390">
        <f>$C$6</f>
        <v/>
      </c>
      <c r="S108" s="32" t="n"/>
      <c r="T108" s="384" t="n"/>
      <c r="U108" s="384" t="n"/>
      <c r="V108" s="384" t="n"/>
      <c r="W108" s="384" t="n"/>
      <c r="X108" s="38" t="n"/>
      <c r="Y108" s="38" t="n"/>
      <c r="Z108" s="384" t="n"/>
      <c r="AA108" s="384" t="n"/>
      <c r="AB108" s="384" t="n"/>
      <c r="AC108" s="384" t="n"/>
      <c r="AD108" s="384" t="n"/>
      <c r="AE108" s="384" t="n"/>
      <c r="AF108" s="384" t="n"/>
      <c r="AG108" s="384" t="n"/>
      <c r="AH108" s="384" t="n"/>
      <c r="AI108" s="384" t="n"/>
      <c r="AJ108" s="384" t="n"/>
      <c r="AK108" s="384" t="n"/>
      <c r="AL108" s="384" t="n"/>
      <c r="AM108" s="384" t="n"/>
      <c r="AN108" s="384" t="n"/>
      <c r="AO108" s="384" t="n"/>
      <c r="AP108" s="384" t="n"/>
      <c r="AQ108" s="384" t="n"/>
      <c r="AR108" s="384" t="n"/>
    </row>
    <row r="109">
      <c r="A109" s="384" t="n"/>
      <c r="B109" s="384" t="n"/>
      <c r="C109" s="384" t="n"/>
      <c r="D109" s="384" t="n"/>
      <c r="E109" s="384" t="n"/>
      <c r="F109" s="384" t="n"/>
      <c r="G109" s="384" t="n"/>
      <c r="H109" s="384" t="n"/>
      <c r="I109" s="384" t="n"/>
      <c r="J109" s="384" t="n"/>
      <c r="K109" s="384" t="n"/>
      <c r="L109" s="384" t="n"/>
      <c r="M109" s="384" t="n"/>
      <c r="N109" s="390" t="n"/>
      <c r="O109" s="1012" t="n"/>
      <c r="P109" s="1012">
        <f>$Z$37</f>
        <v/>
      </c>
      <c r="Q109" s="1012">
        <f>$Z$37</f>
        <v/>
      </c>
      <c r="R109" s="1012">
        <f>$Z$37</f>
        <v/>
      </c>
      <c r="S109" s="32" t="n"/>
      <c r="T109" s="384" t="n"/>
      <c r="U109" s="384" t="n"/>
      <c r="V109" s="384" t="n"/>
      <c r="W109" s="384" t="n"/>
      <c r="X109" s="38" t="n"/>
      <c r="Y109" s="38" t="n"/>
      <c r="Z109" s="384" t="n"/>
      <c r="AA109" s="384" t="n"/>
      <c r="AB109" s="384" t="n"/>
      <c r="AC109" s="384" t="n"/>
      <c r="AD109" s="384" t="n"/>
      <c r="AE109" s="384" t="n"/>
      <c r="AF109" s="384" t="n"/>
      <c r="AG109" s="384" t="n"/>
      <c r="AH109" s="384" t="n"/>
      <c r="AI109" s="384" t="n"/>
      <c r="AJ109" s="384" t="n"/>
      <c r="AK109" s="384" t="n"/>
      <c r="AL109" s="384" t="n"/>
      <c r="AM109" s="384" t="n"/>
      <c r="AN109" s="384" t="n"/>
      <c r="AO109" s="384" t="n"/>
      <c r="AP109" s="384" t="n"/>
      <c r="AQ109" s="384" t="n"/>
      <c r="AR109" s="384" t="n"/>
    </row>
    <row r="110">
      <c r="A110" s="384" t="n"/>
      <c r="B110" s="384" t="n"/>
      <c r="C110" s="384" t="n"/>
      <c r="D110" s="384" t="n"/>
      <c r="E110" s="384" t="n"/>
      <c r="F110" s="384" t="n"/>
      <c r="G110" s="384" t="n"/>
      <c r="H110" s="384" t="n"/>
      <c r="I110" s="384" t="n"/>
      <c r="J110" s="384" t="n"/>
      <c r="K110" s="384" t="n"/>
      <c r="L110" s="384" t="n"/>
      <c r="M110" s="384" t="n"/>
      <c r="N110" s="390" t="n"/>
      <c r="O110" s="1012" t="n"/>
      <c r="P110" s="1012" t="inlineStr">
        <is>
          <t>I_ALL</t>
        </is>
      </c>
      <c r="Q110" s="1012" t="inlineStr">
        <is>
          <t>I_ALL</t>
        </is>
      </c>
      <c r="R110" s="1012" t="inlineStr">
        <is>
          <t>I_ALL</t>
        </is>
      </c>
      <c r="S110" s="32" t="n"/>
      <c r="T110" s="384" t="n"/>
      <c r="U110" s="384" t="n"/>
      <c r="V110" s="384" t="n"/>
      <c r="W110" s="384" t="n"/>
      <c r="X110" s="38" t="n"/>
      <c r="Y110" s="38" t="n"/>
      <c r="Z110" s="384" t="n"/>
      <c r="AA110" s="384" t="n"/>
      <c r="AB110" s="384" t="n"/>
      <c r="AC110" s="384" t="n"/>
      <c r="AD110" s="384" t="n"/>
      <c r="AE110" s="384" t="n"/>
      <c r="AF110" s="384" t="n"/>
      <c r="AG110" s="384" t="n"/>
      <c r="AH110" s="384" t="n"/>
      <c r="AI110" s="384" t="n"/>
      <c r="AJ110" s="384" t="n"/>
      <c r="AK110" s="384" t="n"/>
      <c r="AL110" s="384" t="n"/>
      <c r="AM110" s="384" t="n"/>
      <c r="AN110" s="384" t="n"/>
      <c r="AO110" s="384" t="n"/>
      <c r="AP110" s="384" t="n"/>
      <c r="AQ110" s="384" t="n"/>
      <c r="AR110" s="384" t="n"/>
    </row>
    <row r="111">
      <c r="A111" s="384" t="n"/>
      <c r="B111" s="384" t="n"/>
      <c r="C111" s="384" t="n"/>
      <c r="D111" s="384" t="n"/>
      <c r="E111" s="384" t="n"/>
      <c r="F111" s="384" t="n"/>
      <c r="G111" s="384" t="n"/>
      <c r="H111" s="384" t="n"/>
      <c r="I111" s="384" t="n"/>
      <c r="J111" s="384" t="n"/>
      <c r="K111" s="384" t="n"/>
      <c r="L111" s="384" t="n"/>
      <c r="M111" s="384" t="n"/>
      <c r="N111" s="390" t="n"/>
      <c r="O111" s="1012" t="n"/>
      <c r="P111" s="1012" t="inlineStr">
        <is>
          <t>G_DUMMY</t>
        </is>
      </c>
      <c r="Q111" s="1012" t="inlineStr">
        <is>
          <t>G_DUMMY</t>
        </is>
      </c>
      <c r="R111" s="1012" t="inlineStr">
        <is>
          <t>G_DUMMY</t>
        </is>
      </c>
      <c r="S111" s="32" t="n"/>
      <c r="T111" s="384" t="n"/>
      <c r="U111" s="384" t="n"/>
      <c r="V111" s="384" t="n"/>
      <c r="W111" s="384" t="n"/>
      <c r="X111" s="38" t="n"/>
      <c r="Y111" s="38" t="n"/>
      <c r="Z111" s="384" t="n"/>
      <c r="AA111" s="384" t="n"/>
      <c r="AB111" s="384" t="n"/>
      <c r="AC111" s="384" t="n"/>
      <c r="AD111" s="384" t="n"/>
      <c r="AE111" s="384" t="n"/>
      <c r="AF111" s="384" t="n"/>
      <c r="AG111" s="384" t="n"/>
      <c r="AH111" s="384" t="n"/>
      <c r="AI111" s="384" t="n"/>
      <c r="AJ111" s="384" t="n"/>
      <c r="AK111" s="384" t="n"/>
      <c r="AL111" s="384" t="n"/>
      <c r="AM111" s="384" t="n"/>
      <c r="AN111" s="384" t="n"/>
      <c r="AO111" s="384" t="n"/>
      <c r="AP111" s="384" t="n"/>
      <c r="AQ111" s="384" t="n"/>
      <c r="AR111" s="384" t="n"/>
    </row>
    <row r="112">
      <c r="A112" s="384" t="n"/>
      <c r="B112" s="384" t="n"/>
      <c r="C112" s="384" t="n"/>
      <c r="D112" s="384" t="n"/>
      <c r="E112" s="384" t="n"/>
      <c r="F112" s="384" t="n"/>
      <c r="G112" s="384" t="n"/>
      <c r="H112" s="384" t="n"/>
      <c r="I112" s="384" t="n"/>
      <c r="J112" s="384" t="n"/>
      <c r="K112" s="384" t="n"/>
      <c r="L112" s="384" t="n"/>
      <c r="M112" s="384" t="n"/>
      <c r="N112" s="390" t="n"/>
      <c r="O112" s="1012" t="n"/>
      <c r="P112" s="1012" t="inlineStr">
        <is>
          <t>ZP_DUMMY</t>
        </is>
      </c>
      <c r="Q112" s="1012" t="inlineStr">
        <is>
          <t>ZP_DUMMY</t>
        </is>
      </c>
      <c r="R112" s="1012" t="inlineStr">
        <is>
          <t>ZP_DUMMY</t>
        </is>
      </c>
      <c r="S112" s="32" t="n"/>
      <c r="T112" s="384" t="n"/>
      <c r="U112" s="384" t="n"/>
      <c r="V112" s="384" t="n"/>
      <c r="W112" s="384" t="n"/>
      <c r="X112" s="38" t="n"/>
      <c r="Y112" s="38" t="n"/>
      <c r="Z112" s="384" t="n"/>
      <c r="AA112" s="384" t="n"/>
      <c r="AB112" s="384" t="n"/>
      <c r="AC112" s="384" t="n"/>
      <c r="AD112" s="384" t="n"/>
      <c r="AE112" s="384" t="n"/>
      <c r="AF112" s="384" t="n"/>
      <c r="AG112" s="384" t="n"/>
      <c r="AH112" s="384" t="n"/>
      <c r="AI112" s="384" t="n"/>
      <c r="AJ112" s="384" t="n"/>
      <c r="AK112" s="384" t="n"/>
      <c r="AL112" s="384" t="n"/>
      <c r="AM112" s="384" t="n"/>
      <c r="AN112" s="384" t="n"/>
      <c r="AO112" s="384" t="n"/>
      <c r="AP112" s="384" t="n"/>
      <c r="AQ112" s="384" t="n"/>
      <c r="AR112" s="384" t="n"/>
    </row>
    <row r="113">
      <c r="A113" s="384" t="n"/>
      <c r="B113" s="384" t="n"/>
      <c r="C113" s="384" t="n"/>
      <c r="D113" s="384" t="n"/>
      <c r="E113" s="384" t="n"/>
      <c r="F113" s="384" t="n"/>
      <c r="G113" s="384" t="n"/>
      <c r="H113" s="384" t="n"/>
      <c r="I113" s="384" t="n"/>
      <c r="J113" s="384" t="n"/>
      <c r="K113" s="384" t="n"/>
      <c r="L113" s="384" t="n"/>
      <c r="M113" s="384" t="n"/>
      <c r="N113" s="390" t="n"/>
      <c r="O113" s="1012" t="n"/>
      <c r="P113" s="1012" t="inlineStr">
        <is>
          <t>ZI_DUMMY</t>
        </is>
      </c>
      <c r="Q113" s="1012" t="inlineStr">
        <is>
          <t>ZI_DUMMY</t>
        </is>
      </c>
      <c r="R113" s="1012" t="inlineStr">
        <is>
          <t>ZI_DUMMY</t>
        </is>
      </c>
      <c r="S113" s="32" t="n"/>
      <c r="T113" s="384" t="n"/>
      <c r="U113" s="384" t="n"/>
      <c r="V113" s="384" t="n"/>
      <c r="W113" s="384" t="n"/>
      <c r="X113" s="38" t="n"/>
      <c r="Y113" s="38" t="n"/>
      <c r="Z113" s="384" t="n"/>
      <c r="AA113" s="384" t="n"/>
      <c r="AB113" s="384" t="n"/>
      <c r="AC113" s="384" t="n"/>
      <c r="AD113" s="384" t="n"/>
      <c r="AE113" s="384" t="n"/>
      <c r="AF113" s="384" t="n"/>
      <c r="AG113" s="384" t="n"/>
      <c r="AH113" s="384" t="n"/>
      <c r="AI113" s="384" t="n"/>
      <c r="AJ113" s="384" t="n"/>
      <c r="AK113" s="384" t="n"/>
      <c r="AL113" s="384" t="n"/>
      <c r="AM113" s="384" t="n"/>
      <c r="AN113" s="384" t="n"/>
      <c r="AO113" s="384" t="n"/>
      <c r="AP113" s="384" t="n"/>
      <c r="AQ113" s="384" t="n"/>
      <c r="AR113" s="384" t="n"/>
    </row>
    <row r="114">
      <c r="A114" s="384" t="n"/>
      <c r="B114" s="384" t="n"/>
      <c r="C114" s="384" t="n"/>
      <c r="D114" s="384" t="n"/>
      <c r="E114" s="384" t="n"/>
      <c r="F114" s="384" t="n"/>
      <c r="G114" s="384" t="n"/>
      <c r="H114" s="384" t="n"/>
      <c r="I114" s="384" t="n"/>
      <c r="J114" s="384" t="n"/>
      <c r="K114" s="384" t="n"/>
      <c r="L114" s="384" t="n"/>
      <c r="M114" s="384" t="n"/>
      <c r="N114" s="390" t="n"/>
      <c r="O114" s="1012" t="n"/>
      <c r="P114" s="1012" t="inlineStr">
        <is>
          <t>ZM_DUMMY</t>
        </is>
      </c>
      <c r="Q114" s="1012" t="inlineStr">
        <is>
          <t>ZM_DUMMY</t>
        </is>
      </c>
      <c r="R114" s="1012" t="inlineStr">
        <is>
          <t>ZM_DUMMY</t>
        </is>
      </c>
      <c r="S114" s="32" t="n"/>
      <c r="T114" s="384" t="n"/>
      <c r="U114" s="384" t="n"/>
      <c r="V114" s="384" t="n"/>
      <c r="W114" s="384" t="n"/>
      <c r="X114" s="38" t="n"/>
      <c r="Y114" s="38" t="n"/>
      <c r="Z114" s="384" t="n"/>
      <c r="AA114" s="384" t="n"/>
      <c r="AB114" s="384" t="n"/>
      <c r="AC114" s="384" t="n"/>
      <c r="AD114" s="384" t="n"/>
      <c r="AE114" s="384" t="n"/>
      <c r="AF114" s="384" t="n"/>
      <c r="AG114" s="384" t="n"/>
      <c r="AH114" s="384" t="n"/>
      <c r="AI114" s="384" t="n"/>
      <c r="AJ114" s="384" t="n"/>
      <c r="AK114" s="384" t="n"/>
      <c r="AL114" s="384" t="n"/>
      <c r="AM114" s="384" t="n"/>
      <c r="AN114" s="384" t="n"/>
      <c r="AO114" s="384" t="n"/>
      <c r="AP114" s="384" t="n"/>
      <c r="AQ114" s="384" t="n"/>
      <c r="AR114" s="384" t="n"/>
    </row>
    <row r="115">
      <c r="A115" s="384" t="n"/>
      <c r="B115" s="384" t="n"/>
      <c r="C115" s="384" t="n"/>
      <c r="D115" s="384" t="n"/>
      <c r="E115" s="384" t="n"/>
      <c r="F115" s="384" t="n"/>
      <c r="G115" s="384" t="n"/>
      <c r="H115" s="384" t="n"/>
      <c r="I115" s="384" t="n"/>
      <c r="J115" s="384" t="n"/>
      <c r="K115" s="384" t="n"/>
      <c r="L115" s="384" t="n"/>
      <c r="M115" s="384" t="n"/>
      <c r="N115" s="390" t="n"/>
      <c r="O115" s="390" t="n"/>
      <c r="P115" s="390" t="inlineStr">
        <is>
          <t>A001010101</t>
        </is>
      </c>
      <c r="Q115" s="390" t="inlineStr">
        <is>
          <t>A00307</t>
        </is>
      </c>
      <c r="R115" s="390" t="inlineStr">
        <is>
          <t>A1132990000</t>
        </is>
      </c>
      <c r="S115" s="32" t="n"/>
      <c r="T115" s="384" t="n"/>
      <c r="U115" s="384" t="n"/>
      <c r="V115" s="384" t="n"/>
      <c r="W115" s="384" t="n"/>
      <c r="X115" s="38" t="n"/>
      <c r="Y115" s="38" t="n"/>
      <c r="Z115" s="384" t="n"/>
      <c r="AA115" s="384" t="n"/>
      <c r="AB115" s="384" t="n"/>
      <c r="AC115" s="384" t="n"/>
      <c r="AD115" s="384" t="n"/>
      <c r="AE115" s="384" t="n"/>
      <c r="AF115" s="384" t="n"/>
      <c r="AG115" s="384" t="n"/>
      <c r="AH115" s="384" t="n"/>
      <c r="AI115" s="384" t="n"/>
      <c r="AJ115" s="384" t="n"/>
      <c r="AK115" s="384" t="n"/>
      <c r="AL115" s="384" t="n"/>
      <c r="AM115" s="384" t="n"/>
      <c r="AN115" s="384" t="n"/>
      <c r="AO115" s="384" t="n"/>
      <c r="AP115" s="384" t="n"/>
      <c r="AQ115" s="384" t="n"/>
      <c r="AR115" s="384" t="n"/>
    </row>
    <row r="116">
      <c r="A116" s="384" t="n"/>
      <c r="B116" s="384" t="n"/>
      <c r="C116" s="384" t="n"/>
      <c r="D116" s="384" t="n"/>
      <c r="E116" s="384" t="n"/>
      <c r="F116" s="384" t="n"/>
      <c r="G116" s="384" t="n"/>
      <c r="H116" s="384" t="n"/>
      <c r="I116" s="384" t="n"/>
      <c r="J116" s="384" t="n"/>
      <c r="K116" s="384" t="n"/>
      <c r="L116" s="384" t="n"/>
      <c r="M116" s="384" t="n"/>
      <c r="N116" s="1217" t="n"/>
      <c r="O116" s="1217" t="n"/>
      <c r="P116" s="1217">
        <f>IF(_epmOfflineCondition_,-29733591.85,EPMRetrieveData(,,P103,P104,P105,P106,P107,P108,P109,P110,P111,P112,P113,P114,P115)-Q116)</f>
        <v/>
      </c>
      <c r="Q116" s="1217">
        <f>IF(_epmOfflineCondition_,121665029.53,EPMRetrieveData(,,Q103,Q104,Q105,Q106,Q107,Q108,Q109,Q110,Q111,Q112,Q113,Q114,Q115))</f>
        <v/>
      </c>
      <c r="R116" s="1217">
        <f>IF(_epmOfflineCondition_,0,EPMRetrieveData(,,R103,R104,R105,R106,R107,R108,R109,R110,R111,R112,R113,R114,R115))</f>
        <v/>
      </c>
      <c r="S116" s="32" t="n"/>
      <c r="T116" s="384" t="n"/>
      <c r="U116" s="384" t="n"/>
      <c r="V116" s="384" t="n"/>
      <c r="W116" s="384" t="n"/>
      <c r="X116" s="38" t="n"/>
      <c r="Y116" s="38" t="n"/>
      <c r="Z116" s="384" t="n"/>
      <c r="AA116" s="384" t="n"/>
      <c r="AB116" s="384" t="n"/>
      <c r="AC116" s="384" t="n"/>
      <c r="AD116" s="384" t="n"/>
      <c r="AE116" s="384" t="n"/>
      <c r="AF116" s="384" t="n"/>
      <c r="AG116" s="384" t="n"/>
      <c r="AH116" s="384" t="n"/>
      <c r="AI116" s="384" t="n"/>
      <c r="AJ116" s="384" t="n"/>
      <c r="AK116" s="384" t="n"/>
      <c r="AL116" s="384" t="n"/>
      <c r="AM116" s="384" t="n"/>
      <c r="AN116" s="384" t="n"/>
      <c r="AO116" s="384" t="n"/>
      <c r="AP116" s="384" t="n"/>
      <c r="AQ116" s="384" t="n"/>
      <c r="AR116" s="384" t="n"/>
    </row>
    <row r="117">
      <c r="A117" s="384" t="n"/>
      <c r="B117" s="384" t="n"/>
      <c r="C117" s="384" t="n"/>
      <c r="D117" s="384" t="n"/>
      <c r="E117" s="384" t="n"/>
      <c r="F117" s="384" t="n"/>
      <c r="G117" s="384" t="n"/>
      <c r="H117" s="384" t="n"/>
      <c r="I117" s="384" t="n"/>
      <c r="J117" s="384" t="n"/>
      <c r="K117" s="384" t="n"/>
      <c r="L117" s="384" t="n"/>
      <c r="M117" s="384" t="n"/>
      <c r="N117" s="384" t="n"/>
      <c r="O117" s="384" t="n"/>
      <c r="P117" s="384" t="n"/>
      <c r="Q117" s="384" t="n"/>
      <c r="R117" s="384" t="n"/>
      <c r="S117" s="32" t="n"/>
      <c r="T117" s="384" t="n"/>
      <c r="U117" s="384" t="n"/>
      <c r="V117" s="384" t="n"/>
      <c r="W117" s="384" t="n"/>
      <c r="X117" s="38" t="n"/>
      <c r="Y117" s="38" t="n"/>
      <c r="Z117" s="384" t="n"/>
      <c r="AA117" s="384" t="n"/>
      <c r="AB117" s="384" t="n"/>
      <c r="AC117" s="384" t="n"/>
      <c r="AD117" s="384" t="n"/>
      <c r="AE117" s="384" t="n"/>
      <c r="AF117" s="384" t="n"/>
      <c r="AG117" s="384" t="n"/>
      <c r="AH117" s="384" t="n"/>
      <c r="AI117" s="384" t="n"/>
      <c r="AJ117" s="384" t="n"/>
      <c r="AK117" s="384" t="n"/>
      <c r="AL117" s="384" t="n"/>
      <c r="AM117" s="384" t="n"/>
      <c r="AN117" s="384" t="n"/>
      <c r="AO117" s="384" t="n"/>
      <c r="AP117" s="384" t="n"/>
      <c r="AQ117" s="384" t="n"/>
      <c r="AR117" s="384" t="n"/>
    </row>
    <row r="118">
      <c r="A118" s="384" t="n"/>
      <c r="B118" s="384" t="n"/>
      <c r="C118" s="384" t="n"/>
      <c r="D118" s="384" t="n"/>
      <c r="E118" s="384" t="n"/>
      <c r="F118" s="384" t="n"/>
      <c r="G118" s="384" t="n"/>
      <c r="H118" s="384" t="n"/>
      <c r="I118" s="384" t="n"/>
      <c r="J118" s="384" t="n"/>
      <c r="K118" s="384" t="n"/>
      <c r="L118" s="384" t="n"/>
      <c r="M118" s="384" t="n"/>
      <c r="N118" s="1011" t="inlineStr">
        <is>
          <t>年初数</t>
        </is>
      </c>
      <c r="O118" s="1011" t="inlineStr">
        <is>
          <t>年初数</t>
        </is>
      </c>
      <c r="P118" s="1011" t="n"/>
      <c r="Q118" s="1011" t="inlineStr">
        <is>
          <t>年初数</t>
        </is>
      </c>
      <c r="R118" s="1011" t="n"/>
      <c r="S118" s="32" t="n"/>
      <c r="T118" s="384" t="n"/>
      <c r="U118" s="384" t="n"/>
      <c r="V118" s="384" t="n"/>
      <c r="W118" s="384" t="n"/>
      <c r="X118" s="38" t="n"/>
      <c r="Y118" s="38" t="n"/>
      <c r="Z118" s="384" t="n"/>
      <c r="AA118" s="384" t="n"/>
      <c r="AB118" s="384" t="n"/>
      <c r="AC118" s="384" t="n"/>
      <c r="AD118" s="384" t="n"/>
      <c r="AE118" s="384" t="n"/>
      <c r="AF118" s="384" t="n"/>
      <c r="AG118" s="384" t="n"/>
      <c r="AH118" s="384" t="n"/>
      <c r="AI118" s="384" t="n"/>
      <c r="AJ118" s="384" t="n"/>
      <c r="AK118" s="384" t="n"/>
      <c r="AL118" s="384" t="n"/>
      <c r="AM118" s="384" t="n"/>
      <c r="AN118" s="384" t="n"/>
      <c r="AO118" s="384" t="n"/>
      <c r="AP118" s="384" t="n"/>
      <c r="AQ118" s="384" t="n"/>
      <c r="AR118" s="384" t="n"/>
    </row>
    <row r="119">
      <c r="A119" s="384" t="n"/>
      <c r="B119" s="384" t="n"/>
      <c r="C119" s="384" t="n"/>
      <c r="D119" s="384" t="n"/>
      <c r="E119" s="384" t="n"/>
      <c r="F119" s="384" t="n"/>
      <c r="G119" s="384" t="n"/>
      <c r="H119" s="384" t="n"/>
      <c r="I119" s="384" t="n"/>
      <c r="J119" s="384" t="n"/>
      <c r="K119" s="384" t="n"/>
      <c r="L119" s="384" t="n"/>
      <c r="M119" s="384" t="n"/>
      <c r="N119" s="1012">
        <f>$I$11</f>
        <v/>
      </c>
      <c r="O119" s="1012">
        <f>$I$11</f>
        <v/>
      </c>
      <c r="P119" s="1012" t="n"/>
      <c r="Q119" s="1012">
        <f>$I$11</f>
        <v/>
      </c>
      <c r="R119" s="1012" t="n"/>
      <c r="S119" s="32" t="n"/>
      <c r="T119" s="384" t="n"/>
      <c r="U119" s="384" t="n"/>
      <c r="V119" s="384" t="n"/>
      <c r="W119" s="384" t="n"/>
      <c r="X119" s="38" t="n"/>
      <c r="Y119" s="38" t="n"/>
      <c r="Z119" s="384" t="n"/>
      <c r="AA119" s="384" t="n"/>
      <c r="AB119" s="384" t="n"/>
      <c r="AC119" s="384" t="n"/>
      <c r="AD119" s="384" t="n"/>
      <c r="AE119" s="384" t="n"/>
      <c r="AF119" s="384" t="n"/>
      <c r="AG119" s="384" t="n"/>
      <c r="AH119" s="384" t="n"/>
      <c r="AI119" s="384" t="n"/>
      <c r="AJ119" s="384" t="n"/>
      <c r="AK119" s="384" t="n"/>
      <c r="AL119" s="384" t="n"/>
      <c r="AM119" s="384" t="n"/>
      <c r="AN119" s="384" t="n"/>
      <c r="AO119" s="384" t="n"/>
      <c r="AP119" s="384" t="n"/>
      <c r="AQ119" s="384" t="n"/>
      <c r="AR119" s="384" t="n"/>
    </row>
    <row r="120">
      <c r="A120" s="384" t="n"/>
      <c r="B120" s="384" t="n"/>
      <c r="C120" s="384" t="n"/>
      <c r="D120" s="384" t="n"/>
      <c r="E120" s="384" t="n"/>
      <c r="F120" s="384" t="n"/>
      <c r="G120" s="384" t="n"/>
      <c r="H120" s="384" t="n"/>
      <c r="I120" s="384" t="n"/>
      <c r="J120" s="384" t="n"/>
      <c r="K120" s="384" t="n"/>
      <c r="L120" s="384" t="n"/>
      <c r="M120" s="384" t="n"/>
      <c r="N120" s="1012" t="inlineStr">
        <is>
          <t>C1001</t>
        </is>
      </c>
      <c r="O120" s="1012" t="inlineStr">
        <is>
          <t>C1001</t>
        </is>
      </c>
      <c r="P120" s="1012" t="n"/>
      <c r="Q120" s="1012" t="inlineStr">
        <is>
          <t>C1001</t>
        </is>
      </c>
      <c r="R120" s="1012" t="n"/>
      <c r="S120" s="32" t="n"/>
      <c r="T120" s="384" t="n"/>
      <c r="U120" s="384" t="n"/>
      <c r="V120" s="384" t="n"/>
      <c r="W120" s="384" t="n"/>
      <c r="X120" s="38" t="n"/>
      <c r="Y120" s="38" t="n"/>
      <c r="Z120" s="384" t="n"/>
      <c r="AA120" s="384" t="n"/>
      <c r="AB120" s="384" t="n"/>
      <c r="AC120" s="384" t="n"/>
      <c r="AD120" s="384" t="n"/>
      <c r="AE120" s="384" t="n"/>
      <c r="AF120" s="384" t="n"/>
      <c r="AG120" s="384" t="n"/>
      <c r="AH120" s="384" t="n"/>
      <c r="AI120" s="384" t="n"/>
      <c r="AJ120" s="384" t="n"/>
      <c r="AK120" s="384" t="n"/>
      <c r="AL120" s="384" t="n"/>
      <c r="AM120" s="384" t="n"/>
      <c r="AN120" s="384" t="n"/>
      <c r="AO120" s="384" t="n"/>
      <c r="AP120" s="384" t="n"/>
      <c r="AQ120" s="384" t="n"/>
      <c r="AR120" s="384" t="n"/>
    </row>
    <row r="121">
      <c r="A121" s="384" t="n"/>
      <c r="B121" s="384" t="n"/>
      <c r="C121" s="384" t="n"/>
      <c r="D121" s="384" t="n"/>
      <c r="E121" s="384" t="n"/>
      <c r="F121" s="384" t="n"/>
      <c r="G121" s="384" t="n"/>
      <c r="H121" s="384" t="n"/>
      <c r="I121" s="384" t="n"/>
      <c r="J121" s="384" t="n"/>
      <c r="K121" s="384" t="n"/>
      <c r="L121" s="384" t="n"/>
      <c r="M121" s="384" t="n"/>
      <c r="N121" s="390" t="inlineStr">
        <is>
          <t>DLC_BK</t>
        </is>
      </c>
      <c r="O121" s="1012" t="inlineStr">
        <is>
          <t>DLC_RC</t>
        </is>
      </c>
      <c r="P121" s="1012" t="n"/>
      <c r="Q121" s="1012" t="inlineStr">
        <is>
          <t>DLC</t>
        </is>
      </c>
      <c r="R121" s="1012" t="n"/>
      <c r="S121" s="32" t="n"/>
      <c r="T121" s="384" t="n"/>
      <c r="U121" s="384" t="n"/>
      <c r="V121" s="384" t="n"/>
      <c r="W121" s="384" t="n"/>
      <c r="X121" s="38" t="n"/>
      <c r="Y121" s="38" t="n"/>
      <c r="Z121" s="384" t="n"/>
      <c r="AA121" s="384" t="n"/>
      <c r="AB121" s="384" t="n"/>
      <c r="AC121" s="384" t="n"/>
      <c r="AD121" s="384" t="n"/>
      <c r="AE121" s="384" t="n"/>
      <c r="AF121" s="384" t="n"/>
      <c r="AG121" s="384" t="n"/>
      <c r="AH121" s="384" t="n"/>
      <c r="AI121" s="384" t="n"/>
      <c r="AJ121" s="384" t="n"/>
      <c r="AK121" s="384" t="n"/>
      <c r="AL121" s="384" t="n"/>
      <c r="AM121" s="384" t="n"/>
      <c r="AN121" s="384" t="n"/>
      <c r="AO121" s="384" t="n"/>
      <c r="AP121" s="384" t="n"/>
      <c r="AQ121" s="384" t="n"/>
      <c r="AR121" s="384" t="n"/>
    </row>
    <row r="122">
      <c r="A122" s="384" t="n"/>
      <c r="B122" s="384" t="n"/>
      <c r="C122" s="384" t="n"/>
      <c r="D122" s="384" t="n"/>
      <c r="E122" s="384" t="n"/>
      <c r="F122" s="384" t="n"/>
      <c r="G122" s="384" t="n"/>
      <c r="H122" s="384" t="n"/>
      <c r="I122" s="384" t="n"/>
      <c r="J122" s="384" t="n"/>
      <c r="K122" s="384" t="n"/>
      <c r="L122" s="384" t="n"/>
      <c r="M122" s="384" t="n"/>
      <c r="N122" s="1012" t="inlineStr">
        <is>
          <t>F00</t>
        </is>
      </c>
      <c r="O122" s="1012" t="inlineStr">
        <is>
          <t>F00</t>
        </is>
      </c>
      <c r="P122" s="1012" t="n"/>
      <c r="Q122" s="1012" t="inlineStr">
        <is>
          <t>F00</t>
        </is>
      </c>
      <c r="R122" s="1012" t="n"/>
      <c r="S122" s="32" t="n"/>
      <c r="T122" s="384" t="n"/>
      <c r="U122" s="384" t="n"/>
      <c r="V122" s="384" t="n"/>
      <c r="W122" s="384" t="n"/>
      <c r="X122" s="38" t="n"/>
      <c r="Y122" s="38" t="n"/>
      <c r="Z122" s="384" t="n"/>
      <c r="AA122" s="384" t="n"/>
      <c r="AB122" s="384" t="n"/>
      <c r="AC122" s="384" t="n"/>
      <c r="AD122" s="384" t="n"/>
      <c r="AE122" s="384" t="n"/>
      <c r="AF122" s="384" t="n"/>
      <c r="AG122" s="384" t="n"/>
      <c r="AH122" s="384" t="n"/>
      <c r="AI122" s="384" t="n"/>
      <c r="AJ122" s="384" t="n"/>
      <c r="AK122" s="384" t="n"/>
      <c r="AL122" s="384" t="n"/>
      <c r="AM122" s="384" t="n"/>
      <c r="AN122" s="384" t="n"/>
      <c r="AO122" s="384" t="n"/>
      <c r="AP122" s="384" t="n"/>
      <c r="AQ122" s="384" t="n"/>
      <c r="AR122" s="384" t="n"/>
    </row>
    <row r="123">
      <c r="A123" s="384" t="n"/>
      <c r="B123" s="384" t="n"/>
      <c r="C123" s="384" t="n"/>
      <c r="D123" s="384" t="n"/>
      <c r="E123" s="384" t="n"/>
      <c r="F123" s="384" t="n"/>
      <c r="G123" s="384" t="n"/>
      <c r="H123" s="384" t="n"/>
      <c r="I123" s="384" t="n"/>
      <c r="J123" s="384" t="n"/>
      <c r="K123" s="384" t="n"/>
      <c r="L123" s="384" t="n"/>
      <c r="M123" s="384" t="n"/>
      <c r="N123" s="1012" t="inlineStr">
        <is>
          <t>YTD</t>
        </is>
      </c>
      <c r="O123" s="1012" t="inlineStr">
        <is>
          <t>YTD</t>
        </is>
      </c>
      <c r="P123" s="1012" t="n"/>
      <c r="Q123" s="1012" t="inlineStr">
        <is>
          <t>YTD</t>
        </is>
      </c>
      <c r="R123" s="1012" t="n"/>
      <c r="S123" s="32" t="n"/>
      <c r="T123" s="384" t="n"/>
      <c r="U123" s="384" t="n"/>
      <c r="V123" s="384" t="n"/>
      <c r="W123" s="384" t="n"/>
      <c r="X123" s="38" t="n"/>
      <c r="Y123" s="38" t="n"/>
      <c r="Z123" s="384" t="n"/>
      <c r="AA123" s="384" t="n"/>
      <c r="AB123" s="384" t="n"/>
      <c r="AC123" s="384" t="n"/>
      <c r="AD123" s="384" t="n"/>
      <c r="AE123" s="384" t="n"/>
      <c r="AF123" s="384" t="n"/>
      <c r="AG123" s="384" t="n"/>
      <c r="AH123" s="384" t="n"/>
      <c r="AI123" s="384" t="n"/>
      <c r="AJ123" s="384" t="n"/>
      <c r="AK123" s="384" t="n"/>
      <c r="AL123" s="384" t="n"/>
      <c r="AM123" s="384" t="n"/>
      <c r="AN123" s="384" t="n"/>
      <c r="AO123" s="384" t="n"/>
      <c r="AP123" s="384" t="n"/>
      <c r="AQ123" s="384" t="n"/>
      <c r="AR123" s="384" t="n"/>
    </row>
    <row r="124">
      <c r="A124" s="384" t="n"/>
      <c r="B124" s="384" t="n"/>
      <c r="C124" s="384" t="n"/>
      <c r="D124" s="384" t="n"/>
      <c r="E124" s="384" t="n"/>
      <c r="F124" s="384" t="n"/>
      <c r="G124" s="384" t="n"/>
      <c r="H124" s="384" t="n"/>
      <c r="I124" s="384" t="n"/>
      <c r="J124" s="384" t="n"/>
      <c r="K124" s="384" t="n"/>
      <c r="L124" s="384" t="n"/>
      <c r="M124" s="384" t="n"/>
      <c r="N124" s="390">
        <f>$C$6</f>
        <v/>
      </c>
      <c r="O124" s="390">
        <f>$C$6</f>
        <v/>
      </c>
      <c r="P124" s="390" t="n"/>
      <c r="Q124" s="390">
        <f>$C$6</f>
        <v/>
      </c>
      <c r="R124" s="390" t="n"/>
      <c r="S124" s="32" t="n"/>
      <c r="T124" s="384" t="n"/>
      <c r="U124" s="384" t="n"/>
      <c r="V124" s="384" t="n"/>
      <c r="W124" s="384" t="n"/>
      <c r="X124" s="38" t="n"/>
      <c r="Y124" s="38" t="n"/>
      <c r="Z124" s="384" t="n"/>
      <c r="AA124" s="384" t="n"/>
      <c r="AB124" s="384" t="n"/>
      <c r="AC124" s="384" t="n"/>
      <c r="AD124" s="384" t="n"/>
      <c r="AE124" s="384" t="n"/>
      <c r="AF124" s="384" t="n"/>
      <c r="AG124" s="384" t="n"/>
      <c r="AH124" s="384" t="n"/>
      <c r="AI124" s="384" t="n"/>
      <c r="AJ124" s="384" t="n"/>
      <c r="AK124" s="384" t="n"/>
      <c r="AL124" s="384" t="n"/>
      <c r="AM124" s="384" t="n"/>
      <c r="AN124" s="384" t="n"/>
      <c r="AO124" s="384" t="n"/>
      <c r="AP124" s="384" t="n"/>
      <c r="AQ124" s="384" t="n"/>
      <c r="AR124" s="384" t="n"/>
    </row>
    <row r="125">
      <c r="A125" s="384" t="n"/>
      <c r="B125" s="384" t="n"/>
      <c r="C125" s="384" t="n"/>
      <c r="D125" s="384" t="n"/>
      <c r="E125" s="384" t="n"/>
      <c r="F125" s="384" t="n"/>
      <c r="G125" s="384" t="n"/>
      <c r="H125" s="384" t="n"/>
      <c r="I125" s="384" t="n"/>
      <c r="J125" s="384" t="n"/>
      <c r="K125" s="384" t="n"/>
      <c r="L125" s="384" t="n"/>
      <c r="M125" s="384" t="n"/>
      <c r="N125" s="1012">
        <f>$Z$37</f>
        <v/>
      </c>
      <c r="O125" s="1012">
        <f>$Z$37</f>
        <v/>
      </c>
      <c r="P125" s="1012" t="n"/>
      <c r="Q125" s="1012">
        <f>$Z$37</f>
        <v/>
      </c>
      <c r="R125" s="1012" t="n"/>
      <c r="S125" s="32" t="n"/>
      <c r="T125" s="384" t="n"/>
      <c r="U125" s="384" t="n"/>
      <c r="V125" s="384" t="n"/>
      <c r="W125" s="384" t="n"/>
      <c r="X125" s="38" t="n"/>
      <c r="Y125" s="38" t="n"/>
      <c r="Z125" s="384" t="n"/>
      <c r="AA125" s="384" t="n"/>
      <c r="AB125" s="384" t="n"/>
      <c r="AC125" s="384" t="n"/>
      <c r="AD125" s="384" t="n"/>
      <c r="AE125" s="384" t="n"/>
      <c r="AF125" s="384" t="n"/>
      <c r="AG125" s="384" t="n"/>
      <c r="AH125" s="384" t="n"/>
      <c r="AI125" s="384" t="n"/>
      <c r="AJ125" s="384" t="n"/>
      <c r="AK125" s="384" t="n"/>
      <c r="AL125" s="384" t="n"/>
      <c r="AM125" s="384" t="n"/>
      <c r="AN125" s="384" t="n"/>
      <c r="AO125" s="384" t="n"/>
      <c r="AP125" s="384" t="n"/>
      <c r="AQ125" s="384" t="n"/>
      <c r="AR125" s="384" t="n"/>
    </row>
    <row r="126">
      <c r="A126" s="384" t="n"/>
      <c r="B126" s="384" t="n"/>
      <c r="C126" s="384" t="n"/>
      <c r="D126" s="384" t="n"/>
      <c r="E126" s="384" t="n"/>
      <c r="F126" s="384" t="n"/>
      <c r="G126" s="384" t="n"/>
      <c r="H126" s="384" t="n"/>
      <c r="I126" s="384" t="n"/>
      <c r="J126" s="384" t="n"/>
      <c r="K126" s="384" t="n"/>
      <c r="L126" s="384" t="n"/>
      <c r="M126" s="384" t="n"/>
      <c r="N126" s="1012" t="inlineStr">
        <is>
          <t>I_ALL</t>
        </is>
      </c>
      <c r="O126" s="1012" t="inlineStr">
        <is>
          <t>I_ALL</t>
        </is>
      </c>
      <c r="P126" s="1012" t="n"/>
      <c r="Q126" s="1012" t="inlineStr">
        <is>
          <t>I_ALL</t>
        </is>
      </c>
      <c r="R126" s="1012" t="n"/>
      <c r="S126" s="32" t="n"/>
      <c r="T126" s="384" t="n"/>
      <c r="U126" s="384" t="n"/>
      <c r="V126" s="384" t="n"/>
      <c r="W126" s="384" t="n"/>
      <c r="X126" s="38" t="n"/>
      <c r="Y126" s="38" t="n"/>
      <c r="Z126" s="384" t="n"/>
      <c r="AA126" s="384" t="n"/>
      <c r="AB126" s="384" t="n"/>
      <c r="AC126" s="384" t="n"/>
      <c r="AD126" s="384" t="n"/>
      <c r="AE126" s="384" t="n"/>
      <c r="AF126" s="384" t="n"/>
      <c r="AG126" s="384" t="n"/>
      <c r="AH126" s="384" t="n"/>
      <c r="AI126" s="384" t="n"/>
      <c r="AJ126" s="384" t="n"/>
      <c r="AK126" s="384" t="n"/>
      <c r="AL126" s="384" t="n"/>
      <c r="AM126" s="384" t="n"/>
      <c r="AN126" s="384" t="n"/>
      <c r="AO126" s="384" t="n"/>
      <c r="AP126" s="384" t="n"/>
      <c r="AQ126" s="384" t="n"/>
      <c r="AR126" s="384" t="n"/>
    </row>
    <row r="127">
      <c r="A127" s="384" t="n"/>
      <c r="B127" s="384" t="n"/>
      <c r="C127" s="384" t="n"/>
      <c r="D127" s="384" t="n"/>
      <c r="E127" s="384" t="n"/>
      <c r="F127" s="384" t="n"/>
      <c r="G127" s="384" t="n"/>
      <c r="H127" s="384" t="n"/>
      <c r="I127" s="384" t="n"/>
      <c r="J127" s="384" t="n"/>
      <c r="K127" s="384" t="n"/>
      <c r="L127" s="384" t="n"/>
      <c r="M127" s="384" t="n"/>
      <c r="N127" s="1012" t="inlineStr">
        <is>
          <t>G_DUMMY</t>
        </is>
      </c>
      <c r="O127" s="1012" t="inlineStr">
        <is>
          <t>G_DUMMY</t>
        </is>
      </c>
      <c r="P127" s="1012" t="n"/>
      <c r="Q127" s="1012" t="inlineStr">
        <is>
          <t>G_DUMMY</t>
        </is>
      </c>
      <c r="R127" s="1012" t="n"/>
      <c r="S127" s="32" t="n"/>
      <c r="T127" s="384" t="n"/>
      <c r="U127" s="384" t="n"/>
      <c r="V127" s="384" t="n"/>
      <c r="W127" s="384" t="n"/>
      <c r="X127" s="38" t="n"/>
      <c r="Y127" s="38" t="n"/>
      <c r="Z127" s="384" t="n"/>
      <c r="AA127" s="384" t="n"/>
      <c r="AB127" s="384" t="n"/>
      <c r="AC127" s="384" t="n"/>
      <c r="AD127" s="384" t="n"/>
      <c r="AE127" s="384" t="n"/>
      <c r="AF127" s="384" t="n"/>
      <c r="AG127" s="384" t="n"/>
      <c r="AH127" s="384" t="n"/>
      <c r="AI127" s="384" t="n"/>
      <c r="AJ127" s="384" t="n"/>
      <c r="AK127" s="384" t="n"/>
      <c r="AL127" s="384" t="n"/>
      <c r="AM127" s="384" t="n"/>
      <c r="AN127" s="384" t="n"/>
      <c r="AO127" s="384" t="n"/>
      <c r="AP127" s="384" t="n"/>
      <c r="AQ127" s="384" t="n"/>
      <c r="AR127" s="384" t="n"/>
    </row>
    <row r="128">
      <c r="A128" s="384" t="n"/>
      <c r="B128" s="384" t="n"/>
      <c r="C128" s="384" t="n"/>
      <c r="D128" s="384" t="n"/>
      <c r="E128" s="384" t="n"/>
      <c r="F128" s="384" t="n"/>
      <c r="G128" s="384" t="n"/>
      <c r="H128" s="384" t="n"/>
      <c r="I128" s="384" t="n"/>
      <c r="J128" s="384" t="n"/>
      <c r="K128" s="384" t="n"/>
      <c r="L128" s="384" t="n"/>
      <c r="M128" s="384" t="n"/>
      <c r="N128" s="1012" t="inlineStr">
        <is>
          <t>ZP_DUMMY</t>
        </is>
      </c>
      <c r="O128" s="1012" t="inlineStr">
        <is>
          <t>ZP_DUMMY</t>
        </is>
      </c>
      <c r="P128" s="1012" t="n"/>
      <c r="Q128" s="1012" t="inlineStr">
        <is>
          <t>ZP_DUMMY</t>
        </is>
      </c>
      <c r="R128" s="1012" t="n"/>
      <c r="S128" s="32" t="n"/>
      <c r="T128" s="384" t="n"/>
      <c r="U128" s="384" t="n"/>
      <c r="V128" s="384" t="n"/>
      <c r="W128" s="384" t="n"/>
      <c r="X128" s="38" t="n"/>
      <c r="Y128" s="38" t="n"/>
      <c r="Z128" s="384" t="n"/>
      <c r="AA128" s="384" t="n"/>
      <c r="AB128" s="384" t="n"/>
      <c r="AC128" s="384" t="n"/>
      <c r="AD128" s="384" t="n"/>
      <c r="AE128" s="384" t="n"/>
      <c r="AF128" s="384" t="n"/>
      <c r="AG128" s="384" t="n"/>
      <c r="AH128" s="384" t="n"/>
      <c r="AI128" s="384" t="n"/>
      <c r="AJ128" s="384" t="n"/>
      <c r="AK128" s="384" t="n"/>
      <c r="AL128" s="384" t="n"/>
      <c r="AM128" s="384" t="n"/>
      <c r="AN128" s="384" t="n"/>
      <c r="AO128" s="384" t="n"/>
      <c r="AP128" s="384" t="n"/>
      <c r="AQ128" s="384" t="n"/>
      <c r="AR128" s="384" t="n"/>
    </row>
    <row r="129">
      <c r="A129" s="384" t="n"/>
      <c r="B129" s="384" t="n"/>
      <c r="C129" s="384" t="n"/>
      <c r="D129" s="384" t="n"/>
      <c r="E129" s="384" t="n"/>
      <c r="F129" s="384" t="n"/>
      <c r="G129" s="384" t="n"/>
      <c r="H129" s="384" t="n"/>
      <c r="I129" s="384" t="n"/>
      <c r="J129" s="384" t="n"/>
      <c r="K129" s="384" t="n"/>
      <c r="L129" s="384" t="n"/>
      <c r="M129" s="384" t="n"/>
      <c r="N129" s="1012" t="inlineStr">
        <is>
          <t>ZI_DUMMY</t>
        </is>
      </c>
      <c r="O129" s="1012" t="inlineStr">
        <is>
          <t>ZI_DUMMY</t>
        </is>
      </c>
      <c r="P129" s="1012" t="n"/>
      <c r="Q129" s="1012" t="inlineStr">
        <is>
          <t>ZI_DUMMY</t>
        </is>
      </c>
      <c r="R129" s="1012" t="n"/>
      <c r="S129" s="32" t="n"/>
      <c r="T129" s="384" t="n"/>
      <c r="U129" s="384" t="n"/>
      <c r="V129" s="384" t="n"/>
      <c r="W129" s="384" t="n"/>
      <c r="X129" s="726" t="n"/>
      <c r="Y129" s="38" t="n"/>
      <c r="Z129" s="384" t="n"/>
      <c r="AA129" s="384" t="n"/>
      <c r="AB129" s="384" t="n"/>
      <c r="AC129" s="384" t="n"/>
      <c r="AD129" s="384" t="n"/>
      <c r="AE129" s="384" t="n"/>
      <c r="AF129" s="384" t="n"/>
      <c r="AG129" s="384" t="n"/>
      <c r="AH129" s="384" t="n"/>
      <c r="AI129" s="384" t="n"/>
      <c r="AJ129" s="384" t="n"/>
      <c r="AK129" s="384" t="n"/>
      <c r="AL129" s="384" t="n"/>
      <c r="AM129" s="384" t="n"/>
      <c r="AN129" s="384" t="n"/>
      <c r="AO129" s="384" t="n"/>
      <c r="AP129" s="384" t="n"/>
      <c r="AQ129" s="384" t="n"/>
      <c r="AR129" s="384" t="n"/>
    </row>
    <row r="130">
      <c r="A130" s="384" t="n"/>
      <c r="B130" s="384" t="n"/>
      <c r="C130" s="384" t="n"/>
      <c r="D130" s="384" t="n"/>
      <c r="E130" s="384" t="n"/>
      <c r="F130" s="384" t="n"/>
      <c r="G130" s="384" t="n"/>
      <c r="H130" s="384" t="n"/>
      <c r="I130" s="384" t="n"/>
      <c r="J130" s="384" t="n"/>
      <c r="K130" s="384" t="n"/>
      <c r="L130" s="384" t="n"/>
      <c r="M130" s="384" t="n"/>
      <c r="N130" s="1012" t="inlineStr">
        <is>
          <t>ZM_DUMMY</t>
        </is>
      </c>
      <c r="O130" s="1012" t="inlineStr">
        <is>
          <t>ZM_DUMMY</t>
        </is>
      </c>
      <c r="P130" s="1012" t="n"/>
      <c r="Q130" s="1012" t="inlineStr">
        <is>
          <t>ZM_DUMMY</t>
        </is>
      </c>
      <c r="R130" s="1012" t="n"/>
      <c r="S130" s="32" t="n"/>
      <c r="T130" s="384" t="n"/>
      <c r="U130" s="384" t="n"/>
      <c r="V130" s="384" t="n"/>
      <c r="W130" s="384" t="n"/>
      <c r="X130" s="38" t="n"/>
      <c r="Y130" s="38" t="n"/>
      <c r="Z130" s="384" t="n"/>
      <c r="AA130" s="384" t="n"/>
      <c r="AB130" s="384" t="n"/>
      <c r="AC130" s="384" t="n"/>
      <c r="AD130" s="384" t="n"/>
      <c r="AE130" s="384" t="n"/>
      <c r="AF130" s="384" t="n"/>
      <c r="AG130" s="384" t="n"/>
      <c r="AH130" s="384" t="n"/>
      <c r="AI130" s="384" t="n"/>
      <c r="AJ130" s="384" t="n"/>
      <c r="AK130" s="384" t="n"/>
      <c r="AL130" s="384" t="n"/>
      <c r="AM130" s="384" t="n"/>
      <c r="AN130" s="384" t="n"/>
      <c r="AO130" s="384" t="n"/>
      <c r="AP130" s="384" t="n"/>
      <c r="AQ130" s="384" t="n"/>
      <c r="AR130" s="384" t="n"/>
    </row>
    <row r="131">
      <c r="A131" s="384" t="n"/>
      <c r="B131" s="384" t="n"/>
      <c r="C131" s="384" t="n"/>
      <c r="D131" s="384" t="n"/>
      <c r="E131" s="384" t="n"/>
      <c r="F131" s="384" t="n"/>
      <c r="G131" s="384" t="n"/>
      <c r="H131" s="384" t="n"/>
      <c r="I131" s="384" t="n"/>
      <c r="J131" s="384" t="n"/>
      <c r="K131" s="384" t="n"/>
      <c r="L131" s="384" t="n"/>
      <c r="M131" s="384" t="n"/>
      <c r="N131" s="390" t="inlineStr">
        <is>
          <t>A001010101</t>
        </is>
      </c>
      <c r="O131" s="390" t="inlineStr">
        <is>
          <t>A001010101</t>
        </is>
      </c>
      <c r="P131" s="390" t="n"/>
      <c r="Q131" s="390" t="inlineStr">
        <is>
          <t>A001010101</t>
        </is>
      </c>
      <c r="R131" s="390" t="n"/>
      <c r="S131" s="32" t="n"/>
      <c r="T131" s="384" t="n"/>
      <c r="U131" s="384" t="n"/>
      <c r="V131" s="384" t="n"/>
      <c r="W131" s="384" t="n"/>
      <c r="X131" s="38" t="n"/>
      <c r="Y131" s="38" t="n"/>
      <c r="Z131" s="384" t="n"/>
      <c r="AA131" s="384" t="n"/>
      <c r="AB131" s="384" t="n"/>
      <c r="AC131" s="384" t="n"/>
      <c r="AD131" s="384" t="n"/>
      <c r="AE131" s="384" t="n"/>
      <c r="AF131" s="384" t="n"/>
      <c r="AG131" s="384" t="n"/>
      <c r="AH131" s="384" t="n"/>
      <c r="AI131" s="384" t="n"/>
      <c r="AJ131" s="384" t="n"/>
      <c r="AK131" s="384" t="n"/>
      <c r="AL131" s="384" t="n"/>
      <c r="AM131" s="384" t="n"/>
      <c r="AN131" s="384" t="n"/>
      <c r="AO131" s="384" t="n"/>
      <c r="AP131" s="384" t="n"/>
      <c r="AQ131" s="384" t="n"/>
      <c r="AR131" s="384" t="n"/>
    </row>
    <row r="132">
      <c r="A132" s="384" t="n"/>
      <c r="B132" s="384" t="n"/>
      <c r="C132" s="384" t="n"/>
      <c r="D132" s="384" t="n"/>
      <c r="E132" s="384" t="n"/>
      <c r="F132" s="384" t="n"/>
      <c r="G132" s="384" t="n"/>
      <c r="H132" s="384" t="n"/>
      <c r="I132" s="384" t="n"/>
      <c r="J132" s="384" t="n"/>
      <c r="K132" s="384" t="n"/>
      <c r="L132" s="384" t="n"/>
      <c r="M132" s="384" t="n"/>
      <c r="N132" s="1217">
        <f>IF(_epmOfflineCondition_,110083799.22,EPMRetrieveData(,,N119,N120,N121,N122,N123,N124,N125,N126,N127,N128,N129,N130,N131))</f>
        <v/>
      </c>
      <c r="O132" s="1217">
        <f>IF(_epmOfflineCondition_,0,EPMRetrieveData(,,O119,O120,O121,O122,O123,O124,O125,O126,O127,O128,O129,O130,O131))</f>
        <v/>
      </c>
      <c r="P132" s="1217" t="n"/>
      <c r="Q132" s="1217">
        <f>IF(_epmOfflineCondition_,110083799.22,EPMRetrieveData(,,Q119,Q120,Q121,Q122,Q123,Q124,Q125,Q126,Q127,Q128,Q129,Q130,Q131))</f>
        <v/>
      </c>
      <c r="R132" s="1217" t="n"/>
      <c r="S132" s="32" t="n"/>
      <c r="T132" s="384" t="n"/>
      <c r="U132" s="384" t="n"/>
      <c r="V132" s="384" t="n"/>
      <c r="W132" s="384" t="n"/>
      <c r="X132" s="38" t="n"/>
      <c r="Y132" s="38" t="n"/>
      <c r="Z132" s="384" t="n"/>
      <c r="AA132" s="384" t="n"/>
      <c r="AB132" s="384" t="n"/>
      <c r="AC132" s="384" t="n"/>
      <c r="AD132" s="384" t="n"/>
      <c r="AE132" s="384" t="n"/>
      <c r="AF132" s="384" t="n"/>
      <c r="AG132" s="384" t="n"/>
      <c r="AH132" s="384" t="n"/>
      <c r="AI132" s="384" t="n"/>
      <c r="AJ132" s="384" t="n"/>
      <c r="AK132" s="384" t="n"/>
      <c r="AL132" s="384" t="n"/>
      <c r="AM132" s="384" t="n"/>
      <c r="AN132" s="384" t="n"/>
      <c r="AO132" s="384" t="n"/>
      <c r="AP132" s="384" t="n"/>
      <c r="AQ132" s="384" t="n"/>
      <c r="AR132" s="384" t="n"/>
    </row>
  </sheetData>
  <sheetProtection selectLockedCells="0" selectUnlockedCells="0" algorithmName="SHA-512" sheet="1" objects="0" insertRows="1" insertHyperlinks="1" autoFilter="1" scenarios="1" formatColumns="1" deleteColumns="1" insertColumns="1" pivotTables="1" deleteRows="1" formatCells="1" saltValue="x+USeROyJyuLj8Zcj/gtnw==" formatRows="1" sort="1" spinCount="100000" hashValue="GGzDcwQ1fQQkDizU7pksUa91yXfYXVuqWDc36cTIN9K8/T0Uzktyk1xjy4YNif0+hQpo1+wZRMDf9t7a2K1vGA=="/>
  <mergeCells count="9">
    <mergeCell ref="H2:J2"/>
    <mergeCell ref="D16:E16"/>
    <mergeCell ref="X39:X40"/>
    <mergeCell ref="Y39:Y40"/>
    <mergeCell ref="Z39:Z40"/>
    <mergeCell ref="AA39:AA40"/>
    <mergeCell ref="AB39:AB40"/>
    <mergeCell ref="AC39:AC40"/>
    <mergeCell ref="AD39:AD40"/>
  </mergeCells>
  <dataValidations count="1">
    <dataValidation sqref="Z37" showErrorMessage="1" showInputMessage="1" allowBlank="1" type="list">
      <formula1>"LC,CNY"</formula1>
    </dataValidation>
  </dataValidations>
  <pageMargins left="0.7" right="0.7" top="0.75" bottom="0.75" header="0.3" footer="0.3"/>
  <pageSetup orientation="portrait" paperSize="9"/>
  <drawing xmlns:r="http://schemas.openxmlformats.org/officeDocument/2006/relationships" r:id="rId1"/>
</worksheet>
</file>

<file path=xl/worksheets/sheet5.xml><?xml version="1.0" encoding="utf-8"?>
<worksheet xmlns="http://schemas.openxmlformats.org/spreadsheetml/2006/main">
  <sheetPr codeName="Sheet4">
    <outlinePr summaryBelow="1" summaryRight="1"/>
    <pageSetUpPr/>
  </sheetPr>
  <dimension ref="A1:BI208"/>
  <sheetViews>
    <sheetView topLeftCell="W34" zoomScale="80" zoomScaleNormal="80" workbookViewId="0">
      <pane xSplit="3" ySplit="16" topLeftCell="Z50" activePane="bottomRight" state="frozen"/>
      <selection activeCell="A1" sqref="A1"/>
      <selection pane="topRight" activeCell="A1" sqref="A1"/>
      <selection pane="bottomLeft" activeCell="A1" sqref="A1"/>
      <selection pane="bottomRight" activeCell="AA38" sqref="AA38"/>
    </sheetView>
  </sheetViews>
  <sheetFormatPr baseColWidth="8" defaultColWidth="9" defaultRowHeight="16.8"/>
  <cols>
    <col hidden="1" width="8" customWidth="1" style="13" min="1" max="1"/>
    <col hidden="1" width="15.375" customWidth="1" style="13" min="2" max="2"/>
    <col hidden="1" width="15" customWidth="1" style="13" min="3" max="3"/>
    <col hidden="1" width="18.375" customWidth="1" style="13" min="4" max="4"/>
    <col hidden="1" width="20.375" customWidth="1" style="13" min="5" max="5"/>
    <col hidden="1" width="7.75" customWidth="1" style="13" min="6" max="7"/>
    <col hidden="1" width="8.375" customWidth="1" style="13" min="8" max="8"/>
    <col hidden="1" width="12.375" customWidth="1" style="13" min="9" max="9"/>
    <col hidden="1" width="11.125" customWidth="1" style="13" min="10" max="10"/>
    <col hidden="1" width="7.75" customWidth="1" style="13" min="11" max="18"/>
    <col hidden="1" width="6.25" customWidth="1" style="1103" min="19" max="19"/>
    <col hidden="1" width="25.375" customWidth="1" style="13" min="20" max="20"/>
    <col hidden="1" width="12.75" customWidth="1" style="13" min="21" max="21"/>
    <col hidden="1" width="25.125" customWidth="1" style="13" min="22" max="22"/>
    <col width="4.375" customWidth="1" style="13" min="23" max="23"/>
    <col width="37.625" customWidth="1" style="171" min="24" max="24"/>
    <col width="7.625" customWidth="1" style="171" min="25" max="25"/>
    <col width="24.625" customWidth="1" style="13" min="26" max="26"/>
    <col width="20" customWidth="1" style="13" min="27" max="27"/>
    <col width="23" customWidth="1" style="13" min="28" max="28"/>
    <col width="24.625" customWidth="1" style="13" min="29" max="30"/>
    <col width="26.75" customWidth="1" style="13" min="31" max="33"/>
    <col width="21.625" customWidth="1" style="13" min="34" max="36"/>
    <col width="21" customWidth="1" style="13" min="37" max="37"/>
    <col width="18.75" customWidth="1" style="13" min="38" max="38"/>
    <col width="24" customWidth="1" style="13" min="39" max="39"/>
    <col width="19.75" customWidth="1" style="13" min="40" max="40"/>
    <col width="16.375" customWidth="1" style="13" min="41" max="43"/>
    <col width="15.125" customWidth="1" style="13" min="44" max="44"/>
    <col width="17.625" customWidth="1" style="13" min="45" max="49"/>
    <col width="18.125" customWidth="1" style="13" min="50" max="51"/>
    <col width="16.375" customWidth="1" style="13" min="52" max="52"/>
    <col width="32.625" customWidth="1" style="13" min="53" max="53"/>
    <col width="17.375" customWidth="1" style="13" min="54" max="54"/>
    <col width="16.75" customWidth="1" style="13" min="55" max="57"/>
    <col hidden="1" width="17.375" customWidth="1" style="13" min="58" max="58"/>
    <col hidden="1" width="43.375" customWidth="1" style="13" min="59" max="59"/>
    <col hidden="1" width="16.75" customWidth="1" style="13" min="60" max="60"/>
    <col hidden="1" width="43.75" customWidth="1" style="13" min="61" max="61"/>
    <col width="9" customWidth="1" style="13" min="62" max="16384"/>
  </cols>
  <sheetData>
    <row r="1" hidden="1" s="1181">
      <c r="A1" s="172" t="inlineStr">
        <is>
          <t>维度清单</t>
        </is>
      </c>
      <c r="B1" s="462" t="n"/>
      <c r="C1" s="173" t="n"/>
      <c r="D1" s="173" t="n"/>
      <c r="E1" s="716" t="n"/>
      <c r="F1" s="13" t="n"/>
      <c r="G1" s="13" t="n"/>
      <c r="H1" s="13" t="n"/>
      <c r="I1" s="13" t="n"/>
      <c r="J1" s="13" t="n"/>
      <c r="K1" s="13" t="n"/>
      <c r="L1" s="13" t="n"/>
      <c r="M1" s="13" t="n"/>
      <c r="N1" s="13" t="n"/>
      <c r="O1" s="13" t="n"/>
      <c r="P1" s="13" t="n"/>
      <c r="Q1" s="13" t="n"/>
      <c r="R1" s="13" t="n"/>
      <c r="S1" s="1103" t="n"/>
      <c r="T1" s="13" t="n"/>
      <c r="U1" s="13" t="n"/>
      <c r="V1" s="13" t="n"/>
      <c r="W1" s="13" t="n"/>
      <c r="X1" s="171" t="n"/>
      <c r="Y1" s="171" t="n"/>
      <c r="Z1" s="13" t="n"/>
      <c r="AA1" s="13" t="n"/>
      <c r="AB1" s="13" t="n"/>
      <c r="AC1" s="13" t="n"/>
      <c r="AD1" s="13" t="n"/>
      <c r="AE1" s="13" t="n"/>
      <c r="AF1" s="13" t="n"/>
      <c r="AG1" s="13" t="n"/>
      <c r="AH1" s="13" t="n"/>
      <c r="AI1" s="13" t="n"/>
      <c r="AJ1" s="13" t="n"/>
      <c r="AK1" s="13" t="n"/>
      <c r="AL1" s="13" t="n"/>
      <c r="AM1" s="13" t="n"/>
      <c r="AN1" s="13" t="n"/>
      <c r="AO1" s="13" t="n"/>
      <c r="AP1" s="220" t="n"/>
      <c r="AQ1" s="13" t="n"/>
      <c r="AR1" s="13" t="n"/>
      <c r="AS1" s="13" t="n"/>
      <c r="AT1" s="13" t="n"/>
      <c r="AU1" s="13" t="n"/>
      <c r="AV1" s="13" t="n"/>
      <c r="AW1" s="13" t="n"/>
      <c r="AX1" s="13" t="n"/>
      <c r="AY1" s="13" t="n"/>
      <c r="AZ1" s="13" t="n"/>
      <c r="BA1" s="13" t="n"/>
      <c r="BB1" s="13" t="n"/>
      <c r="BC1" s="13" t="n"/>
      <c r="BD1" s="13" t="n"/>
      <c r="BE1" s="13" t="n"/>
      <c r="BF1" s="13" t="n"/>
      <c r="BG1" s="13" t="n"/>
      <c r="BH1" s="13" t="n"/>
      <c r="BI1" s="13" t="n"/>
    </row>
    <row r="2" hidden="1" s="1181">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103" t="n"/>
      <c r="T2" s="13" t="n"/>
      <c r="U2" s="13" t="n"/>
      <c r="V2" s="13" t="n"/>
      <c r="W2" s="13" t="n"/>
      <c r="X2" s="171" t="n"/>
      <c r="Y2" s="171" t="n"/>
      <c r="Z2" s="13" t="n"/>
      <c r="AA2" s="13" t="n"/>
      <c r="AB2" s="13" t="n"/>
      <c r="AC2" s="13" t="n"/>
      <c r="AD2" s="13" t="n"/>
      <c r="AE2" s="13" t="n"/>
      <c r="AF2" s="13" t="n"/>
      <c r="AG2" s="13" t="n"/>
      <c r="AH2" s="13" t="n"/>
      <c r="AI2" s="13" t="n"/>
      <c r="AJ2" s="13" t="n"/>
      <c r="AK2" s="13" t="n"/>
      <c r="AL2" s="13" t="n"/>
      <c r="AM2" s="13" t="n"/>
      <c r="AN2" s="13" t="n"/>
      <c r="AO2" s="13" t="n"/>
      <c r="AP2" s="220" t="n"/>
      <c r="AQ2" s="13" t="n"/>
      <c r="AR2" s="13" t="n"/>
      <c r="AS2" s="13" t="n"/>
      <c r="AT2" s="13" t="n"/>
      <c r="AU2" s="13" t="n"/>
      <c r="AV2" s="13" t="n"/>
      <c r="AW2" s="13" t="n"/>
      <c r="AX2" s="13" t="n"/>
      <c r="AY2" s="13" t="n"/>
      <c r="AZ2" s="13" t="n"/>
      <c r="BA2" s="13" t="n"/>
      <c r="BB2" s="13" t="n"/>
      <c r="BC2" s="13" t="n"/>
      <c r="BD2" s="13" t="n"/>
      <c r="BE2" s="13" t="n"/>
      <c r="BF2" s="13" t="n"/>
      <c r="BG2" s="13" t="n"/>
      <c r="BH2" s="13" t="n"/>
      <c r="BI2" s="13" t="n"/>
    </row>
    <row r="3" hidden="1" s="1181">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103" t="n"/>
      <c r="T3" s="13" t="n"/>
      <c r="U3" s="13" t="n"/>
      <c r="V3" s="13" t="n"/>
      <c r="W3" s="13" t="n"/>
      <c r="X3" s="171" t="n"/>
      <c r="Y3" s="171" t="n"/>
      <c r="Z3" s="13" t="n"/>
      <c r="AA3" s="13" t="n"/>
      <c r="AB3" s="13" t="n"/>
      <c r="AC3" s="13" t="n"/>
      <c r="AD3" s="13" t="n"/>
      <c r="AE3" s="13" t="n"/>
      <c r="AF3" s="13" t="n"/>
      <c r="AG3" s="13" t="n"/>
      <c r="AH3" s="13" t="n"/>
      <c r="AI3" s="13" t="n"/>
      <c r="AJ3" s="13" t="n"/>
      <c r="AK3" s="13" t="n"/>
      <c r="AL3" s="13" t="n"/>
      <c r="AM3" s="13" t="n"/>
      <c r="AN3" s="13" t="n"/>
      <c r="AO3" s="13" t="n"/>
      <c r="AP3" s="220" t="n"/>
      <c r="AQ3" s="13" t="n"/>
      <c r="AR3" s="13" t="n"/>
      <c r="AS3" s="13" t="n"/>
      <c r="AT3" s="13" t="n"/>
      <c r="AU3" s="13" t="n"/>
      <c r="AV3" s="13" t="n"/>
      <c r="AW3" s="13" t="n"/>
      <c r="AX3" s="13" t="n"/>
      <c r="AY3" s="13" t="n"/>
      <c r="AZ3" s="13" t="n"/>
      <c r="BA3" s="13" t="n"/>
      <c r="BB3" s="13" t="n"/>
      <c r="BC3" s="13" t="n"/>
      <c r="BD3" s="13" t="n"/>
      <c r="BE3" s="13" t="n"/>
      <c r="BF3" s="13" t="n"/>
      <c r="BG3" s="13" t="n"/>
      <c r="BH3" s="13" t="n"/>
      <c r="BI3" s="13" t="n"/>
    </row>
    <row r="4" hidden="1" s="1181">
      <c r="A4" s="175" t="inlineStr">
        <is>
          <t>C</t>
        </is>
      </c>
      <c r="B4" s="176">
        <f>IF(_epmOfflineCondition_,"C_CATEGORY",EPMDimensionType(,A4))</f>
        <v/>
      </c>
      <c r="C4" s="176">
        <f>IF(_epmOfflineCondition_,"C1001",IF(B4="","",EPMContextMember(,B4)))</f>
        <v/>
      </c>
      <c r="D4" s="176">
        <f>IF(_epmOfflineCondition_,"实际数/决算数",EPMMemberDesc(C4))</f>
        <v/>
      </c>
      <c r="E4" s="176" t="n"/>
      <c r="F4" s="13" t="n"/>
      <c r="G4" s="13" t="n"/>
      <c r="H4" s="184" t="inlineStr">
        <is>
          <t>预算年</t>
        </is>
      </c>
      <c r="I4" s="184">
        <f>"V_"&amp;$I$3</f>
        <v/>
      </c>
      <c r="J4" s="184">
        <f>$I$3&amp;".TOTAL"</f>
        <v/>
      </c>
      <c r="K4" s="13" t="n"/>
      <c r="L4" s="13" t="n"/>
      <c r="M4" s="13" t="n"/>
      <c r="N4" s="13" t="n"/>
      <c r="O4" s="13" t="n"/>
      <c r="P4" s="13" t="n"/>
      <c r="Q4" s="13" t="n"/>
      <c r="R4" s="13" t="n"/>
      <c r="S4" s="1103" t="n"/>
      <c r="T4" s="13" t="n"/>
      <c r="U4" s="13" t="n"/>
      <c r="V4" s="13" t="n"/>
      <c r="W4" s="13" t="n"/>
      <c r="X4" s="171" t="n"/>
      <c r="Y4" s="171" t="n"/>
      <c r="Z4" s="13" t="n"/>
      <c r="AA4" s="13" t="n"/>
      <c r="AB4" s="13" t="n"/>
      <c r="AC4" s="13" t="n"/>
      <c r="AD4" s="13" t="n"/>
      <c r="AE4" s="13" t="n"/>
      <c r="AF4" s="13" t="n"/>
      <c r="AG4" s="13" t="n"/>
      <c r="AH4" s="13" t="n"/>
      <c r="AI4" s="13" t="n"/>
      <c r="AJ4" s="13" t="n"/>
      <c r="AK4" s="13" t="n"/>
      <c r="AL4" s="13" t="n"/>
      <c r="AM4" s="13" t="n"/>
      <c r="AN4" s="13" t="n"/>
      <c r="AO4" s="13" t="n"/>
      <c r="AP4" s="220" t="n"/>
      <c r="AQ4" s="13" t="n"/>
      <c r="AR4" s="13" t="n"/>
      <c r="AS4" s="13" t="n"/>
      <c r="AT4" s="13" t="n"/>
      <c r="AU4" s="13" t="n"/>
      <c r="AV4" s="13" t="n"/>
      <c r="AW4" s="13" t="n"/>
      <c r="AX4" s="13" t="n"/>
      <c r="AY4" s="13" t="n"/>
      <c r="AZ4" s="13" t="n"/>
      <c r="BA4" s="13" t="n"/>
      <c r="BB4" s="13" t="n"/>
      <c r="BC4" s="13" t="n"/>
      <c r="BD4" s="13" t="n"/>
      <c r="BE4" s="13" t="n"/>
      <c r="BF4" s="13" t="n"/>
      <c r="BG4" s="13" t="n"/>
      <c r="BH4" s="13" t="n"/>
      <c r="BI4" s="13" t="n"/>
    </row>
    <row r="5" hidden="1" s="1181">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13" t="n"/>
      <c r="V5" s="13" t="n"/>
      <c r="W5" s="13" t="n"/>
      <c r="X5" s="171" t="n"/>
      <c r="Y5" s="171" t="n"/>
      <c r="Z5" s="13" t="n"/>
      <c r="AA5" s="13" t="n"/>
      <c r="AB5" s="13" t="n"/>
      <c r="AC5" s="13" t="n"/>
      <c r="AD5" s="13" t="n"/>
      <c r="AE5" s="13" t="n"/>
      <c r="AF5" s="13" t="n"/>
      <c r="AG5" s="13" t="n"/>
      <c r="AH5" s="13" t="n"/>
      <c r="AI5" s="13" t="n"/>
      <c r="AJ5" s="13" t="n"/>
      <c r="AK5" s="13" t="n"/>
      <c r="AL5" s="13" t="n"/>
      <c r="AM5" s="13" t="n"/>
      <c r="AN5" s="13" t="n"/>
      <c r="AO5" s="13" t="n"/>
      <c r="AP5" s="220" t="n"/>
      <c r="AQ5" s="13" t="n"/>
      <c r="AR5" s="13" t="n"/>
      <c r="AS5" s="13" t="n"/>
      <c r="AT5" s="13" t="n"/>
      <c r="AU5" s="13" t="n"/>
      <c r="AV5" s="13" t="n"/>
      <c r="AW5" s="13" t="n"/>
      <c r="AX5" s="13" t="n"/>
      <c r="AY5" s="13" t="n"/>
      <c r="AZ5" s="13" t="n"/>
      <c r="BA5" s="13" t="n"/>
      <c r="BB5" s="13" t="n"/>
      <c r="BC5" s="13" t="n"/>
      <c r="BD5" s="13" t="n"/>
      <c r="BE5" s="13" t="n"/>
      <c r="BF5" s="13" t="n"/>
      <c r="BG5" s="13" t="n"/>
      <c r="BH5" s="13" t="n"/>
      <c r="BI5" s="13" t="n"/>
    </row>
    <row r="6" hidden="1" s="1181">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103" t="n"/>
      <c r="T6" s="13" t="n"/>
      <c r="U6" s="13" t="n"/>
      <c r="V6" s="13" t="n"/>
      <c r="W6" s="13" t="n"/>
      <c r="X6" s="171" t="n"/>
      <c r="Y6" s="171" t="n"/>
      <c r="Z6" s="13" t="n"/>
      <c r="AA6" s="13" t="n"/>
      <c r="AB6" s="13" t="n"/>
      <c r="AC6" s="13" t="n"/>
      <c r="AD6" s="13" t="n"/>
      <c r="AE6" s="13" t="n"/>
      <c r="AF6" s="13" t="n"/>
      <c r="AG6" s="13" t="n"/>
      <c r="AH6" s="13" t="n"/>
      <c r="AI6" s="13" t="n"/>
      <c r="AJ6" s="13" t="n"/>
      <c r="AK6" s="13" t="n"/>
      <c r="AL6" s="13" t="n"/>
      <c r="AM6" s="13" t="n"/>
      <c r="AN6" s="13" t="n"/>
      <c r="AO6" s="13" t="n"/>
      <c r="AP6" s="220" t="n"/>
      <c r="AQ6" s="13" t="n"/>
      <c r="AR6" s="13" t="n"/>
      <c r="AS6" s="13" t="n"/>
      <c r="AT6" s="13" t="n"/>
      <c r="AU6" s="13" t="n"/>
      <c r="AV6" s="13" t="n"/>
      <c r="AW6" s="13" t="n"/>
      <c r="AX6" s="13" t="n"/>
      <c r="AY6" s="13" t="n"/>
      <c r="AZ6" s="13" t="n"/>
      <c r="BA6" s="13" t="n"/>
      <c r="BB6" s="13" t="n"/>
      <c r="BC6" s="13" t="n"/>
      <c r="BD6" s="13" t="n"/>
      <c r="BE6" s="13" t="n"/>
      <c r="BF6" s="13" t="n"/>
      <c r="BG6" s="13" t="n"/>
      <c r="BH6" s="13" t="n"/>
      <c r="BI6" s="13" t="n"/>
    </row>
    <row r="7" hidden="1" s="1181">
      <c r="A7" s="175" t="inlineStr">
        <is>
          <t>R</t>
        </is>
      </c>
      <c r="B7" s="176">
        <f>IF(_epmOfflineCondition_,"C_RPTCURRENCY",EPMDimensionType(,A7))</f>
        <v/>
      </c>
      <c r="C7" s="176">
        <f>IF(_epmOfflineCondition_,"LC",IF(B7="","",EPMContextMember(,B7)))</f>
        <v/>
      </c>
      <c r="D7" s="176">
        <f>IF(_epmOfflineCondition_,"本位币",EPMMemberDesc(C7))</f>
        <v/>
      </c>
      <c r="E7" s="176" t="n"/>
      <c r="F7" s="13" t="n"/>
      <c r="G7" s="13" t="n"/>
      <c r="H7" s="13" t="n"/>
      <c r="I7" s="13" t="n"/>
      <c r="J7" s="13" t="n"/>
      <c r="K7" s="13" t="n"/>
      <c r="L7" s="13" t="n"/>
      <c r="M7" s="13" t="n"/>
      <c r="N7" s="13" t="n"/>
      <c r="O7" s="13" t="n"/>
      <c r="P7" s="13" t="n"/>
      <c r="Q7" s="13" t="n"/>
      <c r="R7" s="13" t="n"/>
      <c r="S7" s="1103" t="n"/>
      <c r="T7" s="13" t="n"/>
      <c r="U7" s="13" t="n"/>
      <c r="V7" s="13" t="n"/>
      <c r="W7" s="13" t="n"/>
      <c r="X7" s="171" t="n"/>
      <c r="Y7" s="171" t="n"/>
      <c r="Z7" s="13" t="n"/>
      <c r="AA7" s="13" t="n"/>
      <c r="AB7" s="13" t="n"/>
      <c r="AC7" s="13" t="n"/>
      <c r="AD7" s="13" t="n"/>
      <c r="AE7" s="13" t="n"/>
      <c r="AF7" s="13" t="n"/>
      <c r="AG7" s="13" t="n"/>
      <c r="AH7" s="13" t="n"/>
      <c r="AI7" s="13" t="n"/>
      <c r="AJ7" s="13" t="n"/>
      <c r="AK7" s="13" t="n"/>
      <c r="AL7" s="13" t="n"/>
      <c r="AM7" s="13" t="n"/>
      <c r="AN7" s="13" t="n"/>
      <c r="AO7" s="13" t="n"/>
      <c r="AP7" s="220" t="n"/>
      <c r="AQ7" s="13" t="n"/>
      <c r="AR7" s="13" t="n"/>
      <c r="AS7" s="13" t="n"/>
      <c r="AT7" s="13" t="n"/>
      <c r="AU7" s="13" t="n"/>
      <c r="AV7" s="13" t="n"/>
      <c r="AW7" s="13" t="n"/>
      <c r="AX7" s="13" t="n"/>
      <c r="AY7" s="13" t="n"/>
      <c r="AZ7" s="13" t="n"/>
      <c r="BA7" s="13" t="n"/>
      <c r="BB7" s="13" t="n"/>
      <c r="BC7" s="13" t="n"/>
      <c r="BD7" s="13" t="n"/>
      <c r="BE7" s="13" t="n"/>
      <c r="BF7" s="13" t="n"/>
      <c r="BG7" s="13" t="n"/>
      <c r="BH7" s="13" t="n"/>
      <c r="BI7" s="13" t="n"/>
    </row>
    <row r="8" hidden="1" s="1181">
      <c r="A8" s="175" t="inlineStr">
        <is>
          <t>D</t>
        </is>
      </c>
      <c r="B8" s="176">
        <f>IF(_epmOfflineCondition_,"C_AUDITTRAIL",EPMDimensionType(,A8))</f>
        <v/>
      </c>
      <c r="C8" s="176">
        <f>IF(_epmOfflineCondition_,"DTOTAL",IF(B8="","",EPMContextMember(,B8)))</f>
        <v/>
      </c>
      <c r="D8" s="176">
        <f>IF(_epmOfflineCondition_,"全部审计线索",EPMMemberDesc(C8))</f>
        <v/>
      </c>
      <c r="E8" s="176" t="n"/>
      <c r="F8" s="13" t="n"/>
      <c r="G8" s="13" t="n"/>
      <c r="H8" s="184" t="inlineStr">
        <is>
          <t>本月</t>
        </is>
      </c>
      <c r="I8" s="184">
        <f>IF(_epmOfflineCondition_,"03",RIGHT("0"&amp;EPMMemberProperty(,EPMContextMember(,"C_TIME"),"MONTHNUM"),2))</f>
        <v/>
      </c>
      <c r="J8" s="13" t="n"/>
      <c r="K8" s="13" t="n"/>
      <c r="L8" s="13" t="n"/>
      <c r="M8" s="13" t="n"/>
      <c r="N8" s="13" t="n"/>
      <c r="O8" s="13" t="n"/>
      <c r="P8" s="13" t="n"/>
      <c r="Q8" s="13" t="n"/>
      <c r="R8" s="13" t="n"/>
      <c r="S8" s="1103" t="n"/>
      <c r="T8" s="13" t="n"/>
      <c r="U8" s="13" t="n"/>
      <c r="V8" s="13" t="n"/>
      <c r="W8" s="13" t="n"/>
      <c r="X8" s="171" t="n"/>
      <c r="Y8" s="171" t="n"/>
      <c r="Z8" s="13" t="n"/>
      <c r="AA8" s="13" t="n"/>
      <c r="AB8" s="13" t="n"/>
      <c r="AC8" s="13" t="n"/>
      <c r="AD8" s="13" t="n"/>
      <c r="AE8" s="13" t="n"/>
      <c r="AF8" s="13" t="n"/>
      <c r="AG8" s="13" t="n"/>
      <c r="AH8" s="13" t="n"/>
      <c r="AI8" s="13" t="n"/>
      <c r="AJ8" s="13" t="n"/>
      <c r="AK8" s="13" t="n"/>
      <c r="AL8" s="13" t="n"/>
      <c r="AM8" s="13" t="n"/>
      <c r="AN8" s="13" t="n"/>
      <c r="AO8" s="13" t="n"/>
      <c r="AP8" s="220" t="n"/>
      <c r="AQ8" s="13" t="n"/>
      <c r="AR8" s="13" t="n"/>
      <c r="AS8" s="13" t="n"/>
      <c r="AT8" s="13" t="n"/>
      <c r="AU8" s="13" t="n"/>
      <c r="AV8" s="13" t="n"/>
      <c r="AW8" s="13" t="n"/>
      <c r="AX8" s="13" t="n"/>
      <c r="AY8" s="13" t="n"/>
      <c r="AZ8" s="13" t="n"/>
      <c r="BA8" s="13" t="n"/>
      <c r="BB8" s="13" t="n"/>
      <c r="BC8" s="13" t="n"/>
      <c r="BD8" s="13" t="n"/>
      <c r="BE8" s="13" t="n"/>
      <c r="BF8" s="13" t="n"/>
      <c r="BG8" s="13" t="n"/>
      <c r="BH8" s="13" t="n"/>
      <c r="BI8" s="13" t="n"/>
    </row>
    <row r="9" hidden="1" s="1181">
      <c r="A9" s="175" t="inlineStr">
        <is>
          <t>S</t>
        </is>
      </c>
      <c r="B9" s="176">
        <f>IF(_epmOfflineCondition_,"C_FLOW",EPMDimensionType(,A9))</f>
        <v/>
      </c>
      <c r="C9" s="176">
        <f>IF(_epmOfflineCondition_,"FTOTAL",IF(B9="","",EPMContextMember(,B9)))</f>
        <v/>
      </c>
      <c r="D9" s="176">
        <f>IF(_epmOfflineCondition_,"全部变动",EPMMemberDesc(C9))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13" t="n"/>
      <c r="V9" s="13" t="n"/>
      <c r="W9" s="13" t="n"/>
      <c r="X9" s="171" t="n"/>
      <c r="Y9" s="171" t="n"/>
      <c r="Z9" s="13" t="n"/>
      <c r="AA9" s="13" t="n"/>
      <c r="AB9" s="13" t="n"/>
      <c r="AC9" s="13" t="n"/>
      <c r="AD9" s="13" t="n"/>
      <c r="AE9" s="13" t="n"/>
      <c r="AF9" s="13" t="n"/>
      <c r="AG9" s="13" t="n"/>
      <c r="AH9" s="13" t="n"/>
      <c r="AI9" s="13" t="n"/>
      <c r="AJ9" s="13" t="n"/>
      <c r="AK9" s="13" t="n"/>
      <c r="AL9" s="13" t="n"/>
      <c r="AM9" s="13" t="n"/>
      <c r="AN9" s="13" t="n"/>
      <c r="AO9" s="13" t="n"/>
      <c r="AP9" s="220" t="n"/>
      <c r="AQ9" s="13" t="n"/>
      <c r="AR9" s="13" t="n"/>
      <c r="AS9" s="13" t="n"/>
      <c r="AT9" s="13" t="n"/>
      <c r="AU9" s="13" t="n"/>
      <c r="AV9" s="13" t="n"/>
      <c r="AW9" s="13" t="n"/>
      <c r="AX9" s="13" t="n"/>
      <c r="AY9" s="13" t="n"/>
      <c r="AZ9" s="13" t="n"/>
      <c r="BA9" s="13" t="n"/>
      <c r="BB9" s="13" t="n"/>
      <c r="BC9" s="13" t="n"/>
      <c r="BD9" s="13" t="n"/>
      <c r="BE9" s="13" t="n"/>
      <c r="BF9" s="13" t="n"/>
      <c r="BG9" s="13" t="n"/>
      <c r="BH9" s="13" t="n"/>
      <c r="BI9" s="13" t="n"/>
    </row>
    <row r="10" hidden="1" s="1181">
      <c r="A10" s="175" t="inlineStr">
        <is>
          <t>I</t>
        </is>
      </c>
      <c r="B10" s="176">
        <f>IF(_epmOfflineCondition_,"C_INTERCO",EPMDimensionType(,A10))</f>
        <v/>
      </c>
      <c r="C10" s="176">
        <f>IF(_epmOfflineCondition_,"I_ALL",IF(B10="","",EPMContextMember(,B10)))</f>
        <v/>
      </c>
      <c r="D10" s="176">
        <f>IF(_epmOfflineCondition_,"全部贸易伙伴",EPMMemberDesc(C10))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13" t="n"/>
      <c r="V10" s="13" t="n"/>
      <c r="W10" s="13" t="n"/>
      <c r="X10" s="171" t="n"/>
      <c r="Y10" s="171" t="n"/>
      <c r="Z10" s="13" t="n"/>
      <c r="AA10" s="13" t="n"/>
      <c r="AB10" s="13" t="n"/>
      <c r="AC10" s="13" t="n"/>
      <c r="AD10" s="13" t="n"/>
      <c r="AE10" s="13" t="n"/>
      <c r="AF10" s="13" t="n"/>
      <c r="AG10" s="13" t="n"/>
      <c r="AH10" s="13" t="n"/>
      <c r="AI10" s="13" t="n"/>
      <c r="AJ10" s="13" t="n"/>
      <c r="AK10" s="13" t="n"/>
      <c r="AL10" s="13" t="n"/>
      <c r="AM10" s="13" t="n"/>
      <c r="AN10" s="13" t="n"/>
      <c r="AO10" s="13" t="n"/>
      <c r="AP10" s="220" t="n"/>
      <c r="AQ10" s="13" t="n"/>
      <c r="AR10" s="13" t="n"/>
      <c r="AS10" s="13" t="n"/>
      <c r="AT10" s="13" t="n"/>
      <c r="AU10" s="13" t="n"/>
      <c r="AV10" s="13" t="n"/>
      <c r="AW10" s="13" t="n"/>
      <c r="AX10" s="13" t="n"/>
      <c r="AY10" s="13" t="n"/>
      <c r="AZ10" s="13" t="n"/>
      <c r="BA10" s="13" t="n"/>
      <c r="BB10" s="13" t="n"/>
      <c r="BC10" s="13" t="n"/>
      <c r="BD10" s="13" t="n"/>
      <c r="BE10" s="13" t="n"/>
      <c r="BF10" s="13" t="n"/>
      <c r="BG10" s="13" t="n"/>
      <c r="BH10" s="13" t="n"/>
      <c r="BI10" s="13" t="n"/>
    </row>
    <row r="11" hidden="1" s="1181">
      <c r="A11" s="175" t="inlineStr">
        <is>
          <t>G</t>
        </is>
      </c>
      <c r="B11" s="176">
        <f>IF(_epmOfflineCondition_,"C_SCOPE",EPMDimensionType(,A11))</f>
        <v/>
      </c>
      <c r="C11" s="176">
        <f>IF(_epmOfflineCondition_,"G_DUMMY",IF(B11="","",EPMContextMember(,B11)))</f>
        <v/>
      </c>
      <c r="D11" s="176">
        <f>IF(_epmOfflineCondition_,"合并范围无关",EPMMemberDesc(C11))</f>
        <v/>
      </c>
      <c r="E11" s="176" t="n"/>
      <c r="F11" s="13" t="n"/>
      <c r="G11" s="13" t="n"/>
      <c r="H11" s="184" t="inlineStr">
        <is>
          <t xml:space="preserve">本年月 </t>
        </is>
      </c>
      <c r="I11" s="184">
        <f>I3&amp;"."&amp;I8</f>
        <v/>
      </c>
      <c r="J11" s="13" t="n"/>
      <c r="K11" s="13" t="n"/>
      <c r="L11" s="13" t="n"/>
      <c r="M11" s="13" t="n"/>
      <c r="N11" s="13" t="n"/>
      <c r="O11" s="13" t="n"/>
      <c r="P11" s="13" t="n"/>
      <c r="Q11" s="13" t="n"/>
      <c r="R11" s="13" t="n"/>
      <c r="S11" s="1103" t="n"/>
      <c r="T11" s="13" t="n"/>
      <c r="U11" s="13" t="n"/>
      <c r="V11" s="13" t="n"/>
      <c r="W11" s="13" t="n"/>
      <c r="X11" s="171" t="n"/>
      <c r="Y11" s="171" t="n"/>
      <c r="Z11" s="13" t="n"/>
      <c r="AA11" s="13" t="n"/>
      <c r="AB11" s="13" t="n"/>
      <c r="AC11" s="13" t="n"/>
      <c r="AD11" s="13" t="n"/>
      <c r="AE11" s="13" t="n"/>
      <c r="AF11" s="13" t="n"/>
      <c r="AG11" s="13" t="n"/>
      <c r="AH11" s="13" t="n"/>
      <c r="AI11" s="13" t="n"/>
      <c r="AJ11" s="13" t="n"/>
      <c r="AK11" s="13" t="n"/>
      <c r="AL11" s="13" t="n"/>
      <c r="AM11" s="13" t="n"/>
      <c r="AN11" s="13" t="n"/>
      <c r="AO11" s="13" t="n"/>
      <c r="AP11" s="220" t="n"/>
      <c r="AQ11" s="13" t="n"/>
      <c r="AR11" s="13" t="n"/>
      <c r="AS11" s="13" t="n"/>
      <c r="AT11" s="13" t="n"/>
      <c r="AU11" s="13" t="n"/>
      <c r="AV11" s="13" t="n"/>
      <c r="AW11" s="13" t="n"/>
      <c r="AX11" s="13" t="n"/>
      <c r="AY11" s="13" t="n"/>
      <c r="AZ11" s="13" t="n"/>
      <c r="BA11" s="13" t="n"/>
      <c r="BB11" s="13" t="n"/>
      <c r="BC11" s="13" t="n"/>
      <c r="BD11" s="13" t="n"/>
      <c r="BE11" s="13" t="n"/>
      <c r="BF11" s="13" t="n"/>
      <c r="BG11" s="13" t="n"/>
      <c r="BH11" s="13" t="n"/>
      <c r="BI11" s="13" t="n"/>
    </row>
    <row r="12" hidden="1" s="1181">
      <c r="A12" s="175" t="inlineStr">
        <is>
          <t>U8</t>
        </is>
      </c>
      <c r="B12" s="176">
        <f>IF(_epmOfflineCondition_,"C_PROJECT",EPMDimensionType(,A12))</f>
        <v/>
      </c>
      <c r="C12" s="176">
        <f>IF(_epmOfflineCondition_,"ZP_ALL",IF(B12="","",EPMContextMember(,B12)))</f>
        <v/>
      </c>
      <c r="D12" s="176">
        <f>IF(_epmOfflineCondition_,"项目合计",EPMMemberDesc(C12))</f>
        <v/>
      </c>
      <c r="E12" s="176" t="n"/>
      <c r="F12" s="13" t="n"/>
      <c r="G12" s="13" t="n"/>
      <c r="H12" s="184" t="inlineStr">
        <is>
          <t>上年月</t>
        </is>
      </c>
      <c r="I12" s="184">
        <f>IF(I8="01",I10&amp;"."&amp;I9,I3&amp;"."&amp;I9)</f>
        <v/>
      </c>
      <c r="J12" s="13" t="n"/>
      <c r="K12" s="13" t="n"/>
      <c r="L12" s="13" t="n"/>
      <c r="M12" s="13" t="n"/>
      <c r="N12" s="13" t="n"/>
      <c r="O12" s="13" t="n"/>
      <c r="P12" s="13" t="n"/>
      <c r="Q12" s="13" t="n"/>
      <c r="R12" s="13" t="n"/>
      <c r="S12" s="1103" t="n"/>
      <c r="T12" s="13" t="n"/>
      <c r="U12" s="13" t="n"/>
      <c r="V12" s="13" t="n"/>
      <c r="W12" s="13" t="n"/>
      <c r="X12" s="171" t="n"/>
      <c r="Y12" s="171" t="n"/>
      <c r="Z12" s="13" t="n"/>
      <c r="AA12" s="13" t="n"/>
      <c r="AB12" s="13" t="n"/>
      <c r="AC12" s="13" t="n"/>
      <c r="AD12" s="13" t="n"/>
      <c r="AE12" s="13" t="n"/>
      <c r="AF12" s="13" t="n"/>
      <c r="AG12" s="13" t="n"/>
      <c r="AH12" s="13" t="n"/>
      <c r="AI12" s="13" t="n"/>
      <c r="AJ12" s="13" t="n"/>
      <c r="AK12" s="13" t="n"/>
      <c r="AL12" s="13" t="n"/>
      <c r="AM12" s="13" t="n"/>
      <c r="AN12" s="13" t="n"/>
      <c r="AO12" s="13" t="n"/>
      <c r="AP12" s="220" t="n"/>
      <c r="AQ12" s="13" t="n"/>
      <c r="AR12" s="13" t="n"/>
      <c r="AS12" s="13" t="n"/>
      <c r="AT12" s="13" t="n"/>
      <c r="AU12" s="13" t="n"/>
      <c r="AV12" s="13" t="n"/>
      <c r="AW12" s="13" t="n"/>
      <c r="AX12" s="13" t="n"/>
      <c r="AY12" s="13" t="n"/>
      <c r="AZ12" s="13" t="n"/>
      <c r="BA12" s="13" t="n"/>
      <c r="BB12" s="13" t="n"/>
      <c r="BC12" s="13" t="n"/>
      <c r="BD12" s="13" t="n"/>
      <c r="BE12" s="13" t="n"/>
      <c r="BF12" s="13" t="n"/>
      <c r="BG12" s="13" t="n"/>
      <c r="BH12" s="13" t="n"/>
      <c r="BI12" s="13" t="n"/>
    </row>
    <row r="13" hidden="1" s="1181">
      <c r="A13" s="175" t="inlineStr">
        <is>
          <t>U9</t>
        </is>
      </c>
      <c r="B13" s="176">
        <f>IF(_epmOfflineCondition_,"C_ITEM",EPMDimensionType(,A13))</f>
        <v/>
      </c>
      <c r="C13" s="176">
        <f>IF(_epmOfflineCondition_,"ZI_ALL",IF(B13="","",EPMContextMember(,B13)))</f>
        <v/>
      </c>
      <c r="D13" s="176">
        <f>IF(_epmOfflineCondition_,"全部ITEM",EPMMemberDesc(C13))</f>
        <v/>
      </c>
      <c r="E13" s="176" t="n"/>
      <c r="F13" s="13" t="n"/>
      <c r="G13" s="13" t="n"/>
      <c r="H13" s="184" t="inlineStr">
        <is>
          <t xml:space="preserve">上年同期 </t>
        </is>
      </c>
      <c r="I13" s="184">
        <f>I10&amp;"."&amp;I8</f>
        <v/>
      </c>
      <c r="J13" s="13" t="n"/>
      <c r="K13" s="13" t="n"/>
      <c r="L13" s="13" t="n"/>
      <c r="M13" s="13" t="n"/>
      <c r="N13" s="13" t="n"/>
      <c r="O13" s="13" t="n"/>
      <c r="P13" s="13" t="n"/>
      <c r="Q13" s="13" t="n"/>
      <c r="R13" s="13" t="n"/>
      <c r="S13" s="1103" t="n"/>
      <c r="T13" s="13" t="n"/>
      <c r="U13" s="13" t="n"/>
      <c r="V13" s="13" t="n"/>
      <c r="W13" s="13" t="n"/>
      <c r="X13" s="171" t="n"/>
      <c r="Y13" s="171" t="n"/>
      <c r="Z13" s="13" t="n"/>
      <c r="AA13" s="13" t="n"/>
      <c r="AB13" s="13" t="n"/>
      <c r="AC13" s="13" t="n"/>
      <c r="AD13" s="13" t="n"/>
      <c r="AE13" s="13" t="n"/>
      <c r="AF13" s="13" t="n"/>
      <c r="AG13" s="13" t="n"/>
      <c r="AH13" s="13" t="n"/>
      <c r="AI13" s="13" t="n"/>
      <c r="AJ13" s="13" t="n"/>
      <c r="AK13" s="13" t="n"/>
      <c r="AL13" s="13" t="n"/>
      <c r="AM13" s="13" t="n"/>
      <c r="AN13" s="13" t="n"/>
      <c r="AO13" s="13" t="n"/>
      <c r="AP13" s="220" t="n"/>
      <c r="AQ13" s="13" t="n"/>
      <c r="AR13" s="13" t="n"/>
      <c r="AS13" s="13" t="n"/>
      <c r="AT13" s="13" t="n"/>
      <c r="AU13" s="13" t="n"/>
      <c r="AV13" s="13" t="n"/>
      <c r="AW13" s="13" t="n"/>
      <c r="AX13" s="13" t="n"/>
      <c r="AY13" s="13" t="n"/>
      <c r="AZ13" s="13" t="n"/>
      <c r="BA13" s="13" t="n"/>
      <c r="BB13" s="13" t="n"/>
      <c r="BC13" s="13" t="n"/>
      <c r="BD13" s="13" t="n"/>
      <c r="BE13" s="13" t="n"/>
      <c r="BF13" s="13" t="n"/>
      <c r="BG13" s="13" t="n"/>
      <c r="BH13" s="13" t="n"/>
      <c r="BI13" s="13" t="n"/>
    </row>
    <row r="14" hidden="1" s="1181">
      <c r="A14" s="175" t="inlineStr">
        <is>
          <t>U10</t>
        </is>
      </c>
      <c r="B14" s="176">
        <f>IF(_epmOfflineCondition_,"C_MISK",EPMDimensionType(,A14))</f>
        <v/>
      </c>
      <c r="C14" s="176">
        <f>IF(_epmOfflineCondition_,"ZM_ALL",IF(B14="","",EPMContextMember(,B14)))</f>
        <v/>
      </c>
      <c r="D14" s="176">
        <f>IF(_epmOfflineCondition_,"ALL",EPMMemberDesc(C14))</f>
        <v/>
      </c>
      <c r="E14" s="176" t="n"/>
      <c r="F14" s="13" t="n"/>
      <c r="G14" s="13" t="n"/>
      <c r="H14" s="13" t="n"/>
      <c r="I14" s="13" t="n"/>
      <c r="J14" s="13" t="n"/>
      <c r="K14" s="13" t="n"/>
      <c r="L14" s="13" t="n"/>
      <c r="M14" s="13" t="n"/>
      <c r="N14" s="13" t="n"/>
      <c r="O14" s="13" t="n"/>
      <c r="P14" s="13" t="n"/>
      <c r="Q14" s="13" t="n"/>
      <c r="R14" s="13" t="n"/>
      <c r="S14" s="1103" t="n"/>
      <c r="T14" s="13" t="n"/>
      <c r="U14" s="13" t="n"/>
      <c r="V14" s="13" t="n"/>
      <c r="W14" s="13" t="n"/>
      <c r="X14" s="171" t="n"/>
      <c r="Y14" s="171" t="n"/>
      <c r="Z14" s="13" t="n"/>
      <c r="AA14" s="13" t="n"/>
      <c r="AB14" s="13" t="n"/>
      <c r="AC14" s="13" t="n"/>
      <c r="AD14" s="13" t="n"/>
      <c r="AE14" s="13" t="n"/>
      <c r="AF14" s="13" t="n"/>
      <c r="AG14" s="13" t="n"/>
      <c r="AH14" s="13" t="n"/>
      <c r="AI14" s="13" t="n"/>
      <c r="AJ14" s="13" t="n"/>
      <c r="AK14" s="13" t="n"/>
      <c r="AL14" s="13" t="n"/>
      <c r="AM14" s="13" t="n"/>
      <c r="AN14" s="13" t="n"/>
      <c r="AO14" s="13" t="n"/>
      <c r="AP14" s="220" t="n"/>
      <c r="AQ14" s="13" t="n"/>
      <c r="AR14" s="13" t="n"/>
      <c r="AS14" s="13" t="n"/>
      <c r="AT14" s="13" t="n"/>
      <c r="AU14" s="13" t="n"/>
      <c r="AV14" s="13" t="n"/>
      <c r="AW14" s="13" t="n"/>
      <c r="AX14" s="13" t="n"/>
      <c r="AY14" s="13" t="n"/>
      <c r="AZ14" s="13" t="n"/>
      <c r="BA14" s="13" t="n"/>
      <c r="BB14" s="13" t="n"/>
      <c r="BC14" s="13" t="n"/>
      <c r="BD14" s="13" t="n"/>
      <c r="BE14" s="13" t="n"/>
      <c r="BF14" s="13" t="n"/>
      <c r="BG14" s="13" t="n"/>
      <c r="BH14" s="13" t="n"/>
      <c r="BI14" s="13" t="n"/>
    </row>
    <row r="15" hidden="1" s="1181">
      <c r="A15" s="13" t="n"/>
      <c r="B15" s="1103" t="n"/>
      <c r="C15" s="1103" t="n"/>
      <c r="D15" s="1103" t="n"/>
      <c r="E15" s="13" t="n"/>
      <c r="F15" s="13" t="n"/>
      <c r="G15" s="13" t="n"/>
      <c r="H15" s="13" t="n"/>
      <c r="I15" s="13" t="n"/>
      <c r="J15" s="13" t="n"/>
      <c r="K15" s="13" t="n"/>
      <c r="L15" s="13" t="n"/>
      <c r="M15" s="13" t="n"/>
      <c r="N15" s="13" t="n"/>
      <c r="O15" s="13" t="n"/>
      <c r="P15" s="13" t="n"/>
      <c r="Q15" s="13" t="n"/>
      <c r="R15" s="13" t="n"/>
      <c r="S15" s="1103" t="n"/>
      <c r="T15" s="13" t="n"/>
      <c r="U15" s="13" t="n"/>
      <c r="V15" s="13" t="n"/>
      <c r="W15" s="13" t="n"/>
      <c r="X15" s="171" t="n"/>
      <c r="Y15" s="171" t="n"/>
      <c r="Z15" s="13" t="n"/>
      <c r="AA15" s="13" t="n"/>
      <c r="AB15" s="13" t="n"/>
      <c r="AC15" s="13" t="n"/>
      <c r="AD15" s="13" t="n"/>
      <c r="AE15" s="13" t="n"/>
      <c r="AF15" s="13" t="n"/>
      <c r="AG15" s="13" t="n"/>
      <c r="AH15" s="13" t="n"/>
      <c r="AI15" s="13" t="n"/>
      <c r="AJ15" s="13" t="n"/>
      <c r="AK15" s="13" t="n"/>
      <c r="AL15" s="13" t="n"/>
      <c r="AM15" s="13" t="n"/>
      <c r="AN15" s="13" t="n"/>
      <c r="AO15" s="13" t="n"/>
      <c r="AP15" s="220" t="n"/>
      <c r="AQ15" s="13" t="n"/>
      <c r="AR15" s="13" t="n"/>
      <c r="AS15" s="13" t="n"/>
      <c r="AT15" s="13" t="n"/>
      <c r="AU15" s="13" t="n"/>
      <c r="AV15" s="13" t="n"/>
      <c r="AW15" s="13" t="n"/>
      <c r="AX15" s="13" t="n"/>
      <c r="AY15" s="13" t="n"/>
      <c r="AZ15" s="13" t="n"/>
      <c r="BA15" s="13" t="n"/>
      <c r="BB15" s="13" t="n"/>
      <c r="BC15" s="13" t="n"/>
      <c r="BD15" s="13" t="n"/>
      <c r="BE15" s="13" t="n"/>
      <c r="BF15" s="13" t="n"/>
      <c r="BG15" s="13" t="n"/>
      <c r="BH15" s="13" t="n"/>
      <c r="BI15" s="13" t="n"/>
    </row>
    <row r="16" hidden="1" s="1181">
      <c r="A16" s="13" t="n"/>
      <c r="B16" s="13" t="n"/>
      <c r="C16" s="13" t="n"/>
      <c r="D16" s="174" t="inlineStr">
        <is>
          <t>页轴</t>
        </is>
      </c>
      <c r="E16" s="1183" t="n"/>
      <c r="F16" s="13" t="n"/>
      <c r="G16" s="13" t="n"/>
      <c r="H16" s="13" t="n"/>
      <c r="I16" s="13" t="n"/>
      <c r="J16" s="13" t="n"/>
      <c r="K16" s="13" t="n"/>
      <c r="L16" s="13" t="n"/>
      <c r="M16" s="13" t="n"/>
      <c r="N16" s="13" t="n"/>
      <c r="O16" s="13" t="n"/>
      <c r="P16" s="13" t="n"/>
      <c r="Q16" s="13" t="n"/>
      <c r="R16" s="13" t="n"/>
      <c r="S16" s="1103" t="n"/>
      <c r="T16" s="13" t="n"/>
      <c r="U16" s="13" t="n"/>
      <c r="V16" s="13" t="n"/>
      <c r="W16" s="13" t="n"/>
      <c r="X16" s="171" t="n"/>
      <c r="Y16" s="171" t="n"/>
      <c r="Z16" s="13" t="n"/>
      <c r="AA16" s="13" t="n"/>
      <c r="AB16" s="13" t="n"/>
      <c r="AC16" s="13" t="n"/>
      <c r="AD16" s="13" t="n"/>
      <c r="AE16" s="13" t="n"/>
      <c r="AF16" s="13" t="n"/>
      <c r="AG16" s="13" t="n"/>
      <c r="AH16" s="13" t="n"/>
      <c r="AI16" s="13" t="n"/>
      <c r="AJ16" s="13" t="n"/>
      <c r="AK16" s="13" t="n"/>
      <c r="AL16" s="13" t="n"/>
      <c r="AM16" s="13" t="n"/>
      <c r="AN16" s="13" t="n"/>
      <c r="AO16" s="13" t="n"/>
      <c r="AP16" s="220" t="n"/>
      <c r="AQ16" s="13" t="n"/>
      <c r="AR16" s="13" t="n"/>
      <c r="AS16" s="13" t="n"/>
      <c r="AT16" s="13" t="n"/>
      <c r="AU16" s="13" t="n"/>
      <c r="AV16" s="13" t="n"/>
      <c r="AW16" s="13" t="n"/>
      <c r="AX16" s="13" t="n"/>
      <c r="AY16" s="13" t="n"/>
      <c r="AZ16" s="13" t="n"/>
      <c r="BA16" s="13" t="n"/>
      <c r="BB16" s="13" t="n"/>
      <c r="BC16" s="13" t="n"/>
      <c r="BD16" s="13" t="n"/>
      <c r="BE16" s="13" t="n"/>
      <c r="BF16" s="13" t="n"/>
      <c r="BG16" s="13" t="n"/>
      <c r="BH16" s="13" t="n"/>
      <c r="BI16" s="13" t="n"/>
    </row>
    <row r="17" hidden="1" s="1181">
      <c r="A17" s="174" t="inlineStr">
        <is>
          <t>维度类型</t>
        </is>
      </c>
      <c r="B17" s="174" t="inlineStr">
        <is>
          <t>维度</t>
        </is>
      </c>
      <c r="C17" s="178" t="inlineStr">
        <is>
          <t>页轴替换</t>
        </is>
      </c>
      <c r="D17" s="174" t="inlineStr">
        <is>
          <t>报表001</t>
        </is>
      </c>
      <c r="E17" s="174" t="inlineStr">
        <is>
          <t>报表002</t>
        </is>
      </c>
      <c r="F17" s="13" t="n"/>
      <c r="G17" s="13" t="n"/>
      <c r="H17" s="13" t="n"/>
      <c r="I17" s="13" t="n"/>
      <c r="J17" s="13" t="n"/>
      <c r="K17" s="13" t="n"/>
      <c r="L17" s="13" t="n"/>
      <c r="M17" s="13" t="n"/>
      <c r="N17" s="13" t="n"/>
      <c r="O17" s="13" t="n"/>
      <c r="P17" s="13" t="n"/>
      <c r="Q17" s="13" t="n"/>
      <c r="R17" s="13" t="n"/>
      <c r="S17" s="1103" t="n"/>
      <c r="T17" s="13" t="n"/>
      <c r="U17" s="13" t="n"/>
      <c r="V17" s="13" t="n"/>
      <c r="W17" s="13" t="n"/>
      <c r="X17" s="171" t="n"/>
      <c r="Y17" s="171" t="n"/>
      <c r="Z17" s="13" t="n"/>
      <c r="AA17" s="13" t="n"/>
      <c r="AB17" s="13" t="n"/>
      <c r="AC17" s="13" t="n"/>
      <c r="AD17" s="13" t="n"/>
      <c r="AE17" s="13" t="n"/>
      <c r="AF17" s="13" t="n"/>
      <c r="AG17" s="13" t="n"/>
      <c r="AH17" s="13" t="n"/>
      <c r="AI17" s="13" t="n"/>
      <c r="AJ17" s="13" t="n"/>
      <c r="AK17" s="13" t="n"/>
      <c r="AL17" s="13" t="n"/>
      <c r="AM17" s="13" t="n"/>
      <c r="AN17" s="13" t="n"/>
      <c r="AO17" s="13" t="n"/>
      <c r="AP17" s="220" t="n"/>
      <c r="AQ17" s="13" t="n"/>
      <c r="AR17" s="13" t="n"/>
      <c r="AS17" s="13" t="n"/>
      <c r="AT17" s="13" t="n"/>
      <c r="AU17" s="13" t="n"/>
      <c r="AV17" s="13" t="n"/>
      <c r="AW17" s="13" t="n"/>
      <c r="AX17" s="13" t="n"/>
      <c r="AY17" s="13" t="n"/>
      <c r="AZ17" s="13" t="n"/>
      <c r="BA17" s="13" t="n"/>
      <c r="BB17" s="13" t="n"/>
      <c r="BC17" s="13" t="n"/>
      <c r="BD17" s="13" t="n"/>
      <c r="BE17" s="13" t="n"/>
      <c r="BF17" s="13" t="n"/>
      <c r="BG17" s="13" t="n"/>
      <c r="BH17" s="13" t="n"/>
      <c r="BI17" s="13" t="n"/>
    </row>
    <row r="18" hidden="1" s="1181">
      <c r="A18" s="175" t="inlineStr">
        <is>
          <t>A</t>
        </is>
      </c>
      <c r="B18" s="176">
        <f>IF(_epmOfflineCondition_,"C_ACCOUNT",EPMDimensionType(,A18))</f>
        <v/>
      </c>
      <c r="C18" s="182" t="inlineStr">
        <is>
          <t>A_NOUSED</t>
        </is>
      </c>
      <c r="D18" s="180" t="n"/>
      <c r="E18" s="180" t="n"/>
      <c r="F18" s="13" t="inlineStr">
        <is>
          <t>页</t>
        </is>
      </c>
      <c r="G18" s="13" t="n"/>
      <c r="H18" s="13" t="n"/>
      <c r="I18" s="13" t="n"/>
      <c r="J18" s="13" t="n"/>
      <c r="K18" s="13" t="n"/>
      <c r="L18" s="13" t="n"/>
      <c r="M18" s="13" t="n"/>
      <c r="N18" s="13" t="n"/>
      <c r="O18" s="13" t="n"/>
      <c r="P18" s="13" t="n"/>
      <c r="Q18" s="13" t="n"/>
      <c r="R18" s="13" t="n"/>
      <c r="S18" s="1103" t="n"/>
      <c r="T18" s="13" t="n"/>
      <c r="U18" s="13" t="n"/>
      <c r="V18" s="13" t="n"/>
      <c r="W18" s="13" t="n"/>
      <c r="X18" s="171" t="n"/>
      <c r="Y18" s="171" t="n"/>
      <c r="Z18" s="13" t="n"/>
      <c r="AA18" s="13" t="n"/>
      <c r="AB18" s="13" t="n"/>
      <c r="AC18" s="13" t="n"/>
      <c r="AD18" s="13" t="n"/>
      <c r="AE18" s="13" t="n"/>
      <c r="AF18" s="13" t="n"/>
      <c r="AG18" s="13" t="n"/>
      <c r="AH18" s="13" t="n"/>
      <c r="AI18" s="13" t="n"/>
      <c r="AJ18" s="13" t="n"/>
      <c r="AK18" s="13" t="n"/>
      <c r="AL18" s="13" t="n"/>
      <c r="AM18" s="13" t="n"/>
      <c r="AN18" s="13" t="n"/>
      <c r="AO18" s="13" t="n"/>
      <c r="AP18" s="220" t="n"/>
      <c r="AQ18" s="13" t="n"/>
      <c r="AR18" s="13" t="n"/>
      <c r="AS18" s="13" t="n"/>
      <c r="AT18" s="13" t="n"/>
      <c r="AU18" s="13" t="n"/>
      <c r="AV18" s="13" t="n"/>
      <c r="AW18" s="13" t="n"/>
      <c r="AX18" s="13" t="n"/>
      <c r="AY18" s="13" t="n"/>
      <c r="AZ18" s="13" t="n"/>
      <c r="BA18" s="13" t="n"/>
      <c r="BB18" s="13" t="n"/>
      <c r="BC18" s="13" t="n"/>
      <c r="BD18" s="13" t="n"/>
      <c r="BE18" s="13" t="n"/>
      <c r="BF18" s="13" t="n"/>
      <c r="BG18" s="13" t="n"/>
      <c r="BH18" s="13" t="n"/>
      <c r="BI18" s="13" t="n"/>
    </row>
    <row r="19" hidden="1" s="1181">
      <c r="A19" s="175" t="inlineStr">
        <is>
          <t>C</t>
        </is>
      </c>
      <c r="B19" s="176">
        <f>IF(_epmOfflineCondition_,"C_CATEGORY",EPMDimensionType(,A19))</f>
        <v/>
      </c>
      <c r="C19" s="182" t="inlineStr">
        <is>
          <t>C1001</t>
        </is>
      </c>
      <c r="D19" s="182">
        <f>IF(_epmOfflineCondition_,"C1001",EPMOlapMemberO(C19,"[C_CATEGORY].[PARENTH1].[C1001]","C1001 - 实际数/决算数","","000"))</f>
        <v/>
      </c>
      <c r="E19" s="180" t="n"/>
      <c r="F19" s="13" t="n"/>
      <c r="G19" s="13" t="n"/>
      <c r="H19" s="13" t="n"/>
      <c r="I19" s="13" t="n"/>
      <c r="J19" s="13" t="n"/>
      <c r="K19" s="13" t="n"/>
      <c r="L19" s="13" t="n"/>
      <c r="M19" s="13" t="n"/>
      <c r="N19" s="13" t="n"/>
      <c r="O19" s="13" t="n"/>
      <c r="P19" s="13" t="n"/>
      <c r="Q19" s="13" t="n"/>
      <c r="R19" s="13" t="n"/>
      <c r="S19" s="1103" t="n"/>
      <c r="T19" s="13" t="n"/>
      <c r="U19" s="13" t="n"/>
      <c r="V19" s="13" t="n"/>
      <c r="W19" s="13" t="n"/>
      <c r="X19" s="171" t="n"/>
      <c r="Y19" s="171" t="n"/>
      <c r="Z19" s="13" t="n"/>
      <c r="AA19" s="13" t="n"/>
      <c r="AB19" s="13" t="n"/>
      <c r="AC19" s="13" t="n"/>
      <c r="AD19" s="13" t="n"/>
      <c r="AE19" s="13" t="n"/>
      <c r="AF19" s="13" t="n"/>
      <c r="AG19" s="13" t="n"/>
      <c r="AH19" s="13" t="n"/>
      <c r="AI19" s="13" t="n"/>
      <c r="AJ19" s="13" t="n"/>
      <c r="AK19" s="13" t="n"/>
      <c r="AL19" s="13" t="n"/>
      <c r="AM19" s="13" t="n"/>
      <c r="AN19" s="13" t="n"/>
      <c r="AO19" s="13" t="n"/>
      <c r="AP19" s="220" t="n"/>
      <c r="AQ19" s="13" t="n"/>
      <c r="AR19" s="13" t="n"/>
      <c r="AS19" s="13" t="n"/>
      <c r="AT19" s="13" t="n"/>
      <c r="AU19" s="13" t="n"/>
      <c r="AV19" s="13" t="n"/>
      <c r="AW19" s="13" t="n"/>
      <c r="AX19" s="13" t="n"/>
      <c r="AY19" s="13" t="n"/>
      <c r="AZ19" s="13" t="n"/>
      <c r="BA19" s="13" t="n"/>
      <c r="BB19" s="13" t="n"/>
      <c r="BC19" s="13" t="n"/>
      <c r="BD19" s="13" t="n"/>
      <c r="BE19" s="13" t="n"/>
      <c r="BF19" s="13" t="n"/>
      <c r="BG19" s="13" t="n"/>
      <c r="BH19" s="13" t="n"/>
      <c r="BI19" s="13" t="n"/>
    </row>
    <row r="20" hidden="1" s="1181">
      <c r="A20" s="175" t="inlineStr">
        <is>
          <t>T</t>
        </is>
      </c>
      <c r="B20" s="176">
        <f>IF(_epmOfflineCondition_,"C_TIME",EPMDimensionType(,A20))</f>
        <v/>
      </c>
      <c r="C20" s="672" t="inlineStr">
        <is>
          <t>T_DUMMY</t>
        </is>
      </c>
      <c r="D20" s="180" t="n"/>
      <c r="E20" s="180" t="n"/>
      <c r="F20" s="13" t="n"/>
      <c r="G20" s="13" t="n"/>
      <c r="H20" s="13" t="n"/>
      <c r="I20" s="13" t="n"/>
      <c r="J20" s="13" t="n"/>
      <c r="K20" s="13" t="n"/>
      <c r="L20" s="13" t="n"/>
      <c r="M20" s="13" t="n"/>
      <c r="N20" s="13" t="n"/>
      <c r="O20" s="13" t="n"/>
      <c r="P20" s="13" t="n"/>
      <c r="Q20" s="13" t="n"/>
      <c r="R20" s="13" t="n"/>
      <c r="S20" s="1103" t="n"/>
      <c r="T20" s="13" t="n"/>
      <c r="U20" s="13" t="n"/>
      <c r="V20" s="13" t="n"/>
      <c r="W20" s="13" t="n"/>
      <c r="X20" s="171" t="n"/>
      <c r="Y20" s="171" t="n"/>
      <c r="Z20" s="13" t="n"/>
      <c r="AA20" s="13" t="n"/>
      <c r="AB20" s="13" t="n"/>
      <c r="AC20" s="13" t="n"/>
      <c r="AD20" s="13" t="n"/>
      <c r="AE20" s="13" t="n"/>
      <c r="AF20" s="13" t="n"/>
      <c r="AG20" s="13" t="n"/>
      <c r="AH20" s="13" t="n"/>
      <c r="AI20" s="13" t="n"/>
      <c r="AJ20" s="13" t="n"/>
      <c r="AK20" s="13" t="n"/>
      <c r="AL20" s="13" t="n"/>
      <c r="AM20" s="13" t="n"/>
      <c r="AN20" s="13" t="n"/>
      <c r="AO20" s="13" t="n"/>
      <c r="AP20" s="220" t="n"/>
      <c r="AQ20" s="13" t="n"/>
      <c r="AR20" s="13" t="n"/>
      <c r="AS20" s="13" t="n"/>
      <c r="AT20" s="13" t="n"/>
      <c r="AU20" s="13" t="n"/>
      <c r="AV20" s="13" t="n"/>
      <c r="AW20" s="13" t="n"/>
      <c r="AX20" s="13" t="n"/>
      <c r="AY20" s="13" t="n"/>
      <c r="AZ20" s="13" t="n"/>
      <c r="BA20" s="13" t="n"/>
      <c r="BB20" s="13" t="n"/>
      <c r="BC20" s="13" t="n"/>
      <c r="BD20" s="13" t="n"/>
      <c r="BE20" s="13" t="n"/>
      <c r="BF20" s="13" t="n"/>
      <c r="BG20" s="13" t="n"/>
      <c r="BH20" s="13" t="n"/>
      <c r="BI20" s="13" t="n"/>
    </row>
    <row r="21" hidden="1" s="1181">
      <c r="A21" s="175" t="inlineStr">
        <is>
          <t>E</t>
        </is>
      </c>
      <c r="B21" s="176">
        <f>IF(_epmOfflineCondition_,"C_ENTITY",EPMDimensionType(,A21))</f>
        <v/>
      </c>
      <c r="C21" s="672">
        <f>IF(_epmOfflineCondition_,"E100787",IF(B21="","",EPMContextMember(,B21)))</f>
        <v/>
      </c>
      <c r="D21" s="182">
        <f>IF(_epmOfflineCondition_,"E100787",EPMOlapMemberO(C21,"[C_ENTITY].[PARENTH1].[E100787]","E100787 - 内蒙古京能苏尼特风力发电有限公司（内蒙古分公司）","","000"))</f>
        <v/>
      </c>
      <c r="E21" s="180" t="n"/>
      <c r="F21" s="13" t="n"/>
      <c r="G21" s="13" t="n"/>
      <c r="H21" s="13" t="n"/>
      <c r="I21" s="13" t="n"/>
      <c r="J21" s="13" t="n"/>
      <c r="K21" s="13" t="n"/>
      <c r="L21" s="13" t="n"/>
      <c r="M21" s="13" t="n"/>
      <c r="N21" s="13" t="n"/>
      <c r="O21" s="13" t="n"/>
      <c r="P21" s="13" t="n"/>
      <c r="Q21" s="13" t="n"/>
      <c r="R21" s="13" t="n"/>
      <c r="S21" s="1103" t="n"/>
      <c r="T21" s="13" t="n"/>
      <c r="U21" s="13" t="n"/>
      <c r="V21" s="13" t="n"/>
      <c r="W21" s="13" t="n"/>
      <c r="X21" s="171" t="n"/>
      <c r="Y21" s="171" t="n"/>
      <c r="Z21" s="13" t="n"/>
      <c r="AA21" s="13" t="n"/>
      <c r="AB21" s="13" t="n"/>
      <c r="AC21" s="13" t="n"/>
      <c r="AD21" s="13" t="n"/>
      <c r="AE21" s="13" t="n"/>
      <c r="AF21" s="13" t="n"/>
      <c r="AG21" s="13" t="n"/>
      <c r="AH21" s="13" t="n"/>
      <c r="AI21" s="13" t="n"/>
      <c r="AJ21" s="13" t="n"/>
      <c r="AK21" s="13" t="n"/>
      <c r="AL21" s="13" t="n"/>
      <c r="AM21" s="13" t="n"/>
      <c r="AN21" s="13" t="n"/>
      <c r="AO21" s="13" t="n"/>
      <c r="AP21" s="220" t="n"/>
      <c r="AQ21" s="13" t="n"/>
      <c r="AR21" s="13" t="n"/>
      <c r="AS21" s="13" t="n"/>
      <c r="AT21" s="13" t="n"/>
      <c r="AU21" s="13" t="n"/>
      <c r="AV21" s="13" t="n"/>
      <c r="AW21" s="13" t="n"/>
      <c r="AX21" s="13" t="n"/>
      <c r="AY21" s="13" t="n"/>
      <c r="AZ21" s="13" t="n"/>
      <c r="BA21" s="13" t="n"/>
      <c r="BB21" s="13" t="n"/>
      <c r="BC21" s="13" t="n"/>
      <c r="BD21" s="13" t="n"/>
      <c r="BE21" s="13" t="n"/>
      <c r="BF21" s="13" t="n"/>
      <c r="BG21" s="13" t="n"/>
      <c r="BH21" s="13" t="n"/>
      <c r="BI21" s="13" t="n"/>
    </row>
    <row r="22" hidden="1" s="1181">
      <c r="A22" s="175" t="inlineStr">
        <is>
          <t>R</t>
        </is>
      </c>
      <c r="B22" s="176">
        <f>IF(_epmOfflineCondition_,"C_RPTCURRENCY",EPMDimensionType(,A22))</f>
        <v/>
      </c>
      <c r="C22" s="672">
        <f>IF(_epmOfflineCondition_,"LC",IF(B22="","",EPMContextMember(,B22)))</f>
        <v/>
      </c>
      <c r="D22" s="180" t="n"/>
      <c r="E22" s="180" t="n"/>
      <c r="F22" s="13" t="inlineStr">
        <is>
          <t>下拉框切换</t>
        </is>
      </c>
      <c r="G22" s="13" t="n"/>
      <c r="H22" s="13" t="n"/>
      <c r="I22" s="13" t="n"/>
      <c r="J22" s="13" t="n"/>
      <c r="K22" s="13" t="n"/>
      <c r="L22" s="13" t="n"/>
      <c r="M22" s="13" t="n"/>
      <c r="N22" s="13" t="n"/>
      <c r="O22" s="13" t="n"/>
      <c r="P22" s="13" t="n"/>
      <c r="Q22" s="13" t="n"/>
      <c r="R22" s="13" t="n"/>
      <c r="S22" s="1103" t="n"/>
      <c r="T22" s="13" t="n"/>
      <c r="U22" s="13" t="n"/>
      <c r="V22" s="13" t="n"/>
      <c r="W22" s="13" t="n"/>
      <c r="X22" s="171" t="n"/>
      <c r="Y22" s="171" t="n"/>
      <c r="Z22" s="13" t="n"/>
      <c r="AA22" s="13" t="n"/>
      <c r="AB22" s="13" t="n"/>
      <c r="AC22" s="13" t="n"/>
      <c r="AD22" s="13" t="n"/>
      <c r="AE22" s="13" t="n"/>
      <c r="AF22" s="13" t="n"/>
      <c r="AG22" s="13" t="n"/>
      <c r="AH22" s="13" t="n"/>
      <c r="AI22" s="13" t="n"/>
      <c r="AJ22" s="13" t="n"/>
      <c r="AK22" s="13" t="n"/>
      <c r="AL22" s="13" t="n"/>
      <c r="AM22" s="13" t="n"/>
      <c r="AN22" s="13" t="n"/>
      <c r="AO22" s="13" t="n"/>
      <c r="AP22" s="220" t="n"/>
      <c r="AQ22" s="13" t="n"/>
      <c r="AR22" s="13" t="n"/>
      <c r="AS22" s="13" t="n"/>
      <c r="AT22" s="13" t="n"/>
      <c r="AU22" s="13" t="n"/>
      <c r="AV22" s="13" t="n"/>
      <c r="AW22" s="13" t="n"/>
      <c r="AX22" s="13" t="n"/>
      <c r="AY22" s="13" t="n"/>
      <c r="AZ22" s="13" t="n"/>
      <c r="BA22" s="13" t="n"/>
      <c r="BB22" s="13" t="n"/>
      <c r="BC22" s="13" t="n"/>
      <c r="BD22" s="13" t="n"/>
      <c r="BE22" s="13" t="n"/>
      <c r="BF22" s="13" t="n"/>
      <c r="BG22" s="13" t="n"/>
      <c r="BH22" s="13" t="n"/>
      <c r="BI22" s="13" t="n"/>
    </row>
    <row r="23" hidden="1" s="1181">
      <c r="A23" s="175" t="inlineStr">
        <is>
          <t>D</t>
        </is>
      </c>
      <c r="B23" s="176">
        <f>IF(_epmOfflineCondition_,"C_AUDITTRAIL",EPMDimensionType(,A23))</f>
        <v/>
      </c>
      <c r="C23" s="672" t="inlineStr">
        <is>
          <t>D1001</t>
        </is>
      </c>
      <c r="D23" s="182" t="n"/>
      <c r="E23" s="180" t="n"/>
      <c r="F23" s="13" t="n"/>
      <c r="G23" s="13" t="n"/>
      <c r="H23" s="13" t="n"/>
      <c r="I23" s="13" t="n"/>
      <c r="J23" s="13" t="n"/>
      <c r="K23" s="13" t="n"/>
      <c r="L23" s="13" t="n"/>
      <c r="M23" s="13" t="n"/>
      <c r="N23" s="13" t="n"/>
      <c r="O23" s="13" t="n"/>
      <c r="P23" s="13" t="n"/>
      <c r="Q23" s="13" t="n"/>
      <c r="R23" s="13" t="n"/>
      <c r="S23" s="1103" t="n"/>
      <c r="T23" s="13" t="n"/>
      <c r="U23" s="13" t="n"/>
      <c r="V23" s="13" t="n"/>
      <c r="W23" s="13" t="n"/>
      <c r="X23" s="171" t="n"/>
      <c r="Y23" s="171" t="n"/>
      <c r="Z23" s="13" t="n"/>
      <c r="AA23" s="13" t="n"/>
      <c r="AB23" s="13" t="n"/>
      <c r="AC23" s="13" t="n"/>
      <c r="AD23" s="13" t="n"/>
      <c r="AE23" s="13" t="n"/>
      <c r="AF23" s="13" t="n"/>
      <c r="AG23" s="13" t="n"/>
      <c r="AH23" s="13" t="n"/>
      <c r="AI23" s="13" t="n"/>
      <c r="AJ23" s="13" t="n"/>
      <c r="AK23" s="13" t="n"/>
      <c r="AL23" s="13" t="n"/>
      <c r="AM23" s="13" t="n"/>
      <c r="AN23" s="13" t="n"/>
      <c r="AO23" s="13" t="n"/>
      <c r="AP23" s="220" t="n"/>
      <c r="AQ23" s="13" t="n"/>
      <c r="AR23" s="13" t="n"/>
      <c r="AS23" s="13" t="n"/>
      <c r="AT23" s="13" t="n"/>
      <c r="AU23" s="13" t="n"/>
      <c r="AV23" s="13" t="n"/>
      <c r="AW23" s="13" t="n"/>
      <c r="AX23" s="13" t="n"/>
      <c r="AY23" s="13" t="n"/>
      <c r="AZ23" s="13" t="n"/>
      <c r="BA23" s="13" t="n"/>
      <c r="BB23" s="13" t="n"/>
      <c r="BC23" s="13" t="n"/>
      <c r="BD23" s="13" t="n"/>
      <c r="BE23" s="13" t="n"/>
      <c r="BF23" s="13" t="n"/>
      <c r="BG23" s="13" t="n"/>
      <c r="BH23" s="13" t="n"/>
      <c r="BI23" s="13" t="n"/>
    </row>
    <row r="24" hidden="1" s="1181">
      <c r="A24" s="175" t="inlineStr">
        <is>
          <t>S</t>
        </is>
      </c>
      <c r="B24" s="176">
        <f>IF(_epmOfflineCondition_,"C_FLOW",EPMDimensionType(,A24))</f>
        <v/>
      </c>
      <c r="C24" s="672" t="inlineStr">
        <is>
          <t>F20</t>
        </is>
      </c>
      <c r="D24" s="182">
        <f>IF(_epmOfflineCondition_,"F20",EPMOlapMemberO(C24,"[C_FLOW].[PARENTH1].[F20]","F20 - 本期增加","","000"))</f>
        <v/>
      </c>
      <c r="E24" s="180" t="n"/>
      <c r="F24" s="13" t="n"/>
      <c r="G24" s="13" t="n"/>
      <c r="H24" s="13" t="n"/>
      <c r="I24" s="13" t="n"/>
      <c r="J24" s="13" t="n"/>
      <c r="K24" s="13" t="n"/>
      <c r="L24" s="13" t="n"/>
      <c r="M24" s="13" t="n"/>
      <c r="N24" s="13" t="n"/>
      <c r="O24" s="13" t="n"/>
      <c r="P24" s="13" t="n"/>
      <c r="Q24" s="13" t="n"/>
      <c r="R24" s="13" t="n"/>
      <c r="S24" s="1103" t="n"/>
      <c r="T24" s="13" t="n"/>
      <c r="U24" s="13" t="n"/>
      <c r="V24" s="13" t="n"/>
      <c r="W24" s="13" t="n"/>
      <c r="X24" s="171" t="n"/>
      <c r="Y24" s="171" t="n"/>
      <c r="Z24" s="13" t="n"/>
      <c r="AA24" s="13" t="n"/>
      <c r="AB24" s="13" t="n"/>
      <c r="AC24" s="13" t="n"/>
      <c r="AD24" s="13" t="n"/>
      <c r="AE24" s="13" t="n"/>
      <c r="AF24" s="13" t="n"/>
      <c r="AG24" s="13" t="n"/>
      <c r="AH24" s="13" t="n"/>
      <c r="AI24" s="13" t="n"/>
      <c r="AJ24" s="13" t="n"/>
      <c r="AK24" s="13" t="n"/>
      <c r="AL24" s="13" t="n"/>
      <c r="AM24" s="13" t="n"/>
      <c r="AN24" s="13" t="n"/>
      <c r="AO24" s="13" t="n"/>
      <c r="AP24" s="220" t="n"/>
      <c r="AQ24" s="13" t="n"/>
      <c r="AR24" s="13" t="n"/>
      <c r="AS24" s="13" t="n"/>
      <c r="AT24" s="13" t="n"/>
      <c r="AU24" s="13" t="n"/>
      <c r="AV24" s="13" t="n"/>
      <c r="AW24" s="13" t="n"/>
      <c r="AX24" s="13" t="n"/>
      <c r="AY24" s="13" t="n"/>
      <c r="AZ24" s="13" t="n"/>
      <c r="BA24" s="13" t="n"/>
      <c r="BB24" s="13" t="n"/>
      <c r="BC24" s="13" t="n"/>
      <c r="BD24" s="13" t="n"/>
      <c r="BE24" s="13" t="n"/>
      <c r="BF24" s="13" t="n"/>
      <c r="BG24" s="13" t="n"/>
      <c r="BH24" s="13" t="n"/>
      <c r="BI24" s="13" t="n"/>
    </row>
    <row r="25" hidden="1" s="1181">
      <c r="A25" s="1064" t="inlineStr">
        <is>
          <t>I</t>
        </is>
      </c>
      <c r="B25" s="1065">
        <f>IF(_epmOfflineCondition_,"C_INTERCO",EPMDimensionType(,A25))</f>
        <v/>
      </c>
      <c r="C25" s="449" t="inlineStr">
        <is>
          <t>I_DUMMY</t>
        </is>
      </c>
      <c r="D25" s="182">
        <f>IF(_epmOfflineCondition_,"I_DUMMY",EPMOlapMemberO(C25,"[C_INTERCO].[PARENTH1].[I_DUMMY]","I_DUMMY - 贸易伙伴无关","","000"))</f>
        <v/>
      </c>
      <c r="E25" s="180" t="n"/>
      <c r="F25" s="13" t="n"/>
      <c r="G25" s="13" t="n"/>
      <c r="H25" s="13" t="n"/>
      <c r="I25" s="13" t="n"/>
      <c r="J25" s="13" t="n"/>
      <c r="K25" s="13" t="n"/>
      <c r="L25" s="13" t="n"/>
      <c r="M25" s="13" t="n"/>
      <c r="N25" s="13" t="n"/>
      <c r="O25" s="13" t="n"/>
      <c r="P25" s="13" t="n"/>
      <c r="Q25" s="13" t="n"/>
      <c r="R25" s="13" t="n"/>
      <c r="S25" s="1103" t="n"/>
      <c r="T25" s="13" t="n"/>
      <c r="U25" s="13" t="n"/>
      <c r="V25" s="13" t="n"/>
      <c r="W25" s="13" t="n"/>
      <c r="X25" s="171" t="n"/>
      <c r="Y25" s="200" t="inlineStr">
        <is>
          <t>CATEGORY</t>
        </is>
      </c>
      <c r="Z25" s="200" t="inlineStr">
        <is>
          <t>C1001</t>
        </is>
      </c>
      <c r="AA25" s="200" t="inlineStr">
        <is>
          <t>C1001</t>
        </is>
      </c>
      <c r="AB25" s="200" t="inlineStr">
        <is>
          <t>C1001</t>
        </is>
      </c>
      <c r="AC25" s="200" t="inlineStr">
        <is>
          <t>C1001</t>
        </is>
      </c>
      <c r="AD25" s="200" t="inlineStr">
        <is>
          <t>C1001</t>
        </is>
      </c>
      <c r="AE25" s="200" t="inlineStr">
        <is>
          <t>C1001</t>
        </is>
      </c>
      <c r="AF25" s="200" t="inlineStr">
        <is>
          <t>C1001</t>
        </is>
      </c>
      <c r="AG25" s="200" t="inlineStr">
        <is>
          <t>C1001</t>
        </is>
      </c>
      <c r="AH25" s="200" t="inlineStr">
        <is>
          <t>C1001</t>
        </is>
      </c>
      <c r="AI25" s="200" t="inlineStr">
        <is>
          <t>C1001</t>
        </is>
      </c>
      <c r="AJ25" s="200" t="inlineStr">
        <is>
          <t>C1001</t>
        </is>
      </c>
      <c r="AK25" s="200" t="n"/>
      <c r="AL25" s="200" t="inlineStr">
        <is>
          <t>C1001</t>
        </is>
      </c>
      <c r="AM25" s="200" t="inlineStr">
        <is>
          <t>C1001</t>
        </is>
      </c>
      <c r="AN25" s="200" t="inlineStr">
        <is>
          <t>C1001</t>
        </is>
      </c>
      <c r="AO25" s="200" t="inlineStr">
        <is>
          <t>C1001</t>
        </is>
      </c>
      <c r="AP25" s="200" t="inlineStr">
        <is>
          <t>C1001</t>
        </is>
      </c>
      <c r="AQ25" s="200" t="inlineStr">
        <is>
          <t>C1001</t>
        </is>
      </c>
      <c r="AR25" s="200" t="inlineStr">
        <is>
          <t>C1001</t>
        </is>
      </c>
      <c r="AS25" s="200" t="inlineStr">
        <is>
          <t>C1001</t>
        </is>
      </c>
      <c r="AT25" s="200" t="inlineStr">
        <is>
          <t>C1001</t>
        </is>
      </c>
      <c r="AU25" s="200" t="inlineStr">
        <is>
          <t>C1001</t>
        </is>
      </c>
      <c r="AV25" s="200" t="inlineStr">
        <is>
          <t>C1001</t>
        </is>
      </c>
      <c r="AW25" s="200" t="inlineStr">
        <is>
          <t>C1001</t>
        </is>
      </c>
      <c r="AX25" s="200" t="inlineStr">
        <is>
          <t>C1001</t>
        </is>
      </c>
      <c r="AY25" s="200" t="inlineStr">
        <is>
          <t>C1001</t>
        </is>
      </c>
      <c r="AZ25" s="200" t="inlineStr">
        <is>
          <t>C1001</t>
        </is>
      </c>
      <c r="BA25" s="200" t="inlineStr">
        <is>
          <t>C1001</t>
        </is>
      </c>
      <c r="BB25" s="13" t="n"/>
      <c r="BC25" s="13" t="n"/>
      <c r="BD25" s="13" t="n"/>
      <c r="BE25" s="13" t="n"/>
      <c r="BF25" s="13" t="n"/>
      <c r="BG25" s="13" t="n"/>
      <c r="BH25" s="13" t="n"/>
      <c r="BI25" s="13" t="n"/>
    </row>
    <row r="26" hidden="1" s="1181">
      <c r="A26" s="1064" t="inlineStr">
        <is>
          <t>G</t>
        </is>
      </c>
      <c r="B26" s="1065">
        <f>IF(_epmOfflineCondition_,"C_SCOPE",EPMDimensionType(,A26))</f>
        <v/>
      </c>
      <c r="C26" s="672" t="inlineStr">
        <is>
          <t>G_DUMMY</t>
        </is>
      </c>
      <c r="D26" s="182">
        <f>IF(_epmOfflineCondition_,"G_DUMMY",EPMOlapMemberO(C26,"[C_SCOPE].[PARENTH1].[G_DUMMY]","G_DUMMY - 合并范围无关","","000"))</f>
        <v/>
      </c>
      <c r="E26" s="180" t="n"/>
      <c r="F26" s="13" t="n"/>
      <c r="G26" s="13" t="n"/>
      <c r="H26" s="13" t="n"/>
      <c r="I26" s="13" t="n"/>
      <c r="J26" s="13" t="n"/>
      <c r="K26" s="13" t="n"/>
      <c r="L26" s="13" t="n"/>
      <c r="M26" s="13" t="n"/>
      <c r="N26" s="13" t="n"/>
      <c r="O26" s="13" t="n"/>
      <c r="P26" s="13" t="n"/>
      <c r="Q26" s="13" t="n"/>
      <c r="R26" s="13" t="n"/>
      <c r="S26" s="1103" t="n"/>
      <c r="T26" s="13" t="n"/>
      <c r="U26" s="13" t="n"/>
      <c r="V26" s="13" t="n"/>
      <c r="W26" s="13" t="n"/>
      <c r="X26" s="171" t="n"/>
      <c r="Y26" s="200" t="inlineStr">
        <is>
          <t>TIME</t>
        </is>
      </c>
      <c r="Z26" s="784">
        <f>$I$11</f>
        <v/>
      </c>
      <c r="AA26" s="784">
        <f>$I$11</f>
        <v/>
      </c>
      <c r="AB26" s="784">
        <f>$I$11</f>
        <v/>
      </c>
      <c r="AC26" s="784">
        <f>$I$11</f>
        <v/>
      </c>
      <c r="AD26" s="784">
        <f>$I$11</f>
        <v/>
      </c>
      <c r="AE26" s="784">
        <f>$I$11</f>
        <v/>
      </c>
      <c r="AF26" s="784">
        <f>$I$11</f>
        <v/>
      </c>
      <c r="AG26" s="784">
        <f>$I$11</f>
        <v/>
      </c>
      <c r="AH26" s="784">
        <f>$I$11</f>
        <v/>
      </c>
      <c r="AI26" s="784">
        <f>$I$11</f>
        <v/>
      </c>
      <c r="AJ26" s="784">
        <f>$I$11</f>
        <v/>
      </c>
      <c r="AK26" s="784" t="n"/>
      <c r="AL26" s="784">
        <f>$I$11</f>
        <v/>
      </c>
      <c r="AM26" s="784">
        <f>$I$11</f>
        <v/>
      </c>
      <c r="AN26" s="784">
        <f>$I$13</f>
        <v/>
      </c>
      <c r="AO26" s="784">
        <f>$I$13</f>
        <v/>
      </c>
      <c r="AP26" s="784">
        <f>$I$13</f>
        <v/>
      </c>
      <c r="AQ26" s="784">
        <f>$I$13</f>
        <v/>
      </c>
      <c r="AR26" s="784">
        <f>$I$13</f>
        <v/>
      </c>
      <c r="AS26" s="784">
        <f>$I$13</f>
        <v/>
      </c>
      <c r="AT26" s="784">
        <f>$I$13</f>
        <v/>
      </c>
      <c r="AU26" s="784">
        <f>$I$13</f>
        <v/>
      </c>
      <c r="AV26" s="784">
        <f>$I$13</f>
        <v/>
      </c>
      <c r="AW26" s="784">
        <f>$I$13</f>
        <v/>
      </c>
      <c r="AX26" s="784">
        <f>$I$13</f>
        <v/>
      </c>
      <c r="AY26" s="784">
        <f>$I$13</f>
        <v/>
      </c>
      <c r="AZ26" s="784">
        <f>$I$13</f>
        <v/>
      </c>
      <c r="BA26" s="784">
        <f>$I$13</f>
        <v/>
      </c>
      <c r="BB26" s="13" t="n"/>
      <c r="BC26" s="13" t="n"/>
      <c r="BD26" s="13" t="n"/>
      <c r="BE26" s="13" t="n"/>
      <c r="BF26" s="13" t="n"/>
      <c r="BG26" s="13" t="n"/>
      <c r="BH26" s="13" t="n"/>
      <c r="BI26" s="13" t="n"/>
    </row>
    <row r="27" hidden="1" s="1181">
      <c r="A27" s="1064" t="inlineStr">
        <is>
          <t>U8</t>
        </is>
      </c>
      <c r="B27" s="1065">
        <f>IF(_epmOfflineCondition_,"C_PROJECT",EPMDimensionType(,A27))</f>
        <v/>
      </c>
      <c r="C27" s="449" t="inlineStr">
        <is>
          <t>ZP_DUMMY</t>
        </is>
      </c>
      <c r="D27" s="182">
        <f>IF(_epmOfflineCondition_,"ZP_DUMMY",EPMOlapMemberO(C27,"[C_PROJECT].[PARENTH1].[ZP_DUMMY]","ZP_DUMMY - 项目无关","","000"))</f>
        <v/>
      </c>
      <c r="E27" s="180" t="n"/>
      <c r="F27" s="13" t="n"/>
      <c r="G27" s="13" t="n"/>
      <c r="H27" s="13" t="n"/>
      <c r="I27" s="13" t="n"/>
      <c r="J27" s="13" t="n"/>
      <c r="K27" s="13" t="n"/>
      <c r="L27" s="13" t="n"/>
      <c r="M27" s="13" t="n"/>
      <c r="N27" s="13" t="n"/>
      <c r="O27" s="13" t="n"/>
      <c r="P27" s="13" t="n"/>
      <c r="Q27" s="13" t="n"/>
      <c r="R27" s="13" t="n"/>
      <c r="S27" s="1103" t="n"/>
      <c r="T27" s="13" t="n"/>
      <c r="U27" s="13" t="n"/>
      <c r="V27" s="13" t="n"/>
      <c r="W27" s="13" t="n"/>
      <c r="X27" s="171" t="n"/>
      <c r="Y27" s="200" t="inlineStr">
        <is>
          <t>ACCOUNT</t>
        </is>
      </c>
      <c r="Z27" s="784" t="inlineStr">
        <is>
          <t>A00401</t>
        </is>
      </c>
      <c r="AA27" s="784" t="inlineStr">
        <is>
          <t>A0040201</t>
        </is>
      </c>
      <c r="AB27" s="784" t="inlineStr">
        <is>
          <t>A0040202</t>
        </is>
      </c>
      <c r="AC27" s="784" t="inlineStr">
        <is>
          <t>A0040299</t>
        </is>
      </c>
      <c r="AD27" s="784" t="inlineStr">
        <is>
          <t>A00403</t>
        </is>
      </c>
      <c r="AE27" s="784" t="inlineStr">
        <is>
          <t>A00404</t>
        </is>
      </c>
      <c r="AF27" s="784" t="inlineStr">
        <is>
          <t>A00405</t>
        </is>
      </c>
      <c r="AG27" s="784" t="inlineStr">
        <is>
          <t>A00406</t>
        </is>
      </c>
      <c r="AH27" s="784" t="inlineStr">
        <is>
          <t>A00407</t>
        </is>
      </c>
      <c r="AI27" s="784" t="inlineStr">
        <is>
          <t>A00408</t>
        </is>
      </c>
      <c r="AJ27" s="784" t="inlineStr">
        <is>
          <t>A00409</t>
        </is>
      </c>
      <c r="AK27" s="784" t="n"/>
      <c r="AL27" s="784" t="inlineStr">
        <is>
          <t>A00410</t>
        </is>
      </c>
      <c r="AM27" s="784" t="inlineStr">
        <is>
          <t>A004</t>
        </is>
      </c>
      <c r="AN27" s="784" t="inlineStr">
        <is>
          <t>A00401</t>
        </is>
      </c>
      <c r="AO27" s="784" t="inlineStr">
        <is>
          <t>A0040201</t>
        </is>
      </c>
      <c r="AP27" s="784" t="inlineStr">
        <is>
          <t>A0040202</t>
        </is>
      </c>
      <c r="AQ27" s="784" t="inlineStr">
        <is>
          <t>A0040299</t>
        </is>
      </c>
      <c r="AR27" s="784" t="inlineStr">
        <is>
          <t>A00403</t>
        </is>
      </c>
      <c r="AS27" s="784" t="inlineStr">
        <is>
          <t>A00404</t>
        </is>
      </c>
      <c r="AT27" s="784" t="inlineStr">
        <is>
          <t>A00405</t>
        </is>
      </c>
      <c r="AU27" s="784" t="inlineStr">
        <is>
          <t>A00406</t>
        </is>
      </c>
      <c r="AV27" s="784" t="inlineStr">
        <is>
          <t>A00407</t>
        </is>
      </c>
      <c r="AW27" s="784" t="inlineStr">
        <is>
          <t>A00408</t>
        </is>
      </c>
      <c r="AX27" s="784" t="inlineStr">
        <is>
          <t>A00409</t>
        </is>
      </c>
      <c r="AY27" s="784" t="n"/>
      <c r="AZ27" s="784" t="inlineStr">
        <is>
          <t>A00410</t>
        </is>
      </c>
      <c r="BA27" s="784" t="inlineStr">
        <is>
          <t>A004</t>
        </is>
      </c>
      <c r="BB27" s="13" t="n"/>
      <c r="BC27" s="13" t="n"/>
      <c r="BD27" s="13" t="n"/>
      <c r="BE27" s="13" t="n"/>
      <c r="BF27" s="13" t="n"/>
      <c r="BG27" s="13" t="n"/>
      <c r="BH27" s="13" t="n"/>
      <c r="BI27" s="13" t="n"/>
    </row>
    <row r="28" hidden="1" s="1181">
      <c r="A28" s="1064" t="inlineStr">
        <is>
          <t>U9</t>
        </is>
      </c>
      <c r="B28" s="1065">
        <f>IF(_epmOfflineCondition_,"C_ITEM",EPMDimensionType(,A28))</f>
        <v/>
      </c>
      <c r="C28" s="180" t="inlineStr">
        <is>
          <t>ZI_DUMMY</t>
        </is>
      </c>
      <c r="D28" s="182" t="n"/>
      <c r="E28" s="180" t="n"/>
      <c r="F28" s="13" t="inlineStr">
        <is>
          <t>行</t>
        </is>
      </c>
      <c r="G28" s="13" t="n"/>
      <c r="H28" s="13" t="n"/>
      <c r="I28" s="13" t="n"/>
      <c r="J28" s="13" t="n"/>
      <c r="K28" s="13" t="n"/>
      <c r="L28" s="13" t="n"/>
      <c r="M28" s="13" t="n"/>
      <c r="N28" s="13" t="n"/>
      <c r="O28" s="13" t="n"/>
      <c r="P28" s="13" t="n"/>
      <c r="Q28" s="13" t="n"/>
      <c r="R28" s="13" t="n"/>
      <c r="S28" s="1103" t="n"/>
      <c r="T28" s="13" t="n"/>
      <c r="U28" s="13" t="n"/>
      <c r="V28" s="13" t="n"/>
      <c r="W28" s="13" t="n"/>
      <c r="X28" s="171" t="n"/>
      <c r="Y28" s="200" t="inlineStr">
        <is>
          <t>FLOW</t>
        </is>
      </c>
      <c r="Z28" s="784" t="n"/>
      <c r="AA28" s="784" t="n"/>
      <c r="AB28" s="784" t="n"/>
      <c r="AC28" s="784" t="n"/>
      <c r="AD28" s="784" t="n"/>
      <c r="AE28" s="784" t="n"/>
      <c r="AF28" s="784" t="n"/>
      <c r="AG28" s="784" t="n"/>
      <c r="AH28" s="784" t="n"/>
      <c r="AI28" s="784" t="n"/>
      <c r="AJ28" s="784" t="n"/>
      <c r="AK28" s="784" t="n"/>
      <c r="AL28" s="784" t="n"/>
      <c r="AM28" s="784" t="n"/>
      <c r="AN28" s="784" t="n"/>
      <c r="AO28" s="784" t="n"/>
      <c r="AP28" s="784" t="n"/>
      <c r="AQ28" s="784" t="n"/>
      <c r="AR28" s="784" t="n"/>
      <c r="AS28" s="784" t="n"/>
      <c r="AT28" s="784" t="n"/>
      <c r="AU28" s="784" t="n"/>
      <c r="AV28" s="784" t="n"/>
      <c r="AW28" s="784" t="n"/>
      <c r="AX28" s="784" t="n"/>
      <c r="AY28" s="784" t="n"/>
      <c r="AZ28" s="784" t="n"/>
      <c r="BA28" s="784" t="n"/>
      <c r="BB28" s="13" t="n"/>
      <c r="BC28" s="13" t="n"/>
      <c r="BD28" s="13" t="n"/>
      <c r="BE28" s="13" t="n"/>
      <c r="BF28" s="13" t="n"/>
      <c r="BG28" s="13" t="n"/>
      <c r="BH28" s="13" t="n"/>
      <c r="BI28" s="13" t="n"/>
    </row>
    <row r="29" hidden="1" s="1181">
      <c r="A29" s="1064" t="inlineStr">
        <is>
          <t>U10</t>
        </is>
      </c>
      <c r="B29" s="1065">
        <f>IF(_epmOfflineCondition_,"C_MISK",EPMDimensionType(,A29))</f>
        <v/>
      </c>
      <c r="C29" s="449" t="inlineStr">
        <is>
          <t>ZM_DUMMY</t>
        </is>
      </c>
      <c r="D29" s="182">
        <f>IF(_epmOfflineCondition_,"ZM_DUMMY",EPMOlapMemberO(C29,"[C_MISK].[PARENTH1].[ZM_DUMMY]","ZM_DUMMY - 综合无关","","000"))</f>
        <v/>
      </c>
      <c r="E29" s="180" t="n"/>
      <c r="F29" s="13" t="n"/>
      <c r="G29" s="13" t="n"/>
      <c r="H29" s="13" t="n"/>
      <c r="I29" s="13" t="n"/>
      <c r="J29" s="13" t="n"/>
      <c r="K29" s="13" t="n"/>
      <c r="L29" s="13" t="n"/>
      <c r="M29" s="13" t="n"/>
      <c r="N29" s="13" t="n"/>
      <c r="O29" s="13" t="n"/>
      <c r="P29" s="13" t="n"/>
      <c r="Q29" s="13" t="n"/>
      <c r="R29" s="13" t="n"/>
      <c r="S29" s="1103" t="n"/>
      <c r="T29" s="13" t="n"/>
      <c r="U29" s="13" t="n"/>
      <c r="V29" s="13" t="n"/>
      <c r="W29" s="13" t="n"/>
      <c r="X29" s="171" t="n"/>
      <c r="Y29" s="200" t="inlineStr">
        <is>
          <t>AUDITTRAIL</t>
        </is>
      </c>
      <c r="Z29" s="784" t="inlineStr">
        <is>
          <t>D1151</t>
        </is>
      </c>
      <c r="AA29" s="784">
        <f>$Z$29</f>
        <v/>
      </c>
      <c r="AB29" s="784">
        <f>$Z$29</f>
        <v/>
      </c>
      <c r="AC29" s="784">
        <f>$Z$29</f>
        <v/>
      </c>
      <c r="AD29" s="784">
        <f>$Z$29</f>
        <v/>
      </c>
      <c r="AE29" s="784">
        <f>$Z$29</f>
        <v/>
      </c>
      <c r="AF29" s="784">
        <f>$Z$29</f>
        <v/>
      </c>
      <c r="AG29" s="784">
        <f>$Z$29</f>
        <v/>
      </c>
      <c r="AH29" s="784">
        <f>$Z$29</f>
        <v/>
      </c>
      <c r="AI29" s="784">
        <f>$Z$29</f>
        <v/>
      </c>
      <c r="AJ29" s="784">
        <f>$Z$29</f>
        <v/>
      </c>
      <c r="AK29" s="784" t="n"/>
      <c r="AL29" s="784">
        <f>$Z$29</f>
        <v/>
      </c>
      <c r="AM29" s="784">
        <f>$Z$29</f>
        <v/>
      </c>
      <c r="AN29" s="784">
        <f>$Z$29</f>
        <v/>
      </c>
      <c r="AO29" s="784">
        <f>$Z$29</f>
        <v/>
      </c>
      <c r="AP29" s="784">
        <f>$Z$29</f>
        <v/>
      </c>
      <c r="AQ29" s="784">
        <f>$Z$29</f>
        <v/>
      </c>
      <c r="AR29" s="784">
        <f>$Z$29</f>
        <v/>
      </c>
      <c r="AS29" s="784">
        <f>$Z$29</f>
        <v/>
      </c>
      <c r="AT29" s="784">
        <f>$Z$29</f>
        <v/>
      </c>
      <c r="AU29" s="784">
        <f>$Z$29</f>
        <v/>
      </c>
      <c r="AV29" s="784">
        <f>$Z$29</f>
        <v/>
      </c>
      <c r="AW29" s="784">
        <f>$Z$29</f>
        <v/>
      </c>
      <c r="AX29" s="784">
        <f>$Z$29</f>
        <v/>
      </c>
      <c r="AY29" s="784">
        <f>$Z$29</f>
        <v/>
      </c>
      <c r="AZ29" s="784">
        <f>$Z$29</f>
        <v/>
      </c>
      <c r="BA29" s="784">
        <f>$Z$29</f>
        <v/>
      </c>
      <c r="BB29" s="13" t="n"/>
      <c r="BC29" s="13" t="n"/>
      <c r="BD29" s="13" t="n"/>
      <c r="BE29" s="13" t="n"/>
      <c r="BF29" s="13" t="n"/>
      <c r="BG29" s="13" t="n"/>
      <c r="BH29" s="13" t="n"/>
      <c r="BI29" s="13" t="n"/>
    </row>
    <row r="30" hidden="1" s="1181">
      <c r="A30" s="1064" t="n"/>
      <c r="B30" s="1065" t="inlineStr">
        <is>
          <t>Measures</t>
        </is>
      </c>
      <c r="C30" s="449" t="inlineStr">
        <is>
          <t>YTD</t>
        </is>
      </c>
      <c r="D30" s="182">
        <f>IF(_epmOfflineCondition_,"YTD",EPMOlapMemberO(C30,"[MEASURES].[].[YTD]","YTD - Year To Date","","000"))</f>
        <v/>
      </c>
      <c r="E30" s="180" t="n"/>
      <c r="F30" s="13" t="n"/>
      <c r="G30" s="13" t="n"/>
      <c r="H30" s="13" t="n"/>
      <c r="I30" s="13" t="n"/>
      <c r="J30" s="13" t="n"/>
      <c r="K30" s="13" t="n"/>
      <c r="L30" s="13" t="n"/>
      <c r="M30" s="13" t="n"/>
      <c r="N30" s="13" t="n"/>
      <c r="O30" s="13" t="n"/>
      <c r="P30" s="13" t="n"/>
      <c r="Q30" s="13" t="n"/>
      <c r="R30" s="13" t="n"/>
      <c r="S30" s="1103" t="n"/>
      <c r="T30" s="13" t="n"/>
      <c r="U30" s="13" t="n"/>
      <c r="V30" s="13" t="n"/>
      <c r="W30" s="13" t="n"/>
      <c r="X30" s="171" t="n"/>
      <c r="Y30" s="1075" t="inlineStr">
        <is>
          <t>RPTCURRENCY</t>
        </is>
      </c>
      <c r="Z30" s="784">
        <f>$Z$38</f>
        <v/>
      </c>
      <c r="AA30" s="784">
        <f>$Z$38</f>
        <v/>
      </c>
      <c r="AB30" s="784">
        <f>$Z$38</f>
        <v/>
      </c>
      <c r="AC30" s="784">
        <f>$Z$38</f>
        <v/>
      </c>
      <c r="AD30" s="784">
        <f>$Z$38</f>
        <v/>
      </c>
      <c r="AE30" s="784">
        <f>$Z$38</f>
        <v/>
      </c>
      <c r="AF30" s="784">
        <f>$Z$38</f>
        <v/>
      </c>
      <c r="AG30" s="784">
        <f>$Z$38</f>
        <v/>
      </c>
      <c r="AH30" s="784">
        <f>$Z$38</f>
        <v/>
      </c>
      <c r="AI30" s="784">
        <f>$Z$38</f>
        <v/>
      </c>
      <c r="AJ30" s="784">
        <f>$Z$38</f>
        <v/>
      </c>
      <c r="AK30" s="784" t="n"/>
      <c r="AL30" s="784">
        <f>$Z$38</f>
        <v/>
      </c>
      <c r="AM30" s="784">
        <f>$Z$38</f>
        <v/>
      </c>
      <c r="AN30" s="784">
        <f>$Z$38</f>
        <v/>
      </c>
      <c r="AO30" s="784">
        <f>$Z$38</f>
        <v/>
      </c>
      <c r="AP30" s="784">
        <f>$Z$38</f>
        <v/>
      </c>
      <c r="AQ30" s="784">
        <f>$Z$38</f>
        <v/>
      </c>
      <c r="AR30" s="784">
        <f>$Z$38</f>
        <v/>
      </c>
      <c r="AS30" s="784">
        <f>$Z$38</f>
        <v/>
      </c>
      <c r="AT30" s="784">
        <f>$Z$38</f>
        <v/>
      </c>
      <c r="AU30" s="784">
        <f>$Z$38</f>
        <v/>
      </c>
      <c r="AV30" s="784">
        <f>$Z$38</f>
        <v/>
      </c>
      <c r="AW30" s="784">
        <f>$Z$38</f>
        <v/>
      </c>
      <c r="AX30" s="784">
        <f>$Z$38</f>
        <v/>
      </c>
      <c r="AY30" s="784">
        <f>$Z$38</f>
        <v/>
      </c>
      <c r="AZ30" s="784">
        <f>$Z$38</f>
        <v/>
      </c>
      <c r="BA30" s="784">
        <f>$Z$38</f>
        <v/>
      </c>
      <c r="BB30" s="13" t="n"/>
      <c r="BC30" s="13" t="n"/>
      <c r="BD30" s="13" t="n"/>
      <c r="BE30" s="13" t="n"/>
      <c r="BF30" s="13" t="n"/>
      <c r="BG30" s="13" t="n"/>
      <c r="BH30" s="13" t="n"/>
      <c r="BI30" s="13" t="n"/>
    </row>
    <row r="31" hidden="1" s="1181">
      <c r="A31" s="13" t="n"/>
      <c r="B31" s="1103" t="n"/>
      <c r="C31" s="1103" t="n"/>
      <c r="D31" s="1103" t="n"/>
      <c r="E31" s="13" t="n"/>
      <c r="F31" s="13" t="n"/>
      <c r="G31" s="13" t="n"/>
      <c r="H31" s="13" t="n"/>
      <c r="I31" s="13" t="n"/>
      <c r="J31" s="13" t="n"/>
      <c r="K31" s="13" t="n"/>
      <c r="L31" s="13" t="n"/>
      <c r="M31" s="13" t="n"/>
      <c r="N31" s="13" t="n"/>
      <c r="O31" s="13" t="n"/>
      <c r="P31" s="13" t="n"/>
      <c r="Q31" s="13" t="n"/>
      <c r="R31" s="13" t="n"/>
      <c r="S31" s="13" t="n"/>
      <c r="T31" s="13" t="n"/>
      <c r="U31" s="13" t="n"/>
      <c r="V31" s="13" t="n"/>
      <c r="W31" s="13" t="n"/>
      <c r="X31" s="171" t="n"/>
      <c r="Y31" s="451" t="n"/>
      <c r="Z31" s="13" t="n"/>
      <c r="AA31" s="13" t="n"/>
      <c r="AB31" s="13" t="n"/>
      <c r="AC31" s="13" t="n"/>
      <c r="AD31" s="13" t="n"/>
      <c r="AE31" s="13" t="n"/>
      <c r="AF31" s="13" t="n"/>
      <c r="AG31" s="13" t="n"/>
      <c r="AH31" s="13" t="n"/>
      <c r="AI31" s="13" t="n"/>
      <c r="AJ31" s="13" t="n"/>
      <c r="AK31" s="13" t="n"/>
      <c r="AL31" s="13" t="n"/>
      <c r="AM31" s="13" t="n"/>
      <c r="AN31" s="13" t="n"/>
      <c r="AO31" s="13" t="n"/>
      <c r="AP31" s="13" t="n"/>
      <c r="AQ31" s="13" t="n"/>
      <c r="AR31" s="13" t="n"/>
      <c r="AS31" s="13" t="n"/>
      <c r="AT31" s="13" t="n"/>
      <c r="AU31" s="13" t="n"/>
      <c r="AV31" s="13" t="n"/>
      <c r="AW31" s="13" t="n"/>
      <c r="AX31" s="13" t="n"/>
      <c r="AY31" s="13" t="n"/>
      <c r="AZ31" s="13" t="n"/>
      <c r="BA31" s="13" t="n"/>
      <c r="BB31" s="13" t="n"/>
      <c r="BC31" s="13" t="n"/>
      <c r="BD31" s="13" t="n"/>
      <c r="BE31" s="13" t="n"/>
      <c r="BF31" s="13" t="n"/>
      <c r="BG31" s="13" t="n"/>
      <c r="BH31" s="13" t="n"/>
      <c r="BI31" s="13" t="n"/>
    </row>
    <row r="32" hidden="1" s="1181">
      <c r="A32" s="13" t="n"/>
      <c r="B32" s="1103" t="n"/>
      <c r="C32" s="1103" t="n"/>
      <c r="D32" s="1103" t="n"/>
      <c r="E32" s="13" t="n"/>
      <c r="F32" s="13" t="n"/>
      <c r="G32" s="13" t="n"/>
      <c r="H32" s="13" t="n"/>
      <c r="I32" s="13" t="n"/>
      <c r="J32" s="13" t="n"/>
      <c r="K32" s="13" t="n"/>
      <c r="L32" s="13" t="n"/>
      <c r="M32" s="13" t="n"/>
      <c r="N32" s="13" t="n"/>
      <c r="O32" s="13" t="n"/>
      <c r="P32" s="13" t="n"/>
      <c r="Q32" s="13" t="n"/>
      <c r="R32" s="13" t="n"/>
      <c r="S32" s="13" t="n"/>
      <c r="T32" s="13" t="n"/>
      <c r="U32" s="13" t="n"/>
      <c r="V32" s="13" t="n"/>
      <c r="W32" s="13" t="n"/>
      <c r="X32" s="171" t="n"/>
      <c r="Y32" s="171" t="n"/>
      <c r="Z32" s="13" t="n"/>
      <c r="AA32" s="13" t="n"/>
      <c r="AB32" s="13" t="n"/>
      <c r="AC32" s="13" t="n"/>
      <c r="AD32" s="13" t="n"/>
      <c r="AE32" s="13" t="n"/>
      <c r="AF32" s="13" t="n"/>
      <c r="AG32" s="13" t="n"/>
      <c r="AH32" s="13" t="n"/>
      <c r="AI32" s="13" t="n"/>
      <c r="AJ32" s="13" t="n"/>
      <c r="AK32" s="13" t="n"/>
      <c r="AL32" s="13" t="n"/>
      <c r="AM32" s="13" t="n"/>
      <c r="AN32" s="13" t="n"/>
      <c r="AO32" s="13" t="n"/>
      <c r="AP32" s="220" t="n"/>
      <c r="AQ32" s="13" t="n"/>
      <c r="AR32" s="13" t="n"/>
      <c r="AS32" s="13" t="n"/>
      <c r="AT32" s="13" t="n"/>
      <c r="AU32" s="13" t="n"/>
      <c r="AV32" s="13" t="n"/>
      <c r="AW32" s="13" t="n"/>
      <c r="AX32" s="13" t="n"/>
      <c r="AY32" s="13" t="n"/>
      <c r="AZ32" s="13" t="n"/>
      <c r="BA32" s="13" t="n"/>
      <c r="BB32" s="13" t="n"/>
      <c r="BC32" s="13" t="n"/>
      <c r="BD32" s="13" t="n"/>
      <c r="BE32" s="13" t="n"/>
      <c r="BF32" s="13" t="n"/>
      <c r="BG32" s="13" t="n"/>
      <c r="BH32" s="13" t="n"/>
      <c r="BI32" s="13" t="n"/>
    </row>
    <row r="33" hidden="1" s="1181">
      <c r="A33" s="13" t="n"/>
      <c r="B33" s="1103" t="n"/>
      <c r="C33" s="1103" t="n"/>
      <c r="D33" s="13" t="n"/>
      <c r="E33" s="13" t="n"/>
      <c r="F33" s="13" t="n"/>
      <c r="G33" s="13" t="n"/>
      <c r="H33" s="13" t="n"/>
      <c r="I33" s="13" t="n"/>
      <c r="J33" s="13" t="n"/>
      <c r="K33" s="13" t="n"/>
      <c r="L33" s="13" t="n"/>
      <c r="M33" s="13" t="n"/>
      <c r="N33" s="13" t="n"/>
      <c r="O33" s="13" t="n"/>
      <c r="P33" s="13" t="n"/>
      <c r="Q33" s="13" t="n"/>
      <c r="R33" s="13" t="n"/>
      <c r="S33" s="13" t="n"/>
      <c r="T33" s="13" t="n"/>
      <c r="U33" s="13" t="n"/>
      <c r="V33" s="13" t="n"/>
      <c r="W33" s="13" t="n"/>
      <c r="X33" s="171" t="n"/>
      <c r="Y33" s="171" t="n"/>
      <c r="Z33" s="13" t="n"/>
      <c r="AA33" s="13" t="n"/>
      <c r="AB33" s="13" t="n"/>
      <c r="AC33" s="13" t="n"/>
      <c r="AD33" s="13" t="n"/>
      <c r="AE33" s="13" t="n"/>
      <c r="AF33" s="13" t="n"/>
      <c r="AG33" s="13" t="n"/>
      <c r="AH33" s="13" t="n"/>
      <c r="AI33" s="13" t="n"/>
      <c r="AJ33" s="13" t="n"/>
      <c r="AK33" s="13" t="n"/>
      <c r="AL33" s="13" t="n"/>
      <c r="AM33" s="13" t="n"/>
      <c r="AN33" s="13" t="n"/>
      <c r="AO33" s="13" t="n"/>
      <c r="AP33" s="220" t="n"/>
      <c r="AQ33" s="13" t="n"/>
      <c r="AR33" s="13" t="n"/>
      <c r="AS33" s="13" t="n"/>
      <c r="AT33" s="13" t="n"/>
      <c r="AU33" s="13" t="n"/>
      <c r="AV33" s="13" t="n"/>
      <c r="AW33" s="13" t="n"/>
      <c r="AX33" s="13" t="n"/>
      <c r="AY33" s="13" t="n"/>
      <c r="AZ33" s="13" t="n"/>
      <c r="BA33" s="13" t="n"/>
      <c r="BB33" s="13" t="n"/>
      <c r="BC33" s="13" t="n"/>
      <c r="BD33" s="13" t="n"/>
      <c r="BE33" s="13" t="n"/>
      <c r="BF33" s="13" t="n"/>
      <c r="BG33" s="13" t="n"/>
      <c r="BH33" s="13" t="n"/>
      <c r="BI33" s="13" t="n"/>
    </row>
    <row r="34" ht="10.5" customHeight="1" s="1181">
      <c r="A34" s="13" t="n"/>
      <c r="B34" s="1103" t="n"/>
      <c r="C34" s="1103" t="n"/>
      <c r="D34" s="13" t="n"/>
      <c r="E34" s="13" t="n"/>
      <c r="F34" s="13" t="n"/>
      <c r="G34" s="13" t="n"/>
      <c r="H34" s="13" t="n"/>
      <c r="I34" s="13" t="n"/>
      <c r="J34" s="13" t="n"/>
      <c r="K34" s="13" t="n"/>
      <c r="L34" s="13" t="n"/>
      <c r="M34" s="13" t="n"/>
      <c r="N34" s="13" t="n"/>
      <c r="O34" s="13" t="n"/>
      <c r="P34" s="13" t="n"/>
      <c r="Q34" s="13" t="n"/>
      <c r="R34" s="13" t="n"/>
      <c r="S34" s="13" t="n"/>
      <c r="T34" s="13" t="n"/>
      <c r="U34" s="13" t="n"/>
      <c r="V34" s="13" t="n"/>
      <c r="W34" s="13" t="n"/>
      <c r="X34" s="171" t="n"/>
      <c r="Y34" s="171" t="n"/>
      <c r="Z34" s="13" t="n"/>
      <c r="AA34" s="13" t="n"/>
      <c r="AB34" s="13" t="n"/>
      <c r="AC34" s="13" t="n"/>
      <c r="AD34" s="13" t="n"/>
      <c r="AE34" s="13" t="n"/>
      <c r="AF34" s="13" t="n"/>
      <c r="AG34" s="13" t="n"/>
      <c r="AH34" s="13" t="n"/>
      <c r="AI34" s="13" t="n"/>
      <c r="AJ34" s="13" t="n"/>
      <c r="AK34" s="13" t="n"/>
      <c r="AL34" s="716" t="n"/>
      <c r="AM34" s="13" t="n"/>
      <c r="AN34" s="13" t="n"/>
      <c r="AO34" s="13" t="n"/>
      <c r="AP34" s="220" t="n"/>
      <c r="AQ34" s="13" t="n"/>
      <c r="AR34" s="13" t="n"/>
      <c r="AS34" s="13" t="n"/>
      <c r="AT34" s="13" t="n"/>
      <c r="AU34" s="13" t="n"/>
      <c r="AV34" s="13" t="n"/>
      <c r="AW34" s="13" t="n"/>
      <c r="AX34" s="13" t="n"/>
      <c r="AY34" s="13" t="n"/>
      <c r="AZ34" s="13" t="n"/>
      <c r="BA34" s="13" t="n"/>
      <c r="BB34" s="13" t="n"/>
      <c r="BC34" s="13" t="n"/>
      <c r="BD34" s="13" t="n"/>
      <c r="BE34" s="13" t="n"/>
      <c r="BF34" s="13" t="n"/>
      <c r="BG34" s="13" t="n"/>
      <c r="BH34" s="13" t="n"/>
      <c r="BI34" s="13" t="n"/>
    </row>
    <row r="35" ht="37.5" customHeight="1" s="1181">
      <c r="A35" s="13" t="n"/>
      <c r="B35" s="13" t="n"/>
      <c r="C35" s="13" t="n"/>
      <c r="D35" s="13" t="n"/>
      <c r="E35" s="13" t="n"/>
      <c r="F35" s="13" t="n"/>
      <c r="G35" s="13" t="n"/>
      <c r="H35" s="13" t="n"/>
      <c r="I35" s="13" t="n"/>
      <c r="J35" s="13" t="n"/>
      <c r="K35" s="13" t="n"/>
      <c r="L35" s="13" t="n"/>
      <c r="M35" s="13" t="n"/>
      <c r="N35" s="13" t="n"/>
      <c r="O35" s="13" t="n"/>
      <c r="P35" s="13" t="n"/>
      <c r="Q35" s="13" t="n"/>
      <c r="R35" s="13" t="n"/>
      <c r="S35" s="13" t="n"/>
      <c r="T35" s="13" t="n"/>
      <c r="U35" s="13" t="n"/>
      <c r="V35" s="13" t="n"/>
      <c r="W35" s="13" t="n"/>
      <c r="X35" s="171" t="n"/>
      <c r="Y35" s="1076" t="n"/>
      <c r="Z35" s="1077" t="n"/>
      <c r="AA35" s="1078" t="n"/>
      <c r="AC35" s="465" t="inlineStr">
        <is>
          <t>所有者权益变动表</t>
        </is>
      </c>
      <c r="AD35" s="13" t="n"/>
      <c r="AE35" s="465" t="n"/>
      <c r="AF35" s="13" t="n"/>
      <c r="AG35" s="13" t="n"/>
      <c r="AH35" s="13" t="n"/>
      <c r="AI35" s="13" t="n"/>
      <c r="AJ35" s="13" t="n"/>
      <c r="AK35" s="13" t="n"/>
      <c r="AL35" s="13" t="n"/>
      <c r="AM35" s="13" t="n"/>
      <c r="AN35" s="13" t="n"/>
      <c r="AO35" s="13" t="n"/>
      <c r="AP35" s="13" t="n"/>
      <c r="AQ35" s="13" t="n"/>
      <c r="AR35" s="13" t="n"/>
      <c r="AS35" s="13" t="n"/>
      <c r="AT35" s="13" t="n"/>
      <c r="AU35" s="13" t="n"/>
      <c r="AV35" s="13" t="n"/>
      <c r="AW35" s="13" t="n"/>
      <c r="AX35" s="13" t="n"/>
      <c r="AY35" s="13" t="n"/>
      <c r="AZ35" s="13" t="n"/>
      <c r="BA35" s="13" t="n"/>
      <c r="BB35" s="13" t="n"/>
      <c r="BC35" s="13" t="n"/>
      <c r="BD35" s="13" t="n"/>
      <c r="BE35" s="13" t="n"/>
      <c r="BF35" s="13" t="n"/>
      <c r="BG35" s="13" t="n"/>
      <c r="BH35" s="13" t="n"/>
      <c r="BI35" s="13" t="n"/>
    </row>
    <row r="36" customFormat="1" s="716">
      <c r="A36" s="716" t="n"/>
      <c r="B36" s="716" t="n"/>
      <c r="C36" s="716" t="n"/>
      <c r="D36" s="716" t="n"/>
      <c r="E36" s="716" t="n"/>
      <c r="F36" s="716" t="n"/>
      <c r="G36" s="716" t="n"/>
      <c r="H36" s="716" t="n"/>
      <c r="I36" s="716" t="n"/>
      <c r="J36" s="716" t="n"/>
      <c r="K36" s="716" t="n"/>
      <c r="L36" s="716" t="n"/>
      <c r="M36" s="716" t="n"/>
      <c r="N36" s="716" t="n"/>
      <c r="O36" s="716" t="n"/>
      <c r="P36" s="716" t="n"/>
      <c r="Q36" s="716" t="n"/>
      <c r="R36" s="716" t="n"/>
      <c r="S36" s="13" t="n"/>
      <c r="T36" s="13" t="n"/>
      <c r="U36" s="716" t="n"/>
      <c r="V36" s="716" t="n"/>
      <c r="W36" s="716" t="n"/>
      <c r="X36" s="190">
        <f>IF(_epmOfflineCondition_,"编制单位：内蒙古京能苏尼特风力发电有限公司（内蒙古分公司）","编制单位："&amp;EPMMemberDesc($D$21))</f>
        <v/>
      </c>
      <c r="Y36" s="190" t="n"/>
      <c r="AC36" s="716" t="n"/>
      <c r="AD36" s="716" t="n"/>
      <c r="AE36" s="716" t="n"/>
      <c r="AF36" s="716" t="n"/>
      <c r="AG36" s="716" t="n"/>
      <c r="AH36" s="716" t="n"/>
      <c r="AI36" s="716" t="n"/>
      <c r="AJ36" s="716" t="n"/>
      <c r="AK36" s="716" t="n"/>
      <c r="AL36" s="716" t="n"/>
      <c r="AM36" s="716" t="n"/>
      <c r="AN36" s="716" t="n"/>
      <c r="AO36" s="716" t="n"/>
      <c r="AP36" s="716" t="n"/>
      <c r="AQ36" s="716" t="n"/>
      <c r="AR36" s="716" t="n"/>
      <c r="AS36" s="716" t="n"/>
      <c r="AT36" s="716" t="n"/>
      <c r="AU36" s="716" t="n"/>
      <c r="AV36" s="716" t="n"/>
      <c r="AW36" s="716" t="n"/>
      <c r="AX36" s="716" t="n"/>
      <c r="AY36" s="716" t="n"/>
      <c r="AZ36" s="716" t="n"/>
      <c r="BA36" s="716" t="n"/>
      <c r="BB36" s="716" t="n"/>
      <c r="BC36" s="716" t="n"/>
      <c r="BD36" s="716" t="n"/>
      <c r="BE36" s="716" t="n"/>
      <c r="BF36" s="716" t="n"/>
      <c r="BG36" s="716" t="n"/>
      <c r="BH36" s="716" t="n"/>
      <c r="BI36" s="716" t="n"/>
    </row>
    <row r="37" ht="27" customFormat="1" customHeight="1" s="716">
      <c r="A37" s="716" t="n"/>
      <c r="B37" s="716" t="n"/>
      <c r="C37" s="716" t="n"/>
      <c r="D37" s="716" t="n"/>
      <c r="E37" s="716" t="n"/>
      <c r="F37" s="716" t="n"/>
      <c r="G37" s="716" t="n"/>
      <c r="H37" s="716" t="n"/>
      <c r="I37" s="716" t="n"/>
      <c r="J37" s="716" t="n"/>
      <c r="K37" s="716" t="n"/>
      <c r="L37" s="716" t="n"/>
      <c r="M37" s="716" t="n"/>
      <c r="N37" s="716" t="n"/>
      <c r="O37" s="716" t="n"/>
      <c r="P37" s="716" t="n"/>
      <c r="Q37" s="716" t="n"/>
      <c r="R37" s="716" t="n"/>
      <c r="S37" s="13" t="n"/>
      <c r="T37" s="13" t="n"/>
      <c r="U37" s="716" t="n"/>
      <c r="V37" s="716" t="n"/>
      <c r="W37" s="716" t="n"/>
      <c r="X37" s="190">
        <f>"编制月份："&amp;$I$3&amp;"年"&amp;$I$8&amp;"月"</f>
        <v/>
      </c>
      <c r="Y37" s="190" t="n"/>
      <c r="AC37" s="716" t="n"/>
      <c r="AD37" s="716" t="n"/>
      <c r="AE37" s="716" t="n"/>
      <c r="AF37" s="223" t="inlineStr">
        <is>
          <t>金额单位：元</t>
        </is>
      </c>
      <c r="AG37" s="716" t="n"/>
      <c r="AH37" s="716" t="n"/>
      <c r="AI37" s="716" t="n"/>
      <c r="AJ37" s="716" t="n"/>
      <c r="AK37" s="716" t="n"/>
      <c r="AL37" s="716" t="n"/>
      <c r="AM37" s="716" t="n"/>
      <c r="AN37" s="716" t="n"/>
      <c r="AO37" s="716" t="n"/>
      <c r="AP37" s="716" t="n"/>
      <c r="AQ37" s="716" t="n"/>
      <c r="AR37" s="716" t="n"/>
      <c r="AS37" s="716" t="n"/>
      <c r="AT37" s="716" t="n"/>
      <c r="AU37" s="716" t="n"/>
      <c r="AV37" s="716" t="n"/>
      <c r="AW37" s="716" t="n"/>
      <c r="AX37" s="716" t="n"/>
      <c r="AY37" s="716" t="n"/>
      <c r="AZ37" s="716" t="n"/>
      <c r="BA37" s="716" t="n"/>
      <c r="BB37" s="716" t="n"/>
      <c r="BC37" s="716" t="n"/>
      <c r="BD37" s="716" t="n"/>
      <c r="BE37" s="716" t="n"/>
      <c r="BF37" s="716" t="n"/>
      <c r="BG37" s="716" t="n"/>
      <c r="BH37" s="716" t="n"/>
      <c r="BI37" s="716" t="n"/>
    </row>
    <row r="38" customFormat="1" s="716">
      <c r="A38" s="716" t="n"/>
      <c r="B38" s="716" t="n"/>
      <c r="C38" s="716" t="n"/>
      <c r="D38" s="716" t="n"/>
      <c r="E38" s="716" t="n"/>
      <c r="F38" s="716" t="n"/>
      <c r="G38" s="716" t="n"/>
      <c r="H38" s="716" t="n"/>
      <c r="I38" s="716" t="n"/>
      <c r="J38" s="716" t="n"/>
      <c r="K38" s="716" t="n"/>
      <c r="L38" s="716" t="n"/>
      <c r="M38" s="716" t="n"/>
      <c r="N38" s="716" t="n"/>
      <c r="O38" s="716" t="n"/>
      <c r="P38" s="716" t="n"/>
      <c r="Q38" s="716" t="n"/>
      <c r="R38" s="716" t="n"/>
      <c r="S38" s="13" t="n"/>
      <c r="T38" s="13" t="n"/>
      <c r="U38" s="716" t="n"/>
      <c r="V38" s="716" t="n"/>
      <c r="W38" s="716" t="n"/>
      <c r="X38" s="190" t="n"/>
      <c r="Y38" s="190" t="inlineStr">
        <is>
          <t>币种：</t>
        </is>
      </c>
      <c r="Z38" s="716" t="inlineStr">
        <is>
          <t>LC</t>
        </is>
      </c>
      <c r="AA38" s="716" t="n"/>
      <c r="AB38" s="203" t="n"/>
      <c r="AC38" s="716" t="n"/>
      <c r="AD38" s="223" t="n"/>
      <c r="AE38" s="716" t="n"/>
      <c r="AF38" s="716" t="n"/>
      <c r="AG38" s="716" t="n"/>
      <c r="AH38" s="716" t="n"/>
      <c r="AI38" s="716" t="n"/>
      <c r="AJ38" s="716" t="n"/>
      <c r="AK38" s="716" t="n"/>
      <c r="AL38" s="716" t="n"/>
      <c r="AM38" s="716" t="n"/>
      <c r="AN38" s="716" t="n"/>
      <c r="AO38" s="716" t="n"/>
      <c r="AP38" s="716" t="n"/>
      <c r="AQ38" s="716" t="n"/>
      <c r="AR38" s="716" t="n"/>
      <c r="AS38" s="716" t="n"/>
      <c r="AT38" s="716" t="n"/>
      <c r="AU38" s="716" t="n"/>
      <c r="AV38" s="716" t="n"/>
      <c r="AW38" s="716" t="n"/>
      <c r="AX38" s="716" t="n"/>
      <c r="AY38" s="716" t="n"/>
      <c r="AZ38" s="716" t="n"/>
      <c r="BA38" s="716" t="n"/>
      <c r="BB38" s="716" t="n"/>
      <c r="BC38" s="716" t="n"/>
      <c r="BD38" s="716" t="n"/>
      <c r="BE38" s="716" t="n"/>
      <c r="BF38" s="716" t="n"/>
      <c r="BG38" s="716" t="n"/>
      <c r="BH38" s="716" t="n"/>
      <c r="BI38" s="716" t="n"/>
    </row>
    <row r="39" hidden="1" ht="8.25" customFormat="1" customHeight="1" s="716">
      <c r="A39" s="716" t="n"/>
      <c r="B39" s="716" t="n"/>
      <c r="C39" s="716" t="n"/>
      <c r="D39" s="716" t="n"/>
      <c r="E39" s="716" t="n"/>
      <c r="F39" s="716" t="n"/>
      <c r="G39" s="716" t="n"/>
      <c r="H39" s="716" t="n"/>
      <c r="I39" s="716" t="n"/>
      <c r="J39" s="716" t="n"/>
      <c r="K39" s="716" t="n"/>
      <c r="L39" s="716" t="n"/>
      <c r="M39" s="716" t="n"/>
      <c r="N39" s="716" t="n"/>
      <c r="O39" s="716" t="n"/>
      <c r="P39" s="716" t="n"/>
      <c r="Q39" s="716" t="n"/>
      <c r="R39" s="716" t="n"/>
      <c r="S39" s="13" t="n"/>
      <c r="T39" s="13" t="n"/>
      <c r="U39" s="716" t="n"/>
      <c r="V39" s="716" t="n"/>
      <c r="W39" s="716" t="n"/>
      <c r="X39" s="190" t="n"/>
      <c r="Y39" s="190" t="n"/>
      <c r="Z39" s="716" t="n"/>
      <c r="AA39" s="716" t="n"/>
      <c r="AB39" s="203" t="n"/>
      <c r="AC39" s="716" t="n"/>
      <c r="AD39" s="223" t="n"/>
      <c r="AE39" s="716" t="n"/>
      <c r="AF39" s="716" t="n"/>
      <c r="AG39" s="716" t="n"/>
      <c r="AH39" s="716" t="n"/>
      <c r="AI39" s="716" t="n"/>
      <c r="AJ39" s="716" t="n"/>
      <c r="AK39" s="716" t="n"/>
      <c r="AL39" s="716" t="n"/>
      <c r="AM39" s="716" t="n"/>
      <c r="AN39" s="716" t="n"/>
      <c r="AO39" s="716" t="n"/>
      <c r="AP39" s="716" t="n"/>
      <c r="AQ39" s="716" t="n"/>
      <c r="AR39" s="716" t="n"/>
      <c r="AS39" s="716" t="n"/>
      <c r="AT39" s="716" t="n"/>
      <c r="AU39" s="716" t="n"/>
      <c r="AV39" s="716" t="n"/>
      <c r="AW39" s="716" t="n"/>
      <c r="AX39" s="716" t="n"/>
      <c r="AY39" s="716" t="n"/>
      <c r="AZ39" s="716" t="n"/>
      <c r="BA39" s="716" t="n"/>
      <c r="BB39" s="716" t="n"/>
      <c r="BC39" s="716" t="n"/>
      <c r="BD39" s="716" t="n"/>
      <c r="BE39" s="716" t="n"/>
      <c r="BF39" s="716" t="n"/>
      <c r="BG39" s="716" t="n"/>
      <c r="BH39" s="716" t="n"/>
      <c r="BI39" s="716" t="n"/>
    </row>
    <row r="40" ht="15" customHeight="1" s="1181">
      <c r="A40" s="13" t="n"/>
      <c r="B40" s="13" t="n"/>
      <c r="C40" s="13" t="n"/>
      <c r="D40" s="13" t="n"/>
      <c r="E40" s="13" t="n"/>
      <c r="F40" s="13" t="n"/>
      <c r="G40" s="13" t="n"/>
      <c r="H40" s="13" t="n"/>
      <c r="I40" s="13" t="n"/>
      <c r="J40" s="13" t="n"/>
      <c r="K40" s="13" t="n"/>
      <c r="L40" s="13" t="n"/>
      <c r="M40" s="13" t="n"/>
      <c r="N40" s="13" t="n"/>
      <c r="O40" s="13" t="n"/>
      <c r="P40" s="13" t="n"/>
      <c r="Q40" s="13" t="n"/>
      <c r="R40" s="13" t="n"/>
      <c r="S40" s="13" t="n"/>
      <c r="T40" s="13" t="n"/>
      <c r="U40" s="13" t="n"/>
      <c r="V40" s="13" t="n"/>
      <c r="W40" s="13" t="n"/>
      <c r="X40" s="1067" t="inlineStr">
        <is>
          <t xml:space="preserve">项 目 </t>
        </is>
      </c>
      <c r="Y40" s="1067" t="inlineStr">
        <is>
          <t>行次</t>
        </is>
      </c>
      <c r="Z40" s="476" t="inlineStr">
        <is>
          <t>本年金额</t>
        </is>
      </c>
      <c r="AA40" s="1182" t="n"/>
      <c r="AB40" s="1182" t="n"/>
      <c r="AC40" s="1182" t="n"/>
      <c r="AD40" s="1182" t="n"/>
      <c r="AE40" s="1182" t="n"/>
      <c r="AF40" s="1182" t="n"/>
      <c r="AG40" s="1182" t="n"/>
      <c r="AH40" s="1182" t="n"/>
      <c r="AI40" s="1182" t="n"/>
      <c r="AJ40" s="1182" t="n"/>
      <c r="AK40" s="1182" t="n"/>
      <c r="AL40" s="1182" t="n"/>
      <c r="AM40" s="1183" t="n"/>
      <c r="AN40" s="476" t="inlineStr">
        <is>
          <t>上年同期</t>
        </is>
      </c>
      <c r="AO40" s="1182" t="n"/>
      <c r="AP40" s="1182" t="n"/>
      <c r="AQ40" s="1182" t="n"/>
      <c r="AR40" s="1182" t="n"/>
      <c r="AS40" s="1182" t="n"/>
      <c r="AT40" s="1182" t="n"/>
      <c r="AU40" s="1182" t="n"/>
      <c r="AV40" s="1182" t="n"/>
      <c r="AW40" s="1182" t="n"/>
      <c r="AX40" s="1182" t="n"/>
      <c r="AY40" s="1182" t="n"/>
      <c r="AZ40" s="1182" t="n"/>
      <c r="BA40" s="1183" t="n"/>
      <c r="BB40" s="13" t="n"/>
      <c r="BC40" s="13" t="n"/>
      <c r="BD40" s="13" t="n"/>
      <c r="BE40" s="13" t="n"/>
      <c r="BF40" s="13" t="n"/>
      <c r="BG40" s="13" t="n"/>
      <c r="BH40" s="13" t="n"/>
      <c r="BI40" s="13" t="n"/>
    </row>
    <row r="41" ht="15" customHeight="1" s="1181">
      <c r="A41" s="13" t="n"/>
      <c r="B41" s="13" t="n"/>
      <c r="C41" s="13" t="n"/>
      <c r="D41" s="13" t="n"/>
      <c r="E41" s="13" t="n"/>
      <c r="F41" s="13" t="n"/>
      <c r="G41" s="13" t="n"/>
      <c r="H41" s="13" t="n"/>
      <c r="I41" s="13" t="n"/>
      <c r="J41" s="13" t="n"/>
      <c r="K41" s="13" t="n"/>
      <c r="L41" s="13" t="n"/>
      <c r="M41" s="13" t="n"/>
      <c r="N41" s="13" t="n"/>
      <c r="O41" s="13" t="n"/>
      <c r="P41" s="13" t="n"/>
      <c r="Q41" s="13" t="n"/>
      <c r="R41" s="13" t="n"/>
      <c r="S41" s="13" t="n"/>
      <c r="T41" s="13" t="n"/>
      <c r="U41" s="13" t="n"/>
      <c r="V41" s="13" t="n"/>
      <c r="W41" s="13" t="n"/>
      <c r="X41" s="1210" t="n"/>
      <c r="Y41" s="1210" t="n"/>
      <c r="Z41" s="476" t="inlineStr">
        <is>
          <t>归属于母公司所有者权益</t>
        </is>
      </c>
      <c r="AA41" s="1182" t="n"/>
      <c r="AB41" s="1182" t="n"/>
      <c r="AC41" s="1182" t="n"/>
      <c r="AD41" s="1182" t="n"/>
      <c r="AE41" s="1182" t="n"/>
      <c r="AF41" s="1182" t="n"/>
      <c r="AG41" s="1182" t="n"/>
      <c r="AH41" s="1182" t="n"/>
      <c r="AI41" s="1182" t="n"/>
      <c r="AJ41" s="1182" t="n"/>
      <c r="AK41" s="1183" t="n"/>
      <c r="AL41" s="1218" t="inlineStr">
        <is>
          <t>少数股东权益</t>
        </is>
      </c>
      <c r="AM41" s="476" t="inlineStr">
        <is>
          <t>所有者权益合计</t>
        </is>
      </c>
      <c r="AN41" s="476" t="inlineStr">
        <is>
          <t>归属于母公司所有者权益</t>
        </is>
      </c>
      <c r="AO41" s="1182" t="n"/>
      <c r="AP41" s="1182" t="n"/>
      <c r="AQ41" s="1182" t="n"/>
      <c r="AR41" s="1182" t="n"/>
      <c r="AS41" s="1182" t="n"/>
      <c r="AT41" s="1182" t="n"/>
      <c r="AU41" s="1182" t="n"/>
      <c r="AV41" s="1182" t="n"/>
      <c r="AW41" s="1182" t="n"/>
      <c r="AX41" s="1182" t="n"/>
      <c r="AY41" s="1183" t="n"/>
      <c r="AZ41" s="1218" t="inlineStr">
        <is>
          <t>少数股东权益</t>
        </is>
      </c>
      <c r="BA41" s="476" t="inlineStr">
        <is>
          <t>所有者权益合计</t>
        </is>
      </c>
      <c r="BB41" s="13" t="n"/>
      <c r="BC41" s="13" t="n"/>
      <c r="BD41" s="13" t="n"/>
      <c r="BE41" s="13" t="n"/>
      <c r="BF41" s="13" t="n"/>
      <c r="BG41" s="13" t="n"/>
      <c r="BH41" s="13" t="n"/>
      <c r="BI41" s="13" t="n"/>
    </row>
    <row r="42" ht="15" customHeight="1" s="1181">
      <c r="A42" s="13" t="n"/>
      <c r="B42" s="13" t="n"/>
      <c r="C42" s="13" t="n"/>
      <c r="D42" s="13" t="n"/>
      <c r="E42" s="13" t="n"/>
      <c r="F42" s="13" t="n"/>
      <c r="G42" s="13" t="n"/>
      <c r="H42" s="13" t="n"/>
      <c r="I42" s="13" t="n"/>
      <c r="J42" s="13" t="n"/>
      <c r="K42" s="13" t="n"/>
      <c r="L42" s="13" t="n"/>
      <c r="M42" s="13" t="n"/>
      <c r="N42" s="13" t="n"/>
      <c r="O42" s="13" t="n"/>
      <c r="P42" s="13" t="n"/>
      <c r="Q42" s="13" t="n"/>
      <c r="R42" s="13" t="n"/>
      <c r="S42" s="13" t="n"/>
      <c r="T42" s="13" t="n"/>
      <c r="U42" s="13" t="n"/>
      <c r="V42" s="13" t="n"/>
      <c r="W42" s="13" t="n"/>
      <c r="X42" s="1210" t="n"/>
      <c r="Y42" s="1210" t="n"/>
      <c r="Z42" s="450" t="inlineStr">
        <is>
          <t>实收资本（或股本）</t>
        </is>
      </c>
      <c r="AA42" s="1084" t="inlineStr">
        <is>
          <t>其他权益工具</t>
        </is>
      </c>
      <c r="AB42" s="1182" t="n"/>
      <c r="AC42" s="1183" t="n"/>
      <c r="AD42" s="476" t="inlineStr">
        <is>
          <t>资本公积</t>
        </is>
      </c>
      <c r="AE42" s="1084" t="inlineStr">
        <is>
          <t>减：库存股</t>
        </is>
      </c>
      <c r="AF42" s="1084" t="inlineStr">
        <is>
          <t>其他综合收益</t>
        </is>
      </c>
      <c r="AG42" s="1084" t="inlineStr">
        <is>
          <t>专项储备</t>
        </is>
      </c>
      <c r="AH42" s="1084" t="inlineStr">
        <is>
          <t>盈余公积</t>
        </is>
      </c>
      <c r="AI42" s="1084" t="inlineStr">
        <is>
          <t># 一般风险准备</t>
        </is>
      </c>
      <c r="AJ42" s="1219" t="inlineStr">
        <is>
          <t>未分配利润</t>
        </is>
      </c>
      <c r="AK42" s="1084" t="inlineStr">
        <is>
          <t>小计</t>
        </is>
      </c>
      <c r="AL42" s="1210" t="n"/>
      <c r="AM42" s="1210" t="n"/>
      <c r="AN42" s="476" t="inlineStr">
        <is>
          <t>实收资本（或股本）</t>
        </is>
      </c>
      <c r="AO42" s="1084" t="inlineStr">
        <is>
          <t>其他权益工具</t>
        </is>
      </c>
      <c r="AP42" s="1182" t="n"/>
      <c r="AQ42" s="1183" t="n"/>
      <c r="AR42" s="476" t="inlineStr">
        <is>
          <t>资本公积</t>
        </is>
      </c>
      <c r="AS42" s="1084" t="inlineStr">
        <is>
          <t>减：库存股</t>
        </is>
      </c>
      <c r="AT42" s="1084" t="inlineStr">
        <is>
          <t>其他综合收益</t>
        </is>
      </c>
      <c r="AU42" s="1084" t="inlineStr">
        <is>
          <t>专项储备</t>
        </is>
      </c>
      <c r="AV42" s="1084" t="inlineStr">
        <is>
          <t>盈余公积</t>
        </is>
      </c>
      <c r="AW42" s="1084" t="inlineStr">
        <is>
          <t># 一般风险准备</t>
        </is>
      </c>
      <c r="AX42" s="1219" t="inlineStr">
        <is>
          <t>未分配利润</t>
        </is>
      </c>
      <c r="AY42" s="1084" t="inlineStr">
        <is>
          <t>小计</t>
        </is>
      </c>
      <c r="AZ42" s="1210" t="n"/>
      <c r="BA42" s="1210" t="n"/>
      <c r="BB42" s="13" t="n"/>
      <c r="BC42" s="13" t="n"/>
      <c r="BD42" s="13" t="n"/>
      <c r="BE42" s="13" t="n"/>
      <c r="BF42" s="13" t="n"/>
      <c r="BG42" s="13" t="n"/>
      <c r="BH42" s="13" t="n"/>
      <c r="BI42" s="13" t="n"/>
    </row>
    <row r="43" ht="15" customHeight="1" s="1181">
      <c r="A43" s="13" t="n"/>
      <c r="B43" s="13" t="n"/>
      <c r="C43" s="13" t="n"/>
      <c r="D43" s="13" t="n"/>
      <c r="E43" s="13" t="n"/>
      <c r="F43" s="13" t="n"/>
      <c r="G43" s="13" t="n"/>
      <c r="H43" s="13" t="n"/>
      <c r="I43" s="13" t="n"/>
      <c r="J43" s="13" t="n"/>
      <c r="K43" s="13" t="n"/>
      <c r="L43" s="13" t="n"/>
      <c r="M43" s="13" t="n"/>
      <c r="N43" s="13" t="n"/>
      <c r="O43" s="13" t="n"/>
      <c r="P43" s="13" t="n"/>
      <c r="Q43" s="13" t="n"/>
      <c r="R43" s="13" t="n"/>
      <c r="S43" s="13" t="n"/>
      <c r="T43" s="13" t="n"/>
      <c r="U43" s="13" t="n"/>
      <c r="V43" s="13" t="n"/>
      <c r="W43" s="13" t="n"/>
      <c r="X43" s="1210" t="n"/>
      <c r="Y43" s="1210" t="n"/>
      <c r="Z43" s="1184" t="n"/>
      <c r="AA43" s="476" t="inlineStr">
        <is>
          <t>优先股</t>
        </is>
      </c>
      <c r="AB43" s="1084" t="inlineStr">
        <is>
          <t>永续债</t>
        </is>
      </c>
      <c r="AC43" s="1084" t="inlineStr">
        <is>
          <t>其他</t>
        </is>
      </c>
      <c r="AD43" s="1184" t="n"/>
      <c r="AE43" s="1184" t="n"/>
      <c r="AF43" s="1184" t="n"/>
      <c r="AG43" s="1184" t="n"/>
      <c r="AH43" s="1184" t="n"/>
      <c r="AI43" s="1184" t="n"/>
      <c r="AJ43" s="1184" t="n"/>
      <c r="AK43" s="1184" t="n"/>
      <c r="AL43" s="1184" t="n"/>
      <c r="AM43" s="1184" t="n"/>
      <c r="AN43" s="1184" t="n"/>
      <c r="AO43" s="476" t="inlineStr">
        <is>
          <t>优先股</t>
        </is>
      </c>
      <c r="AP43" s="1084" t="inlineStr">
        <is>
          <t>永续债</t>
        </is>
      </c>
      <c r="AQ43" s="1084" t="inlineStr">
        <is>
          <t>其他</t>
        </is>
      </c>
      <c r="AR43" s="1184" t="n"/>
      <c r="AS43" s="1184" t="n"/>
      <c r="AT43" s="1184" t="n"/>
      <c r="AU43" s="1184" t="n"/>
      <c r="AV43" s="1184" t="n"/>
      <c r="AW43" s="1184" t="n"/>
      <c r="AX43" s="1184" t="n"/>
      <c r="AY43" s="1184" t="n"/>
      <c r="AZ43" s="1184" t="n"/>
      <c r="BA43" s="1184" t="n"/>
      <c r="BB43" s="13" t="n"/>
      <c r="BC43" s="13" t="n"/>
      <c r="BD43" s="13" t="n"/>
      <c r="BE43" s="13" t="n"/>
      <c r="BF43" s="13" t="n"/>
      <c r="BG43" s="13" t="n"/>
      <c r="BH43" s="13" t="n"/>
      <c r="BI43" s="13" t="n"/>
    </row>
    <row r="44" ht="15" customHeight="1" s="1181">
      <c r="A44" s="13" t="n"/>
      <c r="B44" s="13" t="n"/>
      <c r="C44" s="13" t="n"/>
      <c r="D44" s="13" t="n"/>
      <c r="E44" s="13" t="n"/>
      <c r="F44" s="13" t="n"/>
      <c r="G44" s="13" t="n"/>
      <c r="H44" s="13" t="n"/>
      <c r="I44" s="13" t="n"/>
      <c r="J44" s="13" t="n"/>
      <c r="K44" s="13" t="n"/>
      <c r="L44" s="13" t="n"/>
      <c r="M44" s="13" t="n"/>
      <c r="N44" s="13" t="n"/>
      <c r="O44" s="13" t="n"/>
      <c r="P44" s="13" t="n"/>
      <c r="Q44" s="13" t="n"/>
      <c r="R44" s="13" t="n"/>
      <c r="S44" s="13" t="n"/>
      <c r="T44" s="13" t="n"/>
      <c r="U44" s="13" t="n"/>
      <c r="V44" s="13" t="n"/>
      <c r="W44" s="13" t="n"/>
      <c r="X44" s="1210" t="n"/>
      <c r="Y44" s="1210" t="n"/>
      <c r="Z44" s="689" t="inlineStr"/>
      <c r="AA44" s="476" t="inlineStr"/>
      <c r="AB44" s="689" t="inlineStr"/>
      <c r="AC44" s="476" t="inlineStr"/>
      <c r="AD44" s="689" t="inlineStr"/>
      <c r="AE44" s="476" t="inlineStr"/>
      <c r="AF44" s="689" t="inlineStr"/>
      <c r="AG44" s="476" t="inlineStr"/>
      <c r="AH44" s="689" t="inlineStr"/>
      <c r="AI44" s="476" t="inlineStr"/>
      <c r="AJ44" s="689" t="inlineStr"/>
      <c r="AK44" s="476" t="inlineStr"/>
      <c r="AL44" s="689" t="inlineStr"/>
      <c r="AM44" s="476" t="inlineStr"/>
      <c r="AN44" s="689" t="inlineStr"/>
      <c r="AO44" s="476" t="inlineStr"/>
      <c r="AP44" s="689" t="inlineStr"/>
      <c r="AQ44" s="476" t="inlineStr"/>
      <c r="AR44" s="689" t="inlineStr"/>
      <c r="AS44" s="476" t="inlineStr"/>
      <c r="AT44" s="689" t="inlineStr"/>
      <c r="AU44" s="476" t="inlineStr"/>
      <c r="AV44" s="689" t="inlineStr"/>
      <c r="AW44" s="476" t="inlineStr"/>
      <c r="AX44" s="689" t="inlineStr"/>
      <c r="AY44" s="476" t="inlineStr"/>
      <c r="AZ44" s="689" t="inlineStr"/>
      <c r="BA44" s="476" t="inlineStr"/>
      <c r="BB44" s="13" t="n"/>
      <c r="BC44" s="13" t="n"/>
      <c r="BD44" s="13" t="n"/>
      <c r="BE44" s="13" t="n"/>
      <c r="BF44" s="384" t="inlineStr">
        <is>
          <t>ID</t>
        </is>
      </c>
      <c r="BG44" s="384" t="inlineStr">
        <is>
          <t>描述</t>
        </is>
      </c>
      <c r="BH44" s="384" t="inlineStr">
        <is>
          <t>GENTITY</t>
        </is>
      </c>
      <c r="BI44" s="384" t="n"/>
    </row>
    <row r="45" hidden="1" ht="13.5" customFormat="1" customHeight="1" s="716">
      <c r="A45" s="716" t="n"/>
      <c r="B45" s="716" t="n"/>
      <c r="C45" s="716" t="n"/>
      <c r="D45" s="716" t="n"/>
      <c r="E45" s="716" t="n"/>
      <c r="F45" s="716" t="n"/>
      <c r="G45" s="716" t="n"/>
      <c r="H45" s="716" t="n"/>
      <c r="I45" s="716" t="n"/>
      <c r="J45" s="716" t="n"/>
      <c r="K45" s="716" t="n"/>
      <c r="L45" s="716" t="n"/>
      <c r="M45" s="716" t="n"/>
      <c r="N45" s="716" t="n"/>
      <c r="O45" s="716" t="n"/>
      <c r="P45" s="716" t="n"/>
      <c r="Q45" s="716" t="n"/>
      <c r="R45" s="716" t="n"/>
      <c r="S45" s="462" t="n"/>
      <c r="T45" s="716" t="n"/>
      <c r="U45" s="716" t="n"/>
      <c r="V45" s="716" t="n"/>
      <c r="W45" s="716" t="n"/>
      <c r="X45" s="1085" t="n"/>
      <c r="Y45" s="1085" t="inlineStr">
        <is>
          <t>AUDITTRAIL</t>
        </is>
      </c>
      <c r="Z45" s="1085">
        <f>IF(_epmOfflineCondition_,"D1151",EPMOlapMemberO(Z29,"[C_AUDITTRAIL].[PARENTH1].[D1151]","D1151 - LC/CNY分别手工录入","","000"))</f>
        <v/>
      </c>
      <c r="AA45" s="1085">
        <f>IF(_epmOfflineCondition_,"D1151",EPMOlapMemberO(AA29,"[C_AUDITTRAIL].[PARENTH1].[D1151]","D1151 - LC/CNY分别手工录入","","000"))</f>
        <v/>
      </c>
      <c r="AB45" s="1085">
        <f>IF(_epmOfflineCondition_,"D1151",EPMOlapMemberO(AB29,"[C_AUDITTRAIL].[PARENTH1].[D1151]","D1151 - LC/CNY分别手工录入","","000"))</f>
        <v/>
      </c>
      <c r="AC45" s="1085">
        <f>IF(_epmOfflineCondition_,"D1151",EPMOlapMemberO(AC29,"[C_AUDITTRAIL].[PARENTH1].[D1151]","D1151 - LC/CNY分别手工录入","","000"))</f>
        <v/>
      </c>
      <c r="AD45" s="1085">
        <f>IF(_epmOfflineCondition_,"D1151",EPMOlapMemberO(AD29,"[C_AUDITTRAIL].[PARENTH1].[D1151]","D1151 - LC/CNY分别手工录入","","000"))</f>
        <v/>
      </c>
      <c r="AE45" s="1085">
        <f>IF(_epmOfflineCondition_,"D1151",EPMOlapMemberO(AE29,"[C_AUDITTRAIL].[PARENTH1].[D1151]","D1151 - LC/CNY分别手工录入","","000"))</f>
        <v/>
      </c>
      <c r="AF45" s="1085">
        <f>IF(_epmOfflineCondition_,"D1151",EPMOlapMemberO(AF29,"[C_AUDITTRAIL].[PARENTH1].[D1151]","D1151 - LC/CNY分别手工录入","","000"))</f>
        <v/>
      </c>
      <c r="AG45" s="1085">
        <f>IF(_epmOfflineCondition_,"D1151",EPMOlapMemberO(AG29,"[C_AUDITTRAIL].[PARENTH1].[D1151]","D1151 - LC/CNY分别手工录入","","000"))</f>
        <v/>
      </c>
      <c r="AH45" s="1085">
        <f>IF(_epmOfflineCondition_,"D1151",EPMOlapMemberO(AH29,"[C_AUDITTRAIL].[PARENTH1].[D1151]","D1151 - LC/CNY分别手工录入","","000"))</f>
        <v/>
      </c>
      <c r="AI45" s="1085">
        <f>IF(_epmOfflineCondition_,"D1151",EPMOlapMemberO(AI29,"[C_AUDITTRAIL].[PARENTH1].[D1151]","D1151 - LC/CNY分别手工录入","","000"))</f>
        <v/>
      </c>
      <c r="AJ45" s="1085">
        <f>IF(_epmOfflineCondition_,"D1151",EPMOlapMemberO(AJ29,"[C_AUDITTRAIL].[PARENTH1].[D1151]","D1151 - LC/CNY分别手工录入","","000"))</f>
        <v/>
      </c>
      <c r="AK45" s="1085" t="n"/>
      <c r="AL45" s="1085">
        <f>IF(_epmOfflineCondition_,"D1151",EPMOlapMemberO(AL29,"[C_AUDITTRAIL].[PARENTH1].[D1151]","D1151 - LC/CNY分别手工录入","","000"))</f>
        <v/>
      </c>
      <c r="AM45" s="1085">
        <f>IF(_epmOfflineCondition_,"D1151",EPMOlapMemberO(AM29,"[C_AUDITTRAIL].[PARENTH1].[D1151]","D1151 - LC/CNY分别手工录入","","000"))</f>
        <v/>
      </c>
      <c r="AN45" s="1085">
        <f>IF(_epmOfflineCondition_,"D1151",EPMOlapMemberO(AN29,"[C_AUDITTRAIL].[PARENTH1].[D1151]","D1151 - LC/CNY分别手工录入","","000"))</f>
        <v/>
      </c>
      <c r="AO45" s="1085">
        <f>IF(_epmOfflineCondition_,"D1151",EPMOlapMemberO(AO29,"[C_AUDITTRAIL].[PARENTH1].[D1151]","D1151 - LC/CNY分别手工录入","","000"))</f>
        <v/>
      </c>
      <c r="AP45" s="1085">
        <f>IF(_epmOfflineCondition_,"D1151",EPMOlapMemberO(AP29,"[C_AUDITTRAIL].[PARENTH1].[D1151]","D1151 - LC/CNY分别手工录入","","000"))</f>
        <v/>
      </c>
      <c r="AQ45" s="1085">
        <f>IF(_epmOfflineCondition_,"D1151",EPMOlapMemberO(AQ29,"[C_AUDITTRAIL].[PARENTH1].[D1151]","D1151 - LC/CNY分别手工录入","","000"))</f>
        <v/>
      </c>
      <c r="AR45" s="1085">
        <f>IF(_epmOfflineCondition_,"D1151",EPMOlapMemberO(AR29,"[C_AUDITTRAIL].[PARENTH1].[D1151]","D1151 - LC/CNY分别手工录入","","000"))</f>
        <v/>
      </c>
      <c r="AS45" s="1085">
        <f>IF(_epmOfflineCondition_,"D1151",EPMOlapMemberO(AS29,"[C_AUDITTRAIL].[PARENTH1].[D1151]","D1151 - LC/CNY分别手工录入","","000"))</f>
        <v/>
      </c>
      <c r="AT45" s="1085">
        <f>IF(_epmOfflineCondition_,"D1151",EPMOlapMemberO(AT29,"[C_AUDITTRAIL].[PARENTH1].[D1151]","D1151 - LC/CNY分别手工录入","","000"))</f>
        <v/>
      </c>
      <c r="AU45" s="1085">
        <f>IF(_epmOfflineCondition_,"D1151",EPMOlapMemberO(AU29,"[C_AUDITTRAIL].[PARENTH1].[D1151]","D1151 - LC/CNY分别手工录入","","000"))</f>
        <v/>
      </c>
      <c r="AV45" s="1085">
        <f>IF(_epmOfflineCondition_,"D1151",EPMOlapMemberO(AV29,"[C_AUDITTRAIL].[PARENTH1].[D1151]","D1151 - LC/CNY分别手工录入","","000"))</f>
        <v/>
      </c>
      <c r="AW45" s="1085">
        <f>IF(_epmOfflineCondition_,"D1151",EPMOlapMemberO(AW29,"[C_AUDITTRAIL].[PARENTH1].[D1151]","D1151 - LC/CNY分别手工录入","","000"))</f>
        <v/>
      </c>
      <c r="AX45" s="1085">
        <f>IF(_epmOfflineCondition_,"D1151",EPMOlapMemberO(AX29,"[C_AUDITTRAIL].[PARENTH1].[D1151]","D1151 - LC/CNY分别手工录入","","000"))</f>
        <v/>
      </c>
      <c r="AY45" s="1085" t="n"/>
      <c r="AZ45" s="1085">
        <f>IF(_epmOfflineCondition_,"D1151",EPMOlapMemberO(AZ29,"[C_AUDITTRAIL].[PARENTH1].[D1151]","D1151 - LC/CNY分别手工录入","","000"))</f>
        <v/>
      </c>
      <c r="BA45" s="1085">
        <f>IF(_epmOfflineCondition_,"D1151",EPMOlapMemberO(BA29,"[C_AUDITTRAIL].[PARENTH1].[D1151]","D1151 - LC/CNY分别手工录入","","000"))</f>
        <v/>
      </c>
      <c r="BB45" s="716" t="n"/>
      <c r="BC45" s="716" t="n"/>
      <c r="BD45" s="716" t="n"/>
      <c r="BE45" s="716" t="n"/>
      <c r="BF45" s="716" t="n"/>
      <c r="BG45" s="716" t="n"/>
      <c r="BH45" s="716" t="n"/>
      <c r="BI45" s="716" t="n"/>
    </row>
    <row r="46" hidden="1" s="1181">
      <c r="A46" s="13" t="n"/>
      <c r="B46" s="13" t="n"/>
      <c r="C46" s="13" t="n"/>
      <c r="D46" s="13" t="n"/>
      <c r="E46" s="13" t="n"/>
      <c r="F46" s="13" t="n"/>
      <c r="G46" s="13" t="n"/>
      <c r="H46" s="13" t="n"/>
      <c r="I46" s="13" t="n"/>
      <c r="J46" s="13" t="n"/>
      <c r="K46" s="13" t="n"/>
      <c r="L46" s="13" t="n"/>
      <c r="M46" s="13" t="n"/>
      <c r="N46" s="13" t="n"/>
      <c r="O46" s="13" t="n"/>
      <c r="P46" s="13" t="n"/>
      <c r="Q46" s="13" t="n"/>
      <c r="R46" s="13" t="n"/>
      <c r="S46" s="1103" t="n"/>
      <c r="T46" s="13" t="n"/>
      <c r="U46" s="13" t="n"/>
      <c r="V46" s="13" t="n"/>
      <c r="W46" s="13" t="n"/>
      <c r="X46" s="1085" t="n"/>
      <c r="Y46" s="1085" t="inlineStr">
        <is>
          <t>TIME</t>
        </is>
      </c>
      <c r="Z46" s="1085">
        <f>IF(_epmOfflineCondition_,"2025.03",EPMOlapMemberO($Z$26,"[C_TIME].[PARENTH1].[2025.03]","2025.03 - 2025.03","","000"))</f>
        <v/>
      </c>
      <c r="AA46" s="1085">
        <f>IF(_epmOfflineCondition_,"2025.03",EPMOlapMemberO($Z$26,"[C_TIME].[PARENTH1].[2025.03]","2025.03 - 2025.03","","000"))</f>
        <v/>
      </c>
      <c r="AB46" s="1085">
        <f>IF(_epmOfflineCondition_,"2025.03",EPMOlapMemberO($Z$26,"[C_TIME].[PARENTH1].[2025.03]","2025.03 - 2025.03","","000"))</f>
        <v/>
      </c>
      <c r="AC46" s="1085">
        <f>IF(_epmOfflineCondition_,"2025.03",EPMOlapMemberO($Z$26,"[C_TIME].[PARENTH1].[2025.03]","2025.03 - 2025.03","","000"))</f>
        <v/>
      </c>
      <c r="AD46" s="1085">
        <f>IF(_epmOfflineCondition_,"2025.03",EPMOlapMemberO($Z$26,"[C_TIME].[PARENTH1].[2025.03]","2025.03 - 2025.03","","000"))</f>
        <v/>
      </c>
      <c r="AE46" s="1085">
        <f>IF(_epmOfflineCondition_,"2025.03",EPMOlapMemberO($Z$26,"[C_TIME].[PARENTH1].[2025.03]","2025.03 - 2025.03","","000"))</f>
        <v/>
      </c>
      <c r="AF46" s="1085">
        <f>IF(_epmOfflineCondition_,"2025.03",EPMOlapMemberO($Z$26,"[C_TIME].[PARENTH1].[2025.03]","2025.03 - 2025.03","","000"))</f>
        <v/>
      </c>
      <c r="AG46" s="1085">
        <f>IF(_epmOfflineCondition_,"2025.03",EPMOlapMemberO($Z$26,"[C_TIME].[PARENTH1].[2025.03]","2025.03 - 2025.03","","000"))</f>
        <v/>
      </c>
      <c r="AH46" s="1085">
        <f>IF(_epmOfflineCondition_,"2025.03",EPMOlapMemberO($Z$26,"[C_TIME].[PARENTH1].[2025.03]","2025.03 - 2025.03","","000"))</f>
        <v/>
      </c>
      <c r="AI46" s="1085">
        <f>IF(_epmOfflineCondition_,"2025.03",EPMOlapMemberO($Z$26,"[C_TIME].[PARENTH1].[2025.03]","2025.03 - 2025.03","","000"))</f>
        <v/>
      </c>
      <c r="AJ46" s="1085">
        <f>IF(_epmOfflineCondition_,"2025.03",EPMOlapMemberO($Z$26,"[C_TIME].[PARENTH1].[2025.03]","2025.03 - 2025.03","","000"))</f>
        <v/>
      </c>
      <c r="AK46" s="1085" t="n"/>
      <c r="AL46" s="1085">
        <f>IF(_epmOfflineCondition_,"2025.03",EPMOlapMemberO($Z$26,"[C_TIME].[PARENTH1].[2025.03]","2025.03 - 2025.03","","000"))</f>
        <v/>
      </c>
      <c r="AM46" s="1085">
        <f>IF(_epmOfflineCondition_,"2025.03",EPMOlapMemberO($Z$26,"[C_TIME].[PARENTH1].[2025.03]","2025.03 - 2025.03","","000"))</f>
        <v/>
      </c>
      <c r="AN46" s="1085">
        <f>IF(_epmOfflineCondition_,"2024.03",EPMOlapMemberO($AN$26,"[C_TIME].[PARENTH1].[2024.03]","2024.03 - 2024.03","","000"))</f>
        <v/>
      </c>
      <c r="AO46" s="1085">
        <f>IF(_epmOfflineCondition_,"2024.03",EPMOlapMemberO($AN$26,"[C_TIME].[PARENTH1].[2024.03]","2024.03 - 2024.03","","000"))</f>
        <v/>
      </c>
      <c r="AP46" s="1085">
        <f>IF(_epmOfflineCondition_,"2024.03",EPMOlapMemberO($AN$26,"[C_TIME].[PARENTH1].[2024.03]","2024.03 - 2024.03","","000"))</f>
        <v/>
      </c>
      <c r="AQ46" s="1085">
        <f>IF(_epmOfflineCondition_,"2024.03",EPMOlapMemberO($AN$26,"[C_TIME].[PARENTH1].[2024.03]","2024.03 - 2024.03","","000"))</f>
        <v/>
      </c>
      <c r="AR46" s="1085">
        <f>IF(_epmOfflineCondition_,"2024.03",EPMOlapMemberO($AN$26,"[C_TIME].[PARENTH1].[2024.03]","2024.03 - 2024.03","","000"))</f>
        <v/>
      </c>
      <c r="AS46" s="1085">
        <f>IF(_epmOfflineCondition_,"2024.03",EPMOlapMemberO($AN$26,"[C_TIME].[PARENTH1].[2024.03]","2024.03 - 2024.03","","000"))</f>
        <v/>
      </c>
      <c r="AT46" s="1085">
        <f>IF(_epmOfflineCondition_,"2024.03",EPMOlapMemberO($AN$26,"[C_TIME].[PARENTH1].[2024.03]","2024.03 - 2024.03","","000"))</f>
        <v/>
      </c>
      <c r="AU46" s="1085">
        <f>IF(_epmOfflineCondition_,"2024.03",EPMOlapMemberO($AN$26,"[C_TIME].[PARENTH1].[2024.03]","2024.03 - 2024.03","","000"))</f>
        <v/>
      </c>
      <c r="AV46" s="1085">
        <f>IF(_epmOfflineCondition_,"2024.03",EPMOlapMemberO($AN$26,"[C_TIME].[PARENTH1].[2024.03]","2024.03 - 2024.03","","000"))</f>
        <v/>
      </c>
      <c r="AW46" s="1085">
        <f>IF(_epmOfflineCondition_,"2024.03",EPMOlapMemberO($AN$26,"[C_TIME].[PARENTH1].[2024.03]","2024.03 - 2024.03","","000"))</f>
        <v/>
      </c>
      <c r="AX46" s="1085">
        <f>IF(_epmOfflineCondition_,"2024.03",EPMOlapMemberO($AN$26,"[C_TIME].[PARENTH1].[2024.03]","2024.03 - 2024.03","","000"))</f>
        <v/>
      </c>
      <c r="AY46" s="1085" t="n"/>
      <c r="AZ46" s="1085">
        <f>IF(_epmOfflineCondition_,"2024.03",EPMOlapMemberO($AN$26,"[C_TIME].[PARENTH1].[2024.03]","2024.03 - 2024.03","","000"))</f>
        <v/>
      </c>
      <c r="BA46" s="1085">
        <f>IF(_epmOfflineCondition_,"2024.03",EPMOlapMemberO($AN$26,"[C_TIME].[PARENTH1].[2024.03]","2024.03 - 2024.03","","000"))</f>
        <v/>
      </c>
      <c r="BB46" s="13" t="n"/>
      <c r="BC46" s="13" t="n"/>
      <c r="BD46" s="13" t="n"/>
      <c r="BE46" s="13" t="n"/>
      <c r="BF46" s="13" t="n"/>
      <c r="BG46" s="13" t="n"/>
      <c r="BH46" s="13" t="n"/>
      <c r="BI46" s="13" t="n"/>
    </row>
    <row r="47" hidden="1" ht="13.5" customFormat="1" customHeight="1" s="716">
      <c r="A47" s="716" t="n"/>
      <c r="B47" s="716" t="n"/>
      <c r="C47" s="716" t="n"/>
      <c r="D47" s="716" t="n"/>
      <c r="E47" s="716" t="n"/>
      <c r="F47" s="716" t="n"/>
      <c r="G47" s="716" t="n"/>
      <c r="H47" s="716" t="n"/>
      <c r="I47" s="716" t="n"/>
      <c r="J47" s="716" t="n"/>
      <c r="K47" s="716" t="n"/>
      <c r="L47" s="716" t="n"/>
      <c r="M47" s="716" t="n"/>
      <c r="N47" s="716" t="n"/>
      <c r="O47" s="716" t="n"/>
      <c r="P47" s="716" t="n"/>
      <c r="Q47" s="716" t="n"/>
      <c r="R47" s="716" t="n"/>
      <c r="S47" s="462" t="n"/>
      <c r="T47" s="716" t="n"/>
      <c r="U47" s="716" t="n"/>
      <c r="V47" s="716" t="n"/>
      <c r="W47" s="716" t="n"/>
      <c r="X47" s="1085" t="n"/>
      <c r="Y47" s="1085" t="inlineStr">
        <is>
          <t>RPTCURRENCY</t>
        </is>
      </c>
      <c r="Z47" s="1085">
        <f>IF(_epmOfflineCondition_,"LC",EPMOlapMemberO($Z$30,"[C_RPTCURRENCY].[].[LC]","LC - 本位币","","000"))</f>
        <v/>
      </c>
      <c r="AA47" s="1085">
        <f>IF(_epmOfflineCondition_,"LC",EPMOlapMemberO($Z$30,"[C_RPTCURRENCY].[].[LC]","LC - 本位币","","000"))</f>
        <v/>
      </c>
      <c r="AB47" s="1085">
        <f>IF(_epmOfflineCondition_,"LC",EPMOlapMemberO($Z$30,"[C_RPTCURRENCY].[].[LC]","LC - 本位币","","000"))</f>
        <v/>
      </c>
      <c r="AC47" s="1085">
        <f>IF(_epmOfflineCondition_,"LC",EPMOlapMemberO($Z$30,"[C_RPTCURRENCY].[].[LC]","LC - 本位币","","000"))</f>
        <v/>
      </c>
      <c r="AD47" s="1085">
        <f>IF(_epmOfflineCondition_,"LC",EPMOlapMemberO($Z$30,"[C_RPTCURRENCY].[].[LC]","LC - 本位币","","000"))</f>
        <v/>
      </c>
      <c r="AE47" s="1085">
        <f>IF(_epmOfflineCondition_,"LC",EPMOlapMemberO($Z$30,"[C_RPTCURRENCY].[].[LC]","LC - 本位币","","000"))</f>
        <v/>
      </c>
      <c r="AF47" s="1085">
        <f>IF(_epmOfflineCondition_,"LC",EPMOlapMemberO($Z$30,"[C_RPTCURRENCY].[].[LC]","LC - 本位币","","000"))</f>
        <v/>
      </c>
      <c r="AG47" s="1085">
        <f>IF(_epmOfflineCondition_,"LC",EPMOlapMemberO($Z$30,"[C_RPTCURRENCY].[].[LC]","LC - 本位币","","000"))</f>
        <v/>
      </c>
      <c r="AH47" s="1085">
        <f>IF(_epmOfflineCondition_,"LC",EPMOlapMemberO($Z$30,"[C_RPTCURRENCY].[].[LC]","LC - 本位币","","000"))</f>
        <v/>
      </c>
      <c r="AI47" s="1085">
        <f>IF(_epmOfflineCondition_,"LC",EPMOlapMemberO($Z$30,"[C_RPTCURRENCY].[].[LC]","LC - 本位币","","000"))</f>
        <v/>
      </c>
      <c r="AJ47" s="1085">
        <f>IF(_epmOfflineCondition_,"LC",EPMOlapMemberO($Z$30,"[C_RPTCURRENCY].[].[LC]","LC - 本位币","","000"))</f>
        <v/>
      </c>
      <c r="AK47" s="1085" t="n"/>
      <c r="AL47" s="1085">
        <f>IF(_epmOfflineCondition_,"LC",EPMOlapMemberO($Z$30,"[C_RPTCURRENCY].[].[LC]","LC - 本位币","","000"))</f>
        <v/>
      </c>
      <c r="AM47" s="1085">
        <f>IF(_epmOfflineCondition_,"LC",EPMOlapMemberO($Z$30,"[C_RPTCURRENCY].[].[LC]","LC - 本位币","","000"))</f>
        <v/>
      </c>
      <c r="AN47" s="1085">
        <f>IF(_epmOfflineCondition_,"LC",EPMOlapMemberO($Z$30,"[C_RPTCURRENCY].[].[LC]","LC - 本位币","","000"))</f>
        <v/>
      </c>
      <c r="AO47" s="1085">
        <f>IF(_epmOfflineCondition_,"LC",EPMOlapMemberO($Z$30,"[C_RPTCURRENCY].[].[LC]","LC - 本位币","","000"))</f>
        <v/>
      </c>
      <c r="AP47" s="1085">
        <f>IF(_epmOfflineCondition_,"LC",EPMOlapMemberO($Z$30,"[C_RPTCURRENCY].[].[LC]","LC - 本位币","","000"))</f>
        <v/>
      </c>
      <c r="AQ47" s="1085">
        <f>IF(_epmOfflineCondition_,"LC",EPMOlapMemberO($Z$30,"[C_RPTCURRENCY].[].[LC]","LC - 本位币","","000"))</f>
        <v/>
      </c>
      <c r="AR47" s="1085">
        <f>IF(_epmOfflineCondition_,"LC",EPMOlapMemberO($Z$30,"[C_RPTCURRENCY].[].[LC]","LC - 本位币","","000"))</f>
        <v/>
      </c>
      <c r="AS47" s="1085">
        <f>IF(_epmOfflineCondition_,"LC",EPMOlapMemberO($Z$30,"[C_RPTCURRENCY].[].[LC]","LC - 本位币","","000"))</f>
        <v/>
      </c>
      <c r="AT47" s="1085">
        <f>IF(_epmOfflineCondition_,"LC",EPMOlapMemberO($Z$30,"[C_RPTCURRENCY].[].[LC]","LC - 本位币","","000"))</f>
        <v/>
      </c>
      <c r="AU47" s="1085">
        <f>IF(_epmOfflineCondition_,"LC",EPMOlapMemberO($Z$30,"[C_RPTCURRENCY].[].[LC]","LC - 本位币","","000"))</f>
        <v/>
      </c>
      <c r="AV47" s="1085">
        <f>IF(_epmOfflineCondition_,"LC",EPMOlapMemberO($Z$30,"[C_RPTCURRENCY].[].[LC]","LC - 本位币","","000"))</f>
        <v/>
      </c>
      <c r="AW47" s="1085">
        <f>IF(_epmOfflineCondition_,"LC",EPMOlapMemberO($Z$30,"[C_RPTCURRENCY].[].[LC]","LC - 本位币","","000"))</f>
        <v/>
      </c>
      <c r="AX47" s="1085">
        <f>IF(_epmOfflineCondition_,"LC",EPMOlapMemberO($Z$30,"[C_RPTCURRENCY].[].[LC]","LC - 本位币","","000"))</f>
        <v/>
      </c>
      <c r="AY47" s="1085" t="n"/>
      <c r="AZ47" s="1085">
        <f>IF(_epmOfflineCondition_,"LC",EPMOlapMemberO($Z$30,"[C_RPTCURRENCY].[].[LC]","LC - 本位币","","000"))</f>
        <v/>
      </c>
      <c r="BA47" s="1085">
        <f>IF(_epmOfflineCondition_,"LC",EPMOlapMemberO($Z$30,"[C_RPTCURRENCY].[].[LC]","LC - 本位币","","000"))</f>
        <v/>
      </c>
      <c r="BB47" s="716" t="n"/>
      <c r="BC47" s="716" t="n"/>
      <c r="BD47" s="716" t="n"/>
      <c r="BE47" s="716" t="n"/>
      <c r="BF47" s="716" t="n"/>
      <c r="BG47" s="716" t="n"/>
      <c r="BH47" s="716" t="n"/>
      <c r="BI47" s="716" t="n"/>
    </row>
    <row r="48" hidden="1" ht="13.5" customFormat="1" customHeight="1" s="716">
      <c r="A48" s="716" t="n"/>
      <c r="B48" s="716" t="n"/>
      <c r="C48" s="716" t="n"/>
      <c r="D48" s="716" t="n"/>
      <c r="E48" s="716" t="n"/>
      <c r="F48" s="716" t="n"/>
      <c r="G48" s="716" t="n"/>
      <c r="H48" s="716" t="n"/>
      <c r="I48" s="716" t="n"/>
      <c r="J48" s="716" t="n"/>
      <c r="K48" s="716" t="n"/>
      <c r="L48" s="716" t="n"/>
      <c r="M48" s="716" t="n"/>
      <c r="N48" s="716" t="n"/>
      <c r="O48" s="716" t="n"/>
      <c r="P48" s="13" t="n"/>
      <c r="Q48" s="13" t="n"/>
      <c r="R48" s="716" t="n"/>
      <c r="S48" s="462" t="n"/>
      <c r="T48" s="716" t="n"/>
      <c r="U48" s="716" t="n"/>
      <c r="V48" s="452" t="n"/>
      <c r="W48" s="716" t="n"/>
      <c r="X48" s="1085" t="n"/>
      <c r="Y48" s="1085" t="inlineStr">
        <is>
          <t>ACCOUNT</t>
        </is>
      </c>
      <c r="Z48" s="1085">
        <f>IF(_epmOfflineCondition_,"A00401",EPMOlapMemberO(Z27,"[C_ACCOUNT].[PARENTH1].[A00401]","A00401 - 所有者权益变动表-实收资本（或股本）","","000"))</f>
        <v/>
      </c>
      <c r="AA48" s="1085">
        <f>IF(_epmOfflineCondition_,"A0040201",EPMOlapMemberO(AA27,"[C_ACCOUNT].[PARENTH1].[A0040201]","A0040201 - 所有者权益变动表-其他权益工具-优先股","","000"))</f>
        <v/>
      </c>
      <c r="AB48" s="1085">
        <f>IF(_epmOfflineCondition_,"A0040202",EPMOlapMemberO(AB27,"[C_ACCOUNT].[PARENTH1].[A0040202]","A0040202 - 所有者权益变动表-其他权益工具-永续债","","000"))</f>
        <v/>
      </c>
      <c r="AC48" s="1085">
        <f>IF(_epmOfflineCondition_,"A0040299",EPMOlapMemberO(AC27,"[C_ACCOUNT].[PARENTH1].[A0040299]","A0040299 - 所有者权益变动表-其他权益工具-其他","","000"))</f>
        <v/>
      </c>
      <c r="AD48" s="1085">
        <f>IF(_epmOfflineCondition_,"A00403",EPMOlapMemberO(AD27,"[C_ACCOUNT].[PARENTH1].[A00403]","A00403 - 所有者权益变动表-资本公积","","000"))</f>
        <v/>
      </c>
      <c r="AE48" s="1085">
        <f>IF(_epmOfflineCondition_,"A00404",EPMOlapMemberO(AE27,"[C_ACCOUNT].[PARENTH1].[A00404]","A00404 - 所有者权益变动表-减：库存股","","000"))</f>
        <v/>
      </c>
      <c r="AF48" s="1085">
        <f>IF(_epmOfflineCondition_,"A00405",EPMOlapMemberO(AF27,"[C_ACCOUNT].[PARENTH1].[A00405]","A00405 - 所有者权益变动表-其他综合收益","","000"))</f>
        <v/>
      </c>
      <c r="AG48" s="1085">
        <f>IF(_epmOfflineCondition_,"A00406",EPMOlapMemberO(AG27,"[C_ACCOUNT].[PARENTH1].[A00406]","A00406 - 所有者权益变动表-专项储备","","000"))</f>
        <v/>
      </c>
      <c r="AH48" s="1085">
        <f>IF(_epmOfflineCondition_,"A00407",EPMOlapMemberO(AH27,"[C_ACCOUNT].[PARENTH1].[A00407]","A00407 - 所有者权益变动表-盈余公积","","000"))</f>
        <v/>
      </c>
      <c r="AI48" s="1085">
        <f>IF(_epmOfflineCondition_,"A00408",EPMOlapMemberO(AI27,"[C_ACCOUNT].[PARENTH1].[A00408]","A00408 - 所有者权益变动表-# 一般风险准备","","000"))</f>
        <v/>
      </c>
      <c r="AJ48" s="1085">
        <f>IF(_epmOfflineCondition_,"A00409",EPMOlapMemberO(AJ27,"[C_ACCOUNT].[PARENTH1].[A00409]","A00409 - 所有者权益变动表-未分配利润","","000"))</f>
        <v/>
      </c>
      <c r="AK48" s="1085" t="n"/>
      <c r="AL48" s="1085">
        <f>IF(_epmOfflineCondition_,"A00410",EPMOlapMemberO(AL27,"[C_ACCOUNT].[PARENTH1].[A00410]","A00410 - 所有者权益变动表-少数股东权益","","000"))</f>
        <v/>
      </c>
      <c r="AM48" s="1085">
        <f>IF(_epmOfflineCondition_,"A004",EPMOlapMemberO(AM27,"[C_ACCOUNT].[PARENTH1].[A004]","A004 - 所有者权益变动表-期末余额","","000"))</f>
        <v/>
      </c>
      <c r="AN48" s="1085">
        <f>IF(_epmOfflineCondition_,"A00401",EPMOlapMemberO(AN27,"[C_ACCOUNT].[PARENTH1].[A00401]","A00401 - 所有者权益变动表-实收资本（或股本）","","000"))</f>
        <v/>
      </c>
      <c r="AO48" s="1085">
        <f>IF(_epmOfflineCondition_,"A0040201",EPMOlapMemberO(AO27,"[C_ACCOUNT].[PARENTH1].[A0040201]","A0040201 - 所有者权益变动表-其他权益工具-优先股","","000"))</f>
        <v/>
      </c>
      <c r="AP48" s="1085">
        <f>IF(_epmOfflineCondition_,"A0040202",EPMOlapMemberO(AP27,"[C_ACCOUNT].[PARENTH1].[A0040202]","A0040202 - 所有者权益变动表-其他权益工具-永续债","","000"))</f>
        <v/>
      </c>
      <c r="AQ48" s="1085">
        <f>IF(_epmOfflineCondition_,"A0040299",EPMOlapMemberO(AQ27,"[C_ACCOUNT].[PARENTH1].[A0040299]","A0040299 - 所有者权益变动表-其他权益工具-其他","","000"))</f>
        <v/>
      </c>
      <c r="AR48" s="1085">
        <f>IF(_epmOfflineCondition_,"A00403",EPMOlapMemberO(AR27,"[C_ACCOUNT].[PARENTH1].[A00403]","A00403 - 所有者权益变动表-资本公积","","000"))</f>
        <v/>
      </c>
      <c r="AS48" s="1085">
        <f>IF(_epmOfflineCondition_,"A00404",EPMOlapMemberO(AS27,"[C_ACCOUNT].[PARENTH1].[A00404]","A00404 - 所有者权益变动表-减：库存股","","000"))</f>
        <v/>
      </c>
      <c r="AT48" s="1085">
        <f>IF(_epmOfflineCondition_,"A00405",EPMOlapMemberO(AT27,"[C_ACCOUNT].[PARENTH1].[A00405]","A00405 - 所有者权益变动表-其他综合收益","","000"))</f>
        <v/>
      </c>
      <c r="AU48" s="1085">
        <f>IF(_epmOfflineCondition_,"A00406",EPMOlapMemberO(AU27,"[C_ACCOUNT].[PARENTH1].[A00406]","A00406 - 所有者权益变动表-专项储备","","000"))</f>
        <v/>
      </c>
      <c r="AV48" s="1085">
        <f>IF(_epmOfflineCondition_,"A00407",EPMOlapMemberO(AV27,"[C_ACCOUNT].[PARENTH1].[A00407]","A00407 - 所有者权益变动表-盈余公积","","000"))</f>
        <v/>
      </c>
      <c r="AW48" s="1085">
        <f>IF(_epmOfflineCondition_,"A00408",EPMOlapMemberO(AW27,"[C_ACCOUNT].[PARENTH1].[A00408]","A00408 - 所有者权益变动表-# 一般风险准备","","000"))</f>
        <v/>
      </c>
      <c r="AX48" s="1085">
        <f>IF(_epmOfflineCondition_,"A00409",EPMOlapMemberO(AX27,"[C_ACCOUNT].[PARENTH1].[A00409]","A00409 - 所有者权益变动表-未分配利润","","000"))</f>
        <v/>
      </c>
      <c r="AY48" s="1085" t="n"/>
      <c r="AZ48" s="1085">
        <f>IF(_epmOfflineCondition_,"A00410",EPMOlapMemberO(AZ27,"[C_ACCOUNT].[PARENTH1].[A00410]","A00410 - 所有者权益变动表-少数股东权益","","000"))</f>
        <v/>
      </c>
      <c r="BA48" s="1085">
        <f>IF(_epmOfflineCondition_,"A004",EPMOlapMemberO(BA27,"[C_ACCOUNT].[PARENTH1].[A004]","A004 - 所有者权益变动表-期末余额","","000"))</f>
        <v/>
      </c>
      <c r="BB48" s="716" t="n"/>
      <c r="BC48" s="716" t="n"/>
      <c r="BD48" s="716" t="n"/>
      <c r="BE48" s="716" t="n"/>
      <c r="BF48" s="716" t="n"/>
      <c r="BG48" s="716" t="n"/>
      <c r="BH48" s="716" t="n"/>
      <c r="BI48" s="716" t="n"/>
    </row>
    <row r="49" hidden="1" ht="13.5" customFormat="1" customHeight="1" s="716">
      <c r="A49" s="716" t="n"/>
      <c r="B49" s="716" t="n"/>
      <c r="C49" s="716" t="n"/>
      <c r="D49" s="716" t="n"/>
      <c r="E49" s="716" t="n"/>
      <c r="F49" s="716" t="n"/>
      <c r="G49" s="716" t="n"/>
      <c r="H49" s="716" t="n"/>
      <c r="I49" s="716" t="n"/>
      <c r="J49" s="716" t="n"/>
      <c r="K49" s="716" t="n"/>
      <c r="L49" s="716" t="n"/>
      <c r="M49" s="716" t="n"/>
      <c r="N49" s="716" t="n"/>
      <c r="O49" s="716" t="n"/>
      <c r="P49" s="13" t="n"/>
      <c r="Q49" s="13" t="n"/>
      <c r="R49" s="716" t="n"/>
      <c r="S49" s="462" t="n"/>
      <c r="T49" s="716" t="n"/>
      <c r="U49" s="716" t="n"/>
      <c r="V49" s="716" t="n"/>
      <c r="W49" s="716" t="n"/>
      <c r="X49" s="1085" t="n"/>
      <c r="Y49" s="1085" t="n"/>
      <c r="Z49" s="1086" t="n"/>
      <c r="AA49" s="1086" t="n"/>
      <c r="AB49" s="1086" t="n"/>
      <c r="AC49" s="1086" t="n"/>
      <c r="AD49" s="1086" t="n"/>
      <c r="AE49" s="1086" t="n"/>
      <c r="AF49" s="1086" t="n"/>
      <c r="AG49" s="1086" t="n"/>
      <c r="AH49" s="1086" t="n"/>
      <c r="AI49" s="1086" t="n"/>
      <c r="AJ49" s="1086" t="n"/>
      <c r="AK49" s="1086" t="n"/>
      <c r="AL49" s="1086" t="n"/>
      <c r="AM49" s="1086" t="n"/>
      <c r="AN49" s="1086" t="n"/>
      <c r="AO49" s="1086" t="n"/>
      <c r="AP49" s="1086" t="n"/>
      <c r="AQ49" s="1086" t="n"/>
      <c r="AR49" s="1086" t="n"/>
      <c r="AS49" s="1086" t="n"/>
      <c r="AT49" s="1086" t="n"/>
      <c r="AU49" s="1086" t="n"/>
      <c r="AV49" s="1086" t="n"/>
      <c r="AW49" s="1086" t="n"/>
      <c r="AX49" s="1086" t="n"/>
      <c r="AY49" s="1086" t="n"/>
      <c r="AZ49" s="1086" t="n"/>
      <c r="BA49" s="1086" t="n"/>
      <c r="BB49" s="716" t="n"/>
      <c r="BC49" s="716" t="n"/>
      <c r="BD49" s="716" t="n"/>
      <c r="BE49" s="716" t="n"/>
      <c r="BF49" s="716" t="n"/>
      <c r="BG49" s="716" t="n"/>
      <c r="BH49" s="716" t="n"/>
      <c r="BI49" s="716" t="n"/>
    </row>
    <row r="50" ht="21" customHeight="1" s="1181">
      <c r="A50" s="13" t="n"/>
      <c r="B50" s="13" t="n"/>
      <c r="C50" s="13" t="n"/>
      <c r="D50" s="13" t="n"/>
      <c r="E50" s="13" t="n"/>
      <c r="F50" s="13" t="n"/>
      <c r="G50" s="13" t="n"/>
      <c r="H50" s="13" t="n"/>
      <c r="I50" s="13" t="n"/>
      <c r="J50" s="13" t="n"/>
      <c r="K50" s="13" t="n"/>
      <c r="L50" s="13" t="n"/>
      <c r="M50" s="716" t="n"/>
      <c r="N50" s="716" t="n"/>
      <c r="O50" s="13" t="n"/>
      <c r="P50" s="13" t="n"/>
      <c r="Q50" s="13" t="n"/>
      <c r="R50" s="13" t="n"/>
      <c r="S50" s="1103" t="n"/>
      <c r="T50" s="1066" t="inlineStr">
        <is>
          <t>一、上年年末余额</t>
        </is>
      </c>
      <c r="U50" s="1066" t="inlineStr">
        <is>
          <t>ZI0300101</t>
        </is>
      </c>
      <c r="V50" s="1104">
        <f>IF(_epmOfflineCondition_,"ZI0300101",EPMOlapMemberO(U50,"[C_ITEM].[PARENTH1].[ZI0300101]","ZI0300101 - 一、上年年末余额","","000"))</f>
        <v/>
      </c>
      <c r="W50" s="13" t="n"/>
      <c r="X50" s="479" t="inlineStr">
        <is>
          <t>一、上年年末余额</t>
        </is>
      </c>
      <c r="Y50" s="316" t="inlineStr"/>
      <c r="Z50" s="1220">
        <f>IF(_epmOfflineCondition_,507249100,ROUND(EPMRetrieveData(,Z$87,$Z$88,$Z$89,$Z$90,$Z$91,$Z$92,$Z$93,$Z$94,$Z$95,$Z$96,$Z$97,$Z$98,$Z$99),2))</f>
        <v/>
      </c>
      <c r="AA50" s="1220">
        <f>IF(_epmOfflineCondition_,0,ROUND(EPMRetrieveData(,AA$87,$Z$88,$Z$89,$Z$90,$Z$91,$Z$92,$Z$93,$Z$94,$Z$95,$Z$96,$Z$97,$Z$98,$Z$99),2))</f>
        <v/>
      </c>
      <c r="AB50" s="1220">
        <f>IF(_epmOfflineCondition_,0,ROUND(EPMRetrieveData(,AB$87,$Z$88,$Z$89,$Z$90,$Z$91,$Z$92,$Z$93,$Z$94,$Z$95,$Z$96,$Z$97,$Z$98,$Z$99),2))</f>
        <v/>
      </c>
      <c r="AC50" s="1220" t="n"/>
      <c r="AD50" s="1220">
        <f>IF(_epmOfflineCondition_,0,ROUND(EPMRetrieveData(,AD$87,$Z$88,$Z$89,$Z$90,$Z$91,$Z$92,$Z$93,$Z$94,$Z$95,$Z$96,$Z$97,$Z$98,$Z$99),2))</f>
        <v/>
      </c>
      <c r="AE50" s="1220">
        <f>IF(_epmOfflineCondition_,0,EPMRetrieveData(,AE$87,$Z$88,$Z$89,$Z$90,$Z$91,$Z$92,$Z$93,$Z$94,$Z$95,$Z$96,$Z$97,$Z$98,$Z$99))</f>
        <v/>
      </c>
      <c r="AF50" s="1220">
        <f>IF(_epmOfflineCondition_,0,ROUND(EPMRetrieveData(,AF$87,$Z$88,$Z$89,$Z$90,$Z$91,$Z$92,$Z$93,$Z$94,$Z$95,$Z$96,$Z$97,$Z$98,$Z$99),2))</f>
        <v/>
      </c>
      <c r="AG50" s="1220">
        <f>IF(_epmOfflineCondition_,2392276.89,EPMRetrieveData(,AG$87,$Z$88,$Z$89,$Z$90,$Z$91,$Z$92,$Z$93,$Z$94,$Z$95,$Z$96,$Z$97,$Z$98,$Z$99))</f>
        <v/>
      </c>
      <c r="AH50" s="1220">
        <f>IF(_epmOfflineCondition_,0,ROUND(EPMRetrieveData(,AH$87,$Z$88,$Z$89,$Z$90,$Z$91,$Z$92,$Z$93,$Z$94,$Z$95,$Z$96,$Z$97,$Z$98,$Z$99),2))</f>
        <v/>
      </c>
      <c r="AI50" s="1220">
        <f>IF(_epmOfflineCondition_,0,EPMRetrieveData(,AI$87,$Z$88,$Z$89,$Z$90,$Z$91,$Z$92,$Z$93,$Z$94,$Z$95,$Z$96,$Z$97,$Z$98,$Z$99))</f>
        <v/>
      </c>
      <c r="AJ50" s="1220">
        <f>IF(_epmOfflineCondition_,181443708.37,ROUND(EPMRetrieveData(,AJ$87,$Z$88,$Z$89,$Z$90,$Z$91,$Z$92,$Z$93,$Z$94,$Z$95,$Z$96,$Z$97,$Z$98,$Z$99),2))</f>
        <v/>
      </c>
      <c r="AK50" s="1221">
        <f>SUM(Z50:AD50,AF50:AJ50)-AE50</f>
        <v/>
      </c>
      <c r="AL50" s="1220">
        <f>IF(_epmOfflineCondition_,0,ROUND(EPMRetrieveData(,AL$87,$Z$88,$Z$89,$Z$90,$Z$91,$Z$92,$Z$93,$Z$94,$Z$95,$Z$96,$Z$97,$Z$98,$Z$99),2))</f>
        <v/>
      </c>
      <c r="AM50" s="1221">
        <f>AK50+AL50</f>
        <v/>
      </c>
      <c r="AN50" s="1220" t="inlineStr"/>
      <c r="AO50" s="1221" t="n"/>
      <c r="AP50" s="1221" t="n"/>
      <c r="AQ50" s="1221" t="n"/>
      <c r="AR50" s="1221" t="n"/>
      <c r="AS50" s="1221" t="n"/>
      <c r="AT50" s="1221" t="n"/>
      <c r="AU50" s="1221" t="n"/>
      <c r="AV50" s="1221" t="n"/>
      <c r="AW50" s="1221" t="n"/>
      <c r="AX50" s="1221" t="n"/>
      <c r="AY50" s="1221">
        <f>SUM(AN50:AR50,AT50:AX50)-AS50</f>
        <v/>
      </c>
      <c r="AZ50" s="1221" t="n"/>
      <c r="BA50" s="1221">
        <f>AY50+AZ50</f>
        <v/>
      </c>
      <c r="BB50" s="13" t="n"/>
      <c r="BC50" s="13" t="n"/>
      <c r="BD50" s="13" t="n"/>
      <c r="BE50" s="13" t="n"/>
      <c r="BF50" s="384" t="inlineStr">
        <is>
          <t>G_DUMMY</t>
        </is>
      </c>
      <c r="BG50" s="384" t="n"/>
      <c r="BH50" s="384" t="inlineStr">
        <is>
          <t>G_DUMMY</t>
        </is>
      </c>
      <c r="BI50" s="13" t="n"/>
    </row>
    <row r="51">
      <c r="A51" s="13" t="n"/>
      <c r="B51" s="13" t="n"/>
      <c r="C51" s="13" t="n"/>
      <c r="D51" s="13" t="n"/>
      <c r="E51" s="13" t="n"/>
      <c r="F51" s="13" t="n"/>
      <c r="G51" s="13" t="n"/>
      <c r="H51" s="13" t="n"/>
      <c r="I51" s="13" t="n"/>
      <c r="J51" s="13" t="n"/>
      <c r="K51" s="13" t="n"/>
      <c r="L51" s="13" t="n"/>
      <c r="M51" s="716" t="n"/>
      <c r="N51" s="716" t="n"/>
      <c r="O51" s="13" t="n"/>
      <c r="P51" s="13" t="n"/>
      <c r="Q51" s="13" t="n"/>
      <c r="R51" s="13" t="n"/>
      <c r="S51" s="1103" t="n"/>
      <c r="T51" s="1066" t="inlineStr">
        <is>
          <t xml:space="preserve">  加：会计政策变更</t>
        </is>
      </c>
      <c r="U51" s="1066" t="inlineStr">
        <is>
          <t>ZI0300102</t>
        </is>
      </c>
      <c r="V51" s="1104">
        <f>IF(_epmOfflineCondition_,"ZI0300102",EPMOlapMemberO(U51,"[C_ITEM].[PARENTH1].[ZI0300102]","ZI0300102 -   加：会计政策变更","","000"))</f>
        <v/>
      </c>
      <c r="W51" s="13" t="n"/>
      <c r="X51" s="479" t="inlineStr">
        <is>
          <t xml:space="preserve">  加：会计政策变更</t>
        </is>
      </c>
      <c r="Y51" s="316" t="inlineStr"/>
      <c r="Z51" s="1222" t="n"/>
      <c r="AA51" s="1222" t="n"/>
      <c r="AB51" s="1222" t="n"/>
      <c r="AC51" s="1222" t="n"/>
      <c r="AD51" s="1222" t="n"/>
      <c r="AE51" s="1222" t="n"/>
      <c r="AF51" s="1222" t="n"/>
      <c r="AG51" s="1222" t="n"/>
      <c r="AH51" s="1222" t="n"/>
      <c r="AI51" s="1222" t="n"/>
      <c r="AJ51" s="1222" t="n"/>
      <c r="AK51" s="1222">
        <f>SUM(Z51:AD51,AF51:AJ51)-AE51</f>
        <v/>
      </c>
      <c r="AL51" s="1222" t="n"/>
      <c r="AM51" s="1222">
        <f>AK51+AL51</f>
        <v/>
      </c>
      <c r="AN51" s="1222" t="n"/>
      <c r="AO51" s="1222" t="n"/>
      <c r="AP51" s="1222" t="n"/>
      <c r="AQ51" s="1222" t="n"/>
      <c r="AR51" s="1222" t="n"/>
      <c r="AS51" s="1222" t="n"/>
      <c r="AT51" s="1222" t="n"/>
      <c r="AU51" s="1222" t="n"/>
      <c r="AV51" s="1222" t="n"/>
      <c r="AW51" s="1222" t="n"/>
      <c r="AX51" s="1222" t="n"/>
      <c r="AY51" s="1222">
        <f>SUM(AN51:AR51,AT51:AX51)-AS51</f>
        <v/>
      </c>
      <c r="AZ51" s="1222" t="n"/>
      <c r="BA51" s="1222">
        <f>AY51+AZ51</f>
        <v/>
      </c>
      <c r="BB51" s="13" t="n"/>
      <c r="BC51" s="13" t="n"/>
      <c r="BD51" s="13" t="n"/>
      <c r="BE51" s="13" t="n"/>
      <c r="BF51" s="384" t="inlineStr">
        <is>
          <t>G100000</t>
        </is>
      </c>
      <c r="BG51" s="384" t="inlineStr">
        <is>
          <t>北京能源集团有限责任公司（合并）</t>
        </is>
      </c>
      <c r="BH51" s="384" t="inlineStr">
        <is>
          <t>E100000G</t>
        </is>
      </c>
      <c r="BI51" s="384" t="inlineStr">
        <is>
          <t xml:space="preserve"> 北京能源集团有限责任公司（合并）</t>
        </is>
      </c>
    </row>
    <row r="52">
      <c r="A52" s="13" t="n"/>
      <c r="B52" s="13" t="n"/>
      <c r="C52" s="13" t="n"/>
      <c r="D52" s="13" t="n"/>
      <c r="E52" s="13" t="n"/>
      <c r="F52" s="13" t="n"/>
      <c r="G52" s="13" t="n"/>
      <c r="H52" s="13" t="n"/>
      <c r="I52" s="13" t="n"/>
      <c r="J52" s="13" t="n"/>
      <c r="K52" s="13" t="n"/>
      <c r="L52" s="13" t="n"/>
      <c r="M52" s="716" t="n"/>
      <c r="N52" s="716" t="n"/>
      <c r="O52" s="13" t="n"/>
      <c r="P52" s="13" t="n"/>
      <c r="Q52" s="13" t="n"/>
      <c r="R52" s="13" t="n"/>
      <c r="S52" s="1103" t="n"/>
      <c r="T52" s="1066" t="inlineStr">
        <is>
          <t xml:space="preserve">      前期差错更正</t>
        </is>
      </c>
      <c r="U52" s="1066" t="inlineStr">
        <is>
          <t>ZI0300103</t>
        </is>
      </c>
      <c r="V52" s="1104">
        <f>IF(_epmOfflineCondition_,"ZI0300103",EPMOlapMemberO(U52,"[C_ITEM].[PARENTH1].[ZI0300103]","ZI0300103 -       前期差错更正","","000"))</f>
        <v/>
      </c>
      <c r="W52" s="13" t="n"/>
      <c r="X52" s="479" t="inlineStr">
        <is>
          <t xml:space="preserve">      前期差错更正</t>
        </is>
      </c>
      <c r="Y52" s="316" t="inlineStr"/>
      <c r="Z52" s="1222" t="n"/>
      <c r="AA52" s="1222" t="n"/>
      <c r="AB52" s="1222" t="n"/>
      <c r="AC52" s="1222" t="n"/>
      <c r="AD52" s="1222" t="n"/>
      <c r="AE52" s="1222" t="n"/>
      <c r="AF52" s="1222" t="n"/>
      <c r="AG52" s="1222" t="n"/>
      <c r="AH52" s="1222" t="n"/>
      <c r="AI52" s="1222" t="n"/>
      <c r="AJ52" s="1222" t="n"/>
      <c r="AK52" s="1222">
        <f>SUM(Z52:AD52,AF52:AJ52)-AE52</f>
        <v/>
      </c>
      <c r="AL52" s="1222" t="n"/>
      <c r="AM52" s="1222">
        <f>AK52+AL52</f>
        <v/>
      </c>
      <c r="AN52" s="1222" t="n"/>
      <c r="AO52" s="1222" t="n"/>
      <c r="AP52" s="1222" t="n"/>
      <c r="AQ52" s="1222" t="n"/>
      <c r="AR52" s="1222" t="n"/>
      <c r="AS52" s="1222" t="n"/>
      <c r="AT52" s="1222" t="n"/>
      <c r="AU52" s="1222" t="n"/>
      <c r="AV52" s="1222" t="n"/>
      <c r="AW52" s="1222" t="n"/>
      <c r="AX52" s="1222" t="n"/>
      <c r="AY52" s="1222">
        <f>SUM(AN52:AR52,AT52:AX52)-AS52</f>
        <v/>
      </c>
      <c r="AZ52" s="1222" t="n"/>
      <c r="BA52" s="1222">
        <f>AY52+AZ52</f>
        <v/>
      </c>
      <c r="BB52" s="13" t="n"/>
      <c r="BC52" s="13" t="n"/>
      <c r="BD52" s="13" t="n"/>
      <c r="BE52" s="13" t="n"/>
      <c r="BF52" s="384" t="inlineStr">
        <is>
          <t>G100000H</t>
        </is>
      </c>
      <c r="BG52" s="384" t="inlineStr">
        <is>
          <t>北京能源集团有限责任公司（母公司）</t>
        </is>
      </c>
      <c r="BH52" s="384" t="inlineStr">
        <is>
          <t>E100000H</t>
        </is>
      </c>
      <c r="BI52" s="384" t="inlineStr">
        <is>
          <t xml:space="preserve"> 北京能源集团有限责任公司（母公司）</t>
        </is>
      </c>
    </row>
    <row r="53">
      <c r="A53" s="13" t="n"/>
      <c r="B53" s="13" t="n"/>
      <c r="C53" s="13" t="n"/>
      <c r="D53" s="13" t="n"/>
      <c r="E53" s="13" t="n"/>
      <c r="F53" s="13" t="n"/>
      <c r="G53" s="13" t="n"/>
      <c r="H53" s="13" t="n"/>
      <c r="I53" s="13" t="n"/>
      <c r="J53" s="13" t="n"/>
      <c r="K53" s="13" t="n"/>
      <c r="L53" s="13" t="n"/>
      <c r="M53" s="716" t="n"/>
      <c r="N53" s="716" t="n"/>
      <c r="O53" s="13" t="n"/>
      <c r="P53" s="13" t="n"/>
      <c r="Q53" s="13" t="n"/>
      <c r="R53" s="13" t="n"/>
      <c r="S53" s="1103" t="n"/>
      <c r="T53" s="1066" t="inlineStr">
        <is>
          <t xml:space="preserve">      其他</t>
        </is>
      </c>
      <c r="U53" s="1066" t="inlineStr">
        <is>
          <t>ZI0300104</t>
        </is>
      </c>
      <c r="V53" s="1104">
        <f>IF(_epmOfflineCondition_,"ZI0300104",EPMOlapMemberO(U53,"[C_ITEM].[PARENTH1].[ZI0300104]","ZI0300104 -       其他","","000"))</f>
        <v/>
      </c>
      <c r="W53" s="13" t="n"/>
      <c r="X53" s="479" t="inlineStr">
        <is>
          <t xml:space="preserve">      其他</t>
        </is>
      </c>
      <c r="Y53" s="316" t="inlineStr"/>
      <c r="Z53" s="1222" t="n"/>
      <c r="AA53" s="1222" t="n"/>
      <c r="AB53" s="1222" t="n"/>
      <c r="AC53" s="1222" t="n"/>
      <c r="AD53" s="1222" t="n"/>
      <c r="AE53" s="1222" t="n"/>
      <c r="AF53" s="1222" t="n"/>
      <c r="AG53" s="1222" t="n"/>
      <c r="AH53" s="1222" t="n"/>
      <c r="AI53" s="1222" t="n"/>
      <c r="AJ53" s="1222" t="n"/>
      <c r="AK53" s="1222">
        <f>SUM(Z53:AD53,AF53:AJ53)-AE53</f>
        <v/>
      </c>
      <c r="AL53" s="1222" t="n"/>
      <c r="AM53" s="1222">
        <f>AK53+AL53</f>
        <v/>
      </c>
      <c r="AN53" s="1222" t="n"/>
      <c r="AO53" s="1222" t="n"/>
      <c r="AP53" s="1222" t="n"/>
      <c r="AQ53" s="1222" t="n"/>
      <c r="AR53" s="1222" t="n"/>
      <c r="AS53" s="1222" t="n"/>
      <c r="AT53" s="1222" t="n"/>
      <c r="AU53" s="1222" t="n"/>
      <c r="AV53" s="1222" t="n"/>
      <c r="AW53" s="1222" t="n"/>
      <c r="AX53" s="1222" t="n"/>
      <c r="AY53" s="1222">
        <f>SUM(AN53:AR53,AT53:AX53)-AS53</f>
        <v/>
      </c>
      <c r="AZ53" s="1222" t="n"/>
      <c r="BA53" s="1222">
        <f>AY53+AZ53</f>
        <v/>
      </c>
      <c r="BB53" s="13" t="n"/>
      <c r="BC53" s="13" t="n"/>
      <c r="BD53" s="13" t="n"/>
      <c r="BE53" s="13" t="n"/>
      <c r="BF53" s="384" t="inlineStr">
        <is>
          <t>G100001</t>
        </is>
      </c>
      <c r="BG53" s="384" t="inlineStr">
        <is>
          <t>北京京能清洁能源电力股份有限公司（合并）</t>
        </is>
      </c>
      <c r="BH53" s="384" t="inlineStr">
        <is>
          <t>E100001G</t>
        </is>
      </c>
      <c r="BI53" s="384" t="inlineStr">
        <is>
          <t xml:space="preserve"> 北京京能清洁能源电力股份有限公司（合并）</t>
        </is>
      </c>
    </row>
    <row r="54">
      <c r="A54" s="13" t="n"/>
      <c r="B54" s="13" t="n"/>
      <c r="C54" s="13" t="n"/>
      <c r="D54" s="13" t="n"/>
      <c r="E54" s="13" t="n"/>
      <c r="F54" s="13" t="n"/>
      <c r="G54" s="13" t="n"/>
      <c r="H54" s="13" t="n"/>
      <c r="I54" s="13" t="n"/>
      <c r="J54" s="13" t="n"/>
      <c r="K54" s="13" t="n"/>
      <c r="L54" s="13" t="n"/>
      <c r="M54" s="716" t="n"/>
      <c r="N54" s="716" t="n"/>
      <c r="O54" s="13" t="n"/>
      <c r="P54" s="13" t="n"/>
      <c r="Q54" s="13" t="n"/>
      <c r="R54" s="13" t="n"/>
      <c r="S54" s="1103" t="n"/>
      <c r="T54" s="1066" t="inlineStr">
        <is>
          <t>二、本年年初余额</t>
        </is>
      </c>
      <c r="U54" s="1066" t="inlineStr">
        <is>
          <t>ZI03001</t>
        </is>
      </c>
      <c r="V54" s="1071">
        <f>IF(_epmOfflineCondition_,"ZI03001",EPMOlapMemberO(U54,"[C_ITEM].[PARENTH1].[ZI03001]","ZI03001 - 二、本年年初余额","","000"))</f>
        <v/>
      </c>
      <c r="W54" s="13" t="n"/>
      <c r="X54" s="479" t="inlineStr">
        <is>
          <t>二、本年年初余额</t>
        </is>
      </c>
      <c r="Y54" s="316" t="inlineStr"/>
      <c r="Z54" s="1222">
        <f>SUM(Z50:Z53)</f>
        <v/>
      </c>
      <c r="AA54" s="1222">
        <f>SUM(AA50:AA53)</f>
        <v/>
      </c>
      <c r="AB54" s="1222">
        <f>SUM(AB50:AB53)</f>
        <v/>
      </c>
      <c r="AC54" s="1222">
        <f>SUM(AC50:AC53)</f>
        <v/>
      </c>
      <c r="AD54" s="1222">
        <f>SUM(AD50:AD53)</f>
        <v/>
      </c>
      <c r="AE54" s="1222">
        <f>SUM(AE50:AE53)</f>
        <v/>
      </c>
      <c r="AF54" s="1222">
        <f>SUM(AF50:AF53)</f>
        <v/>
      </c>
      <c r="AG54" s="1222">
        <f>SUM(AG50:AG53)</f>
        <v/>
      </c>
      <c r="AH54" s="1222">
        <f>SUM(AH50:AH53)</f>
        <v/>
      </c>
      <c r="AI54" s="1222">
        <f>SUM(AI50:AI53)</f>
        <v/>
      </c>
      <c r="AJ54" s="1222">
        <f>SUM(AJ50:AJ53)</f>
        <v/>
      </c>
      <c r="AK54" s="1222">
        <f>SUM(Z54:AD54,AF54:AJ54)-AE54</f>
        <v/>
      </c>
      <c r="AL54" s="1222">
        <f>SUM(AL50:AL53)</f>
        <v/>
      </c>
      <c r="AM54" s="1222">
        <f>AK54+AL54</f>
        <v/>
      </c>
      <c r="AN54" s="1222">
        <f>SUM(AN50:AN53)</f>
        <v/>
      </c>
      <c r="AO54" s="1222">
        <f>SUM(AO50:AO53)</f>
        <v/>
      </c>
      <c r="AP54" s="1222">
        <f>SUM(AP50:AP53)</f>
        <v/>
      </c>
      <c r="AQ54" s="1222">
        <f>SUM(AQ50:AQ53)</f>
        <v/>
      </c>
      <c r="AR54" s="1222">
        <f>SUM(AR50:AR53)</f>
        <v/>
      </c>
      <c r="AS54" s="1222">
        <f>SUM(AS50:AS53)</f>
        <v/>
      </c>
      <c r="AT54" s="1222">
        <f>SUM(AT50:AT53)</f>
        <v/>
      </c>
      <c r="AU54" s="1222">
        <f>SUM(AU50:AU53)</f>
        <v/>
      </c>
      <c r="AV54" s="1222">
        <f>SUM(AV50:AV53)</f>
        <v/>
      </c>
      <c r="AW54" s="1222">
        <f>SUM(AW50:AW53)</f>
        <v/>
      </c>
      <c r="AX54" s="1222">
        <f>SUM(AX50:AX53)</f>
        <v/>
      </c>
      <c r="AY54" s="1222">
        <f>SUM(AN54:AR54,AT54:AX54)-AS54</f>
        <v/>
      </c>
      <c r="AZ54" s="1222">
        <f>SUM(AZ50:AZ53)</f>
        <v/>
      </c>
      <c r="BA54" s="1222">
        <f>AY54+AZ54</f>
        <v/>
      </c>
      <c r="BB54" s="13" t="n"/>
      <c r="BC54" s="13" t="n"/>
      <c r="BD54" s="13" t="n"/>
      <c r="BE54" s="13" t="n"/>
      <c r="BF54" s="384" t="inlineStr">
        <is>
          <t>G100001H</t>
        </is>
      </c>
      <c r="BG54" s="384" t="inlineStr">
        <is>
          <t>北京京能清洁能源电力股份有限公司（母公司）</t>
        </is>
      </c>
      <c r="BH54" s="384" t="inlineStr">
        <is>
          <t>E100001H</t>
        </is>
      </c>
      <c r="BI54" s="384" t="inlineStr">
        <is>
          <t xml:space="preserve"> 北京京能清洁能源电力股份有限公司（母公司）</t>
        </is>
      </c>
    </row>
    <row r="55">
      <c r="A55" s="13" t="n"/>
      <c r="B55" s="13" t="n"/>
      <c r="C55" s="13" t="n"/>
      <c r="D55" s="13" t="n"/>
      <c r="E55" s="13" t="n"/>
      <c r="F55" s="13" t="n"/>
      <c r="G55" s="13" t="n"/>
      <c r="H55" s="13" t="n"/>
      <c r="I55" s="13" t="n"/>
      <c r="J55" s="13" t="n"/>
      <c r="K55" s="13" t="n"/>
      <c r="L55" s="13" t="n"/>
      <c r="M55" s="716" t="n"/>
      <c r="N55" s="716" t="n"/>
      <c r="O55" s="13" t="n"/>
      <c r="P55" s="13" t="n"/>
      <c r="Q55" s="13" t="n"/>
      <c r="R55" s="13" t="n"/>
      <c r="S55" s="1103" t="n"/>
      <c r="T55" s="1066" t="inlineStr">
        <is>
          <t>三、本年增减变动金额（减少以“-”号填列）</t>
        </is>
      </c>
      <c r="U55" s="1066" t="inlineStr">
        <is>
          <t>ZI03002</t>
        </is>
      </c>
      <c r="V55" s="1071">
        <f>IF(_epmOfflineCondition_,"ZI03002",EPMOlapMemberO(U55,"[C_ITEM].[PARENTH1].[ZI03002]","ZI03002 - 三、本年增减变动金额（减少以“-""号填列）","","000"))</f>
        <v/>
      </c>
      <c r="W55" s="13" t="n"/>
      <c r="X55" s="479" t="inlineStr">
        <is>
          <t>三、本年增减变动金额（减少以“-”号填列）</t>
        </is>
      </c>
      <c r="Y55" s="316" t="inlineStr"/>
      <c r="Z55" s="1222">
        <f>Z57+Z75</f>
        <v/>
      </c>
      <c r="AA55" s="1222">
        <f>AA57+AA65+AA75</f>
        <v/>
      </c>
      <c r="AB55" s="1222">
        <f>AB57+AB65+AB75</f>
        <v/>
      </c>
      <c r="AC55" s="1222">
        <f>AC57+AC65+AC75</f>
        <v/>
      </c>
      <c r="AD55" s="1222">
        <f>AD57+AD65+AD75</f>
        <v/>
      </c>
      <c r="AE55" s="1222">
        <f>AE57+AE65+AE75</f>
        <v/>
      </c>
      <c r="AF55" s="1222">
        <f>AF56+AF57+AF65+AF75</f>
        <v/>
      </c>
      <c r="AG55" s="1222">
        <f>AG57+AG62+AG65+AG75</f>
        <v/>
      </c>
      <c r="AH55" s="1222">
        <f>AH57+AH65+AH75</f>
        <v/>
      </c>
      <c r="AI55" s="1222">
        <f>AI57+AI65+AI75</f>
        <v/>
      </c>
      <c r="AJ55" s="1222">
        <f>AJ56+AJ57+AJ65+AJ75</f>
        <v/>
      </c>
      <c r="AK55" s="1222">
        <f>SUM(Z55:AD55,AF55:AJ55)-AE55</f>
        <v/>
      </c>
      <c r="AL55" s="1222">
        <f>AL56+AL57+AL62+AL65+AL75</f>
        <v/>
      </c>
      <c r="AM55" s="1222">
        <f>AK55+AL55</f>
        <v/>
      </c>
      <c r="AN55" s="1222">
        <f>AN57+AN75</f>
        <v/>
      </c>
      <c r="AO55" s="1222">
        <f>AO57+AO65+AO75</f>
        <v/>
      </c>
      <c r="AP55" s="1222">
        <f>AP57+AP65+AP75</f>
        <v/>
      </c>
      <c r="AQ55" s="1222">
        <f>AQ57+AQ65+AQ75</f>
        <v/>
      </c>
      <c r="AR55" s="1222">
        <f>AR57+AR65+AR75</f>
        <v/>
      </c>
      <c r="AS55" s="1222">
        <f>AS57+AS65+AS75</f>
        <v/>
      </c>
      <c r="AT55" s="1222">
        <f>AT56+AT57+AT65+AT75</f>
        <v/>
      </c>
      <c r="AU55" s="1222">
        <f>AU57+AU62+AU65+AU75</f>
        <v/>
      </c>
      <c r="AV55" s="1222">
        <f>AV57+AV65+AV75</f>
        <v/>
      </c>
      <c r="AW55" s="1222">
        <f>AW57+AW65+AW75</f>
        <v/>
      </c>
      <c r="AX55" s="1222">
        <f>AX56+AX57+AX65+AX75</f>
        <v/>
      </c>
      <c r="AY55" s="1222">
        <f>SUM(AN55:AR55,AT55:AX55)-AS55</f>
        <v/>
      </c>
      <c r="AZ55" s="1222">
        <f>AZ57+AZ62+AZ65+AZ75</f>
        <v/>
      </c>
      <c r="BA55" s="1222">
        <f>AY55+AZ55</f>
        <v/>
      </c>
      <c r="BB55" s="13" t="n"/>
      <c r="BC55" s="13" t="n"/>
      <c r="BD55" s="13" t="n"/>
      <c r="BE55" s="13" t="n"/>
      <c r="BF55" s="384" t="inlineStr">
        <is>
          <t>G100014H</t>
        </is>
      </c>
      <c r="BG55" s="384" t="inlineStr">
        <is>
          <t>北京京能新能源有限公司（合并）</t>
        </is>
      </c>
      <c r="BH55" s="384" t="inlineStr">
        <is>
          <t>E100014H</t>
        </is>
      </c>
      <c r="BI55" s="384" t="inlineStr">
        <is>
          <t xml:space="preserve"> 北京京能新能源有限公司（合并）</t>
        </is>
      </c>
    </row>
    <row r="56">
      <c r="A56" s="13" t="n"/>
      <c r="B56" s="13" t="n"/>
      <c r="C56" s="13" t="n"/>
      <c r="D56" s="13" t="n"/>
      <c r="E56" s="13" t="n"/>
      <c r="F56" s="13" t="n"/>
      <c r="G56" s="13" t="n"/>
      <c r="H56" s="13" t="n"/>
      <c r="I56" s="13" t="n"/>
      <c r="J56" s="13" t="n"/>
      <c r="K56" s="13" t="n"/>
      <c r="L56" s="13" t="n"/>
      <c r="M56" s="716" t="n"/>
      <c r="N56" s="716" t="n"/>
      <c r="O56" s="13" t="n"/>
      <c r="P56" s="13" t="n"/>
      <c r="Q56" s="13" t="n"/>
      <c r="R56" s="13" t="n"/>
      <c r="S56" s="1103" t="n"/>
      <c r="T56" s="1066" t="inlineStr">
        <is>
          <t xml:space="preserve">   （一）综合收益总额</t>
        </is>
      </c>
      <c r="U56" s="1066" t="inlineStr">
        <is>
          <t>ZI0300201</t>
        </is>
      </c>
      <c r="V56" s="1104">
        <f>IF(_epmOfflineCondition_,"ZI0300201",EPMOlapMemberO(U56,"[C_ITEM].[PARENTH1].[ZI0300201]","ZI0300201 -    （一）综合收益总额","","000"))</f>
        <v/>
      </c>
      <c r="W56" s="13" t="n"/>
      <c r="X56" s="1072" t="inlineStr">
        <is>
          <t xml:space="preserve">   （一）综合收益总额</t>
        </is>
      </c>
      <c r="Y56" s="316" t="inlineStr"/>
      <c r="Z56" s="1223">
        <f>"——"</f>
        <v/>
      </c>
      <c r="AA56" s="1223">
        <f>"——"</f>
        <v/>
      </c>
      <c r="AB56" s="1224">
        <f>"——"</f>
        <v/>
      </c>
      <c r="AC56" s="1224">
        <f>"——"</f>
        <v/>
      </c>
      <c r="AD56" s="1224">
        <f>"——"</f>
        <v/>
      </c>
      <c r="AE56" s="1224">
        <f>"——"</f>
        <v/>
      </c>
      <c r="AF56" s="1221">
        <f>IF(_epmOfflineCondition_,0,EPMRetrieveData(,$Z$102,$I$11,$Z$89,$Z$90,$Z$91,$Z$92,$AA$93,$Z$94,$Z$95,$Z$96,$Z$97,$Z$98,$Z$99))</f>
        <v/>
      </c>
      <c r="AG56" s="1224">
        <f>"——"</f>
        <v/>
      </c>
      <c r="AH56" s="1224">
        <f>"——"</f>
        <v/>
      </c>
      <c r="AI56" s="1224">
        <f>"——"</f>
        <v/>
      </c>
      <c r="AJ56" s="1221">
        <f>IF(_epmOfflineCondition_,57971792.97,IF($Z$92="E100222",$AA$110,IF(Y111=0,ROUND(EPMRetrieveData(,$AA$102,$I$11,$Z$89,$Z$90,$Z$91,$Z$92,$AA$93,$Z$94,$Z$95,$Z$96,$Z$97,$Z$98,$Z$99),2),0)))</f>
        <v/>
      </c>
      <c r="AK56" s="1221">
        <f>AF56+AJ56</f>
        <v/>
      </c>
      <c r="AL56" s="1221">
        <f>IF(_epmOfflineCondition_,0,ROUND(EPMRetrieveData(,$AC$102,$I$11,$Z$89,$Z$90,$Z$91,$Z$92,$AA$93,$Z$94,$Z$95,$Z$96,$Z$97,$Z$98,$Z$99)+EPMRetrieveData(,$AB$102,$I$11,$Z$89,$Z$90,$Z$91,$Z$92,$AA$93,$Z$94,$Z$95,$Z$96,$Z$97,$Z$98,$Z$99),2))</f>
        <v/>
      </c>
      <c r="AM56" s="1222">
        <f>AK56+AL56</f>
        <v/>
      </c>
      <c r="AN56" s="1223">
        <f>"——"</f>
        <v/>
      </c>
      <c r="AO56" s="1223">
        <f>"——"</f>
        <v/>
      </c>
      <c r="AP56" s="1224">
        <f>"——"</f>
        <v/>
      </c>
      <c r="AQ56" s="1224">
        <f>"——"</f>
        <v/>
      </c>
      <c r="AR56" s="1224">
        <f>"——"</f>
        <v/>
      </c>
      <c r="AS56" s="1224">
        <f>"——"</f>
        <v/>
      </c>
      <c r="AT56" s="1222" t="n"/>
      <c r="AU56" s="1224">
        <f>"——"</f>
        <v/>
      </c>
      <c r="AV56" s="1224">
        <f>"——"</f>
        <v/>
      </c>
      <c r="AW56" s="1224">
        <f>"——"</f>
        <v/>
      </c>
      <c r="AX56" s="1222" t="inlineStr"/>
      <c r="AY56" s="1221">
        <f>AT56+AX56</f>
        <v/>
      </c>
      <c r="AZ56" s="1222" t="n"/>
      <c r="BA56" s="1222">
        <f>AY56+AZ56</f>
        <v/>
      </c>
      <c r="BB56" s="13" t="n"/>
      <c r="BC56" s="13" t="n"/>
      <c r="BD56" s="13" t="n"/>
      <c r="BE56" s="13" t="n"/>
      <c r="BF56" s="384" t="inlineStr">
        <is>
          <t>G100031H</t>
        </is>
      </c>
      <c r="BG56" s="384" t="inlineStr">
        <is>
          <t>五家渠京能新能源有限责任公司（合并）</t>
        </is>
      </c>
      <c r="BH56" s="384" t="inlineStr">
        <is>
          <t>E100031H</t>
        </is>
      </c>
      <c r="BI56" s="384" t="inlineStr">
        <is>
          <t xml:space="preserve"> 五家渠京能新能源有限责任公司（合并）</t>
        </is>
      </c>
    </row>
    <row r="57">
      <c r="A57" s="13" t="n"/>
      <c r="B57" s="13" t="n"/>
      <c r="C57" s="13" t="n"/>
      <c r="D57" s="13" t="n"/>
      <c r="E57" s="13" t="n"/>
      <c r="F57" s="13" t="n"/>
      <c r="G57" s="13" t="n"/>
      <c r="H57" s="13" t="n"/>
      <c r="I57" s="13" t="n"/>
      <c r="J57" s="13" t="n"/>
      <c r="K57" s="13" t="n"/>
      <c r="L57" s="13" t="n"/>
      <c r="M57" s="716" t="n"/>
      <c r="N57" s="716" t="n"/>
      <c r="O57" s="13" t="n"/>
      <c r="P57" s="13" t="n"/>
      <c r="Q57" s="13" t="n"/>
      <c r="R57" s="13" t="n"/>
      <c r="S57" s="1103" t="n"/>
      <c r="T57" s="1066" t="inlineStr">
        <is>
          <t xml:space="preserve">  （二）所有者投入和减少资本</t>
        </is>
      </c>
      <c r="U57" s="1066" t="inlineStr">
        <is>
          <t>ZI0300202</t>
        </is>
      </c>
      <c r="V57" s="1104">
        <f>IF(_epmOfflineCondition_,"ZI0300202",EPMOlapMemberO(U57,"[C_ITEM].[PARENTH1].[ZI0300202]","ZI0300202 -   （二）所有者投入和减少资本","","000"))</f>
        <v/>
      </c>
      <c r="W57" s="13" t="n"/>
      <c r="X57" s="1072" t="inlineStr">
        <is>
          <t xml:space="preserve">  （二）所有者投入和减少资本</t>
        </is>
      </c>
      <c r="Y57" s="316" t="inlineStr"/>
      <c r="Z57" s="1222">
        <f>SUM(Z58:Z61)</f>
        <v/>
      </c>
      <c r="AA57" s="1222">
        <f>AA59</f>
        <v/>
      </c>
      <c r="AB57" s="1222">
        <f>AB59</f>
        <v/>
      </c>
      <c r="AC57" s="1222">
        <f>AC59</f>
        <v/>
      </c>
      <c r="AD57" s="1222">
        <f>SUM(AD58:AD61)</f>
        <v/>
      </c>
      <c r="AE57" s="1223">
        <f>AE61</f>
        <v/>
      </c>
      <c r="AF57" s="1222">
        <f>AF61</f>
        <v/>
      </c>
      <c r="AG57" s="1222">
        <f>AG61</f>
        <v/>
      </c>
      <c r="AH57" s="1222">
        <f>AH61</f>
        <v/>
      </c>
      <c r="AI57" s="1222">
        <f>AI61</f>
        <v/>
      </c>
      <c r="AJ57" s="1222">
        <f>AJ61</f>
        <v/>
      </c>
      <c r="AK57" s="1222">
        <f>SUM(Z57:AD57,AF57:AJ57)-AE57</f>
        <v/>
      </c>
      <c r="AL57" s="1222">
        <f>SUM(AL58:AL61)</f>
        <v/>
      </c>
      <c r="AM57" s="1222">
        <f>AK57+AL57</f>
        <v/>
      </c>
      <c r="AN57" s="1222">
        <f>SUM(AN58:AN61)</f>
        <v/>
      </c>
      <c r="AO57" s="1222">
        <f>AO59</f>
        <v/>
      </c>
      <c r="AP57" s="1222">
        <f>AP59</f>
        <v/>
      </c>
      <c r="AQ57" s="1222">
        <f>AQ59</f>
        <v/>
      </c>
      <c r="AR57" s="1222">
        <f>SUM(AR58:AR61)</f>
        <v/>
      </c>
      <c r="AS57" s="1223">
        <f>AS61</f>
        <v/>
      </c>
      <c r="AT57" s="1222">
        <f>AT61</f>
        <v/>
      </c>
      <c r="AU57" s="1222">
        <f>AU61</f>
        <v/>
      </c>
      <c r="AV57" s="1222">
        <f>AV61</f>
        <v/>
      </c>
      <c r="AW57" s="1222">
        <f>AW61</f>
        <v/>
      </c>
      <c r="AX57" s="1222">
        <f>AX61</f>
        <v/>
      </c>
      <c r="AY57" s="1222">
        <f>SUM(AN57:AR57,AT57:AX57)-AS57</f>
        <v/>
      </c>
      <c r="AZ57" s="1222">
        <f>SUM(AZ58:AZ61)</f>
        <v/>
      </c>
      <c r="BA57" s="1222">
        <f>AY57+AZ57</f>
        <v/>
      </c>
      <c r="BB57" s="13" t="n"/>
      <c r="BC57" s="13" t="n"/>
      <c r="BD57" s="13" t="n"/>
      <c r="BE57" s="13" t="n"/>
      <c r="BF57" s="384" t="inlineStr">
        <is>
          <t>G100050</t>
        </is>
      </c>
      <c r="BG57" s="384" t="inlineStr">
        <is>
          <t>内蒙古京能苏尼特风力发电有限公司（合并）</t>
        </is>
      </c>
      <c r="BH57" s="384" t="inlineStr">
        <is>
          <t>E100050G</t>
        </is>
      </c>
      <c r="BI57" s="384" t="inlineStr">
        <is>
          <t xml:space="preserve"> 内蒙古京能苏尼特风力发电有限公司（合并）</t>
        </is>
      </c>
    </row>
    <row r="58">
      <c r="A58" s="13" t="n"/>
      <c r="B58" s="13" t="n"/>
      <c r="C58" s="13" t="n"/>
      <c r="D58" s="13" t="n"/>
      <c r="E58" s="13" t="n"/>
      <c r="F58" s="13" t="n"/>
      <c r="G58" s="13" t="n"/>
      <c r="H58" s="13" t="n"/>
      <c r="I58" s="13" t="n"/>
      <c r="J58" s="13" t="n"/>
      <c r="K58" s="13" t="n"/>
      <c r="L58" s="13" t="n"/>
      <c r="M58" s="716" t="n"/>
      <c r="N58" s="716" t="n"/>
      <c r="O58" s="13" t="n"/>
      <c r="P58" s="13" t="n"/>
      <c r="Q58" s="13" t="n"/>
      <c r="R58" s="13" t="n"/>
      <c r="S58" s="1103" t="n"/>
      <c r="T58" s="1066" t="inlineStr">
        <is>
          <t xml:space="preserve">         1.所有者投入的普通股</t>
        </is>
      </c>
      <c r="U58" s="1066" t="inlineStr">
        <is>
          <t>ZI030020201</t>
        </is>
      </c>
      <c r="V58" s="1073">
        <f>IF(_epmOfflineCondition_,"ZI030020201",EPMOlapMemberO(U58,"[C_ITEM].[PARENTH1].[ZI030020201]","ZI030020201 -          1.所有者投入的普通股","","000"))</f>
        <v/>
      </c>
      <c r="W58" s="13" t="n"/>
      <c r="X58" s="1072" t="inlineStr">
        <is>
          <t xml:space="preserve">         1.所有者投入的普通股</t>
        </is>
      </c>
      <c r="Y58" s="316" t="inlineStr"/>
      <c r="Z58" s="1221" t="n"/>
      <c r="AA58" s="1224">
        <f>"——"</f>
        <v/>
      </c>
      <c r="AB58" s="1224">
        <f>"——"</f>
        <v/>
      </c>
      <c r="AC58" s="1224">
        <f>"——"</f>
        <v/>
      </c>
      <c r="AD58" s="1222" t="n"/>
      <c r="AE58" s="1224">
        <f>"——"</f>
        <v/>
      </c>
      <c r="AF58" s="1224">
        <f>"——"</f>
        <v/>
      </c>
      <c r="AG58" s="1224">
        <f>"——"</f>
        <v/>
      </c>
      <c r="AH58" s="1224">
        <f>"——"</f>
        <v/>
      </c>
      <c r="AI58" s="1224">
        <f>"——"</f>
        <v/>
      </c>
      <c r="AJ58" s="1224">
        <f>"——"</f>
        <v/>
      </c>
      <c r="AK58" s="1222">
        <f>Z58+AD58</f>
        <v/>
      </c>
      <c r="AL58" s="1222" t="n"/>
      <c r="AM58" s="1222">
        <f>AK58+AL58</f>
        <v/>
      </c>
      <c r="AN58" s="1223" t="n"/>
      <c r="AO58" s="1224">
        <f>"——"</f>
        <v/>
      </c>
      <c r="AP58" s="1224">
        <f>"——"</f>
        <v/>
      </c>
      <c r="AQ58" s="1224">
        <f>"——"</f>
        <v/>
      </c>
      <c r="AR58" s="1222" t="n"/>
      <c r="AS58" s="1224">
        <f>"——"</f>
        <v/>
      </c>
      <c r="AT58" s="1224">
        <f>"——"</f>
        <v/>
      </c>
      <c r="AU58" s="1224">
        <f>"——"</f>
        <v/>
      </c>
      <c r="AV58" s="1224">
        <f>"——"</f>
        <v/>
      </c>
      <c r="AW58" s="1224">
        <f>"——"</f>
        <v/>
      </c>
      <c r="AX58" s="1224">
        <f>"——"</f>
        <v/>
      </c>
      <c r="AY58" s="1222">
        <f>AN58+AR58</f>
        <v/>
      </c>
      <c r="AZ58" s="1222" t="n"/>
      <c r="BA58" s="1222">
        <f>AY58+AZ58</f>
        <v/>
      </c>
      <c r="BB58" s="13" t="n"/>
      <c r="BC58" s="13" t="n"/>
      <c r="BD58" s="13" t="n"/>
      <c r="BE58" s="13" t="n"/>
      <c r="BF58" s="384" t="inlineStr">
        <is>
          <t>G100096</t>
        </is>
      </c>
      <c r="BG58" s="384" t="inlineStr">
        <is>
          <t>四川大川电力有限公司（合并）</t>
        </is>
      </c>
      <c r="BH58" s="384" t="inlineStr">
        <is>
          <t>E100096G</t>
        </is>
      </c>
      <c r="BI58" s="384" t="inlineStr">
        <is>
          <t xml:space="preserve"> 四川大川电力有限公司（合并）</t>
        </is>
      </c>
    </row>
    <row r="59">
      <c r="A59" s="13" t="n"/>
      <c r="B59" s="13" t="n"/>
      <c r="C59" s="13" t="n"/>
      <c r="D59" s="13" t="n"/>
      <c r="E59" s="13" t="n"/>
      <c r="F59" s="13" t="n"/>
      <c r="G59" s="13" t="n"/>
      <c r="H59" s="13" t="n"/>
      <c r="I59" s="13" t="n"/>
      <c r="J59" s="13" t="n"/>
      <c r="K59" s="13" t="n"/>
      <c r="L59" s="13" t="n"/>
      <c r="M59" s="716" t="n"/>
      <c r="N59" s="716" t="n"/>
      <c r="O59" s="13" t="n"/>
      <c r="P59" s="13" t="n"/>
      <c r="Q59" s="13" t="n"/>
      <c r="R59" s="13" t="n"/>
      <c r="S59" s="1103" t="n"/>
      <c r="T59" s="1066" t="inlineStr">
        <is>
          <t xml:space="preserve">         2.其他权益工具持有者投入资本</t>
        </is>
      </c>
      <c r="U59" s="1066" t="inlineStr">
        <is>
          <t>ZI030020202</t>
        </is>
      </c>
      <c r="V59" s="1073">
        <f>IF(_epmOfflineCondition_,"ZI030020202",EPMOlapMemberO(U59,"[C_ITEM].[PARENTH1].[ZI030020202]","ZI030020202 -          2.其他权益工具持有者投入资本","","000"))</f>
        <v/>
      </c>
      <c r="W59" s="13" t="n"/>
      <c r="X59" s="1072" t="inlineStr">
        <is>
          <t xml:space="preserve">         2.其他权益工具持有者投入资本</t>
        </is>
      </c>
      <c r="Y59" s="316" t="inlineStr"/>
      <c r="Z59" s="1221" t="n"/>
      <c r="AA59" s="1223" t="n"/>
      <c r="AB59" s="1221" t="n"/>
      <c r="AC59" s="1223" t="n"/>
      <c r="AD59" s="1222" t="n"/>
      <c r="AE59" s="1224">
        <f>"——"</f>
        <v/>
      </c>
      <c r="AF59" s="1224">
        <f>"——"</f>
        <v/>
      </c>
      <c r="AG59" s="1224">
        <f>"——"</f>
        <v/>
      </c>
      <c r="AH59" s="1224">
        <f>"——"</f>
        <v/>
      </c>
      <c r="AI59" s="1224">
        <f>"——"</f>
        <v/>
      </c>
      <c r="AJ59" s="1224">
        <f>"——"</f>
        <v/>
      </c>
      <c r="AK59" s="1222">
        <f>SUM(Z59:AD59)</f>
        <v/>
      </c>
      <c r="AL59" s="1222" t="n"/>
      <c r="AM59" s="1222">
        <f>AK59+AL59</f>
        <v/>
      </c>
      <c r="AN59" s="1223" t="n"/>
      <c r="AO59" s="1223" t="n"/>
      <c r="AP59" s="1223" t="n"/>
      <c r="AQ59" s="1223" t="n"/>
      <c r="AR59" s="1222" t="n"/>
      <c r="AS59" s="1224">
        <f>"——"</f>
        <v/>
      </c>
      <c r="AT59" s="1224">
        <f>"——"</f>
        <v/>
      </c>
      <c r="AU59" s="1224">
        <f>"——"</f>
        <v/>
      </c>
      <c r="AV59" s="1224">
        <f>"——"</f>
        <v/>
      </c>
      <c r="AW59" s="1224">
        <f>"——"</f>
        <v/>
      </c>
      <c r="AX59" s="1224">
        <f>"——"</f>
        <v/>
      </c>
      <c r="AY59" s="1222">
        <f>SUM(AN59:AR59)</f>
        <v/>
      </c>
      <c r="AZ59" s="1222" t="n"/>
      <c r="BA59" s="1222">
        <f>AY59+AZ59</f>
        <v/>
      </c>
      <c r="BB59" s="13" t="n"/>
      <c r="BC59" s="13" t="n"/>
      <c r="BD59" s="13" t="n"/>
      <c r="BE59" s="13" t="n"/>
      <c r="BF59" s="384" t="inlineStr">
        <is>
          <t>G100108H</t>
        </is>
      </c>
      <c r="BG59" s="384" t="inlineStr">
        <is>
          <t>京能服务管理有限公司（合并）</t>
        </is>
      </c>
      <c r="BH59" s="384" t="inlineStr">
        <is>
          <t>E100108H</t>
        </is>
      </c>
      <c r="BI59" s="384" t="inlineStr">
        <is>
          <t xml:space="preserve"> 京能服务管理有限公司（合并）</t>
        </is>
      </c>
    </row>
    <row r="60">
      <c r="A60" s="13" t="n"/>
      <c r="B60" s="13" t="n"/>
      <c r="C60" s="13" t="n"/>
      <c r="D60" s="13" t="n"/>
      <c r="E60" s="13" t="n"/>
      <c r="F60" s="13" t="n"/>
      <c r="G60" s="13" t="n"/>
      <c r="H60" s="13" t="n"/>
      <c r="I60" s="13" t="n"/>
      <c r="J60" s="13" t="n"/>
      <c r="K60" s="13" t="n"/>
      <c r="L60" s="13" t="n"/>
      <c r="M60" s="716" t="n"/>
      <c r="N60" s="716" t="n"/>
      <c r="O60" s="13" t="n"/>
      <c r="P60" s="13" t="n"/>
      <c r="Q60" s="13" t="n"/>
      <c r="R60" s="13" t="n"/>
      <c r="S60" s="1103" t="n"/>
      <c r="T60" s="1066" t="inlineStr">
        <is>
          <t xml:space="preserve">         3.股份支付计入所有者权益的金额</t>
        </is>
      </c>
      <c r="U60" s="1066" t="inlineStr">
        <is>
          <t>ZI030020203</t>
        </is>
      </c>
      <c r="V60" s="1073">
        <f>IF(_epmOfflineCondition_,"ZI030020203",EPMOlapMemberO(U60,"[C_ITEM].[PARENTH1].[ZI030020203]","ZI030020203 -          3.股份支付计入所有者权益的金额","","000"))</f>
        <v/>
      </c>
      <c r="W60" s="13" t="n"/>
      <c r="X60" s="1074" t="inlineStr">
        <is>
          <t xml:space="preserve">         3.股份支付计入所有者权益的金额</t>
        </is>
      </c>
      <c r="Y60" s="316" t="inlineStr"/>
      <c r="Z60" s="1221" t="n"/>
      <c r="AA60" s="1224">
        <f>"——"</f>
        <v/>
      </c>
      <c r="AB60" s="1224">
        <f>"——"</f>
        <v/>
      </c>
      <c r="AC60" s="1224">
        <f>"——"</f>
        <v/>
      </c>
      <c r="AD60" s="1222" t="n"/>
      <c r="AE60" s="1224">
        <f>"——"</f>
        <v/>
      </c>
      <c r="AF60" s="1224">
        <f>"——"</f>
        <v/>
      </c>
      <c r="AG60" s="1224">
        <f>"——"</f>
        <v/>
      </c>
      <c r="AH60" s="1224">
        <f>"——"</f>
        <v/>
      </c>
      <c r="AI60" s="1224">
        <f>"——"</f>
        <v/>
      </c>
      <c r="AJ60" s="1224">
        <f>"——"</f>
        <v/>
      </c>
      <c r="AK60" s="1222">
        <f>Z60+AD60</f>
        <v/>
      </c>
      <c r="AL60" s="1222" t="n"/>
      <c r="AM60" s="1222">
        <f>AK60+AL60</f>
        <v/>
      </c>
      <c r="AN60" s="1223" t="n"/>
      <c r="AO60" s="1224">
        <f>"——"</f>
        <v/>
      </c>
      <c r="AP60" s="1224">
        <f>"——"</f>
        <v/>
      </c>
      <c r="AQ60" s="1224">
        <f>"——"</f>
        <v/>
      </c>
      <c r="AR60" s="1222" t="n"/>
      <c r="AS60" s="1224">
        <f>"——"</f>
        <v/>
      </c>
      <c r="AT60" s="1224">
        <f>"——"</f>
        <v/>
      </c>
      <c r="AU60" s="1224">
        <f>"——"</f>
        <v/>
      </c>
      <c r="AV60" s="1224">
        <f>"——"</f>
        <v/>
      </c>
      <c r="AW60" s="1224">
        <f>"——"</f>
        <v/>
      </c>
      <c r="AX60" s="1224">
        <f>"——"</f>
        <v/>
      </c>
      <c r="AY60" s="1222">
        <f>AN60+AR60</f>
        <v/>
      </c>
      <c r="AZ60" s="1222" t="n"/>
      <c r="BA60" s="1222">
        <f>AY60+AZ60</f>
        <v/>
      </c>
      <c r="BB60" s="13" t="n"/>
      <c r="BC60" s="13" t="n"/>
      <c r="BD60" s="13" t="n"/>
      <c r="BE60" s="13" t="n"/>
      <c r="BF60" s="384" t="inlineStr">
        <is>
          <t>G100109</t>
        </is>
      </c>
      <c r="BG60" s="384" t="inlineStr">
        <is>
          <t>京能电力后勤服务有限公司（合并）</t>
        </is>
      </c>
      <c r="BH60" s="384" t="inlineStr">
        <is>
          <t>E100109G</t>
        </is>
      </c>
      <c r="BI60" s="384" t="inlineStr">
        <is>
          <t xml:space="preserve"> 京能电力后勤服务有限公司（合并）</t>
        </is>
      </c>
    </row>
    <row r="61">
      <c r="A61" s="13" t="n"/>
      <c r="B61" s="13" t="n"/>
      <c r="C61" s="13" t="n"/>
      <c r="D61" s="13" t="n"/>
      <c r="E61" s="13" t="n"/>
      <c r="F61" s="13" t="n"/>
      <c r="G61" s="13" t="n"/>
      <c r="H61" s="13" t="n"/>
      <c r="I61" s="13" t="n"/>
      <c r="J61" s="13" t="n"/>
      <c r="K61" s="13" t="n"/>
      <c r="L61" s="13" t="n"/>
      <c r="M61" s="716" t="n"/>
      <c r="N61" s="716" t="n"/>
      <c r="O61" s="13" t="n"/>
      <c r="P61" s="13" t="n"/>
      <c r="Q61" s="13" t="n"/>
      <c r="R61" s="13" t="n"/>
      <c r="S61" s="1103" t="n"/>
      <c r="T61" s="1066" t="inlineStr">
        <is>
          <t xml:space="preserve">         4.其他</t>
        </is>
      </c>
      <c r="U61" s="1066" t="inlineStr">
        <is>
          <t>ZI030020204</t>
        </is>
      </c>
      <c r="V61" s="1073">
        <f>IF(_epmOfflineCondition_,"ZI030020204",EPMOlapMemberO(U61,"[C_ITEM].[PARENTH1].[ZI030020204]","ZI030020204 -          4.其他","","000"))</f>
        <v/>
      </c>
      <c r="W61" s="13" t="n"/>
      <c r="X61" s="1074" t="inlineStr">
        <is>
          <t xml:space="preserve">         4.其他</t>
        </is>
      </c>
      <c r="Y61" s="316" t="inlineStr"/>
      <c r="Z61" s="1221" t="n"/>
      <c r="AA61" s="1224">
        <f>"——"</f>
        <v/>
      </c>
      <c r="AB61" s="1224">
        <f>"——"</f>
        <v/>
      </c>
      <c r="AC61" s="1224">
        <f>"——"</f>
        <v/>
      </c>
      <c r="AD61" s="1222" t="n"/>
      <c r="AE61" s="1222" t="n"/>
      <c r="AF61" s="1222" t="n"/>
      <c r="AG61" s="1222" t="n"/>
      <c r="AH61" s="1222" t="n"/>
      <c r="AI61" s="1222" t="n"/>
      <c r="AJ61" s="1222" t="n"/>
      <c r="AK61" s="1222">
        <f>SUM(Z61,AD61:AJ61)</f>
        <v/>
      </c>
      <c r="AL61" s="1222" t="n"/>
      <c r="AM61" s="1222">
        <f>AK61+AL61</f>
        <v/>
      </c>
      <c r="AN61" s="1223" t="n"/>
      <c r="AO61" s="1224">
        <f>"——"</f>
        <v/>
      </c>
      <c r="AP61" s="1224">
        <f>"——"</f>
        <v/>
      </c>
      <c r="AQ61" s="1224">
        <f>"——"</f>
        <v/>
      </c>
      <c r="AR61" s="1222" t="n"/>
      <c r="AS61" s="1222" t="n"/>
      <c r="AT61" s="1222" t="n"/>
      <c r="AU61" s="1222" t="n"/>
      <c r="AV61" s="1222" t="n"/>
      <c r="AW61" s="1222" t="n"/>
      <c r="AX61" s="1222" t="n"/>
      <c r="AY61" s="1222">
        <f>SUM(AN61,AR61:AX61)</f>
        <v/>
      </c>
      <c r="AZ61" s="1222" t="n"/>
      <c r="BA61" s="1222">
        <f>AY61+AZ61</f>
        <v/>
      </c>
      <c r="BB61" s="13" t="n"/>
      <c r="BC61" s="13" t="n"/>
      <c r="BD61" s="13" t="n"/>
      <c r="BE61" s="13" t="n"/>
      <c r="BF61" s="384" t="inlineStr">
        <is>
          <t>G100109H</t>
        </is>
      </c>
      <c r="BG61" s="384" t="inlineStr">
        <is>
          <t>京能电力后勤服务有限公司（母公司）</t>
        </is>
      </c>
      <c r="BH61" s="384" t="inlineStr">
        <is>
          <t>E100109H</t>
        </is>
      </c>
      <c r="BI61" s="384" t="inlineStr">
        <is>
          <t xml:space="preserve"> 京能电力后勤服务有限公司（母公司）</t>
        </is>
      </c>
    </row>
    <row r="62">
      <c r="A62" s="13" t="n"/>
      <c r="B62" s="13" t="n"/>
      <c r="C62" s="13" t="n"/>
      <c r="D62" s="13" t="n"/>
      <c r="E62" s="13" t="n"/>
      <c r="F62" s="13" t="n"/>
      <c r="G62" s="13" t="n"/>
      <c r="H62" s="13" t="n"/>
      <c r="I62" s="13" t="n"/>
      <c r="J62" s="13" t="n"/>
      <c r="K62" s="13" t="n"/>
      <c r="L62" s="13" t="n"/>
      <c r="M62" s="716" t="n"/>
      <c r="N62" s="716" t="n"/>
      <c r="O62" s="13" t="n"/>
      <c r="P62" s="13" t="n"/>
      <c r="Q62" s="13" t="n"/>
      <c r="R62" s="13" t="n"/>
      <c r="S62" s="1103" t="n"/>
      <c r="T62" s="1066" t="inlineStr">
        <is>
          <t xml:space="preserve"> （三）专项储备提取和使用</t>
        </is>
      </c>
      <c r="U62" s="1066" t="inlineStr">
        <is>
          <t>ZI0300203</t>
        </is>
      </c>
      <c r="V62" s="1104">
        <f>IF(_epmOfflineCondition_,"ZI0300203",EPMOlapMemberO(U62,"[C_ITEM].[PARENTH1].[ZI0300203]","ZI0300203 -  （三）专项储备提取和使用","","000"))</f>
        <v/>
      </c>
      <c r="W62" s="13" t="n"/>
      <c r="X62" s="1072" t="inlineStr">
        <is>
          <t xml:space="preserve"> （三）专项储备提取和使用</t>
        </is>
      </c>
      <c r="Y62" s="316" t="inlineStr"/>
      <c r="Z62" s="1224">
        <f>"——"</f>
        <v/>
      </c>
      <c r="AA62" s="1224">
        <f>"——"</f>
        <v/>
      </c>
      <c r="AB62" s="1224">
        <f>"——"</f>
        <v/>
      </c>
      <c r="AC62" s="1224">
        <f>"——"</f>
        <v/>
      </c>
      <c r="AD62" s="1224">
        <f>"——"</f>
        <v/>
      </c>
      <c r="AE62" s="1224">
        <f>"——"</f>
        <v/>
      </c>
      <c r="AF62" s="1224">
        <f>"——"</f>
        <v/>
      </c>
      <c r="AG62" s="1223">
        <f>SUM(AG63:AG64)</f>
        <v/>
      </c>
      <c r="AH62" s="1224">
        <f>"——"</f>
        <v/>
      </c>
      <c r="AI62" s="1224">
        <f>"——"</f>
        <v/>
      </c>
      <c r="AJ62" s="1224">
        <f>"——"</f>
        <v/>
      </c>
      <c r="AK62" s="1222">
        <f>AG62</f>
        <v/>
      </c>
      <c r="AL62" s="1222">
        <f>SUM(AL63:AL64)</f>
        <v/>
      </c>
      <c r="AM62" s="1222">
        <f>AK62+AL62</f>
        <v/>
      </c>
      <c r="AN62" s="1224">
        <f>"——"</f>
        <v/>
      </c>
      <c r="AO62" s="1224">
        <f>"——"</f>
        <v/>
      </c>
      <c r="AP62" s="1224">
        <f>"——"</f>
        <v/>
      </c>
      <c r="AQ62" s="1224">
        <f>"——"</f>
        <v/>
      </c>
      <c r="AR62" s="1224">
        <f>"——"</f>
        <v/>
      </c>
      <c r="AS62" s="1224">
        <f>"——"</f>
        <v/>
      </c>
      <c r="AT62" s="1224">
        <f>"——"</f>
        <v/>
      </c>
      <c r="AU62" s="1223">
        <f>SUM(AU63:AU64)</f>
        <v/>
      </c>
      <c r="AV62" s="1224">
        <f>"——"</f>
        <v/>
      </c>
      <c r="AW62" s="1224">
        <f>"——"</f>
        <v/>
      </c>
      <c r="AX62" s="1224">
        <f>"——"</f>
        <v/>
      </c>
      <c r="AY62" s="1222">
        <f>AU62</f>
        <v/>
      </c>
      <c r="AZ62" s="1222">
        <f>SUM(AZ63:AZ64)</f>
        <v/>
      </c>
      <c r="BA62" s="1222">
        <f>AY62+AZ62</f>
        <v/>
      </c>
      <c r="BB62" s="13" t="n"/>
      <c r="BC62" s="13" t="n"/>
      <c r="BD62" s="13" t="n"/>
      <c r="BE62" s="13" t="n"/>
      <c r="BF62" s="384" t="inlineStr">
        <is>
          <t>G100135H</t>
        </is>
      </c>
      <c r="BG62" s="384" t="inlineStr">
        <is>
          <t>京能电力涿州科技环保有限公司（合并）</t>
        </is>
      </c>
      <c r="BH62" s="384" t="inlineStr">
        <is>
          <t>E100135H</t>
        </is>
      </c>
      <c r="BI62" s="384" t="inlineStr">
        <is>
          <t xml:space="preserve"> 京能电力涿州科技环保有限公司（合并）</t>
        </is>
      </c>
    </row>
    <row r="63">
      <c r="A63" s="13" t="n"/>
      <c r="B63" s="13" t="n"/>
      <c r="C63" s="13" t="n"/>
      <c r="D63" s="13" t="n"/>
      <c r="E63" s="13" t="n"/>
      <c r="F63" s="13" t="n"/>
      <c r="G63" s="13" t="n"/>
      <c r="H63" s="13" t="n"/>
      <c r="I63" s="13" t="n"/>
      <c r="J63" s="13" t="n"/>
      <c r="K63" s="13" t="n"/>
      <c r="L63" s="13" t="n"/>
      <c r="M63" s="716" t="n"/>
      <c r="N63" s="716" t="n"/>
      <c r="O63" s="13" t="n"/>
      <c r="P63" s="13" t="n"/>
      <c r="Q63" s="13" t="n"/>
      <c r="R63" s="13" t="n"/>
      <c r="S63" s="1103" t="n"/>
      <c r="T63" s="1066" t="inlineStr">
        <is>
          <t xml:space="preserve">       1.提取专项储备</t>
        </is>
      </c>
      <c r="U63" s="1066" t="inlineStr">
        <is>
          <t>ZI030020301</t>
        </is>
      </c>
      <c r="V63" s="1073">
        <f>IF(_epmOfflineCondition_,"ZI030020301",EPMOlapMemberO(U63,"[C_ITEM].[PARENTH1].[ZI030020301]","ZI030020301 -        1.提取专项储备","","000"))</f>
        <v/>
      </c>
      <c r="W63" s="13" t="n"/>
      <c r="X63" s="1072" t="inlineStr">
        <is>
          <t xml:space="preserve">       1.提取专项储备</t>
        </is>
      </c>
      <c r="Y63" s="316" t="inlineStr"/>
      <c r="Z63" s="1224">
        <f>"——"</f>
        <v/>
      </c>
      <c r="AA63" s="1224">
        <f>"——"</f>
        <v/>
      </c>
      <c r="AB63" s="1224">
        <f>"——"</f>
        <v/>
      </c>
      <c r="AC63" s="1224">
        <f>"——"</f>
        <v/>
      </c>
      <c r="AD63" s="1224">
        <f>"——"</f>
        <v/>
      </c>
      <c r="AE63" s="1224">
        <f>"——"</f>
        <v/>
      </c>
      <c r="AF63" s="1224">
        <f>"——"</f>
        <v/>
      </c>
      <c r="AG63" s="1222" t="inlineStr"/>
      <c r="AH63" s="1224">
        <f>"——"</f>
        <v/>
      </c>
      <c r="AI63" s="1224">
        <f>"——"</f>
        <v/>
      </c>
      <c r="AJ63" s="1224">
        <f>"——"</f>
        <v/>
      </c>
      <c r="AK63" s="1222">
        <f>AG63</f>
        <v/>
      </c>
      <c r="AL63" s="1222" t="n"/>
      <c r="AM63" s="1222">
        <f>AK63+AL63</f>
        <v/>
      </c>
      <c r="AN63" s="1224">
        <f>"——"</f>
        <v/>
      </c>
      <c r="AO63" s="1224">
        <f>"——"</f>
        <v/>
      </c>
      <c r="AP63" s="1224">
        <f>"——"</f>
        <v/>
      </c>
      <c r="AQ63" s="1224">
        <f>"——"</f>
        <v/>
      </c>
      <c r="AR63" s="1224">
        <f>"——"</f>
        <v/>
      </c>
      <c r="AS63" s="1224">
        <f>"——"</f>
        <v/>
      </c>
      <c r="AT63" s="1224">
        <f>"——"</f>
        <v/>
      </c>
      <c r="AU63" s="1222" t="n"/>
      <c r="AV63" s="1224">
        <f>"——"</f>
        <v/>
      </c>
      <c r="AW63" s="1224">
        <f>"——"</f>
        <v/>
      </c>
      <c r="AX63" s="1224">
        <f>"——"</f>
        <v/>
      </c>
      <c r="AY63" s="1222">
        <f>AU63</f>
        <v/>
      </c>
      <c r="AZ63" s="1222" t="n"/>
      <c r="BA63" s="1222">
        <f>AY63+AZ63</f>
        <v/>
      </c>
      <c r="BB63" s="13" t="n"/>
      <c r="BC63" s="13" t="n"/>
      <c r="BD63" s="13" t="n"/>
      <c r="BE63" s="13" t="n"/>
      <c r="BF63" s="384" t="inlineStr">
        <is>
          <t>G100142</t>
        </is>
      </c>
      <c r="BG63" s="384" t="inlineStr">
        <is>
          <t>北京京能国际能源股份有限公司（合并）</t>
        </is>
      </c>
      <c r="BH63" s="384" t="inlineStr">
        <is>
          <t>E100142G</t>
        </is>
      </c>
      <c r="BI63" s="384" t="inlineStr">
        <is>
          <t xml:space="preserve"> 北京京能国际能源股份有限公司（合并）</t>
        </is>
      </c>
    </row>
    <row r="64">
      <c r="A64" s="13" t="n"/>
      <c r="B64" s="13" t="n"/>
      <c r="C64" s="13" t="n"/>
      <c r="D64" s="13" t="n"/>
      <c r="E64" s="13" t="n"/>
      <c r="F64" s="13" t="n"/>
      <c r="G64" s="13" t="n"/>
      <c r="H64" s="13" t="n"/>
      <c r="I64" s="13" t="n"/>
      <c r="J64" s="13" t="n"/>
      <c r="K64" s="13" t="n"/>
      <c r="L64" s="13" t="n"/>
      <c r="M64" s="716" t="n"/>
      <c r="N64" s="716" t="n"/>
      <c r="O64" s="13" t="n"/>
      <c r="P64" s="13" t="n"/>
      <c r="Q64" s="13" t="n"/>
      <c r="R64" s="13" t="n"/>
      <c r="S64" s="1103" t="n"/>
      <c r="T64" s="1066" t="inlineStr">
        <is>
          <t xml:space="preserve">       2.使用专项储备</t>
        </is>
      </c>
      <c r="U64" s="1066" t="inlineStr">
        <is>
          <t>ZI030020302</t>
        </is>
      </c>
      <c r="V64" s="1073">
        <f>IF(_epmOfflineCondition_,"ZI030020302",EPMOlapMemberO(U64,"[C_ITEM].[PARENTH1].[ZI030020302]","ZI030020302 -        2.使用专项储备","","000"))</f>
        <v/>
      </c>
      <c r="W64" s="13" t="n"/>
      <c r="X64" s="1072" t="inlineStr">
        <is>
          <t xml:space="preserve">       2.使用专项储备</t>
        </is>
      </c>
      <c r="Y64" s="316" t="inlineStr"/>
      <c r="Z64" s="1224">
        <f>"——"</f>
        <v/>
      </c>
      <c r="AA64" s="1224">
        <f>"——"</f>
        <v/>
      </c>
      <c r="AB64" s="1224">
        <f>"——"</f>
        <v/>
      </c>
      <c r="AC64" s="1224">
        <f>"——"</f>
        <v/>
      </c>
      <c r="AD64" s="1224">
        <f>"——"</f>
        <v/>
      </c>
      <c r="AE64" s="1224">
        <f>"——"</f>
        <v/>
      </c>
      <c r="AF64" s="1224">
        <f>"——"</f>
        <v/>
      </c>
      <c r="AG64" s="1222" t="n"/>
      <c r="AH64" s="1224">
        <f>"——"</f>
        <v/>
      </c>
      <c r="AI64" s="1224">
        <f>"——"</f>
        <v/>
      </c>
      <c r="AJ64" s="1224">
        <f>"——"</f>
        <v/>
      </c>
      <c r="AK64" s="1222">
        <f>AG64</f>
        <v/>
      </c>
      <c r="AL64" s="1222" t="n"/>
      <c r="AM64" s="1222">
        <f>AK64+AL64</f>
        <v/>
      </c>
      <c r="AN64" s="1224">
        <f>"——"</f>
        <v/>
      </c>
      <c r="AO64" s="1224">
        <f>"——"</f>
        <v/>
      </c>
      <c r="AP64" s="1224">
        <f>"——"</f>
        <v/>
      </c>
      <c r="AQ64" s="1224">
        <f>"——"</f>
        <v/>
      </c>
      <c r="AR64" s="1224">
        <f>"——"</f>
        <v/>
      </c>
      <c r="AS64" s="1224">
        <f>"——"</f>
        <v/>
      </c>
      <c r="AT64" s="1224">
        <f>"——"</f>
        <v/>
      </c>
      <c r="AU64" s="1222" t="n"/>
      <c r="AV64" s="1224">
        <f>"——"</f>
        <v/>
      </c>
      <c r="AW64" s="1224">
        <f>"——"</f>
        <v/>
      </c>
      <c r="AX64" s="1224">
        <f>"——"</f>
        <v/>
      </c>
      <c r="AY64" s="1222">
        <f>AU64</f>
        <v/>
      </c>
      <c r="AZ64" s="1222" t="n"/>
      <c r="BA64" s="1222">
        <f>AY64+AZ64</f>
        <v/>
      </c>
      <c r="BB64" s="13" t="n"/>
      <c r="BC64" s="13" t="n"/>
      <c r="BD64" s="13" t="n"/>
      <c r="BE64" s="13" t="n"/>
      <c r="BF64" s="384" t="inlineStr">
        <is>
          <t>G100145</t>
        </is>
      </c>
      <c r="BG64" s="384" t="inlineStr">
        <is>
          <t>北京京能电力股份有限公司（合并）上市</t>
        </is>
      </c>
      <c r="BH64" s="384" t="inlineStr">
        <is>
          <t>E100145G</t>
        </is>
      </c>
      <c r="BI64" s="384" t="inlineStr">
        <is>
          <t xml:space="preserve"> 北京京能电力股份有限公司（合并）上市</t>
        </is>
      </c>
    </row>
    <row r="65">
      <c r="A65" s="13" t="n"/>
      <c r="B65" s="13" t="n"/>
      <c r="C65" s="13" t="n"/>
      <c r="D65" s="13" t="n"/>
      <c r="E65" s="13" t="n"/>
      <c r="F65" s="13" t="n"/>
      <c r="G65" s="13" t="n"/>
      <c r="H65" s="13" t="n"/>
      <c r="I65" s="13" t="n"/>
      <c r="J65" s="13" t="n"/>
      <c r="K65" s="13" t="n"/>
      <c r="L65" s="13" t="n"/>
      <c r="M65" s="716" t="n"/>
      <c r="N65" s="716" t="n"/>
      <c r="O65" s="13" t="n"/>
      <c r="P65" s="13" t="n"/>
      <c r="Q65" s="13" t="n"/>
      <c r="R65" s="13" t="n"/>
      <c r="S65" s="1103" t="n"/>
      <c r="T65" s="1066" t="inlineStr">
        <is>
          <t>（四）利润分配</t>
        </is>
      </c>
      <c r="U65" s="1066" t="inlineStr">
        <is>
          <t>ZI0300204</t>
        </is>
      </c>
      <c r="V65" s="1104">
        <f>IF(_epmOfflineCondition_,"ZI0300204",EPMOlapMemberO(U65,"[C_ITEM].[PARENTH1].[ZI0300204]","ZI0300204 - （四）利润分配","","000"))</f>
        <v/>
      </c>
      <c r="W65" s="13" t="n"/>
      <c r="X65" s="479" t="inlineStr">
        <is>
          <t>（四）利润分配</t>
        </is>
      </c>
      <c r="Y65" s="316" t="inlineStr"/>
      <c r="Z65" s="1224">
        <f>"——"</f>
        <v/>
      </c>
      <c r="AA65" s="1222">
        <f>AA74</f>
        <v/>
      </c>
      <c r="AB65" s="1222">
        <f>AB74</f>
        <v/>
      </c>
      <c r="AC65" s="1222">
        <f>AC74</f>
        <v/>
      </c>
      <c r="AD65" s="1222">
        <f>AD74</f>
        <v/>
      </c>
      <c r="AE65" s="1222">
        <f>AE74</f>
        <v/>
      </c>
      <c r="AF65" s="1222">
        <f>AF74</f>
        <v/>
      </c>
      <c r="AG65" s="1222">
        <f>AG74</f>
        <v/>
      </c>
      <c r="AH65" s="1222">
        <f>AH66+AH74</f>
        <v/>
      </c>
      <c r="AI65" s="1222">
        <f>AI72+AI74</f>
        <v/>
      </c>
      <c r="AJ65" s="1222">
        <f>SUM(AJ66,AJ72:AJ74)</f>
        <v/>
      </c>
      <c r="AK65" s="1222">
        <f>SUM(AA65:AJ65)</f>
        <v/>
      </c>
      <c r="AL65" s="1222">
        <f>AL73+AL74</f>
        <v/>
      </c>
      <c r="AM65" s="1222">
        <f>AK65+AL65</f>
        <v/>
      </c>
      <c r="AN65" s="1224">
        <f>"——"</f>
        <v/>
      </c>
      <c r="AO65" s="1222">
        <f>AO74</f>
        <v/>
      </c>
      <c r="AP65" s="1222">
        <f>AP74</f>
        <v/>
      </c>
      <c r="AQ65" s="1222">
        <f>AQ74</f>
        <v/>
      </c>
      <c r="AR65" s="1222">
        <f>AR74</f>
        <v/>
      </c>
      <c r="AS65" s="1222">
        <f>AS74</f>
        <v/>
      </c>
      <c r="AT65" s="1222">
        <f>AT74</f>
        <v/>
      </c>
      <c r="AU65" s="1222">
        <f>AU74</f>
        <v/>
      </c>
      <c r="AV65" s="1222">
        <f>AV66+AV74</f>
        <v/>
      </c>
      <c r="AW65" s="1222">
        <f>AW72+AW74</f>
        <v/>
      </c>
      <c r="AX65" s="1222">
        <f>SUM(AX66,AX72:AX74)</f>
        <v/>
      </c>
      <c r="AY65" s="1222">
        <f>SUM(AO65:AX65)</f>
        <v/>
      </c>
      <c r="AZ65" s="1222">
        <f>AZ73+AZ74</f>
        <v/>
      </c>
      <c r="BA65" s="1222">
        <f>AY65+AZ65</f>
        <v/>
      </c>
      <c r="BB65" s="13" t="n"/>
      <c r="BC65" s="13" t="n"/>
      <c r="BD65" s="13" t="n"/>
      <c r="BE65" s="13" t="n"/>
      <c r="BF65" s="384" t="inlineStr">
        <is>
          <t>G100145H</t>
        </is>
      </c>
      <c r="BG65" s="384" t="inlineStr">
        <is>
          <t>北京京能电力股份有限公司（合并）本部</t>
        </is>
      </c>
      <c r="BH65" s="384" t="inlineStr">
        <is>
          <t>E100145H</t>
        </is>
      </c>
      <c r="BI65" s="384" t="inlineStr">
        <is>
          <t xml:space="preserve"> 北京京能电力股份有限公司（合并）本部</t>
        </is>
      </c>
    </row>
    <row r="66">
      <c r="A66" s="13" t="n"/>
      <c r="B66" s="13" t="n"/>
      <c r="C66" s="13" t="n"/>
      <c r="D66" s="13" t="n"/>
      <c r="E66" s="13" t="n"/>
      <c r="F66" s="13" t="n"/>
      <c r="G66" s="13" t="n"/>
      <c r="H66" s="13" t="n"/>
      <c r="I66" s="13" t="n"/>
      <c r="J66" s="13" t="n"/>
      <c r="K66" s="13" t="n"/>
      <c r="L66" s="13" t="n"/>
      <c r="M66" s="716" t="n"/>
      <c r="N66" s="716" t="n"/>
      <c r="O66" s="13" t="n"/>
      <c r="P66" s="13" t="n"/>
      <c r="Q66" s="13" t="n"/>
      <c r="R66" s="13" t="n"/>
      <c r="S66" s="1103" t="n"/>
      <c r="T66" s="1066" t="inlineStr">
        <is>
          <t xml:space="preserve">  1．提取盈余公积</t>
        </is>
      </c>
      <c r="U66" s="1066" t="inlineStr">
        <is>
          <t>ZI030020401</t>
        </is>
      </c>
      <c r="V66" s="1073">
        <f>IF(_epmOfflineCondition_,"ZI030020401",EPMOlapMemberO(U66,"[C_ITEM].[PARENTH1].[ZI030020401]","ZI030020401 -   1．提取盈余公积","","000"))</f>
        <v/>
      </c>
      <c r="W66" s="13" t="n"/>
      <c r="X66" s="479" t="inlineStr">
        <is>
          <t xml:space="preserve">  1．提取盈余公积</t>
        </is>
      </c>
      <c r="Y66" s="316" t="inlineStr"/>
      <c r="Z66" s="1224">
        <f>"——"</f>
        <v/>
      </c>
      <c r="AA66" s="1224">
        <f>"——"</f>
        <v/>
      </c>
      <c r="AB66" s="1224">
        <f>"——"</f>
        <v/>
      </c>
      <c r="AC66" s="1224">
        <f>"——"</f>
        <v/>
      </c>
      <c r="AD66" s="1224">
        <f>"——"</f>
        <v/>
      </c>
      <c r="AE66" s="1224">
        <f>"——"</f>
        <v/>
      </c>
      <c r="AF66" s="1224">
        <f>"——"</f>
        <v/>
      </c>
      <c r="AG66" s="1224">
        <f>"——"</f>
        <v/>
      </c>
      <c r="AH66" s="1222">
        <f>SUM(AH67:AH71)</f>
        <v/>
      </c>
      <c r="AI66" s="1224">
        <f>"——"</f>
        <v/>
      </c>
      <c r="AJ66" s="1222">
        <f>SUM(AJ67:AJ71)</f>
        <v/>
      </c>
      <c r="AK66" s="1222">
        <f>AH66+AJ66</f>
        <v/>
      </c>
      <c r="AL66" s="1224">
        <f>"——"</f>
        <v/>
      </c>
      <c r="AM66" s="1222">
        <f>AK66</f>
        <v/>
      </c>
      <c r="AN66" s="1224">
        <f>"——"</f>
        <v/>
      </c>
      <c r="AO66" s="1224">
        <f>"——"</f>
        <v/>
      </c>
      <c r="AP66" s="1224">
        <f>"——"</f>
        <v/>
      </c>
      <c r="AQ66" s="1224">
        <f>"——"</f>
        <v/>
      </c>
      <c r="AR66" s="1224">
        <f>"——"</f>
        <v/>
      </c>
      <c r="AS66" s="1224">
        <f>"——"</f>
        <v/>
      </c>
      <c r="AT66" s="1224">
        <f>"——"</f>
        <v/>
      </c>
      <c r="AU66" s="1224">
        <f>"——"</f>
        <v/>
      </c>
      <c r="AV66" s="1222">
        <f>SUM(AV67:AV71)</f>
        <v/>
      </c>
      <c r="AW66" s="1224">
        <f>"——"</f>
        <v/>
      </c>
      <c r="AX66" s="1222">
        <f>SUM(AX67:AX71)</f>
        <v/>
      </c>
      <c r="AY66" s="1222">
        <f>AV66+AX66</f>
        <v/>
      </c>
      <c r="AZ66" s="1224">
        <f>"——"</f>
        <v/>
      </c>
      <c r="BA66" s="1222">
        <f>AY66</f>
        <v/>
      </c>
      <c r="BB66" s="13" t="n"/>
      <c r="BC66" s="13" t="n"/>
      <c r="BD66" s="13" t="n"/>
      <c r="BE66" s="13" t="n"/>
      <c r="BF66" s="384" t="inlineStr">
        <is>
          <t>G100151</t>
        </is>
      </c>
      <c r="BG66" s="384" t="inlineStr">
        <is>
          <t>山西漳山发电有限责任公司（合并）</t>
        </is>
      </c>
      <c r="BH66" s="384" t="inlineStr">
        <is>
          <t>E100151G</t>
        </is>
      </c>
      <c r="BI66" s="384" t="inlineStr">
        <is>
          <t xml:space="preserve"> 山西漳山发电有限责任公司（合并）</t>
        </is>
      </c>
    </row>
    <row r="67">
      <c r="A67" s="13" t="n"/>
      <c r="B67" s="13" t="n"/>
      <c r="C67" s="13" t="n"/>
      <c r="D67" s="13" t="n"/>
      <c r="E67" s="13" t="n"/>
      <c r="F67" s="13" t="n"/>
      <c r="G67" s="13" t="n"/>
      <c r="H67" s="13" t="n"/>
      <c r="I67" s="13" t="n"/>
      <c r="J67" s="13" t="n"/>
      <c r="K67" s="13" t="n"/>
      <c r="L67" s="13" t="n"/>
      <c r="M67" s="716" t="n"/>
      <c r="N67" s="716" t="n"/>
      <c r="O67" s="13" t="n"/>
      <c r="P67" s="13" t="n"/>
      <c r="Q67" s="13" t="n"/>
      <c r="R67" s="13" t="n"/>
      <c r="S67" s="1103" t="n"/>
      <c r="T67" s="1066" t="inlineStr">
        <is>
          <t xml:space="preserve">     其中：法定公积金</t>
        </is>
      </c>
      <c r="U67" s="1066" t="inlineStr">
        <is>
          <t>ZI03002040101</t>
        </is>
      </c>
      <c r="V67" s="1102">
        <f>IF(_epmOfflineCondition_,"ZI03002040101",EPMOlapMemberO(U67,"[C_ITEM].[PARENTH1].[ZI03002040101]","ZI03002040101 -      其中：法定公积金","","000"))</f>
        <v/>
      </c>
      <c r="W67" s="13" t="n"/>
      <c r="X67" s="479" t="inlineStr">
        <is>
          <t xml:space="preserve">     其中：法定公积金</t>
        </is>
      </c>
      <c r="Y67" s="316" t="inlineStr"/>
      <c r="Z67" s="1224">
        <f>"——"</f>
        <v/>
      </c>
      <c r="AA67" s="1224">
        <f>"——"</f>
        <v/>
      </c>
      <c r="AB67" s="1224">
        <f>"——"</f>
        <v/>
      </c>
      <c r="AC67" s="1224">
        <f>"——"</f>
        <v/>
      </c>
      <c r="AD67" s="1224">
        <f>"——"</f>
        <v/>
      </c>
      <c r="AE67" s="1224">
        <f>"——"</f>
        <v/>
      </c>
      <c r="AF67" s="1224">
        <f>"——"</f>
        <v/>
      </c>
      <c r="AG67" s="1224">
        <f>"——"</f>
        <v/>
      </c>
      <c r="AH67" s="1222" t="n"/>
      <c r="AI67" s="1224">
        <f>"——"</f>
        <v/>
      </c>
      <c r="AJ67" s="1222" t="n"/>
      <c r="AK67" s="1222">
        <f>AH67+AJ67</f>
        <v/>
      </c>
      <c r="AL67" s="1224">
        <f>"——"</f>
        <v/>
      </c>
      <c r="AM67" s="1222">
        <f>AK67</f>
        <v/>
      </c>
      <c r="AN67" s="1224">
        <f>"——"</f>
        <v/>
      </c>
      <c r="AO67" s="1224">
        <f>"——"</f>
        <v/>
      </c>
      <c r="AP67" s="1224">
        <f>"——"</f>
        <v/>
      </c>
      <c r="AQ67" s="1224">
        <f>"——"</f>
        <v/>
      </c>
      <c r="AR67" s="1224">
        <f>"——"</f>
        <v/>
      </c>
      <c r="AS67" s="1224">
        <f>"——"</f>
        <v/>
      </c>
      <c r="AT67" s="1224">
        <f>"——"</f>
        <v/>
      </c>
      <c r="AU67" s="1224">
        <f>"——"</f>
        <v/>
      </c>
      <c r="AV67" s="1222" t="n"/>
      <c r="AW67" s="1224">
        <f>"——"</f>
        <v/>
      </c>
      <c r="AX67" s="1222" t="n"/>
      <c r="AY67" s="1222">
        <f>AV67+AX67</f>
        <v/>
      </c>
      <c r="AZ67" s="1224">
        <f>"——"</f>
        <v/>
      </c>
      <c r="BA67" s="1222">
        <f>AY67</f>
        <v/>
      </c>
      <c r="BB67" s="13" t="n"/>
      <c r="BC67" s="13" t="n"/>
      <c r="BD67" s="13" t="n"/>
      <c r="BE67" s="13" t="n"/>
      <c r="BF67" s="384" t="inlineStr">
        <is>
          <t>G100154</t>
        </is>
      </c>
      <c r="BG67" s="384" t="inlineStr">
        <is>
          <t>内蒙古京隆发电有限责任公司（合并）</t>
        </is>
      </c>
      <c r="BH67" s="384" t="inlineStr">
        <is>
          <t>E100154G</t>
        </is>
      </c>
      <c r="BI67" s="384" t="inlineStr">
        <is>
          <t xml:space="preserve"> 内蒙古京隆发电有限责任公司（合并）</t>
        </is>
      </c>
    </row>
    <row r="68">
      <c r="A68" s="13" t="n"/>
      <c r="B68" s="13" t="n"/>
      <c r="C68" s="13" t="n"/>
      <c r="D68" s="13" t="n"/>
      <c r="E68" s="13" t="n"/>
      <c r="F68" s="13" t="n"/>
      <c r="G68" s="13" t="n"/>
      <c r="H68" s="13" t="n"/>
      <c r="I68" s="13" t="n"/>
      <c r="J68" s="13" t="n"/>
      <c r="K68" s="13" t="n"/>
      <c r="L68" s="13" t="n"/>
      <c r="M68" s="716" t="n"/>
      <c r="N68" s="716" t="n"/>
      <c r="O68" s="13" t="n"/>
      <c r="P68" s="13" t="n"/>
      <c r="Q68" s="13" t="n"/>
      <c r="R68" s="13" t="n"/>
      <c r="S68" s="1103" t="n"/>
      <c r="T68" s="1066" t="inlineStr">
        <is>
          <t xml:space="preserve">           任意公积金</t>
        </is>
      </c>
      <c r="U68" s="1066" t="inlineStr">
        <is>
          <t>ZI03002040102</t>
        </is>
      </c>
      <c r="V68" s="1102">
        <f>IF(_epmOfflineCondition_,"ZI03002040102",EPMOlapMemberO(U68,"[C_ITEM].[PARENTH1].[ZI03002040102]","ZI03002040102 -            任意公积金","","000"))</f>
        <v/>
      </c>
      <c r="W68" s="13" t="n"/>
      <c r="X68" s="479" t="inlineStr">
        <is>
          <t xml:space="preserve">           任意公积金</t>
        </is>
      </c>
      <c r="Y68" s="316" t="inlineStr"/>
      <c r="Z68" s="1224">
        <f>"——"</f>
        <v/>
      </c>
      <c r="AA68" s="1224">
        <f>"——"</f>
        <v/>
      </c>
      <c r="AB68" s="1224">
        <f>"——"</f>
        <v/>
      </c>
      <c r="AC68" s="1224">
        <f>"——"</f>
        <v/>
      </c>
      <c r="AD68" s="1224">
        <f>"——"</f>
        <v/>
      </c>
      <c r="AE68" s="1224">
        <f>"——"</f>
        <v/>
      </c>
      <c r="AF68" s="1224">
        <f>"——"</f>
        <v/>
      </c>
      <c r="AG68" s="1224">
        <f>"——"</f>
        <v/>
      </c>
      <c r="AH68" s="1222" t="n"/>
      <c r="AI68" s="1224">
        <f>"——"</f>
        <v/>
      </c>
      <c r="AJ68" s="1222" t="n"/>
      <c r="AK68" s="1222">
        <f>AH68+AJ68</f>
        <v/>
      </c>
      <c r="AL68" s="1224">
        <f>"——"</f>
        <v/>
      </c>
      <c r="AM68" s="1222">
        <f>AK68</f>
        <v/>
      </c>
      <c r="AN68" s="1224">
        <f>"——"</f>
        <v/>
      </c>
      <c r="AO68" s="1224">
        <f>"——"</f>
        <v/>
      </c>
      <c r="AP68" s="1224">
        <f>"——"</f>
        <v/>
      </c>
      <c r="AQ68" s="1224">
        <f>"——"</f>
        <v/>
      </c>
      <c r="AR68" s="1224">
        <f>"——"</f>
        <v/>
      </c>
      <c r="AS68" s="1224">
        <f>"——"</f>
        <v/>
      </c>
      <c r="AT68" s="1224">
        <f>"——"</f>
        <v/>
      </c>
      <c r="AU68" s="1224">
        <f>"——"</f>
        <v/>
      </c>
      <c r="AV68" s="1222" t="n"/>
      <c r="AW68" s="1224">
        <f>"——"</f>
        <v/>
      </c>
      <c r="AX68" s="1222" t="n"/>
      <c r="AY68" s="1222">
        <f>AV68+AX68</f>
        <v/>
      </c>
      <c r="AZ68" s="1224">
        <f>"——"</f>
        <v/>
      </c>
      <c r="BA68" s="1222">
        <f>AY68</f>
        <v/>
      </c>
      <c r="BB68" s="13" t="n"/>
      <c r="BC68" s="13" t="n"/>
      <c r="BD68" s="13" t="n"/>
      <c r="BE68" s="13" t="n"/>
      <c r="BF68" s="384" t="inlineStr">
        <is>
          <t>G100162</t>
        </is>
      </c>
      <c r="BG68" s="384" t="inlineStr">
        <is>
          <t>山西京玉发电有限责任公司（合并）</t>
        </is>
      </c>
      <c r="BH68" s="384" t="inlineStr">
        <is>
          <t>E100162G</t>
        </is>
      </c>
      <c r="BI68" s="384" t="inlineStr">
        <is>
          <t xml:space="preserve"> 山西京玉发电有限责任公司（合并）</t>
        </is>
      </c>
    </row>
    <row r="69">
      <c r="A69" s="13" t="n"/>
      <c r="B69" s="13" t="n"/>
      <c r="C69" s="13" t="n"/>
      <c r="D69" s="13" t="n"/>
      <c r="E69" s="13" t="n"/>
      <c r="F69" s="13" t="n"/>
      <c r="G69" s="13" t="n"/>
      <c r="H69" s="13" t="n"/>
      <c r="I69" s="13" t="n"/>
      <c r="J69" s="13" t="n"/>
      <c r="K69" s="13" t="n"/>
      <c r="L69" s="13" t="n"/>
      <c r="M69" s="716" t="n"/>
      <c r="N69" s="716" t="n"/>
      <c r="O69" s="13" t="n"/>
      <c r="P69" s="13" t="n"/>
      <c r="Q69" s="13" t="n"/>
      <c r="R69" s="13" t="n"/>
      <c r="S69" s="1103" t="n"/>
      <c r="T69" s="1066" t="inlineStr">
        <is>
          <t xml:space="preserve">           #储备基金</t>
        </is>
      </c>
      <c r="U69" s="1066" t="inlineStr">
        <is>
          <t>ZI03002040103</t>
        </is>
      </c>
      <c r="V69" s="1102">
        <f>IF(_epmOfflineCondition_,"ZI03002040103",EPMOlapMemberO(U69,"[C_ITEM].[PARENTH1].[ZI03002040103]","ZI03002040103 -            #储备基金","","000"))</f>
        <v/>
      </c>
      <c r="W69" s="13" t="n"/>
      <c r="X69" s="479" t="inlineStr">
        <is>
          <t xml:space="preserve">           #储备基金</t>
        </is>
      </c>
      <c r="Y69" s="316" t="inlineStr"/>
      <c r="Z69" s="1224">
        <f>"——"</f>
        <v/>
      </c>
      <c r="AA69" s="1224">
        <f>"——"</f>
        <v/>
      </c>
      <c r="AB69" s="1224">
        <f>"——"</f>
        <v/>
      </c>
      <c r="AC69" s="1224">
        <f>"——"</f>
        <v/>
      </c>
      <c r="AD69" s="1224">
        <f>"——"</f>
        <v/>
      </c>
      <c r="AE69" s="1224">
        <f>"——"</f>
        <v/>
      </c>
      <c r="AF69" s="1224">
        <f>"——"</f>
        <v/>
      </c>
      <c r="AG69" s="1224">
        <f>"——"</f>
        <v/>
      </c>
      <c r="AH69" s="1222" t="n"/>
      <c r="AI69" s="1224">
        <f>"——"</f>
        <v/>
      </c>
      <c r="AJ69" s="1222" t="n"/>
      <c r="AK69" s="1222">
        <f>AH69+AJ69</f>
        <v/>
      </c>
      <c r="AL69" s="1224">
        <f>"——"</f>
        <v/>
      </c>
      <c r="AM69" s="1222">
        <f>AK69</f>
        <v/>
      </c>
      <c r="AN69" s="1224">
        <f>"——"</f>
        <v/>
      </c>
      <c r="AO69" s="1224">
        <f>"——"</f>
        <v/>
      </c>
      <c r="AP69" s="1224">
        <f>"——"</f>
        <v/>
      </c>
      <c r="AQ69" s="1224">
        <f>"——"</f>
        <v/>
      </c>
      <c r="AR69" s="1224">
        <f>"——"</f>
        <v/>
      </c>
      <c r="AS69" s="1224">
        <f>"——"</f>
        <v/>
      </c>
      <c r="AT69" s="1224">
        <f>"——"</f>
        <v/>
      </c>
      <c r="AU69" s="1224">
        <f>"——"</f>
        <v/>
      </c>
      <c r="AV69" s="1222" t="n"/>
      <c r="AW69" s="1224">
        <f>"——"</f>
        <v/>
      </c>
      <c r="AX69" s="1222" t="n"/>
      <c r="AY69" s="1222">
        <f>AV69+AX69</f>
        <v/>
      </c>
      <c r="AZ69" s="1224">
        <f>"——"</f>
        <v/>
      </c>
      <c r="BA69" s="1222">
        <f>AY69</f>
        <v/>
      </c>
      <c r="BB69" s="13" t="n"/>
      <c r="BC69" s="13" t="n"/>
      <c r="BD69" s="13" t="n"/>
      <c r="BE69" s="13" t="n"/>
      <c r="BF69" s="384" t="inlineStr">
        <is>
          <t>G100189</t>
        </is>
      </c>
      <c r="BG69" s="384" t="inlineStr">
        <is>
          <t>京能锡林郭勒能源有限公司（合并）</t>
        </is>
      </c>
      <c r="BH69" s="384" t="inlineStr">
        <is>
          <t>E100189G</t>
        </is>
      </c>
      <c r="BI69" s="384" t="inlineStr">
        <is>
          <t xml:space="preserve"> 京能锡林郭勒能源有限公司（合并）</t>
        </is>
      </c>
    </row>
    <row r="70">
      <c r="A70" s="13" t="n"/>
      <c r="B70" s="13" t="n"/>
      <c r="C70" s="13" t="n"/>
      <c r="D70" s="13" t="n"/>
      <c r="E70" s="13" t="n"/>
      <c r="F70" s="13" t="n"/>
      <c r="G70" s="13" t="n"/>
      <c r="H70" s="13" t="n"/>
      <c r="I70" s="13" t="n"/>
      <c r="J70" s="13" t="n"/>
      <c r="K70" s="13" t="n"/>
      <c r="L70" s="13" t="n"/>
      <c r="M70" s="716" t="n"/>
      <c r="N70" s="716" t="n"/>
      <c r="O70" s="13" t="n"/>
      <c r="P70" s="13" t="n"/>
      <c r="Q70" s="13" t="n"/>
      <c r="R70" s="13" t="n"/>
      <c r="S70" s="1103" t="n"/>
      <c r="T70" s="1066" t="inlineStr">
        <is>
          <t xml:space="preserve"> 　  　    #企业发展基金</t>
        </is>
      </c>
      <c r="U70" s="1066" t="inlineStr">
        <is>
          <t>ZI03002040104</t>
        </is>
      </c>
      <c r="V70" s="1102">
        <f>IF(_epmOfflineCondition_,"ZI03002040104",EPMOlapMemberO(U70,"[C_ITEM].[PARENTH1].[ZI03002040104]","ZI03002040104 -  　  　    #企业发展基金","","000"))</f>
        <v/>
      </c>
      <c r="W70" s="13" t="n"/>
      <c r="X70" s="479" t="inlineStr">
        <is>
          <t xml:space="preserve"> 　  　    #企业发展基金</t>
        </is>
      </c>
      <c r="Y70" s="316" t="inlineStr"/>
      <c r="Z70" s="1224">
        <f>"——"</f>
        <v/>
      </c>
      <c r="AA70" s="1224">
        <f>"——"</f>
        <v/>
      </c>
      <c r="AB70" s="1224">
        <f>"——"</f>
        <v/>
      </c>
      <c r="AC70" s="1224">
        <f>"——"</f>
        <v/>
      </c>
      <c r="AD70" s="1224">
        <f>"——"</f>
        <v/>
      </c>
      <c r="AE70" s="1224">
        <f>"——"</f>
        <v/>
      </c>
      <c r="AF70" s="1224">
        <f>"——"</f>
        <v/>
      </c>
      <c r="AG70" s="1224">
        <f>"——"</f>
        <v/>
      </c>
      <c r="AH70" s="1222" t="n"/>
      <c r="AI70" s="1224">
        <f>"——"</f>
        <v/>
      </c>
      <c r="AJ70" s="1222" t="n"/>
      <c r="AK70" s="1222">
        <f>AH70+AJ70</f>
        <v/>
      </c>
      <c r="AL70" s="1224">
        <f>"——"</f>
        <v/>
      </c>
      <c r="AM70" s="1222">
        <f>AK70</f>
        <v/>
      </c>
      <c r="AN70" s="1224">
        <f>"——"</f>
        <v/>
      </c>
      <c r="AO70" s="1224">
        <f>"——"</f>
        <v/>
      </c>
      <c r="AP70" s="1224">
        <f>"——"</f>
        <v/>
      </c>
      <c r="AQ70" s="1224">
        <f>"——"</f>
        <v/>
      </c>
      <c r="AR70" s="1224">
        <f>"——"</f>
        <v/>
      </c>
      <c r="AS70" s="1224">
        <f>"——"</f>
        <v/>
      </c>
      <c r="AT70" s="1224">
        <f>"——"</f>
        <v/>
      </c>
      <c r="AU70" s="1224">
        <f>"——"</f>
        <v/>
      </c>
      <c r="AV70" s="1222" t="n"/>
      <c r="AW70" s="1224">
        <f>"——"</f>
        <v/>
      </c>
      <c r="AX70" s="1222" t="n"/>
      <c r="AY70" s="1222">
        <f>AV70+AX70</f>
        <v/>
      </c>
      <c r="AZ70" s="1224">
        <f>"——"</f>
        <v/>
      </c>
      <c r="BA70" s="1222">
        <f>AY70</f>
        <v/>
      </c>
      <c r="BB70" s="13" t="n"/>
      <c r="BC70" s="13" t="n"/>
      <c r="BD70" s="13" t="n"/>
      <c r="BE70" s="13" t="n"/>
      <c r="BF70" s="384" t="inlineStr">
        <is>
          <t>G100191</t>
        </is>
      </c>
      <c r="BG70" s="384" t="inlineStr">
        <is>
          <t>北京乐多港发展有限公司（合并）</t>
        </is>
      </c>
      <c r="BH70" s="384" t="inlineStr">
        <is>
          <t>E100191G</t>
        </is>
      </c>
      <c r="BI70" s="384" t="inlineStr">
        <is>
          <t xml:space="preserve"> 北京乐多港发展有限公司（合并）</t>
        </is>
      </c>
    </row>
    <row r="71">
      <c r="A71" s="13" t="n"/>
      <c r="B71" s="13" t="n"/>
      <c r="C71" s="13" t="n"/>
      <c r="D71" s="13" t="n"/>
      <c r="E71" s="13" t="n"/>
      <c r="F71" s="13" t="n"/>
      <c r="G71" s="13" t="n"/>
      <c r="H71" s="13" t="n"/>
      <c r="I71" s="13" t="n"/>
      <c r="J71" s="13" t="n"/>
      <c r="K71" s="13" t="n"/>
      <c r="L71" s="13" t="n"/>
      <c r="M71" s="716" t="n"/>
      <c r="N71" s="716" t="n"/>
      <c r="O71" s="13" t="n"/>
      <c r="P71" s="13" t="n"/>
      <c r="Q71" s="13" t="n"/>
      <c r="R71" s="13" t="n"/>
      <c r="S71" s="1103" t="n"/>
      <c r="T71" s="1066" t="inlineStr">
        <is>
          <t xml:space="preserve">　　　     #利润归还投资</t>
        </is>
      </c>
      <c r="U71" s="1066" t="inlineStr">
        <is>
          <t>ZI03002040105</t>
        </is>
      </c>
      <c r="V71" s="1102">
        <f>IF(_epmOfflineCondition_,"ZI03002040105",EPMOlapMemberO(U71,"[C_ITEM].[PARENTH1].[ZI03002040105]","ZI03002040105 - 　　　     #利润归还投资","","000"))</f>
        <v/>
      </c>
      <c r="W71" s="13" t="n"/>
      <c r="X71" s="479" t="inlineStr">
        <is>
          <t xml:space="preserve">　　　     #利润归还投资</t>
        </is>
      </c>
      <c r="Y71" s="316" t="inlineStr"/>
      <c r="Z71" s="1224">
        <f>"——"</f>
        <v/>
      </c>
      <c r="AA71" s="1224">
        <f>"——"</f>
        <v/>
      </c>
      <c r="AB71" s="1224">
        <f>"——"</f>
        <v/>
      </c>
      <c r="AC71" s="1224">
        <f>"——"</f>
        <v/>
      </c>
      <c r="AD71" s="1224">
        <f>"——"</f>
        <v/>
      </c>
      <c r="AE71" s="1224">
        <f>"——"</f>
        <v/>
      </c>
      <c r="AF71" s="1224">
        <f>"——"</f>
        <v/>
      </c>
      <c r="AG71" s="1224">
        <f>"——"</f>
        <v/>
      </c>
      <c r="AH71" s="1222" t="n"/>
      <c r="AI71" s="1224">
        <f>"——"</f>
        <v/>
      </c>
      <c r="AJ71" s="1222" t="n"/>
      <c r="AK71" s="1222">
        <f>AH71+AJ71</f>
        <v/>
      </c>
      <c r="AL71" s="1224">
        <f>"——"</f>
        <v/>
      </c>
      <c r="AM71" s="1222">
        <f>AK71</f>
        <v/>
      </c>
      <c r="AN71" s="1224">
        <f>"——"</f>
        <v/>
      </c>
      <c r="AO71" s="1224">
        <f>"——"</f>
        <v/>
      </c>
      <c r="AP71" s="1224">
        <f>"——"</f>
        <v/>
      </c>
      <c r="AQ71" s="1224">
        <f>"——"</f>
        <v/>
      </c>
      <c r="AR71" s="1224">
        <f>"——"</f>
        <v/>
      </c>
      <c r="AS71" s="1224">
        <f>"——"</f>
        <v/>
      </c>
      <c r="AT71" s="1224">
        <f>"——"</f>
        <v/>
      </c>
      <c r="AU71" s="1224">
        <f>"——"</f>
        <v/>
      </c>
      <c r="AV71" s="1222" t="n"/>
      <c r="AW71" s="1224">
        <f>"——"</f>
        <v/>
      </c>
      <c r="AX71" s="1222" t="n"/>
      <c r="AY71" s="1222">
        <f>AV71+AX71</f>
        <v/>
      </c>
      <c r="AZ71" s="1224">
        <f>"——"</f>
        <v/>
      </c>
      <c r="BA71" s="1222">
        <f>AY71</f>
        <v/>
      </c>
      <c r="BB71" s="13" t="n"/>
      <c r="BC71" s="13" t="n"/>
      <c r="BD71" s="13" t="n"/>
      <c r="BE71" s="13" t="n"/>
      <c r="BF71" s="384" t="inlineStr">
        <is>
          <t>G100191H</t>
        </is>
      </c>
      <c r="BG71" s="384" t="inlineStr">
        <is>
          <t>北京乐多港发展有限公司（母公司合并）</t>
        </is>
      </c>
      <c r="BH71" s="384" t="inlineStr">
        <is>
          <t>E100191H</t>
        </is>
      </c>
      <c r="BI71" s="384" t="inlineStr">
        <is>
          <t xml:space="preserve"> 北京乐多港发展有限公司（母公司合并）</t>
        </is>
      </c>
    </row>
    <row r="72">
      <c r="A72" s="13" t="n"/>
      <c r="B72" s="13" t="n"/>
      <c r="C72" s="13" t="n"/>
      <c r="D72" s="13" t="n"/>
      <c r="E72" s="13" t="n"/>
      <c r="F72" s="13" t="n"/>
      <c r="G72" s="13" t="n"/>
      <c r="H72" s="13" t="n"/>
      <c r="I72" s="13" t="n"/>
      <c r="J72" s="13" t="n"/>
      <c r="K72" s="13" t="n"/>
      <c r="L72" s="13" t="n"/>
      <c r="M72" s="716" t="n"/>
      <c r="N72" s="716" t="n"/>
      <c r="O72" s="13" t="n"/>
      <c r="P72" s="13" t="n"/>
      <c r="Q72" s="13" t="n"/>
      <c r="R72" s="13" t="n"/>
      <c r="S72" s="1103" t="n"/>
      <c r="T72" s="1066" t="inlineStr">
        <is>
          <t># 2．提取一般风险准备</t>
        </is>
      </c>
      <c r="U72" s="1066" t="inlineStr">
        <is>
          <t>ZI030020402</t>
        </is>
      </c>
      <c r="V72" s="1073">
        <f>IF(_epmOfflineCondition_,"ZI030020402",EPMOlapMemberO(U72,"[C_ITEM].[PARENTH1].[ZI030020402]","ZI030020402 - # 2．提取一般风险准备","","000"))</f>
        <v/>
      </c>
      <c r="W72" s="13" t="n"/>
      <c r="X72" s="479" t="inlineStr">
        <is>
          <t># 2．提取一般风险准备</t>
        </is>
      </c>
      <c r="Y72" s="316" t="inlineStr"/>
      <c r="Z72" s="1224">
        <f>"——"</f>
        <v/>
      </c>
      <c r="AA72" s="1224">
        <f>"——"</f>
        <v/>
      </c>
      <c r="AB72" s="1224">
        <f>"——"</f>
        <v/>
      </c>
      <c r="AC72" s="1224">
        <f>"——"</f>
        <v/>
      </c>
      <c r="AD72" s="1224">
        <f>"——"</f>
        <v/>
      </c>
      <c r="AE72" s="1224">
        <f>"——"</f>
        <v/>
      </c>
      <c r="AF72" s="1224">
        <f>"——"</f>
        <v/>
      </c>
      <c r="AG72" s="1224">
        <f>"——"</f>
        <v/>
      </c>
      <c r="AH72" s="1224">
        <f>"——"</f>
        <v/>
      </c>
      <c r="AI72" s="1222" t="n"/>
      <c r="AJ72" s="1222" t="n"/>
      <c r="AK72" s="1222">
        <f>AI72+AJ72</f>
        <v/>
      </c>
      <c r="AL72" s="1224">
        <f>"——"</f>
        <v/>
      </c>
      <c r="AM72" s="1222">
        <f>AK72</f>
        <v/>
      </c>
      <c r="AN72" s="1224">
        <f>"——"</f>
        <v/>
      </c>
      <c r="AO72" s="1224">
        <f>"——"</f>
        <v/>
      </c>
      <c r="AP72" s="1224">
        <f>"——"</f>
        <v/>
      </c>
      <c r="AQ72" s="1224">
        <f>"——"</f>
        <v/>
      </c>
      <c r="AR72" s="1224">
        <f>"——"</f>
        <v/>
      </c>
      <c r="AS72" s="1224">
        <f>"——"</f>
        <v/>
      </c>
      <c r="AT72" s="1224">
        <f>"——"</f>
        <v/>
      </c>
      <c r="AU72" s="1224">
        <f>"——"</f>
        <v/>
      </c>
      <c r="AV72" s="1224">
        <f>"——"</f>
        <v/>
      </c>
      <c r="AW72" s="1222" t="n"/>
      <c r="AX72" s="1222" t="n"/>
      <c r="AY72" s="1222">
        <f>AW72+AX72</f>
        <v/>
      </c>
      <c r="AZ72" s="1224">
        <f>"——"</f>
        <v/>
      </c>
      <c r="BA72" s="1222">
        <f>AY72</f>
        <v/>
      </c>
      <c r="BB72" s="13" t="n"/>
      <c r="BC72" s="13" t="n"/>
      <c r="BD72" s="13" t="n"/>
      <c r="BE72" s="13" t="n"/>
      <c r="BF72" s="384" t="inlineStr">
        <is>
          <t>G100197</t>
        </is>
      </c>
      <c r="BG72" s="384" t="inlineStr">
        <is>
          <t>北京国际电气工程有限责任公司（合并）---处置</t>
        </is>
      </c>
      <c r="BH72" s="384" t="inlineStr">
        <is>
          <t>E100197G</t>
        </is>
      </c>
      <c r="BI72" s="384" t="inlineStr">
        <is>
          <t xml:space="preserve"> 北京国际电气工程有限责任公司（合并）</t>
        </is>
      </c>
    </row>
    <row r="73">
      <c r="A73" s="13" t="n"/>
      <c r="B73" s="13" t="n"/>
      <c r="C73" s="13" t="n"/>
      <c r="D73" s="13" t="n"/>
      <c r="E73" s="13" t="n"/>
      <c r="F73" s="13" t="n"/>
      <c r="G73" s="13" t="n"/>
      <c r="H73" s="13" t="n"/>
      <c r="I73" s="13" t="n"/>
      <c r="J73" s="13" t="n"/>
      <c r="K73" s="13" t="n"/>
      <c r="L73" s="13" t="n"/>
      <c r="M73" s="716" t="n"/>
      <c r="N73" s="716" t="n"/>
      <c r="O73" s="13" t="n"/>
      <c r="P73" s="13" t="n"/>
      <c r="Q73" s="13" t="n"/>
      <c r="R73" s="13" t="n"/>
      <c r="S73" s="1103" t="n"/>
      <c r="T73" s="1066" t="inlineStr">
        <is>
          <t xml:space="preserve">   3．对所有者（或股东）的分配</t>
        </is>
      </c>
      <c r="U73" s="1066" t="inlineStr">
        <is>
          <t>ZI030020403</t>
        </is>
      </c>
      <c r="V73" s="1073">
        <f>IF(_epmOfflineCondition_,"ZI030020403",EPMOlapMemberO(U73,"[C_ITEM].[PARENTH1].[ZI030020403]","ZI030020403 -    3．对所有者（或股东）的分配","","000"))</f>
        <v/>
      </c>
      <c r="W73" s="13" t="n"/>
      <c r="X73" s="479" t="inlineStr">
        <is>
          <t xml:space="preserve">   3．对所有者（或股东）的分配</t>
        </is>
      </c>
      <c r="Y73" s="316" t="inlineStr"/>
      <c r="Z73" s="1224">
        <f>"——"</f>
        <v/>
      </c>
      <c r="AA73" s="1224">
        <f>"——"</f>
        <v/>
      </c>
      <c r="AB73" s="1224">
        <f>"——"</f>
        <v/>
      </c>
      <c r="AC73" s="1224">
        <f>"——"</f>
        <v/>
      </c>
      <c r="AD73" s="1224">
        <f>"——"</f>
        <v/>
      </c>
      <c r="AE73" s="1224">
        <f>"——"</f>
        <v/>
      </c>
      <c r="AF73" s="1224">
        <f>"——"</f>
        <v/>
      </c>
      <c r="AG73" s="1224">
        <f>"——"</f>
        <v/>
      </c>
      <c r="AH73" s="1224">
        <f>"——"</f>
        <v/>
      </c>
      <c r="AI73" s="1224">
        <f>"——"</f>
        <v/>
      </c>
      <c r="AJ73" s="1222" t="n"/>
      <c r="AK73" s="1222">
        <f>AJ73</f>
        <v/>
      </c>
      <c r="AL73" s="1222" t="n"/>
      <c r="AM73" s="1222">
        <f>AK73+AL73</f>
        <v/>
      </c>
      <c r="AN73" s="1224">
        <f>"——"</f>
        <v/>
      </c>
      <c r="AO73" s="1224">
        <f>"——"</f>
        <v/>
      </c>
      <c r="AP73" s="1224">
        <f>"——"</f>
        <v/>
      </c>
      <c r="AQ73" s="1224">
        <f>"——"</f>
        <v/>
      </c>
      <c r="AR73" s="1224">
        <f>"——"</f>
        <v/>
      </c>
      <c r="AS73" s="1224">
        <f>"——"</f>
        <v/>
      </c>
      <c r="AT73" s="1224">
        <f>"——"</f>
        <v/>
      </c>
      <c r="AU73" s="1224">
        <f>"——"</f>
        <v/>
      </c>
      <c r="AV73" s="1224">
        <f>"——"</f>
        <v/>
      </c>
      <c r="AW73" s="1224">
        <f>"——"</f>
        <v/>
      </c>
      <c r="AX73" s="1222" t="n"/>
      <c r="AY73" s="1222">
        <f>AX73</f>
        <v/>
      </c>
      <c r="AZ73" s="1222" t="n"/>
      <c r="BA73" s="1222">
        <f>AY73+AZ73</f>
        <v/>
      </c>
      <c r="BB73" s="13" t="n"/>
      <c r="BC73" s="13" t="n"/>
      <c r="BD73" s="13" t="n"/>
      <c r="BE73" s="13" t="n"/>
      <c r="BF73" s="384" t="inlineStr">
        <is>
          <t>G100200</t>
        </is>
      </c>
      <c r="BG73" s="384" t="inlineStr">
        <is>
          <t>北京京能能源技术研究有限责任公司（合并）</t>
        </is>
      </c>
      <c r="BH73" s="384" t="inlineStr">
        <is>
          <t>E100200G</t>
        </is>
      </c>
      <c r="BI73" s="384" t="inlineStr">
        <is>
          <t xml:space="preserve"> 北京京能能源技术研究有限责任公司（合并）</t>
        </is>
      </c>
    </row>
    <row r="74">
      <c r="A74" s="13" t="n"/>
      <c r="B74" s="13" t="n"/>
      <c r="C74" s="13" t="n"/>
      <c r="D74" s="13" t="n"/>
      <c r="E74" s="13" t="n"/>
      <c r="F74" s="13" t="n"/>
      <c r="G74" s="13" t="n"/>
      <c r="H74" s="13" t="n"/>
      <c r="I74" s="13" t="n"/>
      <c r="J74" s="13" t="n"/>
      <c r="K74" s="13" t="n"/>
      <c r="L74" s="13" t="n"/>
      <c r="M74" s="716" t="n"/>
      <c r="N74" s="716" t="n"/>
      <c r="O74" s="13" t="n"/>
      <c r="P74" s="13" t="n"/>
      <c r="Q74" s="13" t="n"/>
      <c r="R74" s="13" t="n"/>
      <c r="S74" s="1103" t="n"/>
      <c r="T74" s="1066" t="inlineStr">
        <is>
          <t xml:space="preserve">   4．其他</t>
        </is>
      </c>
      <c r="U74" s="1066" t="inlineStr">
        <is>
          <t>ZI030020404</t>
        </is>
      </c>
      <c r="V74" s="1073">
        <f>IF(_epmOfflineCondition_,"ZI030020404",EPMOlapMemberO(U74,"[C_ITEM].[PARENTH1].[ZI030020404]","ZI030020404 -    4．其他","","000"))</f>
        <v/>
      </c>
      <c r="W74" s="13" t="n"/>
      <c r="X74" s="479" t="inlineStr">
        <is>
          <t xml:space="preserve">   4．其他</t>
        </is>
      </c>
      <c r="Y74" s="316" t="inlineStr"/>
      <c r="Z74" s="1224">
        <f>"——"</f>
        <v/>
      </c>
      <c r="AA74" s="1222" t="n"/>
      <c r="AB74" s="1222" t="n"/>
      <c r="AC74" s="1222" t="n"/>
      <c r="AD74" s="1222" t="n"/>
      <c r="AE74" s="1222" t="n"/>
      <c r="AF74" s="1222" t="n"/>
      <c r="AG74" s="1222" t="n"/>
      <c r="AH74" s="1222" t="n"/>
      <c r="AI74" s="1222" t="n"/>
      <c r="AJ74" s="1222" t="n"/>
      <c r="AK74" s="1222">
        <f>SUM(AA74:AJ74)</f>
        <v/>
      </c>
      <c r="AL74" s="1222" t="n"/>
      <c r="AM74" s="1222">
        <f>AK74+AL74</f>
        <v/>
      </c>
      <c r="AN74" s="1224">
        <f>"——"</f>
        <v/>
      </c>
      <c r="AO74" s="1223" t="n"/>
      <c r="AP74" s="1223" t="n"/>
      <c r="AQ74" s="1223" t="n"/>
      <c r="AR74" s="1222" t="n"/>
      <c r="AS74" s="1222" t="n"/>
      <c r="AT74" s="1222" t="n"/>
      <c r="AU74" s="1222" t="n"/>
      <c r="AV74" s="1222" t="n"/>
      <c r="AW74" s="1222" t="n"/>
      <c r="AX74" s="1222" t="n"/>
      <c r="AY74" s="1222">
        <f>SUM(AO74:AX74)</f>
        <v/>
      </c>
      <c r="AZ74" s="1222" t="n"/>
      <c r="BA74" s="1222">
        <f>AY74+AZ74</f>
        <v/>
      </c>
      <c r="BB74" s="13" t="n"/>
      <c r="BC74" s="13" t="n"/>
      <c r="BD74" s="13" t="n"/>
      <c r="BE74" s="13" t="n"/>
      <c r="BF74" s="384" t="inlineStr">
        <is>
          <t>G100201</t>
        </is>
      </c>
      <c r="BG74" s="384" t="inlineStr">
        <is>
          <t>北京昊华能源股份有限公司（合并）</t>
        </is>
      </c>
      <c r="BH74" s="384" t="inlineStr">
        <is>
          <t>E100201G</t>
        </is>
      </c>
      <c r="BI74" s="384" t="inlineStr">
        <is>
          <t xml:space="preserve"> 北京昊华能源股份有限公司（合并）</t>
        </is>
      </c>
    </row>
    <row r="75">
      <c r="A75" s="13" t="n"/>
      <c r="B75" s="13" t="n"/>
      <c r="C75" s="13" t="n"/>
      <c r="D75" s="13" t="n"/>
      <c r="E75" s="13" t="n"/>
      <c r="F75" s="13" t="n"/>
      <c r="G75" s="13" t="n"/>
      <c r="H75" s="13" t="n"/>
      <c r="I75" s="13" t="n"/>
      <c r="J75" s="13" t="n"/>
      <c r="K75" s="13" t="n"/>
      <c r="L75" s="13" t="n"/>
      <c r="M75" s="716" t="n"/>
      <c r="N75" s="716" t="n"/>
      <c r="O75" s="13" t="n"/>
      <c r="P75" s="13" t="n"/>
      <c r="Q75" s="13" t="n"/>
      <c r="R75" s="13" t="n"/>
      <c r="S75" s="1103" t="n"/>
      <c r="T75" s="1066" t="inlineStr">
        <is>
          <t>（五）所有者权益内部结转</t>
        </is>
      </c>
      <c r="U75" s="1066" t="inlineStr">
        <is>
          <t>ZI0300205</t>
        </is>
      </c>
      <c r="V75" s="1104">
        <f>IF(_epmOfflineCondition_,"ZI0300205",EPMOlapMemberO(U75,"[C_ITEM].[PARENTH1].[ZI0300205]","ZI0300205 - （五）所有者权益内部结转","","000"))</f>
        <v/>
      </c>
      <c r="W75" s="13" t="n"/>
      <c r="X75" s="479" t="inlineStr">
        <is>
          <t>（五）所有者权益内部结转</t>
        </is>
      </c>
      <c r="Y75" s="316" t="inlineStr"/>
      <c r="Z75" s="1223">
        <f>SUM(Z76:Z77,Z81)</f>
        <v/>
      </c>
      <c r="AA75" s="1222">
        <f>AA76+AA81</f>
        <v/>
      </c>
      <c r="AB75" s="1222">
        <f>AB76+AB81</f>
        <v/>
      </c>
      <c r="AC75" s="1222">
        <f>AC76+AC81</f>
        <v/>
      </c>
      <c r="AD75" s="1222">
        <f>AD76+AD81</f>
        <v/>
      </c>
      <c r="AE75" s="1222">
        <f>AE81</f>
        <v/>
      </c>
      <c r="AF75" s="1222">
        <f>SUM(AF79:AF81)</f>
        <v/>
      </c>
      <c r="AG75" s="1222">
        <f>AG81</f>
        <v/>
      </c>
      <c r="AH75" s="1222">
        <f>AH77+AH78+AH80+AH81</f>
        <v/>
      </c>
      <c r="AI75" s="1222">
        <f>AI81</f>
        <v/>
      </c>
      <c r="AJ75" s="1222">
        <f>SUM(AJ78:AJ81)</f>
        <v/>
      </c>
      <c r="AK75" s="1222">
        <f>SUM(Z75:AJ75)</f>
        <v/>
      </c>
      <c r="AL75" s="1222">
        <f>AL81</f>
        <v/>
      </c>
      <c r="AM75" s="1222">
        <f>AK75+AL75</f>
        <v/>
      </c>
      <c r="AN75" s="1223">
        <f>SUM(AN76:AN77,AN81)</f>
        <v/>
      </c>
      <c r="AO75" s="1222">
        <f>AO76+AO81</f>
        <v/>
      </c>
      <c r="AP75" s="1222">
        <f>AP76+AP81</f>
        <v/>
      </c>
      <c r="AQ75" s="1222">
        <f>AQ76+AQ81</f>
        <v/>
      </c>
      <c r="AR75" s="1222">
        <f>AR76+AR81</f>
        <v/>
      </c>
      <c r="AS75" s="1222">
        <f>AS81</f>
        <v/>
      </c>
      <c r="AT75" s="1222">
        <f>SUM(AT79:AT81)</f>
        <v/>
      </c>
      <c r="AU75" s="1222">
        <f>AU81</f>
        <v/>
      </c>
      <c r="AV75" s="1222">
        <f>AV77+AV78+AV81</f>
        <v/>
      </c>
      <c r="AW75" s="1222">
        <f>AW81</f>
        <v/>
      </c>
      <c r="AX75" s="1222">
        <f>SUM(AX78:AX81)</f>
        <v/>
      </c>
      <c r="AY75" s="1222">
        <f>SUM(AN75:AX75)</f>
        <v/>
      </c>
      <c r="AZ75" s="1222">
        <f>AZ81</f>
        <v/>
      </c>
      <c r="BA75" s="1222">
        <f>AY75+AZ75</f>
        <v/>
      </c>
      <c r="BB75" s="13" t="n"/>
      <c r="BC75" s="13" t="n"/>
      <c r="BD75" s="13" t="n"/>
      <c r="BE75" s="13" t="n"/>
      <c r="BF75" s="384" t="inlineStr">
        <is>
          <t>G100201H</t>
        </is>
      </c>
      <c r="BG75" s="384" t="inlineStr">
        <is>
          <t>北京昊华能源股份有限公司（母公司）</t>
        </is>
      </c>
      <c r="BH75" s="384" t="inlineStr">
        <is>
          <t>E100201H</t>
        </is>
      </c>
      <c r="BI75" s="384" t="inlineStr">
        <is>
          <t xml:space="preserve"> 北京昊华能源股份有限公司（母公司）</t>
        </is>
      </c>
    </row>
    <row r="76">
      <c r="A76" s="13" t="n"/>
      <c r="B76" s="13" t="n"/>
      <c r="C76" s="13" t="n"/>
      <c r="D76" s="13" t="n"/>
      <c r="E76" s="13" t="n"/>
      <c r="F76" s="13" t="n"/>
      <c r="G76" s="13" t="n"/>
      <c r="H76" s="13" t="n"/>
      <c r="I76" s="13" t="n"/>
      <c r="J76" s="13" t="n"/>
      <c r="K76" s="13" t="n"/>
      <c r="L76" s="13" t="n"/>
      <c r="M76" s="716" t="n"/>
      <c r="N76" s="716" t="n"/>
      <c r="O76" s="13" t="n"/>
      <c r="P76" s="13" t="n"/>
      <c r="Q76" s="13" t="n"/>
      <c r="R76" s="13" t="n"/>
      <c r="S76" s="1103" t="n"/>
      <c r="T76" s="1066" t="inlineStr">
        <is>
          <t xml:space="preserve">  1．资本公积转增资本（或股本）</t>
        </is>
      </c>
      <c r="U76" s="1066" t="inlineStr">
        <is>
          <t>ZI030020501</t>
        </is>
      </c>
      <c r="V76" s="1073">
        <f>IF(_epmOfflineCondition_,"ZI030020501",EPMOlapMemberO(U76,"[C_ITEM].[PARENTH1].[ZI030020501]","ZI030020501 -   1．资本公积转增资本（或股本）","","000"))</f>
        <v/>
      </c>
      <c r="W76" s="13" t="n"/>
      <c r="X76" s="479" t="inlineStr">
        <is>
          <t xml:space="preserve">  1．资本公积转增资本（或股本）</t>
        </is>
      </c>
      <c r="Y76" s="316" t="inlineStr"/>
      <c r="Z76" s="1222" t="n"/>
      <c r="AA76" s="1222" t="n"/>
      <c r="AB76" s="1222" t="n"/>
      <c r="AC76" s="1222" t="n"/>
      <c r="AD76" s="1222" t="n"/>
      <c r="AE76" s="1224">
        <f>"——"</f>
        <v/>
      </c>
      <c r="AF76" s="1224">
        <f>"——"</f>
        <v/>
      </c>
      <c r="AG76" s="1224">
        <f>"——"</f>
        <v/>
      </c>
      <c r="AH76" s="1224">
        <f>"——"</f>
        <v/>
      </c>
      <c r="AI76" s="1224">
        <f>"——"</f>
        <v/>
      </c>
      <c r="AJ76" s="1224">
        <f>"——"</f>
        <v/>
      </c>
      <c r="AK76" s="1222">
        <f>SUM(Z76:AD76)</f>
        <v/>
      </c>
      <c r="AL76" s="1224">
        <f>"——"</f>
        <v/>
      </c>
      <c r="AM76" s="1222">
        <f>AK76</f>
        <v/>
      </c>
      <c r="AN76" s="1222" t="n"/>
      <c r="AO76" s="1222" t="n"/>
      <c r="AP76" s="1222" t="n"/>
      <c r="AQ76" s="1222" t="n"/>
      <c r="AR76" s="1222" t="n"/>
      <c r="AS76" s="1224">
        <f>"——"</f>
        <v/>
      </c>
      <c r="AT76" s="1224">
        <f>"——"</f>
        <v/>
      </c>
      <c r="AU76" s="1224">
        <f>"——"</f>
        <v/>
      </c>
      <c r="AV76" s="1224">
        <f>"——"</f>
        <v/>
      </c>
      <c r="AW76" s="1224">
        <f>"——"</f>
        <v/>
      </c>
      <c r="AX76" s="1224">
        <f>"——"</f>
        <v/>
      </c>
      <c r="AY76" s="1222">
        <f>SUM(AN76:AR76)</f>
        <v/>
      </c>
      <c r="AZ76" s="1224">
        <f>"——"</f>
        <v/>
      </c>
      <c r="BA76" s="1222">
        <f>AY76</f>
        <v/>
      </c>
      <c r="BB76" s="13" t="n"/>
      <c r="BC76" s="13" t="n"/>
      <c r="BD76" s="13" t="n"/>
      <c r="BE76" s="13" t="n"/>
      <c r="BF76" s="384" t="inlineStr">
        <is>
          <t>G100203</t>
        </is>
      </c>
      <c r="BG76" s="384" t="inlineStr">
        <is>
          <t>杭锦旗西部能源开发有限公司（合并）</t>
        </is>
      </c>
      <c r="BH76" s="384" t="inlineStr">
        <is>
          <t>E100203G</t>
        </is>
      </c>
      <c r="BI76" s="384" t="inlineStr">
        <is>
          <t xml:space="preserve"> 杭锦旗西部能源开发有限公司（合并）</t>
        </is>
      </c>
    </row>
    <row r="77">
      <c r="A77" s="13" t="n"/>
      <c r="B77" s="13" t="n"/>
      <c r="C77" s="13" t="n"/>
      <c r="D77" s="13" t="n"/>
      <c r="E77" s="13" t="n"/>
      <c r="F77" s="13" t="n"/>
      <c r="G77" s="13" t="n"/>
      <c r="H77" s="13" t="n"/>
      <c r="I77" s="13" t="n"/>
      <c r="J77" s="13" t="n"/>
      <c r="K77" s="13" t="n"/>
      <c r="L77" s="13" t="n"/>
      <c r="M77" s="716" t="n"/>
      <c r="N77" s="716" t="n"/>
      <c r="O77" s="13" t="n"/>
      <c r="P77" s="13" t="n"/>
      <c r="Q77" s="13" t="n"/>
      <c r="R77" s="13" t="n"/>
      <c r="S77" s="1103" t="n"/>
      <c r="T77" s="1066" t="inlineStr">
        <is>
          <t xml:space="preserve">  2．盈余公积转增资本（或股本）</t>
        </is>
      </c>
      <c r="U77" s="1066" t="inlineStr">
        <is>
          <t>ZI030020502</t>
        </is>
      </c>
      <c r="V77" s="1073">
        <f>IF(_epmOfflineCondition_,"ZI030020502",EPMOlapMemberO(U77,"[C_ITEM].[PARENTH1].[ZI030020502]","ZI030020502 -   2．盈余公积转增资本（或股本）","","000"))</f>
        <v/>
      </c>
      <c r="W77" s="13" t="n"/>
      <c r="X77" s="479" t="inlineStr">
        <is>
          <t xml:space="preserve">  2．盈余公积转增资本（或股本）</t>
        </is>
      </c>
      <c r="Y77" s="316" t="inlineStr"/>
      <c r="Z77" s="1222" t="n"/>
      <c r="AA77" s="1224">
        <f>"——"</f>
        <v/>
      </c>
      <c r="AB77" s="1224">
        <f>"——"</f>
        <v/>
      </c>
      <c r="AC77" s="1224">
        <f>"——"</f>
        <v/>
      </c>
      <c r="AD77" s="1224">
        <f>"——"</f>
        <v/>
      </c>
      <c r="AE77" s="1224">
        <f>"——"</f>
        <v/>
      </c>
      <c r="AF77" s="1224">
        <f>"——"</f>
        <v/>
      </c>
      <c r="AG77" s="1224">
        <f>"——"</f>
        <v/>
      </c>
      <c r="AH77" s="1222" t="n"/>
      <c r="AI77" s="1224">
        <f>"——"</f>
        <v/>
      </c>
      <c r="AJ77" s="1224">
        <f>"——"</f>
        <v/>
      </c>
      <c r="AK77" s="1222">
        <f>Z77+AH77</f>
        <v/>
      </c>
      <c r="AL77" s="1224">
        <f>"——"</f>
        <v/>
      </c>
      <c r="AM77" s="1222">
        <f>AK77</f>
        <v/>
      </c>
      <c r="AN77" s="1222" t="n"/>
      <c r="AO77" s="1224">
        <f>"——"</f>
        <v/>
      </c>
      <c r="AP77" s="1224">
        <f>"——"</f>
        <v/>
      </c>
      <c r="AQ77" s="1224">
        <f>"——"</f>
        <v/>
      </c>
      <c r="AR77" s="1224">
        <f>"——"</f>
        <v/>
      </c>
      <c r="AS77" s="1224">
        <f>"——"</f>
        <v/>
      </c>
      <c r="AT77" s="1224">
        <f>"——"</f>
        <v/>
      </c>
      <c r="AU77" s="1224">
        <f>"——"</f>
        <v/>
      </c>
      <c r="AV77" s="1222" t="n"/>
      <c r="AW77" s="1224">
        <f>"——"</f>
        <v/>
      </c>
      <c r="AX77" s="1224">
        <f>"——"</f>
        <v/>
      </c>
      <c r="AY77" s="1222">
        <f>AN77+AV77</f>
        <v/>
      </c>
      <c r="AZ77" s="1224">
        <f>"——"</f>
        <v/>
      </c>
      <c r="BA77" s="1222">
        <f>AY77</f>
        <v/>
      </c>
      <c r="BB77" s="13" t="n"/>
      <c r="BC77" s="13" t="n"/>
      <c r="BD77" s="13" t="n"/>
      <c r="BE77" s="13" t="n"/>
      <c r="BF77" s="384" t="inlineStr">
        <is>
          <t>G100211T</t>
        </is>
      </c>
      <c r="BG77" s="384" t="inlineStr">
        <is>
          <t>北京昊华能源股份有限公司企业管理分公司（汇总）</t>
        </is>
      </c>
      <c r="BH77" s="384" t="inlineStr">
        <is>
          <t>E100211T</t>
        </is>
      </c>
      <c r="BI77" s="384" t="inlineStr">
        <is>
          <t xml:space="preserve"> 北京昊华能源股份有限公司企业管理分公司（汇总）</t>
        </is>
      </c>
    </row>
    <row r="78">
      <c r="A78" s="13" t="n"/>
      <c r="B78" s="13" t="n"/>
      <c r="C78" s="13" t="n"/>
      <c r="D78" s="13" t="n"/>
      <c r="E78" s="13" t="n"/>
      <c r="F78" s="13" t="n"/>
      <c r="G78" s="13" t="n"/>
      <c r="H78" s="13" t="n"/>
      <c r="I78" s="13" t="n"/>
      <c r="J78" s="13" t="n"/>
      <c r="K78" s="13" t="n"/>
      <c r="L78" s="13" t="n"/>
      <c r="M78" s="716" t="n"/>
      <c r="N78" s="716" t="n"/>
      <c r="O78" s="13" t="n"/>
      <c r="P78" s="13" t="n"/>
      <c r="Q78" s="13" t="n"/>
      <c r="R78" s="13" t="n"/>
      <c r="S78" s="1103" t="n"/>
      <c r="T78" s="1066" t="inlineStr">
        <is>
          <t xml:space="preserve">  3．盈余公积弥补亏损</t>
        </is>
      </c>
      <c r="U78" s="1066" t="inlineStr">
        <is>
          <t>ZI030020503</t>
        </is>
      </c>
      <c r="V78" s="1073">
        <f>IF(_epmOfflineCondition_,"ZI030020503",EPMOlapMemberO(U78,"[C_ITEM].[PARENTH1].[ZI030020503]","ZI030020503 -   3．盈余公积弥补亏损","","000"))</f>
        <v/>
      </c>
      <c r="W78" s="13" t="n"/>
      <c r="X78" s="479" t="inlineStr">
        <is>
          <t xml:space="preserve">  3．盈余公积弥补亏损</t>
        </is>
      </c>
      <c r="Y78" s="316" t="inlineStr"/>
      <c r="Z78" s="1224">
        <f>"——"</f>
        <v/>
      </c>
      <c r="AA78" s="1224">
        <f>"——"</f>
        <v/>
      </c>
      <c r="AB78" s="1224">
        <f>"——"</f>
        <v/>
      </c>
      <c r="AC78" s="1224">
        <f>"——"</f>
        <v/>
      </c>
      <c r="AD78" s="1224">
        <f>"——"</f>
        <v/>
      </c>
      <c r="AE78" s="1224">
        <f>"——"</f>
        <v/>
      </c>
      <c r="AF78" s="1224">
        <f>"——"</f>
        <v/>
      </c>
      <c r="AG78" s="1224">
        <f>"——"</f>
        <v/>
      </c>
      <c r="AH78" s="1222" t="n"/>
      <c r="AI78" s="1224">
        <f>"——"</f>
        <v/>
      </c>
      <c r="AJ78" s="1222" t="n"/>
      <c r="AK78" s="1222">
        <f>AH78+AJ78</f>
        <v/>
      </c>
      <c r="AL78" s="1224">
        <f>"——"</f>
        <v/>
      </c>
      <c r="AM78" s="1222">
        <f>AK78</f>
        <v/>
      </c>
      <c r="AN78" s="1224">
        <f>"——"</f>
        <v/>
      </c>
      <c r="AO78" s="1224">
        <f>"——"</f>
        <v/>
      </c>
      <c r="AP78" s="1224">
        <f>"——"</f>
        <v/>
      </c>
      <c r="AQ78" s="1224">
        <f>"——"</f>
        <v/>
      </c>
      <c r="AR78" s="1224">
        <f>"——"</f>
        <v/>
      </c>
      <c r="AS78" s="1224">
        <f>"——"</f>
        <v/>
      </c>
      <c r="AT78" s="1224">
        <f>"——"</f>
        <v/>
      </c>
      <c r="AU78" s="1224">
        <f>"——"</f>
        <v/>
      </c>
      <c r="AV78" s="1222" t="n"/>
      <c r="AW78" s="1224">
        <f>"——"</f>
        <v/>
      </c>
      <c r="AX78" s="1222" t="n"/>
      <c r="AY78" s="1222">
        <f>AV78+AX78</f>
        <v/>
      </c>
      <c r="AZ78" s="1224">
        <f>"——"</f>
        <v/>
      </c>
      <c r="BA78" s="1222">
        <f>AY78</f>
        <v/>
      </c>
      <c r="BB78" s="13" t="n"/>
      <c r="BC78" s="13" t="n"/>
      <c r="BD78" s="13" t="n"/>
      <c r="BE78" s="13" t="n"/>
      <c r="BF78" s="384" t="inlineStr">
        <is>
          <t>G100218</t>
        </is>
      </c>
      <c r="BG78" s="384" t="inlineStr">
        <is>
          <t>北京京能油气资源开发有限公司（合并）</t>
        </is>
      </c>
      <c r="BH78" s="384" t="inlineStr">
        <is>
          <t>E100218G</t>
        </is>
      </c>
      <c r="BI78" s="384" t="inlineStr">
        <is>
          <t xml:space="preserve"> 北京京能油气资源开发有限公司（合并）</t>
        </is>
      </c>
    </row>
    <row r="79">
      <c r="A79" s="13" t="n"/>
      <c r="B79" s="13" t="n"/>
      <c r="C79" s="13" t="n"/>
      <c r="D79" s="13" t="n"/>
      <c r="E79" s="13" t="n"/>
      <c r="F79" s="13" t="n"/>
      <c r="G79" s="13" t="n"/>
      <c r="H79" s="13" t="n"/>
      <c r="I79" s="13" t="n"/>
      <c r="J79" s="13" t="n"/>
      <c r="K79" s="13" t="n"/>
      <c r="L79" s="13" t="n"/>
      <c r="M79" s="716" t="n"/>
      <c r="N79" s="716" t="n"/>
      <c r="O79" s="13" t="n"/>
      <c r="P79" s="13" t="n"/>
      <c r="Q79" s="13" t="n"/>
      <c r="R79" s="13" t="n"/>
      <c r="S79" s="1103" t="n"/>
      <c r="T79" s="1066" t="inlineStr">
        <is>
          <t xml:space="preserve">  4．设定受益计划变动额结转留存收益</t>
        </is>
      </c>
      <c r="U79" s="1066" t="inlineStr">
        <is>
          <t>ZI030020504</t>
        </is>
      </c>
      <c r="V79" s="1073">
        <f>IF(_epmOfflineCondition_,"ZI030020504",EPMOlapMemberO(U79,"[C_ITEM].[PARENTH1].[ZI030020504]","ZI030020504 -   4．设定受益计划变动额结转留存收益","","000"))</f>
        <v/>
      </c>
      <c r="W79" s="13" t="n"/>
      <c r="X79" s="479" t="inlineStr">
        <is>
          <t xml:space="preserve">  4．设定受益计划变动额结转留存收益</t>
        </is>
      </c>
      <c r="Y79" s="316" t="inlineStr"/>
      <c r="Z79" s="1224">
        <f>"——"</f>
        <v/>
      </c>
      <c r="AA79" s="1224">
        <f>"——"</f>
        <v/>
      </c>
      <c r="AB79" s="1224">
        <f>"——"</f>
        <v/>
      </c>
      <c r="AC79" s="1224">
        <f>"——"</f>
        <v/>
      </c>
      <c r="AD79" s="1224">
        <f>"——"</f>
        <v/>
      </c>
      <c r="AE79" s="1224">
        <f>"——"</f>
        <v/>
      </c>
      <c r="AF79" s="1223" t="n"/>
      <c r="AG79" s="1224">
        <f>"——"</f>
        <v/>
      </c>
      <c r="AH79" s="1224">
        <f>"——"</f>
        <v/>
      </c>
      <c r="AI79" s="1224">
        <f>"——"</f>
        <v/>
      </c>
      <c r="AJ79" s="1222" t="n"/>
      <c r="AK79" s="1222">
        <f>AJ79</f>
        <v/>
      </c>
      <c r="AL79" s="1224">
        <f>"——"</f>
        <v/>
      </c>
      <c r="AM79" s="1222">
        <f>AK79</f>
        <v/>
      </c>
      <c r="AN79" s="1224">
        <f>"——"</f>
        <v/>
      </c>
      <c r="AO79" s="1224">
        <f>"——"</f>
        <v/>
      </c>
      <c r="AP79" s="1224">
        <f>"——"</f>
        <v/>
      </c>
      <c r="AQ79" s="1224">
        <f>"——"</f>
        <v/>
      </c>
      <c r="AR79" s="1224">
        <f>"——"</f>
        <v/>
      </c>
      <c r="AS79" s="1224">
        <f>"——"</f>
        <v/>
      </c>
      <c r="AT79" s="1223" t="n"/>
      <c r="AU79" s="1224">
        <f>"——"</f>
        <v/>
      </c>
      <c r="AV79" s="1224">
        <f>"——"</f>
        <v/>
      </c>
      <c r="AW79" s="1224">
        <f>"——"</f>
        <v/>
      </c>
      <c r="AX79" s="1222" t="n"/>
      <c r="AY79" s="1222">
        <f>AX79</f>
        <v/>
      </c>
      <c r="AZ79" s="1224">
        <f>"——"</f>
        <v/>
      </c>
      <c r="BA79" s="1222">
        <f>AY79</f>
        <v/>
      </c>
      <c r="BB79" s="13" t="n"/>
      <c r="BC79" s="13" t="n"/>
      <c r="BD79" s="13" t="n"/>
      <c r="BE79" s="13" t="n"/>
      <c r="BF79" s="384" t="inlineStr">
        <is>
          <t>G100222</t>
        </is>
      </c>
      <c r="BG79" s="384" t="inlineStr">
        <is>
          <t>北京市热力集团有限责任公司（合并）</t>
        </is>
      </c>
      <c r="BH79" s="384" t="inlineStr">
        <is>
          <t>E100222G</t>
        </is>
      </c>
      <c r="BI79" s="384" t="inlineStr">
        <is>
          <t xml:space="preserve"> 北京市热力集团有限责任公司（合并）</t>
        </is>
      </c>
    </row>
    <row r="80">
      <c r="A80" s="13" t="n"/>
      <c r="B80" s="13" t="n"/>
      <c r="C80" s="13" t="n"/>
      <c r="D80" s="13" t="n"/>
      <c r="E80" s="13" t="n"/>
      <c r="F80" s="13" t="n"/>
      <c r="G80" s="13" t="n"/>
      <c r="H80" s="13" t="n"/>
      <c r="I80" s="13" t="n"/>
      <c r="J80" s="13" t="n"/>
      <c r="K80" s="13" t="n"/>
      <c r="L80" s="13" t="n"/>
      <c r="M80" s="716" t="n"/>
      <c r="N80" s="716" t="n"/>
      <c r="O80" s="13" t="n"/>
      <c r="P80" s="13" t="n"/>
      <c r="Q80" s="13" t="n"/>
      <c r="R80" s="13" t="n"/>
      <c r="S80" s="1103" t="n"/>
      <c r="T80" s="1066" t="inlineStr">
        <is>
          <t xml:space="preserve">  5．其他综合收益结转留存收益</t>
        </is>
      </c>
      <c r="U80" s="1066" t="inlineStr">
        <is>
          <t>ZI030020505</t>
        </is>
      </c>
      <c r="V80" s="1073">
        <f>IF(_epmOfflineCondition_,"ZI030020505",EPMOlapMemberO(U80,"[C_ITEM].[PARENTH1].[ZI030020505]","ZI030020505 -   5．其他综合收益结转留存收益","","000"))</f>
        <v/>
      </c>
      <c r="W80" s="13" t="n"/>
      <c r="X80" s="479" t="inlineStr">
        <is>
          <t xml:space="preserve">  5．其他综合收益结转留存收益</t>
        </is>
      </c>
      <c r="Y80" s="316" t="inlineStr"/>
      <c r="Z80" s="1224">
        <f>"——"</f>
        <v/>
      </c>
      <c r="AA80" s="1224">
        <f>"——"</f>
        <v/>
      </c>
      <c r="AB80" s="1224">
        <f>"——"</f>
        <v/>
      </c>
      <c r="AC80" s="1224">
        <f>"——"</f>
        <v/>
      </c>
      <c r="AD80" s="1224">
        <f>"——"</f>
        <v/>
      </c>
      <c r="AE80" s="1224">
        <f>"——"</f>
        <v/>
      </c>
      <c r="AF80" s="1223" t="n"/>
      <c r="AG80" s="1224">
        <f>"——"</f>
        <v/>
      </c>
      <c r="AH80" s="1222" t="n"/>
      <c r="AI80" s="1224">
        <f>"——"</f>
        <v/>
      </c>
      <c r="AJ80" s="1222" t="n"/>
      <c r="AK80" s="1222">
        <f>AJ80</f>
        <v/>
      </c>
      <c r="AL80" s="1224">
        <f>"——"</f>
        <v/>
      </c>
      <c r="AM80" s="1222">
        <f>AK80</f>
        <v/>
      </c>
      <c r="AN80" s="1224">
        <f>"——"</f>
        <v/>
      </c>
      <c r="AO80" s="1224">
        <f>"——"</f>
        <v/>
      </c>
      <c r="AP80" s="1224">
        <f>"——"</f>
        <v/>
      </c>
      <c r="AQ80" s="1224">
        <f>"——"</f>
        <v/>
      </c>
      <c r="AR80" s="1224">
        <f>"——"</f>
        <v/>
      </c>
      <c r="AS80" s="1224">
        <f>"——"</f>
        <v/>
      </c>
      <c r="AT80" s="1223" t="n"/>
      <c r="AU80" s="1224">
        <f>"——"</f>
        <v/>
      </c>
      <c r="AV80" s="1224">
        <f>"——"</f>
        <v/>
      </c>
      <c r="AW80" s="1224">
        <f>"——"</f>
        <v/>
      </c>
      <c r="AX80" s="1222" t="n"/>
      <c r="AY80" s="1222">
        <f>AX80</f>
        <v/>
      </c>
      <c r="AZ80" s="1224">
        <f>"——"</f>
        <v/>
      </c>
      <c r="BA80" s="1222">
        <f>AY80</f>
        <v/>
      </c>
      <c r="BB80" s="13" t="n"/>
      <c r="BC80" s="13" t="n"/>
      <c r="BD80" s="13" t="n"/>
      <c r="BE80" s="13" t="n"/>
      <c r="BF80" s="384" t="inlineStr">
        <is>
          <t>G100222H</t>
        </is>
      </c>
      <c r="BG80" s="384" t="inlineStr">
        <is>
          <t>北京市热力集团有限责任公司（母公司）</t>
        </is>
      </c>
      <c r="BH80" s="384" t="inlineStr">
        <is>
          <t>E100222H</t>
        </is>
      </c>
      <c r="BI80" s="384" t="inlineStr">
        <is>
          <t xml:space="preserve"> 北京市热力集团有限责任公司（母公司）</t>
        </is>
      </c>
    </row>
    <row r="81">
      <c r="A81" s="13" t="n"/>
      <c r="B81" s="13" t="n"/>
      <c r="C81" s="13" t="n"/>
      <c r="D81" s="13" t="n"/>
      <c r="E81" s="13" t="n"/>
      <c r="F81" s="13" t="n"/>
      <c r="G81" s="13" t="n"/>
      <c r="H81" s="13" t="n"/>
      <c r="I81" s="13" t="n"/>
      <c r="J81" s="13" t="n"/>
      <c r="K81" s="13" t="n"/>
      <c r="L81" s="13" t="n"/>
      <c r="M81" s="716" t="n"/>
      <c r="N81" s="716" t="n"/>
      <c r="O81" s="13" t="n"/>
      <c r="P81" s="13" t="n"/>
      <c r="Q81" s="13" t="n"/>
      <c r="R81" s="13" t="n"/>
      <c r="S81" s="1103" t="n"/>
      <c r="T81" s="1066" t="inlineStr">
        <is>
          <t xml:space="preserve">  6．其他</t>
        </is>
      </c>
      <c r="U81" s="1066" t="inlineStr">
        <is>
          <t>ZI030020506</t>
        </is>
      </c>
      <c r="V81" s="1073">
        <f>IF(_epmOfflineCondition_,"ZI030020506",EPMOlapMemberO(U81,"[C_ITEM].[PARENTH1].[ZI030020506]","ZI030020506 -   6．其他","","000"))</f>
        <v/>
      </c>
      <c r="W81" s="13" t="n"/>
      <c r="X81" s="479" t="inlineStr">
        <is>
          <t xml:space="preserve">  6．其他</t>
        </is>
      </c>
      <c r="Y81" s="316" t="inlineStr"/>
      <c r="Z81" s="1222" t="n"/>
      <c r="AA81" s="1222" t="n"/>
      <c r="AB81" s="1222" t="n"/>
      <c r="AC81" s="1222" t="n"/>
      <c r="AD81" s="1222" t="n"/>
      <c r="AE81" s="1222" t="n"/>
      <c r="AF81" s="1222" t="n"/>
      <c r="AG81" s="1222" t="n"/>
      <c r="AH81" s="1222" t="n"/>
      <c r="AI81" s="1222" t="n"/>
      <c r="AJ81" s="1222" t="n"/>
      <c r="AK81" s="1222">
        <f>SUM(Z81:AJ81)</f>
        <v/>
      </c>
      <c r="AL81" s="1223" t="n"/>
      <c r="AM81" s="1222">
        <f>AK81+AL81</f>
        <v/>
      </c>
      <c r="AN81" s="1222" t="n"/>
      <c r="AO81" s="1222" t="n"/>
      <c r="AP81" s="1222" t="n"/>
      <c r="AQ81" s="1222" t="n"/>
      <c r="AR81" s="1222" t="n"/>
      <c r="AS81" s="1222" t="n"/>
      <c r="AT81" s="1222" t="n"/>
      <c r="AU81" s="1222" t="n"/>
      <c r="AV81" s="1222" t="n"/>
      <c r="AW81" s="1222" t="n"/>
      <c r="AX81" s="1222" t="n"/>
      <c r="AY81" s="1222">
        <f>SUM(AN81:AX81)</f>
        <v/>
      </c>
      <c r="AZ81" s="1223" t="n"/>
      <c r="BA81" s="1222">
        <f>AY81+AZ81</f>
        <v/>
      </c>
      <c r="BB81" s="13" t="n"/>
      <c r="BC81" s="13" t="n"/>
      <c r="BD81" s="13" t="n"/>
      <c r="BE81" s="13" t="n"/>
      <c r="BF81" s="384" t="inlineStr">
        <is>
          <t>G100233</t>
        </is>
      </c>
      <c r="BG81" s="384" t="inlineStr">
        <is>
          <t>北京市热力工程设计有限责任公司（合并）</t>
        </is>
      </c>
      <c r="BH81" s="384" t="inlineStr">
        <is>
          <t>E100233G</t>
        </is>
      </c>
      <c r="BI81" s="384" t="inlineStr">
        <is>
          <t xml:space="preserve"> 北京市热力工程设计有限责任公司（合并）</t>
        </is>
      </c>
    </row>
    <row r="82">
      <c r="A82" s="13" t="n"/>
      <c r="B82" s="13" t="n"/>
      <c r="C82" s="13" t="n"/>
      <c r="D82" s="13" t="n"/>
      <c r="E82" s="13" t="n"/>
      <c r="F82" s="13" t="n"/>
      <c r="G82" s="13" t="n"/>
      <c r="H82" s="13" t="n"/>
      <c r="I82" s="13" t="n"/>
      <c r="J82" s="13" t="n"/>
      <c r="K82" s="13" t="n"/>
      <c r="L82" s="13" t="n"/>
      <c r="M82" s="716" t="n"/>
      <c r="N82" s="716" t="n"/>
      <c r="O82" s="13" t="n"/>
      <c r="P82" s="13" t="n"/>
      <c r="Q82" s="13" t="n"/>
      <c r="R82" s="13" t="n"/>
      <c r="S82" s="1103" t="n"/>
      <c r="T82" s="1066" t="inlineStr">
        <is>
          <t>期末余额</t>
        </is>
      </c>
      <c r="U82" s="1066" t="inlineStr">
        <is>
          <t>ZI03000</t>
        </is>
      </c>
      <c r="V82" s="1103">
        <f>IF(_epmOfflineCondition_,"ZI03000",EPMOlapMemberO(U82,"[C_ITEM].[PARENTH1].[ZI03000]","ZI03000 - 所有者权益变动表-期末余额","","000"))</f>
        <v/>
      </c>
      <c r="W82" s="13" t="n"/>
      <c r="X82" s="479" t="inlineStr">
        <is>
          <t>四、本年年末余额</t>
        </is>
      </c>
      <c r="Y82" s="316" t="inlineStr"/>
      <c r="Z82" s="1222">
        <f>Z54+Z55</f>
        <v/>
      </c>
      <c r="AA82" s="1222">
        <f>AA54+AA55</f>
        <v/>
      </c>
      <c r="AB82" s="1222">
        <f>AB54+AB55</f>
        <v/>
      </c>
      <c r="AC82" s="1222">
        <f>AC54+AC55</f>
        <v/>
      </c>
      <c r="AD82" s="1222">
        <f>AD54+AD55</f>
        <v/>
      </c>
      <c r="AE82" s="1222">
        <f>AE54+AE55</f>
        <v/>
      </c>
      <c r="AF82" s="1222">
        <f>AF54+AF55</f>
        <v/>
      </c>
      <c r="AG82" s="1222">
        <f>AG54+AG55</f>
        <v/>
      </c>
      <c r="AH82" s="1222">
        <f>AH54+AH55</f>
        <v/>
      </c>
      <c r="AI82" s="1222">
        <f>AI54+AI55</f>
        <v/>
      </c>
      <c r="AJ82" s="1222">
        <f>AJ54+AJ55</f>
        <v/>
      </c>
      <c r="AK82" s="1222">
        <f>AK54+AK55</f>
        <v/>
      </c>
      <c r="AL82" s="1222">
        <f>AL54+AL55</f>
        <v/>
      </c>
      <c r="AM82" s="1222">
        <f>AK82+AL82</f>
        <v/>
      </c>
      <c r="AN82" s="1222">
        <f>AN54+AN55</f>
        <v/>
      </c>
      <c r="AO82" s="1222">
        <f>AO54+AO55</f>
        <v/>
      </c>
      <c r="AP82" s="1222">
        <f>AP54+AP55</f>
        <v/>
      </c>
      <c r="AQ82" s="1222">
        <f>AQ54+AQ55</f>
        <v/>
      </c>
      <c r="AR82" s="1222">
        <f>AR54+AR55</f>
        <v/>
      </c>
      <c r="AS82" s="1222">
        <f>AS54+AS55</f>
        <v/>
      </c>
      <c r="AT82" s="1222">
        <f>AT54+AT55</f>
        <v/>
      </c>
      <c r="AU82" s="1222">
        <f>AU54+AU55</f>
        <v/>
      </c>
      <c r="AV82" s="1222">
        <f>AV54+AV55</f>
        <v/>
      </c>
      <c r="AW82" s="1222">
        <f>AW54+AW55</f>
        <v/>
      </c>
      <c r="AX82" s="1222">
        <f>AX54+AX55</f>
        <v/>
      </c>
      <c r="AY82" s="1222">
        <f>AY54+AY55</f>
        <v/>
      </c>
      <c r="AZ82" s="1222">
        <f>AZ54+AZ55</f>
        <v/>
      </c>
      <c r="BA82" s="1222">
        <f>AY82+AZ82</f>
        <v/>
      </c>
      <c r="BB82" s="13" t="n"/>
      <c r="BC82" s="13" t="n"/>
      <c r="BD82" s="13" t="n"/>
      <c r="BE82" s="13" t="n"/>
      <c r="BF82" s="384" t="inlineStr">
        <is>
          <t>G100233H</t>
        </is>
      </c>
      <c r="BG82" s="384" t="inlineStr">
        <is>
          <t>北京市热力工程设计有限责任公司（母公司）</t>
        </is>
      </c>
      <c r="BH82" s="384" t="inlineStr">
        <is>
          <t>E100233H</t>
        </is>
      </c>
      <c r="BI82" s="384" t="inlineStr">
        <is>
          <t xml:space="preserve"> 北京市热力工程设计有限责任公司（母公司）</t>
        </is>
      </c>
    </row>
    <row r="83" hidden="1" ht="21" customHeight="1" s="1181">
      <c r="A83" s="13" t="n"/>
      <c r="B83" s="13" t="n"/>
      <c r="C83" s="13" t="n"/>
      <c r="D83" s="13" t="n"/>
      <c r="E83" s="13" t="n"/>
      <c r="F83" s="13" t="n"/>
      <c r="G83" s="13" t="n"/>
      <c r="H83" s="13" t="n"/>
      <c r="I83" s="13" t="n"/>
      <c r="J83" s="13" t="n"/>
      <c r="K83" s="13" t="n"/>
      <c r="L83" s="13" t="n"/>
      <c r="M83" s="716" t="n"/>
      <c r="N83" s="716" t="n"/>
      <c r="O83" s="13" t="n"/>
      <c r="P83" s="13" t="n"/>
      <c r="Q83" s="13" t="n"/>
      <c r="R83" s="13" t="n"/>
      <c r="S83" s="1103" t="n"/>
      <c r="T83" s="185" t="n"/>
      <c r="U83" s="185" t="n"/>
      <c r="V83" s="1104" t="n"/>
      <c r="W83" s="13" t="n"/>
      <c r="X83" s="1105" t="n"/>
      <c r="Y83" s="1108" t="n"/>
      <c r="Z83" s="1225" t="n"/>
      <c r="AA83" s="1225" t="n"/>
      <c r="AB83" s="1225" t="n"/>
      <c r="AC83" s="1225" t="n"/>
      <c r="AD83" s="1225" t="n"/>
      <c r="AE83" s="1225" t="n"/>
      <c r="AF83" s="1225" t="n"/>
      <c r="AG83" s="1225" t="n"/>
      <c r="AH83" s="1225" t="n"/>
      <c r="AI83" s="1225" t="n"/>
      <c r="AJ83" s="1225" t="n"/>
      <c r="AK83" s="1221" t="n"/>
      <c r="AL83" s="1225" t="n"/>
      <c r="AM83" s="1221" t="n"/>
      <c r="AN83" s="1224">
        <f>"——"</f>
        <v/>
      </c>
      <c r="AO83" s="1224">
        <f>"——"</f>
        <v/>
      </c>
      <c r="AP83" s="1224">
        <f>"——"</f>
        <v/>
      </c>
      <c r="AQ83" s="1224">
        <f>"——"</f>
        <v/>
      </c>
      <c r="AR83" s="1224">
        <f>"——"</f>
        <v/>
      </c>
      <c r="AS83" s="1224">
        <f>"——"</f>
        <v/>
      </c>
      <c r="AT83" s="1224">
        <f>"——"</f>
        <v/>
      </c>
      <c r="AU83" s="1224">
        <f>"——"</f>
        <v/>
      </c>
      <c r="AV83" s="1224">
        <f>"——"</f>
        <v/>
      </c>
      <c r="AW83" s="1224">
        <f>"——"</f>
        <v/>
      </c>
      <c r="AX83" s="1224">
        <f>"——"</f>
        <v/>
      </c>
      <c r="AY83" s="1224">
        <f>"——"</f>
        <v/>
      </c>
      <c r="AZ83" s="1224">
        <f>"——"</f>
        <v/>
      </c>
      <c r="BA83" s="1224">
        <f>"——"</f>
        <v/>
      </c>
      <c r="BB83" s="13" t="n"/>
      <c r="BC83" s="13" t="n"/>
      <c r="BD83" s="13" t="n"/>
      <c r="BE83" s="13" t="n"/>
      <c r="BF83" s="384" t="inlineStr">
        <is>
          <t>G100238H</t>
        </is>
      </c>
      <c r="BG83" s="384" t="inlineStr">
        <is>
          <t>北京热力装备制造有限公司（母公司）</t>
        </is>
      </c>
      <c r="BH83" s="384" t="inlineStr">
        <is>
          <t>E100238H</t>
        </is>
      </c>
      <c r="BI83" s="384" t="inlineStr">
        <is>
          <t xml:space="preserve"> 北京热力装备制造有限公司（母公司）</t>
        </is>
      </c>
    </row>
    <row r="84" hidden="1" s="1181">
      <c r="A84" s="13" t="n"/>
      <c r="B84" s="13" t="n"/>
      <c r="C84" s="13" t="n"/>
      <c r="D84" s="13" t="n"/>
      <c r="E84" s="13" t="n"/>
      <c r="F84" s="13" t="n"/>
      <c r="G84" s="13" t="n"/>
      <c r="H84" s="13" t="n"/>
      <c r="I84" s="13" t="n"/>
      <c r="J84" s="13" t="n"/>
      <c r="K84" s="13" t="n"/>
      <c r="L84" s="13" t="n"/>
      <c r="M84" s="13" t="n"/>
      <c r="N84" s="13" t="n"/>
      <c r="O84" s="13" t="n"/>
      <c r="P84" s="13" t="n"/>
      <c r="Q84" s="13" t="n"/>
      <c r="R84" s="13" t="n"/>
      <c r="S84" s="1103" t="n"/>
      <c r="T84" s="13" t="n"/>
      <c r="U84" s="13" t="n"/>
      <c r="V84" s="1103" t="n"/>
      <c r="W84" s="13" t="n"/>
      <c r="X84" s="171" t="n"/>
      <c r="Y84" s="1106" t="n"/>
      <c r="Z84" s="1226" t="n"/>
      <c r="AA84" s="1226" t="n"/>
      <c r="AB84" s="1226" t="n"/>
      <c r="AC84" s="1226" t="n"/>
      <c r="AD84" s="1226" t="n"/>
      <c r="AE84" s="1226" t="n"/>
      <c r="AF84" s="1226" t="n"/>
      <c r="AG84" s="1226" t="n"/>
      <c r="AH84" s="1226" t="n"/>
      <c r="AI84" s="1226" t="n"/>
      <c r="AJ84" s="1226" t="n"/>
      <c r="AK84" s="1227" t="n"/>
      <c r="AL84" s="1226" t="n"/>
      <c r="AM84" s="1228" t="n"/>
      <c r="AN84" s="1228" t="n"/>
      <c r="AO84" s="1228" t="n"/>
      <c r="AP84" s="1228" t="n"/>
      <c r="AQ84" s="1228" t="n"/>
      <c r="AR84" s="1228" t="n"/>
      <c r="AS84" s="1228" t="n"/>
      <c r="AT84" s="1228" t="n"/>
      <c r="AU84" s="1228" t="n"/>
      <c r="AV84" s="1228" t="n"/>
      <c r="AW84" s="1228" t="n"/>
      <c r="AX84" s="1228" t="n"/>
      <c r="AY84" s="1228" t="n"/>
      <c r="AZ84" s="1228" t="n"/>
      <c r="BA84" s="1228" t="n"/>
      <c r="BB84" s="13" t="n"/>
      <c r="BC84" s="13" t="n"/>
      <c r="BD84" s="13" t="n"/>
      <c r="BE84" s="13" t="n"/>
      <c r="BF84" s="384" t="inlineStr">
        <is>
          <t>G100245</t>
        </is>
      </c>
      <c r="BG84" s="384" t="inlineStr">
        <is>
          <t>北京市特诚热力有限责任公司（合并）</t>
        </is>
      </c>
      <c r="BH84" s="384" t="inlineStr">
        <is>
          <t>E100245G</t>
        </is>
      </c>
      <c r="BI84" s="384" t="inlineStr">
        <is>
          <t xml:space="preserve"> 北京市特诚热力有限责任公司（合并）</t>
        </is>
      </c>
    </row>
    <row r="85" hidden="1" customFormat="1" s="716">
      <c r="A85" s="716" t="n"/>
      <c r="B85" s="716" t="n"/>
      <c r="C85" s="716" t="n"/>
      <c r="D85" s="716" t="n"/>
      <c r="E85" s="716" t="n"/>
      <c r="F85" s="716" t="n"/>
      <c r="G85" s="716" t="n"/>
      <c r="H85" s="716" t="n"/>
      <c r="I85" s="716" t="n"/>
      <c r="J85" s="716" t="n"/>
      <c r="K85" s="716" t="n"/>
      <c r="L85" s="716" t="n"/>
      <c r="M85" s="716" t="n"/>
      <c r="N85" s="716" t="n"/>
      <c r="O85" s="716" t="n"/>
      <c r="P85" s="716" t="n"/>
      <c r="Q85" s="716" t="n"/>
      <c r="R85" s="716" t="n"/>
      <c r="S85" s="462" t="n"/>
      <c r="T85" s="716" t="n"/>
      <c r="U85" s="716" t="n"/>
      <c r="V85" s="1103" t="n"/>
      <c r="W85" s="716" t="n"/>
      <c r="X85" s="575" t="n"/>
      <c r="Y85" s="1111" t="n"/>
      <c r="Z85" s="1229" t="inlineStr">
        <is>
          <t>期初数取自资产负债表期初</t>
        </is>
      </c>
      <c r="AA85" s="1229" t="n"/>
      <c r="AB85" s="1229" t="n"/>
      <c r="AC85" s="1229" t="n"/>
      <c r="AD85" s="1229" t="n"/>
      <c r="AE85" s="1229" t="n"/>
      <c r="AF85" s="1229" t="n"/>
      <c r="AG85" s="1229" t="n"/>
      <c r="AH85" s="1229" t="n"/>
      <c r="AI85" s="1229" t="n"/>
      <c r="AJ85" s="1229" t="n"/>
      <c r="AK85" s="1230" t="n"/>
      <c r="AL85" s="1230" t="n"/>
      <c r="AM85" s="1230" t="n"/>
      <c r="AN85" s="1230" t="n"/>
      <c r="AO85" s="1230" t="n"/>
      <c r="AP85" s="1230" t="n"/>
      <c r="AQ85" s="1230" t="n"/>
      <c r="AR85" s="1230" t="n"/>
      <c r="AS85" s="1230" t="n"/>
      <c r="AT85" s="1230" t="n"/>
      <c r="AU85" s="1230" t="n"/>
      <c r="AV85" s="1230" t="n"/>
      <c r="AW85" s="1230" t="n"/>
      <c r="AX85" s="1230" t="n"/>
      <c r="AY85" s="1230" t="n"/>
      <c r="AZ85" s="1230" t="n"/>
      <c r="BA85" s="1230" t="n"/>
      <c r="BB85" s="716" t="n"/>
      <c r="BC85" s="716" t="n"/>
      <c r="BD85" s="716" t="n"/>
      <c r="BE85" s="716" t="n"/>
      <c r="BF85" s="384" t="inlineStr">
        <is>
          <t>G100252H</t>
        </is>
      </c>
      <c r="BG85" s="384" t="inlineStr">
        <is>
          <t>三河新源供热有限公司（母公司）</t>
        </is>
      </c>
      <c r="BH85" s="384" t="inlineStr">
        <is>
          <t>E100252H</t>
        </is>
      </c>
      <c r="BI85" s="384" t="inlineStr">
        <is>
          <t xml:space="preserve"> 三河新源供热有限公司（母公司）</t>
        </is>
      </c>
    </row>
    <row r="86" hidden="1" customFormat="1" s="716">
      <c r="A86" s="716" t="n"/>
      <c r="B86" s="716" t="n"/>
      <c r="C86" s="716" t="n"/>
      <c r="D86" s="716" t="n"/>
      <c r="E86" s="716" t="n"/>
      <c r="F86" s="716" t="n"/>
      <c r="G86" s="716" t="n"/>
      <c r="H86" s="716" t="n"/>
      <c r="I86" s="716" t="n"/>
      <c r="J86" s="716" t="n"/>
      <c r="K86" s="716" t="n"/>
      <c r="L86" s="716" t="n"/>
      <c r="M86" s="716" t="n"/>
      <c r="N86" s="716" t="n"/>
      <c r="O86" s="716" t="n"/>
      <c r="P86" s="716" t="n"/>
      <c r="Q86" s="716" t="n"/>
      <c r="R86" s="716" t="n"/>
      <c r="S86" s="462" t="n"/>
      <c r="T86" s="716" t="n"/>
      <c r="U86" s="716" t="n"/>
      <c r="V86" s="1103" t="n"/>
      <c r="W86" s="716" t="n"/>
      <c r="X86" s="575" t="n"/>
      <c r="Y86" s="1111" t="inlineStr">
        <is>
          <t>资产负债表维值</t>
        </is>
      </c>
      <c r="Z86" s="1113" t="inlineStr">
        <is>
          <t xml:space="preserve">  实收资本（或股本）</t>
        </is>
      </c>
      <c r="AA86" s="1113" t="inlineStr">
        <is>
          <t xml:space="preserve">      其中：优先股</t>
        </is>
      </c>
      <c r="AB86" s="1113" t="inlineStr">
        <is>
          <t xml:space="preserve">                 永续债</t>
        </is>
      </c>
      <c r="AC86" s="1113" t="n"/>
      <c r="AD86" s="1113" t="inlineStr">
        <is>
          <t xml:space="preserve">  资本公积</t>
        </is>
      </c>
      <c r="AE86" s="1113" t="inlineStr">
        <is>
          <t xml:space="preserve">  减：库存股</t>
        </is>
      </c>
      <c r="AF86" s="1113" t="inlineStr">
        <is>
          <t xml:space="preserve">  其他综合收益</t>
        </is>
      </c>
      <c r="AG86" s="1113" t="inlineStr">
        <is>
          <t xml:space="preserve">  专项储备</t>
        </is>
      </c>
      <c r="AH86" s="1113" t="inlineStr">
        <is>
          <t xml:space="preserve">  盈余公积</t>
        </is>
      </c>
      <c r="AI86" s="1113" t="inlineStr">
        <is>
          <t xml:space="preserve">　# 一般风险准备</t>
        </is>
      </c>
      <c r="AJ86" s="1113" t="inlineStr">
        <is>
          <t xml:space="preserve">　未分配利润</t>
        </is>
      </c>
      <c r="AK86" s="489" t="n"/>
      <c r="AL86" s="1113" t="inlineStr">
        <is>
          <t xml:space="preserve">　少数股东权益</t>
        </is>
      </c>
      <c r="AM86" s="489" t="n"/>
      <c r="AN86" s="489" t="n"/>
      <c r="AO86" s="489" t="n"/>
      <c r="AP86" s="489" t="n"/>
      <c r="AQ86" s="489" t="n"/>
      <c r="AR86" s="489" t="n"/>
      <c r="AS86" s="489" t="n"/>
      <c r="AT86" s="489" t="n"/>
      <c r="AU86" s="489" t="n"/>
      <c r="AV86" s="489" t="n"/>
      <c r="AW86" s="489" t="n"/>
      <c r="AX86" s="489" t="n"/>
      <c r="AY86" s="489" t="n"/>
      <c r="AZ86" s="489" t="n"/>
      <c r="BA86" s="489" t="n"/>
      <c r="BB86" s="716" t="n"/>
      <c r="BC86" s="716" t="n"/>
      <c r="BD86" s="716" t="n"/>
      <c r="BE86" s="716" t="n"/>
      <c r="BF86" s="384" t="inlineStr">
        <is>
          <t>G100254</t>
        </is>
      </c>
      <c r="BG86" s="384" t="inlineStr">
        <is>
          <t>京能大同热力有限公司（合并）</t>
        </is>
      </c>
      <c r="BH86" s="384" t="inlineStr">
        <is>
          <t>E100254G</t>
        </is>
      </c>
      <c r="BI86" s="384" t="inlineStr">
        <is>
          <t xml:space="preserve"> 京能大同热力有限公司（合并）</t>
        </is>
      </c>
    </row>
    <row r="87" hidden="1" customFormat="1" s="203">
      <c r="A87" s="203" t="n"/>
      <c r="B87" s="203" t="n"/>
      <c r="C87" s="203" t="n"/>
      <c r="D87" s="203" t="n"/>
      <c r="E87" s="203" t="n"/>
      <c r="F87" s="203" t="n"/>
      <c r="G87" s="203" t="n"/>
      <c r="H87" s="203" t="n"/>
      <c r="I87" s="203" t="n"/>
      <c r="J87" s="203" t="n"/>
      <c r="K87" s="203" t="n"/>
      <c r="L87" s="203" t="n"/>
      <c r="M87" s="203" t="n"/>
      <c r="N87" s="203" t="n"/>
      <c r="O87" s="203" t="n"/>
      <c r="P87" s="203" t="n"/>
      <c r="Q87" s="203" t="n"/>
      <c r="R87" s="203" t="n"/>
      <c r="S87" s="203" t="n"/>
      <c r="T87" s="203" t="n"/>
      <c r="U87" s="203" t="n"/>
      <c r="V87" s="1103" t="n"/>
      <c r="W87" s="203" t="n"/>
      <c r="X87" s="451" t="n"/>
      <c r="Y87" s="1114" t="inlineStr">
        <is>
          <t>C_Account</t>
        </is>
      </c>
      <c r="Z87" s="1115" t="inlineStr">
        <is>
          <t>A0010301</t>
        </is>
      </c>
      <c r="AA87" s="1115" t="inlineStr">
        <is>
          <t>A001030201</t>
        </is>
      </c>
      <c r="AB87" s="1115" t="inlineStr">
        <is>
          <t>A001030202</t>
        </is>
      </c>
      <c r="AC87" s="1115" t="n"/>
      <c r="AD87" s="1115" t="inlineStr">
        <is>
          <t>A0010303</t>
        </is>
      </c>
      <c r="AE87" s="1115" t="inlineStr">
        <is>
          <t>A0010304</t>
        </is>
      </c>
      <c r="AF87" s="1115" t="inlineStr">
        <is>
          <t>A0010305</t>
        </is>
      </c>
      <c r="AG87" s="1115" t="inlineStr">
        <is>
          <t>A0010306</t>
        </is>
      </c>
      <c r="AH87" s="1115" t="inlineStr">
        <is>
          <t>A0010307</t>
        </is>
      </c>
      <c r="AI87" s="1115" t="inlineStr">
        <is>
          <t>A0010308</t>
        </is>
      </c>
      <c r="AJ87" s="1115" t="inlineStr">
        <is>
          <t>A0010309</t>
        </is>
      </c>
      <c r="AK87" s="1128" t="n"/>
      <c r="AL87" s="1115" t="inlineStr">
        <is>
          <t>A0010311</t>
        </is>
      </c>
      <c r="AM87" s="1128" t="n"/>
      <c r="AN87" s="1128" t="n"/>
      <c r="AO87" s="1128" t="n"/>
      <c r="AP87" s="1128" t="n"/>
      <c r="AQ87" s="1128" t="n"/>
      <c r="AR87" s="1128" t="n"/>
      <c r="AS87" s="1129" t="n"/>
      <c r="AT87" s="1129" t="n"/>
      <c r="AU87" s="1129" t="n"/>
      <c r="AV87" s="1129" t="n"/>
      <c r="AW87" s="1129" t="n"/>
      <c r="AX87" s="1129" t="n"/>
      <c r="AY87" s="1129" t="n"/>
      <c r="AZ87" s="1129" t="n"/>
      <c r="BA87" s="1129" t="n"/>
      <c r="BB87" s="203" t="n"/>
      <c r="BC87" s="203" t="n"/>
      <c r="BD87" s="203" t="n"/>
      <c r="BE87" s="203" t="n"/>
      <c r="BF87" s="384" t="inlineStr">
        <is>
          <t>G100254H</t>
        </is>
      </c>
      <c r="BG87" s="384" t="inlineStr">
        <is>
          <t>京能大同热力有限公司（合并）本部</t>
        </is>
      </c>
      <c r="BH87" s="384" t="inlineStr">
        <is>
          <t>E100254H</t>
        </is>
      </c>
      <c r="BI87" s="384" t="inlineStr">
        <is>
          <t xml:space="preserve"> 京能大同热力有限公司（合并）本部</t>
        </is>
      </c>
    </row>
    <row r="88" hidden="1" s="1181">
      <c r="A88" s="13" t="n"/>
      <c r="B88" s="13" t="n"/>
      <c r="C88" s="13" t="n"/>
      <c r="D88" s="13" t="n"/>
      <c r="E88" s="13" t="n"/>
      <c r="F88" s="13" t="n"/>
      <c r="G88" s="13" t="n"/>
      <c r="H88" s="13" t="n"/>
      <c r="I88" s="13" t="n"/>
      <c r="J88" s="13" t="n"/>
      <c r="K88" s="13" t="n"/>
      <c r="L88" s="13" t="n"/>
      <c r="M88" s="13" t="n"/>
      <c r="N88" s="13" t="n"/>
      <c r="O88" s="13" t="n"/>
      <c r="P88" s="13" t="n"/>
      <c r="Q88" s="13" t="n"/>
      <c r="R88" s="13" t="n"/>
      <c r="S88" s="1103" t="n"/>
      <c r="T88" s="13" t="n"/>
      <c r="U88" s="13" t="n"/>
      <c r="V88" s="1103" t="inlineStr">
        <is>
          <t>单体子公司：单体公司、DLC、G_DUMMY</t>
        </is>
      </c>
      <c r="W88" s="13" t="n"/>
      <c r="X88" s="171" t="n"/>
      <c r="Y88" s="1114" t="inlineStr">
        <is>
          <t>C_Time</t>
        </is>
      </c>
      <c r="Z88" s="1116">
        <f>$I$11</f>
        <v/>
      </c>
      <c r="AA88" s="644" t="n"/>
      <c r="AB88" s="644" t="n"/>
      <c r="AC88" s="644" t="n"/>
      <c r="AD88" s="644" t="n"/>
      <c r="AE88" s="644" t="n"/>
      <c r="AF88" s="1231" t="n"/>
      <c r="AG88" s="644" t="n"/>
      <c r="AH88" s="644" t="n"/>
      <c r="AI88" s="644" t="n"/>
      <c r="AJ88" s="644" t="n"/>
      <c r="AK88" s="644" t="n"/>
      <c r="AL88" s="644" t="n"/>
      <c r="AM88" s="644" t="n"/>
      <c r="AN88" s="644" t="n"/>
      <c r="AO88" s="644" t="n"/>
      <c r="AP88" s="644" t="n"/>
      <c r="AQ88" s="644" t="n"/>
      <c r="AR88" s="644" t="n"/>
      <c r="AS88" s="644" t="n"/>
      <c r="AT88" s="644" t="n"/>
      <c r="AU88" s="644" t="n"/>
      <c r="AV88" s="644" t="n"/>
      <c r="AW88" s="644" t="n"/>
      <c r="AX88" s="644" t="n"/>
      <c r="AY88" s="644" t="n"/>
      <c r="AZ88" s="644" t="n"/>
      <c r="BA88" s="644" t="n"/>
      <c r="BB88" s="13" t="n"/>
      <c r="BC88" s="13" t="n"/>
      <c r="BD88" s="13" t="n"/>
      <c r="BE88" s="13" t="n"/>
      <c r="BF88" s="384" t="inlineStr">
        <is>
          <t>G100259</t>
        </is>
      </c>
      <c r="BG88" s="384" t="inlineStr">
        <is>
          <t>北京京能热力发展有限公司（合并）</t>
        </is>
      </c>
      <c r="BH88" s="384" t="inlineStr">
        <is>
          <t>E100259G</t>
        </is>
      </c>
      <c r="BI88" s="384" t="inlineStr">
        <is>
          <t xml:space="preserve"> 北京京能热力发展有限公司（合并）</t>
        </is>
      </c>
    </row>
    <row r="89" hidden="1" s="1181">
      <c r="A89" s="13" t="n"/>
      <c r="B89" s="13" t="n"/>
      <c r="C89" s="13" t="n"/>
      <c r="D89" s="13" t="n"/>
      <c r="E89" s="13" t="n"/>
      <c r="F89" s="13" t="n"/>
      <c r="G89" s="13" t="n"/>
      <c r="H89" s="13" t="n"/>
      <c r="I89" s="13" t="n"/>
      <c r="J89" s="13" t="n"/>
      <c r="K89" s="13" t="n"/>
      <c r="L89" s="13" t="n"/>
      <c r="M89" s="13" t="n"/>
      <c r="N89" s="13" t="n"/>
      <c r="O89" s="13" t="n"/>
      <c r="P89" s="13" t="n"/>
      <c r="Q89" s="13" t="n"/>
      <c r="R89" s="13" t="n"/>
      <c r="S89" s="1103" t="n"/>
      <c r="T89" s="13" t="n"/>
      <c r="U89" s="13" t="n"/>
      <c r="V89" s="1103" t="inlineStr">
        <is>
          <t>母公司：母公司单体、DLC、G_DUMMY</t>
        </is>
      </c>
      <c r="W89" s="13" t="n"/>
      <c r="X89" s="171" t="n"/>
      <c r="Y89" s="1114" t="inlineStr">
        <is>
          <t>C_Currency</t>
        </is>
      </c>
      <c r="Z89" s="1117">
        <f>IF($D$26&lt;&gt;"G_DUMMY","CNY",$Z$30)</f>
        <v/>
      </c>
      <c r="AA89" s="644" t="n"/>
      <c r="AB89" s="644" t="n"/>
      <c r="AC89" s="644" t="n"/>
      <c r="AD89" s="644" t="n"/>
      <c r="AE89" s="644" t="n"/>
      <c r="AF89" s="644" t="n"/>
      <c r="AG89" s="644" t="n"/>
      <c r="AH89" s="644" t="n"/>
      <c r="AI89" s="644" t="n"/>
      <c r="AJ89" s="644" t="n"/>
      <c r="AK89" s="644" t="n"/>
      <c r="AL89" s="644" t="n"/>
      <c r="AM89" s="644" t="n"/>
      <c r="AN89" s="644" t="n"/>
      <c r="AO89" s="644" t="n"/>
      <c r="AP89" s="644" t="n"/>
      <c r="AQ89" s="644" t="n"/>
      <c r="AR89" s="644" t="n"/>
      <c r="AS89" s="644" t="n"/>
      <c r="AT89" s="644" t="n"/>
      <c r="AU89" s="644" t="n"/>
      <c r="AV89" s="644" t="n"/>
      <c r="AW89" s="644" t="n"/>
      <c r="AX89" s="644" t="n"/>
      <c r="AY89" s="644" t="n"/>
      <c r="AZ89" s="644" t="n"/>
      <c r="BA89" s="644" t="n"/>
      <c r="BB89" s="13" t="n"/>
      <c r="BC89" s="13" t="n"/>
      <c r="BD89" s="13" t="n"/>
      <c r="BE89" s="13" t="n"/>
      <c r="BF89" s="384" t="inlineStr">
        <is>
          <t>G100259H</t>
        </is>
      </c>
      <c r="BG89" s="384" t="inlineStr">
        <is>
          <t>北京京能热力发展有限公司（母公司）</t>
        </is>
      </c>
      <c r="BH89" s="384" t="inlineStr">
        <is>
          <t>E100259H</t>
        </is>
      </c>
      <c r="BI89" s="384" t="inlineStr">
        <is>
          <t xml:space="preserve"> 北京京能热力发展有限公司（母公司）</t>
        </is>
      </c>
    </row>
    <row r="90" hidden="1" s="1181">
      <c r="A90" s="13" t="n"/>
      <c r="B90" s="13" t="n"/>
      <c r="C90" s="13" t="n"/>
      <c r="D90" s="13" t="n"/>
      <c r="E90" s="13" t="n"/>
      <c r="F90" s="13" t="n"/>
      <c r="G90" s="13" t="n"/>
      <c r="H90" s="13" t="n"/>
      <c r="I90" s="13" t="n"/>
      <c r="J90" s="13" t="n"/>
      <c r="K90" s="13" t="n"/>
      <c r="L90" s="13" t="n"/>
      <c r="M90" s="13" t="n"/>
      <c r="N90" s="13" t="n"/>
      <c r="O90" s="13" t="n"/>
      <c r="P90" s="13" t="n"/>
      <c r="Q90" s="13" t="n"/>
      <c r="R90" s="13" t="n"/>
      <c r="S90" s="1103" t="n"/>
      <c r="T90" s="13" t="n"/>
      <c r="U90" s="13" t="n"/>
      <c r="V90" s="1103" t="inlineStr">
        <is>
          <t>合并层：取数EALL、DALL、Scope</t>
        </is>
      </c>
      <c r="W90" s="13" t="n"/>
      <c r="X90" s="171" t="n"/>
      <c r="Y90" s="1114" t="inlineStr">
        <is>
          <t>C_Audittrail</t>
        </is>
      </c>
      <c r="Z90" s="1117">
        <f>IF($Z$98&lt;&gt;"G_DUMMY","DALL","DLC")</f>
        <v/>
      </c>
      <c r="AA90" s="644" t="n"/>
      <c r="AB90" s="644" t="n"/>
      <c r="AC90" s="644" t="n"/>
      <c r="AD90" s="644" t="n"/>
      <c r="AE90" s="644" t="n"/>
      <c r="AF90" s="644" t="n"/>
      <c r="AG90" s="644" t="n"/>
      <c r="AH90" s="644" t="n"/>
      <c r="AI90" s="644" t="n"/>
      <c r="AJ90" s="644" t="n"/>
      <c r="AK90" s="644" t="n"/>
      <c r="AL90" s="644" t="n"/>
      <c r="AM90" s="644" t="n"/>
      <c r="AN90" s="644" t="n"/>
      <c r="AO90" s="644" t="n"/>
      <c r="AP90" s="644" t="n"/>
      <c r="AQ90" s="644" t="n"/>
      <c r="AR90" s="644" t="n"/>
      <c r="AS90" s="644" t="n"/>
      <c r="AT90" s="644" t="n"/>
      <c r="AU90" s="644" t="n"/>
      <c r="AV90" s="644" t="n"/>
      <c r="AW90" s="644" t="n"/>
      <c r="AX90" s="644" t="n"/>
      <c r="AY90" s="644" t="n"/>
      <c r="AZ90" s="644" t="n"/>
      <c r="BA90" s="644" t="n"/>
      <c r="BB90" s="13" t="n"/>
      <c r="BC90" s="13" t="n"/>
      <c r="BD90" s="13" t="n"/>
      <c r="BE90" s="13" t="n"/>
      <c r="BF90" s="384" t="inlineStr">
        <is>
          <t>G100268</t>
        </is>
      </c>
      <c r="BG90" s="384" t="inlineStr">
        <is>
          <t>北京京煤集团有限责任公司（合并）</t>
        </is>
      </c>
      <c r="BH90" s="384" t="inlineStr">
        <is>
          <t>E100268G</t>
        </is>
      </c>
      <c r="BI90" s="384" t="inlineStr">
        <is>
          <t xml:space="preserve"> 北京京煤集团有限责任公司（合并）</t>
        </is>
      </c>
    </row>
    <row r="91" hidden="1" s="1181">
      <c r="A91" s="13" t="n"/>
      <c r="B91" s="13" t="n"/>
      <c r="C91" s="13" t="n"/>
      <c r="D91" s="13" t="n"/>
      <c r="E91" s="13" t="n"/>
      <c r="F91" s="13" t="n"/>
      <c r="G91" s="13" t="n"/>
      <c r="H91" s="13" t="n"/>
      <c r="I91" s="13" t="n"/>
      <c r="J91" s="13" t="n"/>
      <c r="K91" s="13" t="n"/>
      <c r="L91" s="13" t="n"/>
      <c r="M91" s="13" t="n"/>
      <c r="N91" s="13" t="n"/>
      <c r="O91" s="13" t="n"/>
      <c r="P91" s="13" t="n"/>
      <c r="Q91" s="13" t="n"/>
      <c r="R91" s="13" t="n"/>
      <c r="S91" s="1103" t="n"/>
      <c r="T91" s="13" t="n"/>
      <c r="U91" s="13" t="n"/>
      <c r="V91" s="1103" t="n"/>
      <c r="W91" s="13" t="n"/>
      <c r="X91" s="171" t="n"/>
      <c r="Y91" s="1106" t="inlineStr">
        <is>
          <t>C_Category</t>
        </is>
      </c>
      <c r="Z91" s="1116" t="inlineStr">
        <is>
          <t>C1001</t>
        </is>
      </c>
      <c r="AA91" s="644" t="n"/>
      <c r="AB91" s="644" t="n"/>
      <c r="AC91" s="644" t="n"/>
      <c r="AD91" s="644" t="n"/>
      <c r="AE91" s="644" t="n"/>
      <c r="AF91" s="644" t="n"/>
      <c r="AG91" s="644" t="n"/>
      <c r="AH91" s="644" t="n"/>
      <c r="AI91" s="644" t="n"/>
      <c r="AJ91" s="644" t="n"/>
      <c r="AK91" s="644" t="n"/>
      <c r="AL91" s="644" t="n"/>
      <c r="AM91" s="644" t="n"/>
      <c r="AN91" s="644" t="n"/>
      <c r="AO91" s="644" t="n"/>
      <c r="AP91" s="644" t="n"/>
      <c r="AQ91" s="644" t="n"/>
      <c r="AR91" s="644" t="n"/>
      <c r="AS91" s="644" t="n"/>
      <c r="AT91" s="644" t="n"/>
      <c r="AU91" s="644" t="n"/>
      <c r="AV91" s="644" t="n"/>
      <c r="AW91" s="644" t="n"/>
      <c r="AX91" s="644" t="n"/>
      <c r="AY91" s="644" t="n"/>
      <c r="AZ91" s="644" t="n"/>
      <c r="BA91" s="644" t="n"/>
      <c r="BB91" s="13" t="n"/>
      <c r="BC91" s="13" t="n"/>
      <c r="BD91" s="13" t="n"/>
      <c r="BE91" s="13" t="n"/>
      <c r="BF91" s="384" t="inlineStr">
        <is>
          <t>G100268H</t>
        </is>
      </c>
      <c r="BG91" s="384" t="inlineStr">
        <is>
          <t>北京京煤集团有限责任公司（母公司）</t>
        </is>
      </c>
      <c r="BH91" s="384" t="inlineStr">
        <is>
          <t>E100268H</t>
        </is>
      </c>
      <c r="BI91" s="384" t="inlineStr">
        <is>
          <t xml:space="preserve"> 北京京煤集团有限责任公司（母公司）</t>
        </is>
      </c>
    </row>
    <row r="92" hidden="1" s="1181">
      <c r="A92" s="13" t="n"/>
      <c r="B92" s="13" t="n"/>
      <c r="C92" s="13" t="n"/>
      <c r="D92" s="13" t="n"/>
      <c r="E92" s="13" t="n"/>
      <c r="F92" s="13" t="n"/>
      <c r="G92" s="13" t="n"/>
      <c r="H92" s="13" t="n"/>
      <c r="I92" s="13" t="n"/>
      <c r="J92" s="13" t="n"/>
      <c r="K92" s="13" t="n"/>
      <c r="L92" s="13" t="n"/>
      <c r="M92" s="13" t="n"/>
      <c r="N92" s="13" t="n"/>
      <c r="O92" s="13" t="n"/>
      <c r="P92" s="13" t="n"/>
      <c r="Q92" s="13" t="n"/>
      <c r="R92" s="13" t="n"/>
      <c r="S92" s="1103" t="n"/>
      <c r="T92" s="13" t="n"/>
      <c r="U92" s="13" t="n"/>
      <c r="V92" s="1103" t="n"/>
      <c r="W92" s="13" t="n"/>
      <c r="X92" s="171" t="n"/>
      <c r="Y92" s="1106" t="inlineStr">
        <is>
          <t>C_Entity</t>
        </is>
      </c>
      <c r="Z92" s="1117">
        <f>IF($D$26&lt;&gt;"G_DUMMY",$D$31,$D$21)</f>
        <v/>
      </c>
      <c r="AA92" s="644" t="n"/>
      <c r="AB92" s="644" t="n"/>
      <c r="AC92" s="644" t="n"/>
      <c r="AD92" s="644" t="n"/>
      <c r="AE92" s="644" t="n"/>
      <c r="AF92" s="644" t="n"/>
      <c r="AG92" s="644" t="n"/>
      <c r="AH92" s="644" t="n"/>
      <c r="AI92" s="644" t="n"/>
      <c r="AJ92" s="644" t="n"/>
      <c r="AK92" s="644" t="n"/>
      <c r="AL92" s="644" t="n"/>
      <c r="AM92" s="644" t="n"/>
      <c r="AN92" s="644" t="n"/>
      <c r="AO92" s="644" t="n"/>
      <c r="AP92" s="644" t="n"/>
      <c r="AQ92" s="644" t="n"/>
      <c r="AR92" s="644" t="n"/>
      <c r="AS92" s="644" t="n"/>
      <c r="AT92" s="644" t="n"/>
      <c r="AU92" s="644" t="n"/>
      <c r="AV92" s="644" t="n"/>
      <c r="AW92" s="644" t="n"/>
      <c r="AX92" s="644" t="n"/>
      <c r="AY92" s="644" t="n"/>
      <c r="AZ92" s="644" t="n"/>
      <c r="BA92" s="644" t="n"/>
      <c r="BB92" s="13" t="n"/>
      <c r="BC92" s="13" t="n"/>
      <c r="BD92" s="13" t="n"/>
      <c r="BE92" s="13" t="n"/>
      <c r="BF92" s="384" t="inlineStr">
        <is>
          <t>G100270T</t>
        </is>
      </c>
      <c r="BG92" s="384" t="inlineStr">
        <is>
          <t>北京京煤集团有限责任公司物业管理分公司（汇总）</t>
        </is>
      </c>
      <c r="BH92" s="384" t="inlineStr">
        <is>
          <t>E100270T</t>
        </is>
      </c>
      <c r="BI92" s="384" t="inlineStr">
        <is>
          <t xml:space="preserve"> 北京京煤集团有限责任公司物业管理分公司（汇总）</t>
        </is>
      </c>
    </row>
    <row r="93" hidden="1" s="1181">
      <c r="A93" s="13" t="n"/>
      <c r="B93" s="13" t="n"/>
      <c r="C93" s="13" t="n"/>
      <c r="D93" s="13" t="n"/>
      <c r="E93" s="13" t="n"/>
      <c r="F93" s="13" t="n"/>
      <c r="G93" s="13" t="n"/>
      <c r="H93" s="13" t="n"/>
      <c r="I93" s="13" t="n"/>
      <c r="J93" s="13" t="n"/>
      <c r="K93" s="13" t="n"/>
      <c r="L93" s="13" t="n"/>
      <c r="M93" s="13" t="n"/>
      <c r="N93" s="13" t="n"/>
      <c r="O93" s="13" t="n"/>
      <c r="P93" s="13" t="n"/>
      <c r="Q93" s="13" t="n"/>
      <c r="R93" s="13" t="n"/>
      <c r="S93" s="1103" t="n"/>
      <c r="T93" s="13" t="n"/>
      <c r="U93" s="13" t="n"/>
      <c r="V93" s="1103" t="n"/>
      <c r="W93" s="13" t="n"/>
      <c r="X93" s="171" t="n"/>
      <c r="Y93" s="1106" t="inlineStr">
        <is>
          <t>C_Flow</t>
        </is>
      </c>
      <c r="Z93" s="1116" t="inlineStr">
        <is>
          <t>F00T</t>
        </is>
      </c>
      <c r="AA93" s="1116" t="inlineStr">
        <is>
          <t>FMOV_OP</t>
        </is>
      </c>
      <c r="AB93" s="1116" t="inlineStr">
        <is>
          <t>FEND</t>
        </is>
      </c>
      <c r="AC93" s="644" t="n"/>
      <c r="AD93" s="644" t="n"/>
      <c r="AE93" s="644" t="n"/>
      <c r="AF93" s="644" t="n"/>
      <c r="AG93" s="644" t="n"/>
      <c r="AH93" s="644" t="n"/>
      <c r="AI93" s="644" t="n"/>
      <c r="AJ93" s="644" t="n"/>
      <c r="AK93" s="644" t="n"/>
      <c r="AL93" s="644" t="n"/>
      <c r="AM93" s="644" t="n"/>
      <c r="AN93" s="644" t="n"/>
      <c r="AO93" s="644" t="n"/>
      <c r="AP93" s="644" t="n"/>
      <c r="AQ93" s="644" t="n"/>
      <c r="AR93" s="644" t="n"/>
      <c r="AS93" s="644" t="n"/>
      <c r="AT93" s="644" t="n"/>
      <c r="AU93" s="644" t="n"/>
      <c r="AV93" s="644" t="n"/>
      <c r="AW93" s="644" t="n"/>
      <c r="AX93" s="644" t="n"/>
      <c r="AY93" s="644" t="n"/>
      <c r="AZ93" s="644" t="n"/>
      <c r="BA93" s="644" t="n"/>
      <c r="BB93" s="13" t="n"/>
      <c r="BC93" s="13" t="n"/>
      <c r="BD93" s="13" t="n"/>
      <c r="BE93" s="13" t="n"/>
      <c r="BF93" s="384" t="inlineStr">
        <is>
          <t>G100280H</t>
        </is>
      </c>
      <c r="BG93" s="384" t="inlineStr">
        <is>
          <t>海南金泰旅业开发有限公司（汇总）</t>
        </is>
      </c>
      <c r="BH93" s="384" t="inlineStr">
        <is>
          <t>E100280H</t>
        </is>
      </c>
      <c r="BI93" s="384" t="inlineStr">
        <is>
          <t xml:space="preserve"> 海南金泰旅业开发有限公司（汇总）</t>
        </is>
      </c>
    </row>
    <row r="94" hidden="1" s="1181">
      <c r="A94" s="13" t="n"/>
      <c r="B94" s="13" t="n"/>
      <c r="C94" s="13" t="n"/>
      <c r="D94" s="13" t="n"/>
      <c r="E94" s="13" t="n"/>
      <c r="F94" s="13" t="n"/>
      <c r="G94" s="13" t="n"/>
      <c r="H94" s="13" t="n"/>
      <c r="I94" s="13" t="n"/>
      <c r="J94" s="13" t="n"/>
      <c r="K94" s="13" t="n"/>
      <c r="L94" s="13" t="n"/>
      <c r="M94" s="13" t="n"/>
      <c r="N94" s="13" t="n"/>
      <c r="O94" s="13" t="n"/>
      <c r="P94" s="13" t="n"/>
      <c r="Q94" s="13" t="n"/>
      <c r="R94" s="13" t="n"/>
      <c r="S94" s="1103" t="n"/>
      <c r="T94" s="13" t="n"/>
      <c r="U94" s="13" t="n"/>
      <c r="V94" s="1103" t="n"/>
      <c r="W94" s="13" t="n"/>
      <c r="X94" s="171" t="n"/>
      <c r="Y94" s="1106" t="inlineStr">
        <is>
          <t>C_Interco</t>
        </is>
      </c>
      <c r="Z94" s="1116" t="inlineStr">
        <is>
          <t>I_ALL</t>
        </is>
      </c>
      <c r="AA94" s="644" t="n"/>
      <c r="AB94" s="644" t="n"/>
      <c r="AC94" s="644" t="n"/>
      <c r="AD94" s="644" t="n"/>
      <c r="AE94" s="644" t="n"/>
      <c r="AF94" s="644" t="n"/>
      <c r="AG94" s="644" t="n"/>
      <c r="AH94" s="644" t="n"/>
      <c r="AI94" s="644" t="n"/>
      <c r="AJ94" s="644" t="n"/>
      <c r="AK94" s="644" t="n"/>
      <c r="AL94" s="644" t="n"/>
      <c r="AM94" s="644" t="n"/>
      <c r="AN94" s="644" t="n"/>
      <c r="AO94" s="644" t="n"/>
      <c r="AP94" s="644" t="n"/>
      <c r="AQ94" s="644" t="n"/>
      <c r="AR94" s="644" t="n"/>
      <c r="AS94" s="644" t="n"/>
      <c r="AT94" s="644" t="n"/>
      <c r="AU94" s="644" t="n"/>
      <c r="AV94" s="644" t="n"/>
      <c r="AW94" s="644" t="n"/>
      <c r="AX94" s="644" t="n"/>
      <c r="AY94" s="644" t="n"/>
      <c r="AZ94" s="644" t="n"/>
      <c r="BA94" s="644" t="n"/>
      <c r="BB94" s="13" t="n"/>
      <c r="BC94" s="13" t="n"/>
      <c r="BD94" s="13" t="n"/>
      <c r="BE94" s="13" t="n"/>
      <c r="BF94" s="384" t="inlineStr">
        <is>
          <t>G100289T</t>
        </is>
      </c>
      <c r="BG94" s="384" t="inlineStr">
        <is>
          <t>京煤集团教育培训中心（汇总）</t>
        </is>
      </c>
      <c r="BH94" s="384" t="inlineStr">
        <is>
          <t>E100289T</t>
        </is>
      </c>
      <c r="BI94" s="384" t="inlineStr">
        <is>
          <t xml:space="preserve"> 北京京煤集团有限责任公司教育培训中心（汇总）</t>
        </is>
      </c>
    </row>
    <row r="95" hidden="1" s="1181">
      <c r="A95" s="13" t="n"/>
      <c r="B95" s="13" t="n"/>
      <c r="C95" s="13" t="n"/>
      <c r="D95" s="13" t="n"/>
      <c r="E95" s="13" t="n"/>
      <c r="F95" s="13" t="n"/>
      <c r="G95" s="13" t="n"/>
      <c r="H95" s="13" t="n"/>
      <c r="I95" s="13" t="n"/>
      <c r="J95" s="13" t="n"/>
      <c r="K95" s="13" t="n"/>
      <c r="L95" s="13" t="n"/>
      <c r="M95" s="13" t="n"/>
      <c r="N95" s="13" t="n"/>
      <c r="O95" s="13" t="n"/>
      <c r="P95" s="13" t="n"/>
      <c r="Q95" s="13" t="n"/>
      <c r="R95" s="13" t="n"/>
      <c r="S95" s="1103" t="n"/>
      <c r="T95" s="13" t="n"/>
      <c r="U95" s="13" t="n"/>
      <c r="V95" s="1103" t="n"/>
      <c r="W95" s="13" t="n"/>
      <c r="X95" s="171" t="n"/>
      <c r="Y95" s="1106" t="inlineStr">
        <is>
          <t>C_Item</t>
        </is>
      </c>
      <c r="Z95" s="1116" t="inlineStr">
        <is>
          <t>ZI_ALL</t>
        </is>
      </c>
      <c r="AA95" s="644" t="n"/>
      <c r="AB95" s="644" t="n"/>
      <c r="AC95" s="644" t="n"/>
      <c r="AD95" s="644" t="n"/>
      <c r="AE95" s="644" t="n"/>
      <c r="AF95" s="644" t="n"/>
      <c r="AG95" s="644" t="n"/>
      <c r="AH95" s="644" t="n"/>
      <c r="AI95" s="644" t="n"/>
      <c r="AJ95" s="644" t="n"/>
      <c r="AK95" s="644" t="n"/>
      <c r="AL95" s="644" t="n"/>
      <c r="AM95" s="644" t="n"/>
      <c r="AN95" s="644" t="n"/>
      <c r="AO95" s="644" t="n"/>
      <c r="AP95" s="644" t="n"/>
      <c r="AQ95" s="644" t="n"/>
      <c r="AR95" s="644" t="n"/>
      <c r="AS95" s="644" t="n"/>
      <c r="AT95" s="644" t="n"/>
      <c r="AU95" s="644" t="n"/>
      <c r="AV95" s="644" t="n"/>
      <c r="AW95" s="644" t="n"/>
      <c r="AX95" s="644" t="n"/>
      <c r="AY95" s="644" t="n"/>
      <c r="AZ95" s="644" t="n"/>
      <c r="BA95" s="644" t="n"/>
      <c r="BB95" s="13" t="n"/>
      <c r="BC95" s="13" t="n"/>
      <c r="BD95" s="13" t="n"/>
      <c r="BE95" s="13" t="n"/>
      <c r="BF95" s="384" t="inlineStr">
        <is>
          <t>G100293</t>
        </is>
      </c>
      <c r="BG95" s="384" t="inlineStr">
        <is>
          <t>北京金泰恒业国际旅游有限公司（合并）</t>
        </is>
      </c>
      <c r="BH95" s="384" t="inlineStr">
        <is>
          <t>E100293G</t>
        </is>
      </c>
      <c r="BI95" s="384" t="inlineStr">
        <is>
          <t xml:space="preserve"> 北京金泰恒业国际旅游有限公司（合并）</t>
        </is>
      </c>
    </row>
    <row r="96" hidden="1" s="1181">
      <c r="A96" s="13" t="n"/>
      <c r="B96" s="13" t="n"/>
      <c r="C96" s="13" t="n"/>
      <c r="D96" s="13" t="n"/>
      <c r="E96" s="13" t="n"/>
      <c r="F96" s="13" t="n"/>
      <c r="G96" s="13" t="n"/>
      <c r="H96" s="13" t="n"/>
      <c r="I96" s="13" t="n"/>
      <c r="J96" s="13" t="n"/>
      <c r="K96" s="13" t="n"/>
      <c r="L96" s="13" t="n"/>
      <c r="M96" s="13" t="n"/>
      <c r="N96" s="13" t="n"/>
      <c r="O96" s="13" t="n"/>
      <c r="P96" s="13" t="n"/>
      <c r="Q96" s="13" t="n"/>
      <c r="R96" s="13" t="n"/>
      <c r="S96" s="1103" t="n"/>
      <c r="T96" s="13" t="n"/>
      <c r="U96" s="13" t="n"/>
      <c r="V96" s="1103" t="n"/>
      <c r="W96" s="13" t="n"/>
      <c r="X96" s="171" t="n"/>
      <c r="Y96" s="1106" t="inlineStr">
        <is>
          <t>C_Misk</t>
        </is>
      </c>
      <c r="Z96" s="1116" t="inlineStr">
        <is>
          <t>ZM_ALL</t>
        </is>
      </c>
      <c r="AA96" s="644" t="n"/>
      <c r="AB96" s="644" t="n"/>
      <c r="AC96" s="644" t="n"/>
      <c r="AD96" s="644" t="n"/>
      <c r="AE96" s="644" t="n"/>
      <c r="AF96" s="644" t="n"/>
      <c r="AG96" s="644" t="n"/>
      <c r="AH96" s="644" t="n"/>
      <c r="AI96" s="644" t="n"/>
      <c r="AJ96" s="644" t="n"/>
      <c r="AK96" s="644" t="n"/>
      <c r="AL96" s="644" t="n"/>
      <c r="AM96" s="644" t="n"/>
      <c r="AN96" s="644" t="n"/>
      <c r="AO96" s="644" t="n"/>
      <c r="AP96" s="644" t="n"/>
      <c r="AQ96" s="644" t="n"/>
      <c r="AR96" s="644" t="n"/>
      <c r="AS96" s="644" t="n"/>
      <c r="AT96" s="644" t="n"/>
      <c r="AU96" s="644" t="n"/>
      <c r="AV96" s="644" t="n"/>
      <c r="AW96" s="644" t="n"/>
      <c r="AX96" s="644" t="n"/>
      <c r="AY96" s="644" t="n"/>
      <c r="AZ96" s="644" t="n"/>
      <c r="BA96" s="644" t="n"/>
      <c r="BB96" s="13" t="n"/>
      <c r="BC96" s="13" t="n"/>
      <c r="BD96" s="13" t="n"/>
      <c r="BE96" s="13" t="n"/>
      <c r="BF96" s="384" t="inlineStr">
        <is>
          <t>G100293H</t>
        </is>
      </c>
      <c r="BG96" s="384" t="inlineStr">
        <is>
          <t>北京金泰恒业国际旅游有限公司（母公司）</t>
        </is>
      </c>
      <c r="BH96" s="384" t="inlineStr">
        <is>
          <t>E100293H</t>
        </is>
      </c>
      <c r="BI96" s="384" t="inlineStr">
        <is>
          <t xml:space="preserve"> 北京金泰恒业国际旅游有限公司（母公司）</t>
        </is>
      </c>
    </row>
    <row r="97" hidden="1" s="1181">
      <c r="A97" s="13" t="n"/>
      <c r="B97" s="13" t="n"/>
      <c r="C97" s="13" t="n"/>
      <c r="D97" s="13" t="n"/>
      <c r="E97" s="13" t="n"/>
      <c r="F97" s="13" t="n"/>
      <c r="G97" s="13" t="n"/>
      <c r="H97" s="13" t="n"/>
      <c r="I97" s="13" t="n"/>
      <c r="J97" s="13" t="n"/>
      <c r="K97" s="13" t="n"/>
      <c r="L97" s="13" t="n"/>
      <c r="M97" s="13" t="n"/>
      <c r="N97" s="13" t="n"/>
      <c r="O97" s="13" t="n"/>
      <c r="P97" s="13" t="n"/>
      <c r="Q97" s="13" t="n"/>
      <c r="R97" s="13" t="n"/>
      <c r="S97" s="1103" t="n"/>
      <c r="T97" s="13" t="n"/>
      <c r="U97" s="13" t="n"/>
      <c r="V97" s="1103" t="n"/>
      <c r="W97" s="13" t="n"/>
      <c r="X97" s="171" t="n"/>
      <c r="Y97" s="1106" t="inlineStr">
        <is>
          <t>C_Project</t>
        </is>
      </c>
      <c r="Z97" s="1116" t="inlineStr">
        <is>
          <t>ZP_ALL</t>
        </is>
      </c>
      <c r="AA97" s="644" t="n"/>
      <c r="AB97" s="644" t="n"/>
      <c r="AC97" s="644" t="n"/>
      <c r="AD97" s="644" t="n"/>
      <c r="AE97" s="644" t="n"/>
      <c r="AF97" s="644" t="n"/>
      <c r="AG97" s="644" t="n"/>
      <c r="AH97" s="644" t="n"/>
      <c r="AI97" s="644" t="n"/>
      <c r="AJ97" s="644" t="n"/>
      <c r="AK97" s="644" t="n"/>
      <c r="AL97" s="644" t="n"/>
      <c r="AM97" s="644" t="n"/>
      <c r="AN97" s="644" t="n"/>
      <c r="AO97" s="644" t="n"/>
      <c r="AP97" s="644" t="n"/>
      <c r="AQ97" s="644" t="n"/>
      <c r="AR97" s="644" t="n"/>
      <c r="AS97" s="644" t="n"/>
      <c r="AT97" s="644" t="n"/>
      <c r="AU97" s="644" t="n"/>
      <c r="AV97" s="644" t="n"/>
      <c r="AW97" s="644" t="n"/>
      <c r="AX97" s="644" t="n"/>
      <c r="AY97" s="644" t="n"/>
      <c r="AZ97" s="644" t="n"/>
      <c r="BA97" s="644" t="n"/>
      <c r="BB97" s="13" t="n"/>
      <c r="BC97" s="13" t="n"/>
      <c r="BD97" s="13" t="n"/>
      <c r="BE97" s="13" t="n"/>
      <c r="BF97" s="384" t="inlineStr">
        <is>
          <t>G100294H</t>
        </is>
      </c>
      <c r="BG97" s="384" t="inlineStr">
        <is>
          <t>北京金泰国际会展有限公司（母公司）</t>
        </is>
      </c>
      <c r="BH97" s="384" t="inlineStr">
        <is>
          <t>E100294H</t>
        </is>
      </c>
      <c r="BI97" s="384" t="inlineStr">
        <is>
          <t xml:space="preserve"> 北京金泰国际会展有限公司（母公司）</t>
        </is>
      </c>
    </row>
    <row r="98" hidden="1" s="1181">
      <c r="A98" s="13" t="n"/>
      <c r="B98" s="13" t="n"/>
      <c r="C98" s="13" t="n"/>
      <c r="D98" s="13" t="n"/>
      <c r="E98" s="13" t="n"/>
      <c r="F98" s="13" t="n"/>
      <c r="G98" s="13" t="n"/>
      <c r="H98" s="13" t="n"/>
      <c r="I98" s="13" t="n"/>
      <c r="J98" s="13" t="n"/>
      <c r="K98" s="13" t="n"/>
      <c r="L98" s="13" t="n"/>
      <c r="M98" s="13" t="n"/>
      <c r="N98" s="13" t="n"/>
      <c r="O98" s="13" t="n"/>
      <c r="P98" s="13" t="n"/>
      <c r="Q98" s="13" t="n"/>
      <c r="R98" s="13" t="n"/>
      <c r="S98" s="1103" t="n"/>
      <c r="T98" s="13" t="n"/>
      <c r="U98" s="13" t="n"/>
      <c r="V98" s="1103" t="n"/>
      <c r="W98" s="13" t="n"/>
      <c r="X98" s="171" t="n"/>
      <c r="Y98" s="1106" t="inlineStr">
        <is>
          <t>C_Scope</t>
        </is>
      </c>
      <c r="Z98" s="1117">
        <f>$D$26</f>
        <v/>
      </c>
      <c r="AA98" s="644" t="n"/>
      <c r="AB98" s="644" t="n"/>
      <c r="AC98" s="644" t="n"/>
      <c r="AD98" s="644" t="n"/>
      <c r="AE98" s="644" t="n"/>
      <c r="AF98" s="644" t="n"/>
      <c r="AG98" s="644" t="n"/>
      <c r="AH98" s="644" t="n"/>
      <c r="AI98" s="644" t="n"/>
      <c r="AJ98" s="644" t="n"/>
      <c r="AK98" s="644" t="n"/>
      <c r="AL98" s="644" t="n"/>
      <c r="AM98" s="644" t="n"/>
      <c r="AN98" s="644" t="n"/>
      <c r="AO98" s="644" t="n"/>
      <c r="AP98" s="644" t="n"/>
      <c r="AQ98" s="644" t="n"/>
      <c r="AR98" s="644" t="n"/>
      <c r="AS98" s="644" t="n"/>
      <c r="AT98" s="644" t="n"/>
      <c r="AU98" s="644" t="n"/>
      <c r="AV98" s="644" t="n"/>
      <c r="AW98" s="644" t="n"/>
      <c r="AX98" s="644" t="n"/>
      <c r="AY98" s="644" t="n"/>
      <c r="AZ98" s="644" t="n"/>
      <c r="BA98" s="644" t="n"/>
      <c r="BB98" s="13" t="n"/>
      <c r="BC98" s="13" t="n"/>
      <c r="BD98" s="13" t="n"/>
      <c r="BE98" s="13" t="n"/>
      <c r="BF98" s="384" t="inlineStr">
        <is>
          <t>G100296H</t>
        </is>
      </c>
      <c r="BG98" s="384" t="inlineStr">
        <is>
          <t>北京金泰之家宾馆有限公司（母公司）</t>
        </is>
      </c>
      <c r="BH98" s="384" t="inlineStr">
        <is>
          <t>E100296H</t>
        </is>
      </c>
      <c r="BI98" s="384" t="inlineStr">
        <is>
          <t xml:space="preserve"> 北京金泰之家宾馆有限公司（母公司）</t>
        </is>
      </c>
    </row>
    <row r="99" hidden="1" s="1181">
      <c r="A99" s="13" t="n"/>
      <c r="B99" s="13" t="n"/>
      <c r="C99" s="13" t="n"/>
      <c r="D99" s="13" t="n"/>
      <c r="E99" s="13" t="n"/>
      <c r="F99" s="13" t="n"/>
      <c r="G99" s="13" t="n"/>
      <c r="H99" s="13" t="n"/>
      <c r="I99" s="13" t="n"/>
      <c r="J99" s="13" t="n"/>
      <c r="K99" s="13" t="n"/>
      <c r="L99" s="13" t="n"/>
      <c r="M99" s="13" t="n"/>
      <c r="N99" s="13" t="n"/>
      <c r="O99" s="13" t="n"/>
      <c r="P99" s="13" t="n"/>
      <c r="Q99" s="13" t="n"/>
      <c r="R99" s="13" t="n"/>
      <c r="S99" s="1103" t="n"/>
      <c r="T99" s="13" t="n"/>
      <c r="U99" s="13" t="n"/>
      <c r="V99" s="1103" t="n"/>
      <c r="W99" s="13" t="n"/>
      <c r="X99" s="171" t="n"/>
      <c r="Y99" s="1106" t="inlineStr">
        <is>
          <t>Measures</t>
        </is>
      </c>
      <c r="Z99" s="1116" t="inlineStr">
        <is>
          <t>YTD</t>
        </is>
      </c>
      <c r="AA99" s="644" t="n"/>
      <c r="AB99" s="644" t="n"/>
      <c r="AC99" s="644" t="n"/>
      <c r="AD99" s="644" t="n"/>
      <c r="AE99" s="644" t="n"/>
      <c r="AF99" s="644" t="n"/>
      <c r="AG99" s="644" t="n"/>
      <c r="AH99" s="644" t="n"/>
      <c r="AI99" s="644" t="n"/>
      <c r="AJ99" s="644" t="n"/>
      <c r="AK99" s="644" t="n"/>
      <c r="AL99" s="644" t="n"/>
      <c r="AM99" s="644" t="n"/>
      <c r="AN99" s="644" t="n"/>
      <c r="AO99" s="644" t="n"/>
      <c r="AP99" s="644" t="n"/>
      <c r="AQ99" s="644" t="n"/>
      <c r="AR99" s="644" t="n"/>
      <c r="AS99" s="644" t="n"/>
      <c r="AT99" s="644" t="n"/>
      <c r="AU99" s="644" t="n"/>
      <c r="AV99" s="644" t="n"/>
      <c r="AW99" s="644" t="n"/>
      <c r="AX99" s="644" t="n"/>
      <c r="AY99" s="644" t="n"/>
      <c r="AZ99" s="644" t="n"/>
      <c r="BA99" s="644" t="n"/>
      <c r="BB99" s="13" t="n"/>
      <c r="BC99" s="13" t="n"/>
      <c r="BD99" s="13" t="n"/>
      <c r="BE99" s="13" t="n"/>
      <c r="BF99" s="384" t="inlineStr">
        <is>
          <t>G100302</t>
        </is>
      </c>
      <c r="BG99" s="384" t="inlineStr">
        <is>
          <t>北京京辉高尔夫俱乐部有限公司（合并）</t>
        </is>
      </c>
      <c r="BH99" s="384" t="inlineStr">
        <is>
          <t>E100302G</t>
        </is>
      </c>
      <c r="BI99" s="384" t="inlineStr">
        <is>
          <t xml:space="preserve"> 北京京辉高尔夫俱乐部有限公司（合并）</t>
        </is>
      </c>
    </row>
    <row r="100" hidden="1" s="1181">
      <c r="A100" s="13" t="n"/>
      <c r="B100" s="13" t="n"/>
      <c r="C100" s="13" t="n"/>
      <c r="D100" s="13" t="n"/>
      <c r="E100" s="13" t="n"/>
      <c r="F100" s="13" t="n"/>
      <c r="G100" s="13" t="n"/>
      <c r="H100" s="13" t="n"/>
      <c r="I100" s="13" t="n"/>
      <c r="J100" s="13" t="n"/>
      <c r="K100" s="13" t="n"/>
      <c r="L100" s="13" t="n"/>
      <c r="M100" s="13" t="n"/>
      <c r="N100" s="13" t="n"/>
      <c r="O100" s="13" t="n"/>
      <c r="P100" s="13" t="n"/>
      <c r="Q100" s="13" t="n"/>
      <c r="R100" s="13" t="n"/>
      <c r="S100" s="1103" t="n"/>
      <c r="T100" s="13" t="n"/>
      <c r="U100" s="13" t="n"/>
      <c r="V100" s="1103" t="n"/>
      <c r="W100" s="13" t="n"/>
      <c r="X100" s="171" t="n"/>
      <c r="Y100" s="138" t="n"/>
      <c r="Z100" s="1113" t="inlineStr">
        <is>
          <t>取自利润表</t>
        </is>
      </c>
      <c r="AA100" s="1116" t="n"/>
      <c r="AB100" s="644" t="n"/>
      <c r="AC100" s="644" t="n"/>
      <c r="AD100" s="644" t="n"/>
      <c r="AE100" s="644" t="n"/>
      <c r="AF100" s="644" t="n"/>
      <c r="AG100" s="644" t="n"/>
      <c r="AH100" s="644" t="n"/>
      <c r="AI100" s="644" t="n"/>
      <c r="AJ100" s="644" t="n"/>
      <c r="AK100" s="644" t="n"/>
      <c r="AL100" s="644" t="n"/>
      <c r="AM100" s="644" t="n"/>
      <c r="AN100" s="644" t="n"/>
      <c r="AO100" s="644" t="n"/>
      <c r="AP100" s="644" t="n"/>
      <c r="AQ100" s="644" t="n"/>
      <c r="AR100" s="644" t="n"/>
      <c r="AS100" s="644" t="n"/>
      <c r="AT100" s="644" t="n"/>
      <c r="AU100" s="644" t="n"/>
      <c r="AV100" s="644" t="n"/>
      <c r="AW100" s="644" t="n"/>
      <c r="AX100" s="644" t="n"/>
      <c r="AY100" s="644" t="n"/>
      <c r="AZ100" s="644" t="n"/>
      <c r="BA100" s="644" t="n"/>
      <c r="BB100" s="13" t="n"/>
      <c r="BC100" s="13" t="n"/>
      <c r="BD100" s="13" t="n"/>
      <c r="BE100" s="13" t="n"/>
      <c r="BF100" s="384" t="inlineStr">
        <is>
          <t>G100305H</t>
        </is>
      </c>
      <c r="BG100" s="384" t="inlineStr">
        <is>
          <t>北京金泰之家通华苑饭店有限公司（母公司）</t>
        </is>
      </c>
      <c r="BH100" s="384" t="inlineStr">
        <is>
          <t>E100305H</t>
        </is>
      </c>
      <c r="BI100" s="384" t="inlineStr">
        <is>
          <t xml:space="preserve"> 北京金泰之家通华苑饭店有限公司（母公司）</t>
        </is>
      </c>
    </row>
    <row r="101" hidden="1" s="1181">
      <c r="A101" s="13" t="n"/>
      <c r="B101" s="13" t="n"/>
      <c r="C101" s="13" t="n"/>
      <c r="D101" s="13" t="n"/>
      <c r="E101" s="13" t="n"/>
      <c r="F101" s="13" t="n"/>
      <c r="G101" s="13" t="n"/>
      <c r="H101" s="13" t="n"/>
      <c r="I101" s="13" t="n"/>
      <c r="J101" s="13" t="n"/>
      <c r="K101" s="13" t="n"/>
      <c r="L101" s="13" t="n"/>
      <c r="M101" s="13" t="n"/>
      <c r="N101" s="13" t="n"/>
      <c r="O101" s="13" t="n"/>
      <c r="P101" s="13" t="n"/>
      <c r="Q101" s="13" t="n"/>
      <c r="R101" s="13" t="n"/>
      <c r="S101" s="1103" t="n"/>
      <c r="T101" s="13" t="n"/>
      <c r="U101" s="13" t="n"/>
      <c r="V101" s="1103" t="n"/>
      <c r="W101" s="13" t="n"/>
      <c r="X101" s="171" t="n"/>
      <c r="Y101" s="1111" t="inlineStr">
        <is>
          <t>利润表维值</t>
        </is>
      </c>
      <c r="Z101" s="1118" t="inlineStr">
        <is>
          <t>归属于母公司所有者的其他综合收益的税后净额</t>
        </is>
      </c>
      <c r="AA101" s="1116" t="inlineStr">
        <is>
          <t>归母净利润</t>
        </is>
      </c>
      <c r="AB101" s="1116">
        <f>IF(_epmOfflineCondition_,"　　少数股东损益",EPMMemberDesc(AB102))</f>
        <v/>
      </c>
      <c r="AC101" s="1116">
        <f>IF(_epmOfflineCondition_,"*归属于少数股东的其他综合收益的税后净额",EPMMemberDesc(AC102))</f>
        <v/>
      </c>
      <c r="AD101" s="644" t="n"/>
      <c r="AE101" s="644" t="n"/>
      <c r="AF101" s="644" t="n"/>
      <c r="AG101" s="644" t="n"/>
      <c r="AH101" s="644" t="n"/>
      <c r="AI101" s="644" t="n"/>
      <c r="AJ101" s="644" t="n"/>
      <c r="AK101" s="644" t="n"/>
      <c r="AL101" s="644" t="n"/>
      <c r="AM101" s="644" t="n"/>
      <c r="AN101" s="644" t="n"/>
      <c r="AO101" s="644" t="n"/>
      <c r="AP101" s="644" t="n"/>
      <c r="AQ101" s="644" t="n"/>
      <c r="AR101" s="644" t="n"/>
      <c r="AS101" s="644" t="n"/>
      <c r="AT101" s="644" t="n"/>
      <c r="AU101" s="644" t="n"/>
      <c r="AV101" s="644" t="n"/>
      <c r="AW101" s="644" t="n"/>
      <c r="AX101" s="644" t="n"/>
      <c r="AY101" s="644" t="n"/>
      <c r="AZ101" s="644" t="n"/>
      <c r="BA101" s="644" t="n"/>
      <c r="BB101" s="13" t="n"/>
      <c r="BC101" s="13" t="n"/>
      <c r="BD101" s="13" t="n"/>
      <c r="BE101" s="13" t="n"/>
      <c r="BF101" s="384" t="inlineStr">
        <is>
          <t>G100306H</t>
        </is>
      </c>
      <c r="BG101" s="384" t="inlineStr">
        <is>
          <t>宁夏京能创业房地产开发有限公司（汇总）</t>
        </is>
      </c>
      <c r="BH101" s="384" t="inlineStr">
        <is>
          <t>E100306H</t>
        </is>
      </c>
      <c r="BI101" s="384" t="inlineStr">
        <is>
          <t xml:space="preserve"> 宁夏京能创业房地产开发有限公司（汇总）</t>
        </is>
      </c>
    </row>
    <row r="102" hidden="1" s="1181">
      <c r="A102" s="13" t="n"/>
      <c r="B102" s="13" t="n"/>
      <c r="C102" s="13" t="n"/>
      <c r="D102" s="13" t="n"/>
      <c r="E102" s="13" t="n"/>
      <c r="F102" s="13" t="n"/>
      <c r="G102" s="13" t="n"/>
      <c r="H102" s="13" t="n"/>
      <c r="I102" s="13" t="n"/>
      <c r="J102" s="13" t="n"/>
      <c r="K102" s="13" t="n"/>
      <c r="L102" s="13" t="n"/>
      <c r="M102" s="13" t="n"/>
      <c r="N102" s="13" t="n"/>
      <c r="O102" s="13" t="n"/>
      <c r="P102" s="13" t="n"/>
      <c r="Q102" s="13" t="n"/>
      <c r="R102" s="13" t="n"/>
      <c r="S102" s="1103" t="n"/>
      <c r="T102" s="13" t="n"/>
      <c r="U102" s="13" t="n"/>
      <c r="V102" s="1103" t="n"/>
      <c r="W102" s="13" t="n"/>
      <c r="X102" s="171" t="n"/>
      <c r="Y102" s="1114" t="inlineStr">
        <is>
          <t>C_Account</t>
        </is>
      </c>
      <c r="Z102" s="1118" t="inlineStr">
        <is>
          <t>A0010305</t>
        </is>
      </c>
      <c r="AA102" s="1116" t="inlineStr">
        <is>
          <t>A0020504</t>
        </is>
      </c>
      <c r="AB102" s="1116" t="inlineStr">
        <is>
          <t>A0020503</t>
        </is>
      </c>
      <c r="AC102" s="1116" t="inlineStr">
        <is>
          <t>A0020602</t>
        </is>
      </c>
      <c r="AD102" s="644" t="n"/>
      <c r="AE102" s="644" t="n"/>
      <c r="AF102" s="644" t="n"/>
      <c r="AG102" s="644" t="n"/>
      <c r="AH102" s="644" t="n"/>
      <c r="AI102" s="644" t="n"/>
      <c r="AJ102" s="644" t="n"/>
      <c r="AK102" s="644" t="n"/>
      <c r="AL102" s="644" t="n"/>
      <c r="AM102" s="644" t="n"/>
      <c r="AN102" s="644" t="n"/>
      <c r="AO102" s="644" t="n"/>
      <c r="AP102" s="644" t="n"/>
      <c r="AQ102" s="644" t="n"/>
      <c r="AR102" s="644" t="n"/>
      <c r="AS102" s="644" t="n"/>
      <c r="AT102" s="644" t="n"/>
      <c r="AU102" s="644" t="n"/>
      <c r="AV102" s="644" t="n"/>
      <c r="AW102" s="644" t="n"/>
      <c r="AX102" s="644" t="n"/>
      <c r="AY102" s="644" t="n"/>
      <c r="AZ102" s="644" t="n"/>
      <c r="BA102" s="644" t="n"/>
      <c r="BB102" s="13" t="n"/>
      <c r="BC102" s="13" t="n"/>
      <c r="BD102" s="13" t="n"/>
      <c r="BE102" s="13" t="n"/>
      <c r="BF102" s="384" t="inlineStr">
        <is>
          <t>G100314H</t>
        </is>
      </c>
      <c r="BG102" s="384" t="inlineStr">
        <is>
          <t>北京金泰恒业燃料有限公司（汇总）</t>
        </is>
      </c>
      <c r="BH102" s="384" t="inlineStr">
        <is>
          <t>E100314H</t>
        </is>
      </c>
      <c r="BI102" s="384" t="inlineStr">
        <is>
          <t xml:space="preserve"> 北京金泰恒业燃料有限公司（汇总）</t>
        </is>
      </c>
    </row>
    <row r="103" hidden="1" s="1181">
      <c r="A103" s="13" t="n"/>
      <c r="B103" s="13" t="n"/>
      <c r="C103" s="13" t="n"/>
      <c r="D103" s="13" t="n"/>
      <c r="E103" s="13" t="n"/>
      <c r="F103" s="13" t="n"/>
      <c r="G103" s="13" t="n"/>
      <c r="H103" s="13" t="n"/>
      <c r="I103" s="13" t="n"/>
      <c r="J103" s="13" t="n"/>
      <c r="K103" s="13" t="n"/>
      <c r="L103" s="13" t="n"/>
      <c r="M103" s="13" t="n"/>
      <c r="N103" s="13" t="n"/>
      <c r="O103" s="13" t="n"/>
      <c r="P103" s="13" t="n"/>
      <c r="Q103" s="13" t="n"/>
      <c r="R103" s="13" t="n"/>
      <c r="S103" s="1103" t="n"/>
      <c r="T103" s="13" t="n"/>
      <c r="U103" s="13" t="n"/>
      <c r="V103" s="1103" t="n"/>
      <c r="W103" s="13" t="n"/>
      <c r="X103" s="171" t="n"/>
      <c r="Y103" s="171" t="n"/>
      <c r="Z103" s="644" t="n"/>
      <c r="AA103" s="644" t="n"/>
      <c r="AB103" s="644" t="n"/>
      <c r="AC103" s="644" t="n"/>
      <c r="AD103" s="644" t="n"/>
      <c r="AE103" s="644" t="n"/>
      <c r="AF103" s="644" t="n"/>
      <c r="AG103" s="644" t="n"/>
      <c r="AH103" s="644" t="n"/>
      <c r="AI103" s="644" t="n"/>
      <c r="AJ103" s="644" t="n"/>
      <c r="AK103" s="644" t="n"/>
      <c r="AL103" s="644" t="n"/>
      <c r="AM103" s="644" t="inlineStr"/>
      <c r="AN103" s="644" t="n"/>
      <c r="AO103" s="644" t="n"/>
      <c r="AP103" s="644" t="n"/>
      <c r="AQ103" s="644" t="n"/>
      <c r="AR103" s="644" t="n"/>
      <c r="AS103" s="644" t="n"/>
      <c r="AT103" s="644" t="n"/>
      <c r="AU103" s="644" t="n"/>
      <c r="AV103" s="644" t="n"/>
      <c r="AW103" s="644" t="n"/>
      <c r="AX103" s="644" t="n"/>
      <c r="AY103" s="644" t="n"/>
      <c r="AZ103" s="644" t="n"/>
      <c r="BA103" s="644" t="n"/>
      <c r="BB103" s="13" t="n"/>
      <c r="BC103" s="13" t="n"/>
      <c r="BD103" s="13" t="n"/>
      <c r="BE103" s="13" t="n"/>
      <c r="BF103" s="384" t="inlineStr">
        <is>
          <t>G100320</t>
        </is>
      </c>
      <c r="BG103" s="384" t="inlineStr">
        <is>
          <t>北京市天创房地产开发有限公司（合并）</t>
        </is>
      </c>
      <c r="BH103" s="384" t="inlineStr">
        <is>
          <t>E100320G</t>
        </is>
      </c>
      <c r="BI103" s="384" t="inlineStr">
        <is>
          <t xml:space="preserve"> 北京市天创房地产开发有限公司（合并）</t>
        </is>
      </c>
    </row>
    <row r="104" hidden="1" s="1181">
      <c r="A104" s="13" t="n"/>
      <c r="B104" s="13" t="n"/>
      <c r="C104" s="13" t="n"/>
      <c r="D104" s="13" t="n"/>
      <c r="E104" s="13" t="n"/>
      <c r="F104" s="13" t="n"/>
      <c r="G104" s="13" t="n"/>
      <c r="H104" s="13" t="n"/>
      <c r="I104" s="13" t="n"/>
      <c r="J104" s="13" t="n"/>
      <c r="K104" s="13" t="n"/>
      <c r="L104" s="13" t="n"/>
      <c r="M104" s="13" t="n"/>
      <c r="N104" s="13" t="n"/>
      <c r="O104" s="13" t="n"/>
      <c r="P104" s="13" t="n"/>
      <c r="Q104" s="13" t="n"/>
      <c r="R104" s="13" t="n"/>
      <c r="S104" s="1103" t="n"/>
      <c r="T104" s="13" t="n"/>
      <c r="U104" s="13" t="n"/>
      <c r="V104" s="1103">
        <f>IF(_epmOfflineCondition_,"",EPMOlapMemberO(U104,"[C_ITEM].[PARENTH1].[ZI_DUMMY]","ZI_DUMMY - 与子项无关","","000"))</f>
        <v/>
      </c>
      <c r="W104" s="13" t="n"/>
      <c r="X104" s="171" t="n"/>
      <c r="Y104" s="171" t="n"/>
      <c r="Z104" s="644" t="n"/>
      <c r="AA104" s="644" t="n"/>
      <c r="AB104" s="644" t="n"/>
      <c r="AC104" s="644" t="n"/>
      <c r="AD104" s="644" t="n"/>
      <c r="AE104" s="644" t="n"/>
      <c r="AF104" s="644" t="n"/>
      <c r="AG104" s="644" t="n"/>
      <c r="AH104" s="644" t="n"/>
      <c r="AI104" s="644" t="n"/>
      <c r="AJ104" s="644" t="n"/>
      <c r="AK104" s="644" t="n"/>
      <c r="AL104" s="644" t="n"/>
      <c r="AM104" s="644" t="n"/>
      <c r="AN104" s="644" t="n"/>
      <c r="AO104" s="644" t="n"/>
      <c r="AP104" s="644" t="n"/>
      <c r="AQ104" s="644" t="n"/>
      <c r="AR104" s="644" t="n"/>
      <c r="AS104" s="644" t="n"/>
      <c r="AT104" s="644" t="n"/>
      <c r="AU104" s="644" t="n"/>
      <c r="AV104" s="644" t="n"/>
      <c r="AW104" s="644" t="n"/>
      <c r="AX104" s="644" t="n"/>
      <c r="AY104" s="644" t="n"/>
      <c r="AZ104" s="644" t="n"/>
      <c r="BA104" s="644" t="n"/>
      <c r="BB104" s="13" t="n"/>
      <c r="BC104" s="13" t="n"/>
      <c r="BD104" s="13" t="n"/>
      <c r="BE104" s="13" t="n"/>
      <c r="BF104" s="384" t="inlineStr">
        <is>
          <t>G100326H</t>
        </is>
      </c>
      <c r="BG104" s="384" t="inlineStr">
        <is>
          <t>北京金泰通华商贸有限责任公司（汇总）</t>
        </is>
      </c>
      <c r="BH104" s="384" t="inlineStr">
        <is>
          <t>E100326H</t>
        </is>
      </c>
      <c r="BI104" s="384" t="inlineStr">
        <is>
          <t xml:space="preserve"> 北京金泰通华商贸有限责任公司（汇总）</t>
        </is>
      </c>
    </row>
    <row r="105">
      <c r="A105" s="13" t="n"/>
      <c r="B105" s="13" t="n"/>
      <c r="C105" s="13" t="n"/>
      <c r="D105" s="13" t="n"/>
      <c r="E105" s="13" t="n"/>
      <c r="F105" s="13" t="n"/>
      <c r="G105" s="13" t="n"/>
      <c r="H105" s="13" t="n"/>
      <c r="I105" s="13" t="n"/>
      <c r="J105" s="13" t="n"/>
      <c r="K105" s="13" t="n"/>
      <c r="L105" s="13" t="n"/>
      <c r="M105" s="13" t="n"/>
      <c r="N105" s="13" t="n"/>
      <c r="O105" s="13" t="n"/>
      <c r="P105" s="13" t="n"/>
      <c r="Q105" s="13" t="n"/>
      <c r="R105" s="13" t="n"/>
      <c r="S105" s="1103" t="n"/>
      <c r="T105" s="13" t="n"/>
      <c r="U105" s="13" t="n"/>
      <c r="V105" s="13" t="n"/>
      <c r="W105" s="13" t="n"/>
      <c r="X105" s="202" t="inlineStr">
        <is>
          <t>资产负债表年初数</t>
        </is>
      </c>
      <c r="Y105" s="171" t="n"/>
      <c r="Z105" s="1232">
        <f>IF(_epmOfflineCondition_,507249100,EPMRetrieveData(,Z$87,$Z$88,$Z$89,$Z$90,$Z$91,$Z$92,$Z$93,$Z$94,$Z$95,$Z$96,$Z$97,$Z$98,$Z$99))</f>
        <v/>
      </c>
      <c r="AA105" s="1232">
        <f>IF(_epmOfflineCondition_,0,EPMRetrieveData(,AA$87,$Z$88,$Z$89,$Z$90,$Z$91,$Z$92,$Z$93,$Z$94,$Z$95,$Z$96,$Z$97,$Z$98,$Z$99))</f>
        <v/>
      </c>
      <c r="AB105" s="1232">
        <f>IF(_epmOfflineCondition_,0,EPMRetrieveData(,AB$87,$Z$88,$Z$89,$Z$90,$Z$91,$Z$92,$Z$93,$Z$94,$Z$95,$Z$96,$Z$97,$Z$98,$Z$99))</f>
        <v/>
      </c>
      <c r="AC105" s="1232" t="n"/>
      <c r="AD105" s="1232">
        <f>IF(_epmOfflineCondition_,0,EPMRetrieveData(,AD$87,$Z$88,$Z$89,$Z$90,$Z$91,$Z$92,$Z$93,$Z$94,$Z$95,$Z$96,$Z$97,$Z$98,$Z$99))</f>
        <v/>
      </c>
      <c r="AE105" s="1232">
        <f>IF(_epmOfflineCondition_,0,EPMRetrieveData(,AE$87,$Z$88,$Z$89,$Z$90,$Z$91,$Z$92,$Z$93,$Z$94,$Z$95,$Z$96,$Z$97,$Z$98,$Z$99))</f>
        <v/>
      </c>
      <c r="AF105" s="1232">
        <f>IF(_epmOfflineCondition_,0,EPMRetrieveData(,AF$87,$Z$88,$Z$89,$Z$90,$Z$91,$Z$92,$Z$93,$Z$94,$Z$95,$Z$96,$Z$97,$Z$98,$Z$99))</f>
        <v/>
      </c>
      <c r="AG105" s="1232">
        <f>IF(_epmOfflineCondition_,2392276.89,EPMRetrieveData(,AG$87,$Z$88,$Z$89,$Z$90,$Z$91,$Z$92,$Z$93,$Z$94,$Z$95,$Z$96,$Z$97,$Z$98,$Z$99))</f>
        <v/>
      </c>
      <c r="AH105" s="1232">
        <f>IF(_epmOfflineCondition_,0,EPMRetrieveData(,AH$87,$Z$88,$Z$89,$Z$90,$Z$91,$Z$92,$Z$93,$Z$94,$Z$95,$Z$96,$Z$97,$Z$98,$Z$99))</f>
        <v/>
      </c>
      <c r="AI105" s="1232">
        <f>IF(_epmOfflineCondition_,0,EPMRetrieveData(,AI$87,$Z$88,$Z$89,$Z$90,$Z$91,$Z$92,$Z$93,$Z$94,$Z$95,$Z$96,$Z$97,$Z$98,$Z$99))</f>
        <v/>
      </c>
      <c r="AJ105" s="1232">
        <f>IF(_epmOfflineCondition_,181443708.37,EPMRetrieveData(,AJ$87,$Z$88,$Z$89,$Z$90,$Z$91,$Z$92,$Z$93,$Z$94,$Z$95,$Z$96,$Z$97,$Z$98,$Z$99))</f>
        <v/>
      </c>
      <c r="AK105" s="1232" t="n"/>
      <c r="AL105" s="1232">
        <f>IF(_epmOfflineCondition_,0,EPMRetrieveData(,AL$87,$Z$88,$Z$89,$Z$90,$Z$91,$Z$92,$Z$93,$Z$94,$Z$95,$Z$96,$Z$97,$Z$98,$Z$99))</f>
        <v/>
      </c>
      <c r="AM105" s="13" t="n"/>
      <c r="AN105" s="13" t="n"/>
      <c r="AO105" s="13" t="n"/>
      <c r="AP105" s="13" t="n"/>
      <c r="AQ105" s="13" t="n"/>
      <c r="AR105" s="13" t="n"/>
      <c r="AS105" s="13" t="n"/>
      <c r="AT105" s="13" t="n"/>
      <c r="AU105" s="13" t="n"/>
      <c r="AV105" s="13" t="n"/>
      <c r="AW105" s="13" t="n"/>
      <c r="AX105" s="13" t="n"/>
      <c r="AY105" s="13" t="n"/>
      <c r="AZ105" s="13" t="n"/>
      <c r="BA105" s="13" t="n"/>
      <c r="BB105" s="13" t="n"/>
      <c r="BC105" s="13" t="n"/>
      <c r="BD105" s="13" t="n"/>
      <c r="BE105" s="13" t="n"/>
      <c r="BF105" s="384" t="inlineStr">
        <is>
          <t>G100332</t>
        </is>
      </c>
      <c r="BG105" s="384" t="inlineStr">
        <is>
          <t>北京鑫华源机械制造有限责任公司（合并）</t>
        </is>
      </c>
      <c r="BH105" s="384" t="inlineStr">
        <is>
          <t>E100332G</t>
        </is>
      </c>
      <c r="BI105" s="384" t="inlineStr">
        <is>
          <t xml:space="preserve"> 北京鑫华源机械制造有限责任公司（合并）</t>
        </is>
      </c>
    </row>
    <row r="106">
      <c r="A106" s="13" t="n"/>
      <c r="B106" s="13" t="n"/>
      <c r="C106" s="13" t="n"/>
      <c r="D106" s="13" t="n"/>
      <c r="E106" s="13" t="n"/>
      <c r="F106" s="13" t="n"/>
      <c r="G106" s="13" t="n"/>
      <c r="H106" s="13" t="n"/>
      <c r="I106" s="13" t="n"/>
      <c r="J106" s="13" t="n"/>
      <c r="K106" s="13" t="n"/>
      <c r="L106" s="13" t="n"/>
      <c r="M106" s="13" t="n"/>
      <c r="N106" s="13" t="n"/>
      <c r="O106" s="13" t="n"/>
      <c r="P106" s="13" t="n"/>
      <c r="Q106" s="13" t="n"/>
      <c r="R106" s="13" t="n"/>
      <c r="S106" s="1103" t="n"/>
      <c r="T106" s="13" t="n"/>
      <c r="U106" s="13" t="n"/>
      <c r="V106" s="13" t="n"/>
      <c r="W106" s="13" t="n"/>
      <c r="X106" s="202" t="inlineStr">
        <is>
          <t>资产负债表年末数</t>
        </is>
      </c>
      <c r="Y106" s="171" t="n"/>
      <c r="Z106" s="1232">
        <f>IF(_epmOfflineCondition_,507249100,EPMRetrieveData(,Z$87,$Z$88,$Z$89,$Z$90,$Z$91,$Z$92,$AB$93,$Z$94,$Z$95,$Z$96,$Z$97,$Z$98,$Z$99))</f>
        <v/>
      </c>
      <c r="AA106" s="1232">
        <f>IF(_epmOfflineCondition_,0,EPMRetrieveData(,AA$87,$Z$88,$Z$89,$Z$90,$Z$91,$Z$92,$AB$93,$Z$94,$Z$95,$Z$96,$Z$97,$Z$98,$Z$99))</f>
        <v/>
      </c>
      <c r="AB106" s="1232">
        <f>IF(_epmOfflineCondition_,0,EPMRetrieveData(,AB$87,$Z$88,$Z$89,$Z$90,$Z$91,$Z$92,$AB$93,$Z$94,$Z$95,$Z$96,$Z$97,$Z$98,$Z$99))</f>
        <v/>
      </c>
      <c r="AC106" s="1232" t="n"/>
      <c r="AD106" s="1232">
        <f>IF(_epmOfflineCondition_,0,EPMRetrieveData(,AD$87,$Z$88,$Z$89,$Z$90,$Z$91,$Z$92,$AB$93,$Z$94,$Z$95,$Z$96,$Z$97,$Z$98,$Z$99))</f>
        <v/>
      </c>
      <c r="AE106" s="1232">
        <f>IF(_epmOfflineCondition_,0,EPMRetrieveData(,AE$87,$Z$88,$Z$89,$Z$90,$Z$91,$Z$92,$AB$93,$Z$94,$Z$95,$Z$96,$Z$97,$Z$98,$Z$99))</f>
        <v/>
      </c>
      <c r="AF106" s="1232">
        <f>IF(_epmOfflineCondition_,0,EPMRetrieveData(,AF$87,$Z$88,$Z$89,$Z$90,$Z$91,$Z$92,$AB$93,$Z$94,$Z$95,$Z$96,$Z$97,$Z$98,$Z$99))</f>
        <v/>
      </c>
      <c r="AG106" s="1232">
        <f>IF(_epmOfflineCondition_,2990947.35,EPMRetrieveData(,AG$87,$Z$88,$Z$89,$Z$90,$Z$91,$Z$92,$AB$93,$Z$94,$Z$95,$Z$96,$Z$97,$Z$98,$Z$99))</f>
        <v/>
      </c>
      <c r="AH106" s="1232">
        <f>IF(_epmOfflineCondition_,0,EPMRetrieveData(,AH$87,$Z$88,$Z$89,$Z$90,$Z$91,$Z$92,$AB$93,$Z$94,$Z$95,$Z$96,$Z$97,$Z$98,$Z$99))</f>
        <v/>
      </c>
      <c r="AI106" s="1232">
        <f>IF(_epmOfflineCondition_,0,EPMRetrieveData(,AI$87,$Z$88,$Z$89,$Z$90,$Z$91,$Z$92,$AB$93,$Z$94,$Z$95,$Z$96,$Z$97,$Z$98,$Z$99))</f>
        <v/>
      </c>
      <c r="AJ106" s="1232">
        <f>IF(_epmOfflineCondition_,239415501.34,EPMRetrieveData(,AJ$87,$Z$88,$Z$89,$Z$90,$Z$91,$Z$92,$AB$93,$Z$94,$Z$95,$Z$96,$Z$97,$Z$98,$Z$99))</f>
        <v/>
      </c>
      <c r="AK106" s="681" t="n"/>
      <c r="AL106" s="1232">
        <f>IF(_epmOfflineCondition_,0,EPMRetrieveData(,AL$87,$Z$88,$Z$89,$Z$90,$Z$91,$Z$92,$AB$93,$Z$94,$Z$95,$Z$96,$Z$97,$Z$98,$Z$99))</f>
        <v/>
      </c>
      <c r="AM106" s="13" t="n"/>
      <c r="AN106" s="13" t="n"/>
      <c r="AO106" s="13" t="n"/>
      <c r="AP106" s="13" t="n"/>
      <c r="AQ106" s="13" t="n"/>
      <c r="AR106" s="13" t="n"/>
      <c r="AS106" s="13" t="n"/>
      <c r="AT106" s="13" t="n"/>
      <c r="AU106" s="13" t="n"/>
      <c r="AV106" s="13" t="n"/>
      <c r="AW106" s="13" t="n"/>
      <c r="AX106" s="13" t="n"/>
      <c r="AY106" s="13" t="n"/>
      <c r="AZ106" s="13" t="n"/>
      <c r="BA106" s="13" t="n"/>
      <c r="BB106" s="13" t="n"/>
      <c r="BC106" s="13" t="n"/>
      <c r="BD106" s="13" t="n"/>
      <c r="BE106" s="13" t="n"/>
      <c r="BF106" s="384" t="inlineStr">
        <is>
          <t>G100344H</t>
        </is>
      </c>
      <c r="BG106" s="384" t="inlineStr">
        <is>
          <t>北京京煤集团总医院（汇总）</t>
        </is>
      </c>
      <c r="BH106" s="384" t="inlineStr">
        <is>
          <t>E100344H</t>
        </is>
      </c>
      <c r="BI106" s="384" t="inlineStr">
        <is>
          <t xml:space="preserve"> 北京京煤集团总医院（汇总）</t>
        </is>
      </c>
    </row>
    <row r="107">
      <c r="A107" s="13" t="n"/>
      <c r="B107" s="13" t="n"/>
      <c r="C107" s="13" t="n"/>
      <c r="D107" s="13" t="n"/>
      <c r="E107" s="13" t="n"/>
      <c r="F107" s="13" t="n"/>
      <c r="G107" s="13" t="n"/>
      <c r="H107" s="13" t="n"/>
      <c r="I107" s="13" t="n"/>
      <c r="J107" s="13" t="n"/>
      <c r="K107" s="13" t="n"/>
      <c r="L107" s="13" t="n"/>
      <c r="M107" s="13" t="n"/>
      <c r="N107" s="13" t="n"/>
      <c r="O107" s="13" t="n"/>
      <c r="P107" s="13" t="n"/>
      <c r="Q107" s="13" t="n"/>
      <c r="R107" s="13" t="n"/>
      <c r="S107" s="1103" t="n"/>
      <c r="T107" s="13" t="n"/>
      <c r="U107" s="13" t="n"/>
      <c r="V107" s="13" t="n"/>
      <c r="W107" s="13" t="n"/>
      <c r="X107" s="202" t="inlineStr">
        <is>
          <t>资产负债表年初数-校验结果</t>
        </is>
      </c>
      <c r="Y107" s="171" t="n"/>
      <c r="Z107" s="1232">
        <f>Z105-Z50</f>
        <v/>
      </c>
      <c r="AA107" s="1232">
        <f>AA105-AA50</f>
        <v/>
      </c>
      <c r="AB107" s="1232">
        <f>AB105-AB50</f>
        <v/>
      </c>
      <c r="AC107" s="1232" t="n"/>
      <c r="AD107" s="1232">
        <f>AD105-AD50</f>
        <v/>
      </c>
      <c r="AE107" s="1232">
        <f>AE105-AE50</f>
        <v/>
      </c>
      <c r="AF107" s="1232">
        <f>AF105-AF50</f>
        <v/>
      </c>
      <c r="AG107" s="1232">
        <f>AG105-AG50</f>
        <v/>
      </c>
      <c r="AH107" s="1232">
        <f>AH105-AH50</f>
        <v/>
      </c>
      <c r="AI107" s="1232">
        <f>AI105-AI50</f>
        <v/>
      </c>
      <c r="AJ107" s="1232">
        <f>AJ105-AJ50</f>
        <v/>
      </c>
      <c r="AK107" s="1232" t="n"/>
      <c r="AL107" s="1232">
        <f>AL105-AL50</f>
        <v/>
      </c>
      <c r="AM107" s="13" t="n"/>
      <c r="AN107" s="13" t="n"/>
      <c r="AO107" s="13" t="n"/>
      <c r="AP107" s="13" t="n"/>
      <c r="AQ107" s="13" t="n"/>
      <c r="AR107" s="13" t="n"/>
      <c r="AS107" s="13" t="n"/>
      <c r="AT107" s="13" t="n"/>
      <c r="AU107" s="13" t="n"/>
      <c r="AV107" s="13" t="n"/>
      <c r="AW107" s="13" t="n"/>
      <c r="AX107" s="13" t="n"/>
      <c r="AY107" s="13" t="n"/>
      <c r="AZ107" s="13" t="n"/>
      <c r="BA107" s="13" t="n"/>
      <c r="BB107" s="13" t="n"/>
      <c r="BC107" s="13" t="n"/>
      <c r="BD107" s="13" t="n"/>
      <c r="BE107" s="13" t="n"/>
      <c r="BF107" s="384" t="inlineStr">
        <is>
          <t>G100353</t>
        </is>
      </c>
      <c r="BG107" s="384" t="inlineStr">
        <is>
          <t>北京京能房产租赁经营有限责任公司（合并）</t>
        </is>
      </c>
      <c r="BH107" s="384" t="inlineStr">
        <is>
          <t>E100353G</t>
        </is>
      </c>
      <c r="BI107" s="384" t="inlineStr">
        <is>
          <t xml:space="preserve"> 北京京能房产租赁经营有限责任公司（合并）</t>
        </is>
      </c>
    </row>
    <row r="108">
      <c r="A108" s="13" t="n"/>
      <c r="B108" s="13" t="n"/>
      <c r="C108" s="13" t="n"/>
      <c r="D108" s="13" t="n"/>
      <c r="E108" s="13" t="n"/>
      <c r="F108" s="13" t="n"/>
      <c r="G108" s="13" t="n"/>
      <c r="H108" s="13" t="n"/>
      <c r="I108" s="13" t="n"/>
      <c r="J108" s="13" t="n"/>
      <c r="K108" s="13" t="n"/>
      <c r="L108" s="13" t="n"/>
      <c r="M108" s="13" t="n"/>
      <c r="N108" s="13" t="n"/>
      <c r="O108" s="13" t="n"/>
      <c r="P108" s="13" t="n"/>
      <c r="Q108" s="13" t="n"/>
      <c r="R108" s="13" t="n"/>
      <c r="S108" s="1103" t="n"/>
      <c r="T108" s="13" t="n"/>
      <c r="U108" s="13" t="n"/>
      <c r="V108" s="13" t="n"/>
      <c r="W108" s="13" t="n"/>
      <c r="X108" s="202" t="inlineStr">
        <is>
          <t>资产负债表年末数-校验结果</t>
        </is>
      </c>
      <c r="Y108" s="171" t="n"/>
      <c r="Z108" s="1232">
        <f>Z106-Z82</f>
        <v/>
      </c>
      <c r="AA108" s="1233">
        <f>AA106-AA82</f>
        <v/>
      </c>
      <c r="AB108" s="1233">
        <f>AB106-AB82</f>
        <v/>
      </c>
      <c r="AC108" s="1233" t="n"/>
      <c r="AD108" s="1233">
        <f>AD106-AD82</f>
        <v/>
      </c>
      <c r="AE108" s="1233">
        <f>AE106-AE82</f>
        <v/>
      </c>
      <c r="AF108" s="1233">
        <f>AF106-AF82</f>
        <v/>
      </c>
      <c r="AG108" s="1233">
        <f>AG106-AG82</f>
        <v/>
      </c>
      <c r="AH108" s="1233">
        <f>AH106-AH82</f>
        <v/>
      </c>
      <c r="AI108" s="1233">
        <f>AI106-AI82</f>
        <v/>
      </c>
      <c r="AJ108" s="1233">
        <f>AJ106-AJ82</f>
        <v/>
      </c>
      <c r="AK108" s="1233" t="n"/>
      <c r="AL108" s="1233">
        <f>AL106-AL82</f>
        <v/>
      </c>
      <c r="AM108" s="13" t="n"/>
      <c r="AN108" s="13" t="n"/>
      <c r="AO108" s="13" t="n"/>
      <c r="AP108" s="13" t="n"/>
      <c r="AQ108" s="13" t="n"/>
      <c r="AR108" s="13" t="n"/>
      <c r="AS108" s="13" t="n"/>
      <c r="AT108" s="13" t="n"/>
      <c r="AU108" s="13" t="n"/>
      <c r="AV108" s="13" t="n"/>
      <c r="AW108" s="13" t="n"/>
      <c r="AX108" s="13" t="n"/>
      <c r="AY108" s="13" t="n"/>
      <c r="AZ108" s="13" t="n"/>
      <c r="BA108" s="13" t="n"/>
      <c r="BB108" s="13" t="n"/>
      <c r="BC108" s="13" t="n"/>
      <c r="BD108" s="13" t="n"/>
      <c r="BE108" s="13" t="n"/>
      <c r="BF108" s="384" t="inlineStr">
        <is>
          <t>G100353H</t>
        </is>
      </c>
      <c r="BG108" s="384" t="inlineStr">
        <is>
          <t>北京京能房产租赁经营有限责任公司（母公司）</t>
        </is>
      </c>
      <c r="BH108" s="384" t="inlineStr">
        <is>
          <t>E100353H</t>
        </is>
      </c>
      <c r="BI108" s="384" t="inlineStr">
        <is>
          <t xml:space="preserve"> 北京京能房产租赁经营有限责任公司（母公司）</t>
        </is>
      </c>
    </row>
    <row r="109" hidden="1" s="1181">
      <c r="A109" s="13" t="n"/>
      <c r="B109" s="13" t="n"/>
      <c r="C109" s="13" t="n"/>
      <c r="D109" s="13" t="n"/>
      <c r="E109" s="13" t="n"/>
      <c r="F109" s="13" t="n"/>
      <c r="G109" s="13" t="n"/>
      <c r="H109" s="13" t="n"/>
      <c r="I109" s="13" t="n"/>
      <c r="J109" s="13" t="n"/>
      <c r="K109" s="13" t="n"/>
      <c r="L109" s="13" t="n"/>
      <c r="M109" s="13" t="n"/>
      <c r="N109" s="13" t="n"/>
      <c r="O109" s="13" t="n"/>
      <c r="P109" s="13" t="n"/>
      <c r="Q109" s="13" t="n"/>
      <c r="R109" s="13" t="n"/>
      <c r="S109" s="1103" t="n"/>
      <c r="T109" s="13" t="n"/>
      <c r="U109" s="13" t="n"/>
      <c r="V109" s="13" t="n"/>
      <c r="W109" s="13" t="n"/>
      <c r="X109" s="1106" t="n"/>
      <c r="Y109" s="1106" t="n"/>
      <c r="Z109" s="1121" t="inlineStr">
        <is>
          <t>CNY</t>
        </is>
      </c>
      <c r="AA109" s="1234" t="n"/>
      <c r="AB109" s="1235" t="n"/>
      <c r="AC109" s="13" t="n"/>
      <c r="AD109" s="13" t="n"/>
      <c r="AE109" s="13" t="n"/>
      <c r="AF109" s="13" t="n"/>
      <c r="AG109" s="13" t="n"/>
      <c r="AH109" s="13" t="n"/>
      <c r="AI109" s="13" t="n"/>
      <c r="AJ109" s="13" t="n"/>
      <c r="AK109" s="13" t="n"/>
      <c r="AL109" s="13" t="n"/>
      <c r="AM109" s="13" t="n"/>
      <c r="AN109" s="13" t="n"/>
      <c r="AO109" s="13" t="n"/>
      <c r="AP109" s="13" t="n"/>
      <c r="AQ109" s="13" t="n"/>
      <c r="AR109" s="13" t="n"/>
      <c r="AS109" s="13" t="n"/>
      <c r="AT109" s="13" t="n"/>
      <c r="AU109" s="13" t="n"/>
      <c r="AV109" s="13" t="n"/>
      <c r="AW109" s="13" t="n"/>
      <c r="AX109" s="13" t="n"/>
      <c r="AY109" s="13" t="n"/>
      <c r="AZ109" s="13" t="n"/>
      <c r="BA109" s="13" t="n"/>
      <c r="BB109" s="13" t="n"/>
      <c r="BC109" s="13" t="n"/>
      <c r="BD109" s="13" t="n"/>
      <c r="BE109" s="13" t="n"/>
      <c r="BF109" s="384" t="inlineStr">
        <is>
          <t>G100353T</t>
        </is>
      </c>
      <c r="BG109" s="384" t="inlineStr">
        <is>
          <t>北京京能房产租赁经营有限责任公司（合并）本部</t>
        </is>
      </c>
      <c r="BH109" s="384" t="inlineStr">
        <is>
          <t>E100353T</t>
        </is>
      </c>
      <c r="BI109" s="384" t="inlineStr">
        <is>
          <t xml:space="preserve"> 北京京能房产租赁经营有限责任公司（合并）本部</t>
        </is>
      </c>
    </row>
    <row r="110" hidden="1" ht="45.75" customHeight="1" s="1181">
      <c r="A110" s="13" t="n"/>
      <c r="B110" s="13" t="n"/>
      <c r="C110" s="13" t="n"/>
      <c r="D110" s="13" t="n"/>
      <c r="E110" s="13" t="n"/>
      <c r="F110" s="13" t="n"/>
      <c r="G110" s="13" t="n"/>
      <c r="H110" s="13" t="n"/>
      <c r="I110" s="13" t="n"/>
      <c r="J110" s="13" t="n"/>
      <c r="K110" s="13" t="n"/>
      <c r="L110" s="13" t="n"/>
      <c r="M110" s="13" t="n"/>
      <c r="N110" s="13" t="n"/>
      <c r="O110" s="13" t="n"/>
      <c r="P110" s="13" t="n"/>
      <c r="Q110" s="13" t="n"/>
      <c r="R110" s="13" t="n"/>
      <c r="S110" s="1103" t="n"/>
      <c r="T110" s="13" t="n"/>
      <c r="U110" s="13" t="n"/>
      <c r="V110" s="13" t="n"/>
      <c r="W110" s="13" t="n"/>
      <c r="X110" s="1107" t="inlineStr">
        <is>
          <t>未分配利润下的归母净利润取数规则说明：
1.业务背景：
1.1 热力提出有些E100222G除E1000222外的分公司分公司清单见Z111及以下利润会上缴E100222母公司本部，权益变动表上应该没有数据，因此针对未分配利润下的从利润表自动取数的单元格进行特殊设置。
1.2 E100222单体的未分配利润-归母净利润取数规则也需要特殊设置，需要取G100222合并利润表上的归母净利润。
2.设置思路：将此类业务的单位清单列示到以下单元格范围内，取数单元格内判断，如果上下文单位在范围内，则Y111单元格的countif大于1，此时未分配利润取数公式直接赋值为0，不在范围内的正常取利润表的归母净利润数据。
3.运维需注意：此类业务的单位清单需在Z111及以下单元格的清单中维护。</t>
        </is>
      </c>
      <c r="Y110" s="1106" t="n"/>
      <c r="Z110" s="1234" t="inlineStr">
        <is>
          <t>E100222H</t>
        </is>
      </c>
      <c r="AA110" s="1234">
        <f>IF(_epmOfflineCondition_,-2146826273,ROUND(EPMRetrieveData(,$AA$102,$I$11,$Z$110,$Z$109,$Z$91,$Z$112,$AA$93,$Z$94,$Z$95,$Z$96,$Z$97,$Z$111,$Z$99),2))</f>
        <v/>
      </c>
      <c r="AB110" s="1235" t="n"/>
      <c r="AC110" s="13" t="n"/>
      <c r="AD110" s="13" t="n"/>
      <c r="AE110" s="13" t="n"/>
      <c r="AF110" s="13" t="n"/>
      <c r="AG110" s="13" t="n"/>
      <c r="AH110" s="13" t="n"/>
      <c r="AI110" s="13" t="n"/>
      <c r="AJ110" s="13" t="n"/>
      <c r="AK110" s="13" t="n"/>
      <c r="AL110" s="13" t="n"/>
      <c r="AM110" s="13" t="n"/>
      <c r="AN110" s="13" t="n"/>
      <c r="AO110" s="13" t="n"/>
      <c r="AP110" s="13" t="n"/>
      <c r="AQ110" s="13" t="n"/>
      <c r="AR110" s="13" t="n"/>
      <c r="AS110" s="13" t="n"/>
      <c r="AT110" s="13" t="n"/>
      <c r="AU110" s="13" t="n"/>
      <c r="AV110" s="13" t="n"/>
      <c r="AW110" s="13" t="n"/>
      <c r="AX110" s="13" t="n"/>
      <c r="AY110" s="13" t="n"/>
      <c r="AZ110" s="13" t="n"/>
      <c r="BA110" s="13" t="n"/>
      <c r="BB110" s="13" t="n"/>
      <c r="BC110" s="13" t="n"/>
      <c r="BD110" s="13" t="n"/>
      <c r="BE110" s="13" t="n"/>
      <c r="BF110" s="384" t="inlineStr">
        <is>
          <t>G100362H</t>
        </is>
      </c>
      <c r="BG110" s="384" t="inlineStr">
        <is>
          <t>北京金泰物业管理有限公司（汇总）</t>
        </is>
      </c>
      <c r="BH110" s="384" t="inlineStr">
        <is>
          <t>E100362H</t>
        </is>
      </c>
      <c r="BI110" s="384" t="inlineStr">
        <is>
          <t xml:space="preserve"> 北京金泰物业管理有限公司（汇总）</t>
        </is>
      </c>
    </row>
    <row r="111" hidden="1" s="1181">
      <c r="A111" s="13" t="n"/>
      <c r="B111" s="13" t="n"/>
      <c r="C111" s="13" t="n"/>
      <c r="D111" s="13" t="n"/>
      <c r="E111" s="13" t="n"/>
      <c r="F111" s="13" t="n"/>
      <c r="G111" s="13" t="n"/>
      <c r="H111" s="13" t="n"/>
      <c r="I111" s="13" t="n"/>
      <c r="J111" s="13" t="n"/>
      <c r="K111" s="13" t="n"/>
      <c r="L111" s="13" t="n"/>
      <c r="M111" s="13" t="n"/>
      <c r="N111" s="13" t="n"/>
      <c r="O111" s="13" t="n"/>
      <c r="P111" s="13" t="n"/>
      <c r="Q111" s="13" t="n"/>
      <c r="R111" s="13" t="n"/>
      <c r="S111" s="1103" t="n"/>
      <c r="T111" s="13" t="n"/>
      <c r="U111" s="13" t="n"/>
      <c r="V111" s="13" t="n"/>
      <c r="W111" s="13" t="n"/>
      <c r="X111" s="1106" t="inlineStr">
        <is>
          <t>取数特殊公司：</t>
        </is>
      </c>
      <c r="Y111" s="1106">
        <f>COUNTIF(X112:X130,$D$21)</f>
        <v/>
      </c>
      <c r="Z111" s="1234" t="inlineStr">
        <is>
          <t>G100222H</t>
        </is>
      </c>
      <c r="AA111" s="1121" t="n"/>
      <c r="AB111" s="1235" t="n"/>
      <c r="AC111" s="13" t="n"/>
      <c r="AD111" s="13" t="n"/>
      <c r="AE111" s="13" t="n"/>
      <c r="AF111" s="13" t="n"/>
      <c r="AG111" s="13" t="n"/>
      <c r="AH111" s="13" t="n"/>
      <c r="AI111" s="13" t="n"/>
      <c r="AJ111" s="13" t="n"/>
      <c r="AK111" s="13" t="n"/>
      <c r="AL111" s="13" t="n"/>
      <c r="AM111" s="13" t="n"/>
      <c r="AN111" s="13" t="n"/>
      <c r="AO111" s="13" t="n"/>
      <c r="AP111" s="13" t="n"/>
      <c r="AQ111" s="13" t="n"/>
      <c r="AR111" s="13" t="n"/>
      <c r="AS111" s="13" t="n"/>
      <c r="AT111" s="13" t="n"/>
      <c r="AU111" s="13" t="n"/>
      <c r="AV111" s="13" t="n"/>
      <c r="AW111" s="13" t="n"/>
      <c r="AX111" s="13" t="n"/>
      <c r="AY111" s="13" t="n"/>
      <c r="AZ111" s="13" t="n"/>
      <c r="BA111" s="13" t="n"/>
      <c r="BB111" s="13" t="n"/>
      <c r="BC111" s="13" t="n"/>
      <c r="BD111" s="13" t="n"/>
      <c r="BE111" s="13" t="n"/>
      <c r="BF111" s="384" t="inlineStr">
        <is>
          <t>G100371</t>
        </is>
      </c>
      <c r="BG111" s="384" t="inlineStr">
        <is>
          <t>北京京能科技有限公司（合并）</t>
        </is>
      </c>
      <c r="BH111" s="384" t="inlineStr">
        <is>
          <t>E100371G</t>
        </is>
      </c>
      <c r="BI111" s="384" t="inlineStr">
        <is>
          <t xml:space="preserve"> 北京京能科技有限公司（合并）</t>
        </is>
      </c>
    </row>
    <row r="112" hidden="1" s="1181">
      <c r="A112" s="13" t="n"/>
      <c r="B112" s="13" t="n"/>
      <c r="C112" s="13" t="n"/>
      <c r="D112" s="13" t="n"/>
      <c r="E112" s="13" t="n"/>
      <c r="F112" s="13" t="n"/>
      <c r="G112" s="13" t="n"/>
      <c r="H112" s="13" t="n"/>
      <c r="I112" s="13" t="n"/>
      <c r="J112" s="13" t="n"/>
      <c r="K112" s="13" t="n"/>
      <c r="L112" s="13" t="n"/>
      <c r="M112" s="13" t="n"/>
      <c r="N112" s="13" t="n"/>
      <c r="O112" s="13" t="n"/>
      <c r="P112" s="13" t="n"/>
      <c r="Q112" s="13" t="n"/>
      <c r="R112" s="13" t="n"/>
      <c r="S112" s="1103" t="n"/>
      <c r="T112" s="13" t="n"/>
      <c r="U112" s="13" t="n"/>
      <c r="V112" s="13" t="n"/>
      <c r="W112" s="13" t="n"/>
      <c r="X112" s="1106" t="n"/>
      <c r="Y112" s="1106" t="n"/>
      <c r="Z112" s="1236" t="inlineStr">
        <is>
          <t>DALL</t>
        </is>
      </c>
      <c r="AA112" s="1234" t="n"/>
      <c r="AB112" s="1235" t="n"/>
      <c r="AC112" s="13" t="n"/>
      <c r="AD112" s="13" t="n"/>
      <c r="AE112" s="13" t="n"/>
      <c r="AF112" s="13" t="n"/>
      <c r="AG112" s="13" t="n"/>
      <c r="AH112" s="13" t="n"/>
      <c r="AI112" s="13" t="n"/>
      <c r="AJ112" s="13" t="n"/>
      <c r="AK112" s="13" t="n"/>
      <c r="AL112" s="13" t="n"/>
      <c r="AM112" s="13" t="n"/>
      <c r="AN112" s="13" t="n"/>
      <c r="AO112" s="13" t="n"/>
      <c r="AP112" s="13" t="n"/>
      <c r="AQ112" s="13" t="n"/>
      <c r="AR112" s="13" t="n"/>
      <c r="AS112" s="13" t="n"/>
      <c r="AT112" s="13" t="n"/>
      <c r="AU112" s="13" t="n"/>
      <c r="AV112" s="13" t="n"/>
      <c r="AW112" s="13" t="n"/>
      <c r="AX112" s="13" t="n"/>
      <c r="AY112" s="13" t="n"/>
      <c r="AZ112" s="13" t="n"/>
      <c r="BA112" s="13" t="n"/>
      <c r="BB112" s="13" t="n"/>
      <c r="BC112" s="13" t="n"/>
      <c r="BD112" s="13" t="n"/>
      <c r="BE112" s="13" t="n"/>
      <c r="BF112" s="384" t="inlineStr">
        <is>
          <t>G100405</t>
        </is>
      </c>
      <c r="BG112" s="384" t="inlineStr">
        <is>
          <t>北京高新技术创业投资有限公司（合并）</t>
        </is>
      </c>
      <c r="BH112" s="384" t="inlineStr">
        <is>
          <t>E100405G</t>
        </is>
      </c>
      <c r="BI112" s="384" t="inlineStr">
        <is>
          <t xml:space="preserve"> 北京高新技术创业投资有限公司（合并）</t>
        </is>
      </c>
    </row>
    <row r="113" hidden="1" s="1181">
      <c r="A113" s="13" t="n"/>
      <c r="B113" s="13" t="n"/>
      <c r="C113" s="13" t="n"/>
      <c r="D113" s="13" t="n"/>
      <c r="E113" s="13" t="n"/>
      <c r="F113" s="13" t="n"/>
      <c r="G113" s="13" t="n"/>
      <c r="H113" s="13" t="n"/>
      <c r="I113" s="13" t="n"/>
      <c r="J113" s="13" t="n"/>
      <c r="K113" s="13" t="n"/>
      <c r="L113" s="13" t="n"/>
      <c r="M113" s="13" t="n"/>
      <c r="N113" s="13" t="n"/>
      <c r="O113" s="13" t="n"/>
      <c r="P113" s="13" t="n"/>
      <c r="Q113" s="13" t="n"/>
      <c r="R113" s="13" t="n"/>
      <c r="S113" s="1103" t="n"/>
      <c r="T113" s="13" t="n"/>
      <c r="U113" s="13" t="n"/>
      <c r="V113" s="13" t="n"/>
      <c r="W113" s="13" t="n"/>
      <c r="X113" s="1106" t="inlineStr">
        <is>
          <t>E100223</t>
        </is>
      </c>
      <c r="Y113" s="1106">
        <f>IF(_epmOfflineCondition_,"北京市热力集团有限责任公司东城分公司",EPMMemberDesc(X113))</f>
        <v/>
      </c>
      <c r="Z113" s="1235" t="n"/>
      <c r="AA113" s="1235" t="n"/>
      <c r="AB113" s="1235" t="n"/>
      <c r="AC113" s="13" t="n"/>
      <c r="AD113" s="13" t="n"/>
      <c r="AE113" s="13" t="n"/>
      <c r="AF113" s="13" t="n"/>
      <c r="AG113" s="13" t="n"/>
      <c r="AH113" s="13" t="n"/>
      <c r="AI113" s="13" t="n"/>
      <c r="AJ113" s="13" t="n"/>
      <c r="AK113" s="13" t="n"/>
      <c r="AL113" s="13" t="n"/>
      <c r="AM113" s="13" t="n"/>
      <c r="AN113" s="13" t="n"/>
      <c r="AO113" s="13" t="n"/>
      <c r="AP113" s="13" t="n"/>
      <c r="AQ113" s="13" t="n"/>
      <c r="AR113" s="13" t="n"/>
      <c r="AS113" s="13" t="n"/>
      <c r="AT113" s="13" t="n"/>
      <c r="AU113" s="13" t="n"/>
      <c r="AV113" s="13" t="n"/>
      <c r="AW113" s="13" t="n"/>
      <c r="AX113" s="13" t="n"/>
      <c r="AY113" s="13" t="n"/>
      <c r="AZ113" s="13" t="n"/>
      <c r="BA113" s="13" t="n"/>
      <c r="BB113" s="13" t="n"/>
      <c r="BC113" s="13" t="n"/>
      <c r="BD113" s="13" t="n"/>
      <c r="BE113" s="13" t="n"/>
      <c r="BF113" s="384" t="inlineStr">
        <is>
          <t>G100420</t>
        </is>
      </c>
      <c r="BG113" s="384" t="inlineStr">
        <is>
          <t>京能置业股份有限公司（合并）</t>
        </is>
      </c>
      <c r="BH113" s="384" t="inlineStr">
        <is>
          <t>E100420G</t>
        </is>
      </c>
      <c r="BI113" s="384" t="inlineStr">
        <is>
          <t xml:space="preserve"> 京能置业股份有限公司（合并）</t>
        </is>
      </c>
    </row>
    <row r="114" hidden="1" s="1181">
      <c r="A114" s="13" t="n"/>
      <c r="B114" s="13" t="n"/>
      <c r="C114" s="13" t="n"/>
      <c r="D114" s="13" t="n"/>
      <c r="E114" s="13" t="n"/>
      <c r="F114" s="13" t="n"/>
      <c r="G114" s="13" t="n"/>
      <c r="H114" s="13" t="n"/>
      <c r="I114" s="13" t="n"/>
      <c r="J114" s="13" t="n"/>
      <c r="K114" s="13" t="n"/>
      <c r="L114" s="13" t="n"/>
      <c r="M114" s="13" t="n"/>
      <c r="N114" s="13" t="n"/>
      <c r="O114" s="13" t="n"/>
      <c r="P114" s="13" t="n"/>
      <c r="Q114" s="13" t="n"/>
      <c r="R114" s="13" t="n"/>
      <c r="S114" s="1103" t="n"/>
      <c r="T114" s="13" t="n"/>
      <c r="U114" s="13" t="n"/>
      <c r="V114" s="13" t="n"/>
      <c r="W114" s="13" t="n"/>
      <c r="X114" s="1106" t="inlineStr">
        <is>
          <t>E100224</t>
        </is>
      </c>
      <c r="Y114" s="1106">
        <f>IF(_epmOfflineCondition_,"北京市热力集团有限责任公司西城分公司",EPMMemberDesc(X114))</f>
        <v/>
      </c>
      <c r="Z114" s="1235" t="n"/>
      <c r="AA114" s="1235" t="n"/>
      <c r="AB114" s="1235" t="n"/>
      <c r="AC114" s="13" t="n"/>
      <c r="AD114" s="13" t="n"/>
      <c r="AE114" s="13" t="n"/>
      <c r="AF114" s="13" t="n"/>
      <c r="AG114" s="13" t="n"/>
      <c r="AH114" s="13" t="n"/>
      <c r="AI114" s="13" t="n"/>
      <c r="AJ114" s="13" t="n"/>
      <c r="AK114" s="13" t="n"/>
      <c r="AL114" s="13" t="n"/>
      <c r="AM114" s="13" t="n"/>
      <c r="AN114" s="13" t="n"/>
      <c r="AO114" s="13" t="n"/>
      <c r="AP114" s="13" t="n"/>
      <c r="AQ114" s="13" t="n"/>
      <c r="AR114" s="13" t="n"/>
      <c r="AS114" s="13" t="n"/>
      <c r="AT114" s="13" t="n"/>
      <c r="AU114" s="13" t="n"/>
      <c r="AV114" s="13" t="n"/>
      <c r="AW114" s="13" t="n"/>
      <c r="AX114" s="13" t="n"/>
      <c r="AY114" s="13" t="n"/>
      <c r="AZ114" s="13" t="n"/>
      <c r="BA114" s="13" t="n"/>
      <c r="BB114" s="13" t="n"/>
      <c r="BC114" s="13" t="n"/>
      <c r="BD114" s="13" t="n"/>
      <c r="BE114" s="13" t="n"/>
      <c r="BF114" s="384" t="inlineStr">
        <is>
          <t>G100421</t>
        </is>
      </c>
      <c r="BG114" s="384" t="inlineStr">
        <is>
          <t>北京金泰房地产开发有限责任公司（合并）</t>
        </is>
      </c>
      <c r="BH114" s="384" t="inlineStr">
        <is>
          <t>E100421G</t>
        </is>
      </c>
      <c r="BI114" s="384" t="inlineStr">
        <is>
          <t xml:space="preserve"> 北京金泰房地产开发有限责任公司（合并）</t>
        </is>
      </c>
    </row>
    <row r="115" hidden="1" s="1181">
      <c r="A115" s="13" t="n"/>
      <c r="B115" s="13" t="n"/>
      <c r="C115" s="13" t="n"/>
      <c r="D115" s="13" t="n"/>
      <c r="E115" s="13" t="n"/>
      <c r="F115" s="13" t="n"/>
      <c r="G115" s="13" t="n"/>
      <c r="H115" s="13" t="n"/>
      <c r="I115" s="13" t="n"/>
      <c r="J115" s="13" t="n"/>
      <c r="K115" s="13" t="n"/>
      <c r="L115" s="13" t="n"/>
      <c r="M115" s="13" t="n"/>
      <c r="N115" s="13" t="n"/>
      <c r="O115" s="13" t="n"/>
      <c r="P115" s="13" t="n"/>
      <c r="Q115" s="13" t="n"/>
      <c r="R115" s="13" t="n"/>
      <c r="S115" s="1103" t="n"/>
      <c r="T115" s="13" t="n"/>
      <c r="U115" s="13" t="n"/>
      <c r="V115" s="13" t="n"/>
      <c r="W115" s="13" t="n"/>
      <c r="X115" s="1106" t="inlineStr">
        <is>
          <t>E100225</t>
        </is>
      </c>
      <c r="Y115" s="1106">
        <f>IF(_epmOfflineCondition_,"北京市热力集团有限责任公司朝阳第一分公司",EPMMemberDesc(X115))</f>
        <v/>
      </c>
      <c r="Z115" s="1235" t="n"/>
      <c r="AA115" s="1235" t="n"/>
      <c r="AB115" s="1235" t="n"/>
      <c r="AC115" s="13" t="n"/>
      <c r="AD115" s="13" t="n"/>
      <c r="AE115" s="13" t="n"/>
      <c r="AF115" s="13" t="n"/>
      <c r="AG115" s="13" t="n"/>
      <c r="AH115" s="13" t="n"/>
      <c r="AI115" s="13" t="n"/>
      <c r="AJ115" s="13" t="n"/>
      <c r="AK115" s="13" t="n"/>
      <c r="AL115" s="13" t="n"/>
      <c r="AM115" s="13" t="n"/>
      <c r="AN115" s="13" t="n"/>
      <c r="AO115" s="13" t="n"/>
      <c r="AP115" s="13" t="n"/>
      <c r="AQ115" s="13" t="n"/>
      <c r="AR115" s="13" t="n"/>
      <c r="AS115" s="13" t="n"/>
      <c r="AT115" s="13" t="n"/>
      <c r="AU115" s="13" t="n"/>
      <c r="AV115" s="13" t="n"/>
      <c r="AW115" s="13" t="n"/>
      <c r="AX115" s="13" t="n"/>
      <c r="AY115" s="13" t="n"/>
      <c r="AZ115" s="13" t="n"/>
      <c r="BA115" s="13" t="n"/>
      <c r="BB115" s="13" t="n"/>
      <c r="BC115" s="13" t="n"/>
      <c r="BD115" s="13" t="n"/>
      <c r="BE115" s="13" t="n"/>
      <c r="BF115" s="384" t="inlineStr">
        <is>
          <t>G100421H</t>
        </is>
      </c>
      <c r="BG115" s="384" t="inlineStr">
        <is>
          <t>北京金泰房地产开发有限责任公司（母公司）</t>
        </is>
      </c>
      <c r="BH115" s="384" t="inlineStr">
        <is>
          <t>E100421H</t>
        </is>
      </c>
      <c r="BI115" s="384" t="inlineStr">
        <is>
          <t xml:space="preserve"> 北京金泰房地产开发有限责任公司（母公司）</t>
        </is>
      </c>
    </row>
    <row r="116" hidden="1" s="1181">
      <c r="A116" s="13" t="n"/>
      <c r="B116" s="13" t="n"/>
      <c r="C116" s="13" t="n"/>
      <c r="D116" s="13" t="n"/>
      <c r="E116" s="13" t="n"/>
      <c r="F116" s="13" t="n"/>
      <c r="G116" s="13" t="n"/>
      <c r="H116" s="13" t="n"/>
      <c r="I116" s="13" t="n"/>
      <c r="J116" s="13" t="n"/>
      <c r="K116" s="13" t="n"/>
      <c r="L116" s="13" t="n"/>
      <c r="M116" s="13" t="n"/>
      <c r="N116" s="13" t="n"/>
      <c r="O116" s="13" t="n"/>
      <c r="P116" s="13" t="n"/>
      <c r="Q116" s="13" t="n"/>
      <c r="R116" s="13" t="n"/>
      <c r="S116" s="1103" t="n"/>
      <c r="T116" s="13" t="n"/>
      <c r="U116" s="13" t="n"/>
      <c r="V116" s="13" t="n"/>
      <c r="W116" s="13" t="n"/>
      <c r="X116" s="1106" t="inlineStr">
        <is>
          <t>E100226</t>
        </is>
      </c>
      <c r="Y116" s="1106">
        <f>IF(_epmOfflineCondition_,"北京市热力集团有限责任公司朝阳第二分公司",EPMMemberDesc(X116))</f>
        <v/>
      </c>
      <c r="Z116" s="1235" t="n"/>
      <c r="AA116" s="1235" t="n"/>
      <c r="AB116" s="1235" t="n"/>
      <c r="AC116" s="13" t="n"/>
      <c r="AD116" s="13" t="n"/>
      <c r="AE116" s="13" t="n"/>
      <c r="AF116" s="13" t="n"/>
      <c r="AG116" s="13" t="n"/>
      <c r="AH116" s="13" t="n"/>
      <c r="AI116" s="13" t="n"/>
      <c r="AJ116" s="13" t="n"/>
      <c r="AK116" s="13" t="n"/>
      <c r="AL116" s="13" t="n"/>
      <c r="AM116" s="13" t="n"/>
      <c r="AN116" s="13" t="n"/>
      <c r="AO116" s="13" t="n"/>
      <c r="AP116" s="13" t="n"/>
      <c r="AQ116" s="13" t="n"/>
      <c r="AR116" s="13" t="n"/>
      <c r="AS116" s="13" t="n"/>
      <c r="AT116" s="13" t="n"/>
      <c r="AU116" s="13" t="n"/>
      <c r="AV116" s="13" t="n"/>
      <c r="AW116" s="13" t="n"/>
      <c r="AX116" s="13" t="n"/>
      <c r="AY116" s="13" t="n"/>
      <c r="AZ116" s="13" t="n"/>
      <c r="BA116" s="13" t="n"/>
      <c r="BB116" s="13" t="n"/>
      <c r="BC116" s="13" t="n"/>
      <c r="BD116" s="13" t="n"/>
      <c r="BE116" s="13" t="n"/>
      <c r="BF116" s="384" t="inlineStr">
        <is>
          <t>G100422</t>
        </is>
      </c>
      <c r="BG116" s="384" t="inlineStr">
        <is>
          <t>北京京能建设集团有限公司（合并）</t>
        </is>
      </c>
      <c r="BH116" s="384" t="inlineStr">
        <is>
          <t>E100422G</t>
        </is>
      </c>
      <c r="BI116" s="384" t="inlineStr">
        <is>
          <t xml:space="preserve"> 北京京能建设集团有限公司（合并）</t>
        </is>
      </c>
    </row>
    <row r="117" hidden="1" s="1181">
      <c r="A117" s="13" t="n"/>
      <c r="B117" s="13" t="n"/>
      <c r="C117" s="13" t="n"/>
      <c r="D117" s="13" t="n"/>
      <c r="E117" s="13" t="n"/>
      <c r="F117" s="13" t="n"/>
      <c r="G117" s="13" t="n"/>
      <c r="H117" s="13" t="n"/>
      <c r="I117" s="13" t="n"/>
      <c r="J117" s="13" t="n"/>
      <c r="K117" s="13" t="n"/>
      <c r="L117" s="13" t="n"/>
      <c r="M117" s="13" t="n"/>
      <c r="N117" s="13" t="n"/>
      <c r="O117" s="13" t="n"/>
      <c r="P117" s="13" t="n"/>
      <c r="Q117" s="13" t="n"/>
      <c r="R117" s="13" t="n"/>
      <c r="S117" s="1103" t="n"/>
      <c r="T117" s="13" t="n"/>
      <c r="U117" s="13" t="n"/>
      <c r="V117" s="13" t="n"/>
      <c r="W117" s="13" t="n"/>
      <c r="X117" s="1106" t="inlineStr">
        <is>
          <t>E100227</t>
        </is>
      </c>
      <c r="Y117" s="1106">
        <f>IF(_epmOfflineCondition_,"北京市热力集团有限责任公司海淀分公司",EPMMemberDesc(X117))</f>
        <v/>
      </c>
      <c r="Z117" s="1235" t="n"/>
      <c r="AA117" s="1235" t="n"/>
      <c r="AB117" s="1235" t="n"/>
      <c r="AC117" s="13" t="n"/>
      <c r="AD117" s="13" t="n"/>
      <c r="AE117" s="13" t="n"/>
      <c r="AF117" s="13" t="n"/>
      <c r="AG117" s="13" t="n"/>
      <c r="AH117" s="13" t="n"/>
      <c r="AI117" s="13" t="n"/>
      <c r="AJ117" s="13" t="n"/>
      <c r="AK117" s="13" t="n"/>
      <c r="AL117" s="13" t="n"/>
      <c r="AM117" s="13" t="n"/>
      <c r="AN117" s="13" t="n"/>
      <c r="AO117" s="13" t="n"/>
      <c r="AP117" s="13" t="n"/>
      <c r="AQ117" s="13" t="n"/>
      <c r="AR117" s="13" t="n"/>
      <c r="AS117" s="13" t="n"/>
      <c r="AT117" s="13" t="n"/>
      <c r="AU117" s="13" t="n"/>
      <c r="AV117" s="13" t="n"/>
      <c r="AW117" s="13" t="n"/>
      <c r="AX117" s="13" t="n"/>
      <c r="AY117" s="13" t="n"/>
      <c r="AZ117" s="13" t="n"/>
      <c r="BA117" s="13" t="n"/>
      <c r="BB117" s="13" t="n"/>
      <c r="BC117" s="13" t="n"/>
      <c r="BD117" s="13" t="n"/>
      <c r="BE117" s="13" t="n"/>
      <c r="BF117" s="384" t="inlineStr">
        <is>
          <t>G100433H</t>
        </is>
      </c>
      <c r="BG117" s="384" t="inlineStr">
        <is>
          <t>北京丽富房地产开发有限公司（汇总）</t>
        </is>
      </c>
      <c r="BH117" s="384" t="inlineStr">
        <is>
          <t>E100433H</t>
        </is>
      </c>
      <c r="BI117" s="384" t="inlineStr">
        <is>
          <t xml:space="preserve"> 北京丽富房地产开发有限公司（汇总）</t>
        </is>
      </c>
    </row>
    <row r="118" hidden="1" s="1181">
      <c r="A118" s="13" t="n"/>
      <c r="B118" s="13" t="n"/>
      <c r="C118" s="13" t="n"/>
      <c r="D118" s="13" t="n"/>
      <c r="E118" s="13" t="n"/>
      <c r="F118" s="13" t="n"/>
      <c r="G118" s="13" t="n"/>
      <c r="H118" s="13" t="n"/>
      <c r="I118" s="13" t="n"/>
      <c r="J118" s="13" t="n"/>
      <c r="K118" s="13" t="n"/>
      <c r="L118" s="13" t="n"/>
      <c r="M118" s="13" t="n"/>
      <c r="N118" s="13" t="n"/>
      <c r="O118" s="13" t="n"/>
      <c r="P118" s="13" t="n"/>
      <c r="Q118" s="13" t="n"/>
      <c r="R118" s="13" t="n"/>
      <c r="S118" s="1103" t="n"/>
      <c r="T118" s="13" t="n"/>
      <c r="U118" s="13" t="n"/>
      <c r="V118" s="13" t="n"/>
      <c r="W118" s="13" t="n"/>
      <c r="X118" s="1106" t="inlineStr">
        <is>
          <t>E100228</t>
        </is>
      </c>
      <c r="Y118" s="1106">
        <f>IF(_epmOfflineCondition_,"北京市热力集团有限责任公司丰台分公司",EPMMemberDesc(X118))</f>
        <v/>
      </c>
      <c r="Z118" s="1235" t="n"/>
      <c r="AA118" s="1235" t="n"/>
      <c r="AB118" s="1235" t="n"/>
      <c r="AC118" s="13" t="n"/>
      <c r="AD118" s="13" t="n"/>
      <c r="AE118" s="13" t="n"/>
      <c r="AF118" s="13" t="n"/>
      <c r="AG118" s="13" t="n"/>
      <c r="AH118" s="13" t="n"/>
      <c r="AI118" s="13" t="n"/>
      <c r="AJ118" s="13" t="n"/>
      <c r="AK118" s="13" t="n"/>
      <c r="AL118" s="13" t="n"/>
      <c r="AM118" s="13" t="n"/>
      <c r="AN118" s="13" t="n"/>
      <c r="AO118" s="13" t="n"/>
      <c r="AP118" s="13" t="n"/>
      <c r="AQ118" s="13" t="n"/>
      <c r="AR118" s="13" t="n"/>
      <c r="AS118" s="13" t="n"/>
      <c r="AT118" s="13" t="n"/>
      <c r="AU118" s="13" t="n"/>
      <c r="AV118" s="13" t="n"/>
      <c r="AW118" s="13" t="n"/>
      <c r="AX118" s="13" t="n"/>
      <c r="AY118" s="13" t="n"/>
      <c r="AZ118" s="13" t="n"/>
      <c r="BA118" s="13" t="n"/>
      <c r="BB118" s="13" t="n"/>
      <c r="BC118" s="13" t="n"/>
      <c r="BD118" s="13" t="n"/>
      <c r="BE118" s="13" t="n"/>
      <c r="BF118" s="384" t="inlineStr">
        <is>
          <t>G100443H</t>
        </is>
      </c>
      <c r="BG118" s="384" t="inlineStr">
        <is>
          <t>金泰丽城（天津）置业投资有限公司（汇总）</t>
        </is>
      </c>
      <c r="BH118" s="384" t="inlineStr">
        <is>
          <t>E100443H</t>
        </is>
      </c>
      <c r="BI118" s="384" t="inlineStr">
        <is>
          <t xml:space="preserve"> 金泰丽城（天津）置业投资有限公司（汇总）</t>
        </is>
      </c>
    </row>
    <row r="119" hidden="1" s="1181">
      <c r="A119" s="13" t="n"/>
      <c r="B119" s="13" t="n"/>
      <c r="C119" s="13" t="n"/>
      <c r="D119" s="13" t="n"/>
      <c r="E119" s="13" t="n"/>
      <c r="F119" s="13" t="n"/>
      <c r="G119" s="13" t="n"/>
      <c r="H119" s="13" t="n"/>
      <c r="I119" s="13" t="n"/>
      <c r="J119" s="13" t="n"/>
      <c r="K119" s="13" t="n"/>
      <c r="L119" s="13" t="n"/>
      <c r="M119" s="13" t="n"/>
      <c r="N119" s="13" t="n"/>
      <c r="O119" s="13" t="n"/>
      <c r="P119" s="13" t="n"/>
      <c r="Q119" s="13" t="n"/>
      <c r="R119" s="13" t="n"/>
      <c r="S119" s="1103" t="n"/>
      <c r="T119" s="13" t="n"/>
      <c r="U119" s="13" t="n"/>
      <c r="V119" s="13" t="n"/>
      <c r="W119" s="13" t="n"/>
      <c r="X119" s="1106" t="inlineStr">
        <is>
          <t>E100229</t>
        </is>
      </c>
      <c r="Y119" s="1106">
        <f>IF(_epmOfflineCondition_,"北京市热力集团有限责任公司石景山分公司",EPMMemberDesc(X119))</f>
        <v/>
      </c>
      <c r="Z119" s="1235" t="n"/>
      <c r="AA119" s="1235" t="n"/>
      <c r="AB119" s="1235" t="n"/>
      <c r="AC119" s="13" t="n"/>
      <c r="AD119" s="13" t="n"/>
      <c r="AE119" s="13" t="n"/>
      <c r="AF119" s="13" t="n"/>
      <c r="AG119" s="13" t="n"/>
      <c r="AH119" s="13" t="n"/>
      <c r="AI119" s="13" t="n"/>
      <c r="AJ119" s="13" t="n"/>
      <c r="AK119" s="13" t="n"/>
      <c r="AL119" s="13" t="n"/>
      <c r="AM119" s="13" t="n"/>
      <c r="AN119" s="13" t="n"/>
      <c r="AO119" s="13" t="n"/>
      <c r="AP119" s="13" t="n"/>
      <c r="AQ119" s="13" t="n"/>
      <c r="AR119" s="13" t="n"/>
      <c r="AS119" s="13" t="n"/>
      <c r="AT119" s="13" t="n"/>
      <c r="AU119" s="13" t="n"/>
      <c r="AV119" s="13" t="n"/>
      <c r="AW119" s="13" t="n"/>
      <c r="AX119" s="13" t="n"/>
      <c r="AY119" s="13" t="n"/>
      <c r="AZ119" s="13" t="n"/>
      <c r="BA119" s="13" t="n"/>
      <c r="BB119" s="13" t="n"/>
      <c r="BC119" s="13" t="n"/>
      <c r="BD119" s="13" t="n"/>
      <c r="BE119" s="13" t="n"/>
      <c r="BF119" s="384" t="inlineStr">
        <is>
          <t>G100448H</t>
        </is>
      </c>
      <c r="BG119" s="384" t="inlineStr">
        <is>
          <t>北京金泰卓越物业管理有限公司（汇总）</t>
        </is>
      </c>
      <c r="BH119" s="384" t="inlineStr">
        <is>
          <t>E100448H</t>
        </is>
      </c>
      <c r="BI119" s="384" t="inlineStr">
        <is>
          <t xml:space="preserve"> 北京金泰卓越物业管理有限公司（汇总）</t>
        </is>
      </c>
    </row>
    <row r="120" hidden="1" s="1181">
      <c r="A120" s="13" t="n"/>
      <c r="B120" s="13" t="n"/>
      <c r="C120" s="13" t="n"/>
      <c r="D120" s="13" t="n"/>
      <c r="E120" s="13" t="n"/>
      <c r="F120" s="13" t="n"/>
      <c r="G120" s="13" t="n"/>
      <c r="H120" s="13" t="n"/>
      <c r="I120" s="13" t="n"/>
      <c r="J120" s="13" t="n"/>
      <c r="K120" s="13" t="n"/>
      <c r="L120" s="13" t="n"/>
      <c r="M120" s="13" t="n"/>
      <c r="N120" s="13" t="n"/>
      <c r="O120" s="13" t="n"/>
      <c r="P120" s="13" t="n"/>
      <c r="Q120" s="13" t="n"/>
      <c r="R120" s="13" t="n"/>
      <c r="S120" s="1103" t="n"/>
      <c r="T120" s="13" t="n"/>
      <c r="U120" s="13" t="n"/>
      <c r="V120" s="13" t="n"/>
      <c r="W120" s="13" t="n"/>
      <c r="X120" s="1106" t="inlineStr">
        <is>
          <t>E100230</t>
        </is>
      </c>
      <c r="Y120" s="1106">
        <f>IF(_epmOfflineCondition_,"北京市热力集团有限责任公司门头沟分公司",EPMMemberDesc(X120))</f>
        <v/>
      </c>
      <c r="Z120" s="1235" t="n"/>
      <c r="AA120" s="1235" t="n"/>
      <c r="AB120" s="1235" t="n"/>
      <c r="AC120" s="13" t="n"/>
      <c r="AD120" s="13" t="n"/>
      <c r="AE120" s="13" t="n"/>
      <c r="AF120" s="13" t="n"/>
      <c r="AG120" s="13" t="n"/>
      <c r="AH120" s="13" t="n"/>
      <c r="AI120" s="13" t="n"/>
      <c r="AJ120" s="13" t="n"/>
      <c r="AK120" s="13" t="n"/>
      <c r="AL120" s="13" t="n"/>
      <c r="AM120" s="13" t="n"/>
      <c r="AN120" s="13" t="n"/>
      <c r="AO120" s="13" t="n"/>
      <c r="AP120" s="13" t="n"/>
      <c r="AQ120" s="13" t="n"/>
      <c r="AR120" s="13" t="n"/>
      <c r="AS120" s="13" t="n"/>
      <c r="AT120" s="13" t="n"/>
      <c r="AU120" s="13" t="n"/>
      <c r="AV120" s="13" t="n"/>
      <c r="AW120" s="13" t="n"/>
      <c r="AX120" s="13" t="n"/>
      <c r="AY120" s="13" t="n"/>
      <c r="AZ120" s="13" t="n"/>
      <c r="BA120" s="13" t="n"/>
      <c r="BB120" s="13" t="n"/>
      <c r="BC120" s="13" t="n"/>
      <c r="BD120" s="13" t="n"/>
      <c r="BE120" s="13" t="n"/>
      <c r="BF120" s="384" t="inlineStr">
        <is>
          <t>G100474T</t>
        </is>
      </c>
      <c r="BG120" s="384" t="inlineStr">
        <is>
          <t>金泰丽城（天津）置业投资有限公司假日酒店分公司（汇总）</t>
        </is>
      </c>
      <c r="BH120" s="384" t="inlineStr">
        <is>
          <t>E100474T</t>
        </is>
      </c>
      <c r="BI120" s="384" t="inlineStr">
        <is>
          <t xml:space="preserve"> 金泰丽城（天津）置业投资有限公司假日酒店分公司（汇总）</t>
        </is>
      </c>
    </row>
    <row r="121" hidden="1" s="1181">
      <c r="A121" s="13" t="n"/>
      <c r="B121" s="13" t="n"/>
      <c r="C121" s="13" t="n"/>
      <c r="D121" s="13" t="n"/>
      <c r="E121" s="13" t="n"/>
      <c r="F121" s="13" t="n"/>
      <c r="G121" s="13" t="n"/>
      <c r="H121" s="13" t="n"/>
      <c r="I121" s="13" t="n"/>
      <c r="J121" s="13" t="n"/>
      <c r="K121" s="13" t="n"/>
      <c r="L121" s="13" t="n"/>
      <c r="M121" s="13" t="n"/>
      <c r="N121" s="13" t="n"/>
      <c r="O121" s="13" t="n"/>
      <c r="P121" s="13" t="n"/>
      <c r="Q121" s="13" t="n"/>
      <c r="R121" s="13" t="n"/>
      <c r="S121" s="1103" t="n"/>
      <c r="T121" s="13" t="n"/>
      <c r="U121" s="13" t="n"/>
      <c r="V121" s="13" t="n"/>
      <c r="W121" s="13" t="n"/>
      <c r="X121" s="1106" t="inlineStr">
        <is>
          <t>E100231</t>
        </is>
      </c>
      <c r="Y121" s="1106">
        <f>IF(_epmOfflineCondition_,"北京市热力集团有限责任公司输配分公司",EPMMemberDesc(X121))</f>
        <v/>
      </c>
      <c r="Z121" s="1235" t="n"/>
      <c r="AA121" s="1235" t="n"/>
      <c r="AB121" s="1235" t="n"/>
      <c r="AC121" s="13" t="n"/>
      <c r="AD121" s="13" t="n"/>
      <c r="AE121" s="13" t="n"/>
      <c r="AF121" s="13" t="n"/>
      <c r="AG121" s="13" t="n"/>
      <c r="AH121" s="13" t="n"/>
      <c r="AI121" s="13" t="n"/>
      <c r="AJ121" s="13" t="n"/>
      <c r="AK121" s="13" t="n"/>
      <c r="AL121" s="13" t="n"/>
      <c r="AM121" s="13" t="n"/>
      <c r="AN121" s="13" t="n"/>
      <c r="AO121" s="13" t="n"/>
      <c r="AP121" s="13" t="n"/>
      <c r="AQ121" s="13" t="n"/>
      <c r="AR121" s="13" t="n"/>
      <c r="AS121" s="13" t="n"/>
      <c r="AT121" s="13" t="n"/>
      <c r="AU121" s="13" t="n"/>
      <c r="AV121" s="13" t="n"/>
      <c r="AW121" s="13" t="n"/>
      <c r="AX121" s="13" t="n"/>
      <c r="AY121" s="13" t="n"/>
      <c r="AZ121" s="13" t="n"/>
      <c r="BA121" s="13" t="n"/>
      <c r="BB121" s="13" t="n"/>
      <c r="BC121" s="13" t="n"/>
      <c r="BD121" s="13" t="n"/>
      <c r="BE121" s="13" t="n"/>
      <c r="BF121" s="384" t="inlineStr">
        <is>
          <t>G100483</t>
        </is>
      </c>
      <c r="BG121" s="384" t="inlineStr">
        <is>
          <t>投资北京国际有限公司（合并）</t>
        </is>
      </c>
      <c r="BH121" s="384" t="inlineStr">
        <is>
          <t>E100483G</t>
        </is>
      </c>
      <c r="BI121" s="384" t="inlineStr">
        <is>
          <t xml:space="preserve"> 投资北京国际有限公司（合并）</t>
        </is>
      </c>
    </row>
    <row r="122" hidden="1" s="1181">
      <c r="A122" s="13" t="n"/>
      <c r="B122" s="13" t="n"/>
      <c r="C122" s="13" t="n"/>
      <c r="D122" s="13" t="n"/>
      <c r="E122" s="13" t="n"/>
      <c r="F122" s="13" t="n"/>
      <c r="G122" s="13" t="n"/>
      <c r="H122" s="13" t="n"/>
      <c r="I122" s="13" t="n"/>
      <c r="J122" s="13" t="n"/>
      <c r="K122" s="13" t="n"/>
      <c r="L122" s="13" t="n"/>
      <c r="M122" s="13" t="n"/>
      <c r="N122" s="13" t="n"/>
      <c r="O122" s="13" t="n"/>
      <c r="P122" s="13" t="n"/>
      <c r="Q122" s="13" t="n"/>
      <c r="R122" s="13" t="n"/>
      <c r="S122" s="1103" t="n"/>
      <c r="T122" s="13" t="n"/>
      <c r="U122" s="13" t="n"/>
      <c r="V122" s="13" t="n"/>
      <c r="W122" s="13" t="n"/>
      <c r="X122" s="1106" t="inlineStr">
        <is>
          <t>E100857</t>
        </is>
      </c>
      <c r="Y122" s="1106">
        <f>IF(_epmOfflineCondition_,"北京市热力集团有限责任公司基建办",EPMMemberDesc(X122))</f>
        <v/>
      </c>
      <c r="Z122" s="1235" t="n"/>
      <c r="AA122" s="1235" t="n"/>
      <c r="AB122" s="1235" t="n"/>
      <c r="AC122" s="13" t="n"/>
      <c r="AD122" s="13" t="n"/>
      <c r="AE122" s="13" t="n"/>
      <c r="AF122" s="13" t="n"/>
      <c r="AG122" s="13" t="n"/>
      <c r="AH122" s="13" t="n"/>
      <c r="AI122" s="13" t="n"/>
      <c r="AJ122" s="13" t="n"/>
      <c r="AK122" s="13" t="n"/>
      <c r="AL122" s="13" t="n"/>
      <c r="AM122" s="13" t="n"/>
      <c r="AN122" s="13" t="n"/>
      <c r="AO122" s="13" t="n"/>
      <c r="AP122" s="13" t="n"/>
      <c r="AQ122" s="13" t="n"/>
      <c r="AR122" s="13" t="n"/>
      <c r="AS122" s="13" t="n"/>
      <c r="AT122" s="13" t="n"/>
      <c r="AU122" s="13" t="n"/>
      <c r="AV122" s="13" t="n"/>
      <c r="AW122" s="13" t="n"/>
      <c r="AX122" s="13" t="n"/>
      <c r="AY122" s="13" t="n"/>
      <c r="AZ122" s="13" t="n"/>
      <c r="BA122" s="13" t="n"/>
      <c r="BB122" s="13" t="n"/>
      <c r="BC122" s="13" t="n"/>
      <c r="BD122" s="13" t="n"/>
      <c r="BE122" s="13" t="n"/>
      <c r="BF122" s="384" t="inlineStr">
        <is>
          <t>G100538</t>
        </is>
      </c>
      <c r="BG122" s="384" t="inlineStr">
        <is>
          <t>北京京煤集团地质勘探队（合并）</t>
        </is>
      </c>
      <c r="BH122" s="384" t="inlineStr">
        <is>
          <t>E100538G</t>
        </is>
      </c>
      <c r="BI122" s="384" t="inlineStr">
        <is>
          <t xml:space="preserve"> 北京京煤集团地质勘探队（合并）</t>
        </is>
      </c>
    </row>
    <row r="123" hidden="1" s="1181">
      <c r="A123" s="13" t="n"/>
      <c r="B123" s="13" t="n"/>
      <c r="C123" s="13" t="n"/>
      <c r="D123" s="13" t="n"/>
      <c r="E123" s="13" t="n"/>
      <c r="F123" s="13" t="n"/>
      <c r="G123" s="13" t="n"/>
      <c r="H123" s="13" t="n"/>
      <c r="I123" s="13" t="n"/>
      <c r="J123" s="13" t="n"/>
      <c r="K123" s="13" t="n"/>
      <c r="L123" s="13" t="n"/>
      <c r="M123" s="13" t="n"/>
      <c r="N123" s="13" t="n"/>
      <c r="O123" s="13" t="n"/>
      <c r="P123" s="13" t="n"/>
      <c r="Q123" s="13" t="n"/>
      <c r="R123" s="13" t="n"/>
      <c r="S123" s="1103" t="n"/>
      <c r="T123" s="13" t="n"/>
      <c r="U123" s="13" t="n"/>
      <c r="V123" s="13" t="n"/>
      <c r="W123" s="13" t="n"/>
      <c r="X123" s="1106" t="n"/>
      <c r="Y123" s="1106" t="n"/>
      <c r="Z123" s="13" t="n"/>
      <c r="AA123" s="1235" t="n"/>
      <c r="AB123" s="13" t="n"/>
      <c r="AC123" s="13" t="n"/>
      <c r="AD123" s="13" t="n"/>
      <c r="AE123" s="13" t="n"/>
      <c r="AF123" s="13" t="n"/>
      <c r="AG123" s="13" t="n"/>
      <c r="AH123" s="13" t="n"/>
      <c r="AI123" s="13" t="n"/>
      <c r="AJ123" s="13" t="n"/>
      <c r="AK123" s="13" t="n"/>
      <c r="AL123" s="13" t="n"/>
      <c r="AM123" s="13" t="n"/>
      <c r="AN123" s="13" t="n"/>
      <c r="AO123" s="13" t="n"/>
      <c r="AP123" s="13" t="n"/>
      <c r="AQ123" s="13" t="n"/>
      <c r="AR123" s="13" t="n"/>
      <c r="AS123" s="13" t="n"/>
      <c r="AT123" s="13" t="n"/>
      <c r="AU123" s="13" t="n"/>
      <c r="AV123" s="13" t="n"/>
      <c r="AW123" s="13" t="n"/>
      <c r="AX123" s="13" t="n"/>
      <c r="AY123" s="13" t="n"/>
      <c r="AZ123" s="13" t="n"/>
      <c r="BA123" s="13" t="n"/>
      <c r="BB123" s="13" t="n"/>
      <c r="BC123" s="13" t="n"/>
      <c r="BD123" s="13" t="n"/>
      <c r="BE123" s="13" t="n"/>
      <c r="BF123" s="384" t="inlineStr">
        <is>
          <t>G100543</t>
        </is>
      </c>
      <c r="BG123" s="384" t="inlineStr">
        <is>
          <t>北京京能清洁能源电力股份（香港）有限公司（合并）</t>
        </is>
      </c>
      <c r="BH123" s="384" t="inlineStr">
        <is>
          <t>E100543G</t>
        </is>
      </c>
      <c r="BI123" s="384" t="inlineStr">
        <is>
          <t xml:space="preserve"> 北京京能清洁能源电力股份（香港）有限公司（合并）</t>
        </is>
      </c>
    </row>
    <row r="124" hidden="1" s="1181">
      <c r="A124" s="13" t="n"/>
      <c r="B124" s="13" t="n"/>
      <c r="C124" s="13" t="n"/>
      <c r="D124" s="13" t="n"/>
      <c r="E124" s="13" t="n"/>
      <c r="F124" s="13" t="n"/>
      <c r="G124" s="13" t="n"/>
      <c r="H124" s="13" t="n"/>
      <c r="I124" s="13" t="n"/>
      <c r="J124" s="13" t="n"/>
      <c r="K124" s="13" t="n"/>
      <c r="L124" s="13" t="n"/>
      <c r="M124" s="13" t="n"/>
      <c r="N124" s="13" t="n"/>
      <c r="O124" s="13" t="n"/>
      <c r="P124" s="13" t="n"/>
      <c r="Q124" s="13" t="n"/>
      <c r="R124" s="13" t="n"/>
      <c r="S124" s="1103" t="n"/>
      <c r="T124" s="13" t="n"/>
      <c r="U124" s="13" t="n"/>
      <c r="V124" s="13" t="n"/>
      <c r="W124" s="13" t="n"/>
      <c r="X124" s="1106" t="n"/>
      <c r="Y124" s="1106" t="n"/>
      <c r="Z124" s="13" t="n"/>
      <c r="AA124" s="13" t="n"/>
      <c r="AB124" s="13" t="n"/>
      <c r="AC124" s="13" t="n"/>
      <c r="AD124" s="13" t="n"/>
      <c r="AE124" s="13" t="n"/>
      <c r="AF124" s="13" t="n"/>
      <c r="AG124" s="13" t="n"/>
      <c r="AH124" s="13" t="n"/>
      <c r="AI124" s="13" t="n"/>
      <c r="AJ124" s="13" t="n"/>
      <c r="AK124" s="13" t="n"/>
      <c r="AL124" s="13" t="n"/>
      <c r="AM124" s="13" t="n"/>
      <c r="AN124" s="13" t="n"/>
      <c r="AO124" s="13" t="n"/>
      <c r="AP124" s="13" t="n"/>
      <c r="AQ124" s="13" t="n"/>
      <c r="AR124" s="13" t="n"/>
      <c r="AS124" s="13" t="n"/>
      <c r="AT124" s="13" t="n"/>
      <c r="AU124" s="13" t="n"/>
      <c r="AV124" s="13" t="n"/>
      <c r="AW124" s="13" t="n"/>
      <c r="AX124" s="13" t="n"/>
      <c r="AY124" s="13" t="n"/>
      <c r="AZ124" s="13" t="n"/>
      <c r="BA124" s="13" t="n"/>
      <c r="BB124" s="13" t="n"/>
      <c r="BC124" s="13" t="n"/>
      <c r="BD124" s="13" t="n"/>
      <c r="BE124" s="13" t="n"/>
      <c r="BF124" s="384" t="inlineStr">
        <is>
          <t>G100559</t>
        </is>
      </c>
      <c r="BG124" s="384" t="inlineStr">
        <is>
          <t>北京能源投资集团（香港）有限公司（合并）</t>
        </is>
      </c>
      <c r="BH124" s="384" t="inlineStr">
        <is>
          <t>E100559G</t>
        </is>
      </c>
      <c r="BI124" s="384" t="inlineStr">
        <is>
          <t xml:space="preserve"> 北京能源投资集团（香港）有限公司（合并）</t>
        </is>
      </c>
    </row>
    <row r="125" hidden="1" s="1181">
      <c r="A125" s="13" t="n"/>
      <c r="B125" s="13" t="n"/>
      <c r="C125" s="13" t="n"/>
      <c r="D125" s="13" t="n"/>
      <c r="E125" s="13" t="n"/>
      <c r="F125" s="13" t="n"/>
      <c r="G125" s="13" t="n"/>
      <c r="H125" s="13" t="n"/>
      <c r="I125" s="13" t="n"/>
      <c r="J125" s="13" t="n"/>
      <c r="K125" s="13" t="n"/>
      <c r="L125" s="13" t="n"/>
      <c r="M125" s="13" t="n"/>
      <c r="N125" s="13" t="n"/>
      <c r="O125" s="13" t="n"/>
      <c r="P125" s="13" t="n"/>
      <c r="Q125" s="13" t="n"/>
      <c r="R125" s="13" t="n"/>
      <c r="S125" s="1103" t="n"/>
      <c r="T125" s="13" t="n"/>
      <c r="U125" s="13" t="n"/>
      <c r="V125" s="13" t="n"/>
      <c r="W125" s="13" t="n"/>
      <c r="X125" s="1106" t="n"/>
      <c r="Y125" s="1106" t="n"/>
      <c r="Z125" s="13" t="n"/>
      <c r="AA125" s="13" t="n"/>
      <c r="AB125" s="13" t="n"/>
      <c r="AC125" s="13" t="n"/>
      <c r="AD125" s="13" t="n"/>
      <c r="AE125" s="13" t="n"/>
      <c r="AF125" s="13" t="n"/>
      <c r="AG125" s="13" t="n"/>
      <c r="AH125" s="13" t="n"/>
      <c r="AI125" s="13" t="n"/>
      <c r="AJ125" s="13" t="n"/>
      <c r="AK125" s="13" t="n"/>
      <c r="AL125" s="13" t="n"/>
      <c r="AM125" s="13" t="n"/>
      <c r="AN125" s="13" t="n"/>
      <c r="AO125" s="13" t="n"/>
      <c r="AP125" s="13" t="n"/>
      <c r="AQ125" s="13" t="n"/>
      <c r="AR125" s="13" t="n"/>
      <c r="AS125" s="13" t="n"/>
      <c r="AT125" s="13" t="n"/>
      <c r="AU125" s="13" t="n"/>
      <c r="AV125" s="13" t="n"/>
      <c r="AW125" s="13" t="n"/>
      <c r="AX125" s="13" t="n"/>
      <c r="AY125" s="13" t="n"/>
      <c r="AZ125" s="13" t="n"/>
      <c r="BA125" s="13" t="n"/>
      <c r="BB125" s="13" t="n"/>
      <c r="BC125" s="13" t="n"/>
      <c r="BD125" s="13" t="n"/>
      <c r="BE125" s="13" t="n"/>
      <c r="BF125" s="384" t="inlineStr">
        <is>
          <t>G100561</t>
        </is>
      </c>
      <c r="BG125" s="384" t="inlineStr">
        <is>
          <t>北京京能清洁能源（澳洲）控股有限公司（合并）</t>
        </is>
      </c>
      <c r="BH125" s="384" t="inlineStr">
        <is>
          <t>E100561G</t>
        </is>
      </c>
      <c r="BI125" s="384" t="inlineStr">
        <is>
          <t xml:space="preserve"> 北京京能清洁能源（澳洲）控股有限公司（合并）</t>
        </is>
      </c>
    </row>
    <row r="126" hidden="1" s="1181">
      <c r="A126" s="13" t="n"/>
      <c r="B126" s="13" t="n"/>
      <c r="C126" s="13" t="n"/>
      <c r="D126" s="13" t="n"/>
      <c r="E126" s="13" t="n"/>
      <c r="F126" s="13" t="n"/>
      <c r="G126" s="13" t="n"/>
      <c r="H126" s="13" t="n"/>
      <c r="I126" s="13" t="n"/>
      <c r="J126" s="13" t="n"/>
      <c r="K126" s="13" t="n"/>
      <c r="L126" s="13" t="n"/>
      <c r="M126" s="13" t="n"/>
      <c r="N126" s="13" t="n"/>
      <c r="O126" s="13" t="n"/>
      <c r="P126" s="13" t="n"/>
      <c r="Q126" s="13" t="n"/>
      <c r="R126" s="13" t="n"/>
      <c r="S126" s="1103" t="n"/>
      <c r="T126" s="13" t="n"/>
      <c r="U126" s="13" t="n"/>
      <c r="V126" s="13" t="n"/>
      <c r="W126" s="13" t="n"/>
      <c r="X126" s="1106" t="n"/>
      <c r="Y126" s="1106" t="n"/>
      <c r="Z126" s="13" t="n"/>
      <c r="AA126" s="13" t="n"/>
      <c r="AB126" s="13" t="n"/>
      <c r="AC126" s="13" t="n"/>
      <c r="AD126" s="13" t="n"/>
      <c r="AE126" s="13" t="n"/>
      <c r="AF126" s="13" t="n"/>
      <c r="AG126" s="13" t="n"/>
      <c r="AH126" s="13" t="n"/>
      <c r="AI126" s="13" t="n"/>
      <c r="AJ126" s="13" t="n"/>
      <c r="AK126" s="13" t="n"/>
      <c r="AL126" s="13" t="n"/>
      <c r="AM126" s="13" t="n"/>
      <c r="AN126" s="13" t="n"/>
      <c r="AO126" s="13" t="n"/>
      <c r="AP126" s="13" t="n"/>
      <c r="AQ126" s="13" t="n"/>
      <c r="AR126" s="13" t="n"/>
      <c r="AS126" s="13" t="n"/>
      <c r="AT126" s="13" t="n"/>
      <c r="AU126" s="13" t="n"/>
      <c r="AV126" s="13" t="n"/>
      <c r="AW126" s="13" t="n"/>
      <c r="AX126" s="13" t="n"/>
      <c r="AY126" s="13" t="n"/>
      <c r="AZ126" s="13" t="n"/>
      <c r="BA126" s="13" t="n"/>
      <c r="BB126" s="13" t="n"/>
      <c r="BC126" s="13" t="n"/>
      <c r="BD126" s="13" t="n"/>
      <c r="BE126" s="13" t="n"/>
      <c r="BF126" s="384" t="inlineStr">
        <is>
          <t>G100704</t>
        </is>
      </c>
      <c r="BG126" s="384" t="inlineStr">
        <is>
          <t>北京京润仁康控股有限公司（合并）</t>
        </is>
      </c>
      <c r="BH126" s="384" t="inlineStr">
        <is>
          <t>E100704G</t>
        </is>
      </c>
      <c r="BI126" s="384" t="inlineStr">
        <is>
          <t xml:space="preserve"> 北京京润仁康控股有限公司（合并）</t>
        </is>
      </c>
    </row>
    <row r="127" hidden="1" s="1181">
      <c r="A127" s="13" t="n"/>
      <c r="B127" s="13" t="n"/>
      <c r="C127" s="13" t="n"/>
      <c r="D127" s="13" t="n"/>
      <c r="E127" s="13" t="n"/>
      <c r="F127" s="13" t="n"/>
      <c r="G127" s="13" t="n"/>
      <c r="H127" s="13" t="n"/>
      <c r="I127" s="13" t="n"/>
      <c r="J127" s="13" t="n"/>
      <c r="K127" s="13" t="n"/>
      <c r="L127" s="13" t="n"/>
      <c r="M127" s="13" t="n"/>
      <c r="N127" s="13" t="n"/>
      <c r="O127" s="13" t="n"/>
      <c r="P127" s="13" t="n"/>
      <c r="Q127" s="13" t="n"/>
      <c r="R127" s="13" t="n"/>
      <c r="S127" s="1103" t="n"/>
      <c r="T127" s="13" t="n"/>
      <c r="U127" s="13" t="n"/>
      <c r="V127" s="13" t="n"/>
      <c r="W127" s="13" t="n"/>
      <c r="X127" s="1106" t="n"/>
      <c r="Y127" s="1106" t="n"/>
      <c r="Z127" s="13" t="n"/>
      <c r="AA127" s="13" t="n"/>
      <c r="AB127" s="13" t="n"/>
      <c r="AC127" s="13" t="n"/>
      <c r="AD127" s="13" t="n"/>
      <c r="AE127" s="13" t="n"/>
      <c r="AF127" s="13" t="n"/>
      <c r="AG127" s="13" t="n"/>
      <c r="AH127" s="13" t="n"/>
      <c r="AI127" s="13" t="n"/>
      <c r="AJ127" s="13" t="n"/>
      <c r="AK127" s="13" t="n"/>
      <c r="AL127" s="13" t="n"/>
      <c r="AM127" s="13" t="n"/>
      <c r="AN127" s="13" t="n"/>
      <c r="AO127" s="13" t="n"/>
      <c r="AP127" s="13" t="n"/>
      <c r="AQ127" s="13" t="n"/>
      <c r="AR127" s="13" t="n"/>
      <c r="AS127" s="13" t="n"/>
      <c r="AT127" s="13" t="n"/>
      <c r="AU127" s="13" t="n"/>
      <c r="AV127" s="13" t="n"/>
      <c r="AW127" s="13" t="n"/>
      <c r="AX127" s="13" t="n"/>
      <c r="AY127" s="13" t="n"/>
      <c r="AZ127" s="13" t="n"/>
      <c r="BA127" s="13" t="n"/>
      <c r="BB127" s="13" t="n"/>
      <c r="BC127" s="13" t="n"/>
      <c r="BD127" s="13" t="n"/>
      <c r="BE127" s="13" t="n"/>
      <c r="BF127" s="384" t="inlineStr">
        <is>
          <t>G100708</t>
        </is>
      </c>
      <c r="BG127" s="384" t="inlineStr">
        <is>
          <t>河北融智新源电力有限公司（合并）</t>
        </is>
      </c>
      <c r="BH127" s="384" t="inlineStr">
        <is>
          <t>E100708G</t>
        </is>
      </c>
      <c r="BI127" s="384" t="inlineStr">
        <is>
          <t xml:space="preserve"> 河北融智新源电力有限公司（合并）</t>
        </is>
      </c>
    </row>
    <row r="128" hidden="1" s="1181">
      <c r="A128" s="13" t="n"/>
      <c r="B128" s="13" t="n"/>
      <c r="C128" s="13" t="n"/>
      <c r="D128" s="13" t="n"/>
      <c r="E128" s="13" t="n"/>
      <c r="F128" s="13" t="n"/>
      <c r="G128" s="13" t="n"/>
      <c r="H128" s="13" t="n"/>
      <c r="I128" s="13" t="n"/>
      <c r="J128" s="13" t="n"/>
      <c r="K128" s="13" t="n"/>
      <c r="L128" s="13" t="n"/>
      <c r="M128" s="13" t="n"/>
      <c r="N128" s="13" t="n"/>
      <c r="O128" s="13" t="n"/>
      <c r="P128" s="13" t="n"/>
      <c r="Q128" s="13" t="n"/>
      <c r="R128" s="13" t="n"/>
      <c r="S128" s="1103" t="n"/>
      <c r="T128" s="13" t="n"/>
      <c r="U128" s="13" t="n"/>
      <c r="V128" s="13" t="n"/>
      <c r="W128" s="13" t="n"/>
      <c r="X128" s="1106" t="n"/>
      <c r="Y128" s="1106" t="n"/>
      <c r="Z128" s="13" t="n"/>
      <c r="AA128" s="13" t="n"/>
      <c r="AB128" s="13" t="n"/>
      <c r="AC128" s="13" t="n"/>
      <c r="AD128" s="13" t="n"/>
      <c r="AE128" s="13" t="n"/>
      <c r="AF128" s="13" t="n"/>
      <c r="AG128" s="13" t="n"/>
      <c r="AH128" s="13" t="n"/>
      <c r="AI128" s="13" t="n"/>
      <c r="AJ128" s="13" t="n"/>
      <c r="AK128" s="13" t="n"/>
      <c r="AL128" s="13" t="n"/>
      <c r="AM128" s="13" t="n"/>
      <c r="AN128" s="13" t="n"/>
      <c r="AO128" s="13" t="n"/>
      <c r="AP128" s="13" t="n"/>
      <c r="AQ128" s="13" t="n"/>
      <c r="AR128" s="13" t="n"/>
      <c r="AS128" s="13" t="n"/>
      <c r="AT128" s="13" t="n"/>
      <c r="AU128" s="13" t="n"/>
      <c r="AV128" s="13" t="n"/>
      <c r="AW128" s="13" t="n"/>
      <c r="AX128" s="13" t="n"/>
      <c r="AY128" s="13" t="n"/>
      <c r="AZ128" s="13" t="n"/>
      <c r="BA128" s="13" t="n"/>
      <c r="BB128" s="13" t="n"/>
      <c r="BC128" s="13" t="n"/>
      <c r="BD128" s="13" t="n"/>
      <c r="BE128" s="13" t="n"/>
      <c r="BF128" s="384" t="inlineStr">
        <is>
          <t>G100711</t>
        </is>
      </c>
      <c r="BG128" s="384" t="inlineStr">
        <is>
          <t>鄂托克前旗晟日新能源科技有限公司（合并）</t>
        </is>
      </c>
      <c r="BH128" s="384" t="inlineStr">
        <is>
          <t>E100711G</t>
        </is>
      </c>
      <c r="BI128" s="384" t="inlineStr">
        <is>
          <t xml:space="preserve"> 鄂托克前旗晟日新能源科技有限公司（合并）</t>
        </is>
      </c>
    </row>
    <row r="129" hidden="1" s="1181">
      <c r="A129" s="13" t="n"/>
      <c r="B129" s="13" t="n"/>
      <c r="C129" s="13" t="n"/>
      <c r="D129" s="13" t="n"/>
      <c r="E129" s="13" t="n"/>
      <c r="F129" s="13" t="n"/>
      <c r="G129" s="13" t="n"/>
      <c r="H129" s="13" t="n"/>
      <c r="I129" s="13" t="n"/>
      <c r="J129" s="13" t="n"/>
      <c r="K129" s="13" t="n"/>
      <c r="L129" s="13" t="n"/>
      <c r="M129" s="13" t="n"/>
      <c r="N129" s="13" t="n"/>
      <c r="O129" s="13" t="n"/>
      <c r="P129" s="13" t="n"/>
      <c r="Q129" s="13" t="n"/>
      <c r="R129" s="13" t="n"/>
      <c r="S129" s="1103" t="n"/>
      <c r="T129" s="13" t="n"/>
      <c r="U129" s="13" t="n"/>
      <c r="V129" s="13" t="n"/>
      <c r="W129" s="13" t="n"/>
      <c r="X129" s="1106" t="n"/>
      <c r="Y129" s="1106" t="n"/>
      <c r="Z129" s="13" t="n"/>
      <c r="AA129" s="13" t="n"/>
      <c r="AB129" s="13" t="n"/>
      <c r="AC129" s="13" t="n"/>
      <c r="AD129" s="13" t="n"/>
      <c r="AE129" s="13" t="n"/>
      <c r="AF129" s="13" t="n"/>
      <c r="AG129" s="13" t="n"/>
      <c r="AH129" s="13" t="n"/>
      <c r="AI129" s="13" t="n"/>
      <c r="AJ129" s="13" t="n"/>
      <c r="AK129" s="13" t="n"/>
      <c r="AL129" s="13" t="n"/>
      <c r="AM129" s="13" t="n"/>
      <c r="AN129" s="13" t="n"/>
      <c r="AO129" s="13" t="n"/>
      <c r="AP129" s="13" t="n"/>
      <c r="AQ129" s="13" t="n"/>
      <c r="AR129" s="13" t="n"/>
      <c r="AS129" s="13" t="n"/>
      <c r="AT129" s="13" t="n"/>
      <c r="AU129" s="13" t="n"/>
      <c r="AV129" s="13" t="n"/>
      <c r="AW129" s="13" t="n"/>
      <c r="AX129" s="13" t="n"/>
      <c r="AY129" s="13" t="n"/>
      <c r="AZ129" s="13" t="n"/>
      <c r="BA129" s="13" t="n"/>
      <c r="BB129" s="13" t="n"/>
      <c r="BC129" s="13" t="n"/>
      <c r="BD129" s="13" t="n"/>
      <c r="BE129" s="13" t="n"/>
      <c r="BF129" s="384" t="inlineStr">
        <is>
          <t>G100729</t>
        </is>
      </c>
      <c r="BG129" s="384" t="inlineStr">
        <is>
          <t>北京京能国际控股有限公司（合并）</t>
        </is>
      </c>
      <c r="BH129" s="384" t="inlineStr">
        <is>
          <t>E100729G</t>
        </is>
      </c>
      <c r="BI129" s="384" t="inlineStr">
        <is>
          <t xml:space="preserve"> 北京京能国际控股有限公司（合并）</t>
        </is>
      </c>
    </row>
    <row r="130" hidden="1" s="1181">
      <c r="A130" s="13" t="n"/>
      <c r="B130" s="13" t="n"/>
      <c r="C130" s="13" t="n"/>
      <c r="D130" s="13" t="n"/>
      <c r="E130" s="13" t="n"/>
      <c r="F130" s="13" t="n"/>
      <c r="G130" s="13" t="n"/>
      <c r="H130" s="13" t="n"/>
      <c r="I130" s="13" t="n"/>
      <c r="J130" s="13" t="n"/>
      <c r="K130" s="13" t="n"/>
      <c r="L130" s="13" t="n"/>
      <c r="M130" s="13" t="n"/>
      <c r="N130" s="13" t="n"/>
      <c r="O130" s="13" t="n"/>
      <c r="P130" s="13" t="n"/>
      <c r="Q130" s="13" t="n"/>
      <c r="R130" s="13" t="n"/>
      <c r="S130" s="1103" t="n"/>
      <c r="T130" s="13" t="n"/>
      <c r="U130" s="13" t="n"/>
      <c r="V130" s="13" t="n"/>
      <c r="W130" s="13" t="n"/>
      <c r="X130" s="1106" t="n"/>
      <c r="Y130" s="1106" t="n"/>
      <c r="Z130" s="13" t="n"/>
      <c r="AA130" s="13" t="n"/>
      <c r="AB130" s="13" t="n"/>
      <c r="AC130" s="13" t="n"/>
      <c r="AD130" s="13" t="n"/>
      <c r="AE130" s="13" t="n"/>
      <c r="AF130" s="13" t="n"/>
      <c r="AG130" s="13" t="n"/>
      <c r="AH130" s="13" t="n"/>
      <c r="AI130" s="13" t="n"/>
      <c r="AJ130" s="13" t="n"/>
      <c r="AK130" s="13" t="n"/>
      <c r="AL130" s="13" t="n"/>
      <c r="AM130" s="13" t="n"/>
      <c r="AN130" s="13" t="n"/>
      <c r="AO130" s="13" t="n"/>
      <c r="AP130" s="13" t="n"/>
      <c r="AQ130" s="13" t="n"/>
      <c r="AR130" s="13" t="n"/>
      <c r="AS130" s="13" t="n"/>
      <c r="AT130" s="13" t="n"/>
      <c r="AU130" s="13" t="n"/>
      <c r="AV130" s="13" t="n"/>
      <c r="AW130" s="13" t="n"/>
      <c r="AX130" s="13" t="n"/>
      <c r="AY130" s="13" t="n"/>
      <c r="AZ130" s="13" t="n"/>
      <c r="BA130" s="13" t="n"/>
      <c r="BB130" s="13" t="n"/>
      <c r="BC130" s="13" t="n"/>
      <c r="BD130" s="13" t="n"/>
      <c r="BE130" s="13" t="n"/>
      <c r="BF130" s="384" t="inlineStr">
        <is>
          <t>G100730</t>
        </is>
      </c>
      <c r="BG130" s="384" t="inlineStr">
        <is>
          <t>京能国际能源发展（北京）有限公司（合并）</t>
        </is>
      </c>
      <c r="BH130" s="384" t="inlineStr">
        <is>
          <t>E100730G</t>
        </is>
      </c>
      <c r="BI130" s="384" t="inlineStr">
        <is>
          <t xml:space="preserve"> 京能国际能源发展（北京）有限公司（合并）</t>
        </is>
      </c>
    </row>
    <row r="131" hidden="1" s="1181">
      <c r="A131" s="13" t="n"/>
      <c r="B131" s="13" t="n"/>
      <c r="C131" s="13" t="n"/>
      <c r="D131" s="13" t="n"/>
      <c r="E131" s="13" t="n"/>
      <c r="F131" s="13" t="n"/>
      <c r="G131" s="13" t="n"/>
      <c r="H131" s="13" t="n"/>
      <c r="I131" s="13" t="n"/>
      <c r="J131" s="13" t="n"/>
      <c r="K131" s="13" t="n"/>
      <c r="L131" s="13" t="n"/>
      <c r="M131" s="13" t="n"/>
      <c r="N131" s="13" t="n"/>
      <c r="O131" s="13" t="n"/>
      <c r="P131" s="13" t="n"/>
      <c r="Q131" s="13" t="n"/>
      <c r="R131" s="13" t="n"/>
      <c r="S131" s="1103" t="n"/>
      <c r="T131" s="13" t="n"/>
      <c r="U131" s="13" t="n"/>
      <c r="V131" s="13" t="n"/>
      <c r="W131" s="13" t="n"/>
      <c r="X131" s="171" t="n"/>
      <c r="Y131" s="171" t="n"/>
      <c r="Z131" s="13" t="n"/>
      <c r="AA131" s="13" t="n"/>
      <c r="AB131" s="13" t="n"/>
      <c r="AC131" s="13" t="n"/>
      <c r="AD131" s="13" t="n"/>
      <c r="AE131" s="13" t="n"/>
      <c r="AF131" s="13" t="n"/>
      <c r="AG131" s="13" t="n"/>
      <c r="AH131" s="13" t="n"/>
      <c r="AI131" s="13" t="n"/>
      <c r="AJ131" s="13" t="n"/>
      <c r="AK131" s="13" t="n"/>
      <c r="AL131" s="13" t="n"/>
      <c r="AM131" s="13" t="n"/>
      <c r="AN131" s="13" t="n"/>
      <c r="AO131" s="13" t="n"/>
      <c r="AP131" s="13" t="n"/>
      <c r="AQ131" s="13" t="n"/>
      <c r="AR131" s="13" t="n"/>
      <c r="AS131" s="13" t="n"/>
      <c r="AT131" s="13" t="n"/>
      <c r="AU131" s="13" t="n"/>
      <c r="AV131" s="13" t="n"/>
      <c r="AW131" s="13" t="n"/>
      <c r="AX131" s="13" t="n"/>
      <c r="AY131" s="13" t="n"/>
      <c r="AZ131" s="13" t="n"/>
      <c r="BA131" s="13" t="n"/>
      <c r="BB131" s="13" t="n"/>
      <c r="BC131" s="13" t="n"/>
      <c r="BD131" s="13" t="n"/>
      <c r="BE131" s="13" t="n"/>
      <c r="BF131" s="384" t="inlineStr">
        <is>
          <t>G100734</t>
        </is>
      </c>
      <c r="BG131" s="384" t="inlineStr">
        <is>
          <t>联合光伏（常州）投资集团有限公司（合并）</t>
        </is>
      </c>
      <c r="BH131" s="384" t="inlineStr">
        <is>
          <t>E100734G</t>
        </is>
      </c>
      <c r="BI131" s="384" t="inlineStr">
        <is>
          <t xml:space="preserve"> 联合光伏（常州）投资集团有限公司（合并）</t>
        </is>
      </c>
    </row>
    <row r="132" hidden="1" s="1181">
      <c r="A132" s="13" t="n"/>
      <c r="B132" s="13" t="n"/>
      <c r="C132" s="13" t="n"/>
      <c r="D132" s="13" t="n"/>
      <c r="E132" s="13" t="n"/>
      <c r="F132" s="13" t="n"/>
      <c r="G132" s="13" t="n"/>
      <c r="H132" s="13" t="n"/>
      <c r="I132" s="13" t="n"/>
      <c r="J132" s="13" t="n"/>
      <c r="K132" s="13" t="n"/>
      <c r="L132" s="13" t="n"/>
      <c r="M132" s="13" t="n"/>
      <c r="N132" s="13" t="n"/>
      <c r="O132" s="13" t="n"/>
      <c r="P132" s="13" t="n"/>
      <c r="Q132" s="13" t="n"/>
      <c r="R132" s="13" t="n"/>
      <c r="S132" s="1103" t="n"/>
      <c r="T132" s="13" t="n"/>
      <c r="U132" s="13" t="n"/>
      <c r="V132" s="13" t="n"/>
      <c r="W132" s="13" t="n"/>
      <c r="X132" s="171" t="n"/>
      <c r="Y132" s="171" t="n"/>
      <c r="Z132" s="13" t="n"/>
      <c r="AA132" s="13" t="n"/>
      <c r="AB132" s="13" t="n"/>
      <c r="AC132" s="13" t="n"/>
      <c r="AD132" s="13" t="n"/>
      <c r="AE132" s="13" t="n"/>
      <c r="AF132" s="13" t="n"/>
      <c r="AG132" s="13" t="n"/>
      <c r="AH132" s="13" t="n"/>
      <c r="AI132" s="13" t="n"/>
      <c r="AJ132" s="13" t="n"/>
      <c r="AK132" s="13" t="n"/>
      <c r="AL132" s="13" t="n"/>
      <c r="AM132" s="13" t="n"/>
      <c r="AN132" s="13" t="n"/>
      <c r="AO132" s="13" t="n"/>
      <c r="AP132" s="13" t="n"/>
      <c r="AQ132" s="13" t="n"/>
      <c r="AR132" s="13" t="n"/>
      <c r="AS132" s="13" t="n"/>
      <c r="AT132" s="13" t="n"/>
      <c r="AU132" s="13" t="n"/>
      <c r="AV132" s="13" t="n"/>
      <c r="AW132" s="13" t="n"/>
      <c r="AX132" s="13" t="n"/>
      <c r="AY132" s="13" t="n"/>
      <c r="AZ132" s="13" t="n"/>
      <c r="BA132" s="13" t="n"/>
      <c r="BB132" s="13" t="n"/>
      <c r="BC132" s="13" t="n"/>
      <c r="BD132" s="13" t="n"/>
      <c r="BE132" s="13" t="n"/>
      <c r="BF132" s="384" t="inlineStr">
        <is>
          <t>G100735</t>
        </is>
      </c>
      <c r="BG132" s="384" t="inlineStr">
        <is>
          <t>内蒙古京能新能源科技有限公司（合并）</t>
        </is>
      </c>
      <c r="BH132" s="384" t="inlineStr">
        <is>
          <t>E100735G</t>
        </is>
      </c>
      <c r="BI132" s="384" t="inlineStr">
        <is>
          <t xml:space="preserve"> 内蒙古京能新能源科技有限公司（合并）</t>
        </is>
      </c>
    </row>
    <row r="133">
      <c r="A133" s="13" t="n"/>
      <c r="B133" s="13" t="n"/>
      <c r="C133" s="13" t="n"/>
      <c r="D133" s="13" t="n"/>
      <c r="E133" s="13" t="n"/>
      <c r="F133" s="13" t="n"/>
      <c r="G133" s="13" t="n"/>
      <c r="H133" s="13" t="n"/>
      <c r="I133" s="13" t="n"/>
      <c r="J133" s="13" t="n"/>
      <c r="K133" s="13" t="n"/>
      <c r="L133" s="13" t="n"/>
      <c r="M133" s="13" t="n"/>
      <c r="N133" s="13" t="n"/>
      <c r="O133" s="13" t="n"/>
      <c r="P133" s="13" t="n"/>
      <c r="Q133" s="13" t="n"/>
      <c r="R133" s="13" t="n"/>
      <c r="S133" s="1103" t="n"/>
      <c r="T133" s="13" t="n"/>
      <c r="U133" s="13" t="n"/>
      <c r="V133" s="13" t="n"/>
      <c r="W133" s="13" t="n"/>
      <c r="X133" s="171" t="n"/>
      <c r="Y133" s="171" t="n"/>
      <c r="Z133" s="13" t="n"/>
      <c r="AA133" s="13" t="n"/>
      <c r="AB133" s="13" t="n"/>
      <c r="AC133" s="13" t="n"/>
      <c r="AD133" s="13" t="n"/>
      <c r="AE133" s="13" t="n"/>
      <c r="AF133" s="13" t="n"/>
      <c r="AG133" s="13" t="n"/>
      <c r="AH133" s="13" t="n"/>
      <c r="AI133" s="13" t="n"/>
      <c r="AJ133" s="13" t="n"/>
      <c r="AK133" s="13" t="n"/>
      <c r="AL133" s="13" t="n"/>
      <c r="AM133" s="13" t="n"/>
      <c r="AN133" s="13" t="n"/>
      <c r="AO133" s="13" t="n"/>
      <c r="AP133" s="13" t="n"/>
      <c r="AQ133" s="13" t="n"/>
      <c r="AR133" s="13" t="n"/>
      <c r="AS133" s="13" t="n"/>
      <c r="AT133" s="13" t="n"/>
      <c r="AU133" s="13" t="n"/>
      <c r="AV133" s="13" t="n"/>
      <c r="AW133" s="13" t="n"/>
      <c r="AX133" s="13" t="n"/>
      <c r="AY133" s="13" t="n"/>
      <c r="AZ133" s="13" t="n"/>
      <c r="BA133" s="13" t="n"/>
      <c r="BB133" s="13" t="n"/>
      <c r="BC133" s="13" t="n"/>
      <c r="BD133" s="13" t="n"/>
      <c r="BE133" s="13" t="n"/>
      <c r="BF133" s="384" t="inlineStr">
        <is>
          <t>G100737</t>
        </is>
      </c>
      <c r="BG133" s="384" t="inlineStr">
        <is>
          <t>四川联合光伏有限公司（合并）</t>
        </is>
      </c>
      <c r="BH133" s="384" t="inlineStr">
        <is>
          <t>E100737G</t>
        </is>
      </c>
      <c r="BI133" s="384" t="inlineStr">
        <is>
          <t xml:space="preserve"> 四川联合光伏有限公司（合并）</t>
        </is>
      </c>
    </row>
    <row r="134">
      <c r="A134" s="13" t="n"/>
      <c r="B134" s="13" t="n"/>
      <c r="C134" s="13" t="n"/>
      <c r="D134" s="13" t="n"/>
      <c r="E134" s="13" t="n"/>
      <c r="F134" s="13" t="n"/>
      <c r="G134" s="13" t="n"/>
      <c r="H134" s="13" t="n"/>
      <c r="I134" s="13" t="n"/>
      <c r="J134" s="13" t="n"/>
      <c r="K134" s="13" t="n"/>
      <c r="L134" s="13" t="n"/>
      <c r="M134" s="13" t="n"/>
      <c r="N134" s="13" t="n"/>
      <c r="O134" s="13" t="n"/>
      <c r="P134" s="13" t="n"/>
      <c r="Q134" s="13" t="n"/>
      <c r="R134" s="13" t="n"/>
      <c r="S134" s="1103" t="n"/>
      <c r="T134" s="13" t="n"/>
      <c r="U134" s="13" t="n"/>
      <c r="V134" s="13" t="n"/>
      <c r="W134" s="13" t="n"/>
      <c r="X134" s="171" t="n"/>
      <c r="Y134" s="171" t="n"/>
      <c r="Z134" s="13" t="n"/>
      <c r="AA134" s="13" t="n"/>
      <c r="AB134" s="13" t="n"/>
      <c r="AC134" s="13" t="n"/>
      <c r="AD134" s="13" t="n"/>
      <c r="AE134" s="13" t="n"/>
      <c r="AF134" s="13" t="n"/>
      <c r="AG134" s="13" t="n"/>
      <c r="AH134" s="13" t="n"/>
      <c r="AI134" s="13" t="n"/>
      <c r="AJ134" s="13" t="n"/>
      <c r="AK134" s="13" t="n"/>
      <c r="AL134" s="13" t="n"/>
      <c r="AM134" s="13" t="n"/>
      <c r="AN134" s="13" t="n"/>
      <c r="AO134" s="13" t="n"/>
      <c r="AP134" s="13" t="n"/>
      <c r="AQ134" s="13" t="n"/>
      <c r="AR134" s="13" t="n"/>
      <c r="AS134" s="13" t="n"/>
      <c r="AT134" s="13" t="n"/>
      <c r="AU134" s="13" t="n"/>
      <c r="AV134" s="13" t="n"/>
      <c r="AW134" s="13" t="n"/>
      <c r="AX134" s="13" t="n"/>
      <c r="AY134" s="13" t="n"/>
      <c r="AZ134" s="13" t="n"/>
      <c r="BA134" s="13" t="n"/>
      <c r="BB134" s="13" t="n"/>
      <c r="BC134" s="13" t="n"/>
      <c r="BD134" s="13" t="n"/>
      <c r="BE134" s="13" t="n"/>
      <c r="BF134" s="384" t="inlineStr">
        <is>
          <t>G100738</t>
        </is>
      </c>
      <c r="BG134" s="384" t="inlineStr">
        <is>
          <t>西藏藏能股份有限公司（合并）</t>
        </is>
      </c>
      <c r="BH134" s="384" t="inlineStr">
        <is>
          <t>E100738G</t>
        </is>
      </c>
      <c r="BI134" s="384" t="inlineStr">
        <is>
          <t xml:space="preserve"> 西藏藏能股份有限公司（合并）</t>
        </is>
      </c>
    </row>
    <row r="135">
      <c r="A135" s="13" t="n"/>
      <c r="B135" s="13" t="n"/>
      <c r="C135" s="13" t="n"/>
      <c r="D135" s="13" t="n"/>
      <c r="E135" s="13" t="n"/>
      <c r="F135" s="13" t="n"/>
      <c r="G135" s="13" t="n"/>
      <c r="H135" s="13" t="n"/>
      <c r="I135" s="13" t="n"/>
      <c r="J135" s="13" t="n"/>
      <c r="K135" s="13" t="n"/>
      <c r="L135" s="13" t="n"/>
      <c r="M135" s="13" t="n"/>
      <c r="N135" s="13" t="n"/>
      <c r="O135" s="13" t="n"/>
      <c r="P135" s="13" t="n"/>
      <c r="Q135" s="13" t="n"/>
      <c r="R135" s="13" t="n"/>
      <c r="S135" s="1103" t="n"/>
      <c r="T135" s="13" t="n"/>
      <c r="U135" s="13" t="n"/>
      <c r="V135" s="13" t="n"/>
      <c r="W135" s="13" t="n"/>
      <c r="X135" s="171" t="n"/>
      <c r="Y135" s="171" t="n"/>
      <c r="Z135" s="13" t="n"/>
      <c r="AA135" s="13" t="n"/>
      <c r="AB135" s="13" t="n"/>
      <c r="AC135" s="13" t="n"/>
      <c r="AD135" s="13" t="n"/>
      <c r="AE135" s="13" t="n"/>
      <c r="AF135" s="13" t="n"/>
      <c r="AG135" s="13" t="n"/>
      <c r="AH135" s="13" t="n"/>
      <c r="AI135" s="13" t="n"/>
      <c r="AJ135" s="13" t="n"/>
      <c r="AK135" s="13" t="n"/>
      <c r="AL135" s="13" t="n"/>
      <c r="AM135" s="13" t="n"/>
      <c r="AN135" s="13" t="n"/>
      <c r="AO135" s="13" t="n"/>
      <c r="AP135" s="13" t="n"/>
      <c r="AQ135" s="13" t="n"/>
      <c r="AR135" s="13" t="n"/>
      <c r="AS135" s="13" t="n"/>
      <c r="AT135" s="13" t="n"/>
      <c r="AU135" s="13" t="n"/>
      <c r="AV135" s="13" t="n"/>
      <c r="AW135" s="13" t="n"/>
      <c r="AX135" s="13" t="n"/>
      <c r="AY135" s="13" t="n"/>
      <c r="AZ135" s="13" t="n"/>
      <c r="BA135" s="13" t="n"/>
      <c r="BB135" s="13" t="n"/>
      <c r="BC135" s="13" t="n"/>
      <c r="BD135" s="13" t="n"/>
      <c r="BE135" s="13" t="n"/>
      <c r="BF135" s="384" t="inlineStr">
        <is>
          <t>G100747</t>
        </is>
      </c>
      <c r="BG135" s="384" t="inlineStr">
        <is>
          <t>北京能源国际控股有限公司（合并）</t>
        </is>
      </c>
      <c r="BH135" s="384" t="inlineStr">
        <is>
          <t>E100747G</t>
        </is>
      </c>
      <c r="BI135" s="384" t="inlineStr">
        <is>
          <t xml:space="preserve"> 北京能源国际控股有限公司（合并）</t>
        </is>
      </c>
    </row>
    <row r="136">
      <c r="A136" s="13" t="n"/>
      <c r="B136" s="13" t="n"/>
      <c r="C136" s="13" t="n"/>
      <c r="D136" s="13" t="n"/>
      <c r="E136" s="13" t="n"/>
      <c r="F136" s="13" t="n"/>
      <c r="G136" s="13" t="n"/>
      <c r="H136" s="13" t="n"/>
      <c r="I136" s="13" t="n"/>
      <c r="J136" s="13" t="n"/>
      <c r="K136" s="13" t="n"/>
      <c r="L136" s="13" t="n"/>
      <c r="M136" s="13" t="n"/>
      <c r="N136" s="13" t="n"/>
      <c r="O136" s="13" t="n"/>
      <c r="P136" s="13" t="n"/>
      <c r="Q136" s="13" t="n"/>
      <c r="R136" s="13" t="n"/>
      <c r="S136" s="1103" t="n"/>
      <c r="T136" s="13" t="n"/>
      <c r="U136" s="13" t="n"/>
      <c r="V136" s="13" t="n"/>
      <c r="W136" s="13" t="n"/>
      <c r="X136" s="171" t="n"/>
      <c r="Y136" s="171" t="n"/>
      <c r="Z136" s="13" t="n"/>
      <c r="AA136" s="13" t="n"/>
      <c r="AB136" s="13" t="n"/>
      <c r="AC136" s="13" t="n"/>
      <c r="AD136" s="13" t="n"/>
      <c r="AE136" s="13" t="n"/>
      <c r="AF136" s="13" t="n"/>
      <c r="AG136" s="13" t="n"/>
      <c r="AH136" s="13" t="n"/>
      <c r="AI136" s="13" t="n"/>
      <c r="AJ136" s="13" t="n"/>
      <c r="AK136" s="13" t="n"/>
      <c r="AL136" s="13" t="n"/>
      <c r="AM136" s="13" t="n"/>
      <c r="AN136" s="13" t="n"/>
      <c r="AO136" s="13" t="n"/>
      <c r="AP136" s="13" t="n"/>
      <c r="AQ136" s="13" t="n"/>
      <c r="AR136" s="13" t="n"/>
      <c r="AS136" s="13" t="n"/>
      <c r="AT136" s="13" t="n"/>
      <c r="AU136" s="13" t="n"/>
      <c r="AV136" s="13" t="n"/>
      <c r="AW136" s="13" t="n"/>
      <c r="AX136" s="13" t="n"/>
      <c r="AY136" s="13" t="n"/>
      <c r="AZ136" s="13" t="n"/>
      <c r="BA136" s="13" t="n"/>
      <c r="BB136" s="13" t="n"/>
      <c r="BC136" s="13" t="n"/>
      <c r="BD136" s="13" t="n"/>
      <c r="BE136" s="13" t="n"/>
      <c r="BF136" s="384" t="inlineStr">
        <is>
          <t>G100748</t>
        </is>
      </c>
      <c r="BG136" s="384" t="inlineStr">
        <is>
          <t>北京京能国际综合智慧能源有限公司（合并）</t>
        </is>
      </c>
      <c r="BH136" s="384" t="inlineStr">
        <is>
          <t>E100748G</t>
        </is>
      </c>
      <c r="BI136" s="384" t="inlineStr">
        <is>
          <t xml:space="preserve"> 北京京能国际综合智慧能源有限公司（合并）</t>
        </is>
      </c>
    </row>
    <row r="137">
      <c r="A137" s="13" t="n"/>
      <c r="B137" s="13" t="n"/>
      <c r="C137" s="13" t="n"/>
      <c r="D137" s="13" t="n"/>
      <c r="E137" s="13" t="n"/>
      <c r="F137" s="13" t="n"/>
      <c r="G137" s="13" t="n"/>
      <c r="H137" s="13" t="n"/>
      <c r="I137" s="13" t="n"/>
      <c r="J137" s="13" t="n"/>
      <c r="K137" s="13" t="n"/>
      <c r="L137" s="13" t="n"/>
      <c r="M137" s="13" t="n"/>
      <c r="N137" s="13" t="n"/>
      <c r="O137" s="13" t="n"/>
      <c r="P137" s="13" t="n"/>
      <c r="Q137" s="13" t="n"/>
      <c r="R137" s="13" t="n"/>
      <c r="S137" s="1103" t="n"/>
      <c r="T137" s="13" t="n"/>
      <c r="U137" s="13" t="n"/>
      <c r="V137" s="13" t="n"/>
      <c r="W137" s="13" t="n"/>
      <c r="X137" s="171" t="n"/>
      <c r="Y137" s="171" t="n"/>
      <c r="Z137" s="13" t="n"/>
      <c r="AA137" s="13" t="n"/>
      <c r="AB137" s="13" t="n"/>
      <c r="AC137" s="13" t="n"/>
      <c r="AD137" s="13" t="n"/>
      <c r="AE137" s="13" t="n"/>
      <c r="AF137" s="13" t="n"/>
      <c r="AG137" s="13" t="n"/>
      <c r="AH137" s="13" t="n"/>
      <c r="AI137" s="13" t="n"/>
      <c r="AJ137" s="13" t="n"/>
      <c r="AK137" s="13" t="n"/>
      <c r="AL137" s="13" t="n"/>
      <c r="AM137" s="13" t="n"/>
      <c r="AN137" s="13" t="n"/>
      <c r="AO137" s="13" t="n"/>
      <c r="AP137" s="13" t="n"/>
      <c r="AQ137" s="13" t="n"/>
      <c r="AR137" s="13" t="n"/>
      <c r="AS137" s="13" t="n"/>
      <c r="AT137" s="13" t="n"/>
      <c r="AU137" s="13" t="n"/>
      <c r="AV137" s="13" t="n"/>
      <c r="AW137" s="13" t="n"/>
      <c r="AX137" s="13" t="n"/>
      <c r="AY137" s="13" t="n"/>
      <c r="AZ137" s="13" t="n"/>
      <c r="BA137" s="13" t="n"/>
      <c r="BB137" s="13" t="n"/>
      <c r="BC137" s="13" t="n"/>
      <c r="BD137" s="13" t="n"/>
      <c r="BE137" s="13" t="n"/>
      <c r="BF137" s="384" t="inlineStr">
        <is>
          <t>G100764</t>
        </is>
      </c>
      <c r="BG137" s="384" t="inlineStr">
        <is>
          <t>联合光伏（深圳）有限公司（合并）</t>
        </is>
      </c>
      <c r="BH137" s="384" t="inlineStr">
        <is>
          <t>E100764G</t>
        </is>
      </c>
      <c r="BI137" s="384" t="inlineStr">
        <is>
          <t xml:space="preserve"> 联合光伏（深圳）有限公司（合并）</t>
        </is>
      </c>
    </row>
    <row r="138">
      <c r="A138" s="13" t="n"/>
      <c r="B138" s="13" t="n"/>
      <c r="C138" s="13" t="n"/>
      <c r="D138" s="13" t="n"/>
      <c r="E138" s="13" t="n"/>
      <c r="F138" s="13" t="n"/>
      <c r="G138" s="13" t="n"/>
      <c r="H138" s="13" t="n"/>
      <c r="I138" s="13" t="n"/>
      <c r="J138" s="13" t="n"/>
      <c r="K138" s="13" t="n"/>
      <c r="L138" s="13" t="n"/>
      <c r="M138" s="13" t="n"/>
      <c r="N138" s="13" t="n"/>
      <c r="O138" s="13" t="n"/>
      <c r="P138" s="13" t="n"/>
      <c r="Q138" s="13" t="n"/>
      <c r="R138" s="13" t="n"/>
      <c r="S138" s="1103" t="n"/>
      <c r="T138" s="13" t="n"/>
      <c r="U138" s="13" t="n"/>
      <c r="V138" s="13" t="n"/>
      <c r="W138" s="13" t="n"/>
      <c r="X138" s="171" t="n"/>
      <c r="Y138" s="171" t="n"/>
      <c r="Z138" s="13" t="n"/>
      <c r="AA138" s="13" t="n"/>
      <c r="AB138" s="13" t="n"/>
      <c r="AC138" s="13" t="n"/>
      <c r="AD138" s="13" t="n"/>
      <c r="AE138" s="13" t="n"/>
      <c r="AF138" s="13" t="n"/>
      <c r="AG138" s="13" t="n"/>
      <c r="AH138" s="13" t="n"/>
      <c r="AI138" s="13" t="n"/>
      <c r="AJ138" s="13" t="n"/>
      <c r="AK138" s="13" t="n"/>
      <c r="AL138" s="13" t="n"/>
      <c r="AM138" s="13" t="n"/>
      <c r="AN138" s="13" t="n"/>
      <c r="AO138" s="13" t="n"/>
      <c r="AP138" s="13" t="n"/>
      <c r="AQ138" s="13" t="n"/>
      <c r="AR138" s="13" t="n"/>
      <c r="AS138" s="13" t="n"/>
      <c r="AT138" s="13" t="n"/>
      <c r="AU138" s="13" t="n"/>
      <c r="AV138" s="13" t="n"/>
      <c r="AW138" s="13" t="n"/>
      <c r="AX138" s="13" t="n"/>
      <c r="AY138" s="13" t="n"/>
      <c r="AZ138" s="13" t="n"/>
      <c r="BA138" s="13" t="n"/>
      <c r="BB138" s="13" t="n"/>
      <c r="BC138" s="13" t="n"/>
      <c r="BD138" s="13" t="n"/>
      <c r="BE138" s="13" t="n"/>
      <c r="BF138" s="384" t="inlineStr">
        <is>
          <t>G100776</t>
        </is>
      </c>
      <c r="BG138" s="384" t="inlineStr">
        <is>
          <t>北京健康养老集团有限公司（合并）</t>
        </is>
      </c>
      <c r="BH138" s="384" t="inlineStr">
        <is>
          <t>E100776G</t>
        </is>
      </c>
      <c r="BI138" s="384" t="inlineStr">
        <is>
          <t xml:space="preserve"> 北京健康养老集团有限公司（合并）</t>
        </is>
      </c>
    </row>
    <row r="139">
      <c r="A139" s="13" t="n"/>
      <c r="B139" s="13" t="n"/>
      <c r="C139" s="13" t="n"/>
      <c r="D139" s="13" t="n"/>
      <c r="E139" s="13" t="n"/>
      <c r="F139" s="13" t="n"/>
      <c r="G139" s="13" t="n"/>
      <c r="H139" s="13" t="n"/>
      <c r="I139" s="13" t="n"/>
      <c r="J139" s="13" t="n"/>
      <c r="K139" s="13" t="n"/>
      <c r="L139" s="13" t="n"/>
      <c r="M139" s="13" t="n"/>
      <c r="N139" s="13" t="n"/>
      <c r="O139" s="13" t="n"/>
      <c r="P139" s="13" t="n"/>
      <c r="Q139" s="13" t="n"/>
      <c r="R139" s="13" t="n"/>
      <c r="S139" s="1103" t="n"/>
      <c r="T139" s="13" t="n"/>
      <c r="U139" s="13" t="n"/>
      <c r="V139" s="13" t="n"/>
      <c r="W139" s="13" t="n"/>
      <c r="X139" s="171" t="n"/>
      <c r="Y139" s="171" t="n"/>
      <c r="Z139" s="13" t="n"/>
      <c r="AA139" s="13" t="n"/>
      <c r="AB139" s="13" t="n"/>
      <c r="AC139" s="13" t="n"/>
      <c r="AD139" s="13" t="n"/>
      <c r="AE139" s="13" t="n"/>
      <c r="AF139" s="13" t="n"/>
      <c r="AG139" s="13" t="n"/>
      <c r="AH139" s="13" t="n"/>
      <c r="AI139" s="13" t="n"/>
      <c r="AJ139" s="13" t="n"/>
      <c r="AK139" s="13" t="n"/>
      <c r="AL139" s="13" t="n"/>
      <c r="AM139" s="13" t="n"/>
      <c r="AN139" s="13" t="n"/>
      <c r="AO139" s="13" t="n"/>
      <c r="AP139" s="13" t="n"/>
      <c r="AQ139" s="13" t="n"/>
      <c r="AR139" s="13" t="n"/>
      <c r="AS139" s="13" t="n"/>
      <c r="AT139" s="13" t="n"/>
      <c r="AU139" s="13" t="n"/>
      <c r="AV139" s="13" t="n"/>
      <c r="AW139" s="13" t="n"/>
      <c r="AX139" s="13" t="n"/>
      <c r="AY139" s="13" t="n"/>
      <c r="AZ139" s="13" t="n"/>
      <c r="BA139" s="13" t="n"/>
      <c r="BB139" s="13" t="n"/>
      <c r="BC139" s="13" t="n"/>
      <c r="BD139" s="13" t="n"/>
      <c r="BE139" s="13" t="n"/>
      <c r="BF139" s="384" t="inlineStr">
        <is>
          <t>G100781</t>
        </is>
      </c>
      <c r="BG139" s="384" t="inlineStr">
        <is>
          <t>广东辉宇新能源投资有限公司（合并）</t>
        </is>
      </c>
      <c r="BH139" s="384" t="inlineStr">
        <is>
          <t>E100781G</t>
        </is>
      </c>
      <c r="BI139" s="384" t="inlineStr">
        <is>
          <t xml:space="preserve"> 广东辉宇新能源投资有限公司（合并）</t>
        </is>
      </c>
    </row>
    <row r="140">
      <c r="A140" s="13" t="n"/>
      <c r="B140" s="13" t="n"/>
      <c r="C140" s="13" t="n"/>
      <c r="D140" s="13" t="n"/>
      <c r="E140" s="13" t="n"/>
      <c r="F140" s="13" t="n"/>
      <c r="G140" s="13" t="n"/>
      <c r="H140" s="13" t="n"/>
      <c r="I140" s="13" t="n"/>
      <c r="J140" s="13" t="n"/>
      <c r="K140" s="13" t="n"/>
      <c r="L140" s="13" t="n"/>
      <c r="M140" s="13" t="n"/>
      <c r="N140" s="13" t="n"/>
      <c r="O140" s="13" t="n"/>
      <c r="P140" s="13" t="n"/>
      <c r="Q140" s="13" t="n"/>
      <c r="R140" s="13" t="n"/>
      <c r="S140" s="1103" t="n"/>
      <c r="T140" s="13" t="n"/>
      <c r="U140" s="13" t="n"/>
      <c r="V140" s="13" t="n"/>
      <c r="W140" s="13" t="n"/>
      <c r="X140" s="171" t="n"/>
      <c r="Y140" s="171" t="n"/>
      <c r="Z140" s="13" t="n"/>
      <c r="AA140" s="13" t="n"/>
      <c r="AB140" s="13" t="n"/>
      <c r="AC140" s="13" t="n"/>
      <c r="AD140" s="13" t="n"/>
      <c r="AE140" s="13" t="n"/>
      <c r="AF140" s="13" t="n"/>
      <c r="AG140" s="13" t="n"/>
      <c r="AH140" s="13" t="n"/>
      <c r="AI140" s="13" t="n"/>
      <c r="AJ140" s="13" t="n"/>
      <c r="AK140" s="13" t="n"/>
      <c r="AL140" s="13" t="n"/>
      <c r="AM140" s="13" t="n"/>
      <c r="AN140" s="13" t="n"/>
      <c r="AO140" s="13" t="n"/>
      <c r="AP140" s="13" t="n"/>
      <c r="AQ140" s="13" t="n"/>
      <c r="AR140" s="13" t="n"/>
      <c r="AS140" s="13" t="n"/>
      <c r="AT140" s="13" t="n"/>
      <c r="AU140" s="13" t="n"/>
      <c r="AV140" s="13" t="n"/>
      <c r="AW140" s="13" t="n"/>
      <c r="AX140" s="13" t="n"/>
      <c r="AY140" s="13" t="n"/>
      <c r="AZ140" s="13" t="n"/>
      <c r="BA140" s="13" t="n"/>
      <c r="BB140" s="13" t="n"/>
      <c r="BC140" s="13" t="n"/>
      <c r="BD140" s="13" t="n"/>
      <c r="BE140" s="13" t="n"/>
      <c r="BF140" s="384" t="inlineStr">
        <is>
          <t>G100793</t>
        </is>
      </c>
      <c r="BG140" s="384" t="inlineStr">
        <is>
          <t>张家口风沐新能源有限公司（合并）</t>
        </is>
      </c>
      <c r="BH140" s="384" t="inlineStr">
        <is>
          <t>E100793G</t>
        </is>
      </c>
      <c r="BI140" s="384" t="inlineStr">
        <is>
          <t xml:space="preserve"> 张家口风沐新能源有限公司（合并）</t>
        </is>
      </c>
    </row>
    <row r="141">
      <c r="A141" s="13" t="n"/>
      <c r="B141" s="13" t="n"/>
      <c r="C141" s="13" t="n"/>
      <c r="D141" s="13" t="n"/>
      <c r="E141" s="13" t="n"/>
      <c r="F141" s="13" t="n"/>
      <c r="G141" s="13" t="n"/>
      <c r="H141" s="13" t="n"/>
      <c r="I141" s="13" t="n"/>
      <c r="J141" s="13" t="n"/>
      <c r="K141" s="13" t="n"/>
      <c r="L141" s="13" t="n"/>
      <c r="M141" s="13" t="n"/>
      <c r="N141" s="13" t="n"/>
      <c r="O141" s="13" t="n"/>
      <c r="P141" s="13" t="n"/>
      <c r="Q141" s="13" t="n"/>
      <c r="R141" s="13" t="n"/>
      <c r="S141" s="1103" t="n"/>
      <c r="T141" s="13" t="n"/>
      <c r="U141" s="13" t="n"/>
      <c r="V141" s="13" t="n"/>
      <c r="W141" s="13" t="n"/>
      <c r="X141" s="171" t="n"/>
      <c r="Y141" s="171" t="n"/>
      <c r="Z141" s="13" t="n"/>
      <c r="AA141" s="13" t="n"/>
      <c r="AB141" s="13" t="n"/>
      <c r="AC141" s="13" t="n"/>
      <c r="AD141" s="13" t="n"/>
      <c r="AE141" s="13" t="n"/>
      <c r="AF141" s="13" t="n"/>
      <c r="AG141" s="13" t="n"/>
      <c r="AH141" s="13" t="n"/>
      <c r="AI141" s="13" t="n"/>
      <c r="AJ141" s="13" t="n"/>
      <c r="AK141" s="13" t="n"/>
      <c r="AL141" s="13" t="n"/>
      <c r="AM141" s="13" t="n"/>
      <c r="AN141" s="13" t="n"/>
      <c r="AO141" s="13" t="n"/>
      <c r="AP141" s="13" t="n"/>
      <c r="AQ141" s="13" t="n"/>
      <c r="AR141" s="13" t="n"/>
      <c r="AS141" s="13" t="n"/>
      <c r="AT141" s="13" t="n"/>
      <c r="AU141" s="13" t="n"/>
      <c r="AV141" s="13" t="n"/>
      <c r="AW141" s="13" t="n"/>
      <c r="AX141" s="13" t="n"/>
      <c r="AY141" s="13" t="n"/>
      <c r="AZ141" s="13" t="n"/>
      <c r="BA141" s="13" t="n"/>
      <c r="BB141" s="13" t="n"/>
      <c r="BC141" s="13" t="n"/>
      <c r="BD141" s="13" t="n"/>
      <c r="BE141" s="13" t="n"/>
      <c r="BF141" s="384" t="inlineStr">
        <is>
          <t>G100814</t>
        </is>
      </c>
      <c r="BG141" s="384" t="inlineStr">
        <is>
          <t>北京诚和敬投资有限责任公司（合并）</t>
        </is>
      </c>
      <c r="BH141" s="384" t="inlineStr">
        <is>
          <t>E100814G</t>
        </is>
      </c>
      <c r="BI141" s="384" t="inlineStr">
        <is>
          <t xml:space="preserve"> 北京诚和敬投资有限责任公司（合并）</t>
        </is>
      </c>
    </row>
    <row r="142">
      <c r="A142" s="13" t="n"/>
      <c r="B142" s="13" t="n"/>
      <c r="C142" s="13" t="n"/>
      <c r="D142" s="13" t="n"/>
      <c r="E142" s="13" t="n"/>
      <c r="F142" s="13" t="n"/>
      <c r="G142" s="13" t="n"/>
      <c r="H142" s="13" t="n"/>
      <c r="I142" s="13" t="n"/>
      <c r="J142" s="13" t="n"/>
      <c r="K142" s="13" t="n"/>
      <c r="L142" s="13" t="n"/>
      <c r="M142" s="13" t="n"/>
      <c r="N142" s="13" t="n"/>
      <c r="O142" s="13" t="n"/>
      <c r="P142" s="13" t="n"/>
      <c r="Q142" s="13" t="n"/>
      <c r="R142" s="13" t="n"/>
      <c r="S142" s="1103" t="n"/>
      <c r="T142" s="13" t="n"/>
      <c r="U142" s="13" t="n"/>
      <c r="V142" s="13" t="n"/>
      <c r="W142" s="13" t="n"/>
      <c r="X142" s="171" t="n"/>
      <c r="Y142" s="171" t="n"/>
      <c r="Z142" s="13" t="n"/>
      <c r="AA142" s="13" t="n"/>
      <c r="AB142" s="13" t="n"/>
      <c r="AC142" s="13" t="n"/>
      <c r="AD142" s="13" t="n"/>
      <c r="AE142" s="13" t="n"/>
      <c r="AF142" s="13" t="n"/>
      <c r="AG142" s="13" t="n"/>
      <c r="AH142" s="13" t="n"/>
      <c r="AI142" s="13" t="n"/>
      <c r="AJ142" s="13" t="n"/>
      <c r="AK142" s="13" t="n"/>
      <c r="AL142" s="13" t="n"/>
      <c r="AM142" s="13" t="n"/>
      <c r="AN142" s="13" t="n"/>
      <c r="AO142" s="13" t="n"/>
      <c r="AP142" s="13" t="n"/>
      <c r="AQ142" s="13" t="n"/>
      <c r="AR142" s="13" t="n"/>
      <c r="AS142" s="13" t="n"/>
      <c r="AT142" s="13" t="n"/>
      <c r="AU142" s="13" t="n"/>
      <c r="AV142" s="13" t="n"/>
      <c r="AW142" s="13" t="n"/>
      <c r="AX142" s="13" t="n"/>
      <c r="AY142" s="13" t="n"/>
      <c r="AZ142" s="13" t="n"/>
      <c r="BA142" s="13" t="n"/>
      <c r="BB142" s="13" t="n"/>
      <c r="BC142" s="13" t="n"/>
      <c r="BD142" s="13" t="n"/>
      <c r="BE142" s="13" t="n"/>
      <c r="BF142" s="384" t="inlineStr">
        <is>
          <t>G100864</t>
        </is>
      </c>
      <c r="BG142" s="384" t="inlineStr">
        <is>
          <t>西藏中自新能源技术有限公司（合并）</t>
        </is>
      </c>
      <c r="BH142" s="384" t="inlineStr">
        <is>
          <t>E100864G</t>
        </is>
      </c>
      <c r="BI142" s="384" t="inlineStr">
        <is>
          <t xml:space="preserve"> 西藏中自新能源技术有限公司（合并）</t>
        </is>
      </c>
    </row>
    <row r="143">
      <c r="A143" s="13" t="n"/>
      <c r="B143" s="13" t="n"/>
      <c r="C143" s="13" t="n"/>
      <c r="D143" s="13" t="n"/>
      <c r="E143" s="13" t="n"/>
      <c r="F143" s="13" t="n"/>
      <c r="G143" s="13" t="n"/>
      <c r="H143" s="13" t="n"/>
      <c r="I143" s="13" t="n"/>
      <c r="J143" s="13" t="n"/>
      <c r="K143" s="13" t="n"/>
      <c r="L143" s="13" t="n"/>
      <c r="M143" s="13" t="n"/>
      <c r="N143" s="13" t="n"/>
      <c r="O143" s="13" t="n"/>
      <c r="P143" s="13" t="n"/>
      <c r="Q143" s="13" t="n"/>
      <c r="R143" s="13" t="n"/>
      <c r="S143" s="1103" t="n"/>
      <c r="T143" s="13" t="n"/>
      <c r="U143" s="13" t="n"/>
      <c r="V143" s="13" t="n"/>
      <c r="W143" s="13" t="n"/>
      <c r="X143" s="171" t="n"/>
      <c r="Y143" s="171" t="n"/>
      <c r="Z143" s="13" t="n"/>
      <c r="AA143" s="13" t="n"/>
      <c r="AB143" s="13" t="n"/>
      <c r="AC143" s="13" t="n"/>
      <c r="AD143" s="13" t="n"/>
      <c r="AE143" s="13" t="n"/>
      <c r="AF143" s="13" t="n"/>
      <c r="AG143" s="13" t="n"/>
      <c r="AH143" s="13" t="n"/>
      <c r="AI143" s="13" t="n"/>
      <c r="AJ143" s="13" t="n"/>
      <c r="AK143" s="13" t="n"/>
      <c r="AL143" s="13" t="n"/>
      <c r="AM143" s="13" t="n"/>
      <c r="AN143" s="13" t="n"/>
      <c r="AO143" s="13" t="n"/>
      <c r="AP143" s="13" t="n"/>
      <c r="AQ143" s="13" t="n"/>
      <c r="AR143" s="13" t="n"/>
      <c r="AS143" s="13" t="n"/>
      <c r="AT143" s="13" t="n"/>
      <c r="AU143" s="13" t="n"/>
      <c r="AV143" s="13" t="n"/>
      <c r="AW143" s="13" t="n"/>
      <c r="AX143" s="13" t="n"/>
      <c r="AY143" s="13" t="n"/>
      <c r="AZ143" s="13" t="n"/>
      <c r="BA143" s="13" t="n"/>
      <c r="BB143" s="13" t="n"/>
      <c r="BC143" s="13" t="n"/>
      <c r="BD143" s="13" t="n"/>
      <c r="BE143" s="13" t="n"/>
      <c r="BF143" s="384" t="inlineStr">
        <is>
          <t>G100881</t>
        </is>
      </c>
      <c r="BG143" s="384" t="inlineStr">
        <is>
          <t>China Solar Power Group Limited（合并）</t>
        </is>
      </c>
      <c r="BH143" s="384" t="inlineStr">
        <is>
          <t>E100881G</t>
        </is>
      </c>
      <c r="BI143" s="384" t="inlineStr">
        <is>
          <t xml:space="preserve"> China Solar Power Group Limited（合并）</t>
        </is>
      </c>
    </row>
    <row r="144">
      <c r="A144" s="13" t="n"/>
      <c r="B144" s="13" t="n"/>
      <c r="C144" s="13" t="n"/>
      <c r="D144" s="13" t="n"/>
      <c r="E144" s="13" t="n"/>
      <c r="F144" s="13" t="n"/>
      <c r="G144" s="13" t="n"/>
      <c r="H144" s="13" t="n"/>
      <c r="I144" s="13" t="n"/>
      <c r="J144" s="13" t="n"/>
      <c r="K144" s="13" t="n"/>
      <c r="L144" s="13" t="n"/>
      <c r="M144" s="13" t="n"/>
      <c r="N144" s="13" t="n"/>
      <c r="O144" s="13" t="n"/>
      <c r="P144" s="13" t="n"/>
      <c r="Q144" s="13" t="n"/>
      <c r="R144" s="13" t="n"/>
      <c r="S144" s="1103" t="n"/>
      <c r="T144" s="13" t="n"/>
      <c r="U144" s="13" t="n"/>
      <c r="V144" s="13" t="n"/>
      <c r="W144" s="13" t="n"/>
      <c r="X144" s="171" t="n"/>
      <c r="Y144" s="171" t="n"/>
      <c r="Z144" s="13" t="n"/>
      <c r="AA144" s="13" t="n"/>
      <c r="AB144" s="13" t="n"/>
      <c r="AC144" s="13" t="n"/>
      <c r="AD144" s="13" t="n"/>
      <c r="AE144" s="13" t="n"/>
      <c r="AF144" s="13" t="n"/>
      <c r="AG144" s="13" t="n"/>
      <c r="AH144" s="13" t="n"/>
      <c r="AI144" s="13" t="n"/>
      <c r="AJ144" s="13" t="n"/>
      <c r="AK144" s="13" t="n"/>
      <c r="AL144" s="13" t="n"/>
      <c r="AM144" s="13" t="n"/>
      <c r="AN144" s="13" t="n"/>
      <c r="AO144" s="13" t="n"/>
      <c r="AP144" s="13" t="n"/>
      <c r="AQ144" s="13" t="n"/>
      <c r="AR144" s="13" t="n"/>
      <c r="AS144" s="13" t="n"/>
      <c r="AT144" s="13" t="n"/>
      <c r="AU144" s="13" t="n"/>
      <c r="AV144" s="13" t="n"/>
      <c r="AW144" s="13" t="n"/>
      <c r="AX144" s="13" t="n"/>
      <c r="AY144" s="13" t="n"/>
      <c r="AZ144" s="13" t="n"/>
      <c r="BA144" s="13" t="n"/>
      <c r="BB144" s="13" t="n"/>
      <c r="BC144" s="13" t="n"/>
      <c r="BD144" s="13" t="n"/>
      <c r="BE144" s="13" t="n"/>
      <c r="BF144" s="384" t="inlineStr">
        <is>
          <t>G100882</t>
        </is>
      </c>
      <c r="BG144" s="384" t="inlineStr">
        <is>
          <t>China Technology New Energy Limited（合并）</t>
        </is>
      </c>
      <c r="BH144" s="384" t="inlineStr">
        <is>
          <t>E100882G</t>
        </is>
      </c>
      <c r="BI144" s="384" t="inlineStr">
        <is>
          <t xml:space="preserve"> China Technology New Energy Limited（合并）</t>
        </is>
      </c>
    </row>
    <row r="145">
      <c r="A145" s="13" t="n"/>
      <c r="B145" s="13" t="n"/>
      <c r="C145" s="13" t="n"/>
      <c r="D145" s="13" t="n"/>
      <c r="E145" s="13" t="n"/>
      <c r="F145" s="13" t="n"/>
      <c r="G145" s="13" t="n"/>
      <c r="H145" s="13" t="n"/>
      <c r="I145" s="13" t="n"/>
      <c r="J145" s="13" t="n"/>
      <c r="K145" s="13" t="n"/>
      <c r="L145" s="13" t="n"/>
      <c r="M145" s="13" t="n"/>
      <c r="N145" s="13" t="n"/>
      <c r="O145" s="13" t="n"/>
      <c r="P145" s="13" t="n"/>
      <c r="Q145" s="13" t="n"/>
      <c r="R145" s="13" t="n"/>
      <c r="S145" s="1103" t="n"/>
      <c r="T145" s="13" t="n"/>
      <c r="U145" s="13" t="n"/>
      <c r="V145" s="13" t="n"/>
      <c r="W145" s="13" t="n"/>
      <c r="X145" s="171" t="n"/>
      <c r="Y145" s="171" t="n"/>
      <c r="Z145" s="13" t="n"/>
      <c r="AA145" s="13" t="n"/>
      <c r="AB145" s="13" t="n"/>
      <c r="AC145" s="13" t="n"/>
      <c r="AD145" s="13" t="n"/>
      <c r="AE145" s="13" t="n"/>
      <c r="AF145" s="13" t="n"/>
      <c r="AG145" s="13" t="n"/>
      <c r="AH145" s="13" t="n"/>
      <c r="AI145" s="13" t="n"/>
      <c r="AJ145" s="13" t="n"/>
      <c r="AK145" s="13" t="n"/>
      <c r="AL145" s="13" t="n"/>
      <c r="AM145" s="13" t="n"/>
      <c r="AN145" s="13" t="n"/>
      <c r="AO145" s="13" t="n"/>
      <c r="AP145" s="13" t="n"/>
      <c r="AQ145" s="13" t="n"/>
      <c r="AR145" s="13" t="n"/>
      <c r="AS145" s="13" t="n"/>
      <c r="AT145" s="13" t="n"/>
      <c r="AU145" s="13" t="n"/>
      <c r="AV145" s="13" t="n"/>
      <c r="AW145" s="13" t="n"/>
      <c r="AX145" s="13" t="n"/>
      <c r="AY145" s="13" t="n"/>
      <c r="AZ145" s="13" t="n"/>
      <c r="BA145" s="13" t="n"/>
      <c r="BB145" s="13" t="n"/>
      <c r="BC145" s="13" t="n"/>
      <c r="BD145" s="13" t="n"/>
      <c r="BE145" s="13" t="n"/>
      <c r="BF145" s="384" t="inlineStr">
        <is>
          <t>G100883</t>
        </is>
      </c>
      <c r="BG145" s="384" t="inlineStr">
        <is>
          <t>Beijing Energy International Investment Limited（合并）</t>
        </is>
      </c>
      <c r="BH145" s="384" t="inlineStr">
        <is>
          <t>E100883G</t>
        </is>
      </c>
      <c r="BI145" s="384" t="inlineStr">
        <is>
          <t xml:space="preserve"> Beijing Energy International Investment Limited（合并）</t>
        </is>
      </c>
    </row>
    <row r="146">
      <c r="A146" s="13" t="n"/>
      <c r="B146" s="13" t="n"/>
      <c r="C146" s="13" t="n"/>
      <c r="D146" s="13" t="n"/>
      <c r="E146" s="13" t="n"/>
      <c r="F146" s="13" t="n"/>
      <c r="G146" s="13" t="n"/>
      <c r="H146" s="13" t="n"/>
      <c r="I146" s="13" t="n"/>
      <c r="J146" s="13" t="n"/>
      <c r="K146" s="13" t="n"/>
      <c r="L146" s="13" t="n"/>
      <c r="M146" s="13" t="n"/>
      <c r="N146" s="13" t="n"/>
      <c r="O146" s="13" t="n"/>
      <c r="P146" s="13" t="n"/>
      <c r="Q146" s="13" t="n"/>
      <c r="R146" s="13" t="n"/>
      <c r="S146" s="1103" t="n"/>
      <c r="T146" s="13" t="n"/>
      <c r="U146" s="13" t="n"/>
      <c r="V146" s="13" t="n"/>
      <c r="W146" s="13" t="n"/>
      <c r="X146" s="171" t="n"/>
      <c r="Y146" s="171" t="n"/>
      <c r="Z146" s="13" t="n"/>
      <c r="AA146" s="13" t="n"/>
      <c r="AB146" s="13" t="n"/>
      <c r="AC146" s="13" t="n"/>
      <c r="AD146" s="13" t="n"/>
      <c r="AE146" s="13" t="n"/>
      <c r="AF146" s="13" t="n"/>
      <c r="AG146" s="13" t="n"/>
      <c r="AH146" s="13" t="n"/>
      <c r="AI146" s="13" t="n"/>
      <c r="AJ146" s="13" t="n"/>
      <c r="AK146" s="13" t="n"/>
      <c r="AL146" s="13" t="n"/>
      <c r="AM146" s="13" t="n"/>
      <c r="AN146" s="13" t="n"/>
      <c r="AO146" s="13" t="n"/>
      <c r="AP146" s="13" t="n"/>
      <c r="AQ146" s="13" t="n"/>
      <c r="AR146" s="13" t="n"/>
      <c r="AS146" s="13" t="n"/>
      <c r="AT146" s="13" t="n"/>
      <c r="AU146" s="13" t="n"/>
      <c r="AV146" s="13" t="n"/>
      <c r="AW146" s="13" t="n"/>
      <c r="AX146" s="13" t="n"/>
      <c r="AY146" s="13" t="n"/>
      <c r="AZ146" s="13" t="n"/>
      <c r="BA146" s="13" t="n"/>
      <c r="BB146" s="13" t="n"/>
      <c r="BC146" s="13" t="n"/>
      <c r="BD146" s="13" t="n"/>
      <c r="BE146" s="13" t="n"/>
      <c r="BF146" s="384" t="inlineStr">
        <is>
          <t>G100889</t>
        </is>
      </c>
      <c r="BG146" s="384" t="inlineStr">
        <is>
          <t>京能（德城区）新能源科技有限公司（合并）</t>
        </is>
      </c>
      <c r="BH146" s="384" t="inlineStr">
        <is>
          <t>E100889G</t>
        </is>
      </c>
      <c r="BI146" s="384" t="inlineStr">
        <is>
          <t xml:space="preserve"> 京能（德城区）新能源科技有限公司（合并）</t>
        </is>
      </c>
    </row>
    <row r="147">
      <c r="A147" s="13" t="n"/>
      <c r="B147" s="13" t="n"/>
      <c r="C147" s="13" t="n"/>
      <c r="D147" s="13" t="n"/>
      <c r="E147" s="13" t="n"/>
      <c r="F147" s="13" t="n"/>
      <c r="G147" s="13" t="n"/>
      <c r="H147" s="13" t="n"/>
      <c r="I147" s="13" t="n"/>
      <c r="J147" s="13" t="n"/>
      <c r="K147" s="13" t="n"/>
      <c r="L147" s="13" t="n"/>
      <c r="M147" s="13" t="n"/>
      <c r="N147" s="13" t="n"/>
      <c r="O147" s="13" t="n"/>
      <c r="P147" s="13" t="n"/>
      <c r="Q147" s="13" t="n"/>
      <c r="R147" s="13" t="n"/>
      <c r="S147" s="1103" t="n"/>
      <c r="T147" s="13" t="n"/>
      <c r="U147" s="13" t="n"/>
      <c r="V147" s="13" t="n"/>
      <c r="W147" s="13" t="n"/>
      <c r="X147" s="171" t="n"/>
      <c r="Y147" s="171" t="n"/>
      <c r="Z147" s="13" t="n"/>
      <c r="AA147" s="13" t="n"/>
      <c r="AB147" s="13" t="n"/>
      <c r="AC147" s="13" t="n"/>
      <c r="AD147" s="13" t="n"/>
      <c r="AE147" s="13" t="n"/>
      <c r="AF147" s="13" t="n"/>
      <c r="AG147" s="13" t="n"/>
      <c r="AH147" s="13" t="n"/>
      <c r="AI147" s="13" t="n"/>
      <c r="AJ147" s="13" t="n"/>
      <c r="AK147" s="13" t="n"/>
      <c r="AL147" s="13" t="n"/>
      <c r="AM147" s="13" t="n"/>
      <c r="AN147" s="13" t="n"/>
      <c r="AO147" s="13" t="n"/>
      <c r="AP147" s="13" t="n"/>
      <c r="AQ147" s="13" t="n"/>
      <c r="AR147" s="13" t="n"/>
      <c r="AS147" s="13" t="n"/>
      <c r="AT147" s="13" t="n"/>
      <c r="AU147" s="13" t="n"/>
      <c r="AV147" s="13" t="n"/>
      <c r="AW147" s="13" t="n"/>
      <c r="AX147" s="13" t="n"/>
      <c r="AY147" s="13" t="n"/>
      <c r="AZ147" s="13" t="n"/>
      <c r="BA147" s="13" t="n"/>
      <c r="BB147" s="13" t="n"/>
      <c r="BC147" s="13" t="n"/>
      <c r="BD147" s="13" t="n"/>
      <c r="BE147" s="13" t="n"/>
      <c r="BF147" s="384" t="inlineStr">
        <is>
          <t>G100902</t>
        </is>
      </c>
      <c r="BG147" s="384" t="inlineStr">
        <is>
          <t>张家口丝绸之路新能源有限公司（合并）</t>
        </is>
      </c>
      <c r="BH147" s="384" t="inlineStr">
        <is>
          <t>E100902G</t>
        </is>
      </c>
      <c r="BI147" s="384" t="inlineStr">
        <is>
          <t xml:space="preserve"> 张家口丝绸之路新能源有限公司（合并）</t>
        </is>
      </c>
    </row>
    <row r="148">
      <c r="A148" s="13" t="n"/>
      <c r="B148" s="13" t="n"/>
      <c r="C148" s="13" t="n"/>
      <c r="D148" s="13" t="n"/>
      <c r="E148" s="13" t="n"/>
      <c r="F148" s="13" t="n"/>
      <c r="G148" s="13" t="n"/>
      <c r="H148" s="13" t="n"/>
      <c r="I148" s="13" t="n"/>
      <c r="J148" s="13" t="n"/>
      <c r="K148" s="13" t="n"/>
      <c r="L148" s="13" t="n"/>
      <c r="M148" s="13" t="n"/>
      <c r="N148" s="13" t="n"/>
      <c r="O148" s="13" t="n"/>
      <c r="P148" s="13" t="n"/>
      <c r="Q148" s="13" t="n"/>
      <c r="R148" s="13" t="n"/>
      <c r="S148" s="1103" t="n"/>
      <c r="T148" s="13" t="n"/>
      <c r="U148" s="13" t="n"/>
      <c r="V148" s="13" t="n"/>
      <c r="W148" s="13" t="n"/>
      <c r="X148" s="171" t="n"/>
      <c r="Y148" s="171" t="n"/>
      <c r="Z148" s="13" t="n"/>
      <c r="AA148" s="13" t="n"/>
      <c r="AB148" s="13" t="n"/>
      <c r="AC148" s="13" t="n"/>
      <c r="AD148" s="13" t="n"/>
      <c r="AE148" s="13" t="n"/>
      <c r="AF148" s="13" t="n"/>
      <c r="AG148" s="13" t="n"/>
      <c r="AH148" s="13" t="n"/>
      <c r="AI148" s="13" t="n"/>
      <c r="AJ148" s="13" t="n"/>
      <c r="AK148" s="13" t="n"/>
      <c r="AL148" s="13" t="n"/>
      <c r="AM148" s="13" t="n"/>
      <c r="AN148" s="13" t="n"/>
      <c r="AO148" s="13" t="n"/>
      <c r="AP148" s="13" t="n"/>
      <c r="AQ148" s="13" t="n"/>
      <c r="AR148" s="13" t="n"/>
      <c r="AS148" s="13" t="n"/>
      <c r="AT148" s="13" t="n"/>
      <c r="AU148" s="13" t="n"/>
      <c r="AV148" s="13" t="n"/>
      <c r="AW148" s="13" t="n"/>
      <c r="AX148" s="13" t="n"/>
      <c r="AY148" s="13" t="n"/>
      <c r="AZ148" s="13" t="n"/>
      <c r="BA148" s="13" t="n"/>
      <c r="BB148" s="13" t="n"/>
      <c r="BC148" s="13" t="n"/>
      <c r="BD148" s="13" t="n"/>
      <c r="BE148" s="13" t="n"/>
      <c r="BF148" s="384" t="inlineStr">
        <is>
          <t>G100908</t>
        </is>
      </c>
      <c r="BG148" s="384" t="inlineStr">
        <is>
          <t>北京通力日昇新能源科技有限公司（合并）</t>
        </is>
      </c>
      <c r="BH148" s="384" t="inlineStr">
        <is>
          <t>E100908G</t>
        </is>
      </c>
      <c r="BI148" s="384" t="inlineStr">
        <is>
          <t xml:space="preserve"> 北京通力日昇新能源科技有限公司（合并）</t>
        </is>
      </c>
    </row>
    <row r="149">
      <c r="A149" s="13" t="n"/>
      <c r="B149" s="13" t="n"/>
      <c r="C149" s="13" t="n"/>
      <c r="D149" s="13" t="n"/>
      <c r="E149" s="13" t="n"/>
      <c r="F149" s="13" t="n"/>
      <c r="G149" s="13" t="n"/>
      <c r="H149" s="13" t="n"/>
      <c r="I149" s="13" t="n"/>
      <c r="J149" s="13" t="n"/>
      <c r="K149" s="13" t="n"/>
      <c r="L149" s="13" t="n"/>
      <c r="M149" s="13" t="n"/>
      <c r="N149" s="13" t="n"/>
      <c r="O149" s="13" t="n"/>
      <c r="P149" s="13" t="n"/>
      <c r="Q149" s="13" t="n"/>
      <c r="R149" s="13" t="n"/>
      <c r="S149" s="1103" t="n"/>
      <c r="T149" s="13" t="n"/>
      <c r="U149" s="13" t="n"/>
      <c r="V149" s="13" t="n"/>
      <c r="W149" s="13" t="n"/>
      <c r="X149" s="171" t="n"/>
      <c r="Y149" s="171" t="n"/>
      <c r="Z149" s="13" t="n"/>
      <c r="AA149" s="13" t="n"/>
      <c r="AB149" s="13" t="n"/>
      <c r="AC149" s="13" t="n"/>
      <c r="AD149" s="13" t="n"/>
      <c r="AE149" s="13" t="n"/>
      <c r="AF149" s="13" t="n"/>
      <c r="AG149" s="13" t="n"/>
      <c r="AH149" s="13" t="n"/>
      <c r="AI149" s="13" t="n"/>
      <c r="AJ149" s="13" t="n"/>
      <c r="AK149" s="13" t="n"/>
      <c r="AL149" s="13" t="n"/>
      <c r="AM149" s="13" t="n"/>
      <c r="AN149" s="13" t="n"/>
      <c r="AO149" s="13" t="n"/>
      <c r="AP149" s="13" t="n"/>
      <c r="AQ149" s="13" t="n"/>
      <c r="AR149" s="13" t="n"/>
      <c r="AS149" s="13" t="n"/>
      <c r="AT149" s="13" t="n"/>
      <c r="AU149" s="13" t="n"/>
      <c r="AV149" s="13" t="n"/>
      <c r="AW149" s="13" t="n"/>
      <c r="AX149" s="13" t="n"/>
      <c r="AY149" s="13" t="n"/>
      <c r="AZ149" s="13" t="n"/>
      <c r="BA149" s="13" t="n"/>
      <c r="BB149" s="13" t="n"/>
      <c r="BC149" s="13" t="n"/>
      <c r="BD149" s="13" t="n"/>
      <c r="BE149" s="13" t="n"/>
      <c r="BF149" s="384" t="inlineStr">
        <is>
          <t>G100909</t>
        </is>
      </c>
      <c r="BG149" s="384" t="inlineStr">
        <is>
          <t>六安华钦新能源有限公司（合并）</t>
        </is>
      </c>
      <c r="BH149" s="384" t="inlineStr">
        <is>
          <t>E100909G</t>
        </is>
      </c>
      <c r="BI149" s="384" t="inlineStr">
        <is>
          <t xml:space="preserve"> 六安华钦新能源有限公司（合并）</t>
        </is>
      </c>
    </row>
    <row r="150">
      <c r="A150" s="13" t="n"/>
      <c r="B150" s="13" t="n"/>
      <c r="C150" s="13" t="n"/>
      <c r="D150" s="13" t="n"/>
      <c r="E150" s="13" t="n"/>
      <c r="F150" s="13" t="n"/>
      <c r="G150" s="13" t="n"/>
      <c r="H150" s="13" t="n"/>
      <c r="I150" s="13" t="n"/>
      <c r="J150" s="13" t="n"/>
      <c r="K150" s="13" t="n"/>
      <c r="L150" s="13" t="n"/>
      <c r="M150" s="13" t="n"/>
      <c r="N150" s="13" t="n"/>
      <c r="O150" s="13" t="n"/>
      <c r="P150" s="13" t="n"/>
      <c r="Q150" s="13" t="n"/>
      <c r="R150" s="13" t="n"/>
      <c r="S150" s="1103" t="n"/>
      <c r="T150" s="13" t="n"/>
      <c r="U150" s="13" t="n"/>
      <c r="V150" s="13" t="n"/>
      <c r="W150" s="13" t="n"/>
      <c r="X150" s="171" t="n"/>
      <c r="Y150" s="171" t="n"/>
      <c r="Z150" s="13" t="n"/>
      <c r="AA150" s="13" t="n"/>
      <c r="AB150" s="13" t="n"/>
      <c r="AC150" s="13" t="n"/>
      <c r="AD150" s="13" t="n"/>
      <c r="AE150" s="13" t="n"/>
      <c r="AF150" s="13" t="n"/>
      <c r="AG150" s="13" t="n"/>
      <c r="AH150" s="13" t="n"/>
      <c r="AI150" s="13" t="n"/>
      <c r="AJ150" s="13" t="n"/>
      <c r="AK150" s="13" t="n"/>
      <c r="AL150" s="13" t="n"/>
      <c r="AM150" s="13" t="n"/>
      <c r="AN150" s="13" t="n"/>
      <c r="AO150" s="13" t="n"/>
      <c r="AP150" s="13" t="n"/>
      <c r="AQ150" s="13" t="n"/>
      <c r="AR150" s="13" t="n"/>
      <c r="AS150" s="13" t="n"/>
      <c r="AT150" s="13" t="n"/>
      <c r="AU150" s="13" t="n"/>
      <c r="AV150" s="13" t="n"/>
      <c r="AW150" s="13" t="n"/>
      <c r="AX150" s="13" t="n"/>
      <c r="AY150" s="13" t="n"/>
      <c r="AZ150" s="13" t="n"/>
      <c r="BA150" s="13" t="n"/>
      <c r="BB150" s="13" t="n"/>
      <c r="BC150" s="13" t="n"/>
      <c r="BD150" s="13" t="n"/>
      <c r="BE150" s="13" t="n"/>
      <c r="BF150" s="384" t="inlineStr">
        <is>
          <t>G100919</t>
        </is>
      </c>
      <c r="BG150" s="384" t="inlineStr">
        <is>
          <t>五莲县鹏光新能源有限公司（合并）</t>
        </is>
      </c>
      <c r="BH150" s="384" t="inlineStr">
        <is>
          <t>E100919G</t>
        </is>
      </c>
      <c r="BI150" s="384" t="inlineStr">
        <is>
          <t xml:space="preserve"> 五莲县鹏光新能源有限公司（合并）</t>
        </is>
      </c>
    </row>
    <row r="151">
      <c r="A151" s="13" t="n"/>
      <c r="B151" s="13" t="n"/>
      <c r="C151" s="13" t="n"/>
      <c r="D151" s="13" t="n"/>
      <c r="E151" s="13" t="n"/>
      <c r="F151" s="13" t="n"/>
      <c r="G151" s="13" t="n"/>
      <c r="H151" s="13" t="n"/>
      <c r="I151" s="13" t="n"/>
      <c r="J151" s="13" t="n"/>
      <c r="K151" s="13" t="n"/>
      <c r="L151" s="13" t="n"/>
      <c r="M151" s="13" t="n"/>
      <c r="N151" s="13" t="n"/>
      <c r="O151" s="13" t="n"/>
      <c r="P151" s="13" t="n"/>
      <c r="Q151" s="13" t="n"/>
      <c r="R151" s="13" t="n"/>
      <c r="S151" s="1103" t="n"/>
      <c r="T151" s="13" t="n"/>
      <c r="U151" s="13" t="n"/>
      <c r="V151" s="13" t="n"/>
      <c r="W151" s="13" t="n"/>
      <c r="X151" s="171" t="n"/>
      <c r="Y151" s="171" t="n"/>
      <c r="Z151" s="13" t="n"/>
      <c r="AA151" s="13" t="n"/>
      <c r="AB151" s="13" t="n"/>
      <c r="AC151" s="13" t="n"/>
      <c r="AD151" s="13" t="n"/>
      <c r="AE151" s="13" t="n"/>
      <c r="AF151" s="13" t="n"/>
      <c r="AG151" s="13" t="n"/>
      <c r="AH151" s="13" t="n"/>
      <c r="AI151" s="13" t="n"/>
      <c r="AJ151" s="13" t="n"/>
      <c r="AK151" s="13" t="n"/>
      <c r="AL151" s="13" t="n"/>
      <c r="AM151" s="13" t="n"/>
      <c r="AN151" s="13" t="n"/>
      <c r="AO151" s="13" t="n"/>
      <c r="AP151" s="13" t="n"/>
      <c r="AQ151" s="13" t="n"/>
      <c r="AR151" s="13" t="n"/>
      <c r="AS151" s="13" t="n"/>
      <c r="AT151" s="13" t="n"/>
      <c r="AU151" s="13" t="n"/>
      <c r="AV151" s="13" t="n"/>
      <c r="AW151" s="13" t="n"/>
      <c r="AX151" s="13" t="n"/>
      <c r="AY151" s="13" t="n"/>
      <c r="AZ151" s="13" t="n"/>
      <c r="BA151" s="13" t="n"/>
      <c r="BB151" s="13" t="n"/>
      <c r="BC151" s="13" t="n"/>
      <c r="BD151" s="13" t="n"/>
      <c r="BE151" s="13" t="n"/>
      <c r="BF151" s="384" t="inlineStr">
        <is>
          <t>G100932</t>
        </is>
      </c>
      <c r="BG151" s="384" t="inlineStr">
        <is>
          <t>青海思迅新能源有限公司（合并）</t>
        </is>
      </c>
      <c r="BH151" s="384" t="inlineStr">
        <is>
          <t>E100932G</t>
        </is>
      </c>
      <c r="BI151" s="384" t="inlineStr">
        <is>
          <t xml:space="preserve"> 青海思迅新能源有限公司（合并）</t>
        </is>
      </c>
    </row>
    <row r="152">
      <c r="A152" s="13" t="n"/>
      <c r="B152" s="13" t="n"/>
      <c r="C152" s="13" t="n"/>
      <c r="D152" s="13" t="n"/>
      <c r="E152" s="13" t="n"/>
      <c r="F152" s="13" t="n"/>
      <c r="G152" s="13" t="n"/>
      <c r="H152" s="13" t="n"/>
      <c r="I152" s="13" t="n"/>
      <c r="J152" s="13" t="n"/>
      <c r="K152" s="13" t="n"/>
      <c r="L152" s="13" t="n"/>
      <c r="M152" s="13" t="n"/>
      <c r="N152" s="13" t="n"/>
      <c r="O152" s="13" t="n"/>
      <c r="P152" s="13" t="n"/>
      <c r="Q152" s="13" t="n"/>
      <c r="R152" s="13" t="n"/>
      <c r="S152" s="1103" t="n"/>
      <c r="T152" s="13" t="n"/>
      <c r="U152" s="13" t="n"/>
      <c r="V152" s="13" t="n"/>
      <c r="W152" s="13" t="n"/>
      <c r="X152" s="171" t="n"/>
      <c r="Y152" s="171" t="n"/>
      <c r="Z152" s="13" t="n"/>
      <c r="AA152" s="13" t="n"/>
      <c r="AB152" s="13" t="n"/>
      <c r="AC152" s="13" t="n"/>
      <c r="AD152" s="13" t="n"/>
      <c r="AE152" s="13" t="n"/>
      <c r="AF152" s="13" t="n"/>
      <c r="AG152" s="13" t="n"/>
      <c r="AH152" s="13" t="n"/>
      <c r="AI152" s="13" t="n"/>
      <c r="AJ152" s="13" t="n"/>
      <c r="AK152" s="13" t="n"/>
      <c r="AL152" s="13" t="n"/>
      <c r="AM152" s="13" t="n"/>
      <c r="AN152" s="13" t="n"/>
      <c r="AO152" s="13" t="n"/>
      <c r="AP152" s="13" t="n"/>
      <c r="AQ152" s="13" t="n"/>
      <c r="AR152" s="13" t="n"/>
      <c r="AS152" s="13" t="n"/>
      <c r="AT152" s="13" t="n"/>
      <c r="AU152" s="13" t="n"/>
      <c r="AV152" s="13" t="n"/>
      <c r="AW152" s="13" t="n"/>
      <c r="AX152" s="13" t="n"/>
      <c r="AY152" s="13" t="n"/>
      <c r="AZ152" s="13" t="n"/>
      <c r="BA152" s="13" t="n"/>
      <c r="BB152" s="13" t="n"/>
      <c r="BC152" s="13" t="n"/>
      <c r="BD152" s="13" t="n"/>
      <c r="BE152" s="13" t="n"/>
      <c r="BF152" s="384" t="inlineStr">
        <is>
          <t>G100944</t>
        </is>
      </c>
      <c r="BG152" s="384" t="inlineStr">
        <is>
          <t>招新诺能（常州）新能源有限公司（合并）</t>
        </is>
      </c>
      <c r="BH152" s="384" t="inlineStr">
        <is>
          <t>E100944G</t>
        </is>
      </c>
      <c r="BI152" s="384" t="inlineStr">
        <is>
          <t xml:space="preserve"> 招新诺能（常州）新能源有限公司（合并）</t>
        </is>
      </c>
    </row>
    <row r="153">
      <c r="A153" s="13" t="n"/>
      <c r="B153" s="13" t="n"/>
      <c r="C153" s="13" t="n"/>
      <c r="D153" s="13" t="n"/>
      <c r="E153" s="13" t="n"/>
      <c r="F153" s="13" t="n"/>
      <c r="G153" s="13" t="n"/>
      <c r="H153" s="13" t="n"/>
      <c r="I153" s="13" t="n"/>
      <c r="J153" s="13" t="n"/>
      <c r="K153" s="13" t="n"/>
      <c r="L153" s="13" t="n"/>
      <c r="M153" s="13" t="n"/>
      <c r="N153" s="13" t="n"/>
      <c r="O153" s="13" t="n"/>
      <c r="P153" s="13" t="n"/>
      <c r="Q153" s="13" t="n"/>
      <c r="R153" s="13" t="n"/>
      <c r="S153" s="1103" t="n"/>
      <c r="T153" s="13" t="n"/>
      <c r="U153" s="13" t="n"/>
      <c r="V153" s="13" t="n"/>
      <c r="W153" s="13" t="n"/>
      <c r="X153" s="171" t="n"/>
      <c r="Y153" s="171" t="n"/>
      <c r="Z153" s="13" t="n"/>
      <c r="AA153" s="13" t="n"/>
      <c r="AB153" s="13" t="n"/>
      <c r="AC153" s="13" t="n"/>
      <c r="AD153" s="13" t="n"/>
      <c r="AE153" s="13" t="n"/>
      <c r="AF153" s="13" t="n"/>
      <c r="AG153" s="13" t="n"/>
      <c r="AH153" s="13" t="n"/>
      <c r="AI153" s="13" t="n"/>
      <c r="AJ153" s="13" t="n"/>
      <c r="AK153" s="13" t="n"/>
      <c r="AL153" s="13" t="n"/>
      <c r="AM153" s="13" t="n"/>
      <c r="AN153" s="13" t="n"/>
      <c r="AO153" s="13" t="n"/>
      <c r="AP153" s="13" t="n"/>
      <c r="AQ153" s="13" t="n"/>
      <c r="AR153" s="13" t="n"/>
      <c r="AS153" s="13" t="n"/>
      <c r="AT153" s="13" t="n"/>
      <c r="AU153" s="13" t="n"/>
      <c r="AV153" s="13" t="n"/>
      <c r="AW153" s="13" t="n"/>
      <c r="AX153" s="13" t="n"/>
      <c r="AY153" s="13" t="n"/>
      <c r="AZ153" s="13" t="n"/>
      <c r="BA153" s="13" t="n"/>
      <c r="BB153" s="13" t="n"/>
      <c r="BC153" s="13" t="n"/>
      <c r="BD153" s="13" t="n"/>
      <c r="BE153" s="13" t="n"/>
      <c r="BF153" s="384" t="inlineStr">
        <is>
          <t>G100949</t>
        </is>
      </c>
      <c r="BG153" s="384" t="inlineStr">
        <is>
          <t>常州晋合新能源有限公司（合并）</t>
        </is>
      </c>
      <c r="BH153" s="384" t="inlineStr">
        <is>
          <t>E100949G</t>
        </is>
      </c>
      <c r="BI153" s="384" t="inlineStr">
        <is>
          <t xml:space="preserve"> 常州晋合新能源有限公司（合并）</t>
        </is>
      </c>
    </row>
    <row r="154">
      <c r="A154" s="13" t="n"/>
      <c r="B154" s="13" t="n"/>
      <c r="C154" s="13" t="n"/>
      <c r="D154" s="13" t="n"/>
      <c r="E154" s="13" t="n"/>
      <c r="F154" s="13" t="n"/>
      <c r="G154" s="13" t="n"/>
      <c r="H154" s="13" t="n"/>
      <c r="I154" s="13" t="n"/>
      <c r="J154" s="13" t="n"/>
      <c r="K154" s="13" t="n"/>
      <c r="L154" s="13" t="n"/>
      <c r="M154" s="13" t="n"/>
      <c r="N154" s="13" t="n"/>
      <c r="O154" s="13" t="n"/>
      <c r="P154" s="13" t="n"/>
      <c r="Q154" s="13" t="n"/>
      <c r="R154" s="13" t="n"/>
      <c r="S154" s="1103" t="n"/>
      <c r="T154" s="13" t="n"/>
      <c r="U154" s="13" t="n"/>
      <c r="V154" s="13" t="n"/>
      <c r="W154" s="13" t="n"/>
      <c r="X154" s="171" t="n"/>
      <c r="Y154" s="171" t="n"/>
      <c r="Z154" s="13" t="n"/>
      <c r="AA154" s="13" t="n"/>
      <c r="AB154" s="13" t="n"/>
      <c r="AC154" s="13" t="n"/>
      <c r="AD154" s="13" t="n"/>
      <c r="AE154" s="13" t="n"/>
      <c r="AF154" s="13" t="n"/>
      <c r="AG154" s="13" t="n"/>
      <c r="AH154" s="13" t="n"/>
      <c r="AI154" s="13" t="n"/>
      <c r="AJ154" s="13" t="n"/>
      <c r="AK154" s="13" t="n"/>
      <c r="AL154" s="13" t="n"/>
      <c r="AM154" s="13" t="n"/>
      <c r="AN154" s="13" t="n"/>
      <c r="AO154" s="13" t="n"/>
      <c r="AP154" s="13" t="n"/>
      <c r="AQ154" s="13" t="n"/>
      <c r="AR154" s="13" t="n"/>
      <c r="AS154" s="13" t="n"/>
      <c r="AT154" s="13" t="n"/>
      <c r="AU154" s="13" t="n"/>
      <c r="AV154" s="13" t="n"/>
      <c r="AW154" s="13" t="n"/>
      <c r="AX154" s="13" t="n"/>
      <c r="AY154" s="13" t="n"/>
      <c r="AZ154" s="13" t="n"/>
      <c r="BA154" s="13" t="n"/>
      <c r="BB154" s="13" t="n"/>
      <c r="BC154" s="13" t="n"/>
      <c r="BD154" s="13" t="n"/>
      <c r="BE154" s="13" t="n"/>
      <c r="BF154" s="384" t="inlineStr">
        <is>
          <t>G100950</t>
        </is>
      </c>
      <c r="BG154" s="384" t="inlineStr">
        <is>
          <t>内蒙古明华新能源股份有限公司（合并）</t>
        </is>
      </c>
      <c r="BH154" s="384" t="inlineStr">
        <is>
          <t>E100950G</t>
        </is>
      </c>
      <c r="BI154" s="384" t="inlineStr">
        <is>
          <t xml:space="preserve"> 内蒙古明华新能源股份有限公司（合并）</t>
        </is>
      </c>
    </row>
    <row r="155">
      <c r="A155" s="13" t="n"/>
      <c r="B155" s="13" t="n"/>
      <c r="C155" s="13" t="n"/>
      <c r="D155" s="13" t="n"/>
      <c r="E155" s="13" t="n"/>
      <c r="F155" s="13" t="n"/>
      <c r="G155" s="13" t="n"/>
      <c r="H155" s="13" t="n"/>
      <c r="I155" s="13" t="n"/>
      <c r="J155" s="13" t="n"/>
      <c r="K155" s="13" t="n"/>
      <c r="L155" s="13" t="n"/>
      <c r="M155" s="13" t="n"/>
      <c r="N155" s="13" t="n"/>
      <c r="O155" s="13" t="n"/>
      <c r="P155" s="13" t="n"/>
      <c r="Q155" s="13" t="n"/>
      <c r="R155" s="13" t="n"/>
      <c r="S155" s="1103" t="n"/>
      <c r="T155" s="13" t="n"/>
      <c r="U155" s="13" t="n"/>
      <c r="V155" s="13" t="n"/>
      <c r="W155" s="13" t="n"/>
      <c r="X155" s="171" t="n"/>
      <c r="Y155" s="171" t="n"/>
      <c r="Z155" s="13" t="n"/>
      <c r="AA155" s="13" t="n"/>
      <c r="AB155" s="13" t="n"/>
      <c r="AC155" s="13" t="n"/>
      <c r="AD155" s="13" t="n"/>
      <c r="AE155" s="13" t="n"/>
      <c r="AF155" s="13" t="n"/>
      <c r="AG155" s="13" t="n"/>
      <c r="AH155" s="13" t="n"/>
      <c r="AI155" s="13" t="n"/>
      <c r="AJ155" s="13" t="n"/>
      <c r="AK155" s="13" t="n"/>
      <c r="AL155" s="13" t="n"/>
      <c r="AM155" s="13" t="n"/>
      <c r="AN155" s="13" t="n"/>
      <c r="AO155" s="13" t="n"/>
      <c r="AP155" s="13" t="n"/>
      <c r="AQ155" s="13" t="n"/>
      <c r="AR155" s="13" t="n"/>
      <c r="AS155" s="13" t="n"/>
      <c r="AT155" s="13" t="n"/>
      <c r="AU155" s="13" t="n"/>
      <c r="AV155" s="13" t="n"/>
      <c r="AW155" s="13" t="n"/>
      <c r="AX155" s="13" t="n"/>
      <c r="AY155" s="13" t="n"/>
      <c r="AZ155" s="13" t="n"/>
      <c r="BA155" s="13" t="n"/>
      <c r="BB155" s="13" t="n"/>
      <c r="BC155" s="13" t="n"/>
      <c r="BD155" s="13" t="n"/>
      <c r="BE155" s="13" t="n"/>
      <c r="BF155" s="384" t="inlineStr">
        <is>
          <t>G100952</t>
        </is>
      </c>
      <c r="BG155" s="384" t="inlineStr">
        <is>
          <t>呼和浩特市联合新能源开发有限公司（合并）</t>
        </is>
      </c>
      <c r="BH155" s="384" t="inlineStr">
        <is>
          <t>E100952G</t>
        </is>
      </c>
      <c r="BI155" s="384" t="inlineStr">
        <is>
          <t xml:space="preserve"> 呼和浩特市联合新能源开发有限公司（合并）</t>
        </is>
      </c>
    </row>
    <row r="156">
      <c r="A156" s="13" t="n"/>
      <c r="B156" s="13" t="n"/>
      <c r="C156" s="13" t="n"/>
      <c r="D156" s="13" t="n"/>
      <c r="E156" s="13" t="n"/>
      <c r="F156" s="13" t="n"/>
      <c r="G156" s="13" t="n"/>
      <c r="H156" s="13" t="n"/>
      <c r="I156" s="13" t="n"/>
      <c r="J156" s="13" t="n"/>
      <c r="K156" s="13" t="n"/>
      <c r="L156" s="13" t="n"/>
      <c r="M156" s="13" t="n"/>
      <c r="N156" s="13" t="n"/>
      <c r="O156" s="13" t="n"/>
      <c r="P156" s="13" t="n"/>
      <c r="Q156" s="13" t="n"/>
      <c r="R156" s="13" t="n"/>
      <c r="S156" s="1103" t="n"/>
      <c r="T156" s="13" t="n"/>
      <c r="U156" s="13" t="n"/>
      <c r="V156" s="13" t="n"/>
      <c r="W156" s="13" t="n"/>
      <c r="X156" s="171" t="n"/>
      <c r="Y156" s="171" t="n"/>
      <c r="Z156" s="13" t="n"/>
      <c r="AA156" s="13" t="n"/>
      <c r="AB156" s="13" t="n"/>
      <c r="AC156" s="13" t="n"/>
      <c r="AD156" s="13" t="n"/>
      <c r="AE156" s="13" t="n"/>
      <c r="AF156" s="13" t="n"/>
      <c r="AG156" s="13" t="n"/>
      <c r="AH156" s="13" t="n"/>
      <c r="AI156" s="13" t="n"/>
      <c r="AJ156" s="13" t="n"/>
      <c r="AK156" s="13" t="n"/>
      <c r="AL156" s="13" t="n"/>
      <c r="AM156" s="13" t="n"/>
      <c r="AN156" s="13" t="n"/>
      <c r="AO156" s="13" t="n"/>
      <c r="AP156" s="13" t="n"/>
      <c r="AQ156" s="13" t="n"/>
      <c r="AR156" s="13" t="n"/>
      <c r="AS156" s="13" t="n"/>
      <c r="AT156" s="13" t="n"/>
      <c r="AU156" s="13" t="n"/>
      <c r="AV156" s="13" t="n"/>
      <c r="AW156" s="13" t="n"/>
      <c r="AX156" s="13" t="n"/>
      <c r="AY156" s="13" t="n"/>
      <c r="AZ156" s="13" t="n"/>
      <c r="BA156" s="13" t="n"/>
      <c r="BB156" s="13" t="n"/>
      <c r="BC156" s="13" t="n"/>
      <c r="BD156" s="13" t="n"/>
      <c r="BE156" s="13" t="n"/>
      <c r="BF156" s="384" t="inlineStr">
        <is>
          <t>G100955</t>
        </is>
      </c>
      <c r="BG156" s="384" t="inlineStr">
        <is>
          <t>常州鼎晖新能源有限公司（汇总）</t>
        </is>
      </c>
      <c r="BH156" s="384" t="inlineStr">
        <is>
          <t>E100955G</t>
        </is>
      </c>
      <c r="BI156" s="384" t="inlineStr">
        <is>
          <t xml:space="preserve"> 常州鼎晖新能源有限公司（汇总）</t>
        </is>
      </c>
    </row>
    <row r="157">
      <c r="A157" s="13" t="n"/>
      <c r="B157" s="13" t="n"/>
      <c r="C157" s="13" t="n"/>
      <c r="D157" s="13" t="n"/>
      <c r="E157" s="13" t="n"/>
      <c r="F157" s="13" t="n"/>
      <c r="G157" s="13" t="n"/>
      <c r="H157" s="13" t="n"/>
      <c r="I157" s="13" t="n"/>
      <c r="J157" s="13" t="n"/>
      <c r="K157" s="13" t="n"/>
      <c r="L157" s="13" t="n"/>
      <c r="M157" s="13" t="n"/>
      <c r="N157" s="13" t="n"/>
      <c r="O157" s="13" t="n"/>
      <c r="P157" s="13" t="n"/>
      <c r="Q157" s="13" t="n"/>
      <c r="R157" s="13" t="n"/>
      <c r="S157" s="1103" t="n"/>
      <c r="T157" s="13" t="n"/>
      <c r="U157" s="13" t="n"/>
      <c r="V157" s="13" t="n"/>
      <c r="W157" s="13" t="n"/>
      <c r="X157" s="171" t="n"/>
      <c r="Y157" s="171" t="n"/>
      <c r="Z157" s="13" t="n"/>
      <c r="AA157" s="13" t="n"/>
      <c r="AB157" s="13" t="n"/>
      <c r="AC157" s="13" t="n"/>
      <c r="AD157" s="13" t="n"/>
      <c r="AE157" s="13" t="n"/>
      <c r="AF157" s="13" t="n"/>
      <c r="AG157" s="13" t="n"/>
      <c r="AH157" s="13" t="n"/>
      <c r="AI157" s="13" t="n"/>
      <c r="AJ157" s="13" t="n"/>
      <c r="AK157" s="13" t="n"/>
      <c r="AL157" s="13" t="n"/>
      <c r="AM157" s="13" t="n"/>
      <c r="AN157" s="13" t="n"/>
      <c r="AO157" s="13" t="n"/>
      <c r="AP157" s="13" t="n"/>
      <c r="AQ157" s="13" t="n"/>
      <c r="AR157" s="13" t="n"/>
      <c r="AS157" s="13" t="n"/>
      <c r="AT157" s="13" t="n"/>
      <c r="AU157" s="13" t="n"/>
      <c r="AV157" s="13" t="n"/>
      <c r="AW157" s="13" t="n"/>
      <c r="AX157" s="13" t="n"/>
      <c r="AY157" s="13" t="n"/>
      <c r="AZ157" s="13" t="n"/>
      <c r="BA157" s="13" t="n"/>
      <c r="BB157" s="13" t="n"/>
      <c r="BC157" s="13" t="n"/>
      <c r="BD157" s="13" t="n"/>
      <c r="BE157" s="13" t="n"/>
      <c r="BF157" s="384" t="inlineStr">
        <is>
          <t>G100956</t>
        </is>
      </c>
      <c r="BG157" s="384" t="inlineStr">
        <is>
          <t>常州光昱新能源有限公司（汇总）</t>
        </is>
      </c>
      <c r="BH157" s="384" t="inlineStr">
        <is>
          <t>E100956G</t>
        </is>
      </c>
      <c r="BI157" s="384" t="inlineStr">
        <is>
          <t xml:space="preserve"> 常州光昱新能源有限公司（汇总）</t>
        </is>
      </c>
    </row>
    <row r="158">
      <c r="A158" s="13" t="n"/>
      <c r="B158" s="13" t="n"/>
      <c r="C158" s="13" t="n"/>
      <c r="D158" s="13" t="n"/>
      <c r="E158" s="13" t="n"/>
      <c r="F158" s="13" t="n"/>
      <c r="G158" s="13" t="n"/>
      <c r="H158" s="13" t="n"/>
      <c r="I158" s="13" t="n"/>
      <c r="J158" s="13" t="n"/>
      <c r="K158" s="13" t="n"/>
      <c r="L158" s="13" t="n"/>
      <c r="M158" s="13" t="n"/>
      <c r="N158" s="13" t="n"/>
      <c r="O158" s="13" t="n"/>
      <c r="P158" s="13" t="n"/>
      <c r="Q158" s="13" t="n"/>
      <c r="R158" s="13" t="n"/>
      <c r="S158" s="1103" t="n"/>
      <c r="T158" s="13" t="n"/>
      <c r="U158" s="13" t="n"/>
      <c r="V158" s="13" t="n"/>
      <c r="W158" s="13" t="n"/>
      <c r="X158" s="171" t="n"/>
      <c r="Y158" s="171" t="n"/>
      <c r="Z158" s="13" t="n"/>
      <c r="AA158" s="13" t="n"/>
      <c r="AB158" s="13" t="n"/>
      <c r="AC158" s="13" t="n"/>
      <c r="AD158" s="13" t="n"/>
      <c r="AE158" s="13" t="n"/>
      <c r="AF158" s="13" t="n"/>
      <c r="AG158" s="13" t="n"/>
      <c r="AH158" s="13" t="n"/>
      <c r="AI158" s="13" t="n"/>
      <c r="AJ158" s="13" t="n"/>
      <c r="AK158" s="13" t="n"/>
      <c r="AL158" s="13" t="n"/>
      <c r="AM158" s="13" t="n"/>
      <c r="AN158" s="13" t="n"/>
      <c r="AO158" s="13" t="n"/>
      <c r="AP158" s="13" t="n"/>
      <c r="AQ158" s="13" t="n"/>
      <c r="AR158" s="13" t="n"/>
      <c r="AS158" s="13" t="n"/>
      <c r="AT158" s="13" t="n"/>
      <c r="AU158" s="13" t="n"/>
      <c r="AV158" s="13" t="n"/>
      <c r="AW158" s="13" t="n"/>
      <c r="AX158" s="13" t="n"/>
      <c r="AY158" s="13" t="n"/>
      <c r="AZ158" s="13" t="n"/>
      <c r="BA158" s="13" t="n"/>
      <c r="BB158" s="13" t="n"/>
      <c r="BC158" s="13" t="n"/>
      <c r="BD158" s="13" t="n"/>
      <c r="BE158" s="13" t="n"/>
      <c r="BF158" s="384" t="inlineStr">
        <is>
          <t>G100957</t>
        </is>
      </c>
      <c r="BG158" s="384" t="inlineStr">
        <is>
          <t>常州市招联绿达新能源有限公司（合并）</t>
        </is>
      </c>
      <c r="BH158" s="384" t="inlineStr">
        <is>
          <t>E100957G</t>
        </is>
      </c>
      <c r="BI158" s="384" t="inlineStr">
        <is>
          <t xml:space="preserve"> 常州市招联绿达新能源有限公司（合并）</t>
        </is>
      </c>
    </row>
    <row r="159">
      <c r="A159" s="13" t="n"/>
      <c r="B159" s="13" t="n"/>
      <c r="C159" s="13" t="n"/>
      <c r="D159" s="13" t="n"/>
      <c r="E159" s="13" t="n"/>
      <c r="F159" s="13" t="n"/>
      <c r="G159" s="13" t="n"/>
      <c r="H159" s="13" t="n"/>
      <c r="I159" s="13" t="n"/>
      <c r="J159" s="13" t="n"/>
      <c r="K159" s="13" t="n"/>
      <c r="L159" s="13" t="n"/>
      <c r="M159" s="13" t="n"/>
      <c r="N159" s="13" t="n"/>
      <c r="O159" s="13" t="n"/>
      <c r="P159" s="13" t="n"/>
      <c r="Q159" s="13" t="n"/>
      <c r="R159" s="13" t="n"/>
      <c r="S159" s="1103" t="n"/>
      <c r="T159" s="13" t="n"/>
      <c r="U159" s="13" t="n"/>
      <c r="V159" s="13" t="n"/>
      <c r="W159" s="13" t="n"/>
      <c r="X159" s="171" t="n"/>
      <c r="Y159" s="171" t="n"/>
      <c r="Z159" s="13" t="n"/>
      <c r="AA159" s="13" t="n"/>
      <c r="AB159" s="13" t="n"/>
      <c r="AC159" s="13" t="n"/>
      <c r="AD159" s="13" t="n"/>
      <c r="AE159" s="13" t="n"/>
      <c r="AF159" s="13" t="n"/>
      <c r="AG159" s="13" t="n"/>
      <c r="AH159" s="13" t="n"/>
      <c r="AI159" s="13" t="n"/>
      <c r="AJ159" s="13" t="n"/>
      <c r="AK159" s="13" t="n"/>
      <c r="AL159" s="13" t="n"/>
      <c r="AM159" s="13" t="n"/>
      <c r="AN159" s="13" t="n"/>
      <c r="AO159" s="13" t="n"/>
      <c r="AP159" s="13" t="n"/>
      <c r="AQ159" s="13" t="n"/>
      <c r="AR159" s="13" t="n"/>
      <c r="AS159" s="13" t="n"/>
      <c r="AT159" s="13" t="n"/>
      <c r="AU159" s="13" t="n"/>
      <c r="AV159" s="13" t="n"/>
      <c r="AW159" s="13" t="n"/>
      <c r="AX159" s="13" t="n"/>
      <c r="AY159" s="13" t="n"/>
      <c r="AZ159" s="13" t="n"/>
      <c r="BA159" s="13" t="n"/>
      <c r="BB159" s="13" t="n"/>
      <c r="BC159" s="13" t="n"/>
      <c r="BD159" s="13" t="n"/>
      <c r="BE159" s="13" t="n"/>
      <c r="BF159" s="384" t="inlineStr">
        <is>
          <t>G100958</t>
        </is>
      </c>
      <c r="BG159" s="384" t="inlineStr">
        <is>
          <t>常州市招联绿港新能源有限公司（合并）</t>
        </is>
      </c>
      <c r="BH159" s="384" t="inlineStr">
        <is>
          <t>E100958G</t>
        </is>
      </c>
      <c r="BI159" s="384" t="inlineStr">
        <is>
          <t xml:space="preserve"> 常州市招联绿港新能源有限公司（合并）</t>
        </is>
      </c>
    </row>
    <row r="160">
      <c r="A160" s="13" t="n"/>
      <c r="B160" s="13" t="n"/>
      <c r="C160" s="13" t="n"/>
      <c r="D160" s="13" t="n"/>
      <c r="E160" s="13" t="n"/>
      <c r="F160" s="13" t="n"/>
      <c r="G160" s="13" t="n"/>
      <c r="H160" s="13" t="n"/>
      <c r="I160" s="13" t="n"/>
      <c r="J160" s="13" t="n"/>
      <c r="K160" s="13" t="n"/>
      <c r="L160" s="13" t="n"/>
      <c r="M160" s="13" t="n"/>
      <c r="N160" s="13" t="n"/>
      <c r="O160" s="13" t="n"/>
      <c r="P160" s="13" t="n"/>
      <c r="Q160" s="13" t="n"/>
      <c r="R160" s="13" t="n"/>
      <c r="S160" s="1103" t="n"/>
      <c r="T160" s="13" t="n"/>
      <c r="U160" s="13" t="n"/>
      <c r="V160" s="13" t="n"/>
      <c r="W160" s="13" t="n"/>
      <c r="X160" s="171" t="n"/>
      <c r="Y160" s="171" t="n"/>
      <c r="Z160" s="13" t="n"/>
      <c r="AA160" s="13" t="n"/>
      <c r="AB160" s="13" t="n"/>
      <c r="AC160" s="13" t="n"/>
      <c r="AD160" s="13" t="n"/>
      <c r="AE160" s="13" t="n"/>
      <c r="AF160" s="13" t="n"/>
      <c r="AG160" s="13" t="n"/>
      <c r="AH160" s="13" t="n"/>
      <c r="AI160" s="13" t="n"/>
      <c r="AJ160" s="13" t="n"/>
      <c r="AK160" s="13" t="n"/>
      <c r="AL160" s="13" t="n"/>
      <c r="AM160" s="13" t="n"/>
      <c r="AN160" s="13" t="n"/>
      <c r="AO160" s="13" t="n"/>
      <c r="AP160" s="13" t="n"/>
      <c r="AQ160" s="13" t="n"/>
      <c r="AR160" s="13" t="n"/>
      <c r="AS160" s="13" t="n"/>
      <c r="AT160" s="13" t="n"/>
      <c r="AU160" s="13" t="n"/>
      <c r="AV160" s="13" t="n"/>
      <c r="AW160" s="13" t="n"/>
      <c r="AX160" s="13" t="n"/>
      <c r="AY160" s="13" t="n"/>
      <c r="AZ160" s="13" t="n"/>
      <c r="BA160" s="13" t="n"/>
      <c r="BB160" s="13" t="n"/>
      <c r="BC160" s="13" t="n"/>
      <c r="BD160" s="13" t="n"/>
      <c r="BE160" s="13" t="n"/>
      <c r="BF160" s="384" t="inlineStr">
        <is>
          <t>G100960</t>
        </is>
      </c>
      <c r="BG160" s="384" t="inlineStr">
        <is>
          <t>常州市晖达新能源有限公司（合并）</t>
        </is>
      </c>
      <c r="BH160" s="384" t="inlineStr">
        <is>
          <t>E100960G</t>
        </is>
      </c>
      <c r="BI160" s="384" t="inlineStr">
        <is>
          <t xml:space="preserve"> 常州市晖达新能源有限公司（合并）</t>
        </is>
      </c>
    </row>
    <row r="161">
      <c r="A161" s="13" t="n"/>
      <c r="B161" s="13" t="n"/>
      <c r="C161" s="13" t="n"/>
      <c r="D161" s="13" t="n"/>
      <c r="E161" s="13" t="n"/>
      <c r="F161" s="13" t="n"/>
      <c r="G161" s="13" t="n"/>
      <c r="H161" s="13" t="n"/>
      <c r="I161" s="13" t="n"/>
      <c r="J161" s="13" t="n"/>
      <c r="K161" s="13" t="n"/>
      <c r="L161" s="13" t="n"/>
      <c r="M161" s="13" t="n"/>
      <c r="N161" s="13" t="n"/>
      <c r="O161" s="13" t="n"/>
      <c r="P161" s="13" t="n"/>
      <c r="Q161" s="13" t="n"/>
      <c r="R161" s="13" t="n"/>
      <c r="S161" s="1103" t="n"/>
      <c r="T161" s="13" t="n"/>
      <c r="U161" s="13" t="n"/>
      <c r="V161" s="13" t="n"/>
      <c r="W161" s="13" t="n"/>
      <c r="X161" s="171" t="n"/>
      <c r="Y161" s="171" t="n"/>
      <c r="Z161" s="13" t="n"/>
      <c r="AA161" s="13" t="n"/>
      <c r="AB161" s="13" t="n"/>
      <c r="AC161" s="13" t="n"/>
      <c r="AD161" s="13" t="n"/>
      <c r="AE161" s="13" t="n"/>
      <c r="AF161" s="13" t="n"/>
      <c r="AG161" s="13" t="n"/>
      <c r="AH161" s="13" t="n"/>
      <c r="AI161" s="13" t="n"/>
      <c r="AJ161" s="13" t="n"/>
      <c r="AK161" s="13" t="n"/>
      <c r="AL161" s="13" t="n"/>
      <c r="AM161" s="13" t="n"/>
      <c r="AN161" s="13" t="n"/>
      <c r="AO161" s="13" t="n"/>
      <c r="AP161" s="13" t="n"/>
      <c r="AQ161" s="13" t="n"/>
      <c r="AR161" s="13" t="n"/>
      <c r="AS161" s="13" t="n"/>
      <c r="AT161" s="13" t="n"/>
      <c r="AU161" s="13" t="n"/>
      <c r="AV161" s="13" t="n"/>
      <c r="AW161" s="13" t="n"/>
      <c r="AX161" s="13" t="n"/>
      <c r="AY161" s="13" t="n"/>
      <c r="AZ161" s="13" t="n"/>
      <c r="BA161" s="13" t="n"/>
      <c r="BB161" s="13" t="n"/>
      <c r="BC161" s="13" t="n"/>
      <c r="BD161" s="13" t="n"/>
      <c r="BE161" s="13" t="n"/>
      <c r="BF161" s="384" t="inlineStr">
        <is>
          <t>G100961</t>
        </is>
      </c>
      <c r="BG161" s="384" t="inlineStr">
        <is>
          <t>惠州市晟合光电科技有限公司（合并）</t>
        </is>
      </c>
      <c r="BH161" s="384" t="inlineStr">
        <is>
          <t>E100961G</t>
        </is>
      </c>
      <c r="BI161" s="384" t="inlineStr">
        <is>
          <t xml:space="preserve"> 惠州市晟合光电科技有限公司（合并）</t>
        </is>
      </c>
    </row>
    <row r="162">
      <c r="A162" s="13" t="n"/>
      <c r="B162" s="13" t="n"/>
      <c r="C162" s="13" t="n"/>
      <c r="D162" s="13" t="n"/>
      <c r="E162" s="13" t="n"/>
      <c r="F162" s="13" t="n"/>
      <c r="G162" s="13" t="n"/>
      <c r="H162" s="13" t="n"/>
      <c r="I162" s="13" t="n"/>
      <c r="J162" s="13" t="n"/>
      <c r="K162" s="13" t="n"/>
      <c r="L162" s="13" t="n"/>
      <c r="M162" s="13" t="n"/>
      <c r="N162" s="13" t="n"/>
      <c r="O162" s="13" t="n"/>
      <c r="P162" s="13" t="n"/>
      <c r="Q162" s="13" t="n"/>
      <c r="R162" s="13" t="n"/>
      <c r="S162" s="1103" t="n"/>
      <c r="T162" s="13" t="n"/>
      <c r="U162" s="13" t="n"/>
      <c r="V162" s="13" t="n"/>
      <c r="W162" s="13" t="n"/>
      <c r="X162" s="171" t="n"/>
      <c r="Y162" s="171" t="n"/>
      <c r="Z162" s="13" t="n"/>
      <c r="AA162" s="13" t="n"/>
      <c r="AB162" s="13" t="n"/>
      <c r="AC162" s="13" t="n"/>
      <c r="AD162" s="13" t="n"/>
      <c r="AE162" s="13" t="n"/>
      <c r="AF162" s="13" t="n"/>
      <c r="AG162" s="13" t="n"/>
      <c r="AH162" s="13" t="n"/>
      <c r="AI162" s="13" t="n"/>
      <c r="AJ162" s="13" t="n"/>
      <c r="AK162" s="13" t="n"/>
      <c r="AL162" s="13" t="n"/>
      <c r="AM162" s="13" t="n"/>
      <c r="AN162" s="13" t="n"/>
      <c r="AO162" s="13" t="n"/>
      <c r="AP162" s="13" t="n"/>
      <c r="AQ162" s="13" t="n"/>
      <c r="AR162" s="13" t="n"/>
      <c r="AS162" s="13" t="n"/>
      <c r="AT162" s="13" t="n"/>
      <c r="AU162" s="13" t="n"/>
      <c r="AV162" s="13" t="n"/>
      <c r="AW162" s="13" t="n"/>
      <c r="AX162" s="13" t="n"/>
      <c r="AY162" s="13" t="n"/>
      <c r="AZ162" s="13" t="n"/>
      <c r="BA162" s="13" t="n"/>
      <c r="BB162" s="13" t="n"/>
      <c r="BC162" s="13" t="n"/>
      <c r="BD162" s="13" t="n"/>
      <c r="BE162" s="13" t="n"/>
      <c r="BF162" s="384" t="inlineStr">
        <is>
          <t>G100963</t>
        </is>
      </c>
      <c r="BG162" s="384" t="inlineStr">
        <is>
          <t>丝绸之路新能源（常州）有限公司（合并）</t>
        </is>
      </c>
      <c r="BH162" s="384" t="inlineStr">
        <is>
          <t>E100963G</t>
        </is>
      </c>
      <c r="BI162" s="384" t="inlineStr">
        <is>
          <t xml:space="preserve"> 丝绸之路新能源（常州）有限公司（合并）</t>
        </is>
      </c>
    </row>
    <row r="163">
      <c r="A163" s="13" t="n"/>
      <c r="B163" s="13" t="n"/>
      <c r="C163" s="13" t="n"/>
      <c r="D163" s="13" t="n"/>
      <c r="E163" s="13" t="n"/>
      <c r="F163" s="13" t="n"/>
      <c r="G163" s="13" t="n"/>
      <c r="H163" s="13" t="n"/>
      <c r="I163" s="13" t="n"/>
      <c r="J163" s="13" t="n"/>
      <c r="K163" s="13" t="n"/>
      <c r="L163" s="13" t="n"/>
      <c r="M163" s="13" t="n"/>
      <c r="N163" s="13" t="n"/>
      <c r="O163" s="13" t="n"/>
      <c r="P163" s="13" t="n"/>
      <c r="Q163" s="13" t="n"/>
      <c r="R163" s="13" t="n"/>
      <c r="S163" s="1103" t="n"/>
      <c r="T163" s="13" t="n"/>
      <c r="U163" s="13" t="n"/>
      <c r="V163" s="13" t="n"/>
      <c r="W163" s="13" t="n"/>
      <c r="X163" s="171" t="n"/>
      <c r="Y163" s="171" t="n"/>
      <c r="Z163" s="13" t="n"/>
      <c r="AA163" s="13" t="n"/>
      <c r="AB163" s="13" t="n"/>
      <c r="AC163" s="13" t="n"/>
      <c r="AD163" s="13" t="n"/>
      <c r="AE163" s="13" t="n"/>
      <c r="AF163" s="13" t="n"/>
      <c r="AG163" s="13" t="n"/>
      <c r="AH163" s="13" t="n"/>
      <c r="AI163" s="13" t="n"/>
      <c r="AJ163" s="13" t="n"/>
      <c r="AK163" s="13" t="n"/>
      <c r="AL163" s="13" t="n"/>
      <c r="AM163" s="13" t="n"/>
      <c r="AN163" s="13" t="n"/>
      <c r="AO163" s="13" t="n"/>
      <c r="AP163" s="13" t="n"/>
      <c r="AQ163" s="13" t="n"/>
      <c r="AR163" s="13" t="n"/>
      <c r="AS163" s="13" t="n"/>
      <c r="AT163" s="13" t="n"/>
      <c r="AU163" s="13" t="n"/>
      <c r="AV163" s="13" t="n"/>
      <c r="AW163" s="13" t="n"/>
      <c r="AX163" s="13" t="n"/>
      <c r="AY163" s="13" t="n"/>
      <c r="AZ163" s="13" t="n"/>
      <c r="BA163" s="13" t="n"/>
      <c r="BB163" s="13" t="n"/>
      <c r="BC163" s="13" t="n"/>
      <c r="BD163" s="13" t="n"/>
      <c r="BE163" s="13" t="n"/>
      <c r="BF163" s="384" t="inlineStr">
        <is>
          <t>G100973</t>
        </is>
      </c>
      <c r="BG163" s="384" t="inlineStr">
        <is>
          <t>察右前旗联合光伏发电有限公司（合并）</t>
        </is>
      </c>
      <c r="BH163" s="384" t="inlineStr">
        <is>
          <t>E100973G</t>
        </is>
      </c>
      <c r="BI163" s="384" t="inlineStr">
        <is>
          <t xml:space="preserve"> 察右前旗联合光伏发电有限公司（合并）</t>
        </is>
      </c>
    </row>
    <row r="164">
      <c r="A164" s="13" t="n"/>
      <c r="B164" s="13" t="n"/>
      <c r="C164" s="13" t="n"/>
      <c r="D164" s="13" t="n"/>
      <c r="E164" s="13" t="n"/>
      <c r="F164" s="13" t="n"/>
      <c r="G164" s="13" t="n"/>
      <c r="H164" s="13" t="n"/>
      <c r="I164" s="13" t="n"/>
      <c r="J164" s="13" t="n"/>
      <c r="K164" s="13" t="n"/>
      <c r="L164" s="13" t="n"/>
      <c r="M164" s="13" t="n"/>
      <c r="N164" s="13" t="n"/>
      <c r="O164" s="13" t="n"/>
      <c r="P164" s="13" t="n"/>
      <c r="Q164" s="13" t="n"/>
      <c r="R164" s="13" t="n"/>
      <c r="S164" s="1103" t="n"/>
      <c r="T164" s="13" t="n"/>
      <c r="U164" s="13" t="n"/>
      <c r="V164" s="13" t="n"/>
      <c r="W164" s="13" t="n"/>
      <c r="X164" s="171" t="n"/>
      <c r="Y164" s="171" t="n"/>
      <c r="Z164" s="13" t="n"/>
      <c r="AA164" s="13" t="n"/>
      <c r="AB164" s="13" t="n"/>
      <c r="AC164" s="13" t="n"/>
      <c r="AD164" s="13" t="n"/>
      <c r="AE164" s="13" t="n"/>
      <c r="AF164" s="13" t="n"/>
      <c r="AG164" s="13" t="n"/>
      <c r="AH164" s="13" t="n"/>
      <c r="AI164" s="13" t="n"/>
      <c r="AJ164" s="13" t="n"/>
      <c r="AK164" s="13" t="n"/>
      <c r="AL164" s="13" t="n"/>
      <c r="AM164" s="13" t="n"/>
      <c r="AN164" s="13" t="n"/>
      <c r="AO164" s="13" t="n"/>
      <c r="AP164" s="13" t="n"/>
      <c r="AQ164" s="13" t="n"/>
      <c r="AR164" s="13" t="n"/>
      <c r="AS164" s="13" t="n"/>
      <c r="AT164" s="13" t="n"/>
      <c r="AU164" s="13" t="n"/>
      <c r="AV164" s="13" t="n"/>
      <c r="AW164" s="13" t="n"/>
      <c r="AX164" s="13" t="n"/>
      <c r="AY164" s="13" t="n"/>
      <c r="AZ164" s="13" t="n"/>
      <c r="BA164" s="13" t="n"/>
      <c r="BB164" s="13" t="n"/>
      <c r="BC164" s="13" t="n"/>
      <c r="BD164" s="13" t="n"/>
      <c r="BE164" s="13" t="n"/>
      <c r="BF164" s="384" t="inlineStr">
        <is>
          <t>G100978</t>
        </is>
      </c>
      <c r="BG164" s="384" t="inlineStr">
        <is>
          <t>常州市招联绿新新能源有限公司（合并）</t>
        </is>
      </c>
      <c r="BH164" s="384" t="inlineStr">
        <is>
          <t>E100978G</t>
        </is>
      </c>
      <c r="BI164" s="384" t="inlineStr">
        <is>
          <t xml:space="preserve"> 常州市招联绿新新能源有限公司（合并）</t>
        </is>
      </c>
    </row>
    <row r="165">
      <c r="A165" s="13" t="n"/>
      <c r="B165" s="13" t="n"/>
      <c r="C165" s="13" t="n"/>
      <c r="D165" s="13" t="n"/>
      <c r="E165" s="13" t="n"/>
      <c r="F165" s="13" t="n"/>
      <c r="G165" s="13" t="n"/>
      <c r="H165" s="13" t="n"/>
      <c r="I165" s="13" t="n"/>
      <c r="J165" s="13" t="n"/>
      <c r="K165" s="13" t="n"/>
      <c r="L165" s="13" t="n"/>
      <c r="M165" s="13" t="n"/>
      <c r="N165" s="13" t="n"/>
      <c r="O165" s="13" t="n"/>
      <c r="P165" s="13" t="n"/>
      <c r="Q165" s="13" t="n"/>
      <c r="R165" s="13" t="n"/>
      <c r="S165" s="1103" t="n"/>
      <c r="T165" s="13" t="n"/>
      <c r="U165" s="13" t="n"/>
      <c r="V165" s="13" t="n"/>
      <c r="W165" s="13" t="n"/>
      <c r="X165" s="171" t="n"/>
      <c r="Y165" s="171" t="n"/>
      <c r="Z165" s="13" t="n"/>
      <c r="AA165" s="13" t="n"/>
      <c r="AB165" s="13" t="n"/>
      <c r="AC165" s="13" t="n"/>
      <c r="AD165" s="13" t="n"/>
      <c r="AE165" s="13" t="n"/>
      <c r="AF165" s="13" t="n"/>
      <c r="AG165" s="13" t="n"/>
      <c r="AH165" s="13" t="n"/>
      <c r="AI165" s="13" t="n"/>
      <c r="AJ165" s="13" t="n"/>
      <c r="AK165" s="13" t="n"/>
      <c r="AL165" s="13" t="n"/>
      <c r="AM165" s="13" t="n"/>
      <c r="AN165" s="13" t="n"/>
      <c r="AO165" s="13" t="n"/>
      <c r="AP165" s="13" t="n"/>
      <c r="AQ165" s="13" t="n"/>
      <c r="AR165" s="13" t="n"/>
      <c r="AS165" s="13" t="n"/>
      <c r="AT165" s="13" t="n"/>
      <c r="AU165" s="13" t="n"/>
      <c r="AV165" s="13" t="n"/>
      <c r="AW165" s="13" t="n"/>
      <c r="AX165" s="13" t="n"/>
      <c r="AY165" s="13" t="n"/>
      <c r="AZ165" s="13" t="n"/>
      <c r="BA165" s="13" t="n"/>
      <c r="BB165" s="13" t="n"/>
      <c r="BC165" s="13" t="n"/>
      <c r="BD165" s="13" t="n"/>
      <c r="BE165" s="13" t="n"/>
      <c r="BF165" s="384" t="inlineStr">
        <is>
          <t>G100981</t>
        </is>
      </c>
      <c r="BG165" s="384" t="inlineStr">
        <is>
          <t>常州市招联绿庆新能源有限公司（合并）</t>
        </is>
      </c>
      <c r="BH165" s="384" t="inlineStr">
        <is>
          <t>E100981G</t>
        </is>
      </c>
      <c r="BI165" s="384" t="inlineStr">
        <is>
          <t xml:space="preserve"> 常州市招联绿庆新能源有限公司（合并）</t>
        </is>
      </c>
    </row>
    <row r="166">
      <c r="A166" s="13" t="n"/>
      <c r="B166" s="13" t="n"/>
      <c r="C166" s="13" t="n"/>
      <c r="D166" s="13" t="n"/>
      <c r="E166" s="13" t="n"/>
      <c r="F166" s="13" t="n"/>
      <c r="G166" s="13" t="n"/>
      <c r="H166" s="13" t="n"/>
      <c r="I166" s="13" t="n"/>
      <c r="J166" s="13" t="n"/>
      <c r="K166" s="13" t="n"/>
      <c r="L166" s="13" t="n"/>
      <c r="M166" s="13" t="n"/>
      <c r="N166" s="13" t="n"/>
      <c r="O166" s="13" t="n"/>
      <c r="P166" s="13" t="n"/>
      <c r="Q166" s="13" t="n"/>
      <c r="R166" s="13" t="n"/>
      <c r="S166" s="1103" t="n"/>
      <c r="T166" s="13" t="n"/>
      <c r="U166" s="13" t="n"/>
      <c r="V166" s="13" t="n"/>
      <c r="W166" s="13" t="n"/>
      <c r="X166" s="171" t="n"/>
      <c r="Y166" s="171" t="n"/>
      <c r="Z166" s="13" t="n"/>
      <c r="AA166" s="13" t="n"/>
      <c r="AB166" s="13" t="n"/>
      <c r="AC166" s="13" t="n"/>
      <c r="AD166" s="13" t="n"/>
      <c r="AE166" s="13" t="n"/>
      <c r="AF166" s="13" t="n"/>
      <c r="AG166" s="13" t="n"/>
      <c r="AH166" s="13" t="n"/>
      <c r="AI166" s="13" t="n"/>
      <c r="AJ166" s="13" t="n"/>
      <c r="AK166" s="13" t="n"/>
      <c r="AL166" s="13" t="n"/>
      <c r="AM166" s="13" t="n"/>
      <c r="AN166" s="13" t="n"/>
      <c r="AO166" s="13" t="n"/>
      <c r="AP166" s="13" t="n"/>
      <c r="AQ166" s="13" t="n"/>
      <c r="AR166" s="13" t="n"/>
      <c r="AS166" s="13" t="n"/>
      <c r="AT166" s="13" t="n"/>
      <c r="AU166" s="13" t="n"/>
      <c r="AV166" s="13" t="n"/>
      <c r="AW166" s="13" t="n"/>
      <c r="AX166" s="13" t="n"/>
      <c r="AY166" s="13" t="n"/>
      <c r="AZ166" s="13" t="n"/>
      <c r="BA166" s="13" t="n"/>
      <c r="BB166" s="13" t="n"/>
      <c r="BC166" s="13" t="n"/>
      <c r="BD166" s="13" t="n"/>
      <c r="BE166" s="13" t="n"/>
      <c r="BF166" s="384" t="inlineStr">
        <is>
          <t>G100982</t>
        </is>
      </c>
      <c r="BG166" s="384" t="inlineStr">
        <is>
          <t>青海晖达光伏有限公司（合并）</t>
        </is>
      </c>
      <c r="BH166" s="384" t="inlineStr">
        <is>
          <t>E100982G</t>
        </is>
      </c>
      <c r="BI166" s="384" t="inlineStr">
        <is>
          <t xml:space="preserve"> 青海晖达光伏有限公司（合并）</t>
        </is>
      </c>
    </row>
    <row r="167">
      <c r="A167" s="13" t="n"/>
      <c r="B167" s="13" t="n"/>
      <c r="C167" s="13" t="n"/>
      <c r="D167" s="13" t="n"/>
      <c r="E167" s="13" t="n"/>
      <c r="F167" s="13" t="n"/>
      <c r="G167" s="13" t="n"/>
      <c r="H167" s="13" t="n"/>
      <c r="I167" s="13" t="n"/>
      <c r="J167" s="13" t="n"/>
      <c r="K167" s="13" t="n"/>
      <c r="L167" s="13" t="n"/>
      <c r="M167" s="13" t="n"/>
      <c r="N167" s="13" t="n"/>
      <c r="O167" s="13" t="n"/>
      <c r="P167" s="13" t="n"/>
      <c r="Q167" s="13" t="n"/>
      <c r="R167" s="13" t="n"/>
      <c r="S167" s="1103" t="n"/>
      <c r="T167" s="13" t="n"/>
      <c r="U167" s="13" t="n"/>
      <c r="V167" s="13" t="n"/>
      <c r="W167" s="13" t="n"/>
      <c r="X167" s="171" t="n"/>
      <c r="Y167" s="171" t="n"/>
      <c r="Z167" s="13" t="n"/>
      <c r="AA167" s="13" t="n"/>
      <c r="AB167" s="13" t="n"/>
      <c r="AC167" s="13" t="n"/>
      <c r="AD167" s="13" t="n"/>
      <c r="AE167" s="13" t="n"/>
      <c r="AF167" s="13" t="n"/>
      <c r="AG167" s="13" t="n"/>
      <c r="AH167" s="13" t="n"/>
      <c r="AI167" s="13" t="n"/>
      <c r="AJ167" s="13" t="n"/>
      <c r="AK167" s="13" t="n"/>
      <c r="AL167" s="13" t="n"/>
      <c r="AM167" s="13" t="n"/>
      <c r="AN167" s="13" t="n"/>
      <c r="AO167" s="13" t="n"/>
      <c r="AP167" s="13" t="n"/>
      <c r="AQ167" s="13" t="n"/>
      <c r="AR167" s="13" t="n"/>
      <c r="AS167" s="13" t="n"/>
      <c r="AT167" s="13" t="n"/>
      <c r="AU167" s="13" t="n"/>
      <c r="AV167" s="13" t="n"/>
      <c r="AW167" s="13" t="n"/>
      <c r="AX167" s="13" t="n"/>
      <c r="AY167" s="13" t="n"/>
      <c r="AZ167" s="13" t="n"/>
      <c r="BA167" s="13" t="n"/>
      <c r="BB167" s="13" t="n"/>
      <c r="BC167" s="13" t="n"/>
      <c r="BD167" s="13" t="n"/>
      <c r="BE167" s="13" t="n"/>
      <c r="BF167" s="384" t="inlineStr">
        <is>
          <t>G100985</t>
        </is>
      </c>
      <c r="BG167" s="384" t="inlineStr">
        <is>
          <t>常州市招联绿邦新能源有限公司（合并）</t>
        </is>
      </c>
      <c r="BH167" s="384" t="inlineStr">
        <is>
          <t>E100985G</t>
        </is>
      </c>
      <c r="BI167" s="384" t="inlineStr">
        <is>
          <t xml:space="preserve"> 常州市招联绿邦新能源有限公司（合并）</t>
        </is>
      </c>
    </row>
    <row r="168">
      <c r="A168" s="13" t="n"/>
      <c r="B168" s="13" t="n"/>
      <c r="C168" s="13" t="n"/>
      <c r="D168" s="13" t="n"/>
      <c r="E168" s="13" t="n"/>
      <c r="F168" s="13" t="n"/>
      <c r="G168" s="13" t="n"/>
      <c r="H168" s="13" t="n"/>
      <c r="I168" s="13" t="n"/>
      <c r="J168" s="13" t="n"/>
      <c r="K168" s="13" t="n"/>
      <c r="L168" s="13" t="n"/>
      <c r="M168" s="13" t="n"/>
      <c r="N168" s="13" t="n"/>
      <c r="O168" s="13" t="n"/>
      <c r="P168" s="13" t="n"/>
      <c r="Q168" s="13" t="n"/>
      <c r="R168" s="13" t="n"/>
      <c r="S168" s="1103" t="n"/>
      <c r="T168" s="13" t="n"/>
      <c r="U168" s="13" t="n"/>
      <c r="V168" s="13" t="n"/>
      <c r="W168" s="13" t="n"/>
      <c r="X168" s="171" t="n"/>
      <c r="Y168" s="171" t="n"/>
      <c r="Z168" s="13" t="n"/>
      <c r="AA168" s="13" t="n"/>
      <c r="AB168" s="13" t="n"/>
      <c r="AC168" s="13" t="n"/>
      <c r="AD168" s="13" t="n"/>
      <c r="AE168" s="13" t="n"/>
      <c r="AF168" s="13" t="n"/>
      <c r="AG168" s="13" t="n"/>
      <c r="AH168" s="13" t="n"/>
      <c r="AI168" s="13" t="n"/>
      <c r="AJ168" s="13" t="n"/>
      <c r="AK168" s="13" t="n"/>
      <c r="AL168" s="13" t="n"/>
      <c r="AM168" s="13" t="n"/>
      <c r="AN168" s="13" t="n"/>
      <c r="AO168" s="13" t="n"/>
      <c r="AP168" s="13" t="n"/>
      <c r="AQ168" s="13" t="n"/>
      <c r="AR168" s="13" t="n"/>
      <c r="AS168" s="13" t="n"/>
      <c r="AT168" s="13" t="n"/>
      <c r="AU168" s="13" t="n"/>
      <c r="AV168" s="13" t="n"/>
      <c r="AW168" s="13" t="n"/>
      <c r="AX168" s="13" t="n"/>
      <c r="AY168" s="13" t="n"/>
      <c r="AZ168" s="13" t="n"/>
      <c r="BA168" s="13" t="n"/>
      <c r="BB168" s="13" t="n"/>
      <c r="BC168" s="13" t="n"/>
      <c r="BD168" s="13" t="n"/>
      <c r="BE168" s="13" t="n"/>
      <c r="BF168" s="384" t="inlineStr">
        <is>
          <t>G100988</t>
        </is>
      </c>
      <c r="BG168" s="384" t="inlineStr">
        <is>
          <t>常州市招联绿睿新能源有限公司（合并）</t>
        </is>
      </c>
      <c r="BH168" s="384" t="inlineStr">
        <is>
          <t>E100988G</t>
        </is>
      </c>
      <c r="BI168" s="384" t="inlineStr">
        <is>
          <t xml:space="preserve"> 常州市招联绿睿新能源有限公司（合并）</t>
        </is>
      </c>
    </row>
    <row r="169">
      <c r="A169" s="13" t="n"/>
      <c r="B169" s="13" t="n"/>
      <c r="C169" s="13" t="n"/>
      <c r="D169" s="13" t="n"/>
      <c r="E169" s="13" t="n"/>
      <c r="F169" s="13" t="n"/>
      <c r="G169" s="13" t="n"/>
      <c r="H169" s="13" t="n"/>
      <c r="I169" s="13" t="n"/>
      <c r="J169" s="13" t="n"/>
      <c r="K169" s="13" t="n"/>
      <c r="L169" s="13" t="n"/>
      <c r="M169" s="13" t="n"/>
      <c r="N169" s="13" t="n"/>
      <c r="O169" s="13" t="n"/>
      <c r="P169" s="13" t="n"/>
      <c r="Q169" s="13" t="n"/>
      <c r="R169" s="13" t="n"/>
      <c r="S169" s="1103" t="n"/>
      <c r="T169" s="13" t="n"/>
      <c r="U169" s="13" t="n"/>
      <c r="V169" s="13" t="n"/>
      <c r="W169" s="13" t="n"/>
      <c r="X169" s="171" t="n"/>
      <c r="Y169" s="171" t="n"/>
      <c r="Z169" s="13" t="n"/>
      <c r="AA169" s="13" t="n"/>
      <c r="AB169" s="13" t="n"/>
      <c r="AC169" s="13" t="n"/>
      <c r="AD169" s="13" t="n"/>
      <c r="AE169" s="13" t="n"/>
      <c r="AF169" s="13" t="n"/>
      <c r="AG169" s="13" t="n"/>
      <c r="AH169" s="13" t="n"/>
      <c r="AI169" s="13" t="n"/>
      <c r="AJ169" s="13" t="n"/>
      <c r="AK169" s="13" t="n"/>
      <c r="AL169" s="13" t="n"/>
      <c r="AM169" s="13" t="n"/>
      <c r="AN169" s="13" t="n"/>
      <c r="AO169" s="13" t="n"/>
      <c r="AP169" s="13" t="n"/>
      <c r="AQ169" s="13" t="n"/>
      <c r="AR169" s="13" t="n"/>
      <c r="AS169" s="13" t="n"/>
      <c r="AT169" s="13" t="n"/>
      <c r="AU169" s="13" t="n"/>
      <c r="AV169" s="13" t="n"/>
      <c r="AW169" s="13" t="n"/>
      <c r="AX169" s="13" t="n"/>
      <c r="AY169" s="13" t="n"/>
      <c r="AZ169" s="13" t="n"/>
      <c r="BA169" s="13" t="n"/>
      <c r="BB169" s="13" t="n"/>
      <c r="BC169" s="13" t="n"/>
      <c r="BD169" s="13" t="n"/>
      <c r="BE169" s="13" t="n"/>
      <c r="BF169" s="384" t="inlineStr">
        <is>
          <t>G100991</t>
        </is>
      </c>
      <c r="BG169" s="384" t="inlineStr">
        <is>
          <t>常熟宏丰光伏电站开发有限公司（合并）</t>
        </is>
      </c>
      <c r="BH169" s="384" t="inlineStr">
        <is>
          <t>E100991G</t>
        </is>
      </c>
      <c r="BI169" s="384" t="inlineStr">
        <is>
          <t xml:space="preserve"> 常熟宏丰光伏电站开发有限公司（合并）</t>
        </is>
      </c>
    </row>
    <row r="170">
      <c r="A170" s="13" t="n"/>
      <c r="B170" s="13" t="n"/>
      <c r="C170" s="13" t="n"/>
      <c r="D170" s="13" t="n"/>
      <c r="E170" s="13" t="n"/>
      <c r="F170" s="13" t="n"/>
      <c r="G170" s="13" t="n"/>
      <c r="H170" s="13" t="n"/>
      <c r="I170" s="13" t="n"/>
      <c r="J170" s="13" t="n"/>
      <c r="K170" s="13" t="n"/>
      <c r="L170" s="13" t="n"/>
      <c r="M170" s="13" t="n"/>
      <c r="N170" s="13" t="n"/>
      <c r="O170" s="13" t="n"/>
      <c r="P170" s="13" t="n"/>
      <c r="Q170" s="13" t="n"/>
      <c r="R170" s="13" t="n"/>
      <c r="S170" s="1103" t="n"/>
      <c r="T170" s="13" t="n"/>
      <c r="U170" s="13" t="n"/>
      <c r="V170" s="13" t="n"/>
      <c r="W170" s="13" t="n"/>
      <c r="X170" s="171" t="n"/>
      <c r="Y170" s="171" t="n"/>
      <c r="Z170" s="13" t="n"/>
      <c r="AA170" s="13" t="n"/>
      <c r="AB170" s="13" t="n"/>
      <c r="AC170" s="13" t="n"/>
      <c r="AD170" s="13" t="n"/>
      <c r="AE170" s="13" t="n"/>
      <c r="AF170" s="13" t="n"/>
      <c r="AG170" s="13" t="n"/>
      <c r="AH170" s="13" t="n"/>
      <c r="AI170" s="13" t="n"/>
      <c r="AJ170" s="13" t="n"/>
      <c r="AK170" s="13" t="n"/>
      <c r="AL170" s="13" t="n"/>
      <c r="AM170" s="13" t="n"/>
      <c r="AN170" s="13" t="n"/>
      <c r="AO170" s="13" t="n"/>
      <c r="AP170" s="13" t="n"/>
      <c r="AQ170" s="13" t="n"/>
      <c r="AR170" s="13" t="n"/>
      <c r="AS170" s="13" t="n"/>
      <c r="AT170" s="13" t="n"/>
      <c r="AU170" s="13" t="n"/>
      <c r="AV170" s="13" t="n"/>
      <c r="AW170" s="13" t="n"/>
      <c r="AX170" s="13" t="n"/>
      <c r="AY170" s="13" t="n"/>
      <c r="AZ170" s="13" t="n"/>
      <c r="BA170" s="13" t="n"/>
      <c r="BB170" s="13" t="n"/>
      <c r="BC170" s="13" t="n"/>
      <c r="BD170" s="13" t="n"/>
      <c r="BE170" s="13" t="n"/>
      <c r="BF170" s="384" t="inlineStr">
        <is>
          <t>G100993</t>
        </is>
      </c>
      <c r="BG170" s="384" t="inlineStr">
        <is>
          <t>常州市招联绿晖新能源有限公司（合并）</t>
        </is>
      </c>
      <c r="BH170" s="384" t="inlineStr">
        <is>
          <t>E100993G</t>
        </is>
      </c>
      <c r="BI170" s="384" t="inlineStr">
        <is>
          <t xml:space="preserve"> 常州市招联绿晖新能源有限公司（合并）</t>
        </is>
      </c>
    </row>
    <row r="171">
      <c r="A171" s="13" t="n"/>
      <c r="B171" s="13" t="n"/>
      <c r="C171" s="13" t="n"/>
      <c r="D171" s="13" t="n"/>
      <c r="E171" s="13" t="n"/>
      <c r="F171" s="13" t="n"/>
      <c r="G171" s="13" t="n"/>
      <c r="H171" s="13" t="n"/>
      <c r="I171" s="13" t="n"/>
      <c r="J171" s="13" t="n"/>
      <c r="K171" s="13" t="n"/>
      <c r="L171" s="13" t="n"/>
      <c r="M171" s="13" t="n"/>
      <c r="N171" s="13" t="n"/>
      <c r="O171" s="13" t="n"/>
      <c r="P171" s="13" t="n"/>
      <c r="Q171" s="13" t="n"/>
      <c r="R171" s="13" t="n"/>
      <c r="S171" s="1103" t="n"/>
      <c r="T171" s="13" t="n"/>
      <c r="U171" s="13" t="n"/>
      <c r="V171" s="13" t="n"/>
      <c r="W171" s="13" t="n"/>
      <c r="X171" s="171" t="n"/>
      <c r="Y171" s="171" t="n"/>
      <c r="Z171" s="13" t="n"/>
      <c r="AA171" s="13" t="n"/>
      <c r="AB171" s="13" t="n"/>
      <c r="AC171" s="13" t="n"/>
      <c r="AD171" s="13" t="n"/>
      <c r="AE171" s="13" t="n"/>
      <c r="AF171" s="13" t="n"/>
      <c r="AG171" s="13" t="n"/>
      <c r="AH171" s="13" t="n"/>
      <c r="AI171" s="13" t="n"/>
      <c r="AJ171" s="13" t="n"/>
      <c r="AK171" s="13" t="n"/>
      <c r="AL171" s="13" t="n"/>
      <c r="AM171" s="13" t="n"/>
      <c r="AN171" s="13" t="n"/>
      <c r="AO171" s="13" t="n"/>
      <c r="AP171" s="13" t="n"/>
      <c r="AQ171" s="13" t="n"/>
      <c r="AR171" s="13" t="n"/>
      <c r="AS171" s="13" t="n"/>
      <c r="AT171" s="13" t="n"/>
      <c r="AU171" s="13" t="n"/>
      <c r="AV171" s="13" t="n"/>
      <c r="AW171" s="13" t="n"/>
      <c r="AX171" s="13" t="n"/>
      <c r="AY171" s="13" t="n"/>
      <c r="AZ171" s="13" t="n"/>
      <c r="BA171" s="13" t="n"/>
      <c r="BB171" s="13" t="n"/>
      <c r="BC171" s="13" t="n"/>
      <c r="BD171" s="13" t="n"/>
      <c r="BE171" s="13" t="n"/>
      <c r="BF171" s="384" t="inlineStr">
        <is>
          <t>G101001</t>
        </is>
      </c>
      <c r="BG171" s="384" t="inlineStr">
        <is>
          <t>Faster Assets Limited（合并）</t>
        </is>
      </c>
      <c r="BH171" s="384" t="inlineStr">
        <is>
          <t>E101001G</t>
        </is>
      </c>
      <c r="BI171" s="384" t="inlineStr">
        <is>
          <t xml:space="preserve"> Faster Assets Limited（合并）</t>
        </is>
      </c>
    </row>
    <row r="172">
      <c r="A172" s="13" t="n"/>
      <c r="B172" s="13" t="n"/>
      <c r="C172" s="13" t="n"/>
      <c r="D172" s="13" t="n"/>
      <c r="E172" s="13" t="n"/>
      <c r="F172" s="13" t="n"/>
      <c r="G172" s="13" t="n"/>
      <c r="H172" s="13" t="n"/>
      <c r="I172" s="13" t="n"/>
      <c r="J172" s="13" t="n"/>
      <c r="K172" s="13" t="n"/>
      <c r="L172" s="13" t="n"/>
      <c r="M172" s="13" t="n"/>
      <c r="N172" s="13" t="n"/>
      <c r="O172" s="13" t="n"/>
      <c r="P172" s="13" t="n"/>
      <c r="Q172" s="13" t="n"/>
      <c r="R172" s="13" t="n"/>
      <c r="S172" s="1103" t="n"/>
      <c r="T172" s="13" t="n"/>
      <c r="U172" s="13" t="n"/>
      <c r="V172" s="13" t="n"/>
      <c r="W172" s="13" t="n"/>
      <c r="X172" s="171" t="n"/>
      <c r="Y172" s="171" t="n"/>
      <c r="Z172" s="13" t="n"/>
      <c r="AA172" s="13" t="n"/>
      <c r="AB172" s="13" t="n"/>
      <c r="AC172" s="13" t="n"/>
      <c r="AD172" s="13" t="n"/>
      <c r="AE172" s="13" t="n"/>
      <c r="AF172" s="13" t="n"/>
      <c r="AG172" s="13" t="n"/>
      <c r="AH172" s="13" t="n"/>
      <c r="AI172" s="13" t="n"/>
      <c r="AJ172" s="13" t="n"/>
      <c r="AK172" s="13" t="n"/>
      <c r="AL172" s="13" t="n"/>
      <c r="AM172" s="13" t="n"/>
      <c r="AN172" s="13" t="n"/>
      <c r="AO172" s="13" t="n"/>
      <c r="AP172" s="13" t="n"/>
      <c r="AQ172" s="13" t="n"/>
      <c r="AR172" s="13" t="n"/>
      <c r="AS172" s="13" t="n"/>
      <c r="AT172" s="13" t="n"/>
      <c r="AU172" s="13" t="n"/>
      <c r="AV172" s="13" t="n"/>
      <c r="AW172" s="13" t="n"/>
      <c r="AX172" s="13" t="n"/>
      <c r="AY172" s="13" t="n"/>
      <c r="AZ172" s="13" t="n"/>
      <c r="BA172" s="13" t="n"/>
      <c r="BB172" s="13" t="n"/>
      <c r="BC172" s="13" t="n"/>
      <c r="BD172" s="13" t="n"/>
      <c r="BE172" s="13" t="n"/>
      <c r="BF172" s="384" t="inlineStr">
        <is>
          <t>G101003</t>
        </is>
      </c>
      <c r="BG172" s="384" t="inlineStr">
        <is>
          <t>Driven Green Holdings Limited（合并）</t>
        </is>
      </c>
      <c r="BH172" s="384" t="inlineStr">
        <is>
          <t>E101003G</t>
        </is>
      </c>
      <c r="BI172" s="384" t="inlineStr">
        <is>
          <t xml:space="preserve"> Driven Green Holdings Limited（合并）</t>
        </is>
      </c>
    </row>
    <row r="173">
      <c r="A173" s="13" t="n"/>
      <c r="B173" s="13" t="n"/>
      <c r="C173" s="13" t="n"/>
      <c r="D173" s="13" t="n"/>
      <c r="E173" s="13" t="n"/>
      <c r="F173" s="13" t="n"/>
      <c r="G173" s="13" t="n"/>
      <c r="H173" s="13" t="n"/>
      <c r="I173" s="13" t="n"/>
      <c r="J173" s="13" t="n"/>
      <c r="K173" s="13" t="n"/>
      <c r="L173" s="13" t="n"/>
      <c r="M173" s="13" t="n"/>
      <c r="N173" s="13" t="n"/>
      <c r="O173" s="13" t="n"/>
      <c r="P173" s="13" t="n"/>
      <c r="Q173" s="13" t="n"/>
      <c r="R173" s="13" t="n"/>
      <c r="S173" s="1103" t="n"/>
      <c r="T173" s="13" t="n"/>
      <c r="U173" s="13" t="n"/>
      <c r="V173" s="13" t="n"/>
      <c r="W173" s="13" t="n"/>
      <c r="X173" s="171" t="n"/>
      <c r="Y173" s="171" t="n"/>
      <c r="Z173" s="13" t="n"/>
      <c r="AA173" s="13" t="n"/>
      <c r="AB173" s="13" t="n"/>
      <c r="AC173" s="13" t="n"/>
      <c r="AD173" s="13" t="n"/>
      <c r="AE173" s="13" t="n"/>
      <c r="AF173" s="13" t="n"/>
      <c r="AG173" s="13" t="n"/>
      <c r="AH173" s="13" t="n"/>
      <c r="AI173" s="13" t="n"/>
      <c r="AJ173" s="13" t="n"/>
      <c r="AK173" s="13" t="n"/>
      <c r="AL173" s="13" t="n"/>
      <c r="AM173" s="13" t="n"/>
      <c r="AN173" s="13" t="n"/>
      <c r="AO173" s="13" t="n"/>
      <c r="AP173" s="13" t="n"/>
      <c r="AQ173" s="13" t="n"/>
      <c r="AR173" s="13" t="n"/>
      <c r="AS173" s="13" t="n"/>
      <c r="AT173" s="13" t="n"/>
      <c r="AU173" s="13" t="n"/>
      <c r="AV173" s="13" t="n"/>
      <c r="AW173" s="13" t="n"/>
      <c r="AX173" s="13" t="n"/>
      <c r="AY173" s="13" t="n"/>
      <c r="AZ173" s="13" t="n"/>
      <c r="BA173" s="13" t="n"/>
      <c r="BB173" s="13" t="n"/>
      <c r="BC173" s="13" t="n"/>
      <c r="BD173" s="13" t="n"/>
      <c r="BE173" s="13" t="n"/>
      <c r="BF173" s="384" t="inlineStr">
        <is>
          <t>G101004</t>
        </is>
      </c>
      <c r="BG173" s="384" t="inlineStr">
        <is>
          <t>绿联新能源（常州）有限公司（合并）</t>
        </is>
      </c>
      <c r="BH173" s="384" t="inlineStr">
        <is>
          <t>E101004G</t>
        </is>
      </c>
      <c r="BI173" s="384" t="inlineStr">
        <is>
          <t xml:space="preserve"> 绿联新能源（常州）有限公司（合并）</t>
        </is>
      </c>
    </row>
    <row r="174">
      <c r="A174" s="13" t="n"/>
      <c r="B174" s="13" t="n"/>
      <c r="C174" s="13" t="n"/>
      <c r="D174" s="13" t="n"/>
      <c r="E174" s="13" t="n"/>
      <c r="F174" s="13" t="n"/>
      <c r="G174" s="13" t="n"/>
      <c r="H174" s="13" t="n"/>
      <c r="I174" s="13" t="n"/>
      <c r="J174" s="13" t="n"/>
      <c r="K174" s="13" t="n"/>
      <c r="L174" s="13" t="n"/>
      <c r="M174" s="13" t="n"/>
      <c r="N174" s="13" t="n"/>
      <c r="O174" s="13" t="n"/>
      <c r="P174" s="13" t="n"/>
      <c r="Q174" s="13" t="n"/>
      <c r="R174" s="13" t="n"/>
      <c r="S174" s="1103" t="n"/>
      <c r="T174" s="13" t="n"/>
      <c r="U174" s="13" t="n"/>
      <c r="V174" s="13" t="n"/>
      <c r="W174" s="13" t="n"/>
      <c r="X174" s="171" t="n"/>
      <c r="Y174" s="171" t="n"/>
      <c r="Z174" s="13" t="n"/>
      <c r="AA174" s="13" t="n"/>
      <c r="AB174" s="13" t="n"/>
      <c r="AC174" s="13" t="n"/>
      <c r="AD174" s="13" t="n"/>
      <c r="AE174" s="13" t="n"/>
      <c r="AF174" s="13" t="n"/>
      <c r="AG174" s="13" t="n"/>
      <c r="AH174" s="13" t="n"/>
      <c r="AI174" s="13" t="n"/>
      <c r="AJ174" s="13" t="n"/>
      <c r="AK174" s="13" t="n"/>
      <c r="AL174" s="13" t="n"/>
      <c r="AM174" s="13" t="n"/>
      <c r="AN174" s="13" t="n"/>
      <c r="AO174" s="13" t="n"/>
      <c r="AP174" s="13" t="n"/>
      <c r="AQ174" s="13" t="n"/>
      <c r="AR174" s="13" t="n"/>
      <c r="AS174" s="13" t="n"/>
      <c r="AT174" s="13" t="n"/>
      <c r="AU174" s="13" t="n"/>
      <c r="AV174" s="13" t="n"/>
      <c r="AW174" s="13" t="n"/>
      <c r="AX174" s="13" t="n"/>
      <c r="AY174" s="13" t="n"/>
      <c r="AZ174" s="13" t="n"/>
      <c r="BA174" s="13" t="n"/>
      <c r="BB174" s="13" t="n"/>
      <c r="BC174" s="13" t="n"/>
      <c r="BD174" s="13" t="n"/>
      <c r="BE174" s="13" t="n"/>
      <c r="BF174" s="384" t="inlineStr">
        <is>
          <t>G101006</t>
        </is>
      </c>
      <c r="BG174" s="384" t="inlineStr">
        <is>
          <t>Premier Yield Holdings Limited（合并）</t>
        </is>
      </c>
      <c r="BH174" s="384" t="inlineStr">
        <is>
          <t>E101006G</t>
        </is>
      </c>
      <c r="BI174" s="384" t="inlineStr">
        <is>
          <t xml:space="preserve"> Premier Yield Holdings Limited（合并）</t>
        </is>
      </c>
    </row>
    <row r="175">
      <c r="A175" s="13" t="n"/>
      <c r="B175" s="13" t="n"/>
      <c r="C175" s="13" t="n"/>
      <c r="D175" s="13" t="n"/>
      <c r="E175" s="13" t="n"/>
      <c r="F175" s="13" t="n"/>
      <c r="G175" s="13" t="n"/>
      <c r="H175" s="13" t="n"/>
      <c r="I175" s="13" t="n"/>
      <c r="J175" s="13" t="n"/>
      <c r="K175" s="13" t="n"/>
      <c r="L175" s="13" t="n"/>
      <c r="M175" s="13" t="n"/>
      <c r="N175" s="13" t="n"/>
      <c r="O175" s="13" t="n"/>
      <c r="P175" s="13" t="n"/>
      <c r="Q175" s="13" t="n"/>
      <c r="R175" s="13" t="n"/>
      <c r="S175" s="1103" t="n"/>
      <c r="T175" s="13" t="n"/>
      <c r="U175" s="13" t="n"/>
      <c r="V175" s="13" t="n"/>
      <c r="W175" s="13" t="n"/>
      <c r="X175" s="171" t="n"/>
      <c r="Y175" s="171" t="n"/>
      <c r="Z175" s="13" t="n"/>
      <c r="AA175" s="13" t="n"/>
      <c r="AB175" s="13" t="n"/>
      <c r="AC175" s="13" t="n"/>
      <c r="AD175" s="13" t="n"/>
      <c r="AE175" s="13" t="n"/>
      <c r="AF175" s="13" t="n"/>
      <c r="AG175" s="13" t="n"/>
      <c r="AH175" s="13" t="n"/>
      <c r="AI175" s="13" t="n"/>
      <c r="AJ175" s="13" t="n"/>
      <c r="AK175" s="13" t="n"/>
      <c r="AL175" s="13" t="n"/>
      <c r="AM175" s="13" t="n"/>
      <c r="AN175" s="13" t="n"/>
      <c r="AO175" s="13" t="n"/>
      <c r="AP175" s="13" t="n"/>
      <c r="AQ175" s="13" t="n"/>
      <c r="AR175" s="13" t="n"/>
      <c r="AS175" s="13" t="n"/>
      <c r="AT175" s="13" t="n"/>
      <c r="AU175" s="13" t="n"/>
      <c r="AV175" s="13" t="n"/>
      <c r="AW175" s="13" t="n"/>
      <c r="AX175" s="13" t="n"/>
      <c r="AY175" s="13" t="n"/>
      <c r="AZ175" s="13" t="n"/>
      <c r="BA175" s="13" t="n"/>
      <c r="BB175" s="13" t="n"/>
      <c r="BC175" s="13" t="n"/>
      <c r="BD175" s="13" t="n"/>
      <c r="BE175" s="13" t="n"/>
      <c r="BF175" s="384" t="inlineStr">
        <is>
          <t>G101007</t>
        </is>
      </c>
      <c r="BG175" s="384" t="inlineStr">
        <is>
          <t>骏耀新能源（常州）有限公司（合并）</t>
        </is>
      </c>
      <c r="BH175" s="384" t="inlineStr">
        <is>
          <t>E101007G</t>
        </is>
      </c>
      <c r="BI175" s="384" t="inlineStr">
        <is>
          <t xml:space="preserve"> 骏耀新能源（常州）有限公司（合并）</t>
        </is>
      </c>
    </row>
    <row r="176">
      <c r="A176" s="13" t="n"/>
      <c r="B176" s="13" t="n"/>
      <c r="C176" s="13" t="n"/>
      <c r="D176" s="13" t="n"/>
      <c r="E176" s="13" t="n"/>
      <c r="F176" s="13" t="n"/>
      <c r="G176" s="13" t="n"/>
      <c r="H176" s="13" t="n"/>
      <c r="I176" s="13" t="n"/>
      <c r="J176" s="13" t="n"/>
      <c r="K176" s="13" t="n"/>
      <c r="L176" s="13" t="n"/>
      <c r="M176" s="13" t="n"/>
      <c r="N176" s="13" t="n"/>
      <c r="O176" s="13" t="n"/>
      <c r="P176" s="13" t="n"/>
      <c r="Q176" s="13" t="n"/>
      <c r="R176" s="13" t="n"/>
      <c r="S176" s="1103" t="n"/>
      <c r="T176" s="13" t="n"/>
      <c r="U176" s="13" t="n"/>
      <c r="V176" s="13" t="n"/>
      <c r="W176" s="13" t="n"/>
      <c r="X176" s="171" t="n"/>
      <c r="Y176" s="171" t="n"/>
      <c r="Z176" s="13" t="n"/>
      <c r="AA176" s="13" t="n"/>
      <c r="AB176" s="13" t="n"/>
      <c r="AC176" s="13" t="n"/>
      <c r="AD176" s="13" t="n"/>
      <c r="AE176" s="13" t="n"/>
      <c r="AF176" s="13" t="n"/>
      <c r="AG176" s="13" t="n"/>
      <c r="AH176" s="13" t="n"/>
      <c r="AI176" s="13" t="n"/>
      <c r="AJ176" s="13" t="n"/>
      <c r="AK176" s="13" t="n"/>
      <c r="AL176" s="13" t="n"/>
      <c r="AM176" s="13" t="n"/>
      <c r="AN176" s="13" t="n"/>
      <c r="AO176" s="13" t="n"/>
      <c r="AP176" s="13" t="n"/>
      <c r="AQ176" s="13" t="n"/>
      <c r="AR176" s="13" t="n"/>
      <c r="AS176" s="13" t="n"/>
      <c r="AT176" s="13" t="n"/>
      <c r="AU176" s="13" t="n"/>
      <c r="AV176" s="13" t="n"/>
      <c r="AW176" s="13" t="n"/>
      <c r="AX176" s="13" t="n"/>
      <c r="AY176" s="13" t="n"/>
      <c r="AZ176" s="13" t="n"/>
      <c r="BA176" s="13" t="n"/>
      <c r="BB176" s="13" t="n"/>
      <c r="BC176" s="13" t="n"/>
      <c r="BD176" s="13" t="n"/>
      <c r="BE176" s="13" t="n"/>
      <c r="BF176" s="384" t="inlineStr">
        <is>
          <t>G101008</t>
        </is>
      </c>
      <c r="BG176" s="384" t="inlineStr">
        <is>
          <t>南京丝绸之路新能源有限公司（合并）</t>
        </is>
      </c>
      <c r="BH176" s="384" t="inlineStr">
        <is>
          <t>E101008G</t>
        </is>
      </c>
      <c r="BI176" s="384" t="inlineStr">
        <is>
          <t xml:space="preserve"> 南京丝绸之路新能源有限公司（合并）</t>
        </is>
      </c>
    </row>
    <row r="177">
      <c r="A177" s="13" t="n"/>
      <c r="B177" s="13" t="n"/>
      <c r="C177" s="13" t="n"/>
      <c r="D177" s="13" t="n"/>
      <c r="E177" s="13" t="n"/>
      <c r="F177" s="13" t="n"/>
      <c r="G177" s="13" t="n"/>
      <c r="H177" s="13" t="n"/>
      <c r="I177" s="13" t="n"/>
      <c r="J177" s="13" t="n"/>
      <c r="K177" s="13" t="n"/>
      <c r="L177" s="13" t="n"/>
      <c r="M177" s="13" t="n"/>
      <c r="N177" s="13" t="n"/>
      <c r="O177" s="13" t="n"/>
      <c r="P177" s="13" t="n"/>
      <c r="Q177" s="13" t="n"/>
      <c r="R177" s="13" t="n"/>
      <c r="S177" s="1103" t="n"/>
      <c r="T177" s="13" t="n"/>
      <c r="U177" s="13" t="n"/>
      <c r="V177" s="13" t="n"/>
      <c r="W177" s="13" t="n"/>
      <c r="X177" s="171" t="n"/>
      <c r="Y177" s="171" t="n"/>
      <c r="Z177" s="13" t="n"/>
      <c r="AA177" s="13" t="n"/>
      <c r="AB177" s="13" t="n"/>
      <c r="AC177" s="13" t="n"/>
      <c r="AD177" s="13" t="n"/>
      <c r="AE177" s="13" t="n"/>
      <c r="AF177" s="13" t="n"/>
      <c r="AG177" s="13" t="n"/>
      <c r="AH177" s="13" t="n"/>
      <c r="AI177" s="13" t="n"/>
      <c r="AJ177" s="13" t="n"/>
      <c r="AK177" s="13" t="n"/>
      <c r="AL177" s="13" t="n"/>
      <c r="AM177" s="13" t="n"/>
      <c r="AN177" s="13" t="n"/>
      <c r="AO177" s="13" t="n"/>
      <c r="AP177" s="13" t="n"/>
      <c r="AQ177" s="13" t="n"/>
      <c r="AR177" s="13" t="n"/>
      <c r="AS177" s="13" t="n"/>
      <c r="AT177" s="13" t="n"/>
      <c r="AU177" s="13" t="n"/>
      <c r="AV177" s="13" t="n"/>
      <c r="AW177" s="13" t="n"/>
      <c r="AX177" s="13" t="n"/>
      <c r="AY177" s="13" t="n"/>
      <c r="AZ177" s="13" t="n"/>
      <c r="BA177" s="13" t="n"/>
      <c r="BB177" s="13" t="n"/>
      <c r="BC177" s="13" t="n"/>
      <c r="BD177" s="13" t="n"/>
      <c r="BE177" s="13" t="n"/>
      <c r="BF177" s="384" t="inlineStr">
        <is>
          <t>G101012</t>
        </is>
      </c>
      <c r="BG177" s="384" t="inlineStr">
        <is>
          <t>常州市招联绿伏新能源有限公司（合并）</t>
        </is>
      </c>
      <c r="BH177" s="384" t="inlineStr">
        <is>
          <t>E101012G</t>
        </is>
      </c>
      <c r="BI177" s="384" t="inlineStr">
        <is>
          <t xml:space="preserve"> 常州市招联绿伏新能源有限公司（合并）</t>
        </is>
      </c>
    </row>
    <row r="178">
      <c r="A178" s="13" t="n"/>
      <c r="B178" s="13" t="n"/>
      <c r="C178" s="13" t="n"/>
      <c r="D178" s="13" t="n"/>
      <c r="E178" s="13" t="n"/>
      <c r="F178" s="13" t="n"/>
      <c r="G178" s="13" t="n"/>
      <c r="H178" s="13" t="n"/>
      <c r="I178" s="13" t="n"/>
      <c r="J178" s="13" t="n"/>
      <c r="K178" s="13" t="n"/>
      <c r="L178" s="13" t="n"/>
      <c r="M178" s="13" t="n"/>
      <c r="N178" s="13" t="n"/>
      <c r="O178" s="13" t="n"/>
      <c r="P178" s="13" t="n"/>
      <c r="Q178" s="13" t="n"/>
      <c r="R178" s="13" t="n"/>
      <c r="S178" s="1103" t="n"/>
      <c r="T178" s="13" t="n"/>
      <c r="U178" s="13" t="n"/>
      <c r="V178" s="13" t="n"/>
      <c r="W178" s="13" t="n"/>
      <c r="X178" s="171" t="n"/>
      <c r="Y178" s="171" t="n"/>
      <c r="Z178" s="13" t="n"/>
      <c r="AA178" s="13" t="n"/>
      <c r="AB178" s="13" t="n"/>
      <c r="AC178" s="13" t="n"/>
      <c r="AD178" s="13" t="n"/>
      <c r="AE178" s="13" t="n"/>
      <c r="AF178" s="13" t="n"/>
      <c r="AG178" s="13" t="n"/>
      <c r="AH178" s="13" t="n"/>
      <c r="AI178" s="13" t="n"/>
      <c r="AJ178" s="13" t="n"/>
      <c r="AK178" s="13" t="n"/>
      <c r="AL178" s="13" t="n"/>
      <c r="AM178" s="13" t="n"/>
      <c r="AN178" s="13" t="n"/>
      <c r="AO178" s="13" t="n"/>
      <c r="AP178" s="13" t="n"/>
      <c r="AQ178" s="13" t="n"/>
      <c r="AR178" s="13" t="n"/>
      <c r="AS178" s="13" t="n"/>
      <c r="AT178" s="13" t="n"/>
      <c r="AU178" s="13" t="n"/>
      <c r="AV178" s="13" t="n"/>
      <c r="AW178" s="13" t="n"/>
      <c r="AX178" s="13" t="n"/>
      <c r="AY178" s="13" t="n"/>
      <c r="AZ178" s="13" t="n"/>
      <c r="BA178" s="13" t="n"/>
      <c r="BB178" s="13" t="n"/>
      <c r="BC178" s="13" t="n"/>
      <c r="BD178" s="13" t="n"/>
      <c r="BE178" s="13" t="n"/>
      <c r="BF178" s="384" t="inlineStr">
        <is>
          <t>G101015</t>
        </is>
      </c>
      <c r="BG178" s="384" t="inlineStr">
        <is>
          <t>New Light Assets Limited（合并）</t>
        </is>
      </c>
      <c r="BH178" s="384" t="inlineStr">
        <is>
          <t>E101015G</t>
        </is>
      </c>
      <c r="BI178" s="384" t="inlineStr">
        <is>
          <t xml:space="preserve"> New Light Assets Limited（合并）</t>
        </is>
      </c>
    </row>
    <row r="179">
      <c r="A179" s="13" t="n"/>
      <c r="B179" s="13" t="n"/>
      <c r="C179" s="13" t="n"/>
      <c r="D179" s="13" t="n"/>
      <c r="E179" s="13" t="n"/>
      <c r="F179" s="13" t="n"/>
      <c r="G179" s="13" t="n"/>
      <c r="H179" s="13" t="n"/>
      <c r="I179" s="13" t="n"/>
      <c r="J179" s="13" t="n"/>
      <c r="K179" s="13" t="n"/>
      <c r="L179" s="13" t="n"/>
      <c r="M179" s="13" t="n"/>
      <c r="N179" s="13" t="n"/>
      <c r="O179" s="13" t="n"/>
      <c r="P179" s="13" t="n"/>
      <c r="Q179" s="13" t="n"/>
      <c r="R179" s="13" t="n"/>
      <c r="S179" s="1103" t="n"/>
      <c r="T179" s="13" t="n"/>
      <c r="U179" s="13" t="n"/>
      <c r="V179" s="13" t="n"/>
      <c r="W179" s="13" t="n"/>
      <c r="X179" s="171" t="n"/>
      <c r="Y179" s="171" t="n"/>
      <c r="Z179" s="13" t="n"/>
      <c r="AA179" s="13" t="n"/>
      <c r="AB179" s="13" t="n"/>
      <c r="AC179" s="13" t="n"/>
      <c r="AD179" s="13" t="n"/>
      <c r="AE179" s="13" t="n"/>
      <c r="AF179" s="13" t="n"/>
      <c r="AG179" s="13" t="n"/>
      <c r="AH179" s="13" t="n"/>
      <c r="AI179" s="13" t="n"/>
      <c r="AJ179" s="13" t="n"/>
      <c r="AK179" s="13" t="n"/>
      <c r="AL179" s="13" t="n"/>
      <c r="AM179" s="13" t="n"/>
      <c r="AN179" s="13" t="n"/>
      <c r="AO179" s="13" t="n"/>
      <c r="AP179" s="13" t="n"/>
      <c r="AQ179" s="13" t="n"/>
      <c r="AR179" s="13" t="n"/>
      <c r="AS179" s="13" t="n"/>
      <c r="AT179" s="13" t="n"/>
      <c r="AU179" s="13" t="n"/>
      <c r="AV179" s="13" t="n"/>
      <c r="AW179" s="13" t="n"/>
      <c r="AX179" s="13" t="n"/>
      <c r="AY179" s="13" t="n"/>
      <c r="AZ179" s="13" t="n"/>
      <c r="BA179" s="13" t="n"/>
      <c r="BB179" s="13" t="n"/>
      <c r="BC179" s="13" t="n"/>
      <c r="BD179" s="13" t="n"/>
      <c r="BE179" s="13" t="n"/>
      <c r="BF179" s="384" t="inlineStr">
        <is>
          <t>G101016</t>
        </is>
      </c>
      <c r="BG179" s="384" t="inlineStr">
        <is>
          <t>丝绸之路招商新能源（常州）有限公司（合并）</t>
        </is>
      </c>
      <c r="BH179" s="384" t="inlineStr">
        <is>
          <t>E101016G</t>
        </is>
      </c>
      <c r="BI179" s="384" t="inlineStr">
        <is>
          <t xml:space="preserve"> 丝绸之路招商新能源（常州）有限公司（合并）</t>
        </is>
      </c>
    </row>
    <row r="180">
      <c r="A180" s="13" t="n"/>
      <c r="B180" s="13" t="n"/>
      <c r="C180" s="13" t="n"/>
      <c r="D180" s="13" t="n"/>
      <c r="E180" s="13" t="n"/>
      <c r="F180" s="13" t="n"/>
      <c r="G180" s="13" t="n"/>
      <c r="H180" s="13" t="n"/>
      <c r="I180" s="13" t="n"/>
      <c r="J180" s="13" t="n"/>
      <c r="K180" s="13" t="n"/>
      <c r="L180" s="13" t="n"/>
      <c r="M180" s="13" t="n"/>
      <c r="N180" s="13" t="n"/>
      <c r="O180" s="13" t="n"/>
      <c r="P180" s="13" t="n"/>
      <c r="Q180" s="13" t="n"/>
      <c r="R180" s="13" t="n"/>
      <c r="S180" s="1103" t="n"/>
      <c r="T180" s="13" t="n"/>
      <c r="U180" s="13" t="n"/>
      <c r="V180" s="13" t="n"/>
      <c r="W180" s="13" t="n"/>
      <c r="X180" s="171" t="n"/>
      <c r="Y180" s="171" t="n"/>
      <c r="Z180" s="13" t="n"/>
      <c r="AA180" s="13" t="n"/>
      <c r="AB180" s="13" t="n"/>
      <c r="AC180" s="13" t="n"/>
      <c r="AD180" s="13" t="n"/>
      <c r="AE180" s="13" t="n"/>
      <c r="AF180" s="13" t="n"/>
      <c r="AG180" s="13" t="n"/>
      <c r="AH180" s="13" t="n"/>
      <c r="AI180" s="13" t="n"/>
      <c r="AJ180" s="13" t="n"/>
      <c r="AK180" s="13" t="n"/>
      <c r="AL180" s="13" t="n"/>
      <c r="AM180" s="13" t="n"/>
      <c r="AN180" s="13" t="n"/>
      <c r="AO180" s="13" t="n"/>
      <c r="AP180" s="13" t="n"/>
      <c r="AQ180" s="13" t="n"/>
      <c r="AR180" s="13" t="n"/>
      <c r="AS180" s="13" t="n"/>
      <c r="AT180" s="13" t="n"/>
      <c r="AU180" s="13" t="n"/>
      <c r="AV180" s="13" t="n"/>
      <c r="AW180" s="13" t="n"/>
      <c r="AX180" s="13" t="n"/>
      <c r="AY180" s="13" t="n"/>
      <c r="AZ180" s="13" t="n"/>
      <c r="BA180" s="13" t="n"/>
      <c r="BB180" s="13" t="n"/>
      <c r="BC180" s="13" t="n"/>
      <c r="BD180" s="13" t="n"/>
      <c r="BE180" s="13" t="n"/>
      <c r="BF180" s="384" t="inlineStr">
        <is>
          <t>G101017</t>
        </is>
      </c>
      <c r="BG180" s="384" t="inlineStr">
        <is>
          <t>常州新光新能源有限公司（合并）</t>
        </is>
      </c>
      <c r="BH180" s="384" t="inlineStr">
        <is>
          <t>E101017G</t>
        </is>
      </c>
      <c r="BI180" s="384" t="inlineStr">
        <is>
          <t xml:space="preserve"> 常州新光新能源有限公司（合并）</t>
        </is>
      </c>
    </row>
    <row r="181">
      <c r="A181" s="13" t="n"/>
      <c r="B181" s="13" t="n"/>
      <c r="C181" s="13" t="n"/>
      <c r="D181" s="13" t="n"/>
      <c r="E181" s="13" t="n"/>
      <c r="F181" s="13" t="n"/>
      <c r="G181" s="13" t="n"/>
      <c r="H181" s="13" t="n"/>
      <c r="I181" s="13" t="n"/>
      <c r="J181" s="13" t="n"/>
      <c r="K181" s="13" t="n"/>
      <c r="L181" s="13" t="n"/>
      <c r="M181" s="13" t="n"/>
      <c r="N181" s="13" t="n"/>
      <c r="O181" s="13" t="n"/>
      <c r="P181" s="13" t="n"/>
      <c r="Q181" s="13" t="n"/>
      <c r="R181" s="13" t="n"/>
      <c r="S181" s="1103" t="n"/>
      <c r="T181" s="13" t="n"/>
      <c r="U181" s="13" t="n"/>
      <c r="V181" s="13" t="n"/>
      <c r="W181" s="13" t="n"/>
      <c r="X181" s="171" t="n"/>
      <c r="Y181" s="171" t="n"/>
      <c r="Z181" s="13" t="n"/>
      <c r="AA181" s="13" t="n"/>
      <c r="AB181" s="13" t="n"/>
      <c r="AC181" s="13" t="n"/>
      <c r="AD181" s="13" t="n"/>
      <c r="AE181" s="13" t="n"/>
      <c r="AF181" s="13" t="n"/>
      <c r="AG181" s="13" t="n"/>
      <c r="AH181" s="13" t="n"/>
      <c r="AI181" s="13" t="n"/>
      <c r="AJ181" s="13" t="n"/>
      <c r="AK181" s="13" t="n"/>
      <c r="AL181" s="13" t="n"/>
      <c r="AM181" s="13" t="n"/>
      <c r="AN181" s="13" t="n"/>
      <c r="AO181" s="13" t="n"/>
      <c r="AP181" s="13" t="n"/>
      <c r="AQ181" s="13" t="n"/>
      <c r="AR181" s="13" t="n"/>
      <c r="AS181" s="13" t="n"/>
      <c r="AT181" s="13" t="n"/>
      <c r="AU181" s="13" t="n"/>
      <c r="AV181" s="13" t="n"/>
      <c r="AW181" s="13" t="n"/>
      <c r="AX181" s="13" t="n"/>
      <c r="AY181" s="13" t="n"/>
      <c r="AZ181" s="13" t="n"/>
      <c r="BA181" s="13" t="n"/>
      <c r="BB181" s="13" t="n"/>
      <c r="BC181" s="13" t="n"/>
      <c r="BD181" s="13" t="n"/>
      <c r="BE181" s="13" t="n"/>
      <c r="BF181" s="384" t="inlineStr">
        <is>
          <t>G101019</t>
        </is>
      </c>
      <c r="BG181" s="384" t="inlineStr">
        <is>
          <t>招商局漳州开发区丝路方舟碳资产管理有限公司（合并）</t>
        </is>
      </c>
      <c r="BH181" s="384" t="inlineStr">
        <is>
          <t>E101019G</t>
        </is>
      </c>
      <c r="BI181" s="384" t="inlineStr">
        <is>
          <t xml:space="preserve"> 招商局漳州开发区丝路方舟碳资产管理有限公司（合并）</t>
        </is>
      </c>
    </row>
    <row r="182">
      <c r="A182" s="13" t="n"/>
      <c r="B182" s="13" t="n"/>
      <c r="C182" s="13" t="n"/>
      <c r="D182" s="13" t="n"/>
      <c r="E182" s="13" t="n"/>
      <c r="F182" s="13" t="n"/>
      <c r="G182" s="13" t="n"/>
      <c r="H182" s="13" t="n"/>
      <c r="I182" s="13" t="n"/>
      <c r="J182" s="13" t="n"/>
      <c r="K182" s="13" t="n"/>
      <c r="L182" s="13" t="n"/>
      <c r="M182" s="13" t="n"/>
      <c r="N182" s="13" t="n"/>
      <c r="O182" s="13" t="n"/>
      <c r="P182" s="13" t="n"/>
      <c r="Q182" s="13" t="n"/>
      <c r="R182" s="13" t="n"/>
      <c r="S182" s="1103" t="n"/>
      <c r="T182" s="13" t="n"/>
      <c r="U182" s="13" t="n"/>
      <c r="V182" s="13" t="n"/>
      <c r="W182" s="13" t="n"/>
      <c r="X182" s="171" t="n"/>
      <c r="Y182" s="171" t="n"/>
      <c r="Z182" s="13" t="n"/>
      <c r="AA182" s="13" t="n"/>
      <c r="AB182" s="13" t="n"/>
      <c r="AC182" s="13" t="n"/>
      <c r="AD182" s="13" t="n"/>
      <c r="AE182" s="13" t="n"/>
      <c r="AF182" s="13" t="n"/>
      <c r="AG182" s="13" t="n"/>
      <c r="AH182" s="13" t="n"/>
      <c r="AI182" s="13" t="n"/>
      <c r="AJ182" s="13" t="n"/>
      <c r="AK182" s="13" t="n"/>
      <c r="AL182" s="13" t="n"/>
      <c r="AM182" s="13" t="n"/>
      <c r="AN182" s="13" t="n"/>
      <c r="AO182" s="13" t="n"/>
      <c r="AP182" s="13" t="n"/>
      <c r="AQ182" s="13" t="n"/>
      <c r="AR182" s="13" t="n"/>
      <c r="AS182" s="13" t="n"/>
      <c r="AT182" s="13" t="n"/>
      <c r="AU182" s="13" t="n"/>
      <c r="AV182" s="13" t="n"/>
      <c r="AW182" s="13" t="n"/>
      <c r="AX182" s="13" t="n"/>
      <c r="AY182" s="13" t="n"/>
      <c r="AZ182" s="13" t="n"/>
      <c r="BA182" s="13" t="n"/>
      <c r="BB182" s="13" t="n"/>
      <c r="BC182" s="13" t="n"/>
      <c r="BD182" s="13" t="n"/>
      <c r="BE182" s="13" t="n"/>
      <c r="BF182" s="384" t="inlineStr">
        <is>
          <t>G101021</t>
        </is>
      </c>
      <c r="BG182" s="384" t="inlineStr">
        <is>
          <t>Global Renewable Energy Limited（合并）</t>
        </is>
      </c>
      <c r="BH182" s="384" t="inlineStr">
        <is>
          <t>E101021G</t>
        </is>
      </c>
      <c r="BI182" s="384" t="inlineStr">
        <is>
          <t xml:space="preserve"> Global Renewable Energy Limited（合并）</t>
        </is>
      </c>
    </row>
    <row r="183">
      <c r="A183" s="13" t="n"/>
      <c r="B183" s="13" t="n"/>
      <c r="C183" s="13" t="n"/>
      <c r="D183" s="13" t="n"/>
      <c r="E183" s="13" t="n"/>
      <c r="F183" s="13" t="n"/>
      <c r="G183" s="13" t="n"/>
      <c r="H183" s="13" t="n"/>
      <c r="I183" s="13" t="n"/>
      <c r="J183" s="13" t="n"/>
      <c r="K183" s="13" t="n"/>
      <c r="L183" s="13" t="n"/>
      <c r="M183" s="13" t="n"/>
      <c r="N183" s="13" t="n"/>
      <c r="O183" s="13" t="n"/>
      <c r="P183" s="13" t="n"/>
      <c r="Q183" s="13" t="n"/>
      <c r="R183" s="13" t="n"/>
      <c r="S183" s="1103" t="n"/>
      <c r="T183" s="13" t="n"/>
      <c r="U183" s="13" t="n"/>
      <c r="V183" s="13" t="n"/>
      <c r="W183" s="13" t="n"/>
      <c r="X183" s="171" t="n"/>
      <c r="Y183" s="171" t="n"/>
      <c r="Z183" s="13" t="n"/>
      <c r="AA183" s="13" t="n"/>
      <c r="AB183" s="13" t="n"/>
      <c r="AC183" s="13" t="n"/>
      <c r="AD183" s="13" t="n"/>
      <c r="AE183" s="13" t="n"/>
      <c r="AF183" s="13" t="n"/>
      <c r="AG183" s="13" t="n"/>
      <c r="AH183" s="13" t="n"/>
      <c r="AI183" s="13" t="n"/>
      <c r="AJ183" s="13" t="n"/>
      <c r="AK183" s="13" t="n"/>
      <c r="AL183" s="13" t="n"/>
      <c r="AM183" s="13" t="n"/>
      <c r="AN183" s="13" t="n"/>
      <c r="AO183" s="13" t="n"/>
      <c r="AP183" s="13" t="n"/>
      <c r="AQ183" s="13" t="n"/>
      <c r="AR183" s="13" t="n"/>
      <c r="AS183" s="13" t="n"/>
      <c r="AT183" s="13" t="n"/>
      <c r="AU183" s="13" t="n"/>
      <c r="AV183" s="13" t="n"/>
      <c r="AW183" s="13" t="n"/>
      <c r="AX183" s="13" t="n"/>
      <c r="AY183" s="13" t="n"/>
      <c r="AZ183" s="13" t="n"/>
      <c r="BA183" s="13" t="n"/>
      <c r="BB183" s="13" t="n"/>
      <c r="BC183" s="13" t="n"/>
      <c r="BD183" s="13" t="n"/>
      <c r="BE183" s="13" t="n"/>
      <c r="BF183" s="384" t="inlineStr">
        <is>
          <t>G101022</t>
        </is>
      </c>
      <c r="BG183" s="384" t="inlineStr">
        <is>
          <t>Global Renewable Energy Holdings Limited（合并）</t>
        </is>
      </c>
      <c r="BH183" s="384" t="inlineStr">
        <is>
          <t>E101022G</t>
        </is>
      </c>
      <c r="BI183" s="384" t="inlineStr">
        <is>
          <t xml:space="preserve"> Global Renewable Energy Holdings Limited（合并）</t>
        </is>
      </c>
    </row>
    <row r="184">
      <c r="A184" s="13" t="n"/>
      <c r="B184" s="13" t="n"/>
      <c r="C184" s="13" t="n"/>
      <c r="D184" s="13" t="n"/>
      <c r="E184" s="13" t="n"/>
      <c r="F184" s="13" t="n"/>
      <c r="G184" s="13" t="n"/>
      <c r="H184" s="13" t="n"/>
      <c r="I184" s="13" t="n"/>
      <c r="J184" s="13" t="n"/>
      <c r="K184" s="13" t="n"/>
      <c r="L184" s="13" t="n"/>
      <c r="M184" s="13" t="n"/>
      <c r="N184" s="13" t="n"/>
      <c r="O184" s="13" t="n"/>
      <c r="P184" s="13" t="n"/>
      <c r="Q184" s="13" t="n"/>
      <c r="R184" s="13" t="n"/>
      <c r="S184" s="1103" t="n"/>
      <c r="T184" s="13" t="n"/>
      <c r="U184" s="13" t="n"/>
      <c r="V184" s="13" t="n"/>
      <c r="W184" s="13" t="n"/>
      <c r="X184" s="171" t="n"/>
      <c r="Y184" s="171" t="n"/>
      <c r="Z184" s="13" t="n"/>
      <c r="AA184" s="13" t="n"/>
      <c r="AB184" s="13" t="n"/>
      <c r="AC184" s="13" t="n"/>
      <c r="AD184" s="13" t="n"/>
      <c r="AE184" s="13" t="n"/>
      <c r="AF184" s="13" t="n"/>
      <c r="AG184" s="13" t="n"/>
      <c r="AH184" s="13" t="n"/>
      <c r="AI184" s="13" t="n"/>
      <c r="AJ184" s="13" t="n"/>
      <c r="AK184" s="13" t="n"/>
      <c r="AL184" s="13" t="n"/>
      <c r="AM184" s="13" t="n"/>
      <c r="AN184" s="13" t="n"/>
      <c r="AO184" s="13" t="n"/>
      <c r="AP184" s="13" t="n"/>
      <c r="AQ184" s="13" t="n"/>
      <c r="AR184" s="13" t="n"/>
      <c r="AS184" s="13" t="n"/>
      <c r="AT184" s="13" t="n"/>
      <c r="AU184" s="13" t="n"/>
      <c r="AV184" s="13" t="n"/>
      <c r="AW184" s="13" t="n"/>
      <c r="AX184" s="13" t="n"/>
      <c r="AY184" s="13" t="n"/>
      <c r="AZ184" s="13" t="n"/>
      <c r="BA184" s="13" t="n"/>
      <c r="BB184" s="13" t="n"/>
      <c r="BC184" s="13" t="n"/>
      <c r="BD184" s="13" t="n"/>
      <c r="BE184" s="13" t="n"/>
      <c r="BF184" s="384" t="inlineStr">
        <is>
          <t>G101024</t>
        </is>
      </c>
      <c r="BG184" s="384" t="inlineStr">
        <is>
          <t>Fortune Wheel Holdings Limited（合并）</t>
        </is>
      </c>
      <c r="BH184" s="384" t="inlineStr">
        <is>
          <t>E101024G</t>
        </is>
      </c>
      <c r="BI184" s="384" t="inlineStr">
        <is>
          <t xml:space="preserve"> Fortune Wheel Holdings Limited（合并）</t>
        </is>
      </c>
    </row>
    <row r="185">
      <c r="A185" s="13" t="n"/>
      <c r="B185" s="13" t="n"/>
      <c r="C185" s="13" t="n"/>
      <c r="D185" s="13" t="n"/>
      <c r="E185" s="13" t="n"/>
      <c r="F185" s="13" t="n"/>
      <c r="G185" s="13" t="n"/>
      <c r="H185" s="13" t="n"/>
      <c r="I185" s="13" t="n"/>
      <c r="J185" s="13" t="n"/>
      <c r="K185" s="13" t="n"/>
      <c r="L185" s="13" t="n"/>
      <c r="M185" s="13" t="n"/>
      <c r="N185" s="13" t="n"/>
      <c r="O185" s="13" t="n"/>
      <c r="P185" s="13" t="n"/>
      <c r="Q185" s="13" t="n"/>
      <c r="R185" s="13" t="n"/>
      <c r="S185" s="1103" t="n"/>
      <c r="T185" s="13" t="n"/>
      <c r="U185" s="13" t="n"/>
      <c r="V185" s="13" t="n"/>
      <c r="W185" s="13" t="n"/>
      <c r="X185" s="171" t="n"/>
      <c r="Y185" s="171" t="n"/>
      <c r="Z185" s="13" t="n"/>
      <c r="AA185" s="13" t="n"/>
      <c r="AB185" s="13" t="n"/>
      <c r="AC185" s="13" t="n"/>
      <c r="AD185" s="13" t="n"/>
      <c r="AE185" s="13" t="n"/>
      <c r="AF185" s="13" t="n"/>
      <c r="AG185" s="13" t="n"/>
      <c r="AH185" s="13" t="n"/>
      <c r="AI185" s="13" t="n"/>
      <c r="AJ185" s="13" t="n"/>
      <c r="AK185" s="13" t="n"/>
      <c r="AL185" s="13" t="n"/>
      <c r="AM185" s="13" t="n"/>
      <c r="AN185" s="13" t="n"/>
      <c r="AO185" s="13" t="n"/>
      <c r="AP185" s="13" t="n"/>
      <c r="AQ185" s="13" t="n"/>
      <c r="AR185" s="13" t="n"/>
      <c r="AS185" s="13" t="n"/>
      <c r="AT185" s="13" t="n"/>
      <c r="AU185" s="13" t="n"/>
      <c r="AV185" s="13" t="n"/>
      <c r="AW185" s="13" t="n"/>
      <c r="AX185" s="13" t="n"/>
      <c r="AY185" s="13" t="n"/>
      <c r="AZ185" s="13" t="n"/>
      <c r="BA185" s="13" t="n"/>
      <c r="BB185" s="13" t="n"/>
      <c r="BC185" s="13" t="n"/>
      <c r="BD185" s="13" t="n"/>
      <c r="BE185" s="13" t="n"/>
      <c r="BF185" s="384" t="inlineStr">
        <is>
          <t>G101025</t>
        </is>
      </c>
      <c r="BG185" s="384" t="inlineStr">
        <is>
          <t>招联（珠海）清洁能源投资有限公司（合并）</t>
        </is>
      </c>
      <c r="BH185" s="384" t="inlineStr">
        <is>
          <t>E101025G</t>
        </is>
      </c>
      <c r="BI185" s="384" t="inlineStr">
        <is>
          <t xml:space="preserve"> 招联（珠海）清洁能源投资有限公司（合并）</t>
        </is>
      </c>
    </row>
    <row r="186">
      <c r="A186" s="13" t="n"/>
      <c r="B186" s="13" t="n"/>
      <c r="C186" s="13" t="n"/>
      <c r="D186" s="13" t="n"/>
      <c r="E186" s="13" t="n"/>
      <c r="F186" s="13" t="n"/>
      <c r="G186" s="13" t="n"/>
      <c r="H186" s="13" t="n"/>
      <c r="I186" s="13" t="n"/>
      <c r="J186" s="13" t="n"/>
      <c r="K186" s="13" t="n"/>
      <c r="L186" s="13" t="n"/>
      <c r="M186" s="13" t="n"/>
      <c r="N186" s="13" t="n"/>
      <c r="O186" s="13" t="n"/>
      <c r="P186" s="13" t="n"/>
      <c r="Q186" s="13" t="n"/>
      <c r="R186" s="13" t="n"/>
      <c r="S186" s="1103" t="n"/>
      <c r="T186" s="13" t="n"/>
      <c r="U186" s="13" t="n"/>
      <c r="V186" s="13" t="n"/>
      <c r="W186" s="13" t="n"/>
      <c r="X186" s="171" t="n"/>
      <c r="Y186" s="171" t="n"/>
      <c r="Z186" s="13" t="n"/>
      <c r="AA186" s="13" t="n"/>
      <c r="AB186" s="13" t="n"/>
      <c r="AC186" s="13" t="n"/>
      <c r="AD186" s="13" t="n"/>
      <c r="AE186" s="13" t="n"/>
      <c r="AF186" s="13" t="n"/>
      <c r="AG186" s="13" t="n"/>
      <c r="AH186" s="13" t="n"/>
      <c r="AI186" s="13" t="n"/>
      <c r="AJ186" s="13" t="n"/>
      <c r="AK186" s="13" t="n"/>
      <c r="AL186" s="13" t="n"/>
      <c r="AM186" s="13" t="n"/>
      <c r="AN186" s="13" t="n"/>
      <c r="AO186" s="13" t="n"/>
      <c r="AP186" s="13" t="n"/>
      <c r="AQ186" s="13" t="n"/>
      <c r="AR186" s="13" t="n"/>
      <c r="AS186" s="13" t="n"/>
      <c r="AT186" s="13" t="n"/>
      <c r="AU186" s="13" t="n"/>
      <c r="AV186" s="13" t="n"/>
      <c r="AW186" s="13" t="n"/>
      <c r="AX186" s="13" t="n"/>
      <c r="AY186" s="13" t="n"/>
      <c r="AZ186" s="13" t="n"/>
      <c r="BA186" s="13" t="n"/>
      <c r="BB186" s="13" t="n"/>
      <c r="BC186" s="13" t="n"/>
      <c r="BD186" s="13" t="n"/>
      <c r="BE186" s="13" t="n"/>
      <c r="BF186" s="384" t="inlineStr">
        <is>
          <t>G101026</t>
        </is>
      </c>
      <c r="BG186" s="384" t="inlineStr">
        <is>
          <t>常州市招联绿灿新能源有限公司（合并）</t>
        </is>
      </c>
      <c r="BH186" s="384" t="inlineStr">
        <is>
          <t>E101026G</t>
        </is>
      </c>
      <c r="BI186" s="384" t="inlineStr">
        <is>
          <t xml:space="preserve"> 常州市招联绿灿新能源有限公司（合并）</t>
        </is>
      </c>
    </row>
    <row r="187">
      <c r="A187" s="13" t="n"/>
      <c r="B187" s="13" t="n"/>
      <c r="C187" s="13" t="n"/>
      <c r="D187" s="13" t="n"/>
      <c r="E187" s="13" t="n"/>
      <c r="F187" s="13" t="n"/>
      <c r="G187" s="13" t="n"/>
      <c r="H187" s="13" t="n"/>
      <c r="I187" s="13" t="n"/>
      <c r="J187" s="13" t="n"/>
      <c r="K187" s="13" t="n"/>
      <c r="L187" s="13" t="n"/>
      <c r="M187" s="13" t="n"/>
      <c r="N187" s="13" t="n"/>
      <c r="O187" s="13" t="n"/>
      <c r="P187" s="13" t="n"/>
      <c r="Q187" s="13" t="n"/>
      <c r="R187" s="13" t="n"/>
      <c r="S187" s="1103" t="n"/>
      <c r="T187" s="13" t="n"/>
      <c r="U187" s="13" t="n"/>
      <c r="V187" s="13" t="n"/>
      <c r="W187" s="13" t="n"/>
      <c r="X187" s="171" t="n"/>
      <c r="Y187" s="171" t="n"/>
      <c r="Z187" s="13" t="n"/>
      <c r="AA187" s="13" t="n"/>
      <c r="AB187" s="13" t="n"/>
      <c r="AC187" s="13" t="n"/>
      <c r="AD187" s="13" t="n"/>
      <c r="AE187" s="13" t="n"/>
      <c r="AF187" s="13" t="n"/>
      <c r="AG187" s="13" t="n"/>
      <c r="AH187" s="13" t="n"/>
      <c r="AI187" s="13" t="n"/>
      <c r="AJ187" s="13" t="n"/>
      <c r="AK187" s="13" t="n"/>
      <c r="AL187" s="13" t="n"/>
      <c r="AM187" s="13" t="n"/>
      <c r="AN187" s="13" t="n"/>
      <c r="AO187" s="13" t="n"/>
      <c r="AP187" s="13" t="n"/>
      <c r="AQ187" s="13" t="n"/>
      <c r="AR187" s="13" t="n"/>
      <c r="AS187" s="13" t="n"/>
      <c r="AT187" s="13" t="n"/>
      <c r="AU187" s="13" t="n"/>
      <c r="AV187" s="13" t="n"/>
      <c r="AW187" s="13" t="n"/>
      <c r="AX187" s="13" t="n"/>
      <c r="AY187" s="13" t="n"/>
      <c r="AZ187" s="13" t="n"/>
      <c r="BA187" s="13" t="n"/>
      <c r="BB187" s="13" t="n"/>
      <c r="BC187" s="13" t="n"/>
      <c r="BD187" s="13" t="n"/>
      <c r="BE187" s="13" t="n"/>
      <c r="BF187" s="384" t="inlineStr">
        <is>
          <t>G101028</t>
        </is>
      </c>
      <c r="BG187" s="384" t="inlineStr">
        <is>
          <t>Renewable Energy UK Portfolio Limited（合并）</t>
        </is>
      </c>
      <c r="BH187" s="384" t="inlineStr">
        <is>
          <t>E101028G</t>
        </is>
      </c>
      <c r="BI187" s="384" t="inlineStr">
        <is>
          <t xml:space="preserve"> Renewable Energy UK Portfolio Limited（合并）</t>
        </is>
      </c>
    </row>
    <row r="188">
      <c r="A188" s="13" t="n"/>
      <c r="B188" s="13" t="n"/>
      <c r="C188" s="13" t="n"/>
      <c r="D188" s="13" t="n"/>
      <c r="E188" s="13" t="n"/>
      <c r="F188" s="13" t="n"/>
      <c r="G188" s="13" t="n"/>
      <c r="H188" s="13" t="n"/>
      <c r="I188" s="13" t="n"/>
      <c r="J188" s="13" t="n"/>
      <c r="K188" s="13" t="n"/>
      <c r="L188" s="13" t="n"/>
      <c r="M188" s="13" t="n"/>
      <c r="N188" s="13" t="n"/>
      <c r="O188" s="13" t="n"/>
      <c r="P188" s="13" t="n"/>
      <c r="Q188" s="13" t="n"/>
      <c r="R188" s="13" t="n"/>
      <c r="S188" s="1103" t="n"/>
      <c r="T188" s="13" t="n"/>
      <c r="U188" s="13" t="n"/>
      <c r="V188" s="13" t="n"/>
      <c r="W188" s="13" t="n"/>
      <c r="X188" s="171" t="n"/>
      <c r="Y188" s="171" t="n"/>
      <c r="Z188" s="13" t="n"/>
      <c r="AA188" s="13" t="n"/>
      <c r="AB188" s="13" t="n"/>
      <c r="AC188" s="13" t="n"/>
      <c r="AD188" s="13" t="n"/>
      <c r="AE188" s="13" t="n"/>
      <c r="AF188" s="13" t="n"/>
      <c r="AG188" s="13" t="n"/>
      <c r="AH188" s="13" t="n"/>
      <c r="AI188" s="13" t="n"/>
      <c r="AJ188" s="13" t="n"/>
      <c r="AK188" s="13" t="n"/>
      <c r="AL188" s="13" t="n"/>
      <c r="AM188" s="13" t="n"/>
      <c r="AN188" s="13" t="n"/>
      <c r="AO188" s="13" t="n"/>
      <c r="AP188" s="13" t="n"/>
      <c r="AQ188" s="13" t="n"/>
      <c r="AR188" s="13" t="n"/>
      <c r="AS188" s="13" t="n"/>
      <c r="AT188" s="13" t="n"/>
      <c r="AU188" s="13" t="n"/>
      <c r="AV188" s="13" t="n"/>
      <c r="AW188" s="13" t="n"/>
      <c r="AX188" s="13" t="n"/>
      <c r="AY188" s="13" t="n"/>
      <c r="AZ188" s="13" t="n"/>
      <c r="BA188" s="13" t="n"/>
      <c r="BB188" s="13" t="n"/>
      <c r="BC188" s="13" t="n"/>
      <c r="BD188" s="13" t="n"/>
      <c r="BE188" s="13" t="n"/>
      <c r="BF188" s="384" t="inlineStr">
        <is>
          <t>G101031</t>
        </is>
      </c>
      <c r="BG188" s="384" t="inlineStr">
        <is>
          <t>Panda Green Power Group Limited（合并）</t>
        </is>
      </c>
      <c r="BH188" s="384" t="inlineStr">
        <is>
          <t>E101031G</t>
        </is>
      </c>
      <c r="BI188" s="384" t="inlineStr">
        <is>
          <t xml:space="preserve"> Panda Green Power Group Limited（合并）</t>
        </is>
      </c>
    </row>
    <row r="189">
      <c r="A189" s="13" t="n"/>
      <c r="B189" s="13" t="n"/>
      <c r="C189" s="13" t="n"/>
      <c r="D189" s="13" t="n"/>
      <c r="E189" s="13" t="n"/>
      <c r="F189" s="13" t="n"/>
      <c r="G189" s="13" t="n"/>
      <c r="H189" s="13" t="n"/>
      <c r="I189" s="13" t="n"/>
      <c r="J189" s="13" t="n"/>
      <c r="K189" s="13" t="n"/>
      <c r="L189" s="13" t="n"/>
      <c r="M189" s="13" t="n"/>
      <c r="N189" s="13" t="n"/>
      <c r="O189" s="13" t="n"/>
      <c r="P189" s="13" t="n"/>
      <c r="Q189" s="13" t="n"/>
      <c r="R189" s="13" t="n"/>
      <c r="S189" s="1103" t="n"/>
      <c r="T189" s="13" t="n"/>
      <c r="U189" s="13" t="n"/>
      <c r="V189" s="13" t="n"/>
      <c r="W189" s="13" t="n"/>
      <c r="X189" s="171" t="n"/>
      <c r="Y189" s="171" t="n"/>
      <c r="Z189" s="13" t="n"/>
      <c r="AA189" s="13" t="n"/>
      <c r="AB189" s="13" t="n"/>
      <c r="AC189" s="13" t="n"/>
      <c r="AD189" s="13" t="n"/>
      <c r="AE189" s="13" t="n"/>
      <c r="AF189" s="13" t="n"/>
      <c r="AG189" s="13" t="n"/>
      <c r="AH189" s="13" t="n"/>
      <c r="AI189" s="13" t="n"/>
      <c r="AJ189" s="13" t="n"/>
      <c r="AK189" s="13" t="n"/>
      <c r="AL189" s="13" t="n"/>
      <c r="AM189" s="13" t="n"/>
      <c r="AN189" s="13" t="n"/>
      <c r="AO189" s="13" t="n"/>
      <c r="AP189" s="13" t="n"/>
      <c r="AQ189" s="13" t="n"/>
      <c r="AR189" s="13" t="n"/>
      <c r="AS189" s="13" t="n"/>
      <c r="AT189" s="13" t="n"/>
      <c r="AU189" s="13" t="n"/>
      <c r="AV189" s="13" t="n"/>
      <c r="AW189" s="13" t="n"/>
      <c r="AX189" s="13" t="n"/>
      <c r="AY189" s="13" t="n"/>
      <c r="AZ189" s="13" t="n"/>
      <c r="BA189" s="13" t="n"/>
      <c r="BB189" s="13" t="n"/>
      <c r="BC189" s="13" t="n"/>
      <c r="BD189" s="13" t="n"/>
      <c r="BE189" s="13" t="n"/>
      <c r="BF189" s="384" t="inlineStr">
        <is>
          <t>G101033</t>
        </is>
      </c>
      <c r="BG189" s="384" t="inlineStr">
        <is>
          <t>East Asia New Energy Group Limited（合并）</t>
        </is>
      </c>
      <c r="BH189" s="384" t="inlineStr">
        <is>
          <t>E101033G</t>
        </is>
      </c>
      <c r="BI189" s="384" t="inlineStr">
        <is>
          <t xml:space="preserve"> East Asia New Energy Group Limited（合并）</t>
        </is>
      </c>
    </row>
    <row r="190">
      <c r="A190" s="13" t="n"/>
      <c r="B190" s="13" t="n"/>
      <c r="C190" s="13" t="n"/>
      <c r="D190" s="13" t="n"/>
      <c r="E190" s="13" t="n"/>
      <c r="F190" s="13" t="n"/>
      <c r="G190" s="13" t="n"/>
      <c r="H190" s="13" t="n"/>
      <c r="I190" s="13" t="n"/>
      <c r="J190" s="13" t="n"/>
      <c r="K190" s="13" t="n"/>
      <c r="L190" s="13" t="n"/>
      <c r="M190" s="13" t="n"/>
      <c r="N190" s="13" t="n"/>
      <c r="O190" s="13" t="n"/>
      <c r="P190" s="13" t="n"/>
      <c r="Q190" s="13" t="n"/>
      <c r="R190" s="13" t="n"/>
      <c r="S190" s="1103" t="n"/>
      <c r="T190" s="13" t="n"/>
      <c r="U190" s="13" t="n"/>
      <c r="V190" s="13" t="n"/>
      <c r="W190" s="13" t="n"/>
      <c r="X190" s="171" t="n"/>
      <c r="Y190" s="171" t="n"/>
      <c r="Z190" s="13" t="n"/>
      <c r="AA190" s="13" t="n"/>
      <c r="AB190" s="13" t="n"/>
      <c r="AC190" s="13" t="n"/>
      <c r="AD190" s="13" t="n"/>
      <c r="AE190" s="13" t="n"/>
      <c r="AF190" s="13" t="n"/>
      <c r="AG190" s="13" t="n"/>
      <c r="AH190" s="13" t="n"/>
      <c r="AI190" s="13" t="n"/>
      <c r="AJ190" s="13" t="n"/>
      <c r="AK190" s="13" t="n"/>
      <c r="AL190" s="13" t="n"/>
      <c r="AM190" s="13" t="n"/>
      <c r="AN190" s="13" t="n"/>
      <c r="AO190" s="13" t="n"/>
      <c r="AP190" s="13" t="n"/>
      <c r="AQ190" s="13" t="n"/>
      <c r="AR190" s="13" t="n"/>
      <c r="AS190" s="13" t="n"/>
      <c r="AT190" s="13" t="n"/>
      <c r="AU190" s="13" t="n"/>
      <c r="AV190" s="13" t="n"/>
      <c r="AW190" s="13" t="n"/>
      <c r="AX190" s="13" t="n"/>
      <c r="AY190" s="13" t="n"/>
      <c r="AZ190" s="13" t="n"/>
      <c r="BA190" s="13" t="n"/>
      <c r="BB190" s="13" t="n"/>
      <c r="BC190" s="13" t="n"/>
      <c r="BD190" s="13" t="n"/>
      <c r="BE190" s="13" t="n"/>
      <c r="BF190" s="384" t="inlineStr">
        <is>
          <t>G101034</t>
        </is>
      </c>
      <c r="BG190" s="384" t="inlineStr">
        <is>
          <t>西藏顺吉新能源科技有限公司（合并）</t>
        </is>
      </c>
      <c r="BH190" s="384" t="inlineStr">
        <is>
          <t>E101034G</t>
        </is>
      </c>
      <c r="BI190" s="384" t="inlineStr">
        <is>
          <t xml:space="preserve"> 西藏顺吉新能源科技有限公司（合并）</t>
        </is>
      </c>
    </row>
    <row r="191">
      <c r="A191" s="13" t="n"/>
      <c r="B191" s="13" t="n"/>
      <c r="C191" s="13" t="n"/>
      <c r="D191" s="13" t="n"/>
      <c r="E191" s="13" t="n"/>
      <c r="F191" s="13" t="n"/>
      <c r="G191" s="13" t="n"/>
      <c r="H191" s="13" t="n"/>
      <c r="I191" s="13" t="n"/>
      <c r="J191" s="13" t="n"/>
      <c r="K191" s="13" t="n"/>
      <c r="L191" s="13" t="n"/>
      <c r="M191" s="13" t="n"/>
      <c r="N191" s="13" t="n"/>
      <c r="O191" s="13" t="n"/>
      <c r="P191" s="13" t="n"/>
      <c r="Q191" s="13" t="n"/>
      <c r="R191" s="13" t="n"/>
      <c r="S191" s="1103" t="n"/>
      <c r="T191" s="13" t="n"/>
      <c r="U191" s="13" t="n"/>
      <c r="V191" s="13" t="n"/>
      <c r="W191" s="13" t="n"/>
      <c r="X191" s="171" t="n"/>
      <c r="Y191" s="171" t="n"/>
      <c r="Z191" s="13" t="n"/>
      <c r="AA191" s="13" t="n"/>
      <c r="AB191" s="13" t="n"/>
      <c r="AC191" s="13" t="n"/>
      <c r="AD191" s="13" t="n"/>
      <c r="AE191" s="13" t="n"/>
      <c r="AF191" s="13" t="n"/>
      <c r="AG191" s="13" t="n"/>
      <c r="AH191" s="13" t="n"/>
      <c r="AI191" s="13" t="n"/>
      <c r="AJ191" s="13" t="n"/>
      <c r="AK191" s="13" t="n"/>
      <c r="AL191" s="13" t="n"/>
      <c r="AM191" s="13" t="n"/>
      <c r="AN191" s="13" t="n"/>
      <c r="AO191" s="13" t="n"/>
      <c r="AP191" s="13" t="n"/>
      <c r="AQ191" s="13" t="n"/>
      <c r="AR191" s="13" t="n"/>
      <c r="AS191" s="13" t="n"/>
      <c r="AT191" s="13" t="n"/>
      <c r="AU191" s="13" t="n"/>
      <c r="AV191" s="13" t="n"/>
      <c r="AW191" s="13" t="n"/>
      <c r="AX191" s="13" t="n"/>
      <c r="AY191" s="13" t="n"/>
      <c r="AZ191" s="13" t="n"/>
      <c r="BA191" s="13" t="n"/>
      <c r="BB191" s="13" t="n"/>
      <c r="BC191" s="13" t="n"/>
      <c r="BD191" s="13" t="n"/>
      <c r="BE191" s="13" t="n"/>
      <c r="BF191" s="384" t="inlineStr">
        <is>
          <t>G101040</t>
        </is>
      </c>
      <c r="BG191" s="384" t="inlineStr">
        <is>
          <t>Tibet Energy Investment Group （Hong Kong） Limited（合并）</t>
        </is>
      </c>
      <c r="BH191" s="384" t="inlineStr">
        <is>
          <t>E101040G</t>
        </is>
      </c>
      <c r="BI191" s="384" t="inlineStr">
        <is>
          <t xml:space="preserve"> Tibet Energy Investment Group （Hong Kong） Limited（合并）</t>
        </is>
      </c>
    </row>
    <row r="192">
      <c r="A192" s="13" t="n"/>
      <c r="B192" s="13" t="n"/>
      <c r="C192" s="13" t="n"/>
      <c r="D192" s="13" t="n"/>
      <c r="E192" s="13" t="n"/>
      <c r="F192" s="13" t="n"/>
      <c r="G192" s="13" t="n"/>
      <c r="H192" s="13" t="n"/>
      <c r="I192" s="13" t="n"/>
      <c r="J192" s="13" t="n"/>
      <c r="K192" s="13" t="n"/>
      <c r="L192" s="13" t="n"/>
      <c r="M192" s="13" t="n"/>
      <c r="N192" s="13" t="n"/>
      <c r="O192" s="13" t="n"/>
      <c r="P192" s="13" t="n"/>
      <c r="Q192" s="13" t="n"/>
      <c r="R192" s="13" t="n"/>
      <c r="S192" s="1103" t="n"/>
      <c r="T192" s="13" t="n"/>
      <c r="U192" s="13" t="n"/>
      <c r="V192" s="13" t="n"/>
      <c r="W192" s="13" t="n"/>
      <c r="X192" s="171" t="n"/>
      <c r="Y192" s="171" t="n"/>
      <c r="Z192" s="13" t="n"/>
      <c r="AA192" s="13" t="n"/>
      <c r="AB192" s="13" t="n"/>
      <c r="AC192" s="13" t="n"/>
      <c r="AD192" s="13" t="n"/>
      <c r="AE192" s="13" t="n"/>
      <c r="AF192" s="13" t="n"/>
      <c r="AG192" s="13" t="n"/>
      <c r="AH192" s="13" t="n"/>
      <c r="AI192" s="13" t="n"/>
      <c r="AJ192" s="13" t="n"/>
      <c r="AK192" s="13" t="n"/>
      <c r="AL192" s="13" t="n"/>
      <c r="AM192" s="13" t="n"/>
      <c r="AN192" s="13" t="n"/>
      <c r="AO192" s="13" t="n"/>
      <c r="AP192" s="13" t="n"/>
      <c r="AQ192" s="13" t="n"/>
      <c r="AR192" s="13" t="n"/>
      <c r="AS192" s="13" t="n"/>
      <c r="AT192" s="13" t="n"/>
      <c r="AU192" s="13" t="n"/>
      <c r="AV192" s="13" t="n"/>
      <c r="AW192" s="13" t="n"/>
      <c r="AX192" s="13" t="n"/>
      <c r="AY192" s="13" t="n"/>
      <c r="AZ192" s="13" t="n"/>
      <c r="BA192" s="13" t="n"/>
      <c r="BB192" s="13" t="n"/>
      <c r="BC192" s="13" t="n"/>
      <c r="BD192" s="13" t="n"/>
      <c r="BE192" s="13" t="n"/>
      <c r="BF192" s="384" t="inlineStr">
        <is>
          <t>G101042</t>
        </is>
      </c>
      <c r="BG192" s="384" t="inlineStr">
        <is>
          <t>Panda Solar Power Holdings Limited（合并）</t>
        </is>
      </c>
      <c r="BH192" s="384" t="inlineStr">
        <is>
          <t>E101042G</t>
        </is>
      </c>
      <c r="BI192" s="384" t="inlineStr">
        <is>
          <t xml:space="preserve"> Panda Solar Power Holdings Limited（合并）</t>
        </is>
      </c>
    </row>
    <row r="193">
      <c r="A193" s="13" t="n"/>
      <c r="B193" s="13" t="n"/>
      <c r="C193" s="13" t="n"/>
      <c r="D193" s="13" t="n"/>
      <c r="E193" s="13" t="n"/>
      <c r="F193" s="13" t="n"/>
      <c r="G193" s="13" t="n"/>
      <c r="H193" s="13" t="n"/>
      <c r="I193" s="13" t="n"/>
      <c r="J193" s="13" t="n"/>
      <c r="K193" s="13" t="n"/>
      <c r="L193" s="13" t="n"/>
      <c r="M193" s="13" t="n"/>
      <c r="N193" s="13" t="n"/>
      <c r="O193" s="13" t="n"/>
      <c r="P193" s="13" t="n"/>
      <c r="Q193" s="13" t="n"/>
      <c r="R193" s="13" t="n"/>
      <c r="S193" s="1103" t="n"/>
      <c r="T193" s="13" t="n"/>
      <c r="U193" s="13" t="n"/>
      <c r="V193" s="13" t="n"/>
      <c r="W193" s="13" t="n"/>
      <c r="X193" s="171" t="n"/>
      <c r="Y193" s="171" t="n"/>
      <c r="Z193" s="13" t="n"/>
      <c r="AA193" s="13" t="n"/>
      <c r="AB193" s="13" t="n"/>
      <c r="AC193" s="13" t="n"/>
      <c r="AD193" s="13" t="n"/>
      <c r="AE193" s="13" t="n"/>
      <c r="AF193" s="13" t="n"/>
      <c r="AG193" s="13" t="n"/>
      <c r="AH193" s="13" t="n"/>
      <c r="AI193" s="13" t="n"/>
      <c r="AJ193" s="13" t="n"/>
      <c r="AK193" s="13" t="n"/>
      <c r="AL193" s="13" t="n"/>
      <c r="AM193" s="13" t="n"/>
      <c r="AN193" s="13" t="n"/>
      <c r="AO193" s="13" t="n"/>
      <c r="AP193" s="13" t="n"/>
      <c r="AQ193" s="13" t="n"/>
      <c r="AR193" s="13" t="n"/>
      <c r="AS193" s="13" t="n"/>
      <c r="AT193" s="13" t="n"/>
      <c r="AU193" s="13" t="n"/>
      <c r="AV193" s="13" t="n"/>
      <c r="AW193" s="13" t="n"/>
      <c r="AX193" s="13" t="n"/>
      <c r="AY193" s="13" t="n"/>
      <c r="AZ193" s="13" t="n"/>
      <c r="BA193" s="13" t="n"/>
      <c r="BB193" s="13" t="n"/>
      <c r="BC193" s="13" t="n"/>
      <c r="BD193" s="13" t="n"/>
      <c r="BE193" s="13" t="n"/>
      <c r="BF193" s="384" t="inlineStr">
        <is>
          <t>G101044</t>
        </is>
      </c>
      <c r="BG193" s="384" t="inlineStr">
        <is>
          <t>JingNeng Renewable Energy International Group Limited（合并）</t>
        </is>
      </c>
      <c r="BH193" s="384" t="inlineStr">
        <is>
          <t>E101044G</t>
        </is>
      </c>
      <c r="BI193" s="384" t="inlineStr">
        <is>
          <t xml:space="preserve"> JingNeng Renewable Energy International Group Limited（合并）</t>
        </is>
      </c>
    </row>
    <row r="194">
      <c r="A194" s="13" t="n"/>
      <c r="B194" s="13" t="n"/>
      <c r="C194" s="13" t="n"/>
      <c r="D194" s="13" t="n"/>
      <c r="E194" s="13" t="n"/>
      <c r="F194" s="13" t="n"/>
      <c r="G194" s="13" t="n"/>
      <c r="H194" s="13" t="n"/>
      <c r="I194" s="13" t="n"/>
      <c r="J194" s="13" t="n"/>
      <c r="K194" s="13" t="n"/>
      <c r="L194" s="13" t="n"/>
      <c r="M194" s="13" t="n"/>
      <c r="N194" s="13" t="n"/>
      <c r="O194" s="13" t="n"/>
      <c r="P194" s="13" t="n"/>
      <c r="Q194" s="13" t="n"/>
      <c r="R194" s="13" t="n"/>
      <c r="S194" s="1103" t="n"/>
      <c r="T194" s="13" t="n"/>
      <c r="U194" s="13" t="n"/>
      <c r="V194" s="13" t="n"/>
      <c r="W194" s="13" t="n"/>
      <c r="X194" s="171" t="n"/>
      <c r="Y194" s="171" t="n"/>
      <c r="Z194" s="13" t="n"/>
      <c r="AA194" s="13" t="n"/>
      <c r="AB194" s="13" t="n"/>
      <c r="AC194" s="13" t="n"/>
      <c r="AD194" s="13" t="n"/>
      <c r="AE194" s="13" t="n"/>
      <c r="AF194" s="13" t="n"/>
      <c r="AG194" s="13" t="n"/>
      <c r="AH194" s="13" t="n"/>
      <c r="AI194" s="13" t="n"/>
      <c r="AJ194" s="13" t="n"/>
      <c r="AK194" s="13" t="n"/>
      <c r="AL194" s="13" t="n"/>
      <c r="AM194" s="13" t="n"/>
      <c r="AN194" s="13" t="n"/>
      <c r="AO194" s="13" t="n"/>
      <c r="AP194" s="13" t="n"/>
      <c r="AQ194" s="13" t="n"/>
      <c r="AR194" s="13" t="n"/>
      <c r="AS194" s="13" t="n"/>
      <c r="AT194" s="13" t="n"/>
      <c r="AU194" s="13" t="n"/>
      <c r="AV194" s="13" t="n"/>
      <c r="AW194" s="13" t="n"/>
      <c r="AX194" s="13" t="n"/>
      <c r="AY194" s="13" t="n"/>
      <c r="AZ194" s="13" t="n"/>
      <c r="BA194" s="13" t="n"/>
      <c r="BB194" s="13" t="n"/>
      <c r="BC194" s="13" t="n"/>
      <c r="BD194" s="13" t="n"/>
      <c r="BE194" s="13" t="n"/>
      <c r="BF194" s="384" t="inlineStr">
        <is>
          <t>G101045</t>
        </is>
      </c>
      <c r="BG194" s="384" t="inlineStr">
        <is>
          <t>Beijing Energy International （Australia） Holding Pty Ltd（合并）</t>
        </is>
      </c>
      <c r="BH194" s="384" t="inlineStr">
        <is>
          <t>E101045G</t>
        </is>
      </c>
      <c r="BI194" s="384" t="inlineStr">
        <is>
          <t xml:space="preserve"> Beijing Energy International （Australia） Holding Pty Ltd（合并）</t>
        </is>
      </c>
    </row>
    <row r="195">
      <c r="A195" s="13" t="n"/>
      <c r="B195" s="13" t="n"/>
      <c r="C195" s="13" t="n"/>
      <c r="D195" s="13" t="n"/>
      <c r="E195" s="13" t="n"/>
      <c r="F195" s="13" t="n"/>
      <c r="G195" s="13" t="n"/>
      <c r="H195" s="13" t="n"/>
      <c r="I195" s="13" t="n"/>
      <c r="J195" s="13" t="n"/>
      <c r="K195" s="13" t="n"/>
      <c r="L195" s="13" t="n"/>
      <c r="M195" s="13" t="n"/>
      <c r="N195" s="13" t="n"/>
      <c r="O195" s="13" t="n"/>
      <c r="P195" s="13" t="n"/>
      <c r="Q195" s="13" t="n"/>
      <c r="R195" s="13" t="n"/>
      <c r="S195" s="1103" t="n"/>
      <c r="T195" s="13" t="n"/>
      <c r="U195" s="13" t="n"/>
      <c r="V195" s="13" t="n"/>
      <c r="W195" s="13" t="n"/>
      <c r="X195" s="171" t="n"/>
      <c r="Y195" s="171" t="n"/>
      <c r="Z195" s="13" t="n"/>
      <c r="AA195" s="13" t="n"/>
      <c r="AB195" s="13" t="n"/>
      <c r="AC195" s="13" t="n"/>
      <c r="AD195" s="13" t="n"/>
      <c r="AE195" s="13" t="n"/>
      <c r="AF195" s="13" t="n"/>
      <c r="AG195" s="13" t="n"/>
      <c r="AH195" s="13" t="n"/>
      <c r="AI195" s="13" t="n"/>
      <c r="AJ195" s="13" t="n"/>
      <c r="AK195" s="13" t="n"/>
      <c r="AL195" s="13" t="n"/>
      <c r="AM195" s="13" t="n"/>
      <c r="AN195" s="13" t="n"/>
      <c r="AO195" s="13" t="n"/>
      <c r="AP195" s="13" t="n"/>
      <c r="AQ195" s="13" t="n"/>
      <c r="AR195" s="13" t="n"/>
      <c r="AS195" s="13" t="n"/>
      <c r="AT195" s="13" t="n"/>
      <c r="AU195" s="13" t="n"/>
      <c r="AV195" s="13" t="n"/>
      <c r="AW195" s="13" t="n"/>
      <c r="AX195" s="13" t="n"/>
      <c r="AY195" s="13" t="n"/>
      <c r="AZ195" s="13" t="n"/>
      <c r="BA195" s="13" t="n"/>
      <c r="BB195" s="13" t="n"/>
      <c r="BC195" s="13" t="n"/>
      <c r="BD195" s="13" t="n"/>
      <c r="BE195" s="13" t="n"/>
      <c r="BF195" s="384" t="inlineStr">
        <is>
          <t>G101046</t>
        </is>
      </c>
      <c r="BG195" s="384" t="inlineStr">
        <is>
          <t>Wollar Solar Holding Pty Ltd（合并）</t>
        </is>
      </c>
      <c r="BH195" s="384" t="inlineStr">
        <is>
          <t>E101046G</t>
        </is>
      </c>
      <c r="BI195" s="384" t="inlineStr">
        <is>
          <t xml:space="preserve"> Wollar Solar Holding Pty Ltd（合并）</t>
        </is>
      </c>
    </row>
    <row r="196">
      <c r="A196" s="13" t="n"/>
      <c r="B196" s="13" t="n"/>
      <c r="C196" s="13" t="n"/>
      <c r="D196" s="13" t="n"/>
      <c r="E196" s="13" t="n"/>
      <c r="F196" s="13" t="n"/>
      <c r="G196" s="13" t="n"/>
      <c r="H196" s="13" t="n"/>
      <c r="I196" s="13" t="n"/>
      <c r="J196" s="13" t="n"/>
      <c r="K196" s="13" t="n"/>
      <c r="L196" s="13" t="n"/>
      <c r="M196" s="13" t="n"/>
      <c r="N196" s="13" t="n"/>
      <c r="O196" s="13" t="n"/>
      <c r="P196" s="13" t="n"/>
      <c r="Q196" s="13" t="n"/>
      <c r="R196" s="13" t="n"/>
      <c r="S196" s="1103" t="n"/>
      <c r="T196" s="13" t="n"/>
      <c r="U196" s="13" t="n"/>
      <c r="V196" s="13" t="n"/>
      <c r="W196" s="13" t="n"/>
      <c r="X196" s="171" t="n"/>
      <c r="Y196" s="171" t="n"/>
      <c r="Z196" s="13" t="n"/>
      <c r="AA196" s="13" t="n"/>
      <c r="AB196" s="13" t="n"/>
      <c r="AC196" s="13" t="n"/>
      <c r="AD196" s="13" t="n"/>
      <c r="AE196" s="13" t="n"/>
      <c r="AF196" s="13" t="n"/>
      <c r="AG196" s="13" t="n"/>
      <c r="AH196" s="13" t="n"/>
      <c r="AI196" s="13" t="n"/>
      <c r="AJ196" s="13" t="n"/>
      <c r="AK196" s="13" t="n"/>
      <c r="AL196" s="13" t="n"/>
      <c r="AM196" s="13" t="n"/>
      <c r="AN196" s="13" t="n"/>
      <c r="AO196" s="13" t="n"/>
      <c r="AP196" s="13" t="n"/>
      <c r="AQ196" s="13" t="n"/>
      <c r="AR196" s="13" t="n"/>
      <c r="AS196" s="13" t="n"/>
      <c r="AT196" s="13" t="n"/>
      <c r="AU196" s="13" t="n"/>
      <c r="AV196" s="13" t="n"/>
      <c r="AW196" s="13" t="n"/>
      <c r="AX196" s="13" t="n"/>
      <c r="AY196" s="13" t="n"/>
      <c r="AZ196" s="13" t="n"/>
      <c r="BA196" s="13" t="n"/>
      <c r="BB196" s="13" t="n"/>
      <c r="BC196" s="13" t="n"/>
      <c r="BD196" s="13" t="n"/>
      <c r="BE196" s="13" t="n"/>
      <c r="BF196" s="384" t="inlineStr">
        <is>
          <t>G101047</t>
        </is>
      </c>
      <c r="BG196" s="384" t="inlineStr">
        <is>
          <t>MNS Wind Holding Pty Limited（合并）</t>
        </is>
      </c>
      <c r="BH196" s="384" t="inlineStr">
        <is>
          <t>E101047G</t>
        </is>
      </c>
      <c r="BI196" s="384" t="inlineStr">
        <is>
          <t xml:space="preserve"> MNS Wind Holding Pty Limited（合并）</t>
        </is>
      </c>
    </row>
    <row r="197">
      <c r="A197" s="13" t="n"/>
      <c r="B197" s="13" t="n"/>
      <c r="C197" s="13" t="n"/>
      <c r="D197" s="13" t="n"/>
      <c r="E197" s="13" t="n"/>
      <c r="F197" s="13" t="n"/>
      <c r="G197" s="13" t="n"/>
      <c r="H197" s="13" t="n"/>
      <c r="I197" s="13" t="n"/>
      <c r="J197" s="13" t="n"/>
      <c r="K197" s="13" t="n"/>
      <c r="L197" s="13" t="n"/>
      <c r="M197" s="13" t="n"/>
      <c r="N197" s="13" t="n"/>
      <c r="O197" s="13" t="n"/>
      <c r="P197" s="13" t="n"/>
      <c r="Q197" s="13" t="n"/>
      <c r="R197" s="13" t="n"/>
      <c r="S197" s="1103" t="n"/>
      <c r="T197" s="13" t="n"/>
      <c r="U197" s="13" t="n"/>
      <c r="V197" s="13" t="n"/>
      <c r="W197" s="13" t="n"/>
      <c r="X197" s="171" t="n"/>
      <c r="Y197" s="171" t="n"/>
      <c r="Z197" s="13" t="n"/>
      <c r="AA197" s="13" t="n"/>
      <c r="AB197" s="13" t="n"/>
      <c r="AC197" s="13" t="n"/>
      <c r="AD197" s="13" t="n"/>
      <c r="AE197" s="13" t="n"/>
      <c r="AF197" s="13" t="n"/>
      <c r="AG197" s="13" t="n"/>
      <c r="AH197" s="13" t="n"/>
      <c r="AI197" s="13" t="n"/>
      <c r="AJ197" s="13" t="n"/>
      <c r="AK197" s="13" t="n"/>
      <c r="AL197" s="13" t="n"/>
      <c r="AM197" s="13" t="n"/>
      <c r="AN197" s="13" t="n"/>
      <c r="AO197" s="13" t="n"/>
      <c r="AP197" s="13" t="n"/>
      <c r="AQ197" s="13" t="n"/>
      <c r="AR197" s="13" t="n"/>
      <c r="AS197" s="13" t="n"/>
      <c r="AT197" s="13" t="n"/>
      <c r="AU197" s="13" t="n"/>
      <c r="AV197" s="13" t="n"/>
      <c r="AW197" s="13" t="n"/>
      <c r="AX197" s="13" t="n"/>
      <c r="AY197" s="13" t="n"/>
      <c r="AZ197" s="13" t="n"/>
      <c r="BA197" s="13" t="n"/>
      <c r="BB197" s="13" t="n"/>
      <c r="BC197" s="13" t="n"/>
      <c r="BD197" s="13" t="n"/>
      <c r="BE197" s="13" t="n"/>
      <c r="BF197" s="384" t="inlineStr">
        <is>
          <t>G101049</t>
        </is>
      </c>
      <c r="BG197" s="384" t="inlineStr">
        <is>
          <t>Wollar Solar Finance Pty Ltd（合并）</t>
        </is>
      </c>
      <c r="BH197" s="384" t="inlineStr">
        <is>
          <t>E101049G</t>
        </is>
      </c>
      <c r="BI197" s="384" t="inlineStr">
        <is>
          <t xml:space="preserve"> Wollar Solar Finance Pty Ltd（合并）</t>
        </is>
      </c>
    </row>
    <row r="198">
      <c r="A198" s="13" t="n"/>
      <c r="B198" s="13" t="n"/>
      <c r="C198" s="13" t="n"/>
      <c r="D198" s="13" t="n"/>
      <c r="E198" s="13" t="n"/>
      <c r="F198" s="13" t="n"/>
      <c r="G198" s="13" t="n"/>
      <c r="H198" s="13" t="n"/>
      <c r="I198" s="13" t="n"/>
      <c r="J198" s="13" t="n"/>
      <c r="K198" s="13" t="n"/>
      <c r="L198" s="13" t="n"/>
      <c r="M198" s="13" t="n"/>
      <c r="N198" s="13" t="n"/>
      <c r="O198" s="13" t="n"/>
      <c r="P198" s="13" t="n"/>
      <c r="Q198" s="13" t="n"/>
      <c r="R198" s="13" t="n"/>
      <c r="S198" s="1103" t="n"/>
      <c r="T198" s="13" t="n"/>
      <c r="U198" s="13" t="n"/>
      <c r="V198" s="13" t="n"/>
      <c r="W198" s="13" t="n"/>
      <c r="X198" s="171" t="n"/>
      <c r="Y198" s="171" t="n"/>
      <c r="Z198" s="13" t="n"/>
      <c r="AA198" s="13" t="n"/>
      <c r="AB198" s="13" t="n"/>
      <c r="AC198" s="13" t="n"/>
      <c r="AD198" s="13" t="n"/>
      <c r="AE198" s="13" t="n"/>
      <c r="AF198" s="13" t="n"/>
      <c r="AG198" s="13" t="n"/>
      <c r="AH198" s="13" t="n"/>
      <c r="AI198" s="13" t="n"/>
      <c r="AJ198" s="13" t="n"/>
      <c r="AK198" s="13" t="n"/>
      <c r="AL198" s="13" t="n"/>
      <c r="AM198" s="13" t="n"/>
      <c r="AN198" s="13" t="n"/>
      <c r="AO198" s="13" t="n"/>
      <c r="AP198" s="13" t="n"/>
      <c r="AQ198" s="13" t="n"/>
      <c r="AR198" s="13" t="n"/>
      <c r="AS198" s="13" t="n"/>
      <c r="AT198" s="13" t="n"/>
      <c r="AU198" s="13" t="n"/>
      <c r="AV198" s="13" t="n"/>
      <c r="AW198" s="13" t="n"/>
      <c r="AX198" s="13" t="n"/>
      <c r="AY198" s="13" t="n"/>
      <c r="AZ198" s="13" t="n"/>
      <c r="BA198" s="13" t="n"/>
      <c r="BB198" s="13" t="n"/>
      <c r="BC198" s="13" t="n"/>
      <c r="BD198" s="13" t="n"/>
      <c r="BE198" s="13" t="n"/>
      <c r="BF198" s="384" t="inlineStr">
        <is>
          <t>G101054</t>
        </is>
      </c>
      <c r="BG198" s="384" t="inlineStr">
        <is>
          <t>北京华远意通热力科技股份有限公司（合并）</t>
        </is>
      </c>
      <c r="BH198" s="384" t="inlineStr">
        <is>
          <t>E101054G</t>
        </is>
      </c>
      <c r="BI198" s="384" t="inlineStr">
        <is>
          <t xml:space="preserve"> 北京华远意通热力科技股份有限公司（合并）</t>
        </is>
      </c>
    </row>
    <row r="199">
      <c r="A199" s="13" t="n"/>
      <c r="B199" s="13" t="n"/>
      <c r="C199" s="13" t="n"/>
      <c r="D199" s="13" t="n"/>
      <c r="E199" s="13" t="n"/>
      <c r="F199" s="13" t="n"/>
      <c r="G199" s="13" t="n"/>
      <c r="H199" s="13" t="n"/>
      <c r="I199" s="13" t="n"/>
      <c r="J199" s="13" t="n"/>
      <c r="K199" s="13" t="n"/>
      <c r="L199" s="13" t="n"/>
      <c r="M199" s="13" t="n"/>
      <c r="N199" s="13" t="n"/>
      <c r="O199" s="13" t="n"/>
      <c r="P199" s="13" t="n"/>
      <c r="Q199" s="13" t="n"/>
      <c r="R199" s="13" t="n"/>
      <c r="S199" s="1103" t="n"/>
      <c r="T199" s="13" t="n"/>
      <c r="U199" s="13" t="n"/>
      <c r="V199" s="13" t="n"/>
      <c r="W199" s="13" t="n"/>
      <c r="X199" s="171" t="n"/>
      <c r="Y199" s="171" t="n"/>
      <c r="Z199" s="13" t="n"/>
      <c r="AA199" s="13" t="n"/>
      <c r="AB199" s="13" t="n"/>
      <c r="AC199" s="13" t="n"/>
      <c r="AD199" s="13" t="n"/>
      <c r="AE199" s="13" t="n"/>
      <c r="AF199" s="13" t="n"/>
      <c r="AG199" s="13" t="n"/>
      <c r="AH199" s="13" t="n"/>
      <c r="AI199" s="13" t="n"/>
      <c r="AJ199" s="13" t="n"/>
      <c r="AK199" s="13" t="n"/>
      <c r="AL199" s="13" t="n"/>
      <c r="AM199" s="13" t="n"/>
      <c r="AN199" s="13" t="n"/>
      <c r="AO199" s="13" t="n"/>
      <c r="AP199" s="13" t="n"/>
      <c r="AQ199" s="13" t="n"/>
      <c r="AR199" s="13" t="n"/>
      <c r="AS199" s="13" t="n"/>
      <c r="AT199" s="13" t="n"/>
      <c r="AU199" s="13" t="n"/>
      <c r="AV199" s="13" t="n"/>
      <c r="AW199" s="13" t="n"/>
      <c r="AX199" s="13" t="n"/>
      <c r="AY199" s="13" t="n"/>
      <c r="AZ199" s="13" t="n"/>
      <c r="BA199" s="13" t="n"/>
      <c r="BB199" s="13" t="n"/>
      <c r="BC199" s="13" t="n"/>
      <c r="BD199" s="13" t="n"/>
      <c r="BE199" s="13" t="n"/>
      <c r="BF199" s="384" t="inlineStr">
        <is>
          <t>G101054H</t>
        </is>
      </c>
      <c r="BG199" s="384" t="inlineStr">
        <is>
          <t>北京华远意通热力科技股份有限公司（母公司）</t>
        </is>
      </c>
      <c r="BH199" s="384" t="inlineStr">
        <is>
          <t>E101054H</t>
        </is>
      </c>
      <c r="BI199" s="384" t="inlineStr">
        <is>
          <t xml:space="preserve"> 北京华远意通热力科技股份有限公司（母公司）</t>
        </is>
      </c>
    </row>
    <row r="200">
      <c r="A200" s="13" t="n"/>
      <c r="B200" s="13" t="n"/>
      <c r="C200" s="13" t="n"/>
      <c r="D200" s="13" t="n"/>
      <c r="E200" s="13" t="n"/>
      <c r="F200" s="13" t="n"/>
      <c r="G200" s="13" t="n"/>
      <c r="H200" s="13" t="n"/>
      <c r="I200" s="13" t="n"/>
      <c r="J200" s="13" t="n"/>
      <c r="K200" s="13" t="n"/>
      <c r="L200" s="13" t="n"/>
      <c r="M200" s="13" t="n"/>
      <c r="N200" s="13" t="n"/>
      <c r="O200" s="13" t="n"/>
      <c r="P200" s="13" t="n"/>
      <c r="Q200" s="13" t="n"/>
      <c r="R200" s="13" t="n"/>
      <c r="S200" s="1103" t="n"/>
      <c r="T200" s="13" t="n"/>
      <c r="U200" s="13" t="n"/>
      <c r="V200" s="13" t="n"/>
      <c r="W200" s="13" t="n"/>
      <c r="X200" s="171" t="n"/>
      <c r="Y200" s="171" t="n"/>
      <c r="Z200" s="13" t="n"/>
      <c r="AA200" s="13" t="n"/>
      <c r="AB200" s="13" t="n"/>
      <c r="AC200" s="13" t="n"/>
      <c r="AD200" s="13" t="n"/>
      <c r="AE200" s="13" t="n"/>
      <c r="AF200" s="13" t="n"/>
      <c r="AG200" s="13" t="n"/>
      <c r="AH200" s="13" t="n"/>
      <c r="AI200" s="13" t="n"/>
      <c r="AJ200" s="13" t="n"/>
      <c r="AK200" s="13" t="n"/>
      <c r="AL200" s="13" t="n"/>
      <c r="AM200" s="13" t="n"/>
      <c r="AN200" s="13" t="n"/>
      <c r="AO200" s="13" t="n"/>
      <c r="AP200" s="13" t="n"/>
      <c r="AQ200" s="13" t="n"/>
      <c r="AR200" s="13" t="n"/>
      <c r="AS200" s="13" t="n"/>
      <c r="AT200" s="13" t="n"/>
      <c r="AU200" s="13" t="n"/>
      <c r="AV200" s="13" t="n"/>
      <c r="AW200" s="13" t="n"/>
      <c r="AX200" s="13" t="n"/>
      <c r="AY200" s="13" t="n"/>
      <c r="AZ200" s="13" t="n"/>
      <c r="BA200" s="13" t="n"/>
      <c r="BB200" s="13" t="n"/>
      <c r="BC200" s="13" t="n"/>
      <c r="BD200" s="13" t="n"/>
      <c r="BE200" s="13" t="n"/>
      <c r="BF200" s="384" t="inlineStr">
        <is>
          <t>G101056</t>
        </is>
      </c>
      <c r="BG200" s="384" t="inlineStr">
        <is>
          <t>北京华意龙达科技发展有限公司（合并）</t>
        </is>
      </c>
      <c r="BH200" s="384" t="inlineStr">
        <is>
          <t>E101056G</t>
        </is>
      </c>
      <c r="BI200" s="384" t="inlineStr">
        <is>
          <t xml:space="preserve"> 北京华意龙达科技发展有限公司（合并）</t>
        </is>
      </c>
    </row>
    <row r="201">
      <c r="A201" s="13" t="n"/>
      <c r="B201" s="13" t="n"/>
      <c r="C201" s="13" t="n"/>
      <c r="D201" s="13" t="n"/>
      <c r="E201" s="13" t="n"/>
      <c r="F201" s="13" t="n"/>
      <c r="G201" s="13" t="n"/>
      <c r="H201" s="13" t="n"/>
      <c r="I201" s="13" t="n"/>
      <c r="J201" s="13" t="n"/>
      <c r="K201" s="13" t="n"/>
      <c r="L201" s="13" t="n"/>
      <c r="M201" s="13" t="n"/>
      <c r="N201" s="13" t="n"/>
      <c r="O201" s="13" t="n"/>
      <c r="P201" s="13" t="n"/>
      <c r="Q201" s="13" t="n"/>
      <c r="R201" s="13" t="n"/>
      <c r="S201" s="1103" t="n"/>
      <c r="T201" s="13" t="n"/>
      <c r="U201" s="13" t="n"/>
      <c r="V201" s="13" t="n"/>
      <c r="W201" s="13" t="n"/>
      <c r="X201" s="171" t="n"/>
      <c r="Y201" s="171" t="n"/>
      <c r="Z201" s="13" t="n"/>
      <c r="AA201" s="13" t="n"/>
      <c r="AB201" s="13" t="n"/>
      <c r="AC201" s="13" t="n"/>
      <c r="AD201" s="13" t="n"/>
      <c r="AE201" s="13" t="n"/>
      <c r="AF201" s="13" t="n"/>
      <c r="AG201" s="13" t="n"/>
      <c r="AH201" s="13" t="n"/>
      <c r="AI201" s="13" t="n"/>
      <c r="AJ201" s="13" t="n"/>
      <c r="AK201" s="13" t="n"/>
      <c r="AL201" s="13" t="n"/>
      <c r="AM201" s="13" t="n"/>
      <c r="AN201" s="13" t="n"/>
      <c r="AO201" s="13" t="n"/>
      <c r="AP201" s="13" t="n"/>
      <c r="AQ201" s="13" t="n"/>
      <c r="AR201" s="13" t="n"/>
      <c r="AS201" s="13" t="n"/>
      <c r="AT201" s="13" t="n"/>
      <c r="AU201" s="13" t="n"/>
      <c r="AV201" s="13" t="n"/>
      <c r="AW201" s="13" t="n"/>
      <c r="AX201" s="13" t="n"/>
      <c r="AY201" s="13" t="n"/>
      <c r="AZ201" s="13" t="n"/>
      <c r="BA201" s="13" t="n"/>
      <c r="BB201" s="13" t="n"/>
      <c r="BC201" s="13" t="n"/>
      <c r="BD201" s="13" t="n"/>
      <c r="BE201" s="13" t="n"/>
      <c r="BF201" s="384" t="inlineStr">
        <is>
          <t>G101070</t>
        </is>
      </c>
      <c r="BG201" s="384" t="inlineStr">
        <is>
          <t>深圳市前海毓华清洁能源投资有限公司（合并）</t>
        </is>
      </c>
      <c r="BH201" s="384" t="inlineStr">
        <is>
          <t>E101070G</t>
        </is>
      </c>
      <c r="BI201" s="384" t="inlineStr">
        <is>
          <t xml:space="preserve"> 深圳市前海毓华清洁能源投资有限公司（合并）</t>
        </is>
      </c>
    </row>
    <row r="202">
      <c r="A202" s="13" t="n"/>
      <c r="B202" s="13" t="n"/>
      <c r="C202" s="13" t="n"/>
      <c r="D202" s="13" t="n"/>
      <c r="E202" s="13" t="n"/>
      <c r="F202" s="13" t="n"/>
      <c r="G202" s="13" t="n"/>
      <c r="H202" s="13" t="n"/>
      <c r="I202" s="13" t="n"/>
      <c r="J202" s="13" t="n"/>
      <c r="K202" s="13" t="n"/>
      <c r="L202" s="13" t="n"/>
      <c r="M202" s="13" t="n"/>
      <c r="N202" s="13" t="n"/>
      <c r="O202" s="13" t="n"/>
      <c r="P202" s="13" t="n"/>
      <c r="Q202" s="13" t="n"/>
      <c r="R202" s="13" t="n"/>
      <c r="S202" s="1103" t="n"/>
      <c r="T202" s="13" t="n"/>
      <c r="U202" s="13" t="n"/>
      <c r="V202" s="13" t="n"/>
      <c r="W202" s="13" t="n"/>
      <c r="X202" s="171" t="n"/>
      <c r="Y202" s="171" t="n"/>
      <c r="Z202" s="13" t="n"/>
      <c r="AA202" s="13" t="n"/>
      <c r="AB202" s="13" t="n"/>
      <c r="AC202" s="13" t="n"/>
      <c r="AD202" s="13" t="n"/>
      <c r="AE202" s="13" t="n"/>
      <c r="AF202" s="13" t="n"/>
      <c r="AG202" s="13" t="n"/>
      <c r="AH202" s="13" t="n"/>
      <c r="AI202" s="13" t="n"/>
      <c r="AJ202" s="13" t="n"/>
      <c r="AK202" s="13" t="n"/>
      <c r="AL202" s="13" t="n"/>
      <c r="AM202" s="13" t="n"/>
      <c r="AN202" s="13" t="n"/>
      <c r="AO202" s="13" t="n"/>
      <c r="AP202" s="13" t="n"/>
      <c r="AQ202" s="13" t="n"/>
      <c r="AR202" s="13" t="n"/>
      <c r="AS202" s="13" t="n"/>
      <c r="AT202" s="13" t="n"/>
      <c r="AU202" s="13" t="n"/>
      <c r="AV202" s="13" t="n"/>
      <c r="AW202" s="13" t="n"/>
      <c r="AX202" s="13" t="n"/>
      <c r="AY202" s="13" t="n"/>
      <c r="AZ202" s="13" t="n"/>
      <c r="BA202" s="13" t="n"/>
      <c r="BB202" s="13" t="n"/>
      <c r="BC202" s="13" t="n"/>
      <c r="BD202" s="13" t="n"/>
      <c r="BE202" s="13" t="n"/>
      <c r="BF202" s="384" t="inlineStr">
        <is>
          <t>G101074</t>
        </is>
      </c>
      <c r="BG202" s="384" t="inlineStr">
        <is>
          <t>南京安晟新能源有限公司（合并）</t>
        </is>
      </c>
      <c r="BH202" s="384" t="inlineStr">
        <is>
          <t>E101074G</t>
        </is>
      </c>
      <c r="BI202" s="384" t="inlineStr">
        <is>
          <t xml:space="preserve"> 南京安晟新能源有限公司（合并）</t>
        </is>
      </c>
    </row>
    <row r="203">
      <c r="A203" s="13" t="n"/>
      <c r="B203" s="13" t="n"/>
      <c r="C203" s="13" t="n"/>
      <c r="D203" s="13" t="n"/>
      <c r="E203" s="13" t="n"/>
      <c r="F203" s="13" t="n"/>
      <c r="G203" s="13" t="n"/>
      <c r="H203" s="13" t="n"/>
      <c r="I203" s="13" t="n"/>
      <c r="J203" s="13" t="n"/>
      <c r="K203" s="13" t="n"/>
      <c r="L203" s="13" t="n"/>
      <c r="M203" s="13" t="n"/>
      <c r="N203" s="13" t="n"/>
      <c r="O203" s="13" t="n"/>
      <c r="P203" s="13" t="n"/>
      <c r="Q203" s="13" t="n"/>
      <c r="R203" s="13" t="n"/>
      <c r="S203" s="1103" t="n"/>
      <c r="T203" s="13" t="n"/>
      <c r="U203" s="13" t="n"/>
      <c r="V203" s="13" t="n"/>
      <c r="W203" s="13" t="n"/>
      <c r="X203" s="171" t="n"/>
      <c r="Y203" s="171" t="n"/>
      <c r="Z203" s="13" t="n"/>
      <c r="AA203" s="13" t="n"/>
      <c r="AB203" s="13" t="n"/>
      <c r="AC203" s="13" t="n"/>
      <c r="AD203" s="13" t="n"/>
      <c r="AE203" s="13" t="n"/>
      <c r="AF203" s="13" t="n"/>
      <c r="AG203" s="13" t="n"/>
      <c r="AH203" s="13" t="n"/>
      <c r="AI203" s="13" t="n"/>
      <c r="AJ203" s="13" t="n"/>
      <c r="AK203" s="13" t="n"/>
      <c r="AL203" s="13" t="n"/>
      <c r="AM203" s="13" t="n"/>
      <c r="AN203" s="13" t="n"/>
      <c r="AO203" s="13" t="n"/>
      <c r="AP203" s="13" t="n"/>
      <c r="AQ203" s="13" t="n"/>
      <c r="AR203" s="13" t="n"/>
      <c r="AS203" s="13" t="n"/>
      <c r="AT203" s="13" t="n"/>
      <c r="AU203" s="13" t="n"/>
      <c r="AV203" s="13" t="n"/>
      <c r="AW203" s="13" t="n"/>
      <c r="AX203" s="13" t="n"/>
      <c r="AY203" s="13" t="n"/>
      <c r="AZ203" s="13" t="n"/>
      <c r="BA203" s="13" t="n"/>
      <c r="BB203" s="13" t="n"/>
      <c r="BC203" s="13" t="n"/>
      <c r="BD203" s="13" t="n"/>
      <c r="BE203" s="13" t="n"/>
      <c r="BF203" s="384" t="inlineStr">
        <is>
          <t>G101075</t>
        </is>
      </c>
      <c r="BG203" s="384" t="inlineStr">
        <is>
          <t>兰西晟晖发电有限公司（合并）</t>
        </is>
      </c>
      <c r="BH203" s="384" t="inlineStr">
        <is>
          <t>E101075G</t>
        </is>
      </c>
      <c r="BI203" s="384" t="inlineStr">
        <is>
          <t xml:space="preserve"> 兰西晟晖发电有限公司（合并）</t>
        </is>
      </c>
    </row>
    <row r="204">
      <c r="A204" s="13" t="n"/>
      <c r="B204" s="13" t="n"/>
      <c r="C204" s="13" t="n"/>
      <c r="D204" s="13" t="n"/>
      <c r="E204" s="13" t="n"/>
      <c r="F204" s="13" t="n"/>
      <c r="G204" s="13" t="n"/>
      <c r="H204" s="13" t="n"/>
      <c r="I204" s="13" t="n"/>
      <c r="J204" s="13" t="n"/>
      <c r="K204" s="13" t="n"/>
      <c r="L204" s="13" t="n"/>
      <c r="M204" s="13" t="n"/>
      <c r="N204" s="13" t="n"/>
      <c r="O204" s="13" t="n"/>
      <c r="P204" s="13" t="n"/>
      <c r="Q204" s="13" t="n"/>
      <c r="R204" s="13" t="n"/>
      <c r="S204" s="1103" t="n"/>
      <c r="T204" s="13" t="n"/>
      <c r="U204" s="13" t="n"/>
      <c r="V204" s="13" t="n"/>
      <c r="W204" s="13" t="n"/>
      <c r="X204" s="171" t="n"/>
      <c r="Y204" s="171" t="n"/>
      <c r="Z204" s="13" t="n"/>
      <c r="AA204" s="13" t="n"/>
      <c r="AB204" s="13" t="n"/>
      <c r="AC204" s="13" t="n"/>
      <c r="AD204" s="13" t="n"/>
      <c r="AE204" s="13" t="n"/>
      <c r="AF204" s="13" t="n"/>
      <c r="AG204" s="13" t="n"/>
      <c r="AH204" s="13" t="n"/>
      <c r="AI204" s="13" t="n"/>
      <c r="AJ204" s="13" t="n"/>
      <c r="AK204" s="13" t="n"/>
      <c r="AL204" s="13" t="n"/>
      <c r="AM204" s="13" t="n"/>
      <c r="AN204" s="13" t="n"/>
      <c r="AO204" s="13" t="n"/>
      <c r="AP204" s="13" t="n"/>
      <c r="AQ204" s="13" t="n"/>
      <c r="AR204" s="13" t="n"/>
      <c r="AS204" s="13" t="n"/>
      <c r="AT204" s="13" t="n"/>
      <c r="AU204" s="13" t="n"/>
      <c r="AV204" s="13" t="n"/>
      <c r="AW204" s="13" t="n"/>
      <c r="AX204" s="13" t="n"/>
      <c r="AY204" s="13" t="n"/>
      <c r="AZ204" s="13" t="n"/>
      <c r="BA204" s="13" t="n"/>
      <c r="BB204" s="13" t="n"/>
      <c r="BC204" s="13" t="n"/>
      <c r="BD204" s="13" t="n"/>
      <c r="BE204" s="13" t="n"/>
      <c r="BF204" s="384" t="inlineStr">
        <is>
          <t>G101076</t>
        </is>
      </c>
      <c r="BG204" s="384" t="inlineStr">
        <is>
          <t>京能胜科（海南）国际能源有限公司（合并）</t>
        </is>
      </c>
      <c r="BH204" s="384" t="inlineStr">
        <is>
          <t>E101076G</t>
        </is>
      </c>
      <c r="BI204" s="384" t="inlineStr">
        <is>
          <t xml:space="preserve"> 京能胜科（海南）国际能源有限公司（合并）</t>
        </is>
      </c>
    </row>
    <row r="205">
      <c r="A205" s="13" t="n"/>
      <c r="B205" s="13" t="n"/>
      <c r="C205" s="13" t="n"/>
      <c r="D205" s="13" t="n"/>
      <c r="E205" s="13" t="n"/>
      <c r="F205" s="13" t="n"/>
      <c r="G205" s="13" t="n"/>
      <c r="H205" s="13" t="n"/>
      <c r="I205" s="13" t="n"/>
      <c r="J205" s="13" t="n"/>
      <c r="K205" s="13" t="n"/>
      <c r="L205" s="13" t="n"/>
      <c r="M205" s="13" t="n"/>
      <c r="N205" s="13" t="n"/>
      <c r="O205" s="13" t="n"/>
      <c r="P205" s="13" t="n"/>
      <c r="Q205" s="13" t="n"/>
      <c r="R205" s="13" t="n"/>
      <c r="S205" s="1103" t="n"/>
      <c r="T205" s="13" t="n"/>
      <c r="U205" s="13" t="n"/>
      <c r="V205" s="13" t="n"/>
      <c r="W205" s="13" t="n"/>
      <c r="X205" s="171" t="n"/>
      <c r="Y205" s="171" t="n"/>
      <c r="Z205" s="13" t="n"/>
      <c r="AA205" s="13" t="n"/>
      <c r="AB205" s="13" t="n"/>
      <c r="AC205" s="13" t="n"/>
      <c r="AD205" s="13" t="n"/>
      <c r="AE205" s="13" t="n"/>
      <c r="AF205" s="13" t="n"/>
      <c r="AG205" s="13" t="n"/>
      <c r="AH205" s="13" t="n"/>
      <c r="AI205" s="13" t="n"/>
      <c r="AJ205" s="13" t="n"/>
      <c r="AK205" s="13" t="n"/>
      <c r="AL205" s="13" t="n"/>
      <c r="AM205" s="13" t="n"/>
      <c r="AN205" s="13" t="n"/>
      <c r="AO205" s="13" t="n"/>
      <c r="AP205" s="13" t="n"/>
      <c r="AQ205" s="13" t="n"/>
      <c r="AR205" s="13" t="n"/>
      <c r="AS205" s="13" t="n"/>
      <c r="AT205" s="13" t="n"/>
      <c r="AU205" s="13" t="n"/>
      <c r="AV205" s="13" t="n"/>
      <c r="AW205" s="13" t="n"/>
      <c r="AX205" s="13" t="n"/>
      <c r="AY205" s="13" t="n"/>
      <c r="AZ205" s="13" t="n"/>
      <c r="BA205" s="13" t="n"/>
      <c r="BB205" s="13" t="n"/>
      <c r="BC205" s="13" t="n"/>
      <c r="BD205" s="13" t="n"/>
      <c r="BE205" s="13" t="n"/>
      <c r="BF205" s="384" t="inlineStr">
        <is>
          <t>G101095</t>
        </is>
      </c>
      <c r="BG205" s="384" t="inlineStr">
        <is>
          <t>JN Viet Nam Renewable Energy Company Limited（合并）</t>
        </is>
      </c>
      <c r="BH205" s="384" t="inlineStr">
        <is>
          <t>E101095G</t>
        </is>
      </c>
      <c r="BI205" s="384" t="inlineStr">
        <is>
          <t xml:space="preserve"> JN Viet Nam Renewable Energy Company Limited（合并）</t>
        </is>
      </c>
    </row>
    <row r="206">
      <c r="A206" s="13" t="n"/>
      <c r="B206" s="13" t="n"/>
      <c r="C206" s="13" t="n"/>
      <c r="D206" s="13" t="n"/>
      <c r="E206" s="13" t="n"/>
      <c r="F206" s="13" t="n"/>
      <c r="G206" s="13" t="n"/>
      <c r="H206" s="13" t="n"/>
      <c r="I206" s="13" t="n"/>
      <c r="J206" s="13" t="n"/>
      <c r="K206" s="13" t="n"/>
      <c r="L206" s="13" t="n"/>
      <c r="M206" s="13" t="n"/>
      <c r="N206" s="13" t="n"/>
      <c r="O206" s="13" t="n"/>
      <c r="P206" s="13" t="n"/>
      <c r="Q206" s="13" t="n"/>
      <c r="R206" s="13" t="n"/>
      <c r="S206" s="1103" t="n"/>
      <c r="T206" s="13" t="n"/>
      <c r="U206" s="13" t="n"/>
      <c r="V206" s="13" t="n"/>
      <c r="W206" s="13" t="n"/>
      <c r="X206" s="171" t="n"/>
      <c r="Y206" s="171" t="n"/>
      <c r="Z206" s="13" t="n"/>
      <c r="AA206" s="13" t="n"/>
      <c r="AB206" s="13" t="n"/>
      <c r="AC206" s="13" t="n"/>
      <c r="AD206" s="13" t="n"/>
      <c r="AE206" s="13" t="n"/>
      <c r="AF206" s="13" t="n"/>
      <c r="AG206" s="13" t="n"/>
      <c r="AH206" s="13" t="n"/>
      <c r="AI206" s="13" t="n"/>
      <c r="AJ206" s="13" t="n"/>
      <c r="AK206" s="13" t="n"/>
      <c r="AL206" s="13" t="n"/>
      <c r="AM206" s="13" t="n"/>
      <c r="AN206" s="13" t="n"/>
      <c r="AO206" s="13" t="n"/>
      <c r="AP206" s="13" t="n"/>
      <c r="AQ206" s="13" t="n"/>
      <c r="AR206" s="13" t="n"/>
      <c r="AS206" s="13" t="n"/>
      <c r="AT206" s="13" t="n"/>
      <c r="AU206" s="13" t="n"/>
      <c r="AV206" s="13" t="n"/>
      <c r="AW206" s="13" t="n"/>
      <c r="AX206" s="13" t="n"/>
      <c r="AY206" s="13" t="n"/>
      <c r="AZ206" s="13" t="n"/>
      <c r="BA206" s="13" t="n"/>
      <c r="BB206" s="13" t="n"/>
      <c r="BC206" s="13" t="n"/>
      <c r="BD206" s="13" t="n"/>
      <c r="BE206" s="13" t="n"/>
      <c r="BF206" s="384" t="inlineStr">
        <is>
          <t>G101097</t>
        </is>
      </c>
      <c r="BG206" s="384" t="inlineStr">
        <is>
          <t>肇庆市莱湾新能源科技有限公司（合并）</t>
        </is>
      </c>
      <c r="BH206" s="384" t="inlineStr">
        <is>
          <t>E101097G</t>
        </is>
      </c>
      <c r="BI206" s="384" t="inlineStr">
        <is>
          <t xml:space="preserve"> 肇庆市莱湾新能源科技有限公司（合并）</t>
        </is>
      </c>
    </row>
    <row r="207">
      <c r="A207" s="13" t="n"/>
      <c r="B207" s="13" t="n"/>
      <c r="C207" s="13" t="n"/>
      <c r="D207" s="13" t="n"/>
      <c r="E207" s="13" t="n"/>
      <c r="F207" s="13" t="n"/>
      <c r="G207" s="13" t="n"/>
      <c r="H207" s="13" t="n"/>
      <c r="I207" s="13" t="n"/>
      <c r="J207" s="13" t="n"/>
      <c r="K207" s="13" t="n"/>
      <c r="L207" s="13" t="n"/>
      <c r="M207" s="13" t="n"/>
      <c r="N207" s="13" t="n"/>
      <c r="O207" s="13" t="n"/>
      <c r="P207" s="13" t="n"/>
      <c r="Q207" s="13" t="n"/>
      <c r="R207" s="13" t="n"/>
      <c r="S207" s="1103" t="n"/>
      <c r="T207" s="13" t="n"/>
      <c r="U207" s="13" t="n"/>
      <c r="V207" s="13" t="n"/>
      <c r="W207" s="13" t="n"/>
      <c r="X207" s="171" t="n"/>
      <c r="Y207" s="171" t="n"/>
      <c r="Z207" s="13" t="n"/>
      <c r="AA207" s="13" t="n"/>
      <c r="AB207" s="13" t="n"/>
      <c r="AC207" s="13" t="n"/>
      <c r="AD207" s="13" t="n"/>
      <c r="AE207" s="13" t="n"/>
      <c r="AF207" s="13" t="n"/>
      <c r="AG207" s="13" t="n"/>
      <c r="AH207" s="13" t="n"/>
      <c r="AI207" s="13" t="n"/>
      <c r="AJ207" s="13" t="n"/>
      <c r="AK207" s="13" t="n"/>
      <c r="AL207" s="13" t="n"/>
      <c r="AM207" s="13" t="n"/>
      <c r="AN207" s="13" t="n"/>
      <c r="AO207" s="13" t="n"/>
      <c r="AP207" s="13" t="n"/>
      <c r="AQ207" s="13" t="n"/>
      <c r="AR207" s="13" t="n"/>
      <c r="AS207" s="13" t="n"/>
      <c r="AT207" s="13" t="n"/>
      <c r="AU207" s="13" t="n"/>
      <c r="AV207" s="13" t="n"/>
      <c r="AW207" s="13" t="n"/>
      <c r="AX207" s="13" t="n"/>
      <c r="AY207" s="13" t="n"/>
      <c r="AZ207" s="13" t="n"/>
      <c r="BA207" s="13" t="n"/>
      <c r="BB207" s="13" t="n"/>
      <c r="BC207" s="13" t="n"/>
      <c r="BD207" s="13" t="n"/>
      <c r="BE207" s="13" t="n"/>
      <c r="BF207" s="384" t="inlineStr">
        <is>
          <t>G101136</t>
        </is>
      </c>
      <c r="BG207" s="384" t="inlineStr">
        <is>
          <t>北京市石景山区老年福养老服务中心（合并）</t>
        </is>
      </c>
      <c r="BH207" s="384" t="inlineStr">
        <is>
          <t>E101136G</t>
        </is>
      </c>
      <c r="BI207" s="384" t="inlineStr">
        <is>
          <t xml:space="preserve"> 北京市石景山区老年福养老服务中心（合并）</t>
        </is>
      </c>
    </row>
    <row r="208">
      <c r="A208" s="13" t="n"/>
      <c r="B208" s="13" t="n"/>
      <c r="C208" s="13" t="n"/>
      <c r="D208" s="13" t="n"/>
      <c r="E208" s="13" t="n"/>
      <c r="F208" s="13" t="n"/>
      <c r="G208" s="13" t="n"/>
      <c r="H208" s="13" t="n"/>
      <c r="I208" s="13" t="n"/>
      <c r="J208" s="13" t="n"/>
      <c r="K208" s="13" t="n"/>
      <c r="L208" s="13" t="n"/>
      <c r="M208" s="13" t="n"/>
      <c r="N208" s="13" t="n"/>
      <c r="O208" s="13" t="n"/>
      <c r="P208" s="13" t="n"/>
      <c r="Q208" s="13" t="n"/>
      <c r="R208" s="13" t="n"/>
      <c r="S208" s="1103" t="n"/>
      <c r="T208" s="13" t="n"/>
      <c r="U208" s="13" t="n"/>
      <c r="V208" s="13" t="n"/>
      <c r="W208" s="13" t="n"/>
      <c r="X208" s="171" t="n"/>
      <c r="Y208" s="171" t="n"/>
      <c r="Z208" s="13" t="n"/>
      <c r="AA208" s="13" t="n"/>
      <c r="AB208" s="13" t="n"/>
      <c r="AC208" s="13" t="n"/>
      <c r="AD208" s="13" t="n"/>
      <c r="AE208" s="13" t="n"/>
      <c r="AF208" s="13" t="n"/>
      <c r="AG208" s="13" t="n"/>
      <c r="AH208" s="13" t="n"/>
      <c r="AI208" s="13" t="n"/>
      <c r="AJ208" s="13" t="n"/>
      <c r="AK208" s="13" t="n"/>
      <c r="AL208" s="13" t="n"/>
      <c r="AM208" s="13" t="n"/>
      <c r="AN208" s="13" t="n"/>
      <c r="AO208" s="13" t="n"/>
      <c r="AP208" s="13" t="n"/>
      <c r="AQ208" s="13" t="n"/>
      <c r="AR208" s="13" t="n"/>
      <c r="AS208" s="13" t="n"/>
      <c r="AT208" s="13" t="n"/>
      <c r="AU208" s="13" t="n"/>
      <c r="AV208" s="13" t="n"/>
      <c r="AW208" s="13" t="n"/>
      <c r="AX208" s="13" t="n"/>
      <c r="AY208" s="13" t="n"/>
      <c r="AZ208" s="13" t="n"/>
      <c r="BA208" s="13" t="n"/>
      <c r="BB208" s="13" t="n"/>
      <c r="BC208" s="13" t="n"/>
      <c r="BD208" s="13" t="n"/>
      <c r="BE208" s="13" t="n"/>
      <c r="BF208" s="384" t="inlineStr">
        <is>
          <t>G101142</t>
        </is>
      </c>
      <c r="BG208" s="384" t="inlineStr">
        <is>
          <t>灵寿县清智新能源科技有限公司（合并）</t>
        </is>
      </c>
      <c r="BH208" s="384" t="inlineStr">
        <is>
          <t>E101142G</t>
        </is>
      </c>
      <c r="BI208" s="384" t="inlineStr">
        <is>
          <t xml:space="preserve"> 灵寿县清智新能源科技有限公司（合并）</t>
        </is>
      </c>
    </row>
  </sheetData>
  <sheetProtection selectLockedCells="0" selectUnlockedCells="0" algorithmName="SHA-512" sheet="1" objects="0" insertRows="1" insertHyperlinks="1" autoFilter="1" scenarios="1" formatColumns="1" deleteColumns="1" insertColumns="1" pivotTables="1" deleteRows="1" formatCells="1" saltValue="b1CSCFOLa1oUvU6JyZ9LOA==" formatRows="1" sort="1" spinCount="100000" hashValue="UKXbpdI1mDF0uRT5uAReu0gMLgFElzq3nbQ3v3ZjLDhzM4b07nl8y760dOemKhbTzTNcImTEI8yyOABWeAXW2A=="/>
  <mergeCells count="34">
    <mergeCell ref="H2:J2"/>
    <mergeCell ref="D16:E16"/>
    <mergeCell ref="Z40:AM40"/>
    <mergeCell ref="AN40:BA40"/>
    <mergeCell ref="Z41:AK41"/>
    <mergeCell ref="AN41:AY41"/>
    <mergeCell ref="AA42:AC42"/>
    <mergeCell ref="AO42:AQ42"/>
    <mergeCell ref="X40:X44"/>
    <mergeCell ref="Y40:Y44"/>
    <mergeCell ref="Z35:Z37"/>
    <mergeCell ref="Z42:Z43"/>
    <mergeCell ref="AD42:AD43"/>
    <mergeCell ref="AE42:AE43"/>
    <mergeCell ref="AF42:AF43"/>
    <mergeCell ref="AG42:AG43"/>
    <mergeCell ref="AH42:AH43"/>
    <mergeCell ref="AI42:AI43"/>
    <mergeCell ref="AJ42:AJ43"/>
    <mergeCell ref="AK42:AK43"/>
    <mergeCell ref="AL41:AL43"/>
    <mergeCell ref="AM41:AM43"/>
    <mergeCell ref="AN42:AN43"/>
    <mergeCell ref="AR42:AR43"/>
    <mergeCell ref="AS42:AS43"/>
    <mergeCell ref="AT42:AT43"/>
    <mergeCell ref="AU42:AU43"/>
    <mergeCell ref="AV42:AV43"/>
    <mergeCell ref="AW42:AW43"/>
    <mergeCell ref="AX42:AX43"/>
    <mergeCell ref="AY42:AY43"/>
    <mergeCell ref="AZ41:AZ43"/>
    <mergeCell ref="BA41:BA43"/>
    <mergeCell ref="AA35:AB37"/>
  </mergeCells>
  <dataValidations count="1">
    <dataValidation sqref="Z38" showErrorMessage="1" showInputMessage="1" allowBlank="1" type="list">
      <formula1>"LC,CNY"</formula1>
    </dataValidation>
  </dataValidations>
  <pageMargins left="0.7086614173228351" right="0.7086614173228351" top="0.748031496062992" bottom="0.748031496062992" header="0.31496062992126" footer="0.31496062992126"/>
  <pageSetup orientation="landscape" paperSize="9" scale="50"/>
  <drawing xmlns:r="http://schemas.openxmlformats.org/officeDocument/2006/relationships" r:id="rId1"/>
  <legacyDrawing xmlns:r="http://schemas.openxmlformats.org/officeDocument/2006/relationships" r:id="anysvml"/>
</worksheet>
</file>

<file path=xl/worksheets/sheet6.xml><?xml version="1.0" encoding="utf-8"?>
<worksheet xmlns="http://schemas.openxmlformats.org/spreadsheetml/2006/main">
  <sheetPr codeName="Sheet37">
    <outlinePr summaryBelow="1" summaryRight="1"/>
    <pageSetUpPr/>
  </sheetPr>
  <dimension ref="A1:AL94"/>
  <sheetViews>
    <sheetView topLeftCell="W1" zoomScale="85" zoomScaleNormal="85" workbookViewId="0">
      <pane xSplit="3" ySplit="45" topLeftCell="AC67" activePane="bottomRight" state="frozen"/>
      <selection activeCell="A1" sqref="A1"/>
      <selection pane="topRight" activeCell="A1" sqref="A1"/>
      <selection pane="bottomLeft" activeCell="A1" sqref="A1"/>
      <selection pane="bottomRight" activeCell="AJ47" sqref="AJ47"/>
    </sheetView>
  </sheetViews>
  <sheetFormatPr baseColWidth="8" defaultColWidth="9" defaultRowHeight="16.8"/>
  <cols>
    <col hidden="1" width="8" customWidth="1" style="1181" min="1" max="1"/>
    <col hidden="1" width="15.375" customWidth="1" style="1181" min="2" max="2"/>
    <col hidden="1" width="11.375" customWidth="1" style="1181" min="3" max="3"/>
    <col hidden="1" width="12.25" customWidth="1" style="1181" min="4" max="4"/>
    <col hidden="1" width="7.375" customWidth="1" style="1181" min="5" max="5"/>
    <col hidden="1" width="7.75" customWidth="1" style="1181" min="6" max="7"/>
    <col hidden="1" width="8.375" customWidth="1" style="1181" min="8" max="8"/>
    <col hidden="1" width="7.75" customWidth="1" style="1181" min="9" max="9"/>
    <col hidden="1" width="11.125" customWidth="1" style="1181" min="10" max="10"/>
    <col hidden="1" width="7.75" customWidth="1" style="1181" min="11" max="18"/>
    <col hidden="1" width="31" customWidth="1" style="32" min="19" max="19"/>
    <col hidden="1" width="2.375" customWidth="1" style="1181" min="20" max="20"/>
    <col hidden="1" width="12.75" customWidth="1" style="1181" min="21" max="21"/>
    <col hidden="1" width="18.375" customWidth="1" style="1181" min="22" max="22"/>
    <col width="1.375" customWidth="1" style="1181" min="23" max="23"/>
    <col width="30.375" customWidth="1" style="38" min="24" max="24"/>
    <col width="5.375" customWidth="1" style="706" min="25" max="25"/>
    <col width="20.75" customWidth="1" style="1237" min="26" max="28"/>
    <col width="11.25" customWidth="1" style="1237" min="29" max="29"/>
    <col width="20.75" customWidth="1" style="1237" min="30" max="31"/>
    <col width="10.125" customWidth="1" style="1237" min="32" max="32"/>
    <col width="20.75" customWidth="1" style="1237" min="33" max="34"/>
    <col width="7.75" customWidth="1" style="1237" min="35" max="35"/>
    <col width="20.75" customWidth="1" style="1237" min="36" max="37"/>
    <col width="11.75" customWidth="1" style="1237" min="38" max="38"/>
  </cols>
  <sheetData>
    <row r="1" hidden="1" customFormat="1" s="13">
      <c r="A1" s="172" t="inlineStr">
        <is>
          <t>维度清单</t>
        </is>
      </c>
      <c r="B1" s="462" t="n"/>
      <c r="C1" s="173" t="n"/>
      <c r="D1" s="173" t="n"/>
      <c r="E1" s="716" t="n"/>
      <c r="F1" s="13" t="n"/>
      <c r="G1" s="13" t="n"/>
      <c r="H1" s="13" t="n"/>
      <c r="I1" s="13" t="n"/>
      <c r="J1" s="13" t="n"/>
      <c r="K1" s="13" t="n"/>
      <c r="L1" s="13" t="n"/>
      <c r="M1" s="13" t="n"/>
      <c r="N1" s="13" t="n"/>
      <c r="O1" s="13" t="n"/>
      <c r="P1" s="13" t="n"/>
      <c r="Q1" s="13" t="n"/>
      <c r="R1" s="13" t="n"/>
      <c r="S1" s="1103" t="n"/>
      <c r="T1" s="13" t="n"/>
      <c r="U1" s="13" t="n"/>
      <c r="V1" s="13" t="n"/>
      <c r="W1" s="13" t="n"/>
      <c r="X1" s="171" t="n"/>
      <c r="Y1" s="601" t="n"/>
      <c r="Z1" s="1238" t="n"/>
      <c r="AA1" s="1238" t="n"/>
      <c r="AB1" s="1238" t="n"/>
      <c r="AC1" s="1238" t="n"/>
      <c r="AD1" s="1238" t="n"/>
      <c r="AE1" s="1238" t="n"/>
      <c r="AF1" s="1238" t="n"/>
      <c r="AG1" s="1238" t="n"/>
      <c r="AH1" s="1238" t="n"/>
      <c r="AI1" s="1238" t="n"/>
      <c r="AJ1" s="1238" t="n"/>
      <c r="AK1" s="1238" t="n"/>
      <c r="AL1" s="1238" t="n"/>
    </row>
    <row r="2" hidden="1" customFormat="1" s="13">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103" t="n"/>
      <c r="T2" s="13" t="n"/>
      <c r="U2" s="13" t="n"/>
      <c r="V2" s="13" t="n"/>
      <c r="W2" s="13" t="n"/>
      <c r="X2" s="171" t="n"/>
      <c r="Y2" s="601" t="n"/>
      <c r="Z2" s="1238" t="n"/>
      <c r="AA2" s="1238" t="n"/>
      <c r="AB2" s="1238" t="n"/>
      <c r="AC2" s="1238" t="n"/>
      <c r="AD2" s="1238" t="n"/>
      <c r="AE2" s="1238" t="n"/>
      <c r="AF2" s="1238" t="n"/>
      <c r="AG2" s="1238" t="n"/>
      <c r="AH2" s="1238" t="n"/>
      <c r="AI2" s="1238" t="n"/>
      <c r="AJ2" s="1238" t="n"/>
      <c r="AK2" s="1238" t="n"/>
      <c r="AL2" s="1238" t="n"/>
    </row>
    <row r="3" hidden="1" customFormat="1" s="13">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103" t="n"/>
      <c r="T3" s="13" t="n"/>
      <c r="U3" s="13" t="n"/>
      <c r="V3" s="13" t="n"/>
      <c r="W3" s="13" t="n"/>
      <c r="X3" s="171" t="n"/>
      <c r="Y3" s="601" t="n"/>
      <c r="Z3" s="1238" t="n"/>
      <c r="AA3" s="1238" t="n"/>
      <c r="AB3" s="1238" t="n"/>
      <c r="AC3" s="1238" t="n"/>
      <c r="AD3" s="1238" t="n"/>
      <c r="AE3" s="1238" t="n"/>
      <c r="AF3" s="1238" t="n"/>
      <c r="AG3" s="1238" t="n"/>
      <c r="AH3" s="1238" t="n"/>
      <c r="AI3" s="1238" t="n"/>
      <c r="AJ3" s="1238" t="n"/>
      <c r="AK3" s="1238" t="n"/>
      <c r="AL3" s="1238" t="n"/>
    </row>
    <row r="4" hidden="1" customFormat="1" s="13">
      <c r="A4" s="175" t="inlineStr">
        <is>
          <t>C</t>
        </is>
      </c>
      <c r="B4" s="176">
        <f>IF(_epmOfflineCondition_,"C_CATEGORY",EPMDimensionType(,A4))</f>
        <v/>
      </c>
      <c r="C4" s="176">
        <f>IF(_epmOfflineCondition_,"C1001",IF(B4="","",EPMContextMember(,B4)))</f>
        <v/>
      </c>
      <c r="D4" s="176">
        <f>IF(_epmOfflineCondition_,"实际数/决算数",EPMMemberDesc(C4))</f>
        <v/>
      </c>
      <c r="E4" s="176" t="n"/>
      <c r="F4" s="13" t="n"/>
      <c r="G4" s="13" t="n"/>
      <c r="H4" s="184" t="inlineStr">
        <is>
          <t>预算年</t>
        </is>
      </c>
      <c r="I4" s="184">
        <f>"V_"&amp;$I$3</f>
        <v/>
      </c>
      <c r="J4" s="184">
        <f>$I$3&amp;".TOTAL"</f>
        <v/>
      </c>
      <c r="K4" s="13" t="n"/>
      <c r="L4" s="13" t="n"/>
      <c r="M4" s="13" t="n"/>
      <c r="N4" s="13" t="n"/>
      <c r="O4" s="13" t="n"/>
      <c r="P4" s="13" t="n"/>
      <c r="Q4" s="13" t="n"/>
      <c r="R4" s="13" t="n"/>
      <c r="S4" s="1103" t="n"/>
      <c r="T4" s="13" t="n"/>
      <c r="U4" s="13" t="n"/>
      <c r="V4" s="13" t="n"/>
      <c r="W4" s="13" t="n"/>
      <c r="X4" s="171" t="n"/>
      <c r="Y4" s="601" t="n"/>
      <c r="Z4" s="1238" t="n"/>
      <c r="AA4" s="1238" t="n"/>
      <c r="AB4" s="1238" t="n"/>
      <c r="AC4" s="1238" t="n"/>
      <c r="AD4" s="1238" t="n"/>
      <c r="AE4" s="1238" t="n"/>
      <c r="AF4" s="1238" t="n"/>
      <c r="AG4" s="1238" t="n"/>
      <c r="AH4" s="1238" t="n"/>
      <c r="AI4" s="1238" t="n"/>
      <c r="AJ4" s="1238" t="n"/>
      <c r="AK4" s="1238" t="n"/>
      <c r="AL4" s="1238" t="n"/>
    </row>
    <row r="5" hidden="1" customFormat="1" s="13">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13" t="n"/>
      <c r="V5" s="13" t="n"/>
      <c r="W5" s="13" t="n"/>
      <c r="X5" s="171" t="n"/>
      <c r="Y5" s="601" t="n"/>
      <c r="Z5" s="1238" t="n"/>
      <c r="AA5" s="1238" t="n"/>
      <c r="AB5" s="1238" t="n"/>
      <c r="AC5" s="1238" t="n"/>
      <c r="AD5" s="1238" t="n"/>
      <c r="AE5" s="1238" t="n"/>
      <c r="AF5" s="1238" t="n"/>
      <c r="AG5" s="1238" t="n"/>
      <c r="AH5" s="1238" t="n"/>
      <c r="AI5" s="1238" t="n"/>
      <c r="AJ5" s="1238" t="n"/>
      <c r="AK5" s="1238" t="n"/>
      <c r="AL5" s="1238" t="n"/>
    </row>
    <row r="6" hidden="1" customFormat="1" s="13">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103" t="n"/>
      <c r="T6" s="13" t="n"/>
      <c r="U6" s="13" t="n"/>
      <c r="V6" s="13" t="n"/>
      <c r="W6" s="13" t="n"/>
      <c r="X6" s="171" t="n"/>
      <c r="Y6" s="601" t="n"/>
      <c r="Z6" s="1238" t="n"/>
      <c r="AA6" s="1238" t="n"/>
      <c r="AB6" s="1238" t="n"/>
      <c r="AC6" s="1238" t="n"/>
      <c r="AD6" s="1238" t="n"/>
      <c r="AE6" s="1238" t="n"/>
      <c r="AF6" s="1238" t="n"/>
      <c r="AG6" s="1238" t="n"/>
      <c r="AH6" s="1238" t="n"/>
      <c r="AI6" s="1238" t="n"/>
      <c r="AJ6" s="1238" t="n"/>
      <c r="AK6" s="1238" t="n"/>
      <c r="AL6" s="1238" t="n"/>
    </row>
    <row r="7" hidden="1" customFormat="1" s="13">
      <c r="A7" s="175" t="inlineStr">
        <is>
          <t>R</t>
        </is>
      </c>
      <c r="B7" s="176">
        <f>IF(_epmOfflineCondition_,"C_RPTCURRENCY",EPMDimensionType(,A7))</f>
        <v/>
      </c>
      <c r="C7" s="176">
        <f>IF(_epmOfflineCondition_,"LC",IF(B7="","",EPMContextMember(,B7)))</f>
        <v/>
      </c>
      <c r="D7" s="176">
        <f>IF(_epmOfflineCondition_,"本位币",EPMMemberDesc(C7))</f>
        <v/>
      </c>
      <c r="E7" s="176" t="n"/>
      <c r="F7" s="13" t="n"/>
      <c r="G7" s="13" t="n"/>
      <c r="H7" s="13" t="n"/>
      <c r="I7" s="13" t="n"/>
      <c r="J7" s="13" t="n"/>
      <c r="K7" s="13" t="n"/>
      <c r="L7" s="13" t="n"/>
      <c r="M7" s="13" t="n"/>
      <c r="N7" s="13" t="n"/>
      <c r="O7" s="13" t="n"/>
      <c r="P7" s="13" t="n"/>
      <c r="Q7" s="13" t="n"/>
      <c r="R7" s="13" t="n"/>
      <c r="S7" s="1103" t="n"/>
      <c r="T7" s="13" t="n"/>
      <c r="U7" s="13" t="n"/>
      <c r="V7" s="13" t="n"/>
      <c r="W7" s="13" t="n"/>
      <c r="X7" s="171" t="n"/>
      <c r="Y7" s="601" t="n"/>
      <c r="Z7" s="1238" t="n"/>
      <c r="AA7" s="1238" t="n"/>
      <c r="AB7" s="1238" t="n"/>
      <c r="AC7" s="1238" t="n"/>
      <c r="AD7" s="1238" t="n"/>
      <c r="AE7" s="1238" t="n"/>
      <c r="AF7" s="1238" t="n"/>
      <c r="AG7" s="1238" t="n"/>
      <c r="AH7" s="1238" t="n"/>
      <c r="AI7" s="1238" t="n"/>
      <c r="AJ7" s="1238" t="n"/>
      <c r="AK7" s="1238" t="n"/>
      <c r="AL7" s="1238" t="n"/>
    </row>
    <row r="8" hidden="1" customFormat="1" s="13">
      <c r="A8" s="175" t="inlineStr">
        <is>
          <t>D</t>
        </is>
      </c>
      <c r="B8" s="176">
        <f>IF(_epmOfflineCondition_,"C_AUDITTRAIL",EPMDimensionType(,A8))</f>
        <v/>
      </c>
      <c r="C8" s="176">
        <f>IF(_epmOfflineCondition_,"D1001",IF(B8="","",EPMContextMember(,B8)))</f>
        <v/>
      </c>
      <c r="D8" s="176">
        <f>IF(_epmOfflineCondition_,"从SAP系统抽取_正常期间",EPMMemberDesc(C8))</f>
        <v/>
      </c>
      <c r="E8" s="176" t="n"/>
      <c r="F8" s="13" t="n"/>
      <c r="G8" s="13" t="n"/>
      <c r="H8" s="184" t="inlineStr">
        <is>
          <t>本月</t>
        </is>
      </c>
      <c r="I8" s="184">
        <f>IF(_epmOfflineCondition_,"03",RIGHT("0"&amp;EPMMemberProperty(,EPMContextMember(,"C_TIME"),"MONTHNUM"),2))</f>
        <v/>
      </c>
      <c r="J8" s="13" t="n"/>
      <c r="K8" s="13" t="n"/>
      <c r="L8" s="13" t="n"/>
      <c r="M8" s="13" t="n"/>
      <c r="N8" s="13" t="n"/>
      <c r="O8" s="13" t="n"/>
      <c r="P8" s="13" t="n"/>
      <c r="Q8" s="13" t="n"/>
      <c r="R8" s="13" t="n"/>
      <c r="S8" s="1103" t="n"/>
      <c r="T8" s="13" t="n"/>
      <c r="U8" s="13" t="n"/>
      <c r="V8" s="13" t="n"/>
      <c r="W8" s="13" t="n"/>
      <c r="X8" s="171" t="n"/>
      <c r="Y8" s="601" t="n"/>
      <c r="Z8" s="1238" t="n"/>
      <c r="AA8" s="1238" t="n"/>
      <c r="AB8" s="1238" t="n"/>
      <c r="AC8" s="1238" t="n"/>
      <c r="AD8" s="1238" t="n"/>
      <c r="AE8" s="1238" t="n"/>
      <c r="AF8" s="1238" t="n"/>
      <c r="AG8" s="1238" t="n"/>
      <c r="AH8" s="1238" t="n"/>
      <c r="AI8" s="1238" t="n"/>
      <c r="AJ8" s="1238" t="n"/>
      <c r="AK8" s="1238" t="n"/>
      <c r="AL8" s="1238" t="n"/>
    </row>
    <row r="9" hidden="1" customFormat="1" s="13">
      <c r="A9" s="175" t="inlineStr">
        <is>
          <t>S</t>
        </is>
      </c>
      <c r="B9" s="176">
        <f>IF(_epmOfflineCondition_,"C_FLOW",EPMDimensionType(,A9))</f>
        <v/>
      </c>
      <c r="C9" s="176">
        <f>IF(_epmOfflineCondition_,"F20",IF(B9="","",EPMContextMember(,B9)))</f>
        <v/>
      </c>
      <c r="D9" s="176">
        <f>IF(_epmOfflineCondition_,"本期增加",EPMMemberDesc(C9))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13" t="n"/>
      <c r="V9" s="13" t="n"/>
      <c r="W9" s="13" t="n"/>
      <c r="X9" s="171" t="n"/>
      <c r="Y9" s="601" t="n"/>
      <c r="Z9" s="1238" t="n"/>
      <c r="AA9" s="1238" t="n"/>
      <c r="AB9" s="1238" t="n"/>
      <c r="AC9" s="1238" t="n"/>
      <c r="AD9" s="1238" t="n"/>
      <c r="AE9" s="1238" t="n"/>
      <c r="AF9" s="1238" t="n"/>
      <c r="AG9" s="1238" t="n"/>
      <c r="AH9" s="1238" t="n"/>
      <c r="AI9" s="1238" t="n"/>
      <c r="AJ9" s="1238" t="n"/>
      <c r="AK9" s="1238" t="n"/>
      <c r="AL9" s="1238" t="n"/>
    </row>
    <row r="10" hidden="1" customFormat="1" s="13">
      <c r="A10" s="175" t="inlineStr">
        <is>
          <t>I</t>
        </is>
      </c>
      <c r="B10" s="176">
        <f>IF(_epmOfflineCondition_,"C_INTERCO",EPMDimensionType(,A10))</f>
        <v/>
      </c>
      <c r="C10" s="176">
        <f>IF(_epmOfflineCondition_,"I_DUMMY",IF(B10="","",EPMContextMember(,B10)))</f>
        <v/>
      </c>
      <c r="D10" s="176">
        <f>IF(_epmOfflineCondition_,"贸易伙伴无关",EPMMemberDesc(C10))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13" t="n"/>
      <c r="V10" s="13" t="n"/>
      <c r="W10" s="13" t="n"/>
      <c r="X10" s="171" t="n"/>
      <c r="Y10" s="601" t="n"/>
      <c r="Z10" s="1238" t="n"/>
      <c r="AA10" s="1238" t="n"/>
      <c r="AB10" s="1238" t="n"/>
      <c r="AC10" s="1238" t="n"/>
      <c r="AD10" s="1238" t="n"/>
      <c r="AE10" s="1238" t="n"/>
      <c r="AF10" s="1238" t="n"/>
      <c r="AG10" s="1238" t="n"/>
      <c r="AH10" s="1238" t="n"/>
      <c r="AI10" s="1238" t="n"/>
      <c r="AJ10" s="1238" t="n"/>
      <c r="AK10" s="1238" t="n"/>
      <c r="AL10" s="1238" t="n"/>
    </row>
    <row r="11" hidden="1" customFormat="1" s="13">
      <c r="A11" s="175" t="inlineStr">
        <is>
          <t>G</t>
        </is>
      </c>
      <c r="B11" s="176">
        <f>IF(_epmOfflineCondition_,"C_SCOPE",EPMDimensionType(,A11))</f>
        <v/>
      </c>
      <c r="C11" s="176">
        <f>IF(_epmOfflineCondition_,"G_DUMMY",IF(B11="","",EPMContextMember(,B11)))</f>
        <v/>
      </c>
      <c r="D11" s="176">
        <f>IF(_epmOfflineCondition_,"合并范围无关",EPMMemberDesc(C11))</f>
        <v/>
      </c>
      <c r="E11" s="176" t="n"/>
      <c r="F11" s="13" t="n"/>
      <c r="G11" s="13" t="n"/>
      <c r="H11" s="184" t="inlineStr">
        <is>
          <t xml:space="preserve">本年月 </t>
        </is>
      </c>
      <c r="I11" s="184">
        <f>I3&amp;"."&amp;I8</f>
        <v/>
      </c>
      <c r="J11" s="13" t="n"/>
      <c r="K11" s="13" t="n"/>
      <c r="L11" s="13" t="n"/>
      <c r="M11" s="13" t="n"/>
      <c r="N11" s="13" t="n"/>
      <c r="O11" s="13" t="n"/>
      <c r="P11" s="13" t="n"/>
      <c r="Q11" s="13" t="n"/>
      <c r="R11" s="13" t="n"/>
      <c r="S11" s="1103" t="n"/>
      <c r="T11" s="13" t="n"/>
      <c r="U11" s="13" t="n"/>
      <c r="V11" s="13" t="n"/>
      <c r="W11" s="13" t="n"/>
      <c r="X11" s="171" t="n"/>
      <c r="Y11" s="601" t="n"/>
      <c r="Z11" s="1238" t="n"/>
      <c r="AA11" s="1238" t="n"/>
      <c r="AB11" s="1238" t="n"/>
      <c r="AC11" s="1238" t="n"/>
      <c r="AD11" s="1238" t="n"/>
      <c r="AE11" s="1238" t="n"/>
      <c r="AF11" s="1238" t="n"/>
      <c r="AG11" s="1238" t="n"/>
      <c r="AH11" s="1238" t="n"/>
      <c r="AI11" s="1238" t="n"/>
      <c r="AJ11" s="1238" t="n"/>
      <c r="AK11" s="1238" t="n"/>
      <c r="AL11" s="1238" t="n"/>
    </row>
    <row r="12" hidden="1" customFormat="1" s="13">
      <c r="A12" s="175" t="inlineStr">
        <is>
          <t>U8</t>
        </is>
      </c>
      <c r="B12" s="176">
        <f>IF(_epmOfflineCondition_,"C_PROJECT",EPMDimensionType(,A12))</f>
        <v/>
      </c>
      <c r="C12" s="176">
        <f>IF(_epmOfflineCondition_,"ZP_UNIT",IF(B12="","",EPMContextMember(,B12)))</f>
        <v/>
      </c>
      <c r="D12" s="176">
        <f>IF(_epmOfflineCondition_,"项目分类",EPMMemberDesc(C12))</f>
        <v/>
      </c>
      <c r="E12" s="176" t="n"/>
      <c r="F12" s="13" t="n"/>
      <c r="G12" s="13" t="n"/>
      <c r="H12" s="184" t="inlineStr">
        <is>
          <t>上年月</t>
        </is>
      </c>
      <c r="I12" s="184">
        <f>IF(I8="01",I10&amp;"."&amp;I9,I3&amp;"."&amp;I9)</f>
        <v/>
      </c>
      <c r="J12" s="13" t="n"/>
      <c r="K12" s="13" t="n"/>
      <c r="L12" s="13" t="n"/>
      <c r="M12" s="13" t="n"/>
      <c r="N12" s="13" t="n"/>
      <c r="O12" s="13" t="n"/>
      <c r="P12" s="13" t="n"/>
      <c r="Q12" s="13" t="n"/>
      <c r="R12" s="13" t="n"/>
      <c r="S12" s="1103" t="n"/>
      <c r="T12" s="13" t="n"/>
      <c r="U12" s="13" t="n"/>
      <c r="V12" s="13" t="n"/>
      <c r="W12" s="13" t="n"/>
      <c r="X12" s="171" t="n"/>
      <c r="Y12" s="601" t="n"/>
      <c r="Z12" s="1238" t="n"/>
      <c r="AA12" s="1238" t="n"/>
      <c r="AB12" s="1238" t="n"/>
      <c r="AC12" s="1238" t="n"/>
      <c r="AD12" s="1238" t="n"/>
      <c r="AE12" s="1238" t="n"/>
      <c r="AF12" s="1238" t="n"/>
      <c r="AG12" s="1238" t="n"/>
      <c r="AH12" s="1238" t="n"/>
      <c r="AI12" s="1238" t="n"/>
      <c r="AJ12" s="1238" t="n"/>
      <c r="AK12" s="1238" t="n"/>
      <c r="AL12" s="1238" t="n"/>
    </row>
    <row r="13" hidden="1" customFormat="1" s="13">
      <c r="A13" s="175" t="inlineStr">
        <is>
          <t>U9</t>
        </is>
      </c>
      <c r="B13" s="176">
        <f>IF(_epmOfflineCondition_,"C_ITEM",EPMDimensionType(,A13))</f>
        <v/>
      </c>
      <c r="C13" s="176">
        <f>IF(_epmOfflineCondition_,"ZI_DUMMY",IF(B13="","",EPMContextMember(,B13)))</f>
        <v/>
      </c>
      <c r="D13" s="176">
        <f>IF(_epmOfflineCondition_,"与子项无关",EPMMemberDesc(C13))</f>
        <v/>
      </c>
      <c r="E13" s="176" t="n"/>
      <c r="F13" s="13" t="n"/>
      <c r="G13" s="13" t="n"/>
      <c r="H13" s="184" t="inlineStr">
        <is>
          <t xml:space="preserve">上年同期 </t>
        </is>
      </c>
      <c r="I13" s="184">
        <f>I10&amp;"."&amp;I8</f>
        <v/>
      </c>
      <c r="J13" s="13" t="n"/>
      <c r="K13" s="13" t="n"/>
      <c r="L13" s="13" t="n"/>
      <c r="M13" s="13" t="n"/>
      <c r="N13" s="13" t="n"/>
      <c r="O13" s="13" t="n"/>
      <c r="P13" s="13" t="n"/>
      <c r="Q13" s="13" t="n"/>
      <c r="R13" s="13" t="n"/>
      <c r="S13" s="1103" t="n"/>
      <c r="T13" s="13" t="n"/>
      <c r="U13" s="13" t="n"/>
      <c r="V13" s="13" t="n"/>
      <c r="W13" s="13" t="n"/>
      <c r="X13" s="171" t="n"/>
      <c r="Y13" s="601" t="n"/>
      <c r="Z13" s="1238" t="n"/>
      <c r="AA13" s="1238" t="n"/>
      <c r="AB13" s="1238" t="n"/>
      <c r="AC13" s="1238" t="n"/>
      <c r="AD13" s="1238" t="n"/>
      <c r="AE13" s="1238" t="n"/>
      <c r="AF13" s="1238" t="n"/>
      <c r="AG13" s="1238" t="n"/>
      <c r="AH13" s="1238" t="n"/>
      <c r="AI13" s="1238" t="n"/>
      <c r="AJ13" s="1238" t="n"/>
      <c r="AK13" s="1238" t="n"/>
      <c r="AL13" s="1238" t="n"/>
    </row>
    <row r="14" hidden="1" customFormat="1" s="13">
      <c r="A14" s="175" t="inlineStr">
        <is>
          <t>U10</t>
        </is>
      </c>
      <c r="B14" s="176">
        <f>IF(_epmOfflineCondition_,"C_MISK",EPMDimensionType(,A14))</f>
        <v/>
      </c>
      <c r="C14" s="176">
        <f>IF(_epmOfflineCondition_,"ZM_DUMMY",IF(B14="","",EPMContextMember(,B14)))</f>
        <v/>
      </c>
      <c r="D14" s="176">
        <f>IF(_epmOfflineCondition_,"综合无关",EPMMemberDesc(C14))</f>
        <v/>
      </c>
      <c r="E14" s="176" t="n"/>
      <c r="F14" s="13" t="n"/>
      <c r="G14" s="13" t="n"/>
      <c r="H14" s="184" t="inlineStr">
        <is>
          <t xml:space="preserve">本年12月 </t>
        </is>
      </c>
      <c r="I14" s="184">
        <f>I3&amp;".12"</f>
        <v/>
      </c>
      <c r="J14" s="13" t="n"/>
      <c r="K14" s="13" t="n"/>
      <c r="L14" s="13" t="n"/>
      <c r="M14" s="13" t="n"/>
      <c r="N14" s="13" t="n"/>
      <c r="O14" s="13" t="n"/>
      <c r="P14" s="13" t="n"/>
      <c r="Q14" s="13" t="n"/>
      <c r="R14" s="13" t="n"/>
      <c r="S14" s="1103" t="n"/>
      <c r="T14" s="13" t="n"/>
      <c r="U14" s="13" t="n"/>
      <c r="V14" s="13" t="n"/>
      <c r="W14" s="13" t="n"/>
      <c r="X14" s="171" t="n"/>
      <c r="Y14" s="601" t="n"/>
      <c r="Z14" s="1238" t="n"/>
      <c r="AA14" s="1238" t="n"/>
      <c r="AB14" s="1238" t="n"/>
      <c r="AC14" s="1238" t="n"/>
      <c r="AD14" s="1238" t="n"/>
      <c r="AE14" s="1238" t="n"/>
      <c r="AF14" s="1238" t="n"/>
      <c r="AG14" s="1238" t="n"/>
      <c r="AH14" s="1238" t="n"/>
      <c r="AI14" s="1238" t="n"/>
      <c r="AJ14" s="1238" t="n"/>
      <c r="AK14" s="1238" t="n"/>
      <c r="AL14" s="1238" t="n"/>
    </row>
    <row r="15" hidden="1" customFormat="1" s="13">
      <c r="A15" s="13" t="n"/>
      <c r="B15" s="1103" t="n"/>
      <c r="C15" s="1103" t="n"/>
      <c r="D15" s="1103" t="n"/>
      <c r="E15" s="13" t="n"/>
      <c r="F15" s="13" t="n"/>
      <c r="G15" s="13" t="n"/>
      <c r="H15" s="13" t="n"/>
      <c r="I15" s="13" t="n"/>
      <c r="J15" s="13" t="n"/>
      <c r="K15" s="13" t="n"/>
      <c r="L15" s="13" t="n"/>
      <c r="M15" s="13" t="n"/>
      <c r="N15" s="13" t="n"/>
      <c r="O15" s="13" t="n"/>
      <c r="P15" s="13" t="n"/>
      <c r="Q15" s="13" t="n"/>
      <c r="R15" s="13" t="n"/>
      <c r="S15" s="1103" t="n"/>
      <c r="T15" s="13" t="n"/>
      <c r="U15" s="13" t="n"/>
      <c r="V15" s="13" t="n"/>
      <c r="W15" s="13" t="n"/>
      <c r="X15" s="171" t="n"/>
      <c r="Y15" s="601" t="n"/>
      <c r="Z15" s="1238" t="n"/>
      <c r="AA15" s="1238" t="n"/>
      <c r="AB15" s="1238" t="n"/>
      <c r="AC15" s="1238" t="n"/>
      <c r="AD15" s="1238" t="n"/>
      <c r="AE15" s="1238" t="n"/>
      <c r="AF15" s="1238" t="n"/>
      <c r="AG15" s="1238" t="n"/>
      <c r="AH15" s="1238" t="n"/>
      <c r="AI15" s="1238" t="n"/>
      <c r="AJ15" s="1238" t="n"/>
      <c r="AK15" s="1238" t="n"/>
      <c r="AL15" s="1238" t="n"/>
    </row>
    <row r="16" hidden="1" customFormat="1" s="13">
      <c r="A16" s="13" t="n"/>
      <c r="B16" s="13" t="n"/>
      <c r="C16" s="13" t="n"/>
      <c r="D16" s="174" t="inlineStr">
        <is>
          <t>页轴</t>
        </is>
      </c>
      <c r="E16" s="1183" t="n"/>
      <c r="F16" s="13" t="n"/>
      <c r="G16" s="13" t="n"/>
      <c r="H16" s="13" t="n"/>
      <c r="I16" s="13" t="n"/>
      <c r="J16" s="13" t="n"/>
      <c r="K16" s="13" t="n"/>
      <c r="L16" s="13" t="n"/>
      <c r="M16" s="13" t="n"/>
      <c r="N16" s="13" t="n"/>
      <c r="O16" s="13" t="n"/>
      <c r="P16" s="13" t="n"/>
      <c r="Q16" s="13" t="n"/>
      <c r="R16" s="13" t="n"/>
      <c r="S16" s="1103" t="n"/>
      <c r="T16" s="13" t="n"/>
      <c r="U16" s="13" t="n"/>
      <c r="V16" s="13" t="n"/>
      <c r="W16" s="13" t="n"/>
      <c r="X16" s="171" t="n"/>
      <c r="Y16" s="601" t="n"/>
      <c r="Z16" s="1238" t="n"/>
      <c r="AA16" s="1238" t="n"/>
      <c r="AB16" s="1238" t="n"/>
      <c r="AC16" s="1238" t="n"/>
      <c r="AD16" s="1238" t="n"/>
      <c r="AE16" s="1238" t="n"/>
      <c r="AF16" s="1238" t="n"/>
      <c r="AG16" s="1238" t="n"/>
      <c r="AH16" s="1238" t="n"/>
      <c r="AI16" s="1238" t="n"/>
      <c r="AJ16" s="1238" t="n"/>
      <c r="AK16" s="1238" t="n"/>
      <c r="AL16" s="1238" t="n"/>
    </row>
    <row r="17" hidden="1" customFormat="1" s="13">
      <c r="A17" s="174" t="inlineStr">
        <is>
          <t>维度类型</t>
        </is>
      </c>
      <c r="B17" s="174" t="inlineStr">
        <is>
          <t>维度</t>
        </is>
      </c>
      <c r="C17" s="178" t="inlineStr">
        <is>
          <t>页轴替换</t>
        </is>
      </c>
      <c r="D17" s="174" t="inlineStr">
        <is>
          <t>报表001</t>
        </is>
      </c>
      <c r="E17" s="174" t="inlineStr">
        <is>
          <t>报表002</t>
        </is>
      </c>
      <c r="F17" s="13" t="n"/>
      <c r="G17" s="13" t="n"/>
      <c r="H17" s="13" t="n"/>
      <c r="I17" s="13" t="n"/>
      <c r="J17" s="13" t="n"/>
      <c r="K17" s="13" t="n"/>
      <c r="L17" s="13" t="n"/>
      <c r="M17" s="13" t="n"/>
      <c r="N17" s="13" t="n"/>
      <c r="O17" s="13" t="n"/>
      <c r="P17" s="13" t="n"/>
      <c r="Q17" s="13" t="n"/>
      <c r="R17" s="13" t="n"/>
      <c r="S17" s="1103" t="n"/>
      <c r="T17" s="13" t="n"/>
      <c r="U17" s="13" t="n"/>
      <c r="V17" s="13" t="n"/>
      <c r="W17" s="13" t="n"/>
      <c r="X17" s="171" t="n"/>
      <c r="Y17" s="601" t="n"/>
      <c r="Z17" s="1238" t="n"/>
      <c r="AA17" s="1238" t="n"/>
      <c r="AB17" s="1238" t="n"/>
      <c r="AC17" s="1238" t="n"/>
      <c r="AD17" s="1238" t="n"/>
      <c r="AE17" s="1238" t="n"/>
      <c r="AF17" s="1238" t="n"/>
      <c r="AG17" s="1238" t="n"/>
      <c r="AH17" s="1238" t="n"/>
      <c r="AI17" s="1238" t="n"/>
      <c r="AJ17" s="1238" t="n"/>
      <c r="AK17" s="1238" t="n"/>
      <c r="AL17" s="1238" t="n"/>
    </row>
    <row r="18" hidden="1" customFormat="1" s="13">
      <c r="A18" s="175" t="inlineStr">
        <is>
          <t>A</t>
        </is>
      </c>
      <c r="B18" s="176">
        <f>IF(_epmOfflineCondition_,"C_ACCOUNT",EPMDimensionType(,A18))</f>
        <v/>
      </c>
      <c r="C18" s="182" t="inlineStr">
        <is>
          <t>A_NOUSED</t>
        </is>
      </c>
      <c r="D18" s="180" t="n"/>
      <c r="E18" s="13" t="n"/>
      <c r="F18" s="13" t="n"/>
      <c r="G18" s="13" t="n"/>
      <c r="H18" s="13" t="n"/>
      <c r="I18" s="13" t="n"/>
      <c r="J18" s="13" t="n"/>
      <c r="K18" s="13" t="n"/>
      <c r="L18" s="13" t="n"/>
      <c r="M18" s="13" t="n"/>
      <c r="N18" s="13" t="n"/>
      <c r="O18" s="13" t="n"/>
      <c r="P18" s="13" t="n"/>
      <c r="Q18" s="13" t="n"/>
      <c r="R18" s="13" t="n"/>
      <c r="S18" s="1103" t="n"/>
      <c r="T18" s="13" t="n"/>
      <c r="U18" s="13" t="n"/>
      <c r="V18" s="13" t="n"/>
      <c r="W18" s="13" t="n"/>
      <c r="X18" s="171" t="n"/>
      <c r="Y18" s="601" t="n"/>
      <c r="Z18" s="1238" t="n"/>
      <c r="AA18" s="1238" t="n"/>
      <c r="AB18" s="1238" t="n"/>
      <c r="AC18" s="1238" t="n"/>
      <c r="AD18" s="1238" t="n"/>
      <c r="AE18" s="1238" t="n"/>
      <c r="AF18" s="1238" t="n"/>
      <c r="AG18" s="1238" t="n"/>
      <c r="AH18" s="1238" t="n"/>
      <c r="AI18" s="1238" t="n"/>
      <c r="AJ18" s="1238" t="n"/>
      <c r="AK18" s="1238" t="n"/>
      <c r="AL18" s="1238" t="n"/>
    </row>
    <row r="19" hidden="1" customFormat="1" s="13">
      <c r="A19" s="175" t="inlineStr">
        <is>
          <t>C</t>
        </is>
      </c>
      <c r="B19" s="176">
        <f>IF(_epmOfflineCondition_,"C_CATEGORY",EPMDimensionType(,A19))</f>
        <v/>
      </c>
      <c r="C19" s="182" t="inlineStr">
        <is>
          <t>C_DUMMY</t>
        </is>
      </c>
      <c r="D19" s="180" t="n"/>
      <c r="E19" s="13" t="n"/>
      <c r="F19" s="13" t="n"/>
      <c r="G19" s="13" t="n"/>
      <c r="H19" s="13" t="n"/>
      <c r="I19" s="13" t="n"/>
      <c r="J19" s="13" t="n"/>
      <c r="K19" s="13" t="n"/>
      <c r="L19" s="13" t="n"/>
      <c r="M19" s="13" t="n"/>
      <c r="N19" s="13" t="n"/>
      <c r="O19" s="13" t="n"/>
      <c r="P19" s="13" t="n"/>
      <c r="Q19" s="13" t="n"/>
      <c r="R19" s="13" t="n"/>
      <c r="S19" s="1103" t="n"/>
      <c r="T19" s="13" t="n"/>
      <c r="U19" s="13" t="n"/>
      <c r="V19" s="13" t="n"/>
      <c r="W19" s="13" t="n"/>
      <c r="X19" s="171" t="n"/>
      <c r="Y19" s="601" t="n"/>
      <c r="Z19" s="1238" t="n"/>
      <c r="AA19" s="1238" t="n"/>
      <c r="AB19" s="1238" t="n"/>
      <c r="AC19" s="1238" t="n"/>
      <c r="AD19" s="1238" t="n"/>
      <c r="AE19" s="1238" t="n"/>
      <c r="AF19" s="1238" t="n"/>
      <c r="AG19" s="1238" t="n"/>
      <c r="AH19" s="1238" t="n"/>
      <c r="AI19" s="1238" t="n"/>
      <c r="AJ19" s="1238" t="n"/>
      <c r="AK19" s="1238" t="n"/>
      <c r="AL19" s="1238" t="n"/>
    </row>
    <row r="20" hidden="1" customFormat="1" s="13">
      <c r="A20" s="175" t="inlineStr">
        <is>
          <t>T</t>
        </is>
      </c>
      <c r="B20" s="176">
        <f>IF(_epmOfflineCondition_,"C_TIME",EPMDimensionType(,A20))</f>
        <v/>
      </c>
      <c r="C20" s="672" t="inlineStr">
        <is>
          <t>T_DUMMY</t>
        </is>
      </c>
      <c r="D20" s="180" t="n"/>
      <c r="E20" s="13" t="n"/>
      <c r="F20" s="384" t="n"/>
      <c r="G20" s="384" t="n"/>
      <c r="H20" s="13" t="n"/>
      <c r="I20" s="13" t="n"/>
      <c r="J20" s="13" t="n"/>
      <c r="K20" s="13" t="n"/>
      <c r="L20" s="13" t="n"/>
      <c r="M20" s="13" t="n"/>
      <c r="N20" s="13" t="n"/>
      <c r="O20" s="13" t="n"/>
      <c r="P20" s="13" t="n"/>
      <c r="Q20" s="13" t="n"/>
      <c r="R20" s="13" t="n"/>
      <c r="S20" s="1103" t="n"/>
      <c r="T20" s="13" t="n"/>
      <c r="U20" s="13" t="n"/>
      <c r="V20" s="13" t="n"/>
      <c r="W20" s="13" t="n"/>
      <c r="X20" s="171" t="n"/>
      <c r="Y20" s="601" t="n"/>
      <c r="Z20" s="1237" t="n"/>
      <c r="AA20" s="1238" t="n"/>
      <c r="AB20" s="1238" t="n"/>
      <c r="AC20" s="1238" t="n"/>
      <c r="AD20" s="1238" t="n"/>
      <c r="AE20" s="1238" t="n"/>
      <c r="AF20" s="1238" t="n"/>
      <c r="AG20" s="1238" t="n"/>
      <c r="AH20" s="1238" t="n"/>
      <c r="AI20" s="1238" t="n"/>
      <c r="AJ20" s="1238" t="n"/>
      <c r="AK20" s="1238" t="n"/>
      <c r="AL20" s="1238" t="n"/>
    </row>
    <row r="21" hidden="1" customFormat="1" s="13">
      <c r="A21" s="175" t="inlineStr">
        <is>
          <t>E</t>
        </is>
      </c>
      <c r="B21" s="176">
        <f>IF(_epmOfflineCondition_,"C_ENTITY",EPMDimensionType(,A21))</f>
        <v/>
      </c>
      <c r="C21" s="447">
        <f>IF(_epmOfflineCondition_,"E100787",IF(B21="","",EPMContextMember(,B21)))</f>
        <v/>
      </c>
      <c r="D21" s="390">
        <f>IF(_epmOfflineCondition_,"内蒙古京能苏尼特风力发电有限公司（内蒙古分公司）",EPMOlapMemberO(D6,"[C_ENTITY].[PARENTH1].[E100787]","E100787 - 内蒙古京能苏尼特风力发电有限公司（内蒙古分公司）","","000"))</f>
        <v/>
      </c>
      <c r="E21" s="13">
        <f>D21</f>
        <v/>
      </c>
      <c r="F21" s="384" t="n"/>
      <c r="G21" s="384" t="n"/>
      <c r="H21" s="13" t="n"/>
      <c r="I21" s="13" t="n"/>
      <c r="J21" s="13" t="n"/>
      <c r="K21" s="13" t="n"/>
      <c r="L21" s="13" t="n"/>
      <c r="M21" s="13" t="n"/>
      <c r="N21" s="13" t="n"/>
      <c r="O21" s="13" t="n"/>
      <c r="P21" s="13" t="n"/>
      <c r="Q21" s="13" t="n"/>
      <c r="R21" s="13" t="n"/>
      <c r="S21" s="1103" t="n"/>
      <c r="T21" s="13" t="n"/>
      <c r="U21" s="13" t="n"/>
      <c r="V21" s="13" t="n"/>
      <c r="W21" s="13" t="n"/>
      <c r="X21" s="171" t="n"/>
      <c r="Y21" s="601" t="n"/>
      <c r="Z21" s="1237" t="n"/>
      <c r="AA21" s="1238" t="n"/>
      <c r="AB21" s="1238" t="n"/>
      <c r="AC21" s="1238" t="n"/>
      <c r="AD21" s="1238" t="n"/>
      <c r="AE21" s="1238" t="n"/>
      <c r="AF21" s="1238" t="n"/>
      <c r="AG21" s="1238" t="n"/>
      <c r="AH21" s="1238" t="n"/>
      <c r="AI21" s="1238" t="n"/>
      <c r="AJ21" s="1238" t="n"/>
      <c r="AK21" s="1238" t="n"/>
      <c r="AL21" s="1238" t="n"/>
    </row>
    <row r="22" hidden="1" customFormat="1" s="13">
      <c r="A22" s="175" t="inlineStr">
        <is>
          <t>R</t>
        </is>
      </c>
      <c r="B22" s="176">
        <f>IF(_epmOfflineCondition_,"C_RPTCURRENCY",EPMDimensionType(,A22))</f>
        <v/>
      </c>
      <c r="C22" s="1239">
        <f>Z37</f>
        <v/>
      </c>
      <c r="D22" s="390" t="n"/>
      <c r="E22" s="13" t="n"/>
      <c r="F22" s="384" t="n"/>
      <c r="G22" s="384" t="n"/>
      <c r="H22" s="13" t="n"/>
      <c r="I22" s="13" t="n"/>
      <c r="J22" s="13" t="n"/>
      <c r="K22" s="13" t="n"/>
      <c r="L22" s="13" t="n"/>
      <c r="M22" s="13" t="n"/>
      <c r="N22" s="13" t="n"/>
      <c r="O22" s="13" t="n"/>
      <c r="P22" s="13" t="n"/>
      <c r="Q22" s="13" t="n"/>
      <c r="R22" s="13" t="n"/>
      <c r="S22" s="1103" t="n"/>
      <c r="T22" s="13" t="n"/>
      <c r="U22" s="13" t="n"/>
      <c r="V22" s="13" t="n"/>
      <c r="W22" s="13" t="n"/>
      <c r="X22" s="171" t="n"/>
      <c r="Y22" s="601" t="n"/>
      <c r="Z22" s="1237" t="n"/>
      <c r="AA22" s="1238" t="n"/>
      <c r="AB22" s="1238" t="n"/>
      <c r="AC22" s="1238" t="n"/>
      <c r="AD22" s="1238" t="n"/>
      <c r="AE22" s="1238" t="n"/>
      <c r="AF22" s="1238" t="n"/>
      <c r="AG22" s="1238" t="n"/>
      <c r="AH22" s="1238" t="n"/>
      <c r="AI22" s="1238" t="n"/>
      <c r="AJ22" s="1238" t="n"/>
      <c r="AK22" s="1238" t="n"/>
      <c r="AL22" s="1238" t="n"/>
    </row>
    <row r="23" hidden="1" customFormat="1" s="13">
      <c r="A23" s="175" t="inlineStr">
        <is>
          <t>D</t>
        </is>
      </c>
      <c r="B23" s="176">
        <f>IF(_epmOfflineCondition_,"C_AUDITTRAIL",EPMDimensionType(,A23))</f>
        <v/>
      </c>
      <c r="C23" s="447">
        <f>IF(_epmOfflineCondition_,"D1001",IF(B23="","",EPMContextMember(,B23)))</f>
        <v/>
      </c>
      <c r="D23" s="390" t="n"/>
      <c r="E23" s="13" t="n"/>
      <c r="F23" s="384" t="n"/>
      <c r="G23" s="384" t="n"/>
      <c r="H23" s="13" t="n"/>
      <c r="I23" s="13" t="n"/>
      <c r="J23" s="13" t="n"/>
      <c r="K23" s="13" t="n"/>
      <c r="L23" s="13" t="n"/>
      <c r="M23" s="13" t="n"/>
      <c r="N23" s="13" t="n"/>
      <c r="O23" s="13" t="n"/>
      <c r="P23" s="13" t="n"/>
      <c r="Q23" s="13" t="n"/>
      <c r="R23" s="13" t="n"/>
      <c r="S23" s="1103" t="n"/>
      <c r="T23" s="13" t="n"/>
      <c r="U23" s="13" t="n"/>
      <c r="V23" s="13" t="n"/>
      <c r="W23" s="13" t="n"/>
      <c r="X23" s="171" t="n"/>
      <c r="Y23" s="601" t="n"/>
      <c r="Z23" s="1237" t="n"/>
      <c r="AA23" s="1238" t="n"/>
      <c r="AB23" s="1238" t="n"/>
      <c r="AC23" s="1238" t="n"/>
      <c r="AD23" s="1238" t="n"/>
      <c r="AE23" s="1238" t="n"/>
      <c r="AF23" s="1238" t="n"/>
      <c r="AG23" s="1238" t="n"/>
      <c r="AH23" s="1238" t="n"/>
      <c r="AI23" s="1238" t="n"/>
      <c r="AJ23" s="1238" t="n"/>
      <c r="AK23" s="1238" t="n"/>
      <c r="AL23" s="1238" t="n"/>
    </row>
    <row r="24" hidden="1" customFormat="1" s="13">
      <c r="A24" s="175" t="inlineStr">
        <is>
          <t>S</t>
        </is>
      </c>
      <c r="B24" s="176">
        <f>IF(_epmOfflineCondition_,"C_FLOW",EPMDimensionType(,A24))</f>
        <v/>
      </c>
      <c r="C24" s="176">
        <f>IF(_epmOfflineCondition_,"F20",IF(B24="","",EPMContextMember(,B24)))</f>
        <v/>
      </c>
      <c r="D24" s="390" t="n"/>
      <c r="E24" s="13" t="n"/>
      <c r="F24" s="384" t="n"/>
      <c r="G24" s="384" t="n"/>
      <c r="H24" s="13" t="n"/>
      <c r="I24" s="13" t="n"/>
      <c r="J24" s="13" t="n"/>
      <c r="K24" s="13" t="n"/>
      <c r="L24" s="13" t="n"/>
      <c r="M24" s="13" t="n"/>
      <c r="N24" s="13" t="n"/>
      <c r="O24" s="13" t="n"/>
      <c r="P24" s="13" t="n"/>
      <c r="Q24" s="13" t="n"/>
      <c r="R24" s="13" t="n"/>
      <c r="S24" s="1103" t="n"/>
      <c r="T24" s="13" t="n"/>
      <c r="U24" s="13" t="n"/>
      <c r="V24" s="13" t="n"/>
      <c r="W24" s="13" t="n"/>
      <c r="X24" s="171" t="n"/>
      <c r="Y24" s="601" t="n"/>
      <c r="Z24" s="1237" t="n"/>
      <c r="AA24" s="1238" t="n"/>
      <c r="AB24" s="1238" t="n"/>
      <c r="AC24" s="1238" t="n"/>
      <c r="AD24" s="1238" t="n"/>
      <c r="AE24" s="1238" t="n"/>
      <c r="AF24" s="1238" t="n"/>
      <c r="AG24" s="1238" t="n"/>
      <c r="AH24" s="1238" t="n"/>
      <c r="AI24" s="1238" t="n"/>
      <c r="AJ24" s="1238" t="n"/>
      <c r="AK24" s="1238" t="n"/>
      <c r="AL24" s="1238" t="n"/>
    </row>
    <row r="25" hidden="1" customFormat="1" s="13">
      <c r="A25" s="175" t="inlineStr">
        <is>
          <t>I</t>
        </is>
      </c>
      <c r="B25" s="176">
        <f>IF(_epmOfflineCondition_,"C_INTERCO",EPMDimensionType(,A25))</f>
        <v/>
      </c>
      <c r="C25" s="176" t="inlineStr">
        <is>
          <t>I_ALL</t>
        </is>
      </c>
      <c r="D25" s="390">
        <f>IF(_epmOfflineCondition_,"I_ALL",EPMOlapMemberO(C25,"[C_INTERCO].[PARENTH1].[I_ALL]","I_ALL - 全部贸易伙伴","","000"))</f>
        <v/>
      </c>
      <c r="E25" s="13" t="n"/>
      <c r="F25" s="384" t="n"/>
      <c r="G25" s="384" t="n"/>
      <c r="H25" s="13" t="n"/>
      <c r="I25" s="13" t="n"/>
      <c r="J25" s="13" t="n"/>
      <c r="K25" s="13" t="n"/>
      <c r="L25" s="13" t="n"/>
      <c r="M25" s="13" t="n"/>
      <c r="N25" s="13" t="n"/>
      <c r="O25" s="13" t="n"/>
      <c r="P25" s="13" t="n"/>
      <c r="Q25" s="13" t="n"/>
      <c r="R25" s="13" t="n"/>
      <c r="S25" s="1103" t="n"/>
      <c r="T25" s="13" t="n"/>
      <c r="U25" s="13" t="n"/>
      <c r="V25" s="13" t="n"/>
      <c r="W25" s="13" t="n"/>
      <c r="X25" s="171" t="n"/>
      <c r="Y25" s="601" t="n"/>
      <c r="Z25" s="1238" t="n"/>
      <c r="AA25" s="1240" t="inlineStr">
        <is>
          <t>CATEGORY</t>
        </is>
      </c>
      <c r="AB25" s="1240" t="inlineStr">
        <is>
          <t>C1001</t>
        </is>
      </c>
      <c r="AC25" s="1240">
        <f>$C$4</f>
        <v/>
      </c>
      <c r="AD25" s="1240" t="n"/>
      <c r="AE25" s="1240" t="n"/>
      <c r="AF25" s="1240" t="n"/>
      <c r="AG25" s="1238" t="n"/>
      <c r="AH25" s="1238" t="n"/>
      <c r="AI25" s="1238" t="n"/>
      <c r="AJ25" s="1240" t="inlineStr">
        <is>
          <t>C3002</t>
        </is>
      </c>
      <c r="AK25" s="1240" t="inlineStr">
        <is>
          <t>C3003</t>
        </is>
      </c>
      <c r="AL25" s="1240" t="inlineStr">
        <is>
          <t>C3003</t>
        </is>
      </c>
    </row>
    <row r="26" hidden="1" customFormat="1" s="13">
      <c r="A26" s="175" t="inlineStr">
        <is>
          <t>G</t>
        </is>
      </c>
      <c r="B26" s="176">
        <f>IF(_epmOfflineCondition_,"C_SCOPE",EPMDimensionType(,A26))</f>
        <v/>
      </c>
      <c r="C26" s="182" t="inlineStr">
        <is>
          <t>G_DUMMY</t>
        </is>
      </c>
      <c r="D26" s="390">
        <f>IF(_epmOfflineCondition_,"合并范围无关",EPMOlapMemberO(D11,"[C_SCOPE].[PARENTH1].[G_DUMMY]","G_DUMMY - 合并范围无关","","000"))</f>
        <v/>
      </c>
      <c r="E26" s="13">
        <f>D26</f>
        <v/>
      </c>
      <c r="F26" s="384" t="n"/>
      <c r="G26" s="384" t="n"/>
      <c r="H26" s="13" t="n"/>
      <c r="I26" s="13" t="n"/>
      <c r="J26" s="13" t="n"/>
      <c r="K26" s="13" t="n"/>
      <c r="L26" s="13" t="n"/>
      <c r="M26" s="13" t="n"/>
      <c r="N26" s="13" t="n"/>
      <c r="O26" s="13" t="n"/>
      <c r="P26" s="13" t="n"/>
      <c r="Q26" s="13" t="n"/>
      <c r="R26" s="13" t="n"/>
      <c r="S26" s="1103" t="n"/>
      <c r="T26" s="13" t="n"/>
      <c r="U26" s="13" t="n"/>
      <c r="V26" s="13" t="n"/>
      <c r="W26" s="13" t="n"/>
      <c r="X26" s="171" t="n"/>
      <c r="Y26" s="601" t="n"/>
      <c r="Z26" s="1238" t="n"/>
      <c r="AA26" s="1241" t="inlineStr">
        <is>
          <t>TIME</t>
        </is>
      </c>
      <c r="AB26" s="1241">
        <f>$I$11</f>
        <v/>
      </c>
      <c r="AC26" s="1240">
        <f>$J$4</f>
        <v/>
      </c>
      <c r="AD26" s="1242">
        <f>$I$13</f>
        <v/>
      </c>
      <c r="AE26" s="1240">
        <f>J5</f>
        <v/>
      </c>
      <c r="AF26" s="1242" t="n"/>
      <c r="AG26" s="1238" t="n"/>
      <c r="AH26" s="1238" t="n"/>
      <c r="AI26" s="1238" t="n"/>
      <c r="AJ26" s="1242">
        <f>$I$11</f>
        <v/>
      </c>
      <c r="AK26" s="1242">
        <f>$I$14</f>
        <v/>
      </c>
      <c r="AL26" s="1242">
        <f>$I$14</f>
        <v/>
      </c>
    </row>
    <row r="27" hidden="1" customFormat="1" s="13">
      <c r="A27" s="175" t="inlineStr">
        <is>
          <t>U8</t>
        </is>
      </c>
      <c r="B27" s="176">
        <f>IF(_epmOfflineCondition_,"C_PROJECT",EPMDimensionType(,A27))</f>
        <v/>
      </c>
      <c r="C27" s="180" t="inlineStr">
        <is>
          <t>ZP_ALL</t>
        </is>
      </c>
      <c r="D27" s="390">
        <f>IF(_epmOfflineCondition_,"ZP_ALL - 项目合计",EPMOlapMemberO("[C_PROJECT].[PARENTH1].[ZP_ALL]","","ZP_ALL - 项目合计","","000"))</f>
        <v/>
      </c>
      <c r="E27" s="13" t="n"/>
      <c r="F27" s="384" t="n"/>
      <c r="G27" s="384" t="n"/>
      <c r="H27" s="13" t="n"/>
      <c r="I27" s="13" t="n"/>
      <c r="J27" s="13" t="n"/>
      <c r="K27" s="13" t="n"/>
      <c r="L27" s="13" t="n"/>
      <c r="M27" s="13" t="n"/>
      <c r="N27" s="13" t="n"/>
      <c r="O27" s="13" t="n"/>
      <c r="P27" s="13" t="n"/>
      <c r="Q27" s="13" t="n"/>
      <c r="R27" s="13" t="n"/>
      <c r="S27" s="1103" t="n"/>
      <c r="T27" s="13" t="n"/>
      <c r="U27" s="13" t="n"/>
      <c r="V27" s="13" t="n"/>
      <c r="W27" s="13" t="n"/>
      <c r="X27" s="171" t="n"/>
      <c r="Y27" s="601" t="n"/>
      <c r="Z27" s="1238" t="n"/>
      <c r="AA27" s="1242" t="inlineStr">
        <is>
          <t>MEASURES</t>
        </is>
      </c>
      <c r="AB27" s="1242" t="inlineStr">
        <is>
          <t>YTD</t>
        </is>
      </c>
      <c r="AC27" s="1242" t="inlineStr">
        <is>
          <t>Periodic</t>
        </is>
      </c>
      <c r="AD27" s="1242" t="n"/>
      <c r="AE27" s="1242" t="n"/>
      <c r="AF27" s="1242" t="n"/>
      <c r="AG27" s="1238" t="n"/>
      <c r="AH27" s="1238" t="n"/>
      <c r="AI27" s="1238" t="n"/>
      <c r="AJ27" s="1242" t="inlineStr">
        <is>
          <t>YTD</t>
        </is>
      </c>
      <c r="AK27" s="1242" t="inlineStr">
        <is>
          <t>YTD</t>
        </is>
      </c>
      <c r="AL27" s="1242" t="inlineStr">
        <is>
          <t>YTD</t>
        </is>
      </c>
    </row>
    <row r="28" hidden="1" customFormat="1" s="13">
      <c r="A28" s="175" t="inlineStr">
        <is>
          <t>U9</t>
        </is>
      </c>
      <c r="B28" s="176">
        <f>IF(_epmOfflineCondition_,"C_ITEM",EPMDimensionType(,A28))</f>
        <v/>
      </c>
      <c r="C28" s="180" t="inlineStr">
        <is>
          <t>ZI_ALL</t>
        </is>
      </c>
      <c r="D28" s="390">
        <f>IF(_epmOfflineCondition_,"ZI_DUMMY - 与子项无关",EPMOlapMemberO("[C_ITEM].[PARENTH1].[ZI_DUMMY]","","ZI_DUMMY - 与子项无关","","000"))</f>
        <v/>
      </c>
      <c r="E28" s="13" t="n"/>
      <c r="F28" s="384" t="n"/>
      <c r="G28" s="384" t="n"/>
      <c r="H28" s="13" t="n"/>
      <c r="I28" s="13" t="n"/>
      <c r="J28" s="13" t="n"/>
      <c r="K28" s="13" t="n"/>
      <c r="L28" s="13" t="n"/>
      <c r="M28" s="13" t="n"/>
      <c r="N28" s="13" t="n"/>
      <c r="O28" s="13" t="n"/>
      <c r="P28" s="13" t="n"/>
      <c r="Q28" s="13" t="n"/>
      <c r="R28" s="13" t="n"/>
      <c r="S28" s="1103" t="n"/>
      <c r="T28" s="13" t="n"/>
      <c r="U28" s="13" t="n"/>
      <c r="V28" s="13" t="n"/>
      <c r="W28" s="13" t="n"/>
      <c r="X28" s="171" t="n"/>
      <c r="Y28" s="601" t="n"/>
      <c r="Z28" s="1238" t="n"/>
      <c r="AA28" s="1242" t="inlineStr">
        <is>
          <t>FLOW</t>
        </is>
      </c>
      <c r="AB28" s="1242" t="inlineStr">
        <is>
          <t>F20</t>
        </is>
      </c>
      <c r="AC28" s="1242" t="inlineStr">
        <is>
          <t>F30</t>
        </is>
      </c>
      <c r="AD28" s="1242" t="inlineStr">
        <is>
          <t>F99</t>
        </is>
      </c>
      <c r="AE28" s="1242" t="inlineStr">
        <is>
          <t>FEND</t>
        </is>
      </c>
      <c r="AF28" s="1242" t="inlineStr">
        <is>
          <t>FMOV</t>
        </is>
      </c>
      <c r="AG28" s="1242" t="inlineStr">
        <is>
          <t>F00T</t>
        </is>
      </c>
      <c r="AH28" s="1238" t="n"/>
      <c r="AI28" s="1238" t="n"/>
      <c r="AJ28" s="1242" t="inlineStr">
        <is>
          <t>FEND</t>
        </is>
      </c>
      <c r="AK28" s="1242" t="inlineStr">
        <is>
          <t>FEND</t>
        </is>
      </c>
      <c r="AL28" s="1242" t="inlineStr">
        <is>
          <t>FEND</t>
        </is>
      </c>
    </row>
    <row r="29" hidden="1" customFormat="1" s="13">
      <c r="A29" s="175" t="inlineStr">
        <is>
          <t>U10</t>
        </is>
      </c>
      <c r="B29" s="176">
        <f>IF(_epmOfflineCondition_,"C_MISK",EPMDimensionType(,A29))</f>
        <v/>
      </c>
      <c r="C29" s="449" t="inlineStr">
        <is>
          <t>ZM_ALL</t>
        </is>
      </c>
      <c r="D29" s="390">
        <f>IF(_epmOfflineCondition_,"ZM_ALL - ALL",EPMOlapMemberO("[C_MISK].[PARENTH1].[ZM_ALL]","","ZM_ALL - ALL","","000"))</f>
        <v/>
      </c>
      <c r="E29" s="13" t="n"/>
      <c r="F29" s="384" t="n"/>
      <c r="G29" s="384" t="n"/>
      <c r="H29" s="13" t="n"/>
      <c r="I29" s="13" t="n"/>
      <c r="J29" s="13" t="n"/>
      <c r="K29" s="13" t="n"/>
      <c r="L29" s="13" t="n"/>
      <c r="M29" s="13" t="n"/>
      <c r="N29" s="13" t="n"/>
      <c r="O29" s="13" t="n"/>
      <c r="P29" s="13" t="n"/>
      <c r="Q29" s="13" t="n"/>
      <c r="R29" s="13" t="n"/>
      <c r="S29" s="1103" t="n"/>
      <c r="T29" s="13" t="n"/>
      <c r="U29" s="13" t="n"/>
      <c r="V29" s="13" t="n"/>
      <c r="W29" s="13" t="n"/>
      <c r="X29" s="171" t="n"/>
      <c r="Y29" s="601" t="n"/>
      <c r="Z29" s="1238" t="n"/>
      <c r="AA29" s="1242" t="inlineStr">
        <is>
          <t>AUDITTRAIL</t>
        </is>
      </c>
      <c r="AB29" s="1242" t="inlineStr">
        <is>
          <t>DLC_BK</t>
        </is>
      </c>
      <c r="AC29" s="1242" t="inlineStr">
        <is>
          <t>DLC_RC</t>
        </is>
      </c>
      <c r="AD29" s="1242" t="inlineStr">
        <is>
          <t>DALL</t>
        </is>
      </c>
      <c r="AE29" s="1242" t="inlineStr">
        <is>
          <t>DLC_ADJ</t>
        </is>
      </c>
      <c r="AF29" s="1242" t="n"/>
      <c r="AG29" s="1238" t="n"/>
      <c r="AH29" s="1238" t="n"/>
      <c r="AI29" s="1238" t="n"/>
      <c r="AJ29" s="1242" t="inlineStr">
        <is>
          <t>DALL</t>
        </is>
      </c>
      <c r="AK29" s="1242" t="inlineStr">
        <is>
          <t>DALL</t>
        </is>
      </c>
      <c r="AL29" s="1242" t="inlineStr">
        <is>
          <t>DALL</t>
        </is>
      </c>
    </row>
    <row r="30" hidden="1" customFormat="1" s="13">
      <c r="A30" s="175" t="n"/>
      <c r="B30" s="175">
        <f>IF(_epmOfflineCondition_,"",EPMDimensionType(,A30))</f>
        <v/>
      </c>
      <c r="C30" s="182" t="inlineStr">
        <is>
          <t>PERIODIC</t>
        </is>
      </c>
      <c r="D30" s="390" t="n"/>
      <c r="E30" s="13" t="n"/>
      <c r="F30" s="384" t="n"/>
      <c r="G30" s="384" t="n"/>
      <c r="H30" s="13" t="n"/>
      <c r="I30" s="13" t="n"/>
      <c r="J30" s="13" t="n"/>
      <c r="K30" s="13" t="n"/>
      <c r="L30" s="13" t="n"/>
      <c r="M30" s="13" t="n"/>
      <c r="N30" s="13" t="n"/>
      <c r="O30" s="13" t="n"/>
      <c r="P30" s="13" t="n"/>
      <c r="Q30" s="13" t="n"/>
      <c r="R30" s="13" t="n"/>
      <c r="S30" s="1103" t="n"/>
      <c r="T30" s="13" t="n"/>
      <c r="U30" s="13" t="n"/>
      <c r="V30" s="13" t="n"/>
      <c r="W30" s="13" t="n"/>
      <c r="X30" s="171" t="n"/>
      <c r="Y30" s="601" t="n"/>
      <c r="Z30" s="1238" t="n"/>
      <c r="AA30" s="1238" t="n"/>
      <c r="AB30" s="1238">
        <f>IF(_epmOfflineCondition_,"单体账面",EPMMemberDesc(AB29))</f>
        <v/>
      </c>
      <c r="AC30" s="1238">
        <f>IF(_epmOfflineCondition_,"单体重分类",EPMMemberDesc(AC29))</f>
        <v/>
      </c>
      <c r="AD30" s="1238">
        <f>IF(_epmOfflineCondition_,"合并后",EPMMemberDesc(AD29))</f>
        <v/>
      </c>
      <c r="AE30" s="1238">
        <f>IF(_epmOfflineCondition_,"单体调整",EPMMemberDesc(AE29))</f>
        <v/>
      </c>
      <c r="AF30" s="1238" t="n"/>
      <c r="AG30" s="1238" t="n"/>
      <c r="AH30" s="1238" t="n"/>
      <c r="AI30" s="1238" t="n"/>
      <c r="AJ30" s="1238" t="inlineStr">
        <is>
          <t>CNY</t>
        </is>
      </c>
      <c r="AK30" s="1238" t="inlineStr">
        <is>
          <t>CNY</t>
        </is>
      </c>
      <c r="AL30" s="1238" t="inlineStr">
        <is>
          <t>CNY</t>
        </is>
      </c>
    </row>
    <row r="31" hidden="1" customFormat="1" s="13">
      <c r="A31" s="13" t="n"/>
      <c r="B31" s="1103" t="n"/>
      <c r="C31" s="1103" t="n"/>
      <c r="D31" s="1103" t="n"/>
      <c r="E31" s="13" t="n"/>
      <c r="F31" s="13" t="n"/>
      <c r="G31" s="13" t="n"/>
      <c r="H31" s="13" t="n"/>
      <c r="I31" s="13" t="n"/>
      <c r="J31" s="13" t="n"/>
      <c r="K31" s="13" t="n"/>
      <c r="L31" s="13" t="n"/>
      <c r="M31" s="13" t="n"/>
      <c r="N31" s="13" t="n"/>
      <c r="O31" s="13" t="n"/>
      <c r="P31" s="13" t="n"/>
      <c r="Q31" s="13" t="n"/>
      <c r="R31" s="13" t="n"/>
      <c r="S31" s="1103" t="n"/>
      <c r="T31" s="13" t="n"/>
      <c r="U31" s="13" t="n"/>
      <c r="V31" s="13" t="n"/>
      <c r="W31" s="13" t="n"/>
      <c r="X31" s="171" t="n"/>
      <c r="Y31" s="601" t="n"/>
      <c r="Z31" s="1238" t="n"/>
      <c r="AA31" s="1238" t="n"/>
      <c r="AB31" s="1238" t="n"/>
      <c r="AC31" s="1238" t="n"/>
      <c r="AD31" s="1238" t="n"/>
      <c r="AE31" s="1238" t="n"/>
      <c r="AF31" s="1238" t="n"/>
      <c r="AG31" s="1238" t="n"/>
      <c r="AH31" s="1238" t="n"/>
      <c r="AI31" s="1238" t="n"/>
      <c r="AJ31" s="1238" t="n"/>
      <c r="AK31" s="1238" t="n"/>
      <c r="AL31" s="1238" t="n"/>
    </row>
    <row r="32" hidden="1" customFormat="1" s="13">
      <c r="A32" s="13" t="n"/>
      <c r="B32" s="1103" t="n"/>
      <c r="C32" s="1103" t="n"/>
      <c r="D32" s="1103" t="n"/>
      <c r="E32" s="13" t="n"/>
      <c r="F32" s="13" t="n"/>
      <c r="G32" s="13" t="n"/>
      <c r="H32" s="13" t="n"/>
      <c r="I32" s="13" t="n"/>
      <c r="J32" s="13" t="n"/>
      <c r="K32" s="13" t="n"/>
      <c r="L32" s="13" t="n"/>
      <c r="M32" s="13" t="n"/>
      <c r="N32" s="13" t="n"/>
      <c r="O32" s="13" t="n"/>
      <c r="P32" s="13" t="n"/>
      <c r="Q32" s="13" t="n"/>
      <c r="R32" s="13" t="n"/>
      <c r="S32" s="1103" t="n"/>
      <c r="T32" s="13" t="n"/>
      <c r="U32" s="13" t="n"/>
      <c r="V32" s="13" t="n"/>
      <c r="W32" s="13" t="n"/>
      <c r="X32" s="171" t="n"/>
      <c r="Y32" s="601" t="n"/>
      <c r="Z32" s="1238" t="n"/>
      <c r="AA32" s="1238" t="n"/>
      <c r="AB32" s="1238" t="n"/>
      <c r="AC32" s="1238" t="n"/>
      <c r="AD32" s="1238" t="n"/>
      <c r="AE32" s="1238" t="n"/>
      <c r="AF32" s="1238" t="n"/>
      <c r="AG32" s="1238" t="n"/>
      <c r="AH32" s="1238" t="n"/>
      <c r="AI32" s="1238" t="n"/>
      <c r="AJ32" s="1238" t="n"/>
      <c r="AK32" s="1238" t="n"/>
      <c r="AL32" s="1238" t="n"/>
    </row>
    <row r="33" hidden="1" customFormat="1" s="13">
      <c r="A33" s="13" t="n"/>
      <c r="B33" s="1103" t="n"/>
      <c r="C33" s="1103" t="n"/>
      <c r="D33" s="1103" t="n"/>
      <c r="E33" s="13" t="n"/>
      <c r="F33" s="13" t="n"/>
      <c r="G33" s="13" t="n"/>
      <c r="H33" s="13" t="n"/>
      <c r="I33" s="13" t="n"/>
      <c r="J33" s="13" t="n"/>
      <c r="K33" s="13" t="n"/>
      <c r="L33" s="13" t="n"/>
      <c r="M33" s="13" t="n"/>
      <c r="N33" s="13" t="n"/>
      <c r="O33" s="13" t="n"/>
      <c r="P33" s="13" t="n"/>
      <c r="Q33" s="13" t="n"/>
      <c r="R33" s="13" t="n"/>
      <c r="S33" s="1103" t="n"/>
      <c r="T33" s="13" t="n"/>
      <c r="U33" s="13" t="n"/>
      <c r="V33" s="13" t="n"/>
      <c r="W33" s="13" t="n"/>
      <c r="X33" s="171" t="n"/>
      <c r="Y33" s="601" t="n"/>
      <c r="Z33" s="1238" t="n"/>
      <c r="AA33" s="1238" t="n"/>
      <c r="AB33" s="1238" t="n"/>
      <c r="AC33" s="1238" t="n"/>
      <c r="AD33" s="1238" t="n"/>
      <c r="AE33" s="1238" t="n"/>
      <c r="AF33" s="1238" t="n"/>
      <c r="AG33" s="1238" t="n"/>
      <c r="AH33" s="1238" t="n"/>
      <c r="AI33" s="1238" t="n"/>
      <c r="AJ33" s="1238" t="n"/>
      <c r="AK33" s="1238" t="n"/>
      <c r="AL33" s="1238" t="n"/>
    </row>
    <row r="34" ht="10.35" customFormat="1" customHeight="1" s="13">
      <c r="A34" s="13" t="n"/>
      <c r="B34" s="1103" t="n"/>
      <c r="C34" s="1103" t="n"/>
      <c r="D34" s="1103" t="n"/>
      <c r="E34" s="13" t="n"/>
      <c r="F34" s="13" t="n"/>
      <c r="G34" s="13" t="n"/>
      <c r="H34" s="13" t="n"/>
      <c r="I34" s="13" t="n"/>
      <c r="J34" s="13" t="n"/>
      <c r="K34" s="13" t="n"/>
      <c r="L34" s="13" t="n"/>
      <c r="M34" s="13" t="n"/>
      <c r="N34" s="13" t="n"/>
      <c r="O34" s="13" t="n"/>
      <c r="P34" s="13" t="n"/>
      <c r="Q34" s="13" t="n"/>
      <c r="R34" s="13" t="n"/>
      <c r="S34" s="1103" t="n"/>
      <c r="T34" s="13" t="n"/>
      <c r="U34" s="13" t="n"/>
      <c r="V34" s="13" t="n"/>
      <c r="W34" s="13" t="n"/>
      <c r="X34" s="171" t="n"/>
      <c r="Y34" s="601" t="n"/>
      <c r="Z34" s="1238" t="n"/>
      <c r="AA34" s="1238" t="n"/>
      <c r="AB34" s="1238" t="n"/>
      <c r="AC34" s="1238" t="n"/>
      <c r="AD34" s="1238" t="n"/>
      <c r="AE34" s="1238" t="n"/>
      <c r="AF34" s="1238" t="n"/>
      <c r="AG34" s="1238" t="n"/>
      <c r="AH34" s="1238" t="n"/>
      <c r="AI34" s="1238" t="n"/>
      <c r="AJ34" s="1238" t="n"/>
      <c r="AK34" s="1238" t="n"/>
      <c r="AL34" s="1238" t="n"/>
    </row>
    <row r="35" ht="32.25" customHeight="1" s="1181">
      <c r="A35" s="384" t="n"/>
      <c r="B35" s="384" t="n"/>
      <c r="C35" s="384" t="n"/>
      <c r="D35" s="384" t="n"/>
      <c r="E35" s="384" t="n"/>
      <c r="F35" s="384" t="n"/>
      <c r="G35" s="384" t="n"/>
      <c r="H35" s="384" t="n"/>
      <c r="I35" s="384" t="n"/>
      <c r="J35" s="384" t="n"/>
      <c r="K35" s="384" t="n"/>
      <c r="L35" s="384" t="n"/>
      <c r="M35" s="384" t="n"/>
      <c r="N35" s="384" t="n"/>
      <c r="O35" s="384" t="n"/>
      <c r="P35" s="384" t="n"/>
      <c r="Q35" s="384" t="n"/>
      <c r="R35" s="384" t="n"/>
      <c r="S35" s="32" t="n"/>
      <c r="T35" s="384" t="n"/>
      <c r="U35" s="384" t="n"/>
      <c r="V35" s="384" t="n"/>
      <c r="W35" s="384" t="n"/>
      <c r="X35" s="38" t="n"/>
      <c r="Y35" s="706" t="n"/>
      <c r="Z35" s="1243" t="n"/>
      <c r="AA35" s="1237" t="n"/>
      <c r="AB35" s="1237" t="n"/>
      <c r="AC35" s="1237" t="n"/>
      <c r="AD35" s="1244" t="inlineStr">
        <is>
          <t>资产负债比较表-查询</t>
        </is>
      </c>
      <c r="AE35" s="1237" t="n"/>
      <c r="AF35" s="1237" t="n"/>
      <c r="AG35" s="1237" t="n"/>
      <c r="AH35" s="1237" t="n"/>
      <c r="AI35" s="1237" t="n"/>
      <c r="AJ35" s="1237" t="n"/>
      <c r="AK35" s="1237" t="n"/>
      <c r="AL35" s="1237" t="n"/>
    </row>
    <row r="36" ht="15.2" customFormat="1" customHeight="1" s="716">
      <c r="A36" s="716" t="n"/>
      <c r="B36" s="716" t="n"/>
      <c r="C36" s="716" t="n"/>
      <c r="D36" s="716" t="n"/>
      <c r="E36" s="716" t="n"/>
      <c r="F36" s="716" t="n"/>
      <c r="G36" s="716" t="n"/>
      <c r="H36" s="716" t="n"/>
      <c r="I36" s="716" t="n"/>
      <c r="J36" s="716" t="n"/>
      <c r="K36" s="716" t="n"/>
      <c r="L36" s="716" t="n"/>
      <c r="M36" s="716" t="n"/>
      <c r="N36" s="716" t="n"/>
      <c r="O36" s="716" t="n"/>
      <c r="P36" s="716" t="n"/>
      <c r="Q36" s="716" t="n"/>
      <c r="R36" s="716" t="n"/>
      <c r="S36" s="462">
        <f>IF(D21="全部实体",D26,D21)</f>
        <v/>
      </c>
      <c r="T36" s="716" t="n"/>
      <c r="U36" s="716" t="n"/>
      <c r="V36" s="716" t="n"/>
      <c r="W36" s="716" t="n"/>
      <c r="X36" s="190">
        <f>IF(_epmOfflineCondition_,"编制单位：内蒙古京能苏尼特风力发电有限公司（内蒙古分公司）","编制单位："&amp;EPMMemberDesc($S$36))</f>
        <v/>
      </c>
      <c r="Y36" s="707" t="n"/>
      <c r="Z36" s="1243" t="n"/>
      <c r="AA36" s="1245" t="n"/>
      <c r="AB36" s="1245" t="n"/>
      <c r="AC36" s="1245" t="n"/>
      <c r="AD36" s="1245" t="n"/>
      <c r="AE36" s="1245" t="n"/>
      <c r="AF36" s="1245" t="n"/>
      <c r="AG36" s="1245" t="n"/>
      <c r="AH36" s="1245" t="n"/>
      <c r="AI36" s="1245" t="n"/>
      <c r="AJ36" s="1245" t="n"/>
      <c r="AK36" s="1245" t="n"/>
      <c r="AL36" s="1245" t="n"/>
    </row>
    <row r="37" ht="15.2" customFormat="1" customHeight="1" s="716">
      <c r="A37" s="716" t="n"/>
      <c r="B37" s="716" t="n"/>
      <c r="C37" s="716" t="n"/>
      <c r="D37" s="716" t="n"/>
      <c r="E37" s="716" t="n"/>
      <c r="F37" s="716" t="n"/>
      <c r="G37" s="716" t="n"/>
      <c r="H37" s="716" t="n"/>
      <c r="I37" s="716" t="n"/>
      <c r="J37" s="716" t="n"/>
      <c r="K37" s="716" t="n"/>
      <c r="L37" s="716" t="n"/>
      <c r="M37" s="716" t="n"/>
      <c r="N37" s="716" t="n"/>
      <c r="O37" s="716" t="n"/>
      <c r="P37" s="716" t="n"/>
      <c r="Q37" s="716" t="n"/>
      <c r="R37" s="716" t="n"/>
      <c r="S37" s="462" t="n"/>
      <c r="T37" s="716" t="n"/>
      <c r="U37" s="716" t="n"/>
      <c r="V37" s="716" t="n"/>
      <c r="W37" s="716" t="n"/>
      <c r="X37" s="190">
        <f>"编制月份："&amp;$I$3&amp;"年"&amp;$I$8&amp;"月"</f>
        <v/>
      </c>
      <c r="Y37" s="190" t="inlineStr">
        <is>
          <t>币种：</t>
        </is>
      </c>
      <c r="Z37" s="1245" t="inlineStr">
        <is>
          <t>LC</t>
        </is>
      </c>
      <c r="AA37" s="1245" t="n"/>
      <c r="AB37" s="1245" t="n"/>
      <c r="AC37" s="1245" t="n"/>
      <c r="AD37" s="1245" t="n"/>
      <c r="AE37" s="1245" t="n"/>
      <c r="AF37" s="1245" t="n"/>
      <c r="AG37" s="1245" t="n"/>
      <c r="AH37" s="1245" t="n"/>
      <c r="AI37" s="1245" t="n"/>
      <c r="AJ37" s="1245" t="n"/>
      <c r="AK37" s="1245" t="n"/>
      <c r="AL37" s="1246" t="inlineStr">
        <is>
          <t>金额单位：元</t>
        </is>
      </c>
    </row>
    <row r="38" ht="15.2" customFormat="1" customHeight="1" s="716">
      <c r="A38" s="716" t="n"/>
      <c r="B38" s="716" t="n"/>
      <c r="C38" s="716" t="n"/>
      <c r="D38" s="716" t="n"/>
      <c r="E38" s="716" t="n"/>
      <c r="F38" s="716" t="n"/>
      <c r="G38" s="716" t="n"/>
      <c r="H38" s="716" t="n"/>
      <c r="I38" s="716" t="n"/>
      <c r="J38" s="716" t="n"/>
      <c r="K38" s="716" t="n"/>
      <c r="L38" s="716" t="n"/>
      <c r="M38" s="716" t="n"/>
      <c r="N38" s="716" t="n"/>
      <c r="O38" s="716" t="n"/>
      <c r="P38" s="716" t="n"/>
      <c r="Q38" s="716" t="n"/>
      <c r="R38" s="716" t="n"/>
      <c r="S38" s="462" t="n"/>
      <c r="T38" s="716" t="n"/>
      <c r="U38" s="716" t="n"/>
      <c r="V38" s="716" t="n"/>
      <c r="W38" s="716" t="n"/>
      <c r="X38" s="450" t="inlineStr">
        <is>
          <t>项目</t>
        </is>
      </c>
      <c r="Y38" s="450" t="inlineStr">
        <is>
          <t>行次</t>
        </is>
      </c>
      <c r="Z38" s="1247" t="inlineStr">
        <is>
          <t>期末数</t>
        </is>
      </c>
      <c r="AA38" s="1247" t="inlineStr">
        <is>
          <t>对比年初</t>
        </is>
      </c>
      <c r="AB38" s="1182" t="n"/>
      <c r="AC38" s="1183" t="n"/>
      <c r="AD38" s="1247" t="inlineStr">
        <is>
          <t>对比上月</t>
        </is>
      </c>
      <c r="AE38" s="1182" t="n"/>
      <c r="AF38" s="1183" t="n"/>
      <c r="AG38" s="1247" t="inlineStr">
        <is>
          <t>对比上年同期</t>
        </is>
      </c>
      <c r="AH38" s="1182" t="n"/>
      <c r="AI38" s="1183" t="n"/>
      <c r="AJ38" s="1248" t="inlineStr">
        <is>
          <t>年度预算完成情况</t>
        </is>
      </c>
      <c r="AK38" s="1182" t="n"/>
      <c r="AL38" s="1183" t="n"/>
    </row>
    <row r="39" ht="15.2" customFormat="1" customHeight="1" s="716">
      <c r="A39" s="716" t="n"/>
      <c r="B39" s="716" t="n"/>
      <c r="C39" s="716" t="n"/>
      <c r="D39" s="716" t="n"/>
      <c r="E39" s="716" t="n"/>
      <c r="F39" s="716" t="n"/>
      <c r="G39" s="716" t="n"/>
      <c r="H39" s="716" t="n"/>
      <c r="I39" s="716" t="n"/>
      <c r="J39" s="716" t="n"/>
      <c r="K39" s="716" t="n"/>
      <c r="L39" s="716" t="n"/>
      <c r="M39" s="716" t="n"/>
      <c r="N39" s="716" t="n"/>
      <c r="O39" s="716" t="n"/>
      <c r="P39" s="716" t="n"/>
      <c r="Q39" s="716" t="n"/>
      <c r="R39" s="716" t="n"/>
      <c r="S39" s="462" t="n"/>
      <c r="T39" s="716" t="n"/>
      <c r="U39" s="716" t="n"/>
      <c r="V39" s="716" t="n"/>
      <c r="W39" s="716" t="n"/>
      <c r="X39" s="1184" t="n"/>
      <c r="Y39" s="1184" t="n"/>
      <c r="Z39" s="1184" t="n"/>
      <c r="AA39" s="1247" t="inlineStr">
        <is>
          <t>年初数</t>
        </is>
      </c>
      <c r="AB39" s="1247" t="inlineStr">
        <is>
          <t>增减额</t>
        </is>
      </c>
      <c r="AC39" s="1247" t="inlineStr">
        <is>
          <t>增减%</t>
        </is>
      </c>
      <c r="AD39" s="1247" t="inlineStr">
        <is>
          <t>上月数</t>
        </is>
      </c>
      <c r="AE39" s="1247" t="inlineStr">
        <is>
          <t>增减额</t>
        </is>
      </c>
      <c r="AF39" s="1247" t="inlineStr">
        <is>
          <t>增减%</t>
        </is>
      </c>
      <c r="AG39" s="1247" t="inlineStr">
        <is>
          <t>上年同期数</t>
        </is>
      </c>
      <c r="AH39" s="1247" t="inlineStr">
        <is>
          <t>增减额</t>
        </is>
      </c>
      <c r="AI39" s="1247" t="inlineStr">
        <is>
          <t>增减%</t>
        </is>
      </c>
      <c r="AJ39" s="1248" t="inlineStr">
        <is>
          <t>本年预算数</t>
        </is>
      </c>
      <c r="AK39" s="1248" t="inlineStr">
        <is>
          <t>增减额</t>
        </is>
      </c>
      <c r="AL39" s="1248" t="inlineStr">
        <is>
          <t>完成%</t>
        </is>
      </c>
    </row>
    <row r="40" hidden="1" ht="15.2" customFormat="1" customHeight="1" s="716">
      <c r="A40" s="716" t="n"/>
      <c r="B40" s="716" t="n"/>
      <c r="C40" s="716" t="n"/>
      <c r="D40" s="716" t="n"/>
      <c r="E40" s="716" t="n"/>
      <c r="F40" s="716" t="n"/>
      <c r="G40" s="716" t="n"/>
      <c r="H40" s="716" t="n"/>
      <c r="I40" s="716" t="n"/>
      <c r="J40" s="716" t="n"/>
      <c r="K40" s="716" t="n"/>
      <c r="L40" s="716" t="n"/>
      <c r="M40" s="716" t="n"/>
      <c r="N40" s="716" t="n"/>
      <c r="O40" s="716" t="n"/>
      <c r="P40" s="716" t="n"/>
      <c r="Q40" s="716" t="n"/>
      <c r="R40" s="716" t="n"/>
      <c r="S40" s="462" t="n"/>
      <c r="T40" s="716" t="n"/>
      <c r="U40" s="716" t="n"/>
      <c r="V40" s="716" t="n"/>
      <c r="W40" s="716" t="n"/>
      <c r="X40" s="451" t="n"/>
      <c r="Y40" s="451" t="n"/>
      <c r="Z40" s="182">
        <f>IF(_epmOfflineCondition_,"LC",EPMOlapMemberO($Z$37,"[C_RPTCURRENCY].[].[LC]","LC - 本位币","","000"))</f>
        <v/>
      </c>
      <c r="AA40" s="182">
        <f>IF(_epmOfflineCondition_,"LC",EPMOlapMemberO($Z$37,"[C_RPTCURRENCY].[].[LC]","LC - 本位币","","000"))</f>
        <v/>
      </c>
      <c r="AB40" s="182">
        <f>IF(_epmOfflineCondition_,"LC",EPMOlapMemberO($Z$37,"[C_RPTCURRENCY].[].[LC]","LC - 本位币","","000"))</f>
        <v/>
      </c>
      <c r="AC40" s="182">
        <f>IF(_epmOfflineCondition_,"LC",EPMOlapMemberO($Z$37,"[C_RPTCURRENCY].[].[LC]","LC - 本位币","","000"))</f>
        <v/>
      </c>
      <c r="AD40" s="182">
        <f>IF(_epmOfflineCondition_,"LC",EPMOlapMemberO($Z$37,"[C_RPTCURRENCY].[].[LC]","LC - 本位币","","000"))</f>
        <v/>
      </c>
      <c r="AE40" s="182">
        <f>IF(_epmOfflineCondition_,"LC",EPMOlapMemberO($Z$37,"[C_RPTCURRENCY].[].[LC]","LC - 本位币","","000"))</f>
        <v/>
      </c>
      <c r="AF40" s="182">
        <f>IF(_epmOfflineCondition_,"LC",EPMOlapMemberO($Z$37,"[C_RPTCURRENCY].[].[LC]","LC - 本位币","","000"))</f>
        <v/>
      </c>
      <c r="AG40" s="182">
        <f>IF(_epmOfflineCondition_,"LC",EPMOlapMemberO($Z$37,"[C_RPTCURRENCY].[].[LC]","LC - 本位币","","000"))</f>
        <v/>
      </c>
      <c r="AH40" s="182">
        <f>IF(_epmOfflineCondition_,"LC",EPMOlapMemberO($Z$37,"[C_RPTCURRENCY].[].[LC]","LC - 本位币","","000"))</f>
        <v/>
      </c>
      <c r="AI40" s="182">
        <f>IF(_epmOfflineCondition_,"LC",EPMOlapMemberO($Z$37,"[C_RPTCURRENCY].[].[LC]","LC - 本位币","","000"))</f>
        <v/>
      </c>
      <c r="AJ40" s="182">
        <f>IF(_epmOfflineCondition_,"CNY",EPMOlapMemberO($AJ$30,"[C_RPTCURRENCY].[].[CNY]","CNY - 人民币","","000"))</f>
        <v/>
      </c>
      <c r="AK40" s="182">
        <f>IF(_epmOfflineCondition_,"CNY",EPMOlapMemberO($AJ$30,"[C_RPTCURRENCY].[].[CNY]","CNY - 人民币","","000"))</f>
        <v/>
      </c>
      <c r="AL40" s="182">
        <f>IF(_epmOfflineCondition_,"CNY",EPMOlapMemberO($AJ$30,"[C_RPTCURRENCY].[].[CNY]","CNY - 人民币","","000"))</f>
        <v/>
      </c>
    </row>
    <row r="41" hidden="1" ht="14.25" customFormat="1" customHeight="1" s="716">
      <c r="A41" s="716" t="n"/>
      <c r="B41" s="716" t="n"/>
      <c r="C41" s="716" t="n"/>
      <c r="D41" s="716" t="n"/>
      <c r="E41" s="716" t="n"/>
      <c r="F41" s="716" t="n"/>
      <c r="G41" s="716" t="n"/>
      <c r="H41" s="716" t="n"/>
      <c r="I41" s="716" t="n"/>
      <c r="J41" s="716" t="n"/>
      <c r="K41" s="716" t="n"/>
      <c r="L41" s="716" t="n"/>
      <c r="M41" s="716" t="n"/>
      <c r="N41" s="716" t="n"/>
      <c r="O41" s="716" t="n"/>
      <c r="P41" s="716" t="n"/>
      <c r="Q41" s="716" t="n"/>
      <c r="R41" s="716" t="n"/>
      <c r="S41" s="462" t="n"/>
      <c r="T41" s="716" t="n"/>
      <c r="U41" s="716" t="n"/>
      <c r="V41" s="716" t="n"/>
      <c r="W41" s="716" t="n"/>
      <c r="X41" s="451" t="inlineStr">
        <is>
          <t>time</t>
        </is>
      </c>
      <c r="Y41" s="451" t="n"/>
      <c r="Z41" s="648">
        <f>IF(_epmOfflineCondition_,"2025.03",EPMOlapMemberO(I11,"[C_TIME].[PARENTH1].[2025.03]","2025.03 - 2025.03","","000"))</f>
        <v/>
      </c>
      <c r="AA41" s="648">
        <f>IF(_epmOfflineCondition_,"2025.03",EPMOlapMemberO(I11,"[C_TIME].[PARENTH1].[2025.03]","2025.03 - 2025.03","","000"))</f>
        <v/>
      </c>
      <c r="AB41" s="648">
        <f>IF(_epmOfflineCondition_,"2025.03",EPMOlapMemberO(I11,"[C_TIME].[PARENTH1].[2025.03]","2025.03 - 2025.03","","000"))</f>
        <v/>
      </c>
      <c r="AC41" s="648">
        <f>IF(_epmOfflineCondition_,"2025.03",EPMOlapMemberO(I11,"[C_TIME].[PARENTH1].[2025.03]","2025.03 - 2025.03","","000"))</f>
        <v/>
      </c>
      <c r="AD41" s="648">
        <f>IF(_epmOfflineCondition_,"2025.02",EPMOlapMemberO(I12,"[C_TIME].[PARENTH1].[2025.02]","2025.02 - 2025.02","","000"))</f>
        <v/>
      </c>
      <c r="AE41" s="648">
        <f>IF(_epmOfflineCondition_,"2025.03",EPMOlapMemberO(I11,"[C_TIME].[PARENTH1].[2025.03]","2025.03 - 2025.03","","000"))</f>
        <v/>
      </c>
      <c r="AF41" s="648">
        <f>IF(_epmOfflineCondition_,"2025.03",EPMOlapMemberO(I11,"[C_TIME].[PARENTH1].[2025.03]","2025.03 - 2025.03","","000"))</f>
        <v/>
      </c>
      <c r="AG41" s="648">
        <f>IF(_epmOfflineCondition_,"2024.03",EPMOlapMemberO(I13,"[C_TIME].[PARENTH1].[2024.03]","2024.03 - 2024.03","","000"))</f>
        <v/>
      </c>
      <c r="AH41" s="648">
        <f>IF(_epmOfflineCondition_,"2025.03",EPMOlapMemberO($AB$26,"[C_TIME].[PARENTH1].[2025.03]","2025.03 - 2025.03","","000"))</f>
        <v/>
      </c>
      <c r="AI41" s="648">
        <f>IF(_epmOfflineCondition_,"2025.03",EPMOlapMemberO($AB$26,"[C_TIME].[PARENTH1].[2025.03]","2025.03 - 2025.03","","000"))</f>
        <v/>
      </c>
      <c r="AJ41" s="182">
        <f>IF(_epmOfflineCondition_,"2025.03",EPMOlapMemberO($AJ$26,"[C_TIME].[PARENTH1].[2025.03]","2025.03 - 2025.03","","000"))</f>
        <v/>
      </c>
      <c r="AK41" s="182">
        <f>IF(_epmOfflineCondition_,"2025.03",EPMOlapMemberO($AJ$26,"[C_TIME].[PARENTH1].[2025.03]","2025.03 - 2025.03","","000"))</f>
        <v/>
      </c>
      <c r="AL41" s="182">
        <f>IF(_epmOfflineCondition_,"2025.03",EPMOlapMemberO($AJ$26,"[C_TIME].[PARENTH1].[2025.03]","2025.03 - 2025.03","","000"))</f>
        <v/>
      </c>
    </row>
    <row r="42" hidden="1" ht="14.25" customFormat="1" customHeight="1" s="716">
      <c r="A42" s="716" t="n"/>
      <c r="B42" s="716" t="n"/>
      <c r="C42" s="716" t="n"/>
      <c r="D42" s="716" t="n"/>
      <c r="E42" s="716" t="n"/>
      <c r="F42" s="716" t="n"/>
      <c r="G42" s="716" t="n"/>
      <c r="H42" s="716" t="n"/>
      <c r="I42" s="716" t="n"/>
      <c r="J42" s="716" t="n"/>
      <c r="K42" s="716" t="n"/>
      <c r="L42" s="716" t="n"/>
      <c r="M42" s="716" t="n"/>
      <c r="N42" s="716" t="n"/>
      <c r="O42" s="716" t="n"/>
      <c r="P42" s="716" t="n"/>
      <c r="Q42" s="716" t="n"/>
      <c r="R42" s="716" t="n"/>
      <c r="S42" s="462" t="n"/>
      <c r="T42" s="716" t="n"/>
      <c r="U42" s="716" t="n"/>
      <c r="V42" s="716" t="n"/>
      <c r="W42" s="716" t="n"/>
      <c r="X42" s="451" t="inlineStr">
        <is>
          <t>category</t>
        </is>
      </c>
      <c r="Y42" s="451" t="n"/>
      <c r="Z42" s="182">
        <f>IF(_epmOfflineCondition_,"C1001",EPMOlapMemberO($AB$25,"[C_CATEGORY].[PARENTH1].[C1001]","C1001 - 实际数/决算数","","000"))</f>
        <v/>
      </c>
      <c r="AA42" s="182">
        <f>IF(_epmOfflineCondition_,"C1001",EPMOlapMemberO($AB$25,"[C_CATEGORY].[PARENTH1].[C1001]","C1001 - 实际数/决算数","","000"))</f>
        <v/>
      </c>
      <c r="AB42" s="182">
        <f>IF(_epmOfflineCondition_,"C1001",EPMOlapMemberO($AB$25,"[C_CATEGORY].[PARENTH1].[C1001]","C1001 - 实际数/决算数","","000"))</f>
        <v/>
      </c>
      <c r="AC42" s="182">
        <f>IF(_epmOfflineCondition_,"C1001",EPMOlapMemberO($AB$25,"[C_CATEGORY].[PARENTH1].[C1001]","C1001 - 实际数/决算数","","000"))</f>
        <v/>
      </c>
      <c r="AD42" s="182">
        <f>IF(_epmOfflineCondition_,"C1001",EPMOlapMemberO($AB$25,"[C_CATEGORY].[PARENTH1].[C1001]","C1001 - 实际数/决算数","","000"))</f>
        <v/>
      </c>
      <c r="AE42" s="182">
        <f>IF(_epmOfflineCondition_,"C1001",EPMOlapMemberO($AB$25,"[C_CATEGORY].[PARENTH1].[C1001]","C1001 - 实际数/决算数","","000"))</f>
        <v/>
      </c>
      <c r="AF42" s="182">
        <f>IF(_epmOfflineCondition_,"C1001",EPMOlapMemberO($AB$25,"[C_CATEGORY].[PARENTH1].[C1001]","C1001 - 实际数/决算数","","000"))</f>
        <v/>
      </c>
      <c r="AG42" s="182">
        <f>IF(_epmOfflineCondition_,"C1001",EPMOlapMemberO($AB$25,"[C_CATEGORY].[PARENTH1].[C1001]","C1001 - 实际数/决算数","","000"))</f>
        <v/>
      </c>
      <c r="AH42" s="182">
        <f>IF(_epmOfflineCondition_,"C1001",EPMOlapMemberO($AB$25,"[C_CATEGORY].[PARENTH1].[C1001]","C1001 - 实际数/决算数","","000"))</f>
        <v/>
      </c>
      <c r="AI42" s="182">
        <f>IF(_epmOfflineCondition_,"C1001",EPMOlapMemberO($AB$25,"[C_CATEGORY].[PARENTH1].[C1001]","C1001 - 实际数/决算数","","000"))</f>
        <v/>
      </c>
      <c r="AJ42" s="182">
        <f>IF(_epmOfflineCondition_,"C3002",EPMOlapMemberO($AJ$25,"[C_CATEGORY].[PARENTH1].[C3002]","C3002 - 月度预算（原""预算数（终稿）"")","","000"))</f>
        <v/>
      </c>
      <c r="AK42" s="182">
        <f>IF(_epmOfflineCondition_,"C3002",EPMOlapMemberO($AJ$25,"[C_CATEGORY].[PARENTH1].[C3002]","C3002 - 月度预算（原""预算数（终稿）"")","","000"))</f>
        <v/>
      </c>
      <c r="AL42" s="182">
        <f>IF(_epmOfflineCondition_,"C3002",EPMOlapMemberO($AJ$25,"[C_CATEGORY].[PARENTH1].[C3002]","C3002 - 月度预算（原""预算数（终稿）"")","","000"))</f>
        <v/>
      </c>
    </row>
    <row r="43" hidden="1" ht="13.5" customFormat="1" customHeight="1" s="716">
      <c r="A43" s="716" t="n"/>
      <c r="B43" s="716" t="n"/>
      <c r="C43" s="716" t="n"/>
      <c r="D43" s="716" t="n"/>
      <c r="E43" s="716" t="n"/>
      <c r="F43" s="716" t="n"/>
      <c r="G43" s="716" t="n"/>
      <c r="H43" s="716" t="n"/>
      <c r="I43" s="716" t="n"/>
      <c r="J43" s="716" t="n"/>
      <c r="K43" s="716" t="n"/>
      <c r="L43" s="716" t="n"/>
      <c r="M43" s="716" t="n"/>
      <c r="N43" s="716" t="n"/>
      <c r="O43" s="716" t="n"/>
      <c r="P43" s="716" t="n"/>
      <c r="Q43" s="716" t="n"/>
      <c r="R43" s="716" t="n"/>
      <c r="S43" s="462" t="n"/>
      <c r="T43" s="716" t="n"/>
      <c r="U43" s="716" t="n"/>
      <c r="V43" s="716" t="n"/>
      <c r="W43" s="716" t="n"/>
      <c r="X43" s="451" t="inlineStr">
        <is>
          <t>AUDITTRAIL</t>
        </is>
      </c>
      <c r="Y43" s="451" t="n"/>
      <c r="Z43" s="182">
        <f>IF(_epmOfflineCondition_,"DALL",EPMOlapMemberO($AD$29,"[C_AUDITTRAIL].[PARENTH1].[DALL]","DALL - 合并后","","000"))</f>
        <v/>
      </c>
      <c r="AA43" s="182">
        <f>IF(_epmOfflineCondition_,"DALL",EPMOlapMemberO($AD$29,"[C_AUDITTRAIL].[PARENTH1].[DALL]","DALL - 合并后","","000"))</f>
        <v/>
      </c>
      <c r="AB43" s="679">
        <f>IF(_epmOfflineCondition_,"DALL",EPMOlapMemberO($AD$29,"[C_AUDITTRAIL].[PARENTH1].[DALL]","DALL - 合并后","","000"))</f>
        <v/>
      </c>
      <c r="AC43" s="679">
        <f>IF(_epmOfflineCondition_,"DALL",EPMOlapMemberO($AD$29,"[C_AUDITTRAIL].[PARENTH1].[DALL]","DALL - 合并后","","000"))</f>
        <v/>
      </c>
      <c r="AD43" s="182">
        <f>IF(_epmOfflineCondition_,"DALL",EPMOlapMemberO($AD$29,"[C_AUDITTRAIL].[PARENTH1].[DALL]","DALL - 合并后","","000"))</f>
        <v/>
      </c>
      <c r="AE43" s="182">
        <f>IF(_epmOfflineCondition_,"DALL",EPMOlapMemberO($AD$29,"[C_AUDITTRAIL].[PARENTH1].[DALL]","DALL - 合并后","","000"))</f>
        <v/>
      </c>
      <c r="AF43" s="182">
        <f>IF(_epmOfflineCondition_,"DALL",EPMOlapMemberO($AD$29,"[C_AUDITTRAIL].[PARENTH1].[DALL]","DALL - 合并后","","000"))</f>
        <v/>
      </c>
      <c r="AG43" s="182">
        <f>IF(_epmOfflineCondition_,"DALL",EPMOlapMemberO($AD$29,"[C_AUDITTRAIL].[PARENTH1].[DALL]","DALL - 合并后","","000"))</f>
        <v/>
      </c>
      <c r="AH43" s="182">
        <f>IF(_epmOfflineCondition_,"DALL",EPMOlapMemberO($AD$29,"[C_AUDITTRAIL].[PARENTH1].[DALL]","DALL - 合并后","","000"))</f>
        <v/>
      </c>
      <c r="AI43" s="182">
        <f>IF(_epmOfflineCondition_,"DALL",EPMOlapMemberO($AD$29,"[C_AUDITTRAIL].[PARENTH1].[DALL]","DALL - 合并后","","000"))</f>
        <v/>
      </c>
      <c r="AJ43" s="182">
        <f>IF(_epmOfflineCondition_,"DALL",EPMOlapMemberO($AJ$29,"[C_AUDITTRAIL].[PARENTH1].[DALL]","DALL - 合并后","","000"))</f>
        <v/>
      </c>
      <c r="AK43" s="182">
        <f>IF(_epmOfflineCondition_,"DALL",EPMOlapMemberO($AJ$29,"[C_AUDITTRAIL].[PARENTH1].[DALL]","DALL - 合并后","","000"))</f>
        <v/>
      </c>
      <c r="AL43" s="182">
        <f>IF(_epmOfflineCondition_,"DALL",EPMOlapMemberO($AJ$29,"[C_AUDITTRAIL].[PARENTH1].[DALL]","DALL - 合并后","","000"))</f>
        <v/>
      </c>
    </row>
    <row r="44" hidden="1" ht="13.5" customFormat="1" customHeight="1" s="716">
      <c r="A44" s="716" t="n"/>
      <c r="B44" s="716" t="n"/>
      <c r="C44" s="716" t="n"/>
      <c r="D44" s="716" t="n"/>
      <c r="E44" s="716" t="n"/>
      <c r="F44" s="716" t="n"/>
      <c r="G44" s="716" t="n"/>
      <c r="H44" s="716" t="n"/>
      <c r="I44" s="716" t="n"/>
      <c r="J44" s="716" t="n"/>
      <c r="K44" s="716" t="n"/>
      <c r="L44" s="716" t="n"/>
      <c r="M44" s="716" t="n"/>
      <c r="N44" s="716" t="n"/>
      <c r="O44" s="716" t="n"/>
      <c r="P44" s="716" t="n"/>
      <c r="Q44" s="716" t="n"/>
      <c r="R44" s="716" t="n"/>
      <c r="S44" s="462" t="n"/>
      <c r="T44" s="716" t="n"/>
      <c r="U44" s="716" t="n"/>
      <c r="V44" s="716" t="n"/>
      <c r="W44" s="716" t="n"/>
      <c r="X44" s="451" t="inlineStr">
        <is>
          <t>flow</t>
        </is>
      </c>
      <c r="Y44" s="451" t="n"/>
      <c r="Z44" s="182">
        <f>IF(_epmOfflineCondition_,"FEND",EPMOlapMemberO(AE28,"[C_FLOW].[PARENTH1].[FEND]","FEND - 期末金额","","000"))</f>
        <v/>
      </c>
      <c r="AA44" s="182">
        <f>IF(_epmOfflineCondition_,"F00T",EPMOlapMemberO($AG$28,"[C_FLOW].[PARENTH1].[F00T]","F00T - 期初金额","","000"))</f>
        <v/>
      </c>
      <c r="AB44" s="182">
        <f>IF(_epmOfflineCondition_,"F00T",EPMOlapMemberO($AG$28,"[C_FLOW].[PARENTH1].[F00T]","F00T - 期初金额","","000"))</f>
        <v/>
      </c>
      <c r="AC44" s="182">
        <f>IF(_epmOfflineCondition_,"F00T",EPMOlapMemberO($AG$28,"[C_FLOW].[PARENTH1].[F00T]","F00T - 期初金额","","000"))</f>
        <v/>
      </c>
      <c r="AD44" s="182">
        <f>IF(_epmOfflineCondition_,"FEND",EPMOlapMemberO($AE$28,"[C_FLOW].[PARENTH1].[FEND]","FEND - 期末金额","","000"))</f>
        <v/>
      </c>
      <c r="AE44" s="182">
        <f>IF(_epmOfflineCondition_,"FEND",EPMOlapMemberO($AE$28,"[C_FLOW].[PARENTH1].[FEND]","FEND - 期末金额","","000"))</f>
        <v/>
      </c>
      <c r="AF44" s="182">
        <f>IF(_epmOfflineCondition_,"FEND",EPMOlapMemberO($AE$28,"[C_FLOW].[PARENTH1].[FEND]","FEND - 期末金额","","000"))</f>
        <v/>
      </c>
      <c r="AG44" s="182">
        <f>IF(_epmOfflineCondition_,"FEND",EPMOlapMemberO(AE28,"[C_FLOW].[PARENTH1].[FEND]","FEND - 期末金额","","000"))</f>
        <v/>
      </c>
      <c r="AH44" s="182">
        <f>IF(_epmOfflineCondition_,"F00T",EPMOlapMemberO($AG$28,"[C_FLOW].[PARENTH1].[F00T]","F00T - 期初金额","","000"))</f>
        <v/>
      </c>
      <c r="AI44" s="182">
        <f>IF(_epmOfflineCondition_,"FEND",EPMOlapMemberO($AE$28,"[C_FLOW].[PARENTH1].[FEND]","FEND - 期末金额","","000"))</f>
        <v/>
      </c>
      <c r="AJ44" s="182">
        <f>IF(_epmOfflineCondition_,"FEND",EPMOlapMemberO($AJ$28,"[C_FLOW].[PARENTH1].[FEND]","FEND - 期末金额","","000"))</f>
        <v/>
      </c>
      <c r="AK44" s="182">
        <f>IF(_epmOfflineCondition_,"FEND",EPMOlapMemberO($AJ$28,"[C_FLOW].[PARENTH1].[FEND]","FEND - 期末金额","","000"))</f>
        <v/>
      </c>
      <c r="AL44" s="182">
        <f>IF(_epmOfflineCondition_,"FEND",EPMOlapMemberO($AJ$28,"[C_FLOW].[PARENTH1].[FEND]","FEND - 期末金额","","000"))</f>
        <v/>
      </c>
    </row>
    <row r="45" hidden="1" ht="13.5" customFormat="1" customHeight="1" s="716">
      <c r="A45" s="716" t="n"/>
      <c r="B45" s="716" t="n"/>
      <c r="C45" s="716" t="n"/>
      <c r="D45" s="716" t="n"/>
      <c r="E45" s="716" t="n"/>
      <c r="F45" s="716" t="n"/>
      <c r="G45" s="716" t="n"/>
      <c r="H45" s="716" t="n"/>
      <c r="I45" s="716" t="n"/>
      <c r="J45" s="716" t="n"/>
      <c r="K45" s="716" t="n"/>
      <c r="L45" s="716" t="n"/>
      <c r="M45" s="716" t="n"/>
      <c r="N45" s="716" t="n"/>
      <c r="O45" s="716" t="n"/>
      <c r="P45" s="716" t="n"/>
      <c r="Q45" s="716" t="n"/>
      <c r="R45" s="716" t="n"/>
      <c r="S45" s="462" t="n"/>
      <c r="T45" s="716" t="n"/>
      <c r="U45" s="716" t="n"/>
      <c r="V45" s="716" t="n"/>
      <c r="W45" s="716" t="n"/>
      <c r="X45" s="451" t="inlineStr">
        <is>
          <t>measures</t>
        </is>
      </c>
      <c r="Y45" s="451" t="n"/>
      <c r="Z45" s="182">
        <f>IF(_epmOfflineCondition_,"YTD",EPMOlapMemberO($AB$27,"[MEASURES].[].[YTD]","YTD - Year To Date","","000"))</f>
        <v/>
      </c>
      <c r="AA45" s="182">
        <f>IF(_epmOfflineCondition_,"YTD",EPMOlapMemberO($AB$27,"[MEASURES].[].[YTD]","YTD - Year To Date","","000"))</f>
        <v/>
      </c>
      <c r="AB45" s="182">
        <f>IF(_epmOfflineCondition_,"YTD",EPMOlapMemberO($AB$27,"[MEASURES].[].[YTD]","YTD - Year To Date","","000"))</f>
        <v/>
      </c>
      <c r="AC45" s="182">
        <f>IF(_epmOfflineCondition_,"YTD",EPMOlapMemberO($AB$27,"[MEASURES].[].[YTD]","YTD - Year To Date","","000"))</f>
        <v/>
      </c>
      <c r="AD45" s="182">
        <f>IF(_epmOfflineCondition_,"YTD",EPMOlapMemberO($AB$27,"[MEASURES].[].[YTD]","YTD - Year To Date","","000"))</f>
        <v/>
      </c>
      <c r="AE45" s="182">
        <f>IF(_epmOfflineCondition_,"YTD",EPMOlapMemberO($AB$27,"[MEASURES].[].[YTD]","YTD - Year To Date","","000"))</f>
        <v/>
      </c>
      <c r="AF45" s="182">
        <f>IF(_epmOfflineCondition_,"YTD",EPMOlapMemberO($AB$27,"[MEASURES].[].[YTD]","YTD - Year To Date","","000"))</f>
        <v/>
      </c>
      <c r="AG45" s="182">
        <f>IF(_epmOfflineCondition_,"YTD",EPMOlapMemberO($AB$27,"[MEASURES].[].[YTD]","YTD - Year To Date","","000"))</f>
        <v/>
      </c>
      <c r="AH45" s="182">
        <f>IF(_epmOfflineCondition_,"YTD",EPMOlapMemberO($AB$27,"[MEASURES].[].[YTD]","YTD - Year To Date","","000"))</f>
        <v/>
      </c>
      <c r="AI45" s="182">
        <f>IF(_epmOfflineCondition_,"YTD",EPMOlapMemberO($AB$27,"[MEASURES].[].[YTD]","YTD - Year To Date","","000"))</f>
        <v/>
      </c>
      <c r="AJ45" s="182">
        <f>IF(_epmOfflineCondition_,"YTD",EPMOlapMemberO($AJ$27,"[MEASURES].[].[YTD]","YTD - Year To Date","","000"))</f>
        <v/>
      </c>
      <c r="AK45" s="182">
        <f>IF(_epmOfflineCondition_,"YTD",EPMOlapMemberO($AJ$27,"[MEASURES].[].[YTD]","YTD - Year To Date","","000"))</f>
        <v/>
      </c>
      <c r="AL45" s="182">
        <f>IF(_epmOfflineCondition_,"YTD",EPMOlapMemberO($AJ$27,"[MEASURES].[].[YTD]","YTD - Year To Date","","000"))</f>
        <v/>
      </c>
    </row>
    <row r="46" ht="14.85" customFormat="1" customHeight="1" s="716">
      <c r="A46" s="716" t="n"/>
      <c r="B46" s="716" t="n"/>
      <c r="C46" s="716" t="n"/>
      <c r="D46" s="716" t="n"/>
      <c r="E46" s="716" t="n"/>
      <c r="F46" s="716" t="n"/>
      <c r="G46" s="716" t="n"/>
      <c r="H46" s="716" t="n"/>
      <c r="I46" s="716" t="n"/>
      <c r="J46" s="716" t="n"/>
      <c r="K46" s="716" t="n"/>
      <c r="L46" s="716" t="n"/>
      <c r="M46" s="716" t="n"/>
      <c r="N46" s="716" t="n"/>
      <c r="O46" s="716" t="n"/>
      <c r="P46" s="716" t="n"/>
      <c r="Q46" s="716" t="n"/>
      <c r="R46" s="716" t="n"/>
      <c r="S46" s="462">
        <f>IF(_epmOfflineCondition_,"流动资产：",EPMMemberDesc(U46))</f>
        <v/>
      </c>
      <c r="T46" s="716" t="n"/>
      <c r="U46" s="384" t="inlineStr">
        <is>
          <t>A0010199</t>
        </is>
      </c>
      <c r="V46" s="462">
        <f>IF(_epmOfflineCondition_,"A0010199",EPMOlapMemberO(U46,"[C_ACCOUNT].[PARENTH1].[A0010199]","A0010199 - 流动资产：","","000"))</f>
        <v/>
      </c>
      <c r="W46" s="462" t="n"/>
      <c r="X46" s="1045" t="inlineStr">
        <is>
          <t>流动资产:</t>
        </is>
      </c>
      <c r="Y46" s="1185" t="inlineStr">
        <is>
          <t>-</t>
        </is>
      </c>
      <c r="Z46" s="1249" t="n"/>
      <c r="AA46" s="1250" t="n"/>
      <c r="AB46" s="1249">
        <f>Z46-AA46</f>
        <v/>
      </c>
      <c r="AC46" s="1249">
        <f>IF(AA46=0,0,(Z46-AA46)/AA46*100)</f>
        <v/>
      </c>
      <c r="AD46" s="1249" t="n"/>
      <c r="AE46" s="1249">
        <f>Z46-AD46</f>
        <v/>
      </c>
      <c r="AF46" s="1249">
        <f>IF(AD46=0,0,(Z46-AD46)/AD46*100)</f>
        <v/>
      </c>
      <c r="AG46" s="1249" t="n"/>
      <c r="AH46" s="1249">
        <f>Z46-AG46</f>
        <v/>
      </c>
      <c r="AI46" s="1249">
        <f>IF(AG46=0,0,(Z46-AG46)/AG46*100)</f>
        <v/>
      </c>
      <c r="AJ46" s="1251" t="n"/>
      <c r="AK46" s="1251">
        <f>Z46-AJ46</f>
        <v/>
      </c>
      <c r="AL46" s="1251">
        <f>IFERROR(Z46/AJ46*100,0)</f>
        <v/>
      </c>
    </row>
    <row r="47" ht="14.85" customFormat="1" customHeight="1" s="716">
      <c r="A47" s="716" t="n"/>
      <c r="B47" s="716" t="n"/>
      <c r="C47" s="716" t="n"/>
      <c r="D47" s="716" t="n"/>
      <c r="E47" s="716" t="n"/>
      <c r="F47" s="716" t="n"/>
      <c r="G47" s="716" t="n"/>
      <c r="H47" s="716" t="n"/>
      <c r="I47" s="716" t="n"/>
      <c r="J47" s="716" t="n"/>
      <c r="K47" s="716" t="n"/>
      <c r="L47" s="716" t="n"/>
      <c r="M47" s="716" t="n"/>
      <c r="N47" s="716" t="n"/>
      <c r="O47" s="716" t="n"/>
      <c r="P47" s="716" t="n"/>
      <c r="Q47" s="716" t="n"/>
      <c r="R47" s="716" t="n"/>
      <c r="S47" s="462">
        <f>IF(_epmOfflineCondition_,"  货币资金",EPMMemberDesc(U47))</f>
        <v/>
      </c>
      <c r="T47" s="716" t="n"/>
      <c r="U47" s="384" t="inlineStr">
        <is>
          <t>A001010101</t>
        </is>
      </c>
      <c r="V47" s="459">
        <f>IF(_epmOfflineCondition_,"A001010101",EPMOlapMemberO(U47,"[C_ACCOUNT].[PARENTH1].[A001010101]","A001010101 -   货币资金","","000"))</f>
        <v/>
      </c>
      <c r="W47" s="462" t="n"/>
      <c r="X47" s="705" t="inlineStr">
        <is>
          <t>货币资金</t>
        </is>
      </c>
      <c r="Y47" s="1185" t="inlineStr"/>
      <c r="Z47" s="1249" t="inlineStr"/>
      <c r="AA47" s="1250" t="inlineStr"/>
      <c r="AB47" s="1249">
        <f>Z47-AA47</f>
        <v/>
      </c>
      <c r="AC47" s="1249">
        <f>IF(AA47=0,0,(Z47-AA47)/AA47*100)</f>
        <v/>
      </c>
      <c r="AD47" s="1249" t="inlineStr"/>
      <c r="AE47" s="1249">
        <f>Z47-AD47</f>
        <v/>
      </c>
      <c r="AF47" s="1249">
        <f>IF(AD47=0,0,(Z47-AD47)/AD47*100)</f>
        <v/>
      </c>
      <c r="AG47" s="1249" t="inlineStr"/>
      <c r="AH47" s="1249">
        <f>Z47-AG47</f>
        <v/>
      </c>
      <c r="AI47" s="1249">
        <f>IF(AG47=0,0,(Z47-AG47)/AG47*100)</f>
        <v/>
      </c>
      <c r="AJ47" s="1251" t="n"/>
      <c r="AK47" s="1251">
        <f>Z47-AJ47</f>
        <v/>
      </c>
      <c r="AL47" s="1251">
        <f>IFERROR(Z47/AJ47*100,0)</f>
        <v/>
      </c>
    </row>
    <row r="48" ht="14.85" customFormat="1" customHeight="1" s="716">
      <c r="A48" s="716" t="n"/>
      <c r="B48" s="716" t="n"/>
      <c r="C48" s="716" t="n"/>
      <c r="D48" s="716" t="n"/>
      <c r="E48" s="716" t="n"/>
      <c r="F48" s="716" t="n"/>
      <c r="G48" s="716" t="n"/>
      <c r="H48" s="716" t="n"/>
      <c r="I48" s="716" t="n"/>
      <c r="J48" s="716" t="n"/>
      <c r="K48" s="716" t="n"/>
      <c r="L48" s="716" t="n"/>
      <c r="M48" s="716" t="n"/>
      <c r="N48" s="716" t="n"/>
      <c r="O48" s="716" t="n"/>
      <c r="P48" s="716" t="n"/>
      <c r="Q48" s="716" t="n"/>
      <c r="R48" s="716" t="n"/>
      <c r="S48" s="462">
        <f>IF(_epmOfflineCondition_,"  # 结算备付金",EPMMemberDesc(U48))</f>
        <v/>
      </c>
      <c r="T48" s="716" t="n"/>
      <c r="U48" s="384" t="inlineStr">
        <is>
          <t>A001010102</t>
        </is>
      </c>
      <c r="V48" s="459">
        <f>IF(_epmOfflineCondition_,"A001010102",EPMOlapMemberO(U48,"[C_ACCOUNT].[PARENTH1].[A001010102]","A001010102 -   # 结算备付金","","000"))</f>
        <v/>
      </c>
      <c r="W48" s="462" t="n"/>
      <c r="X48" s="1046" t="inlineStr">
        <is>
          <t xml:space="preserve">   △结算备付金</t>
        </is>
      </c>
      <c r="Y48" s="1185" t="inlineStr"/>
      <c r="Z48" s="1249" t="n"/>
      <c r="AA48" s="1250" t="n"/>
      <c r="AB48" s="1249">
        <f>Z48-AA48</f>
        <v/>
      </c>
      <c r="AC48" s="1249">
        <f>IF(AA48=0,0,(Z48-AA48)/AA48*100)</f>
        <v/>
      </c>
      <c r="AD48" s="1249" t="n"/>
      <c r="AE48" s="1249">
        <f>Z48-AD48</f>
        <v/>
      </c>
      <c r="AF48" s="1249">
        <f>IF(AD48=0,0,(Z48-AD48)/AD48*100)</f>
        <v/>
      </c>
      <c r="AG48" s="1249" t="n"/>
      <c r="AH48" s="1249">
        <f>Z48-AG48</f>
        <v/>
      </c>
      <c r="AI48" s="1249">
        <f>IF(AG48=0,0,(Z48-AG48)/AG48*100)</f>
        <v/>
      </c>
      <c r="AJ48" s="1251" t="n"/>
      <c r="AK48" s="1251">
        <f>Z48-AJ48</f>
        <v/>
      </c>
      <c r="AL48" s="1251">
        <f>IFERROR(Z48/AJ48*100,0)</f>
        <v/>
      </c>
    </row>
    <row r="49" ht="14.85" customFormat="1" customHeight="1" s="716">
      <c r="A49" s="716" t="n"/>
      <c r="B49" s="716" t="n"/>
      <c r="C49" s="716" t="n"/>
      <c r="D49" s="716" t="n"/>
      <c r="E49" s="716" t="n"/>
      <c r="F49" s="716" t="n"/>
      <c r="G49" s="716" t="n"/>
      <c r="H49" s="716" t="n"/>
      <c r="I49" s="716" t="n"/>
      <c r="J49" s="716" t="n"/>
      <c r="K49" s="716" t="n"/>
      <c r="L49" s="716" t="n"/>
      <c r="M49" s="716" t="n"/>
      <c r="N49" s="716" t="n"/>
      <c r="O49" s="716" t="n"/>
      <c r="P49" s="716" t="n"/>
      <c r="Q49" s="716" t="n"/>
      <c r="R49" s="716" t="n"/>
      <c r="S49" s="462">
        <f>IF(_epmOfflineCondition_,"  # 拆出资金",EPMMemberDesc(U49))</f>
        <v/>
      </c>
      <c r="T49" s="716" t="n"/>
      <c r="U49" s="384" t="inlineStr">
        <is>
          <t>A001010103</t>
        </is>
      </c>
      <c r="V49" s="459">
        <f>IF(_epmOfflineCondition_,"A001010103",EPMOlapMemberO(U49,"[C_ACCOUNT].[PARENTH1].[A001010103]","A001010103 -   # 拆出资金","","000"))</f>
        <v/>
      </c>
      <c r="W49" s="462" t="n"/>
      <c r="X49" s="1046" t="inlineStr">
        <is>
          <t xml:space="preserve">   △拆出资金</t>
        </is>
      </c>
      <c r="Y49" s="1185" t="inlineStr"/>
      <c r="Z49" s="1249" t="n"/>
      <c r="AA49" s="1249" t="n"/>
      <c r="AB49" s="1249">
        <f>Z49-AA49</f>
        <v/>
      </c>
      <c r="AC49" s="1249">
        <f>IF(AA49=0,0,(Z49-AA49)/AA49*100)</f>
        <v/>
      </c>
      <c r="AD49" s="1249" t="n"/>
      <c r="AE49" s="1249">
        <f>Z49-AD49</f>
        <v/>
      </c>
      <c r="AF49" s="1249">
        <f>IF(AD49=0,0,(Z49-AD49)/AD49*100)</f>
        <v/>
      </c>
      <c r="AG49" s="1249" t="n"/>
      <c r="AH49" s="1249">
        <f>Z49-AG49</f>
        <v/>
      </c>
      <c r="AI49" s="1249">
        <f>IF(AG49=0,0,(Z49-AG49)/AG49*100)</f>
        <v/>
      </c>
      <c r="AJ49" s="1251" t="n"/>
      <c r="AK49" s="1251">
        <f>Z49-AJ49</f>
        <v/>
      </c>
      <c r="AL49" s="1251">
        <f>IFERROR(Z49/AJ49*100,0)</f>
        <v/>
      </c>
    </row>
    <row r="50" ht="14.85" customFormat="1" customHeight="1" s="716">
      <c r="A50" s="716" t="n"/>
      <c r="B50" s="716" t="n"/>
      <c r="C50" s="716" t="n"/>
      <c r="D50" s="716" t="n"/>
      <c r="E50" s="716" t="n"/>
      <c r="F50" s="716" t="n"/>
      <c r="G50" s="716" t="n"/>
      <c r="H50" s="716" t="n"/>
      <c r="I50" s="716" t="n"/>
      <c r="J50" s="716" t="n"/>
      <c r="K50" s="716" t="n"/>
      <c r="L50" s="716" t="n"/>
      <c r="M50" s="716" t="n"/>
      <c r="N50" s="716" t="n"/>
      <c r="O50" s="716" t="n"/>
      <c r="P50" s="716" t="n"/>
      <c r="Q50" s="716" t="n"/>
      <c r="R50" s="716" t="n"/>
      <c r="S50" s="462">
        <f>IF(_epmOfflineCondition_,"  交易性金融资产",EPMMemberDesc(U50))</f>
        <v/>
      </c>
      <c r="T50" s="716" t="n"/>
      <c r="U50" s="384" t="inlineStr">
        <is>
          <t>A001010104</t>
        </is>
      </c>
      <c r="V50" s="459">
        <f>IF(_epmOfflineCondition_,"A001010104",EPMOlapMemberO(U50,"[C_ACCOUNT].[PARENTH1].[A001010104]","A001010104 -   交易性金融资产","","000"))</f>
        <v/>
      </c>
      <c r="W50" s="462" t="n"/>
      <c r="X50" s="705" t="inlineStr">
        <is>
          <t>交易性金融资产</t>
        </is>
      </c>
      <c r="Y50" s="1185" t="inlineStr"/>
      <c r="Z50" s="1249" t="n"/>
      <c r="AA50" s="1250" t="n"/>
      <c r="AB50" s="1249">
        <f>Z50-AA50</f>
        <v/>
      </c>
      <c r="AC50" s="1249">
        <f>IF(AA50=0,0,(Z50-AA50)/AA50*100)</f>
        <v/>
      </c>
      <c r="AD50" s="1249" t="n"/>
      <c r="AE50" s="1249">
        <f>Z50-AD50</f>
        <v/>
      </c>
      <c r="AF50" s="1249">
        <f>IF(AD50=0,0,(Z50-AD50)/AD50*100)</f>
        <v/>
      </c>
      <c r="AG50" s="1249" t="n"/>
      <c r="AH50" s="1249">
        <f>Z50-AG50</f>
        <v/>
      </c>
      <c r="AI50" s="1249">
        <f>IF(AG50=0,0,(Z50-AG50)/AG50*100)</f>
        <v/>
      </c>
      <c r="AJ50" s="1251" t="n"/>
      <c r="AK50" s="1251">
        <f>Z50-AJ50</f>
        <v/>
      </c>
      <c r="AL50" s="1251">
        <f>IFERROR(Z50/AJ50*100,0)</f>
        <v/>
      </c>
    </row>
    <row r="51" ht="14.85" customFormat="1" customHeight="1" s="716">
      <c r="A51" s="716" t="n"/>
      <c r="B51" s="716" t="n"/>
      <c r="C51" s="716" t="n"/>
      <c r="D51" s="716" t="n"/>
      <c r="E51" s="716" t="n"/>
      <c r="F51" s="716" t="n"/>
      <c r="G51" s="716" t="n"/>
      <c r="H51" s="716" t="n"/>
      <c r="I51" s="716" t="n"/>
      <c r="J51" s="716" t="n"/>
      <c r="K51" s="716" t="n"/>
      <c r="L51" s="716" t="n"/>
      <c r="M51" s="716" t="n"/>
      <c r="N51" s="716" t="n"/>
      <c r="O51" s="716" t="n"/>
      <c r="P51" s="716" t="n"/>
      <c r="Q51" s="716" t="n"/>
      <c r="R51" s="716" t="n"/>
      <c r="S51" s="462">
        <f>IF(_epmOfflineCondition_,"  应收票据",EPMMemberDesc(U51))</f>
        <v/>
      </c>
      <c r="T51" s="716" t="n"/>
      <c r="U51" s="384" t="inlineStr">
        <is>
          <t>A001010106</t>
        </is>
      </c>
      <c r="V51" s="459">
        <f>IF(_epmOfflineCondition_,"A001010106",EPMOlapMemberO(U51,"[C_ACCOUNT].[PARENTH1].[A001010106]","A001010106 -   应收票据","","000"))</f>
        <v/>
      </c>
      <c r="W51" s="462" t="n"/>
      <c r="X51" s="705" t="inlineStr">
        <is>
          <t>应收票据</t>
        </is>
      </c>
      <c r="Y51" s="1185" t="inlineStr"/>
      <c r="Z51" s="1249" t="n"/>
      <c r="AA51" s="1250" t="n"/>
      <c r="AB51" s="1249">
        <f>Z51-AA51</f>
        <v/>
      </c>
      <c r="AC51" s="1249">
        <f>IF(AA51=0,0,(Z51-AA51)/AA51*100)</f>
        <v/>
      </c>
      <c r="AD51" s="1249" t="n"/>
      <c r="AE51" s="1249">
        <f>Z51-AD51</f>
        <v/>
      </c>
      <c r="AF51" s="1249">
        <f>IF(AD51=0,0,(Z51-AD51)/AD51*100)</f>
        <v/>
      </c>
      <c r="AG51" s="1249" t="n"/>
      <c r="AH51" s="1249">
        <f>Z51-AG51</f>
        <v/>
      </c>
      <c r="AI51" s="1249">
        <f>IF(AG51=0,0,(Z51-AG51)/AG51*100)</f>
        <v/>
      </c>
      <c r="AJ51" s="1251" t="n"/>
      <c r="AK51" s="1251">
        <f>Z51-AJ51</f>
        <v/>
      </c>
      <c r="AL51" s="1251">
        <f>IFERROR(Z51/AJ51*100,0)</f>
        <v/>
      </c>
    </row>
    <row r="52" ht="14.85" customFormat="1" customHeight="1" s="716">
      <c r="A52" s="716" t="n"/>
      <c r="B52" s="716" t="n"/>
      <c r="C52" s="716" t="n"/>
      <c r="D52" s="716" t="n"/>
      <c r="E52" s="716" t="n"/>
      <c r="F52" s="716" t="n"/>
      <c r="G52" s="716" t="n"/>
      <c r="H52" s="716" t="n"/>
      <c r="I52" s="716" t="n"/>
      <c r="J52" s="716" t="n"/>
      <c r="K52" s="716" t="n"/>
      <c r="L52" s="716" t="n"/>
      <c r="M52" s="716" t="n"/>
      <c r="N52" s="716" t="n"/>
      <c r="O52" s="716" t="n"/>
      <c r="P52" s="716" t="n"/>
      <c r="Q52" s="716" t="n"/>
      <c r="R52" s="716" t="n"/>
      <c r="S52" s="462">
        <f>IF(_epmOfflineCondition_,"  应收账款",EPMMemberDesc(U52))</f>
        <v/>
      </c>
      <c r="T52" s="716" t="n"/>
      <c r="U52" s="384" t="inlineStr">
        <is>
          <t>A001010107</t>
        </is>
      </c>
      <c r="V52" s="459">
        <f>IF(_epmOfflineCondition_,"A001010107",EPMOlapMemberO(U52,"[C_ACCOUNT].[PARENTH1].[A001010107]","A001010107 -   应收账款","","000"))</f>
        <v/>
      </c>
      <c r="W52" s="462" t="n"/>
      <c r="X52" s="705" t="inlineStr">
        <is>
          <t>应收账款</t>
        </is>
      </c>
      <c r="Y52" s="1185" t="inlineStr"/>
      <c r="Z52" s="1249" t="inlineStr"/>
      <c r="AA52" s="1250" t="inlineStr"/>
      <c r="AB52" s="1249">
        <f>Z52-AA52</f>
        <v/>
      </c>
      <c r="AC52" s="1249">
        <f>IF(AA52=0,0,(Z52-AA52)/AA52*100)</f>
        <v/>
      </c>
      <c r="AD52" s="1249" t="inlineStr"/>
      <c r="AE52" s="1249">
        <f>Z52-AD52</f>
        <v/>
      </c>
      <c r="AF52" s="1249">
        <f>IF(AD52=0,0,(Z52-AD52)/AD52*100)</f>
        <v/>
      </c>
      <c r="AG52" s="1249" t="inlineStr"/>
      <c r="AH52" s="1249">
        <f>Z52-AG52</f>
        <v/>
      </c>
      <c r="AI52" s="1249">
        <f>IF(AG52=0,0,(Z52-AG52)/AG52*100)</f>
        <v/>
      </c>
      <c r="AJ52" s="1251" t="n"/>
      <c r="AK52" s="1251">
        <f>Z52-AJ52</f>
        <v/>
      </c>
      <c r="AL52" s="1251">
        <f>IFERROR(Z52/AJ52*100,0)</f>
        <v/>
      </c>
    </row>
    <row r="53" ht="14.85" customFormat="1" customHeight="1" s="716">
      <c r="A53" s="716" t="n"/>
      <c r="B53" s="716" t="n"/>
      <c r="C53" s="716" t="n"/>
      <c r="D53" s="716" t="n"/>
      <c r="E53" s="716" t="n"/>
      <c r="F53" s="716" t="n"/>
      <c r="G53" s="716" t="n"/>
      <c r="H53" s="716" t="n"/>
      <c r="I53" s="716" t="n"/>
      <c r="J53" s="716" t="n"/>
      <c r="K53" s="716" t="n"/>
      <c r="L53" s="716" t="n"/>
      <c r="M53" s="716" t="n"/>
      <c r="N53" s="716" t="n"/>
      <c r="O53" s="716" t="n"/>
      <c r="P53" s="716" t="n"/>
      <c r="Q53" s="716" t="n"/>
      <c r="R53" s="716" t="n"/>
      <c r="S53" s="462">
        <f>IF(_epmOfflineCondition_,"  预付款项",EPMMemberDesc(U53))</f>
        <v/>
      </c>
      <c r="T53" s="716" t="n"/>
      <c r="U53" s="384" t="inlineStr">
        <is>
          <t>A001010108</t>
        </is>
      </c>
      <c r="V53" s="459">
        <f>IF(_epmOfflineCondition_,"A001010108",EPMOlapMemberO(U53,"[C_ACCOUNT].[PARENTH1].[A001010108]","A001010108 -   预付款项","","000"))</f>
        <v/>
      </c>
      <c r="W53" s="462" t="n"/>
      <c r="X53" s="705" t="inlineStr">
        <is>
          <t>预付款项</t>
        </is>
      </c>
      <c r="Y53" s="1185" t="inlineStr"/>
      <c r="Z53" s="1249" t="inlineStr"/>
      <c r="AA53" s="1250" t="inlineStr"/>
      <c r="AB53" s="1249">
        <f>Z53-AA53</f>
        <v/>
      </c>
      <c r="AC53" s="1249">
        <f>IF(AA53=0,0,(Z53-AA53)/AA53*100)</f>
        <v/>
      </c>
      <c r="AD53" s="1249" t="inlineStr"/>
      <c r="AE53" s="1249">
        <f>Z53-AD53</f>
        <v/>
      </c>
      <c r="AF53" s="1249">
        <f>IF(AD53=0,0,(Z53-AD53)/AD53*100)</f>
        <v/>
      </c>
      <c r="AG53" s="1249" t="inlineStr"/>
      <c r="AH53" s="1249">
        <f>Z53-AG53</f>
        <v/>
      </c>
      <c r="AI53" s="1249">
        <f>IF(AG53=0,0,(Z53-AG53)/AG53*100)</f>
        <v/>
      </c>
      <c r="AJ53" s="1251" t="n"/>
      <c r="AK53" s="1251">
        <f>Z53-AJ53</f>
        <v/>
      </c>
      <c r="AL53" s="1251">
        <f>IFERROR(Z53/AJ53*100,0)</f>
        <v/>
      </c>
    </row>
    <row r="54" ht="14.85" customFormat="1" customHeight="1" s="716">
      <c r="A54" s="716" t="n"/>
      <c r="B54" s="716" t="n"/>
      <c r="C54" s="716" t="n"/>
      <c r="D54" s="716" t="n"/>
      <c r="E54" s="716" t="n"/>
      <c r="F54" s="716" t="n"/>
      <c r="G54" s="716" t="n"/>
      <c r="H54" s="716" t="n"/>
      <c r="I54" s="716" t="n"/>
      <c r="J54" s="716" t="n"/>
      <c r="K54" s="716" t="n"/>
      <c r="L54" s="716" t="n"/>
      <c r="M54" s="716" t="n"/>
      <c r="N54" s="716" t="n"/>
      <c r="O54" s="716" t="n"/>
      <c r="P54" s="716" t="n"/>
      <c r="Q54" s="716" t="n"/>
      <c r="R54" s="716" t="n"/>
      <c r="S54" s="462">
        <f>IF(_epmOfflineCondition_,"  应收利息",EPMMemberDesc(U54))</f>
        <v/>
      </c>
      <c r="T54" s="716" t="n"/>
      <c r="U54" s="384" t="inlineStr">
        <is>
          <t>A001010109</t>
        </is>
      </c>
      <c r="V54" s="459">
        <f>IF(_epmOfflineCondition_,"A001010109",EPMOlapMemberO(U54,"[C_ACCOUNT].[PARENTH1].[A001010109]","A001010109 -   应收利息","","000"))</f>
        <v/>
      </c>
      <c r="W54" s="462" t="n"/>
      <c r="X54" s="705" t="inlineStr">
        <is>
          <t>应收利息</t>
        </is>
      </c>
      <c r="Y54" s="1185" t="inlineStr"/>
      <c r="Z54" s="1249" t="n"/>
      <c r="AA54" s="1250" t="n"/>
      <c r="AB54" s="1249">
        <f>Z54-AA54</f>
        <v/>
      </c>
      <c r="AC54" s="1249">
        <f>IF(AA54=0,0,(Z54-AA54)/AA54*100)</f>
        <v/>
      </c>
      <c r="AD54" s="1249" t="n"/>
      <c r="AE54" s="1249">
        <f>Z54-AD54</f>
        <v/>
      </c>
      <c r="AF54" s="1249">
        <f>IF(AD54=0,0,(Z54-AD54)/AD54*100)</f>
        <v/>
      </c>
      <c r="AG54" s="1249" t="n"/>
      <c r="AH54" s="1249">
        <f>Z54-AG54</f>
        <v/>
      </c>
      <c r="AI54" s="1249">
        <f>IF(AG54=0,0,(Z54-AG54)/AG54*100)</f>
        <v/>
      </c>
      <c r="AJ54" s="1251" t="n"/>
      <c r="AK54" s="1251">
        <f>Z54-AJ54</f>
        <v/>
      </c>
      <c r="AL54" s="1251">
        <f>IFERROR(Z54/AJ54*100,0)</f>
        <v/>
      </c>
    </row>
    <row r="55" ht="14.85" customFormat="1" customHeight="1" s="716">
      <c r="A55" s="716" t="n"/>
      <c r="B55" s="716" t="n"/>
      <c r="C55" s="716" t="n"/>
      <c r="D55" s="716" t="n"/>
      <c r="E55" s="716" t="n"/>
      <c r="F55" s="716" t="n"/>
      <c r="G55" s="716" t="n"/>
      <c r="H55" s="716" t="n"/>
      <c r="I55" s="716" t="n"/>
      <c r="J55" s="716" t="n"/>
      <c r="K55" s="716" t="n"/>
      <c r="L55" s="716" t="n"/>
      <c r="M55" s="716" t="n"/>
      <c r="N55" s="716" t="n"/>
      <c r="O55" s="716" t="n"/>
      <c r="P55" s="716" t="n"/>
      <c r="Q55" s="716" t="n"/>
      <c r="R55" s="716" t="n"/>
      <c r="S55" s="462">
        <f>IF(_epmOfflineCondition_,"  应收股利",EPMMemberDesc(U55))</f>
        <v/>
      </c>
      <c r="T55" s="716" t="n"/>
      <c r="U55" s="384" t="inlineStr">
        <is>
          <t>A001010110</t>
        </is>
      </c>
      <c r="V55" s="635">
        <f>IF(_epmOfflineCondition_,"A001010110",EPMOlapMemberO(U55,"[C_ACCOUNT].[PARENTH1].[A001010110]","A001010110 -   应收股利","","000"))</f>
        <v/>
      </c>
      <c r="W55" s="462" t="n"/>
      <c r="X55" s="705" t="inlineStr">
        <is>
          <t>应收股利</t>
        </is>
      </c>
      <c r="Y55" s="1185" t="inlineStr"/>
      <c r="Z55" s="1249" t="n"/>
      <c r="AA55" s="1250" t="n"/>
      <c r="AB55" s="1249">
        <f>Z55-AA55</f>
        <v/>
      </c>
      <c r="AC55" s="1249">
        <f>IF(AA55=0,0,(Z55-AA55)/AA55*100)</f>
        <v/>
      </c>
      <c r="AD55" s="1249" t="n"/>
      <c r="AE55" s="1249">
        <f>Z55-AD55</f>
        <v/>
      </c>
      <c r="AF55" s="1249">
        <f>IF(AD55=0,0,(Z55-AD55)/AD55*100)</f>
        <v/>
      </c>
      <c r="AG55" s="1249" t="n"/>
      <c r="AH55" s="1249">
        <f>Z55-AG55</f>
        <v/>
      </c>
      <c r="AI55" s="1249">
        <f>IF(AG55=0,0,(Z55-AG55)/AG55*100)</f>
        <v/>
      </c>
      <c r="AJ55" s="1251" t="n"/>
      <c r="AK55" s="1251">
        <f>Z55-AJ55</f>
        <v/>
      </c>
      <c r="AL55" s="1251">
        <f>IFERROR(Z55/AJ55*100,0)</f>
        <v/>
      </c>
    </row>
    <row r="56" ht="14.85" customFormat="1" customHeight="1" s="716">
      <c r="A56" s="716" t="n"/>
      <c r="B56" s="716" t="n"/>
      <c r="C56" s="716" t="n"/>
      <c r="D56" s="716" t="n"/>
      <c r="E56" s="716" t="n"/>
      <c r="F56" s="716" t="n"/>
      <c r="G56" s="716" t="n"/>
      <c r="H56" s="716" t="n"/>
      <c r="I56" s="716" t="n"/>
      <c r="J56" s="716" t="n"/>
      <c r="K56" s="716" t="n"/>
      <c r="L56" s="716" t="n"/>
      <c r="M56" s="716" t="n"/>
      <c r="N56" s="716" t="n"/>
      <c r="O56" s="716" t="n"/>
      <c r="P56" s="716" t="n"/>
      <c r="Q56" s="716" t="n"/>
      <c r="R56" s="716" t="n"/>
      <c r="S56" s="462">
        <f>IF(_epmOfflineCondition_,"  其他应收款",EPMMemberDesc(U56))</f>
        <v/>
      </c>
      <c r="T56" s="716" t="n"/>
      <c r="U56" s="384" t="inlineStr">
        <is>
          <t>A00101011102</t>
        </is>
      </c>
      <c r="V56" s="459">
        <f>IF(_epmOfflineCondition_,"A00101011102",EPMOlapMemberO(U56,"[C_ACCOUNT].[PARENTH1].[A00101011102]","A00101011102 -   其他应收款","","000"))</f>
        <v/>
      </c>
      <c r="W56" s="462" t="n"/>
      <c r="X56" s="705" t="inlineStr">
        <is>
          <t>其他应收款</t>
        </is>
      </c>
      <c r="Y56" s="1185" t="inlineStr"/>
      <c r="Z56" s="1249" t="n"/>
      <c r="AA56" s="1250" t="n"/>
      <c r="AB56" s="1249">
        <f>Z56-AA56</f>
        <v/>
      </c>
      <c r="AC56" s="1249">
        <f>IF(AA56=0,0,(Z56-AA56)/AA56*100)</f>
        <v/>
      </c>
      <c r="AD56" s="1249" t="n"/>
      <c r="AE56" s="1249">
        <f>Z56-AD56</f>
        <v/>
      </c>
      <c r="AF56" s="1249">
        <f>IF(AD56=0,0,(Z56-AD56)/AD56*100)</f>
        <v/>
      </c>
      <c r="AG56" s="1249" t="n"/>
      <c r="AH56" s="1249">
        <f>Z56-AG56</f>
        <v/>
      </c>
      <c r="AI56" s="1249">
        <f>IF(AG56=0,0,(Z56-AG56)/AG56*100)</f>
        <v/>
      </c>
      <c r="AJ56" s="1251" t="n"/>
      <c r="AK56" s="1251">
        <f>Z56-AJ56</f>
        <v/>
      </c>
      <c r="AL56" s="1251">
        <f>IFERROR(Z56/AJ56*100,0)</f>
        <v/>
      </c>
    </row>
    <row r="57" ht="14.85" customFormat="1" customHeight="1" s="716">
      <c r="A57" s="716" t="n"/>
      <c r="B57" s="716" t="n"/>
      <c r="C57" s="716" t="n"/>
      <c r="D57" s="716" t="n"/>
      <c r="E57" s="716" t="n"/>
      <c r="F57" s="716" t="n"/>
      <c r="G57" s="716" t="n"/>
      <c r="H57" s="716" t="n"/>
      <c r="I57" s="716" t="n"/>
      <c r="J57" s="716" t="n"/>
      <c r="K57" s="716" t="n"/>
      <c r="L57" s="716" t="n"/>
      <c r="M57" s="716" t="n"/>
      <c r="N57" s="716" t="n"/>
      <c r="O57" s="716" t="n"/>
      <c r="P57" s="716" t="n"/>
      <c r="Q57" s="716" t="n"/>
      <c r="R57" s="716" t="n"/>
      <c r="S57" s="462">
        <f>IF(_epmOfflineCondition_,"  # 买入返售金融资产",EPMMemberDesc(U57))</f>
        <v/>
      </c>
      <c r="T57" s="716" t="n"/>
      <c r="U57" s="384" t="inlineStr">
        <is>
          <t>A001010112</t>
        </is>
      </c>
      <c r="V57" s="459">
        <f>IF(_epmOfflineCondition_,"A001010112",EPMOlapMemberO(U57,"[C_ACCOUNT].[PARENTH1].[A001010112]","A001010112 -   # 买入返售金融资产","","000"))</f>
        <v/>
      </c>
      <c r="W57" s="462" t="n"/>
      <c r="X57" s="1046" t="inlineStr">
        <is>
          <t xml:space="preserve">   △买入返售金融资产</t>
        </is>
      </c>
      <c r="Y57" s="1185" t="inlineStr"/>
      <c r="Z57" s="1249" t="n"/>
      <c r="AA57" s="1250" t="n"/>
      <c r="AB57" s="1249">
        <f>Z57-AA57</f>
        <v/>
      </c>
      <c r="AC57" s="1249">
        <f>IF(AA57=0,0,(Z57-AA57)/AA57*100)</f>
        <v/>
      </c>
      <c r="AD57" s="1249" t="n"/>
      <c r="AE57" s="1249">
        <f>Z57-AD57</f>
        <v/>
      </c>
      <c r="AF57" s="1249">
        <f>IF(AD57=0,0,(Z57-AD57)/AD57*100)</f>
        <v/>
      </c>
      <c r="AG57" s="1249" t="n"/>
      <c r="AH57" s="1249">
        <f>Z57-AG57</f>
        <v/>
      </c>
      <c r="AI57" s="1249">
        <f>IF(AG57=0,0,(Z57-AG57)/AG57*100)</f>
        <v/>
      </c>
      <c r="AJ57" s="1251" t="n"/>
      <c r="AK57" s="1251">
        <f>Z57-AJ57</f>
        <v/>
      </c>
      <c r="AL57" s="1251">
        <f>IFERROR(Z57/AJ57*100,0)</f>
        <v/>
      </c>
    </row>
    <row r="58" ht="14.85" customFormat="1" customHeight="1" s="716">
      <c r="A58" s="716" t="n"/>
      <c r="B58" s="716" t="n"/>
      <c r="C58" s="716" t="n"/>
      <c r="D58" s="716" t="n"/>
      <c r="E58" s="716" t="n"/>
      <c r="F58" s="716" t="n"/>
      <c r="G58" s="716" t="n"/>
      <c r="H58" s="716" t="n"/>
      <c r="I58" s="716" t="n"/>
      <c r="J58" s="716" t="n"/>
      <c r="K58" s="716" t="n"/>
      <c r="L58" s="716" t="n"/>
      <c r="M58" s="716" t="n"/>
      <c r="N58" s="716" t="n"/>
      <c r="O58" s="716" t="n"/>
      <c r="P58" s="716" t="n"/>
      <c r="Q58" s="716" t="n"/>
      <c r="R58" s="716" t="n"/>
      <c r="S58" s="462">
        <f>IF(_epmOfflineCondition_,"  存货",EPMMemberDesc(U58))</f>
        <v/>
      </c>
      <c r="T58" s="716" t="n"/>
      <c r="U58" s="384" t="inlineStr">
        <is>
          <t>A001010113</t>
        </is>
      </c>
      <c r="V58" s="459">
        <f>IF(_epmOfflineCondition_,"A001010113",EPMOlapMemberO(U58,"[C_ACCOUNT].[PARENTH1].[A001010113]","A001010113 -   存货","","000"))</f>
        <v/>
      </c>
      <c r="W58" s="462" t="n"/>
      <c r="X58" s="705" t="inlineStr">
        <is>
          <t>存货</t>
        </is>
      </c>
      <c r="Y58" s="1185" t="inlineStr"/>
      <c r="Z58" s="1249" t="n"/>
      <c r="AA58" s="1250" t="n"/>
      <c r="AB58" s="1249">
        <f>Z58-AA58</f>
        <v/>
      </c>
      <c r="AC58" s="1249">
        <f>IF(AA58=0,0,(Z58-AA58)/AA58*100)</f>
        <v/>
      </c>
      <c r="AD58" s="1249" t="n"/>
      <c r="AE58" s="1249">
        <f>Z58-AD58</f>
        <v/>
      </c>
      <c r="AF58" s="1249">
        <f>IF(AD58=0,0,(Z58-AD58)/AD58*100)</f>
        <v/>
      </c>
      <c r="AG58" s="1249" t="n"/>
      <c r="AH58" s="1249">
        <f>Z58-AG58</f>
        <v/>
      </c>
      <c r="AI58" s="1249">
        <f>IF(AG58=0,0,(Z58-AG58)/AG58*100)</f>
        <v/>
      </c>
      <c r="AJ58" s="1251" t="n"/>
      <c r="AK58" s="1251">
        <f>Z58-AJ58</f>
        <v/>
      </c>
      <c r="AL58" s="1251">
        <f>IFERROR(Z58/AJ58*100,0)</f>
        <v/>
      </c>
    </row>
    <row r="59" ht="14.85" customFormat="1" customHeight="1" s="716">
      <c r="A59" s="716" t="n"/>
      <c r="B59" s="716" t="n"/>
      <c r="C59" s="716" t="n"/>
      <c r="D59" s="716" t="n"/>
      <c r="E59" s="716" t="n"/>
      <c r="F59" s="716" t="n"/>
      <c r="G59" s="716" t="n"/>
      <c r="H59" s="716" t="n"/>
      <c r="I59" s="716" t="n"/>
      <c r="J59" s="716" t="n"/>
      <c r="K59" s="716" t="n"/>
      <c r="L59" s="716" t="n"/>
      <c r="M59" s="716" t="n"/>
      <c r="N59" s="716" t="n"/>
      <c r="O59" s="716" t="n"/>
      <c r="P59" s="716" t="n"/>
      <c r="Q59" s="716" t="n"/>
      <c r="R59" s="716" t="n"/>
      <c r="S59" s="462">
        <f>IF(_epmOfflineCondition_,"     其中：原材料",EPMMemberDesc(U59))</f>
        <v/>
      </c>
      <c r="T59" s="716" t="n"/>
      <c r="U59" s="384" t="inlineStr">
        <is>
          <t>A00101011301</t>
        </is>
      </c>
      <c r="V59" s="635">
        <f>IF(_epmOfflineCondition_,"A00101011301",EPMOlapMemberO(U59,"[C_ACCOUNT].[PARENTH1].[A00101011301]","A00101011301 -      其中：原材料","","000"))</f>
        <v/>
      </c>
      <c r="W59" s="462" t="n"/>
      <c r="X59" s="705" t="inlineStr">
        <is>
          <t xml:space="preserve">    其中：原材料</t>
        </is>
      </c>
      <c r="Y59" s="1185" t="inlineStr"/>
      <c r="Z59" s="1249" t="n"/>
      <c r="AA59" s="1250" t="n"/>
      <c r="AB59" s="1249">
        <f>Z59-AA59</f>
        <v/>
      </c>
      <c r="AC59" s="1249">
        <f>IF(AA59=0,0,(Z59-AA59)/AA59*100)</f>
        <v/>
      </c>
      <c r="AD59" s="1249" t="n"/>
      <c r="AE59" s="1249">
        <f>Z59-AD59</f>
        <v/>
      </c>
      <c r="AF59" s="1249">
        <f>IF(AD59=0,0,(Z59-AD59)/AD59*100)</f>
        <v/>
      </c>
      <c r="AG59" s="1249" t="n"/>
      <c r="AH59" s="1249">
        <f>Z59-AG59</f>
        <v/>
      </c>
      <c r="AI59" s="1249">
        <f>IF(AG59=0,0,(Z59-AG59)/AG59*100)</f>
        <v/>
      </c>
      <c r="AJ59" s="1251" t="n"/>
      <c r="AK59" s="1251">
        <f>Z59-AJ59</f>
        <v/>
      </c>
      <c r="AL59" s="1251">
        <f>IFERROR(Z59/AJ59*100,0)</f>
        <v/>
      </c>
    </row>
    <row r="60" ht="14.85" customFormat="1" customHeight="1" s="716">
      <c r="A60" s="716" t="n"/>
      <c r="B60" s="716" t="n"/>
      <c r="C60" s="716" t="n"/>
      <c r="D60" s="716" t="n"/>
      <c r="E60" s="716" t="n"/>
      <c r="F60" s="716" t="n"/>
      <c r="G60" s="716" t="n"/>
      <c r="H60" s="716" t="n"/>
      <c r="I60" s="716" t="n"/>
      <c r="J60" s="716" t="n"/>
      <c r="K60" s="716" t="n"/>
      <c r="L60" s="716" t="n"/>
      <c r="M60" s="716" t="n"/>
      <c r="N60" s="716" t="n"/>
      <c r="O60" s="716" t="n"/>
      <c r="P60" s="716" t="n"/>
      <c r="Q60" s="716" t="n"/>
      <c r="R60" s="716" t="n"/>
      <c r="S60" s="462">
        <f>IF(_epmOfflineCondition_,"               库存商品（产成品）",EPMMemberDesc(U60))</f>
        <v/>
      </c>
      <c r="T60" s="716" t="n"/>
      <c r="U60" s="384" t="inlineStr">
        <is>
          <t>A00101011303</t>
        </is>
      </c>
      <c r="V60" s="635">
        <f>IF(_epmOfflineCondition_,"A00101011303",EPMOlapMemberO(U60,"[C_ACCOUNT].[PARENTH1].[A00101011303]","A00101011303 -                库存商品（产成品）","","000"))</f>
        <v/>
      </c>
      <c r="W60" s="462" t="n"/>
      <c r="X60" s="645" t="inlineStr">
        <is>
          <t xml:space="preserve">               库存商品（产成品）</t>
        </is>
      </c>
      <c r="Y60" s="1185" t="inlineStr"/>
      <c r="Z60" s="1249" t="n"/>
      <c r="AA60" s="1250" t="n"/>
      <c r="AB60" s="1249">
        <f>Z60-AA60</f>
        <v/>
      </c>
      <c r="AC60" s="1249">
        <f>IF(AA60=0,0,(Z60-AA60)/AA60*100)</f>
        <v/>
      </c>
      <c r="AD60" s="1249" t="n"/>
      <c r="AE60" s="1249">
        <f>Z60-AD60</f>
        <v/>
      </c>
      <c r="AF60" s="1249">
        <f>IF(AD60=0,0,(Z60-AD60)/AD60*100)</f>
        <v/>
      </c>
      <c r="AG60" s="1249" t="n"/>
      <c r="AH60" s="1249">
        <f>Z60-AG60</f>
        <v/>
      </c>
      <c r="AI60" s="1249">
        <f>IF(AG60=0,0,(Z60-AG60)/AG60*100)</f>
        <v/>
      </c>
      <c r="AJ60" s="1251" t="n"/>
      <c r="AK60" s="1251">
        <f>Z60-AJ60</f>
        <v/>
      </c>
      <c r="AL60" s="1251">
        <f>IFERROR(Z60/AJ60*100,0)</f>
        <v/>
      </c>
    </row>
    <row r="61" ht="14.85" customFormat="1" customHeight="1" s="716">
      <c r="A61" s="716" t="n"/>
      <c r="B61" s="716" t="n"/>
      <c r="C61" s="716" t="n"/>
      <c r="D61" s="716" t="n"/>
      <c r="E61" s="716" t="n"/>
      <c r="F61" s="716" t="n"/>
      <c r="G61" s="716" t="n"/>
      <c r="H61" s="716" t="n"/>
      <c r="I61" s="716" t="n"/>
      <c r="J61" s="716" t="n"/>
      <c r="K61" s="716" t="n"/>
      <c r="L61" s="716" t="n"/>
      <c r="M61" s="716" t="n"/>
      <c r="N61" s="716" t="n"/>
      <c r="O61" s="716" t="n"/>
      <c r="P61" s="716" t="n"/>
      <c r="Q61" s="716" t="n"/>
      <c r="R61" s="716" t="n"/>
      <c r="S61" s="462">
        <f>IF(_epmOfflineCondition_,"  合同资产",EPMMemberDesc(U61))</f>
        <v/>
      </c>
      <c r="T61" s="716" t="n"/>
      <c r="U61" s="384" t="inlineStr">
        <is>
          <t>A001010114</t>
        </is>
      </c>
      <c r="V61" s="459">
        <f>IF(_epmOfflineCondition_,"A001010114",EPMOlapMemberO(U61,"[C_ACCOUNT].[PARENTH1].[A001010114]","A001010114 -   合同资产","","000"))</f>
        <v/>
      </c>
      <c r="W61" s="462" t="n"/>
      <c r="X61" s="705" t="inlineStr">
        <is>
          <t>合同资产</t>
        </is>
      </c>
      <c r="Y61" s="1185" t="inlineStr"/>
      <c r="Z61" s="1249" t="n"/>
      <c r="AA61" s="1250" t="n"/>
      <c r="AB61" s="1249">
        <f>Z61-AA61</f>
        <v/>
      </c>
      <c r="AC61" s="1249">
        <f>IF(AA61=0,0,(Z61-AA61)/AA61*100)</f>
        <v/>
      </c>
      <c r="AD61" s="1249" t="n"/>
      <c r="AE61" s="1249">
        <f>Z61-AD61</f>
        <v/>
      </c>
      <c r="AF61" s="1249">
        <f>IF(AD61=0,0,(Z61-AD61)/AD61*100)</f>
        <v/>
      </c>
      <c r="AG61" s="1249" t="n"/>
      <c r="AH61" s="1249">
        <f>Z61-AG61</f>
        <v/>
      </c>
      <c r="AI61" s="1249">
        <f>IF(AG61=0,0,(Z61-AG61)/AG61*100)</f>
        <v/>
      </c>
      <c r="AJ61" s="1251" t="n"/>
      <c r="AK61" s="1251">
        <f>Z61-AJ61</f>
        <v/>
      </c>
      <c r="AL61" s="1251">
        <f>IFERROR(Z61/AJ61*100,0)</f>
        <v/>
      </c>
    </row>
    <row r="62" ht="14.85" customFormat="1" customHeight="1" s="716">
      <c r="A62" s="716" t="n"/>
      <c r="B62" s="716" t="n"/>
      <c r="C62" s="716" t="n"/>
      <c r="D62" s="716" t="n"/>
      <c r="E62" s="716" t="n"/>
      <c r="F62" s="716" t="n"/>
      <c r="G62" s="716" t="n"/>
      <c r="H62" s="716" t="n"/>
      <c r="I62" s="716" t="n"/>
      <c r="J62" s="716" t="n"/>
      <c r="K62" s="716" t="n"/>
      <c r="L62" s="716" t="n"/>
      <c r="M62" s="716" t="n"/>
      <c r="N62" s="716" t="n"/>
      <c r="O62" s="716" t="n"/>
      <c r="P62" s="716" t="n"/>
      <c r="Q62" s="716" t="n"/>
      <c r="R62" s="716" t="n"/>
      <c r="S62" s="462">
        <f>IF(_epmOfflineCondition_,"  持有待售资产",EPMMemberDesc(U62))</f>
        <v/>
      </c>
      <c r="T62" s="716" t="n"/>
      <c r="U62" s="384" t="inlineStr">
        <is>
          <t>A001010115</t>
        </is>
      </c>
      <c r="V62" s="459">
        <f>IF(_epmOfflineCondition_,"A001010115",EPMOlapMemberO(U62,"[C_ACCOUNT].[PARENTH1].[A001010115]","A001010115 -   持有待售资产","","000"))</f>
        <v/>
      </c>
      <c r="W62" s="462" t="n"/>
      <c r="X62" s="705" t="inlineStr">
        <is>
          <t>持有待售资产</t>
        </is>
      </c>
      <c r="Y62" s="1185" t="inlineStr"/>
      <c r="Z62" s="1249" t="n"/>
      <c r="AA62" s="1250" t="n"/>
      <c r="AB62" s="1249">
        <f>Z62-AA62</f>
        <v/>
      </c>
      <c r="AC62" s="1249">
        <f>IF(AA62=0,0,(Z62-AA62)/AA62*100)</f>
        <v/>
      </c>
      <c r="AD62" s="1249" t="n"/>
      <c r="AE62" s="1249">
        <f>Z62-AD62</f>
        <v/>
      </c>
      <c r="AF62" s="1249">
        <f>IF(AD62=0,0,(Z62-AD62)/AD62*100)</f>
        <v/>
      </c>
      <c r="AG62" s="1249" t="n"/>
      <c r="AH62" s="1249">
        <f>Z62-AG62</f>
        <v/>
      </c>
      <c r="AI62" s="1249">
        <f>IF(AG62=0,0,(Z62-AG62)/AG62*100)</f>
        <v/>
      </c>
      <c r="AJ62" s="1251" t="n"/>
      <c r="AK62" s="1251">
        <f>Z62-AJ62</f>
        <v/>
      </c>
      <c r="AL62" s="1251">
        <f>IFERROR(Z62/AJ62*100,0)</f>
        <v/>
      </c>
    </row>
    <row r="63" ht="14.85" customFormat="1" customHeight="1" s="716">
      <c r="A63" s="716" t="n"/>
      <c r="B63" s="716" t="n"/>
      <c r="C63" s="716" t="n"/>
      <c r="D63" s="716" t="n"/>
      <c r="E63" s="716" t="n"/>
      <c r="F63" s="716" t="n"/>
      <c r="G63" s="716" t="n"/>
      <c r="H63" s="716" t="n"/>
      <c r="I63" s="716" t="n"/>
      <c r="J63" s="716" t="n"/>
      <c r="K63" s="716" t="n"/>
      <c r="L63" s="716" t="n"/>
      <c r="M63" s="716" t="n"/>
      <c r="N63" s="716" t="n"/>
      <c r="O63" s="716" t="n"/>
      <c r="P63" s="716" t="n"/>
      <c r="Q63" s="716" t="n"/>
      <c r="R63" s="716" t="n"/>
      <c r="S63" s="462">
        <f>IF(_epmOfflineCondition_,"  一年内到期的非流动资产",EPMMemberDesc(U63))</f>
        <v/>
      </c>
      <c r="T63" s="716" t="n"/>
      <c r="U63" s="384" t="inlineStr">
        <is>
          <t>A001010116</t>
        </is>
      </c>
      <c r="V63" s="459">
        <f>IF(_epmOfflineCondition_,"A001010116",EPMOlapMemberO(U63,"[C_ACCOUNT].[PARENTH1].[A001010116]","A001010116 -   一年内到期的非流动资产","","000"))</f>
        <v/>
      </c>
      <c r="W63" s="462" t="n"/>
      <c r="X63" s="705" t="inlineStr">
        <is>
          <t>一年内到期的非流动资产</t>
        </is>
      </c>
      <c r="Y63" s="1185" t="inlineStr"/>
      <c r="Z63" s="1249" t="n"/>
      <c r="AA63" s="1250" t="n"/>
      <c r="AB63" s="1249">
        <f>Z63-AA63</f>
        <v/>
      </c>
      <c r="AC63" s="1249">
        <f>IF(AA63=0,0,(Z63-AA63)/AA63*100)</f>
        <v/>
      </c>
      <c r="AD63" s="1249" t="n"/>
      <c r="AE63" s="1249">
        <f>Z63-AD63</f>
        <v/>
      </c>
      <c r="AF63" s="1249">
        <f>IF(AD63=0,0,(Z63-AD63)/AD63*100)</f>
        <v/>
      </c>
      <c r="AG63" s="1249" t="n"/>
      <c r="AH63" s="1249">
        <f>Z63-AG63</f>
        <v/>
      </c>
      <c r="AI63" s="1249">
        <f>IF(AG63=0,0,(Z63-AG63)/AG63*100)</f>
        <v/>
      </c>
      <c r="AJ63" s="1251" t="n"/>
      <c r="AK63" s="1251">
        <f>Z63-AJ63</f>
        <v/>
      </c>
      <c r="AL63" s="1251">
        <f>IFERROR(Z63/AJ63*100,0)</f>
        <v/>
      </c>
    </row>
    <row r="64" ht="14.85" customFormat="1" customHeight="1" s="716">
      <c r="A64" s="716" t="n"/>
      <c r="B64" s="716" t="n"/>
      <c r="C64" s="716" t="n"/>
      <c r="D64" s="716" t="n"/>
      <c r="E64" s="716" t="n"/>
      <c r="F64" s="716" t="n"/>
      <c r="G64" s="716" t="n"/>
      <c r="H64" s="716" t="n"/>
      <c r="I64" s="716" t="n"/>
      <c r="J64" s="716" t="n"/>
      <c r="K64" s="716" t="n"/>
      <c r="L64" s="716" t="n"/>
      <c r="M64" s="716" t="n"/>
      <c r="N64" s="716" t="n"/>
      <c r="O64" s="716" t="n"/>
      <c r="P64" s="716" t="n"/>
      <c r="Q64" s="716" t="n"/>
      <c r="R64" s="716" t="n"/>
      <c r="S64" s="462">
        <f>IF(_epmOfflineCondition_,"　其他流动资产",EPMMemberDesc(U64))</f>
        <v/>
      </c>
      <c r="T64" s="716" t="n"/>
      <c r="U64" s="384" t="inlineStr">
        <is>
          <t>A001010117</t>
        </is>
      </c>
      <c r="V64" s="459">
        <f>IF(_epmOfflineCondition_,"A001010117",EPMOlapMemberO(U64,"[C_ACCOUNT].[PARENTH1].[A001010117]","A001010117 - 　其他流动资产","","000"))</f>
        <v/>
      </c>
      <c r="W64" s="462" t="n"/>
      <c r="X64" s="705" t="inlineStr">
        <is>
          <t>其他流动资产</t>
        </is>
      </c>
      <c r="Y64" s="1185" t="inlineStr"/>
      <c r="Z64" s="1249" t="inlineStr"/>
      <c r="AA64" s="1250" t="inlineStr"/>
      <c r="AB64" s="1249">
        <f>Z64-AA64</f>
        <v/>
      </c>
      <c r="AC64" s="1249">
        <f>IF(AA64=0,0,(Z64-AA64)/AA64*100)</f>
        <v/>
      </c>
      <c r="AD64" s="1249" t="inlineStr"/>
      <c r="AE64" s="1249">
        <f>Z64-AD64</f>
        <v/>
      </c>
      <c r="AF64" s="1249">
        <f>IF(AD64=0,0,(Z64-AD64)/AD64*100)</f>
        <v/>
      </c>
      <c r="AG64" s="1249" t="inlineStr"/>
      <c r="AH64" s="1249">
        <f>Z64-AG64</f>
        <v/>
      </c>
      <c r="AI64" s="1249">
        <f>IF(AG64=0,0,(Z64-AG64)/AG64*100)</f>
        <v/>
      </c>
      <c r="AJ64" s="1251" t="n"/>
      <c r="AK64" s="1251">
        <f>Z64-AJ64</f>
        <v/>
      </c>
      <c r="AL64" s="1251">
        <f>IFERROR(Z64/AJ64*100,0)</f>
        <v/>
      </c>
    </row>
    <row r="65" ht="14.85" customFormat="1" customHeight="1" s="716">
      <c r="A65" s="716" t="n"/>
      <c r="B65" s="716" t="n"/>
      <c r="C65" s="716" t="n"/>
      <c r="D65" s="716" t="n"/>
      <c r="E65" s="716" t="n"/>
      <c r="F65" s="716" t="n"/>
      <c r="G65" s="716" t="n"/>
      <c r="H65" s="716" t="n"/>
      <c r="I65" s="716" t="n"/>
      <c r="J65" s="716" t="n"/>
      <c r="K65" s="716" t="n"/>
      <c r="L65" s="716" t="n"/>
      <c r="M65" s="716" t="n"/>
      <c r="N65" s="716" t="n"/>
      <c r="O65" s="716" t="n"/>
      <c r="P65" s="716" t="n"/>
      <c r="Q65" s="716" t="n"/>
      <c r="R65" s="716" t="n"/>
      <c r="S65" s="462">
        <f>IF(_epmOfflineCondition_,"　       流动资产合计",EPMMemberDesc(U65))</f>
        <v/>
      </c>
      <c r="T65" s="716" t="n"/>
      <c r="U65" s="384" t="inlineStr">
        <is>
          <t>A0010101</t>
        </is>
      </c>
      <c r="V65" s="535">
        <f>IF(_epmOfflineCondition_,"A0010101",EPMOlapMemberO(U65,"[C_ACCOUNT].[PARENTH1].[A0010101]","A0010101 - 　       流动资产合计","","000"))</f>
        <v/>
      </c>
      <c r="W65" s="462" t="n"/>
      <c r="X65" s="852" t="inlineStr">
        <is>
          <t xml:space="preserve">　       流动资产合计</t>
        </is>
      </c>
      <c r="Y65" s="1185" t="inlineStr"/>
      <c r="Z65" s="1249" t="inlineStr"/>
      <c r="AA65" s="1250" t="inlineStr"/>
      <c r="AB65" s="1249">
        <f>Z65-AA65</f>
        <v/>
      </c>
      <c r="AC65" s="1249">
        <f>IF(AA65=0,0,(Z65-AA65)/AA65*100)</f>
        <v/>
      </c>
      <c r="AD65" s="1249" t="inlineStr"/>
      <c r="AE65" s="1249">
        <f>Z65-AD65</f>
        <v/>
      </c>
      <c r="AF65" s="1249">
        <f>IF(AD65=0,0,(Z65-AD65)/AD65*100)</f>
        <v/>
      </c>
      <c r="AG65" s="1249" t="inlineStr"/>
      <c r="AH65" s="1249">
        <f>Z65-AG65</f>
        <v/>
      </c>
      <c r="AI65" s="1249">
        <f>IF(AG65=0,0,(Z65-AG65)/AG65*100)</f>
        <v/>
      </c>
      <c r="AJ65" s="1251" t="n"/>
      <c r="AK65" s="1251">
        <f>Z65-AJ65</f>
        <v/>
      </c>
      <c r="AL65" s="1251">
        <f>IFERROR(Z65/AJ65*100,0)</f>
        <v/>
      </c>
    </row>
    <row r="66" ht="14.85" customFormat="1" customHeight="1" s="716">
      <c r="A66" s="716" t="n"/>
      <c r="B66" s="716" t="n"/>
      <c r="C66" s="716" t="n"/>
      <c r="D66" s="716" t="n"/>
      <c r="E66" s="716" t="n"/>
      <c r="F66" s="716" t="n"/>
      <c r="G66" s="716" t="n"/>
      <c r="H66" s="716" t="n"/>
      <c r="I66" s="716" t="n"/>
      <c r="J66" s="716" t="n"/>
      <c r="K66" s="716" t="n"/>
      <c r="L66" s="716" t="n"/>
      <c r="M66" s="716" t="n"/>
      <c r="N66" s="716" t="n"/>
      <c r="O66" s="716" t="n"/>
      <c r="P66" s="716" t="n"/>
      <c r="Q66" s="716" t="n"/>
      <c r="R66" s="716" t="n"/>
      <c r="S66" s="462">
        <f>IF(_epmOfflineCondition_,"非流动资产：",EPMMemberDesc(U66))</f>
        <v/>
      </c>
      <c r="T66" s="716" t="n"/>
      <c r="U66" s="384" t="inlineStr">
        <is>
          <t>A0010299</t>
        </is>
      </c>
      <c r="V66" s="462">
        <f>IF(_epmOfflineCondition_,"A0010299",EPMOlapMemberO(U66,"[C_ACCOUNT].[PARENTH1].[A0010299]","A0010299 - 非流动资产：","","000"))</f>
        <v/>
      </c>
      <c r="W66" s="462" t="n"/>
      <c r="X66" s="1045" t="inlineStr">
        <is>
          <t>非流动资产：</t>
        </is>
      </c>
      <c r="Y66" s="1185" t="inlineStr">
        <is>
          <t>-</t>
        </is>
      </c>
      <c r="Z66" s="1249" t="n"/>
      <c r="AA66" s="1249" t="n"/>
      <c r="AB66" s="1249">
        <f>Z66-AA66</f>
        <v/>
      </c>
      <c r="AC66" s="1249">
        <f>IF(AA66=0,0,(Z66-AA66)/AA66*100)</f>
        <v/>
      </c>
      <c r="AD66" s="1249" t="n"/>
      <c r="AE66" s="1249">
        <f>Z66-AD66</f>
        <v/>
      </c>
      <c r="AF66" s="1249">
        <f>IF(AD66=0,0,(Z66-AD66)/AD66*100)</f>
        <v/>
      </c>
      <c r="AG66" s="1249" t="n"/>
      <c r="AH66" s="1249">
        <f>Z66-AG66</f>
        <v/>
      </c>
      <c r="AI66" s="1249">
        <f>IF(AG66=0,0,(Z66-AG66)/AG66*100)</f>
        <v/>
      </c>
      <c r="AJ66" s="1251" t="n"/>
      <c r="AK66" s="1251">
        <f>Z66-AJ66</f>
        <v/>
      </c>
      <c r="AL66" s="1251">
        <f>IFERROR(Z66/AJ66*100,0)</f>
        <v/>
      </c>
    </row>
    <row r="67" ht="14.85" customFormat="1" customHeight="1" s="716">
      <c r="A67" s="716" t="n"/>
      <c r="B67" s="716" t="n"/>
      <c r="C67" s="716" t="n"/>
      <c r="D67" s="716" t="n"/>
      <c r="E67" s="716" t="n"/>
      <c r="F67" s="716" t="n"/>
      <c r="G67" s="716" t="n"/>
      <c r="H67" s="716" t="n"/>
      <c r="I67" s="716" t="n"/>
      <c r="J67" s="716" t="n"/>
      <c r="K67" s="716" t="n"/>
      <c r="L67" s="716" t="n"/>
      <c r="M67" s="716" t="n"/>
      <c r="N67" s="716" t="n"/>
      <c r="O67" s="716" t="n"/>
      <c r="P67" s="716" t="n"/>
      <c r="Q67" s="716" t="n"/>
      <c r="R67" s="716" t="n"/>
      <c r="S67" s="462">
        <f>IF(_epmOfflineCondition_,"  # 发放贷款及垫款",EPMMemberDesc(U67))</f>
        <v/>
      </c>
      <c r="T67" s="716" t="n"/>
      <c r="U67" s="384" t="inlineStr">
        <is>
          <t>A001010201</t>
        </is>
      </c>
      <c r="V67" s="459">
        <f>IF(_epmOfflineCondition_,"A001010201",EPMOlapMemberO(U67,"[C_ACCOUNT].[PARENTH1].[A001010201]","A001010201 -   # 发放贷款及垫款","","000"))</f>
        <v/>
      </c>
      <c r="W67" s="462" t="n"/>
      <c r="X67" s="1046" t="inlineStr">
        <is>
          <t xml:space="preserve">      △发放贷款及垫款</t>
        </is>
      </c>
      <c r="Y67" s="1185" t="inlineStr"/>
      <c r="Z67" s="1249" t="n"/>
      <c r="AA67" s="1250" t="n"/>
      <c r="AB67" s="1249">
        <f>Z67-AA67</f>
        <v/>
      </c>
      <c r="AC67" s="1249">
        <f>IF(AA67=0,0,(Z67-AA67)/AA67*100)</f>
        <v/>
      </c>
      <c r="AD67" s="1249" t="n"/>
      <c r="AE67" s="1249">
        <f>Z67-AD67</f>
        <v/>
      </c>
      <c r="AF67" s="1249">
        <f>IF(AD67=0,0,(Z67-AD67)/AD67*100)</f>
        <v/>
      </c>
      <c r="AG67" s="1249" t="n"/>
      <c r="AH67" s="1249">
        <f>Z67-AG67</f>
        <v/>
      </c>
      <c r="AI67" s="1249">
        <f>IF(AG67=0,0,(Z67-AG67)/AG67*100)</f>
        <v/>
      </c>
      <c r="AJ67" s="1251" t="n"/>
      <c r="AK67" s="1251">
        <f>Z67-AJ67</f>
        <v/>
      </c>
      <c r="AL67" s="1251">
        <f>IFERROR(Z67/AJ67*100,0)</f>
        <v/>
      </c>
    </row>
    <row r="68" ht="14.85" customFormat="1" customHeight="1" s="716">
      <c r="A68" s="716" t="n"/>
      <c r="B68" s="716" t="n"/>
      <c r="C68" s="716" t="n"/>
      <c r="D68" s="716" t="n"/>
      <c r="E68" s="716" t="n"/>
      <c r="F68" s="716" t="n"/>
      <c r="G68" s="716" t="n"/>
      <c r="H68" s="716" t="n"/>
      <c r="I68" s="716" t="n"/>
      <c r="J68" s="716" t="n"/>
      <c r="K68" s="716" t="n"/>
      <c r="L68" s="716" t="n"/>
      <c r="M68" s="716" t="n"/>
      <c r="N68" s="716" t="n"/>
      <c r="O68" s="716" t="n"/>
      <c r="P68" s="716" t="n"/>
      <c r="Q68" s="716" t="n"/>
      <c r="R68" s="716" t="n"/>
      <c r="S68" s="462">
        <f>IF(_epmOfflineCondition_,"  其他债权投资",EPMMemberDesc(U68))</f>
        <v/>
      </c>
      <c r="T68" s="716" t="n"/>
      <c r="U68" s="384" t="inlineStr">
        <is>
          <t>A001010202</t>
        </is>
      </c>
      <c r="V68" s="459">
        <f>IF(_epmOfflineCondition_,"A001010202",EPMOlapMemberO(U68,"[C_ACCOUNT].[PARENTH1].[A001010202]","A001010202 -   其他债权投资","","000"))</f>
        <v/>
      </c>
      <c r="W68" s="462" t="n"/>
      <c r="X68" s="705" t="inlineStr">
        <is>
          <t xml:space="preserve">    其他债权投资</t>
        </is>
      </c>
      <c r="Y68" s="1185" t="inlineStr"/>
      <c r="Z68" s="1249" t="n"/>
      <c r="AA68" s="1250" t="n"/>
      <c r="AB68" s="1249">
        <f>Z68-AA68</f>
        <v/>
      </c>
      <c r="AC68" s="1249">
        <f>IF(AA68=0,0,(Z68-AA68)/AA68*100)</f>
        <v/>
      </c>
      <c r="AD68" s="1249" t="n"/>
      <c r="AE68" s="1249">
        <f>Z68-AD68</f>
        <v/>
      </c>
      <c r="AF68" s="1249">
        <f>IF(AD68=0,0,(Z68-AD68)/AD68*100)</f>
        <v/>
      </c>
      <c r="AG68" s="1249" t="n"/>
      <c r="AH68" s="1249">
        <f>Z68-AG68</f>
        <v/>
      </c>
      <c r="AI68" s="1249">
        <f>IF(AG68=0,0,(Z68-AG68)/AG68*100)</f>
        <v/>
      </c>
      <c r="AJ68" s="1251" t="n"/>
      <c r="AK68" s="1251">
        <f>Z68-AJ68</f>
        <v/>
      </c>
      <c r="AL68" s="1251">
        <f>IFERROR(Z68/AJ68*100,0)</f>
        <v/>
      </c>
    </row>
    <row r="69" ht="14.85" customFormat="1" customHeight="1" s="716">
      <c r="A69" s="716" t="n"/>
      <c r="B69" s="716" t="n"/>
      <c r="C69" s="716" t="n"/>
      <c r="D69" s="716" t="n"/>
      <c r="E69" s="716" t="n"/>
      <c r="F69" s="716" t="n"/>
      <c r="G69" s="716" t="n"/>
      <c r="H69" s="716" t="n"/>
      <c r="I69" s="716" t="n"/>
      <c r="J69" s="716" t="n"/>
      <c r="K69" s="716" t="n"/>
      <c r="L69" s="716" t="n"/>
      <c r="M69" s="716" t="n"/>
      <c r="N69" s="716" t="n"/>
      <c r="O69" s="716" t="n"/>
      <c r="P69" s="716" t="n"/>
      <c r="Q69" s="716" t="n"/>
      <c r="R69" s="716" t="n"/>
      <c r="S69" s="462">
        <f>IF(_epmOfflineCondition_,"  债权投资",EPMMemberDesc(U69))</f>
        <v/>
      </c>
      <c r="T69" s="716" t="n"/>
      <c r="U69" s="384" t="inlineStr">
        <is>
          <t>A001010203</t>
        </is>
      </c>
      <c r="V69" s="459">
        <f>IF(_epmOfflineCondition_,"A001010203",EPMOlapMemberO(U69,"[C_ACCOUNT].[PARENTH1].[A001010203]","A001010203 -   债权投资","","000"))</f>
        <v/>
      </c>
      <c r="W69" s="462" t="n"/>
      <c r="X69" s="705" t="inlineStr">
        <is>
          <t xml:space="preserve">    债权投资</t>
        </is>
      </c>
      <c r="Y69" s="1185" t="inlineStr"/>
      <c r="Z69" s="1249" t="n"/>
      <c r="AA69" s="1250" t="n"/>
      <c r="AB69" s="1249">
        <f>Z69-AA69</f>
        <v/>
      </c>
      <c r="AC69" s="1249">
        <f>IF(AA69=0,0,(Z69-AA69)/AA69*100)</f>
        <v/>
      </c>
      <c r="AD69" s="1249" t="n"/>
      <c r="AE69" s="1249">
        <f>Z69-AD69</f>
        <v/>
      </c>
      <c r="AF69" s="1249">
        <f>IF(AD69=0,0,(Z69-AD69)/AD69*100)</f>
        <v/>
      </c>
      <c r="AG69" s="1249" t="n"/>
      <c r="AH69" s="1249">
        <f>Z69-AG69</f>
        <v/>
      </c>
      <c r="AI69" s="1249">
        <f>IF(AG69=0,0,(Z69-AG69)/AG69*100)</f>
        <v/>
      </c>
      <c r="AJ69" s="1251" t="n"/>
      <c r="AK69" s="1251">
        <f>Z69-AJ69</f>
        <v/>
      </c>
      <c r="AL69" s="1251">
        <f>IFERROR(Z69/AJ69*100,0)</f>
        <v/>
      </c>
    </row>
    <row r="70" ht="14.85" customFormat="1" customHeight="1" s="716">
      <c r="A70" s="716" t="n"/>
      <c r="B70" s="716" t="n"/>
      <c r="C70" s="716" t="n"/>
      <c r="D70" s="716" t="n"/>
      <c r="E70" s="716" t="n"/>
      <c r="F70" s="716" t="n"/>
      <c r="G70" s="716" t="n"/>
      <c r="H70" s="716" t="n"/>
      <c r="I70" s="716" t="n"/>
      <c r="J70" s="716" t="n"/>
      <c r="K70" s="716" t="n"/>
      <c r="L70" s="716" t="n"/>
      <c r="M70" s="716" t="n"/>
      <c r="N70" s="716" t="n"/>
      <c r="O70" s="716" t="n"/>
      <c r="P70" s="716" t="n"/>
      <c r="Q70" s="716" t="n"/>
      <c r="R70" s="716" t="n"/>
      <c r="S70" s="462">
        <f>IF(_epmOfflineCondition_,"  长期应收款",EPMMemberDesc(U70))</f>
        <v/>
      </c>
      <c r="T70" s="716" t="n"/>
      <c r="U70" s="384" t="inlineStr">
        <is>
          <t>A001010204</t>
        </is>
      </c>
      <c r="V70" s="459">
        <f>IF(_epmOfflineCondition_,"A001010204",EPMOlapMemberO(U70,"[C_ACCOUNT].[PARENTH1].[A001010204]","A001010204 -   长期应收款","","000"))</f>
        <v/>
      </c>
      <c r="W70" s="462" t="n"/>
      <c r="X70" s="705" t="inlineStr">
        <is>
          <t xml:space="preserve">    长期应收款</t>
        </is>
      </c>
      <c r="Y70" s="1185" t="inlineStr"/>
      <c r="Z70" s="1249" t="n"/>
      <c r="AA70" s="1250" t="n"/>
      <c r="AB70" s="1249">
        <f>Z70-AA70</f>
        <v/>
      </c>
      <c r="AC70" s="1249">
        <f>IF(AA70=0,0,(Z70-AA70)/AA70*100)</f>
        <v/>
      </c>
      <c r="AD70" s="1249" t="n"/>
      <c r="AE70" s="1249">
        <f>Z70-AD70</f>
        <v/>
      </c>
      <c r="AF70" s="1249">
        <f>IF(AD70=0,0,(Z70-AD70)/AD70*100)</f>
        <v/>
      </c>
      <c r="AG70" s="1249" t="n"/>
      <c r="AH70" s="1249">
        <f>Z70-AG70</f>
        <v/>
      </c>
      <c r="AI70" s="1249">
        <f>IF(AG70=0,0,(Z70-AG70)/AG70*100)</f>
        <v/>
      </c>
      <c r="AJ70" s="1251" t="n"/>
      <c r="AK70" s="1251">
        <f>Z70-AJ70</f>
        <v/>
      </c>
      <c r="AL70" s="1251">
        <f>IFERROR(Z70/AJ70*100,0)</f>
        <v/>
      </c>
    </row>
    <row r="71" ht="14.85" customFormat="1" customHeight="1" s="716">
      <c r="A71" s="716" t="n"/>
      <c r="B71" s="716" t="n"/>
      <c r="C71" s="716" t="n"/>
      <c r="D71" s="716" t="n"/>
      <c r="E71" s="716" t="n"/>
      <c r="F71" s="716" t="n"/>
      <c r="G71" s="716" t="n"/>
      <c r="H71" s="716" t="n"/>
      <c r="I71" s="716" t="n"/>
      <c r="J71" s="716" t="n"/>
      <c r="K71" s="716" t="n"/>
      <c r="L71" s="716" t="n"/>
      <c r="M71" s="716" t="n"/>
      <c r="N71" s="716" t="n"/>
      <c r="O71" s="716" t="n"/>
      <c r="P71" s="716" t="n"/>
      <c r="Q71" s="716" t="n"/>
      <c r="R71" s="716" t="n"/>
      <c r="S71" s="462">
        <f>IF(_epmOfflineCondition_,"  长期股权投资",EPMMemberDesc(U71))</f>
        <v/>
      </c>
      <c r="T71" s="716" t="n"/>
      <c r="U71" s="384" t="inlineStr">
        <is>
          <t>A001010205</t>
        </is>
      </c>
      <c r="V71" s="459">
        <f>IF(_epmOfflineCondition_,"A001010205",EPMOlapMemberO(U71,"[C_ACCOUNT].[PARENTH1].[A001010205]","A001010205 -   长期股权投资","","000"))</f>
        <v/>
      </c>
      <c r="W71" s="462" t="n"/>
      <c r="X71" s="705" t="inlineStr">
        <is>
          <t xml:space="preserve">    长期股权投资</t>
        </is>
      </c>
      <c r="Y71" s="1185" t="inlineStr"/>
      <c r="Z71" s="1249" t="n"/>
      <c r="AA71" s="1250" t="n"/>
      <c r="AB71" s="1249">
        <f>Z71-AA71</f>
        <v/>
      </c>
      <c r="AC71" s="1249">
        <f>IF(AA71=0,0,(Z71-AA71)/AA71*100)</f>
        <v/>
      </c>
      <c r="AD71" s="1249" t="n"/>
      <c r="AE71" s="1249">
        <f>Z71-AD71</f>
        <v/>
      </c>
      <c r="AF71" s="1249">
        <f>IF(AD71=0,0,(Z71-AD71)/AD71*100)</f>
        <v/>
      </c>
      <c r="AG71" s="1249" t="n"/>
      <c r="AH71" s="1249">
        <f>Z71-AG71</f>
        <v/>
      </c>
      <c r="AI71" s="1249">
        <f>IF(AG71=0,0,(Z71-AG71)/AG71*100)</f>
        <v/>
      </c>
      <c r="AJ71" s="1251" t="n"/>
      <c r="AK71" s="1251">
        <f>Z71-AJ71</f>
        <v/>
      </c>
      <c r="AL71" s="1251">
        <f>IFERROR(Z71/AJ71*100,0)</f>
        <v/>
      </c>
    </row>
    <row r="72" ht="14.85" customFormat="1" customHeight="1" s="716">
      <c r="A72" s="716" t="n"/>
      <c r="B72" s="716" t="n"/>
      <c r="C72" s="716" t="n"/>
      <c r="D72" s="716" t="n"/>
      <c r="E72" s="716" t="n"/>
      <c r="F72" s="716" t="n"/>
      <c r="G72" s="716" t="n"/>
      <c r="H72" s="716" t="n"/>
      <c r="I72" s="716" t="n"/>
      <c r="J72" s="716" t="n"/>
      <c r="K72" s="716" t="n"/>
      <c r="L72" s="716" t="n"/>
      <c r="M72" s="716" t="n"/>
      <c r="N72" s="716" t="n"/>
      <c r="O72" s="716" t="n"/>
      <c r="P72" s="716" t="n"/>
      <c r="Q72" s="716" t="n"/>
      <c r="R72" s="716" t="n"/>
      <c r="S72" s="462">
        <f>IF(_epmOfflineCondition_,"  其他权益工具投资",EPMMemberDesc(U72))</f>
        <v/>
      </c>
      <c r="T72" s="716" t="n"/>
      <c r="U72" s="384" t="inlineStr">
        <is>
          <t>A001010206</t>
        </is>
      </c>
      <c r="V72" s="459">
        <f>IF(_epmOfflineCondition_,"A001010206",EPMOlapMemberO(U72,"[C_ACCOUNT].[PARENTH1].[A001010206]","A001010206 -   其他权益工具投资","","000"))</f>
        <v/>
      </c>
      <c r="W72" s="462" t="n"/>
      <c r="X72" s="705" t="inlineStr">
        <is>
          <t xml:space="preserve">    其他权益工具投资</t>
        </is>
      </c>
      <c r="Y72" s="1185" t="inlineStr"/>
      <c r="Z72" s="1249" t="n"/>
      <c r="AA72" s="1250" t="n"/>
      <c r="AB72" s="1249">
        <f>Z72-AA72</f>
        <v/>
      </c>
      <c r="AC72" s="1249">
        <f>IF(AA72=0,0,(Z72-AA72)/AA72*100)</f>
        <v/>
      </c>
      <c r="AD72" s="1249" t="n"/>
      <c r="AE72" s="1249">
        <f>Z72-AD72</f>
        <v/>
      </c>
      <c r="AF72" s="1249">
        <f>IF(AD72=0,0,(Z72-AD72)/AD72*100)</f>
        <v/>
      </c>
      <c r="AG72" s="1249" t="n"/>
      <c r="AH72" s="1249">
        <f>Z72-AG72</f>
        <v/>
      </c>
      <c r="AI72" s="1249">
        <f>IF(AG72=0,0,(Z72-AG72)/AG72*100)</f>
        <v/>
      </c>
      <c r="AJ72" s="1251" t="n"/>
      <c r="AK72" s="1251">
        <f>Z72-AJ72</f>
        <v/>
      </c>
      <c r="AL72" s="1251">
        <f>IFERROR(Z72/AJ72*100,0)</f>
        <v/>
      </c>
    </row>
    <row r="73" ht="14.85" customFormat="1" customHeight="1" s="716">
      <c r="A73" s="716" t="n"/>
      <c r="B73" s="716" t="n"/>
      <c r="C73" s="716" t="n"/>
      <c r="D73" s="716" t="n"/>
      <c r="E73" s="716" t="n"/>
      <c r="F73" s="716" t="n"/>
      <c r="G73" s="716" t="n"/>
      <c r="H73" s="716" t="n"/>
      <c r="I73" s="716" t="n"/>
      <c r="J73" s="716" t="n"/>
      <c r="K73" s="716" t="n"/>
      <c r="L73" s="716" t="n"/>
      <c r="M73" s="716" t="n"/>
      <c r="N73" s="716" t="n"/>
      <c r="O73" s="716" t="n"/>
      <c r="P73" s="716" t="n"/>
      <c r="Q73" s="716" t="n"/>
      <c r="R73" s="716" t="n"/>
      <c r="S73" s="462">
        <f>IF(_epmOfflineCondition_,"  其他非流动金融资产",EPMMemberDesc(U73))</f>
        <v/>
      </c>
      <c r="T73" s="716" t="n"/>
      <c r="U73" s="384" t="inlineStr">
        <is>
          <t>A001010207</t>
        </is>
      </c>
      <c r="V73" s="635">
        <f>IF(_epmOfflineCondition_,"A001010207",EPMOlapMemberO(U73,"[C_ACCOUNT].[PARENTH1].[A001010207]","A001010207 -   其他非流动金融资产","","000"))</f>
        <v/>
      </c>
      <c r="W73" s="462" t="n"/>
      <c r="X73" s="705" t="inlineStr">
        <is>
          <t xml:space="preserve">    其他非流动金融资产</t>
        </is>
      </c>
      <c r="Y73" s="1185" t="inlineStr"/>
      <c r="Z73" s="1249" t="n"/>
      <c r="AA73" s="1250" t="n"/>
      <c r="AB73" s="1249">
        <f>Z73-AA73</f>
        <v/>
      </c>
      <c r="AC73" s="1249">
        <f>IF(AA73=0,0,(Z73-AA73)/AA73*100)</f>
        <v/>
      </c>
      <c r="AD73" s="1249" t="n"/>
      <c r="AE73" s="1249">
        <f>Z73-AD73</f>
        <v/>
      </c>
      <c r="AF73" s="1249">
        <f>IF(AD73=0,0,(Z73-AD73)/AD73*100)</f>
        <v/>
      </c>
      <c r="AG73" s="1249" t="n"/>
      <c r="AH73" s="1249">
        <f>Z73-AG73</f>
        <v/>
      </c>
      <c r="AI73" s="1249">
        <f>IF(AG73=0,0,(Z73-AG73)/AG73*100)</f>
        <v/>
      </c>
      <c r="AJ73" s="1251" t="n"/>
      <c r="AK73" s="1251">
        <f>Z73-AJ73</f>
        <v/>
      </c>
      <c r="AL73" s="1251">
        <f>IFERROR(Z73/AJ73*100,0)</f>
        <v/>
      </c>
    </row>
    <row r="74" ht="14.85" customFormat="1" customHeight="1" s="716">
      <c r="A74" s="716" t="n"/>
      <c r="B74" s="716" t="n"/>
      <c r="C74" s="716" t="n"/>
      <c r="D74" s="716" t="n"/>
      <c r="E74" s="716" t="n"/>
      <c r="F74" s="716" t="n"/>
      <c r="G74" s="716" t="n"/>
      <c r="H74" s="716" t="n"/>
      <c r="I74" s="716" t="n"/>
      <c r="J74" s="716" t="n"/>
      <c r="K74" s="716" t="n"/>
      <c r="L74" s="716" t="n"/>
      <c r="M74" s="716" t="n"/>
      <c r="N74" s="716" t="n"/>
      <c r="O74" s="716" t="n"/>
      <c r="P74" s="716" t="n"/>
      <c r="Q74" s="716" t="n"/>
      <c r="R74" s="716" t="n"/>
      <c r="S74" s="462">
        <f>IF(_epmOfflineCondition_,"  投资性房地产",EPMMemberDesc(U74))</f>
        <v/>
      </c>
      <c r="T74" s="716" t="n"/>
      <c r="U74" s="384" t="inlineStr">
        <is>
          <t>A001010208</t>
        </is>
      </c>
      <c r="V74" s="459">
        <f>IF(_epmOfflineCondition_,"A001010208",EPMOlapMemberO(U74,"[C_ACCOUNT].[PARENTH1].[A001010208]","A001010208 -   投资性房地产","","000"))</f>
        <v/>
      </c>
      <c r="W74" s="462" t="n"/>
      <c r="X74" s="705" t="inlineStr">
        <is>
          <t xml:space="preserve">    投资性房地产</t>
        </is>
      </c>
      <c r="Y74" s="1185" t="inlineStr"/>
      <c r="Z74" s="1249" t="n"/>
      <c r="AA74" s="1250" t="n"/>
      <c r="AB74" s="1249">
        <f>Z74-AA74</f>
        <v/>
      </c>
      <c r="AC74" s="1249">
        <f>IF(AA74=0,0,(Z74-AA74)/AA74*100)</f>
        <v/>
      </c>
      <c r="AD74" s="1249" t="n"/>
      <c r="AE74" s="1249">
        <f>Z74-AD74</f>
        <v/>
      </c>
      <c r="AF74" s="1249">
        <f>IF(AD74=0,0,(Z74-AD74)/AD74*100)</f>
        <v/>
      </c>
      <c r="AG74" s="1249" t="n"/>
      <c r="AH74" s="1249">
        <f>Z74-AG74</f>
        <v/>
      </c>
      <c r="AI74" s="1249">
        <f>IF(AG74=0,0,(Z74-AG74)/AG74*100)</f>
        <v/>
      </c>
      <c r="AJ74" s="1251" t="n"/>
      <c r="AK74" s="1251">
        <f>Z74-AJ74</f>
        <v/>
      </c>
      <c r="AL74" s="1251">
        <f>IFERROR(Z74/AJ74*100,0)</f>
        <v/>
      </c>
    </row>
    <row r="75" ht="14.85" customFormat="1" customHeight="1" s="716">
      <c r="A75" s="716" t="n"/>
      <c r="B75" s="716" t="n"/>
      <c r="C75" s="716" t="n"/>
      <c r="D75" s="716" t="n"/>
      <c r="E75" s="716" t="n"/>
      <c r="F75" s="716" t="n"/>
      <c r="G75" s="716" t="n"/>
      <c r="H75" s="716" t="n"/>
      <c r="I75" s="716" t="n"/>
      <c r="J75" s="716" t="n"/>
      <c r="K75" s="716" t="n"/>
      <c r="L75" s="716" t="n"/>
      <c r="M75" s="716" t="n"/>
      <c r="N75" s="716" t="n"/>
      <c r="O75" s="716" t="n"/>
      <c r="P75" s="716" t="n"/>
      <c r="Q75" s="716" t="n"/>
      <c r="R75" s="716" t="n"/>
      <c r="S75" s="462">
        <f>IF(_epmOfflineCondition_,"  固定资产原价",EPMMemberDesc(U75))</f>
        <v/>
      </c>
      <c r="T75" s="716" t="n"/>
      <c r="U75" s="384" t="inlineStr">
        <is>
          <t>A001010209</t>
        </is>
      </c>
      <c r="V75" s="637">
        <f>IF(_epmOfflineCondition_,"A001010209",EPMOlapMemberO(U75,"[C_ACCOUNT].[PARENTH1].[A001010209]","A001010209 -   固定资产原价","","000"))</f>
        <v/>
      </c>
      <c r="W75" s="462" t="n"/>
      <c r="X75" s="705" t="inlineStr">
        <is>
          <t xml:space="preserve">    固定资产原价</t>
        </is>
      </c>
      <c r="Y75" s="1185" t="inlineStr"/>
      <c r="Z75" s="1249" t="inlineStr"/>
      <c r="AA75" s="1250" t="inlineStr"/>
      <c r="AB75" s="1249">
        <f>Z75-AA75</f>
        <v/>
      </c>
      <c r="AC75" s="1249">
        <f>IF(AA75=0,0,(Z75-AA75)/AA75*100)</f>
        <v/>
      </c>
      <c r="AD75" s="1249" t="inlineStr"/>
      <c r="AE75" s="1249">
        <f>Z75-AD75</f>
        <v/>
      </c>
      <c r="AF75" s="1249">
        <f>IF(AD75=0,0,(Z75-AD75)/AD75*100)</f>
        <v/>
      </c>
      <c r="AG75" s="1249" t="inlineStr"/>
      <c r="AH75" s="1249">
        <f>Z75-AG75</f>
        <v/>
      </c>
      <c r="AI75" s="1249">
        <f>IF(AG75=0,0,(Z75-AG75)/AG75*100)</f>
        <v/>
      </c>
      <c r="AJ75" s="1251" t="n"/>
      <c r="AK75" s="1251">
        <f>Z75-AJ75</f>
        <v/>
      </c>
      <c r="AL75" s="1251">
        <f>IFERROR(Z75/AJ75*100,0)</f>
        <v/>
      </c>
    </row>
    <row r="76" ht="14.85" customFormat="1" customHeight="1" s="716">
      <c r="A76" s="716" t="n"/>
      <c r="B76" s="716" t="n"/>
      <c r="C76" s="716" t="n"/>
      <c r="D76" s="716" t="n"/>
      <c r="E76" s="716" t="n"/>
      <c r="F76" s="716" t="n"/>
      <c r="G76" s="716" t="n"/>
      <c r="H76" s="716" t="n"/>
      <c r="I76" s="716" t="n"/>
      <c r="J76" s="716" t="n"/>
      <c r="K76" s="716" t="n"/>
      <c r="L76" s="716" t="n"/>
      <c r="M76" s="716" t="n"/>
      <c r="N76" s="716" t="n"/>
      <c r="O76" s="716" t="n"/>
      <c r="P76" s="716" t="n"/>
      <c r="Q76" s="716" t="n"/>
      <c r="R76" s="716" t="n"/>
      <c r="S76" s="462">
        <f>IF(_epmOfflineCondition_,"      减：累计折旧",EPMMemberDesc(U76))</f>
        <v/>
      </c>
      <c r="T76" s="716" t="n"/>
      <c r="U76" s="384" t="inlineStr">
        <is>
          <t>A001010210</t>
        </is>
      </c>
      <c r="V76" s="637">
        <f>IF(_epmOfflineCondition_,"A001010210",EPMOlapMemberO(U76,"[C_ACCOUNT].[PARENTH1].[A001010210]","A001010210 -       减：累计折旧","","000"))</f>
        <v/>
      </c>
      <c r="W76" s="462" t="n"/>
      <c r="X76" s="705" t="inlineStr">
        <is>
          <t xml:space="preserve">      减：累计折旧</t>
        </is>
      </c>
      <c r="Y76" s="1185" t="inlineStr"/>
      <c r="Z76" s="1249" t="inlineStr"/>
      <c r="AA76" s="1250" t="inlineStr"/>
      <c r="AB76" s="1249">
        <f>Z76-AA76</f>
        <v/>
      </c>
      <c r="AC76" s="1249">
        <f>IF(AA76=0,0,(Z76-AA76)/AA76*100)</f>
        <v/>
      </c>
      <c r="AD76" s="1249" t="inlineStr"/>
      <c r="AE76" s="1249">
        <f>Z76-AD76</f>
        <v/>
      </c>
      <c r="AF76" s="1249">
        <f>IF(AD76=0,0,(Z76-AD76)/AD76*100)</f>
        <v/>
      </c>
      <c r="AG76" s="1249" t="inlineStr"/>
      <c r="AH76" s="1249">
        <f>Z76-AG76</f>
        <v/>
      </c>
      <c r="AI76" s="1249">
        <f>IF(AG76=0,0,(Z76-AG76)/AG76*100)</f>
        <v/>
      </c>
      <c r="AJ76" s="1251" t="n"/>
      <c r="AK76" s="1251">
        <f>Z76-AJ76</f>
        <v/>
      </c>
      <c r="AL76" s="1251">
        <f>IFERROR(Z76/AJ76*100,0)</f>
        <v/>
      </c>
    </row>
    <row r="77" ht="14.85" customFormat="1" customHeight="1" s="716">
      <c r="A77" s="716" t="n"/>
      <c r="B77" s="716" t="n"/>
      <c r="C77" s="716" t="n"/>
      <c r="D77" s="716" t="n"/>
      <c r="E77" s="716" t="n"/>
      <c r="F77" s="716" t="n"/>
      <c r="G77" s="716" t="n"/>
      <c r="H77" s="716" t="n"/>
      <c r="I77" s="716" t="n"/>
      <c r="J77" s="716" t="n"/>
      <c r="K77" s="716" t="n"/>
      <c r="L77" s="716" t="n"/>
      <c r="M77" s="716" t="n"/>
      <c r="N77" s="716" t="n"/>
      <c r="O77" s="716" t="n"/>
      <c r="P77" s="716" t="n"/>
      <c r="Q77" s="716" t="n"/>
      <c r="R77" s="716" t="n"/>
      <c r="S77" s="462">
        <f>IF(_epmOfflineCondition_,"  固定资产净值",EPMMemberDesc(U77))</f>
        <v/>
      </c>
      <c r="T77" s="716" t="n"/>
      <c r="U77" s="384" t="inlineStr">
        <is>
          <t>A001010211</t>
        </is>
      </c>
      <c r="V77" s="635">
        <f>IF(_epmOfflineCondition_,"A001010211",EPMOlapMemberO(U77,"[C_ACCOUNT].[PARENTH1].[A001010211]","A001010211 -   固定资产净值","","000"))</f>
        <v/>
      </c>
      <c r="W77" s="462" t="n"/>
      <c r="X77" s="705" t="inlineStr">
        <is>
          <t xml:space="preserve">    固定资产净值</t>
        </is>
      </c>
      <c r="Y77" s="1185" t="inlineStr"/>
      <c r="Z77" s="1249" t="inlineStr"/>
      <c r="AA77" s="1250" t="inlineStr"/>
      <c r="AB77" s="1249">
        <f>Z77-AA77</f>
        <v/>
      </c>
      <c r="AC77" s="1249">
        <f>IF(AA77=0,0,(Z77-AA77)/AA77*100)</f>
        <v/>
      </c>
      <c r="AD77" s="1249" t="inlineStr"/>
      <c r="AE77" s="1249">
        <f>Z77-AD77</f>
        <v/>
      </c>
      <c r="AF77" s="1249">
        <f>IF(AD77=0,0,(Z77-AD77)/AD77*100)</f>
        <v/>
      </c>
      <c r="AG77" s="1249" t="inlineStr"/>
      <c r="AH77" s="1249">
        <f>Z77-AG77</f>
        <v/>
      </c>
      <c r="AI77" s="1249">
        <f>IF(AG77=0,0,(Z77-AG77)/AG77*100)</f>
        <v/>
      </c>
      <c r="AJ77" s="1251" t="n"/>
      <c r="AK77" s="1251">
        <f>Z77-AJ77</f>
        <v/>
      </c>
      <c r="AL77" s="1251">
        <f>IFERROR(Z77/AJ77*100,0)</f>
        <v/>
      </c>
    </row>
    <row r="78" ht="14.85" customFormat="1" customHeight="1" s="716">
      <c r="A78" s="716" t="n"/>
      <c r="B78" s="716" t="n"/>
      <c r="C78" s="716" t="n"/>
      <c r="D78" s="716" t="n"/>
      <c r="E78" s="716" t="n"/>
      <c r="F78" s="716" t="n"/>
      <c r="G78" s="716" t="n"/>
      <c r="H78" s="716" t="n"/>
      <c r="I78" s="716" t="n"/>
      <c r="J78" s="716" t="n"/>
      <c r="K78" s="716" t="n"/>
      <c r="L78" s="716" t="n"/>
      <c r="M78" s="716" t="n"/>
      <c r="N78" s="716" t="n"/>
      <c r="O78" s="716" t="n"/>
      <c r="P78" s="716" t="n"/>
      <c r="Q78" s="716" t="n"/>
      <c r="R78" s="716" t="n"/>
      <c r="S78" s="462">
        <f>IF(_epmOfflineCondition_,"      减：固定资产减值准备",EPMMemberDesc(U78))</f>
        <v/>
      </c>
      <c r="T78" s="716" t="n"/>
      <c r="U78" s="384" t="inlineStr">
        <is>
          <t>A001010212</t>
        </is>
      </c>
      <c r="V78" s="635">
        <f>IF(_epmOfflineCondition_,"A001010212",EPMOlapMemberO(U78,"[C_ACCOUNT].[PARENTH1].[A001010212]","A001010212 -       减：固定资产减值准备","","000"))</f>
        <v/>
      </c>
      <c r="W78" s="462" t="n"/>
      <c r="X78" s="705" t="inlineStr">
        <is>
          <t xml:space="preserve">      减：固定资产减值准备</t>
        </is>
      </c>
      <c r="Y78" s="1185" t="inlineStr"/>
      <c r="Z78" s="1249" t="n"/>
      <c r="AA78" s="1250" t="n"/>
      <c r="AB78" s="1249">
        <f>Z78-AA78</f>
        <v/>
      </c>
      <c r="AC78" s="1249">
        <f>IF(AA78=0,0,(Z78-AA78)/AA78*100)</f>
        <v/>
      </c>
      <c r="AD78" s="1249" t="n"/>
      <c r="AE78" s="1249">
        <f>Z78-AD78</f>
        <v/>
      </c>
      <c r="AF78" s="1249">
        <f>IF(AD78=0,0,(Z78-AD78)/AD78*100)</f>
        <v/>
      </c>
      <c r="AG78" s="1249" t="n"/>
      <c r="AH78" s="1249">
        <f>Z78-AG78</f>
        <v/>
      </c>
      <c r="AI78" s="1249">
        <f>IF(AG78=0,0,(Z78-AG78)/AG78*100)</f>
        <v/>
      </c>
      <c r="AJ78" s="1251" t="n"/>
      <c r="AK78" s="1251">
        <f>Z78-AJ78</f>
        <v/>
      </c>
      <c r="AL78" s="1251">
        <f>IFERROR(Z78/AJ78*100,0)</f>
        <v/>
      </c>
    </row>
    <row r="79" ht="14.85" customFormat="1" customHeight="1" s="716">
      <c r="A79" s="716" t="n"/>
      <c r="B79" s="716" t="n"/>
      <c r="C79" s="716" t="n"/>
      <c r="D79" s="716" t="n"/>
      <c r="E79" s="716" t="n"/>
      <c r="F79" s="716" t="n"/>
      <c r="G79" s="716" t="n"/>
      <c r="H79" s="716" t="n"/>
      <c r="I79" s="716" t="n"/>
      <c r="J79" s="716" t="n"/>
      <c r="K79" s="716" t="n"/>
      <c r="L79" s="716" t="n"/>
      <c r="M79" s="716" t="n"/>
      <c r="N79" s="716" t="n"/>
      <c r="O79" s="716" t="n"/>
      <c r="P79" s="716" t="n"/>
      <c r="Q79" s="716" t="n"/>
      <c r="R79" s="716" t="n"/>
      <c r="S79" s="462">
        <f>IF(_epmOfflineCondition_,"  固定资产净额",EPMMemberDesc(U79))</f>
        <v/>
      </c>
      <c r="T79" s="716" t="n"/>
      <c r="U79" s="384" t="inlineStr">
        <is>
          <t>A001010214</t>
        </is>
      </c>
      <c r="V79" s="459">
        <f>IF(_epmOfflineCondition_,"A001010214",EPMOlapMemberO(U79,"[C_ACCOUNT].[PARENTH1].[A001010214]","A001010214 -   固定资产净额","","000"))</f>
        <v/>
      </c>
      <c r="W79" s="462" t="n"/>
      <c r="X79" s="705" t="inlineStr">
        <is>
          <t xml:space="preserve">    固定资产净额</t>
        </is>
      </c>
      <c r="Y79" s="1185" t="inlineStr"/>
      <c r="Z79" s="1249" t="inlineStr"/>
      <c r="AA79" s="1250" t="inlineStr"/>
      <c r="AB79" s="1249">
        <f>Z79-AA79</f>
        <v/>
      </c>
      <c r="AC79" s="1249">
        <f>IF(AA79=0,0,(Z79-AA79)/AA79*100)</f>
        <v/>
      </c>
      <c r="AD79" s="1249" t="inlineStr"/>
      <c r="AE79" s="1249">
        <f>Z79-AD79</f>
        <v/>
      </c>
      <c r="AF79" s="1249">
        <f>IF(AD79=0,0,(Z79-AD79)/AD79*100)</f>
        <v/>
      </c>
      <c r="AG79" s="1249" t="inlineStr"/>
      <c r="AH79" s="1249">
        <f>Z79-AG79</f>
        <v/>
      </c>
      <c r="AI79" s="1249">
        <f>IF(AG79=0,0,(Z79-AG79)/AG79*100)</f>
        <v/>
      </c>
      <c r="AJ79" s="1251" t="n"/>
      <c r="AK79" s="1251">
        <f>Z79-AJ79</f>
        <v/>
      </c>
      <c r="AL79" s="1251">
        <f>IFERROR(Z79/AJ79*100,0)</f>
        <v/>
      </c>
    </row>
    <row r="80" ht="14.85" customFormat="1" customHeight="1" s="716">
      <c r="A80" s="716" t="n"/>
      <c r="B80" s="716" t="n"/>
      <c r="C80" s="716" t="n"/>
      <c r="D80" s="716" t="n"/>
      <c r="E80" s="716" t="n"/>
      <c r="F80" s="716" t="n"/>
      <c r="G80" s="716" t="n"/>
      <c r="H80" s="716" t="n"/>
      <c r="I80" s="716" t="n"/>
      <c r="J80" s="716" t="n"/>
      <c r="K80" s="716" t="n"/>
      <c r="L80" s="716" t="n"/>
      <c r="M80" s="716" t="n"/>
      <c r="N80" s="716" t="n"/>
      <c r="O80" s="716" t="n"/>
      <c r="P80" s="716" t="n"/>
      <c r="Q80" s="716" t="n"/>
      <c r="R80" s="716" t="n"/>
      <c r="S80" s="462">
        <f>IF(_epmOfflineCondition_,"  在建工程",EPMMemberDesc(U80))</f>
        <v/>
      </c>
      <c r="T80" s="716" t="n"/>
      <c r="U80" s="384" t="inlineStr">
        <is>
          <t>A001010215</t>
        </is>
      </c>
      <c r="V80" s="459">
        <f>IF(_epmOfflineCondition_,"A001010215",EPMOlapMemberO(U80,"[C_ACCOUNT].[PARENTH1].[A001010215]","A001010215 -   在建工程","","000"))</f>
        <v/>
      </c>
      <c r="W80" s="462" t="n"/>
      <c r="X80" s="705" t="inlineStr">
        <is>
          <t xml:space="preserve">    在建工程</t>
        </is>
      </c>
      <c r="Y80" s="1185" t="inlineStr"/>
      <c r="Z80" s="1249" t="inlineStr"/>
      <c r="AA80" s="1250" t="inlineStr"/>
      <c r="AB80" s="1249">
        <f>Z80-AA80</f>
        <v/>
      </c>
      <c r="AC80" s="1249">
        <f>IF(AA80=0,0,(Z80-AA80)/AA80*100)</f>
        <v/>
      </c>
      <c r="AD80" s="1249" t="inlineStr"/>
      <c r="AE80" s="1249">
        <f>Z80-AD80</f>
        <v/>
      </c>
      <c r="AF80" s="1249">
        <f>IF(AD80=0,0,(Z80-AD80)/AD80*100)</f>
        <v/>
      </c>
      <c r="AG80" s="1249" t="inlineStr"/>
      <c r="AH80" s="1249">
        <f>Z80-AG80</f>
        <v/>
      </c>
      <c r="AI80" s="1249">
        <f>IF(AG80=0,0,(Z80-AG80)/AG80*100)</f>
        <v/>
      </c>
      <c r="AJ80" s="1251" t="n"/>
      <c r="AK80" s="1251">
        <f>Z80-AJ80</f>
        <v/>
      </c>
      <c r="AL80" s="1251">
        <f>IFERROR(Z80/AJ80*100,0)</f>
        <v/>
      </c>
    </row>
    <row r="81" ht="14.85" customFormat="1" customHeight="1" s="716">
      <c r="A81" s="716" t="n"/>
      <c r="B81" s="716" t="n"/>
      <c r="C81" s="716" t="n"/>
      <c r="D81" s="716" t="n"/>
      <c r="E81" s="716" t="n"/>
      <c r="F81" s="716" t="n"/>
      <c r="G81" s="716" t="n"/>
      <c r="H81" s="716" t="n"/>
      <c r="I81" s="716" t="n"/>
      <c r="J81" s="716" t="n"/>
      <c r="K81" s="716" t="n"/>
      <c r="L81" s="716" t="n"/>
      <c r="M81" s="716" t="n"/>
      <c r="N81" s="716" t="n"/>
      <c r="O81" s="716" t="n"/>
      <c r="P81" s="716" t="n"/>
      <c r="Q81" s="716" t="n"/>
      <c r="R81" s="716" t="n"/>
      <c r="S81" s="462">
        <f>IF(_epmOfflineCondition_,"  工程物资",EPMMemberDesc(U81))</f>
        <v/>
      </c>
      <c r="T81" s="716" t="n"/>
      <c r="U81" s="384" t="inlineStr">
        <is>
          <t>A001010216</t>
        </is>
      </c>
      <c r="V81" s="459">
        <f>IF(_epmOfflineCondition_,"A001010216",EPMOlapMemberO(U81,"[C_ACCOUNT].[PARENTH1].[A001010216]","A001010216 -   工程物资","","000"))</f>
        <v/>
      </c>
      <c r="W81" s="462" t="n"/>
      <c r="X81" s="705" t="inlineStr">
        <is>
          <t xml:space="preserve">    工程物资</t>
        </is>
      </c>
      <c r="Y81" s="1185" t="inlineStr"/>
      <c r="Z81" s="1249" t="n"/>
      <c r="AA81" s="1250" t="n"/>
      <c r="AB81" s="1249">
        <f>Z81-AA81</f>
        <v/>
      </c>
      <c r="AC81" s="1249">
        <f>IF(AA81=0,0,(Z81-AA81)/AA81*100)</f>
        <v/>
      </c>
      <c r="AD81" s="1249" t="n"/>
      <c r="AE81" s="1249">
        <f>Z81-AD81</f>
        <v/>
      </c>
      <c r="AF81" s="1249">
        <f>IF(AD81=0,0,(Z81-AD81)/AD81*100)</f>
        <v/>
      </c>
      <c r="AG81" s="1249" t="n"/>
      <c r="AH81" s="1249">
        <f>Z81-AG81</f>
        <v/>
      </c>
      <c r="AI81" s="1249">
        <f>IF(AG81=0,0,(Z81-AG81)/AG81*100)</f>
        <v/>
      </c>
      <c r="AJ81" s="1251" t="n"/>
      <c r="AK81" s="1251">
        <f>Z81-AJ81</f>
        <v/>
      </c>
      <c r="AL81" s="1251">
        <f>IFERROR(Z81/AJ81*100,0)</f>
        <v/>
      </c>
    </row>
    <row r="82" ht="14.85" customFormat="1" customHeight="1" s="716">
      <c r="A82" s="716" t="n"/>
      <c r="B82" s="716" t="n"/>
      <c r="C82" s="716" t="n"/>
      <c r="D82" s="716" t="n"/>
      <c r="E82" s="716" t="n"/>
      <c r="F82" s="716" t="n"/>
      <c r="G82" s="716" t="n"/>
      <c r="H82" s="716" t="n"/>
      <c r="I82" s="716" t="n"/>
      <c r="J82" s="716" t="n"/>
      <c r="K82" s="716" t="n"/>
      <c r="L82" s="716" t="n"/>
      <c r="M82" s="716" t="n"/>
      <c r="N82" s="716" t="n"/>
      <c r="O82" s="716" t="n"/>
      <c r="P82" s="716" t="n"/>
      <c r="Q82" s="716" t="n"/>
      <c r="R82" s="716" t="n"/>
      <c r="S82" s="462">
        <f>IF(_epmOfflineCondition_,"固定资产清理",EPMMemberDesc(U82))</f>
        <v/>
      </c>
      <c r="T82" s="716" t="n"/>
      <c r="U82" s="384" t="inlineStr">
        <is>
          <t>A1606000000</t>
        </is>
      </c>
      <c r="V82" s="635">
        <f>IF(_epmOfflineCondition_,"A1606000000",EPMOlapMemberO(U82,"[C_ACCOUNT].[PARENTH1].[A1606000000]","A1606000000 - 固定资产清理","","000"))</f>
        <v/>
      </c>
      <c r="W82" s="462" t="n"/>
      <c r="X82" s="705" t="inlineStr">
        <is>
          <t xml:space="preserve">    固定资产清理</t>
        </is>
      </c>
      <c r="Y82" s="1185" t="inlineStr"/>
      <c r="Z82" s="1249" t="n"/>
      <c r="AA82" s="1250" t="n"/>
      <c r="AB82" s="1249">
        <f>Z82-AA82</f>
        <v/>
      </c>
      <c r="AC82" s="1249">
        <f>IF(AA82=0,0,(Z82-AA82)/AA82*100)</f>
        <v/>
      </c>
      <c r="AD82" s="1249" t="n"/>
      <c r="AE82" s="1249">
        <f>Z82-AD82</f>
        <v/>
      </c>
      <c r="AF82" s="1249">
        <f>IF(AD82=0,0,(Z82-AD82)/AD82*100)</f>
        <v/>
      </c>
      <c r="AG82" s="1249" t="n"/>
      <c r="AH82" s="1249">
        <f>Z82-AG82</f>
        <v/>
      </c>
      <c r="AI82" s="1249">
        <f>IF(AG82=0,0,(Z82-AG82)/AG82*100)</f>
        <v/>
      </c>
      <c r="AJ82" s="1251" t="n"/>
      <c r="AK82" s="1251">
        <f>Z82-AJ82</f>
        <v/>
      </c>
      <c r="AL82" s="1251">
        <f>IFERROR(Z82/AJ82*100,0)</f>
        <v/>
      </c>
    </row>
    <row r="83" ht="14.85" customFormat="1" customHeight="1" s="716">
      <c r="A83" s="716" t="n"/>
      <c r="B83" s="716" t="n"/>
      <c r="C83" s="716" t="n"/>
      <c r="D83" s="716" t="n"/>
      <c r="E83" s="716" t="n"/>
      <c r="F83" s="716" t="n"/>
      <c r="G83" s="716" t="n"/>
      <c r="H83" s="716" t="n"/>
      <c r="I83" s="716" t="n"/>
      <c r="J83" s="716" t="n"/>
      <c r="K83" s="716" t="n"/>
      <c r="L83" s="716" t="n"/>
      <c r="M83" s="716" t="n"/>
      <c r="N83" s="716" t="n"/>
      <c r="O83" s="716" t="n"/>
      <c r="P83" s="716" t="n"/>
      <c r="Q83" s="716" t="n"/>
      <c r="R83" s="716" t="n"/>
      <c r="S83" s="462">
        <f>IF(_epmOfflineCondition_,"  生产性生物资产",EPMMemberDesc(U83))</f>
        <v/>
      </c>
      <c r="T83" s="716" t="n"/>
      <c r="U83" s="384" t="inlineStr">
        <is>
          <t>A001010217</t>
        </is>
      </c>
      <c r="V83" s="459">
        <f>IF(_epmOfflineCondition_,"A001010217",EPMOlapMemberO(U83,"[C_ACCOUNT].[PARENTH1].[A001010217]","A001010217 -   生产性生物资产","","000"))</f>
        <v/>
      </c>
      <c r="W83" s="462" t="n"/>
      <c r="X83" s="705" t="inlineStr">
        <is>
          <t xml:space="preserve">    生产性生物资产</t>
        </is>
      </c>
      <c r="Y83" s="1185" t="inlineStr"/>
      <c r="Z83" s="1249" t="n"/>
      <c r="AA83" s="1250" t="n"/>
      <c r="AB83" s="1249">
        <f>Z83-AA83</f>
        <v/>
      </c>
      <c r="AC83" s="1249">
        <f>IF(AA83=0,0,(Z83-AA83)/AA83*100)</f>
        <v/>
      </c>
      <c r="AD83" s="1249" t="n"/>
      <c r="AE83" s="1249">
        <f>Z83-AD83</f>
        <v/>
      </c>
      <c r="AF83" s="1249">
        <f>IF(AD83=0,0,(Z83-AD83)/AD83*100)</f>
        <v/>
      </c>
      <c r="AG83" s="1249" t="n"/>
      <c r="AH83" s="1249">
        <f>Z83-AG83</f>
        <v/>
      </c>
      <c r="AI83" s="1249">
        <f>IF(AG83=0,0,(Z83-AG83)/AG83*100)</f>
        <v/>
      </c>
      <c r="AJ83" s="1251" t="n"/>
      <c r="AK83" s="1251">
        <f>Z83-AJ83</f>
        <v/>
      </c>
      <c r="AL83" s="1251">
        <f>IFERROR(Z83/AJ83*100,0)</f>
        <v/>
      </c>
    </row>
    <row r="84" ht="14.85" customFormat="1" customHeight="1" s="716">
      <c r="A84" s="716" t="n"/>
      <c r="B84" s="716" t="n"/>
      <c r="C84" s="716" t="n"/>
      <c r="D84" s="716" t="n"/>
      <c r="E84" s="716" t="n"/>
      <c r="F84" s="716" t="n"/>
      <c r="G84" s="716" t="n"/>
      <c r="H84" s="716" t="n"/>
      <c r="I84" s="716" t="n"/>
      <c r="J84" s="716" t="n"/>
      <c r="K84" s="716" t="n"/>
      <c r="L84" s="716" t="n"/>
      <c r="M84" s="716" t="n"/>
      <c r="N84" s="716" t="n"/>
      <c r="O84" s="716" t="n"/>
      <c r="P84" s="716" t="n"/>
      <c r="Q84" s="716" t="n"/>
      <c r="R84" s="716" t="n"/>
      <c r="S84" s="462">
        <f>IF(_epmOfflineCondition_,"  油气资产",EPMMemberDesc(U84))</f>
        <v/>
      </c>
      <c r="T84" s="716" t="n"/>
      <c r="U84" s="384" t="inlineStr">
        <is>
          <t>A001010218</t>
        </is>
      </c>
      <c r="V84" s="459">
        <f>IF(_epmOfflineCondition_,"A001010218",EPMOlapMemberO(U84,"[C_ACCOUNT].[PARENTH1].[A001010218]","A001010218 -   油气资产","","000"))</f>
        <v/>
      </c>
      <c r="W84" s="462" t="n"/>
      <c r="X84" s="705" t="inlineStr">
        <is>
          <t xml:space="preserve">    油气资产</t>
        </is>
      </c>
      <c r="Y84" s="1185" t="inlineStr"/>
      <c r="Z84" s="1249" t="n"/>
      <c r="AA84" s="1250" t="n"/>
      <c r="AB84" s="1249">
        <f>Z84-AA84</f>
        <v/>
      </c>
      <c r="AC84" s="1249">
        <f>IF(AA84=0,0,(Z84-AA84)/AA84*100)</f>
        <v/>
      </c>
      <c r="AD84" s="1249" t="n"/>
      <c r="AE84" s="1249">
        <f>Z84-AD84</f>
        <v/>
      </c>
      <c r="AF84" s="1249">
        <f>IF(AD84=0,0,(Z84-AD84)/AD84*100)</f>
        <v/>
      </c>
      <c r="AG84" s="1249" t="n"/>
      <c r="AH84" s="1249">
        <f>Z84-AG84</f>
        <v/>
      </c>
      <c r="AI84" s="1249">
        <f>IF(AG84=0,0,(Z84-AG84)/AG84*100)</f>
        <v/>
      </c>
      <c r="AJ84" s="1251" t="n"/>
      <c r="AK84" s="1251">
        <f>Z84-AJ84</f>
        <v/>
      </c>
      <c r="AL84" s="1251">
        <f>IFERROR(Z84/AJ84*100,0)</f>
        <v/>
      </c>
    </row>
    <row r="85" ht="14.85" customFormat="1" customHeight="1" s="716">
      <c r="A85" s="716" t="n"/>
      <c r="B85" s="716" t="n"/>
      <c r="C85" s="716" t="n"/>
      <c r="D85" s="716" t="n"/>
      <c r="E85" s="716" t="n"/>
      <c r="F85" s="716" t="n"/>
      <c r="G85" s="716" t="n"/>
      <c r="H85" s="716" t="n"/>
      <c r="I85" s="716" t="n"/>
      <c r="J85" s="716" t="n"/>
      <c r="K85" s="716" t="n"/>
      <c r="L85" s="716" t="n"/>
      <c r="M85" s="716" t="n"/>
      <c r="N85" s="716" t="n"/>
      <c r="O85" s="716" t="n"/>
      <c r="P85" s="716" t="n"/>
      <c r="Q85" s="716" t="n"/>
      <c r="R85" s="716" t="n"/>
      <c r="S85" s="462">
        <f>IF(_epmOfflineCondition_,"  使用权资产",EPMMemberDesc(U85))</f>
        <v/>
      </c>
      <c r="T85" s="716" t="n"/>
      <c r="U85" s="384" t="inlineStr">
        <is>
          <t>A001010219</t>
        </is>
      </c>
      <c r="V85" s="459">
        <f>IF(_epmOfflineCondition_,"A001010219",EPMOlapMemberO(U85,"[C_ACCOUNT].[PARENTH1].[A001010219]","A001010219 -   使用权资产","","000"))</f>
        <v/>
      </c>
      <c r="W85" s="462" t="n"/>
      <c r="X85" s="705" t="inlineStr">
        <is>
          <t xml:space="preserve">    使用权资产</t>
        </is>
      </c>
      <c r="Y85" s="1185" t="inlineStr"/>
      <c r="Z85" s="1249" t="n"/>
      <c r="AA85" s="1250" t="n"/>
      <c r="AB85" s="1249">
        <f>Z85-AA85</f>
        <v/>
      </c>
      <c r="AC85" s="1249">
        <f>IF(AA85=0,0,(Z85-AA85)/AA85*100)</f>
        <v/>
      </c>
      <c r="AD85" s="1249" t="n"/>
      <c r="AE85" s="1249">
        <f>Z85-AD85</f>
        <v/>
      </c>
      <c r="AF85" s="1249">
        <f>IF(AD85=0,0,(Z85-AD85)/AD85*100)</f>
        <v/>
      </c>
      <c r="AG85" s="1249" t="n"/>
      <c r="AH85" s="1249">
        <f>Z85-AG85</f>
        <v/>
      </c>
      <c r="AI85" s="1249">
        <f>IF(AG85=0,0,(Z85-AG85)/AG85*100)</f>
        <v/>
      </c>
      <c r="AJ85" s="1251" t="n"/>
      <c r="AK85" s="1251">
        <f>Z85-AJ85</f>
        <v/>
      </c>
      <c r="AL85" s="1251">
        <f>IFERROR(Z85/AJ85*100,0)</f>
        <v/>
      </c>
    </row>
    <row r="86" ht="14.85" customFormat="1" customHeight="1" s="716">
      <c r="A86" s="716" t="n"/>
      <c r="B86" s="716" t="n"/>
      <c r="C86" s="716" t="n"/>
      <c r="D86" s="716" t="n"/>
      <c r="E86" s="716" t="n"/>
      <c r="F86" s="716" t="n"/>
      <c r="G86" s="716" t="n"/>
      <c r="H86" s="716" t="n"/>
      <c r="I86" s="716" t="n"/>
      <c r="J86" s="716" t="n"/>
      <c r="K86" s="716" t="n"/>
      <c r="L86" s="716" t="n"/>
      <c r="M86" s="716" t="n"/>
      <c r="N86" s="716" t="n"/>
      <c r="O86" s="716" t="n"/>
      <c r="P86" s="716" t="n"/>
      <c r="Q86" s="716" t="n"/>
      <c r="R86" s="716" t="n"/>
      <c r="S86" s="462">
        <f>IF(_epmOfflineCondition_,"  无形资产",EPMMemberDesc(U86))</f>
        <v/>
      </c>
      <c r="T86" s="716" t="n"/>
      <c r="U86" s="384" t="inlineStr">
        <is>
          <t>A001010220</t>
        </is>
      </c>
      <c r="V86" s="459">
        <f>IF(_epmOfflineCondition_,"A001010220",EPMOlapMemberO(U86,"[C_ACCOUNT].[PARENTH1].[A001010220]","A001010220 -   无形资产","","000"))</f>
        <v/>
      </c>
      <c r="W86" s="462" t="n"/>
      <c r="X86" s="705" t="inlineStr">
        <is>
          <t xml:space="preserve">    无形资产</t>
        </is>
      </c>
      <c r="Y86" s="1185" t="inlineStr"/>
      <c r="Z86" s="1249" t="inlineStr"/>
      <c r="AA86" s="1250" t="inlineStr"/>
      <c r="AB86" s="1249">
        <f>Z86-AA86</f>
        <v/>
      </c>
      <c r="AC86" s="1249">
        <f>IF(AA86=0,0,(Z86-AA86)/AA86*100)</f>
        <v/>
      </c>
      <c r="AD86" s="1249" t="inlineStr"/>
      <c r="AE86" s="1249">
        <f>Z86-AD86</f>
        <v/>
      </c>
      <c r="AF86" s="1249">
        <f>IF(AD86=0,0,(Z86-AD86)/AD86*100)</f>
        <v/>
      </c>
      <c r="AG86" s="1249" t="inlineStr"/>
      <c r="AH86" s="1249">
        <f>Z86-AG86</f>
        <v/>
      </c>
      <c r="AI86" s="1249">
        <f>IF(AG86=0,0,(Z86-AG86)/AG86*100)</f>
        <v/>
      </c>
      <c r="AJ86" s="1251" t="n"/>
      <c r="AK86" s="1251">
        <f>Z86-AJ86</f>
        <v/>
      </c>
      <c r="AL86" s="1251">
        <f>IFERROR(Z86/AJ86*100,0)</f>
        <v/>
      </c>
    </row>
    <row r="87" ht="14.85" customFormat="1" customHeight="1" s="716">
      <c r="A87" s="716" t="n"/>
      <c r="B87" s="716" t="n"/>
      <c r="C87" s="716" t="n"/>
      <c r="D87" s="716" t="n"/>
      <c r="E87" s="716" t="n"/>
      <c r="F87" s="716" t="n"/>
      <c r="G87" s="716" t="n"/>
      <c r="H87" s="716" t="n"/>
      <c r="I87" s="716" t="n"/>
      <c r="J87" s="716" t="n"/>
      <c r="K87" s="716" t="n"/>
      <c r="L87" s="716" t="n"/>
      <c r="M87" s="716" t="n"/>
      <c r="N87" s="716" t="n"/>
      <c r="O87" s="716" t="n"/>
      <c r="P87" s="716" t="n"/>
      <c r="Q87" s="716" t="n"/>
      <c r="R87" s="716" t="n"/>
      <c r="S87" s="462">
        <f>IF(_epmOfflineCondition_,"  开发支出",EPMMemberDesc(U87))</f>
        <v/>
      </c>
      <c r="T87" s="716" t="n"/>
      <c r="U87" s="384" t="inlineStr">
        <is>
          <t>A001010221</t>
        </is>
      </c>
      <c r="V87" s="459">
        <f>IF(_epmOfflineCondition_,"A001010221",EPMOlapMemberO(U87,"[C_ACCOUNT].[PARENTH1].[A001010221]","A001010221 -   开发支出","","000"))</f>
        <v/>
      </c>
      <c r="W87" s="462" t="n"/>
      <c r="X87" s="705" t="inlineStr">
        <is>
          <t xml:space="preserve">    开发支出</t>
        </is>
      </c>
      <c r="Y87" s="1185" t="inlineStr"/>
      <c r="Z87" s="1249" t="n"/>
      <c r="AA87" s="1250" t="n"/>
      <c r="AB87" s="1249">
        <f>Z87-AA87</f>
        <v/>
      </c>
      <c r="AC87" s="1249">
        <f>IF(AA87=0,0,(Z87-AA87)/AA87*100)</f>
        <v/>
      </c>
      <c r="AD87" s="1249" t="n"/>
      <c r="AE87" s="1249">
        <f>Z87-AD87</f>
        <v/>
      </c>
      <c r="AF87" s="1249">
        <f>IF(AD87=0,0,(Z87-AD87)/AD87*100)</f>
        <v/>
      </c>
      <c r="AG87" s="1249" t="n"/>
      <c r="AH87" s="1249">
        <f>Z87-AG87</f>
        <v/>
      </c>
      <c r="AI87" s="1249">
        <f>IF(AG87=0,0,(Z87-AG87)/AG87*100)</f>
        <v/>
      </c>
      <c r="AJ87" s="1251" t="n"/>
      <c r="AK87" s="1251">
        <f>Z87-AJ87</f>
        <v/>
      </c>
      <c r="AL87" s="1251">
        <f>IFERROR(Z87/AJ87*100,0)</f>
        <v/>
      </c>
    </row>
    <row r="88" ht="14.85" customFormat="1" customHeight="1" s="716">
      <c r="A88" s="716" t="n"/>
      <c r="B88" s="716" t="n"/>
      <c r="C88" s="716" t="n"/>
      <c r="D88" s="716" t="n"/>
      <c r="E88" s="716" t="n"/>
      <c r="F88" s="716" t="n"/>
      <c r="G88" s="716" t="n"/>
      <c r="H88" s="716" t="n"/>
      <c r="I88" s="716" t="n"/>
      <c r="J88" s="716" t="n"/>
      <c r="K88" s="716" t="n"/>
      <c r="L88" s="716" t="n"/>
      <c r="M88" s="716" t="n"/>
      <c r="N88" s="716" t="n"/>
      <c r="O88" s="716" t="n"/>
      <c r="P88" s="716" t="n"/>
      <c r="Q88" s="716" t="n"/>
      <c r="R88" s="716" t="n"/>
      <c r="S88" s="462">
        <f>IF(_epmOfflineCondition_,"  商誉",EPMMemberDesc(U88))</f>
        <v/>
      </c>
      <c r="T88" s="716" t="n"/>
      <c r="U88" s="384" t="inlineStr">
        <is>
          <t>A001010222</t>
        </is>
      </c>
      <c r="V88" s="459">
        <f>IF(_epmOfflineCondition_,"A001010222",EPMOlapMemberO(U88,"[C_ACCOUNT].[PARENTH1].[A001010222]","A001010222 -   商誉","","000"))</f>
        <v/>
      </c>
      <c r="W88" s="462" t="n"/>
      <c r="X88" s="705" t="inlineStr">
        <is>
          <t xml:space="preserve">    商誉</t>
        </is>
      </c>
      <c r="Y88" s="1185" t="inlineStr"/>
      <c r="Z88" s="1249" t="n"/>
      <c r="AA88" s="1250" t="n"/>
      <c r="AB88" s="1249">
        <f>Z88-AA88</f>
        <v/>
      </c>
      <c r="AC88" s="1249">
        <f>IF(AA88=0,0,(Z88-AA88)/AA88*100)</f>
        <v/>
      </c>
      <c r="AD88" s="1249" t="n"/>
      <c r="AE88" s="1249">
        <f>Z88-AD88</f>
        <v/>
      </c>
      <c r="AF88" s="1249">
        <f>IF(AD88=0,0,(Z88-AD88)/AD88*100)</f>
        <v/>
      </c>
      <c r="AG88" s="1249" t="n"/>
      <c r="AH88" s="1249">
        <f>Z88-AG88</f>
        <v/>
      </c>
      <c r="AI88" s="1249">
        <f>IF(AG88=0,0,(Z88-AG88)/AG88*100)</f>
        <v/>
      </c>
      <c r="AJ88" s="1251" t="n"/>
      <c r="AK88" s="1251">
        <f>Z88-AJ88</f>
        <v/>
      </c>
      <c r="AL88" s="1251">
        <f>IFERROR(Z88/AJ88*100,0)</f>
        <v/>
      </c>
    </row>
    <row r="89" ht="14.85" customFormat="1" customHeight="1" s="716">
      <c r="A89" s="716" t="n"/>
      <c r="B89" s="716" t="n"/>
      <c r="C89" s="716" t="n"/>
      <c r="D89" s="716" t="n"/>
      <c r="E89" s="716" t="n"/>
      <c r="F89" s="716" t="n"/>
      <c r="G89" s="716" t="n"/>
      <c r="H89" s="716" t="n"/>
      <c r="I89" s="716" t="n"/>
      <c r="J89" s="716" t="n"/>
      <c r="K89" s="716" t="n"/>
      <c r="L89" s="716" t="n"/>
      <c r="M89" s="716" t="n"/>
      <c r="N89" s="716" t="n"/>
      <c r="O89" s="716" t="n"/>
      <c r="P89" s="716" t="n"/>
      <c r="Q89" s="716" t="n"/>
      <c r="R89" s="716" t="n"/>
      <c r="S89" s="462">
        <f>IF(_epmOfflineCondition_,"  长期待摊费用",EPMMemberDesc(U89))</f>
        <v/>
      </c>
      <c r="T89" s="716" t="n"/>
      <c r="U89" s="384" t="inlineStr">
        <is>
          <t>A001010223</t>
        </is>
      </c>
      <c r="V89" s="459">
        <f>IF(_epmOfflineCondition_,"A001010223",EPMOlapMemberO(U89,"[C_ACCOUNT].[PARENTH1].[A001010223]","A001010223 -   长期待摊费用","","000"))</f>
        <v/>
      </c>
      <c r="W89" s="462" t="n"/>
      <c r="X89" s="705" t="inlineStr">
        <is>
          <t xml:space="preserve">    长期待摊费用</t>
        </is>
      </c>
      <c r="Y89" s="1185" t="inlineStr"/>
      <c r="Z89" s="1249" t="n"/>
      <c r="AA89" s="1250" t="n"/>
      <c r="AB89" s="1249">
        <f>Z89-AA89</f>
        <v/>
      </c>
      <c r="AC89" s="1249">
        <f>IF(AA89=0,0,(Z89-AA89)/AA89*100)</f>
        <v/>
      </c>
      <c r="AD89" s="1249" t="n"/>
      <c r="AE89" s="1249">
        <f>Z89-AD89</f>
        <v/>
      </c>
      <c r="AF89" s="1249">
        <f>IF(AD89=0,0,(Z89-AD89)/AD89*100)</f>
        <v/>
      </c>
      <c r="AG89" s="1249" t="n"/>
      <c r="AH89" s="1249">
        <f>Z89-AG89</f>
        <v/>
      </c>
      <c r="AI89" s="1249">
        <f>IF(AG89=0,0,(Z89-AG89)/AG89*100)</f>
        <v/>
      </c>
      <c r="AJ89" s="1251" t="n"/>
      <c r="AK89" s="1251">
        <f>Z89-AJ89</f>
        <v/>
      </c>
      <c r="AL89" s="1251">
        <f>IFERROR(Z89/AJ89*100,0)</f>
        <v/>
      </c>
    </row>
    <row r="90">
      <c r="A90" s="384" t="n"/>
      <c r="B90" s="384" t="n"/>
      <c r="C90" s="384" t="n"/>
      <c r="D90" s="384" t="n"/>
      <c r="E90" s="384" t="n"/>
      <c r="F90" s="384" t="n"/>
      <c r="G90" s="384" t="n"/>
      <c r="H90" s="384" t="n"/>
      <c r="I90" s="384" t="n"/>
      <c r="J90" s="384" t="n"/>
      <c r="K90" s="384" t="n"/>
      <c r="L90" s="384" t="n"/>
      <c r="M90" s="384" t="n"/>
      <c r="N90" s="384" t="n"/>
      <c r="O90" s="384" t="n"/>
      <c r="P90" s="384" t="n"/>
      <c r="Q90" s="384" t="n"/>
      <c r="R90" s="384" t="n"/>
      <c r="S90" s="462">
        <f>IF(_epmOfflineCondition_,"  递延所得税资产",EPMMemberDesc(U90))</f>
        <v/>
      </c>
      <c r="T90" s="384" t="n"/>
      <c r="U90" s="384" t="inlineStr">
        <is>
          <t>A001010224</t>
        </is>
      </c>
      <c r="V90" s="459">
        <f>IF(_epmOfflineCondition_,"A001010224",EPMOlapMemberO(U90,"[C_ACCOUNT].[PARENTH1].[A001010224]","A001010224 -   递延所得税资产","","000"))</f>
        <v/>
      </c>
      <c r="W90" s="384" t="n"/>
      <c r="X90" s="705" t="inlineStr">
        <is>
          <t xml:space="preserve">    递延所得税资产</t>
        </is>
      </c>
      <c r="Y90" s="1185" t="inlineStr"/>
      <c r="Z90" s="1249" t="n"/>
      <c r="AA90" s="1250" t="n"/>
      <c r="AB90" s="1249">
        <f>Z90-AA90</f>
        <v/>
      </c>
      <c r="AC90" s="1249">
        <f>IF(AA90=0,0,(Z90-AA90)/AA90*100)</f>
        <v/>
      </c>
      <c r="AD90" s="1249" t="n"/>
      <c r="AE90" s="1249">
        <f>Z90-AD90</f>
        <v/>
      </c>
      <c r="AF90" s="1249">
        <f>IF(AD90=0,0,(Z90-AD90)/AD90*100)</f>
        <v/>
      </c>
      <c r="AG90" s="1249" t="n"/>
      <c r="AH90" s="1249">
        <f>Z90-AG90</f>
        <v/>
      </c>
      <c r="AI90" s="1249">
        <f>IF(AG90=0,0,(Z90-AG90)/AG90*100)</f>
        <v/>
      </c>
      <c r="AJ90" s="1252" t="n"/>
      <c r="AK90" s="1251">
        <f>Z90-AJ90</f>
        <v/>
      </c>
      <c r="AL90" s="1251">
        <f>IFERROR(Z90/AJ90*100,0)</f>
        <v/>
      </c>
    </row>
    <row r="91">
      <c r="A91" s="384" t="n"/>
      <c r="B91" s="384" t="n"/>
      <c r="C91" s="384" t="n"/>
      <c r="D91" s="384" t="n"/>
      <c r="E91" s="384" t="n"/>
      <c r="F91" s="384" t="n"/>
      <c r="G91" s="384" t="n"/>
      <c r="H91" s="384" t="n"/>
      <c r="I91" s="384" t="n"/>
      <c r="J91" s="384" t="n"/>
      <c r="K91" s="384" t="n"/>
      <c r="L91" s="384" t="n"/>
      <c r="M91" s="384" t="n"/>
      <c r="N91" s="384" t="n"/>
      <c r="O91" s="384" t="n"/>
      <c r="P91" s="384" t="n"/>
      <c r="Q91" s="384" t="n"/>
      <c r="R91" s="384" t="n"/>
      <c r="S91" s="462">
        <f>IF(_epmOfflineCondition_,"  其他非流动资产",EPMMemberDesc(U91))</f>
        <v/>
      </c>
      <c r="T91" s="384" t="n"/>
      <c r="U91" s="384" t="inlineStr">
        <is>
          <t>A001010225</t>
        </is>
      </c>
      <c r="V91" s="459">
        <f>IF(_epmOfflineCondition_,"A001010225",EPMOlapMemberO(U91,"[C_ACCOUNT].[PARENTH1].[A001010225]","A001010225 -   其他非流动资产","","000"))</f>
        <v/>
      </c>
      <c r="W91" s="384" t="n"/>
      <c r="X91" s="705" t="inlineStr">
        <is>
          <t xml:space="preserve">    其他非流动资产</t>
        </is>
      </c>
      <c r="Y91" s="1185" t="inlineStr"/>
      <c r="Z91" s="1249" t="inlineStr"/>
      <c r="AA91" s="1250" t="inlineStr"/>
      <c r="AB91" s="1249">
        <f>Z91-AA91</f>
        <v/>
      </c>
      <c r="AC91" s="1249">
        <f>IF(AA91=0,0,(Z91-AA91)/AA91*100)</f>
        <v/>
      </c>
      <c r="AD91" s="1249" t="inlineStr"/>
      <c r="AE91" s="1249">
        <f>Z91-AD91</f>
        <v/>
      </c>
      <c r="AF91" s="1249">
        <f>IF(AD91=0,0,(Z91-AD91)/AD91*100)</f>
        <v/>
      </c>
      <c r="AG91" s="1249" t="inlineStr"/>
      <c r="AH91" s="1249">
        <f>Z91-AG91</f>
        <v/>
      </c>
      <c r="AI91" s="1249">
        <f>IF(AG91=0,0,(Z91-AG91)/AG91*100)</f>
        <v/>
      </c>
      <c r="AJ91" s="1252" t="n"/>
      <c r="AK91" s="1251">
        <f>Z91-AJ91</f>
        <v/>
      </c>
      <c r="AL91" s="1251">
        <f>IFERROR(Z91/AJ91*100,0)</f>
        <v/>
      </c>
    </row>
    <row r="92">
      <c r="A92" s="384" t="n"/>
      <c r="B92" s="384" t="n"/>
      <c r="C92" s="384" t="n"/>
      <c r="D92" s="384" t="n"/>
      <c r="E92" s="384" t="n"/>
      <c r="F92" s="384" t="n"/>
      <c r="G92" s="384" t="n"/>
      <c r="H92" s="384" t="n"/>
      <c r="I92" s="384" t="n"/>
      <c r="J92" s="384" t="n"/>
      <c r="K92" s="384" t="n"/>
      <c r="L92" s="384" t="n"/>
      <c r="M92" s="384" t="n"/>
      <c r="N92" s="384" t="n"/>
      <c r="O92" s="384" t="n"/>
      <c r="P92" s="384" t="n"/>
      <c r="Q92" s="384" t="n"/>
      <c r="R92" s="384" t="n"/>
      <c r="S92" s="462">
        <f>IF(_epmOfflineCondition_,"　       非流动资产合计",EPMMemberDesc(U92))</f>
        <v/>
      </c>
      <c r="T92" s="384" t="n"/>
      <c r="U92" s="384" t="inlineStr">
        <is>
          <t>A0010102</t>
        </is>
      </c>
      <c r="V92" s="535">
        <f>IF(_epmOfflineCondition_,"A0010102",EPMOlapMemberO(U92,"[C_ACCOUNT].[PARENTH1].[A0010102]","A0010102 - 　       非流动资产合计","","000"))</f>
        <v/>
      </c>
      <c r="W92" s="384" t="n"/>
      <c r="X92" s="852" t="inlineStr">
        <is>
          <t xml:space="preserve">　       非流动资产合计</t>
        </is>
      </c>
      <c r="Y92" s="1185" t="inlineStr"/>
      <c r="Z92" s="1249" t="inlineStr"/>
      <c r="AA92" s="1250" t="inlineStr"/>
      <c r="AB92" s="1249">
        <f>Z92-AA92</f>
        <v/>
      </c>
      <c r="AC92" s="1249">
        <f>IF(AA92=0,0,(Z92-AA92)/AA92*100)</f>
        <v/>
      </c>
      <c r="AD92" s="1249" t="inlineStr"/>
      <c r="AE92" s="1249">
        <f>Z92-AD92</f>
        <v/>
      </c>
      <c r="AF92" s="1249">
        <f>IF(AD92=0,0,(Z92-AD92)/AD92*100)</f>
        <v/>
      </c>
      <c r="AG92" s="1249" t="inlineStr"/>
      <c r="AH92" s="1249">
        <f>Z92-AG92</f>
        <v/>
      </c>
      <c r="AI92" s="1249">
        <f>IF(AG92=0,0,(Z92-AG92)/AG92*100)</f>
        <v/>
      </c>
      <c r="AJ92" s="1252" t="n"/>
      <c r="AK92" s="1251">
        <f>Z92-AJ92</f>
        <v/>
      </c>
      <c r="AL92" s="1251">
        <f>IFERROR(Z92/AJ92*100,0)</f>
        <v/>
      </c>
    </row>
    <row r="93">
      <c r="A93" s="384" t="n"/>
      <c r="B93" s="384" t="n"/>
      <c r="C93" s="384" t="n"/>
      <c r="D93" s="384" t="n"/>
      <c r="E93" s="384" t="n"/>
      <c r="F93" s="384" t="n"/>
      <c r="G93" s="384" t="n"/>
      <c r="H93" s="384" t="n"/>
      <c r="I93" s="384" t="n"/>
      <c r="J93" s="384" t="n"/>
      <c r="K93" s="384" t="n"/>
      <c r="L93" s="384" t="n"/>
      <c r="M93" s="384" t="n"/>
      <c r="N93" s="384" t="n"/>
      <c r="O93" s="384" t="n"/>
      <c r="P93" s="384" t="n"/>
      <c r="Q93" s="384" t="n"/>
      <c r="R93" s="384" t="n"/>
      <c r="S93" s="462">
        <f>IF(_epmOfflineCondition_,"　        资产总计",EPMMemberDesc(U93))</f>
        <v/>
      </c>
      <c r="T93" s="384" t="n"/>
      <c r="U93" s="384" t="inlineStr">
        <is>
          <t>A00101</t>
        </is>
      </c>
      <c r="V93" s="455">
        <f>IF(_epmOfflineCondition_,"A00101",EPMOlapMemberO(U93,"[C_ACCOUNT].[PARENTH1].[A00101]","A00101 - 　        资产总计","","000"))</f>
        <v/>
      </c>
      <c r="W93" s="384" t="n"/>
      <c r="X93" s="852" t="inlineStr">
        <is>
          <t>资    产    总    计</t>
        </is>
      </c>
      <c r="Y93" s="1185" t="inlineStr"/>
      <c r="Z93" s="1249" t="inlineStr"/>
      <c r="AA93" s="1250" t="inlineStr"/>
      <c r="AB93" s="1249">
        <f>Z93-AA93</f>
        <v/>
      </c>
      <c r="AC93" s="1249">
        <f>IF(AA93=0,0,(Z93-AA93)/AA93*100)</f>
        <v/>
      </c>
      <c r="AD93" s="1249" t="inlineStr"/>
      <c r="AE93" s="1249">
        <f>Z93-AD93</f>
        <v/>
      </c>
      <c r="AF93" s="1249">
        <f>IF(AD93=0,0,(Z93-AD93)/AD93*100)</f>
        <v/>
      </c>
      <c r="AG93" s="1249" t="inlineStr"/>
      <c r="AH93" s="1249">
        <f>Z93-AG93</f>
        <v/>
      </c>
      <c r="AI93" s="1249">
        <f>IF(AG93=0,0,(Z93-AG93)/AG93*100)</f>
        <v/>
      </c>
      <c r="AJ93" s="1252" t="n"/>
      <c r="AK93" s="1251">
        <f>Z93-AJ93</f>
        <v/>
      </c>
      <c r="AL93" s="1251">
        <f>IFERROR(Z93/AJ93*100,0)</f>
        <v/>
      </c>
    </row>
    <row r="94">
      <c r="A94" s="384" t="n"/>
      <c r="B94" s="384" t="n"/>
      <c r="C94" s="384" t="n"/>
      <c r="D94" s="384" t="n"/>
      <c r="E94" s="384" t="n"/>
      <c r="F94" s="384" t="n"/>
      <c r="G94" s="384" t="n"/>
      <c r="H94" s="384" t="n"/>
      <c r="I94" s="384" t="n"/>
      <c r="J94" s="384" t="n"/>
      <c r="K94" s="384" t="n"/>
      <c r="L94" s="384" t="n"/>
      <c r="M94" s="384" t="n"/>
      <c r="N94" s="384" t="n"/>
      <c r="O94" s="384" t="n"/>
      <c r="P94" s="384" t="n"/>
      <c r="Q94" s="384" t="n"/>
      <c r="R94" s="384" t="n"/>
      <c r="S94" s="32" t="n"/>
      <c r="T94" s="384" t="n"/>
      <c r="U94" s="384" t="n"/>
      <c r="V94" s="384" t="n"/>
      <c r="W94" s="384" t="n"/>
      <c r="X94" s="38" t="inlineStr">
        <is>
          <t>注：表中带*科目为合并会计报表专用；带△科目为金融类企业专用；带#科目为外商投资企业专用</t>
        </is>
      </c>
      <c r="Y94" s="706" t="n"/>
      <c r="Z94" s="1237" t="n"/>
      <c r="AA94" s="1237" t="n"/>
      <c r="AB94" s="1237" t="n"/>
      <c r="AC94" s="1237" t="n"/>
      <c r="AD94" s="1237" t="n"/>
      <c r="AE94" s="1237" t="n"/>
      <c r="AF94" s="1237" t="n"/>
      <c r="AG94" s="1237" t="n"/>
      <c r="AH94" s="1237" t="n"/>
      <c r="AI94" s="1237" t="n"/>
      <c r="AJ94" s="1237" t="n"/>
      <c r="AK94" s="1237" t="n"/>
      <c r="AL94" s="1237" t="n"/>
    </row>
  </sheetData>
  <sheetProtection selectLockedCells="0" selectUnlockedCells="0" algorithmName="SHA-512" sheet="1" objects="0" insertRows="1" insertHyperlinks="1" autoFilter="1" scenarios="1" formatColumns="1" deleteColumns="1" insertColumns="1" pivotTables="1" deleteRows="1" formatCells="1" saltValue="0UxJPzJ7ZI+j5awhu8SAiQ==" formatRows="1" sort="1" spinCount="100000" hashValue="0Ms/qINgSl4adyRGHIjWHjXU2yFCTdejKGsxtJUg4SHJOE5lKwii/taD7Ur3uMLXFkfk2ZgOMIxsG7SMk2YEHw=="/>
  <mergeCells count="9">
    <mergeCell ref="H2:J2"/>
    <mergeCell ref="D16:E16"/>
    <mergeCell ref="AA38:AC38"/>
    <mergeCell ref="AD38:AF38"/>
    <mergeCell ref="AG38:AI38"/>
    <mergeCell ref="AJ38:AL38"/>
    <mergeCell ref="X38:X39"/>
    <mergeCell ref="Y38:Y39"/>
    <mergeCell ref="Z38:Z39"/>
  </mergeCells>
  <dataValidations count="1">
    <dataValidation sqref="Z37" showErrorMessage="1" showInputMessage="1" allowBlank="1" type="list">
      <formula1>"LC,CNY"</formula1>
    </dataValidation>
  </dataValidations>
  <pageMargins left="0.7" right="0.7" top="0.75" bottom="0.75" header="0.3" footer="0.3"/>
  <pageSetup orientation="portrait" paperSize="9"/>
  <drawing xmlns:r="http://schemas.openxmlformats.org/officeDocument/2006/relationships" r:id="rId1"/>
</worksheet>
</file>

<file path=xl/worksheets/sheet7.xml><?xml version="1.0" encoding="utf-8"?>
<worksheet xmlns="http://schemas.openxmlformats.org/spreadsheetml/2006/main">
  <sheetPr codeName="Sheet32">
    <outlinePr summaryBelow="1" summaryRight="1"/>
    <pageSetUpPr/>
  </sheetPr>
  <dimension ref="A1:AL108"/>
  <sheetViews>
    <sheetView topLeftCell="W35" zoomScale="85" zoomScaleNormal="85" workbookViewId="0">
      <pane xSplit="3" ySplit="12" topLeftCell="AE53" activePane="bottomRight" state="frozen"/>
      <selection activeCell="A1" sqref="A1"/>
      <selection pane="topRight" activeCell="A1" sqref="A1"/>
      <selection pane="bottomLeft" activeCell="A1" sqref="A1"/>
      <selection pane="bottomRight" activeCell="AA38" sqref="AA38"/>
    </sheetView>
  </sheetViews>
  <sheetFormatPr baseColWidth="8" defaultColWidth="9" defaultRowHeight="16.8"/>
  <cols>
    <col hidden="1" width="8.25" customWidth="1" style="1181" min="1" max="1"/>
    <col hidden="1" width="15.75" customWidth="1" style="1181" min="2" max="2"/>
    <col hidden="1" width="12" customWidth="1" style="1181" min="3" max="3"/>
    <col hidden="1" width="19.75" customWidth="1" style="1181" min="4" max="4"/>
    <col hidden="1" width="7.375" customWidth="1" style="1181" min="5" max="5"/>
    <col hidden="1" width="7.75" customWidth="1" style="1181" min="6" max="7"/>
    <col hidden="1" width="8.375" customWidth="1" style="1181" min="8" max="8"/>
    <col hidden="1" width="7.75" customWidth="1" style="1181" min="9" max="9"/>
    <col hidden="1" width="11.125" customWidth="1" style="1181" min="10" max="10"/>
    <col hidden="1" width="7.75" customWidth="1" style="1181" min="11" max="18"/>
    <col hidden="1" width="31" customWidth="1" style="32" min="19" max="19"/>
    <col hidden="1" width="2.375" customWidth="1" style="1181" min="20" max="20"/>
    <col hidden="1" width="12.75" customWidth="1" style="1181" min="21" max="21"/>
    <col hidden="1" width="24.375" customWidth="1" style="1181" min="22" max="22"/>
    <col width="1.375" customWidth="1" style="1181" min="23" max="23"/>
    <col width="27.375" customWidth="1" style="38" min="24" max="24"/>
    <col width="5.375" customWidth="1" style="706" min="25" max="25"/>
    <col width="20.75" customWidth="1" style="1237" min="26" max="28"/>
    <col width="10.375" customWidth="1" style="1237" min="29" max="29"/>
    <col width="20.75" customWidth="1" style="1237" min="30" max="31"/>
    <col width="10.375" customWidth="1" style="1237" min="32" max="32"/>
    <col width="20.75" customWidth="1" style="1237" min="33" max="34"/>
    <col width="10.375" customWidth="1" style="1237" min="35" max="35"/>
    <col width="20.75" customWidth="1" style="1237" min="36" max="37"/>
    <col width="10.75" customWidth="1" style="1181" min="38" max="38"/>
  </cols>
  <sheetData>
    <row r="1" hidden="1" customFormat="1" s="13">
      <c r="A1" s="172" t="inlineStr">
        <is>
          <t>维度清单</t>
        </is>
      </c>
      <c r="B1" s="462" t="n"/>
      <c r="C1" s="173" t="n"/>
      <c r="D1" s="173" t="n"/>
      <c r="E1" s="716" t="n"/>
      <c r="F1" s="13" t="n"/>
      <c r="G1" s="13" t="n"/>
      <c r="H1" s="13" t="n"/>
      <c r="I1" s="13" t="n"/>
      <c r="J1" s="13" t="n"/>
      <c r="K1" s="13" t="n"/>
      <c r="L1" s="13" t="n"/>
      <c r="M1" s="13" t="n"/>
      <c r="N1" s="13" t="n"/>
      <c r="O1" s="13" t="n"/>
      <c r="P1" s="13" t="n"/>
      <c r="Q1" s="13" t="n"/>
      <c r="R1" s="13" t="n"/>
      <c r="S1" s="1103" t="n"/>
      <c r="T1" s="13" t="n"/>
      <c r="U1" s="13" t="n"/>
      <c r="V1" s="13" t="n"/>
      <c r="W1" s="13" t="n"/>
      <c r="X1" s="171" t="n"/>
      <c r="Y1" s="601" t="n"/>
      <c r="Z1" s="1238" t="n"/>
      <c r="AA1" s="1238" t="n"/>
      <c r="AB1" s="1238" t="n"/>
      <c r="AC1" s="1238" t="n"/>
      <c r="AD1" s="1238" t="n"/>
      <c r="AE1" s="1238" t="n"/>
      <c r="AF1" s="1238" t="n"/>
      <c r="AG1" s="1238" t="n"/>
      <c r="AH1" s="1238" t="n"/>
      <c r="AI1" s="1238" t="n"/>
      <c r="AJ1" s="1238" t="n"/>
      <c r="AK1" s="1238" t="n"/>
      <c r="AL1" s="13" t="n"/>
    </row>
    <row r="2" hidden="1" customFormat="1" s="13">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103" t="n"/>
      <c r="T2" s="13" t="n"/>
      <c r="U2" s="13" t="n"/>
      <c r="V2" s="13" t="n"/>
      <c r="W2" s="13" t="n"/>
      <c r="X2" s="171" t="n"/>
      <c r="Y2" s="601" t="n"/>
      <c r="Z2" s="1238" t="n"/>
      <c r="AA2" s="1238" t="n"/>
      <c r="AB2" s="1238" t="n"/>
      <c r="AC2" s="1238" t="n"/>
      <c r="AD2" s="1238" t="n"/>
      <c r="AE2" s="1238" t="n"/>
      <c r="AF2" s="1238" t="n"/>
      <c r="AG2" s="1238" t="n"/>
      <c r="AH2" s="1238" t="n"/>
      <c r="AI2" s="1238" t="n"/>
      <c r="AJ2" s="1238" t="n"/>
      <c r="AK2" s="1238" t="n"/>
      <c r="AL2" s="13" t="n"/>
    </row>
    <row r="3" hidden="1" customFormat="1" s="13">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103" t="n"/>
      <c r="T3" s="13" t="n"/>
      <c r="U3" s="13" t="n"/>
      <c r="V3" s="13" t="n"/>
      <c r="W3" s="13" t="n"/>
      <c r="X3" s="171" t="n"/>
      <c r="Y3" s="601" t="n"/>
      <c r="Z3" s="1238" t="n"/>
      <c r="AA3" s="1238" t="n"/>
      <c r="AB3" s="1238" t="n"/>
      <c r="AC3" s="1238" t="n"/>
      <c r="AD3" s="1238" t="n"/>
      <c r="AE3" s="1238" t="n"/>
      <c r="AF3" s="1238" t="n"/>
      <c r="AG3" s="1238" t="n"/>
      <c r="AH3" s="1238" t="n"/>
      <c r="AI3" s="1238" t="n"/>
      <c r="AJ3" s="1238" t="n"/>
      <c r="AK3" s="1238" t="n"/>
      <c r="AL3" s="13" t="n"/>
    </row>
    <row r="4" hidden="1" customFormat="1" s="13">
      <c r="A4" s="175" t="inlineStr">
        <is>
          <t>C</t>
        </is>
      </c>
      <c r="B4" s="176">
        <f>IF(_epmOfflineCondition_,"C_CATEGORY",EPMDimensionType(,A4))</f>
        <v/>
      </c>
      <c r="C4" s="176">
        <f>IF(_epmOfflineCondition_,"C1001",IF(B4="","",EPMContextMember(,B4)))</f>
        <v/>
      </c>
      <c r="D4" s="176">
        <f>IF(_epmOfflineCondition_,"实际数/决算数",EPMMemberDesc(C4))</f>
        <v/>
      </c>
      <c r="E4" s="176" t="n"/>
      <c r="F4" s="13" t="n"/>
      <c r="G4" s="13" t="n"/>
      <c r="H4" s="184" t="inlineStr">
        <is>
          <t>预算年</t>
        </is>
      </c>
      <c r="I4" s="184">
        <f>"V_"&amp;$I$3</f>
        <v/>
      </c>
      <c r="J4" s="184">
        <f>$I$3&amp;".TOTAL"</f>
        <v/>
      </c>
      <c r="K4" s="13" t="n"/>
      <c r="L4" s="13" t="n"/>
      <c r="M4" s="13" t="n"/>
      <c r="N4" s="13" t="n"/>
      <c r="O4" s="13" t="n"/>
      <c r="P4" s="13" t="n"/>
      <c r="Q4" s="13" t="n"/>
      <c r="R4" s="13" t="n"/>
      <c r="S4" s="1103" t="n"/>
      <c r="T4" s="13" t="n"/>
      <c r="U4" s="13" t="n"/>
      <c r="V4" s="13" t="n"/>
      <c r="W4" s="13" t="n"/>
      <c r="X4" s="171" t="n"/>
      <c r="Y4" s="601" t="n"/>
      <c r="Z4" s="1238" t="n"/>
      <c r="AA4" s="1238" t="n"/>
      <c r="AB4" s="1238" t="n"/>
      <c r="AC4" s="1238" t="n"/>
      <c r="AD4" s="1238" t="n"/>
      <c r="AE4" s="1238" t="n"/>
      <c r="AF4" s="1238" t="n"/>
      <c r="AG4" s="1238" t="n"/>
      <c r="AH4" s="1238" t="n"/>
      <c r="AI4" s="1238" t="n"/>
      <c r="AJ4" s="1238" t="n"/>
      <c r="AK4" s="1238" t="n"/>
      <c r="AL4" s="13" t="n"/>
    </row>
    <row r="5" hidden="1" customFormat="1" s="13">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13" t="n"/>
      <c r="V5" s="13" t="n"/>
      <c r="W5" s="13" t="n"/>
      <c r="X5" s="171" t="n"/>
      <c r="Y5" s="601" t="n"/>
      <c r="Z5" s="1238" t="n"/>
      <c r="AA5" s="1238" t="n"/>
      <c r="AB5" s="1238" t="n"/>
      <c r="AC5" s="1238" t="n"/>
      <c r="AD5" s="1238" t="n"/>
      <c r="AE5" s="1238" t="n"/>
      <c r="AF5" s="1238" t="n"/>
      <c r="AG5" s="1238" t="n"/>
      <c r="AH5" s="1238" t="n"/>
      <c r="AI5" s="1238" t="n"/>
      <c r="AJ5" s="1238" t="n"/>
      <c r="AK5" s="1238" t="n"/>
      <c r="AL5" s="13" t="n"/>
    </row>
    <row r="6" hidden="1" customFormat="1" s="13">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103" t="n"/>
      <c r="T6" s="13" t="n"/>
      <c r="U6" s="13" t="n"/>
      <c r="V6" s="13" t="n"/>
      <c r="W6" s="13" t="n"/>
      <c r="X6" s="171" t="n"/>
      <c r="Y6" s="601" t="n"/>
      <c r="Z6" s="1238" t="n"/>
      <c r="AA6" s="1238" t="n"/>
      <c r="AB6" s="1238" t="n"/>
      <c r="AC6" s="1238" t="n"/>
      <c r="AD6" s="1238" t="n"/>
      <c r="AE6" s="1238" t="n"/>
      <c r="AF6" s="1238" t="n"/>
      <c r="AG6" s="1238" t="n"/>
      <c r="AH6" s="1238" t="n"/>
      <c r="AI6" s="1238" t="n"/>
      <c r="AJ6" s="1238" t="n"/>
      <c r="AK6" s="1238" t="n"/>
      <c r="AL6" s="13" t="n"/>
    </row>
    <row r="7" hidden="1" customFormat="1" s="13">
      <c r="A7" s="175" t="inlineStr">
        <is>
          <t>R</t>
        </is>
      </c>
      <c r="B7" s="176">
        <f>IF(_epmOfflineCondition_,"C_RPTCURRENCY",EPMDimensionType(,A7))</f>
        <v/>
      </c>
      <c r="C7" s="176">
        <f>IF(_epmOfflineCondition_,"LC",IF(B7="","",EPMContextMember(,B7)))</f>
        <v/>
      </c>
      <c r="D7" s="176">
        <f>IF(_epmOfflineCondition_,"本位币",EPMMemberDesc(C7))</f>
        <v/>
      </c>
      <c r="E7" s="176" t="n"/>
      <c r="F7" s="13" t="n"/>
      <c r="G7" s="13" t="n"/>
      <c r="H7" s="13" t="n"/>
      <c r="I7" s="13" t="n"/>
      <c r="J7" s="13" t="n"/>
      <c r="K7" s="13" t="n"/>
      <c r="L7" s="13" t="n"/>
      <c r="M7" s="13" t="n"/>
      <c r="N7" s="13" t="n"/>
      <c r="O7" s="13" t="n"/>
      <c r="P7" s="13" t="n"/>
      <c r="Q7" s="13" t="n"/>
      <c r="R7" s="13" t="n"/>
      <c r="S7" s="1103" t="n"/>
      <c r="T7" s="13" t="n"/>
      <c r="U7" s="13" t="n"/>
      <c r="V7" s="13" t="n"/>
      <c r="W7" s="13" t="n"/>
      <c r="X7" s="171" t="n"/>
      <c r="Y7" s="601" t="n"/>
      <c r="Z7" s="1238" t="n"/>
      <c r="AA7" s="1238" t="n"/>
      <c r="AB7" s="1238" t="n"/>
      <c r="AC7" s="1238" t="n"/>
      <c r="AD7" s="1238" t="n"/>
      <c r="AE7" s="1238" t="n"/>
      <c r="AF7" s="1238" t="n"/>
      <c r="AG7" s="1238" t="n"/>
      <c r="AH7" s="1238" t="n"/>
      <c r="AI7" s="1238" t="n"/>
      <c r="AJ7" s="1238" t="n"/>
      <c r="AK7" s="1238" t="n"/>
      <c r="AL7" s="13" t="n"/>
    </row>
    <row r="8" hidden="1" customFormat="1" s="13">
      <c r="A8" s="175" t="inlineStr">
        <is>
          <t>D</t>
        </is>
      </c>
      <c r="B8" s="176">
        <f>IF(_epmOfflineCondition_,"C_AUDITTRAIL",EPMDimensionType(,A8))</f>
        <v/>
      </c>
      <c r="C8" s="176">
        <f>IF(_epmOfflineCondition_,"D1001",IF(B8="","",EPMContextMember(,B8)))</f>
        <v/>
      </c>
      <c r="D8" s="176">
        <f>IF(_epmOfflineCondition_,"从SAP系统抽取_正常期间",EPMMemberDesc(C8))</f>
        <v/>
      </c>
      <c r="E8" s="176" t="n"/>
      <c r="F8" s="13" t="n"/>
      <c r="G8" s="13" t="n"/>
      <c r="H8" s="184" t="inlineStr">
        <is>
          <t>本月</t>
        </is>
      </c>
      <c r="I8" s="184">
        <f>IF(_epmOfflineCondition_,"03",RIGHT("0"&amp;EPMMemberProperty(,EPMContextMember(,"C_TIME"),"MONTHNUM"),2))</f>
        <v/>
      </c>
      <c r="J8" s="13" t="n"/>
      <c r="K8" s="13" t="n"/>
      <c r="L8" s="13" t="n"/>
      <c r="M8" s="13" t="n"/>
      <c r="N8" s="13" t="n"/>
      <c r="O8" s="13" t="n"/>
      <c r="P8" s="13" t="n"/>
      <c r="Q8" s="13" t="n"/>
      <c r="R8" s="13" t="n"/>
      <c r="S8" s="1103" t="n"/>
      <c r="T8" s="13" t="n"/>
      <c r="U8" s="13" t="n"/>
      <c r="V8" s="13" t="n"/>
      <c r="W8" s="13" t="n"/>
      <c r="X8" s="171" t="n"/>
      <c r="Y8" s="601" t="n"/>
      <c r="Z8" s="1238" t="n"/>
      <c r="AA8" s="1238" t="n"/>
      <c r="AB8" s="1238" t="n"/>
      <c r="AC8" s="1238" t="n"/>
      <c r="AD8" s="1238" t="n"/>
      <c r="AE8" s="1238" t="n"/>
      <c r="AF8" s="1238" t="n"/>
      <c r="AG8" s="1238" t="n"/>
      <c r="AH8" s="1238" t="n"/>
      <c r="AI8" s="1238" t="n"/>
      <c r="AJ8" s="1238" t="n"/>
      <c r="AK8" s="1238" t="n"/>
      <c r="AL8" s="13" t="n"/>
    </row>
    <row r="9" hidden="1" customFormat="1" s="13">
      <c r="A9" s="175" t="inlineStr">
        <is>
          <t>S</t>
        </is>
      </c>
      <c r="B9" s="176">
        <f>IF(_epmOfflineCondition_,"C_FLOW",EPMDimensionType(,A9))</f>
        <v/>
      </c>
      <c r="C9" s="176">
        <f>IF(_epmOfflineCondition_,"F20",IF(B9="","",EPMContextMember(,B9)))</f>
        <v/>
      </c>
      <c r="D9" s="176">
        <f>IF(_epmOfflineCondition_,"本期增加",EPMMemberDesc(C9))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13" t="n"/>
      <c r="V9" s="13" t="n"/>
      <c r="W9" s="13" t="n"/>
      <c r="X9" s="171" t="n"/>
      <c r="Y9" s="601" t="n"/>
      <c r="Z9" s="1238" t="n"/>
      <c r="AA9" s="1238" t="n"/>
      <c r="AB9" s="1238" t="n"/>
      <c r="AC9" s="1238" t="n"/>
      <c r="AD9" s="1238" t="n"/>
      <c r="AE9" s="1238" t="n"/>
      <c r="AF9" s="1238" t="n"/>
      <c r="AG9" s="1238" t="n"/>
      <c r="AH9" s="1238" t="n"/>
      <c r="AI9" s="1238" t="n"/>
      <c r="AJ9" s="1238" t="n"/>
      <c r="AK9" s="1238" t="n"/>
      <c r="AL9" s="13" t="n"/>
    </row>
    <row r="10" hidden="1" customFormat="1" s="13">
      <c r="A10" s="175" t="inlineStr">
        <is>
          <t>I</t>
        </is>
      </c>
      <c r="B10" s="176">
        <f>IF(_epmOfflineCondition_,"C_INTERCO",EPMDimensionType(,A10))</f>
        <v/>
      </c>
      <c r="C10" s="176">
        <f>IF(_epmOfflineCondition_,"I_ALL",IF(B10="","",EPMContextMember(,B10)))</f>
        <v/>
      </c>
      <c r="D10" s="176">
        <f>IF(_epmOfflineCondition_,"全部贸易伙伴",EPMMemberDesc(C10))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13" t="n"/>
      <c r="V10" s="13" t="n"/>
      <c r="W10" s="13" t="n"/>
      <c r="X10" s="171" t="n"/>
      <c r="Y10" s="601" t="n"/>
      <c r="Z10" s="1238" t="n"/>
      <c r="AA10" s="1238" t="n"/>
      <c r="AB10" s="1238" t="n"/>
      <c r="AC10" s="1238" t="n"/>
      <c r="AD10" s="1238" t="n"/>
      <c r="AE10" s="1238" t="n"/>
      <c r="AF10" s="1238" t="n"/>
      <c r="AG10" s="1238" t="n"/>
      <c r="AH10" s="1238" t="n"/>
      <c r="AI10" s="1238" t="n"/>
      <c r="AJ10" s="1238" t="n"/>
      <c r="AK10" s="1238" t="n"/>
      <c r="AL10" s="13" t="n"/>
    </row>
    <row r="11" hidden="1" customFormat="1" s="13">
      <c r="A11" s="175" t="inlineStr">
        <is>
          <t>G</t>
        </is>
      </c>
      <c r="B11" s="176">
        <f>IF(_epmOfflineCondition_,"C_SCOPE",EPMDimensionType(,A11))</f>
        <v/>
      </c>
      <c r="C11" s="176">
        <f>IF(_epmOfflineCondition_,"G_DUMMY",IF(B11="","",EPMContextMember(,B11)))</f>
        <v/>
      </c>
      <c r="D11" s="176">
        <f>IF(_epmOfflineCondition_,"合并范围无关",EPMMemberDesc(C11))</f>
        <v/>
      </c>
      <c r="E11" s="176" t="n"/>
      <c r="F11" s="13" t="n"/>
      <c r="G11" s="13" t="n"/>
      <c r="H11" s="184" t="inlineStr">
        <is>
          <t xml:space="preserve">本年月 </t>
        </is>
      </c>
      <c r="I11" s="184">
        <f>I3&amp;"."&amp;I8</f>
        <v/>
      </c>
      <c r="J11" s="13" t="n"/>
      <c r="K11" s="13" t="n"/>
      <c r="L11" s="13" t="n"/>
      <c r="M11" s="13" t="n"/>
      <c r="N11" s="13" t="n"/>
      <c r="O11" s="13" t="n"/>
      <c r="P11" s="13" t="n"/>
      <c r="Q11" s="13" t="n"/>
      <c r="R11" s="13" t="n"/>
      <c r="S11" s="1103" t="n"/>
      <c r="T11" s="13" t="n"/>
      <c r="U11" s="13" t="n"/>
      <c r="V11" s="13" t="n"/>
      <c r="W11" s="13" t="n"/>
      <c r="X11" s="171" t="n"/>
      <c r="Y11" s="601" t="n"/>
      <c r="Z11" s="1238" t="n"/>
      <c r="AA11" s="1238" t="n"/>
      <c r="AB11" s="1238" t="n"/>
      <c r="AC11" s="1238" t="n"/>
      <c r="AD11" s="1238" t="n"/>
      <c r="AE11" s="1238" t="n"/>
      <c r="AF11" s="1238" t="n"/>
      <c r="AG11" s="1238" t="n"/>
      <c r="AH11" s="1238" t="n"/>
      <c r="AI11" s="1238" t="n"/>
      <c r="AJ11" s="1238" t="n"/>
      <c r="AK11" s="1238" t="n"/>
      <c r="AL11" s="13" t="n"/>
    </row>
    <row r="12" hidden="1" customFormat="1" s="13">
      <c r="A12" s="175" t="inlineStr">
        <is>
          <t>U8</t>
        </is>
      </c>
      <c r="B12" s="176">
        <f>IF(_epmOfflineCondition_,"C_PROJECT",EPMDimensionType(,A12))</f>
        <v/>
      </c>
      <c r="C12" s="176">
        <f>IF(_epmOfflineCondition_,"ZP_UNIT",IF(B12="","",EPMContextMember(,B12)))</f>
        <v/>
      </c>
      <c r="D12" s="176">
        <f>IF(_epmOfflineCondition_,"项目分类",EPMMemberDesc(C12))</f>
        <v/>
      </c>
      <c r="E12" s="176" t="n"/>
      <c r="F12" s="13" t="n"/>
      <c r="G12" s="13" t="n"/>
      <c r="H12" s="184" t="inlineStr">
        <is>
          <t>上年月</t>
        </is>
      </c>
      <c r="I12" s="184">
        <f>IF(I8="01",I10&amp;"."&amp;I9,I3&amp;"."&amp;I9)</f>
        <v/>
      </c>
      <c r="J12" s="13" t="n"/>
      <c r="K12" s="13" t="n"/>
      <c r="L12" s="13" t="n"/>
      <c r="M12" s="13" t="n"/>
      <c r="N12" s="13" t="n"/>
      <c r="O12" s="13" t="n"/>
      <c r="P12" s="13" t="n"/>
      <c r="Q12" s="13" t="n"/>
      <c r="R12" s="13" t="n"/>
      <c r="S12" s="1103" t="n"/>
      <c r="T12" s="13" t="n"/>
      <c r="U12" s="13" t="n"/>
      <c r="V12" s="13" t="n"/>
      <c r="W12" s="13" t="n"/>
      <c r="X12" s="171" t="n"/>
      <c r="Y12" s="601" t="n"/>
      <c r="Z12" s="1238" t="n"/>
      <c r="AA12" s="1238" t="n"/>
      <c r="AB12" s="1238" t="n"/>
      <c r="AC12" s="1238" t="n"/>
      <c r="AD12" s="1238" t="n"/>
      <c r="AE12" s="1238" t="n"/>
      <c r="AF12" s="1238" t="n"/>
      <c r="AG12" s="1238" t="n"/>
      <c r="AH12" s="1238" t="n"/>
      <c r="AI12" s="1238" t="n"/>
      <c r="AJ12" s="1238" t="n"/>
      <c r="AK12" s="1238" t="n"/>
      <c r="AL12" s="13" t="n"/>
    </row>
    <row r="13" hidden="1" customFormat="1" s="13">
      <c r="A13" s="175" t="inlineStr">
        <is>
          <t>U9</t>
        </is>
      </c>
      <c r="B13" s="176">
        <f>IF(_epmOfflineCondition_,"C_ITEM",EPMDimensionType(,A13))</f>
        <v/>
      </c>
      <c r="C13" s="176">
        <f>IF(_epmOfflineCondition_,"ZI_DUMMY",IF(B13="","",EPMContextMember(,B13)))</f>
        <v/>
      </c>
      <c r="D13" s="176">
        <f>IF(_epmOfflineCondition_,"与子项无关",EPMMemberDesc(C13))</f>
        <v/>
      </c>
      <c r="E13" s="176" t="n"/>
      <c r="F13" s="13" t="n"/>
      <c r="G13" s="13" t="n"/>
      <c r="H13" s="184" t="inlineStr">
        <is>
          <t xml:space="preserve">上年同期 </t>
        </is>
      </c>
      <c r="I13" s="184">
        <f>I10&amp;"."&amp;I8</f>
        <v/>
      </c>
      <c r="J13" s="13" t="n"/>
      <c r="K13" s="13" t="n"/>
      <c r="L13" s="13" t="n"/>
      <c r="M13" s="13" t="n"/>
      <c r="N13" s="13" t="n"/>
      <c r="O13" s="13" t="n"/>
      <c r="P13" s="13" t="n"/>
      <c r="Q13" s="13" t="n"/>
      <c r="R13" s="13" t="n"/>
      <c r="S13" s="1103" t="n"/>
      <c r="T13" s="13" t="n"/>
      <c r="U13" s="13" t="n"/>
      <c r="V13" s="13" t="n"/>
      <c r="W13" s="13" t="n"/>
      <c r="X13" s="171" t="n"/>
      <c r="Y13" s="601" t="n"/>
      <c r="Z13" s="1238" t="n"/>
      <c r="AA13" s="1238" t="n"/>
      <c r="AB13" s="1238" t="n"/>
      <c r="AC13" s="1238" t="n"/>
      <c r="AD13" s="1238" t="n"/>
      <c r="AE13" s="1238" t="n"/>
      <c r="AF13" s="1238" t="n"/>
      <c r="AG13" s="1238" t="n"/>
      <c r="AH13" s="1238" t="n"/>
      <c r="AI13" s="1238" t="n"/>
      <c r="AJ13" s="1238" t="n"/>
      <c r="AK13" s="1238" t="n"/>
      <c r="AL13" s="13" t="n"/>
    </row>
    <row r="14" hidden="1" customFormat="1" s="13">
      <c r="A14" s="175" t="inlineStr">
        <is>
          <t>U10</t>
        </is>
      </c>
      <c r="B14" s="176">
        <f>IF(_epmOfflineCondition_,"C_MISK",EPMDimensionType(,A14))</f>
        <v/>
      </c>
      <c r="C14" s="176">
        <f>IF(_epmOfflineCondition_,"ZM_DUMMY",IF(B14="","",EPMContextMember(,B14)))</f>
        <v/>
      </c>
      <c r="D14" s="176">
        <f>IF(_epmOfflineCondition_,"综合无关",EPMMemberDesc(C14))</f>
        <v/>
      </c>
      <c r="E14" s="176" t="n"/>
      <c r="F14" s="13" t="n"/>
      <c r="G14" s="13" t="n"/>
      <c r="H14" s="184" t="inlineStr">
        <is>
          <t xml:space="preserve">本年12月 </t>
        </is>
      </c>
      <c r="I14" s="184">
        <f>I3&amp;".12"</f>
        <v/>
      </c>
      <c r="J14" s="13" t="n"/>
      <c r="K14" s="13" t="n"/>
      <c r="L14" s="13" t="n"/>
      <c r="M14" s="13" t="n"/>
      <c r="N14" s="13" t="n"/>
      <c r="O14" s="13" t="n"/>
      <c r="P14" s="13" t="n"/>
      <c r="Q14" s="13" t="n"/>
      <c r="R14" s="13" t="n"/>
      <c r="S14" s="1103" t="n"/>
      <c r="T14" s="13" t="n"/>
      <c r="U14" s="13" t="n"/>
      <c r="V14" s="13" t="n"/>
      <c r="W14" s="13" t="n"/>
      <c r="X14" s="171" t="n"/>
      <c r="Y14" s="601" t="n"/>
      <c r="Z14" s="1238" t="n"/>
      <c r="AA14" s="1238" t="n"/>
      <c r="AB14" s="1238" t="n"/>
      <c r="AC14" s="1238" t="n"/>
      <c r="AD14" s="1238" t="n"/>
      <c r="AE14" s="1238" t="n"/>
      <c r="AF14" s="1238" t="n"/>
      <c r="AG14" s="1238" t="n"/>
      <c r="AH14" s="1238" t="n"/>
      <c r="AI14" s="1238" t="n"/>
      <c r="AJ14" s="1238" t="n"/>
      <c r="AK14" s="1238" t="n"/>
      <c r="AL14" s="13" t="n"/>
    </row>
    <row r="15" hidden="1" customFormat="1" s="13">
      <c r="A15" s="13" t="n"/>
      <c r="B15" s="1103" t="n"/>
      <c r="C15" s="1103" t="n"/>
      <c r="D15" s="1103" t="n"/>
      <c r="E15" s="13" t="n"/>
      <c r="F15" s="13" t="n"/>
      <c r="G15" s="13" t="n"/>
      <c r="H15" s="13" t="n"/>
      <c r="I15" s="13" t="n"/>
      <c r="J15" s="13" t="n"/>
      <c r="K15" s="13" t="n"/>
      <c r="L15" s="13" t="n"/>
      <c r="M15" s="13" t="n"/>
      <c r="N15" s="13" t="n"/>
      <c r="O15" s="13" t="n"/>
      <c r="P15" s="13" t="n"/>
      <c r="Q15" s="13" t="n"/>
      <c r="R15" s="13" t="n"/>
      <c r="S15" s="1103" t="n"/>
      <c r="T15" s="13" t="n"/>
      <c r="U15" s="13" t="n"/>
      <c r="V15" s="13" t="n"/>
      <c r="W15" s="13" t="n"/>
      <c r="X15" s="171" t="n"/>
      <c r="Y15" s="601" t="n"/>
      <c r="Z15" s="1238" t="n"/>
      <c r="AA15" s="1238" t="n"/>
      <c r="AB15" s="1238" t="n"/>
      <c r="AC15" s="1238" t="n"/>
      <c r="AD15" s="1238" t="n"/>
      <c r="AE15" s="1238" t="n"/>
      <c r="AF15" s="1238" t="n"/>
      <c r="AG15" s="1238" t="n"/>
      <c r="AH15" s="1238" t="n"/>
      <c r="AI15" s="1238" t="n"/>
      <c r="AJ15" s="1238" t="n"/>
      <c r="AK15" s="1238" t="n"/>
      <c r="AL15" s="13" t="n"/>
    </row>
    <row r="16" hidden="1" customFormat="1" s="13">
      <c r="A16" s="13" t="n"/>
      <c r="B16" s="13" t="n"/>
      <c r="C16" s="13" t="n"/>
      <c r="D16" s="174" t="inlineStr">
        <is>
          <t>页轴</t>
        </is>
      </c>
      <c r="E16" s="1183" t="n"/>
      <c r="F16" s="13" t="n"/>
      <c r="G16" s="13" t="n"/>
      <c r="H16" s="13" t="n"/>
      <c r="I16" s="13" t="n"/>
      <c r="J16" s="13" t="n"/>
      <c r="K16" s="13" t="n"/>
      <c r="L16" s="13" t="n"/>
      <c r="M16" s="13" t="n"/>
      <c r="N16" s="13" t="n"/>
      <c r="O16" s="13" t="n"/>
      <c r="P16" s="13" t="n"/>
      <c r="Q16" s="13" t="n"/>
      <c r="R16" s="13" t="n"/>
      <c r="S16" s="1103" t="n"/>
      <c r="T16" s="13" t="n"/>
      <c r="U16" s="13" t="n"/>
      <c r="V16" s="13" t="n"/>
      <c r="W16" s="13" t="n"/>
      <c r="X16" s="171" t="n"/>
      <c r="Y16" s="601" t="n"/>
      <c r="Z16" s="1238" t="n"/>
      <c r="AA16" s="1238" t="n"/>
      <c r="AB16" s="1238" t="n"/>
      <c r="AC16" s="1238" t="n"/>
      <c r="AD16" s="1238" t="n"/>
      <c r="AE16" s="1238" t="n"/>
      <c r="AF16" s="1238" t="n"/>
      <c r="AG16" s="1238" t="n"/>
      <c r="AH16" s="1238" t="n"/>
      <c r="AI16" s="1238" t="n"/>
      <c r="AJ16" s="1238" t="n"/>
      <c r="AK16" s="1238" t="n"/>
      <c r="AL16" s="13" t="n"/>
    </row>
    <row r="17" hidden="1" customFormat="1" s="13">
      <c r="A17" s="174" t="inlineStr">
        <is>
          <t>维度类型</t>
        </is>
      </c>
      <c r="B17" s="174" t="inlineStr">
        <is>
          <t>维度</t>
        </is>
      </c>
      <c r="C17" s="178" t="inlineStr">
        <is>
          <t>页轴替换</t>
        </is>
      </c>
      <c r="D17" s="174" t="inlineStr">
        <is>
          <t>报表001</t>
        </is>
      </c>
      <c r="E17" s="174" t="inlineStr">
        <is>
          <t>报表002</t>
        </is>
      </c>
      <c r="F17" s="13" t="n"/>
      <c r="G17" s="13" t="n"/>
      <c r="H17" s="13" t="n"/>
      <c r="I17" s="13" t="n"/>
      <c r="J17" s="13" t="n"/>
      <c r="K17" s="13" t="n"/>
      <c r="L17" s="13" t="n"/>
      <c r="M17" s="13" t="n"/>
      <c r="N17" s="13" t="n"/>
      <c r="O17" s="13" t="n"/>
      <c r="P17" s="13" t="n"/>
      <c r="Q17" s="13" t="n"/>
      <c r="R17" s="13" t="n"/>
      <c r="S17" s="1103" t="n"/>
      <c r="T17" s="13" t="n"/>
      <c r="U17" s="13" t="n"/>
      <c r="V17" s="13" t="n"/>
      <c r="W17" s="13" t="n"/>
      <c r="X17" s="171" t="n"/>
      <c r="Y17" s="601" t="n"/>
      <c r="Z17" s="1238" t="n"/>
      <c r="AA17" s="1238" t="n"/>
      <c r="AB17" s="1238" t="n"/>
      <c r="AC17" s="1238" t="n"/>
      <c r="AD17" s="1238" t="n"/>
      <c r="AE17" s="1238" t="n"/>
      <c r="AF17" s="1238" t="n"/>
      <c r="AG17" s="1238" t="n"/>
      <c r="AH17" s="1238" t="n"/>
      <c r="AI17" s="1238" t="n"/>
      <c r="AJ17" s="1238" t="n"/>
      <c r="AK17" s="1238" t="n"/>
      <c r="AL17" s="13" t="n"/>
    </row>
    <row r="18" hidden="1" customFormat="1" s="13">
      <c r="A18" s="175" t="inlineStr">
        <is>
          <t>A</t>
        </is>
      </c>
      <c r="B18" s="176">
        <f>IF(_epmOfflineCondition_,"C_ACCOUNT",EPMDimensionType(,A18))</f>
        <v/>
      </c>
      <c r="C18" s="182" t="inlineStr">
        <is>
          <t>A_NOUSED</t>
        </is>
      </c>
      <c r="D18" s="180" t="n"/>
      <c r="E18" s="13" t="n"/>
      <c r="F18" s="13" t="n"/>
      <c r="G18" s="13" t="n"/>
      <c r="H18" s="13" t="n"/>
      <c r="I18" s="13" t="n"/>
      <c r="J18" s="13" t="n"/>
      <c r="K18" s="13" t="n"/>
      <c r="L18" s="13" t="n"/>
      <c r="M18" s="13" t="n"/>
      <c r="N18" s="13" t="n"/>
      <c r="O18" s="13" t="n"/>
      <c r="P18" s="13" t="n"/>
      <c r="Q18" s="13" t="n"/>
      <c r="R18" s="13" t="n"/>
      <c r="S18" s="1103" t="n"/>
      <c r="T18" s="13" t="n"/>
      <c r="U18" s="13" t="n"/>
      <c r="V18" s="13" t="n"/>
      <c r="W18" s="13" t="n"/>
      <c r="X18" s="171" t="n"/>
      <c r="Y18" s="601" t="n"/>
      <c r="Z18" s="1238" t="n"/>
      <c r="AA18" s="1238" t="n"/>
      <c r="AB18" s="1238" t="n"/>
      <c r="AC18" s="1238" t="n"/>
      <c r="AD18" s="1238" t="n"/>
      <c r="AE18" s="1238" t="n"/>
      <c r="AF18" s="1238" t="n"/>
      <c r="AG18" s="1238" t="n"/>
      <c r="AH18" s="1238" t="n"/>
      <c r="AI18" s="1238" t="n"/>
      <c r="AJ18" s="1238" t="n"/>
      <c r="AK18" s="1238" t="n"/>
      <c r="AL18" s="13" t="n"/>
    </row>
    <row r="19" hidden="1" customFormat="1" s="13">
      <c r="A19" s="175" t="inlineStr">
        <is>
          <t>C</t>
        </is>
      </c>
      <c r="B19" s="176">
        <f>IF(_epmOfflineCondition_,"C_CATEGORY",EPMDimensionType(,A19))</f>
        <v/>
      </c>
      <c r="C19" s="182" t="inlineStr">
        <is>
          <t>C_DUMMY</t>
        </is>
      </c>
      <c r="D19" s="180" t="n"/>
      <c r="E19" s="13" t="n"/>
      <c r="F19" s="13" t="n"/>
      <c r="G19" s="13" t="n"/>
      <c r="H19" s="13" t="n"/>
      <c r="I19" s="13" t="n"/>
      <c r="J19" s="13" t="n"/>
      <c r="K19" s="13" t="n"/>
      <c r="L19" s="13" t="n"/>
      <c r="M19" s="13" t="n"/>
      <c r="N19" s="13" t="n"/>
      <c r="O19" s="13" t="n"/>
      <c r="P19" s="13" t="n"/>
      <c r="Q19" s="13" t="n"/>
      <c r="R19" s="13" t="n"/>
      <c r="S19" s="1103" t="n"/>
      <c r="T19" s="13" t="n"/>
      <c r="U19" s="13" t="n"/>
      <c r="V19" s="13" t="n"/>
      <c r="W19" s="13" t="n"/>
      <c r="X19" s="171" t="n"/>
      <c r="Y19" s="601" t="n"/>
      <c r="Z19" s="1238" t="n"/>
      <c r="AA19" s="1238" t="n"/>
      <c r="AB19" s="1238" t="n"/>
      <c r="AC19" s="1238" t="n"/>
      <c r="AD19" s="1238" t="n"/>
      <c r="AE19" s="1238" t="n"/>
      <c r="AF19" s="1238" t="n"/>
      <c r="AG19" s="1238" t="n"/>
      <c r="AH19" s="1238" t="n"/>
      <c r="AI19" s="1238" t="n"/>
      <c r="AJ19" s="1238" t="n"/>
      <c r="AK19" s="1238" t="n"/>
      <c r="AL19" s="13" t="n"/>
    </row>
    <row r="20" hidden="1" customFormat="1" s="13">
      <c r="A20" s="175" t="inlineStr">
        <is>
          <t>T</t>
        </is>
      </c>
      <c r="B20" s="176">
        <f>IF(_epmOfflineCondition_,"C_TIME",EPMDimensionType(,A20))</f>
        <v/>
      </c>
      <c r="C20" s="672" t="inlineStr">
        <is>
          <t>T_DUMMY</t>
        </is>
      </c>
      <c r="D20" s="180" t="n"/>
      <c r="E20" s="13" t="n"/>
      <c r="F20" s="384" t="n"/>
      <c r="G20" s="384" t="n"/>
      <c r="H20" s="13" t="n"/>
      <c r="I20" s="13" t="n"/>
      <c r="J20" s="13" t="n"/>
      <c r="K20" s="13" t="n"/>
      <c r="L20" s="13" t="n"/>
      <c r="M20" s="13" t="n"/>
      <c r="N20" s="13" t="n"/>
      <c r="O20" s="13" t="n"/>
      <c r="P20" s="13" t="n"/>
      <c r="Q20" s="13" t="n"/>
      <c r="R20" s="13" t="n"/>
      <c r="S20" s="1103" t="n"/>
      <c r="T20" s="13" t="n"/>
      <c r="U20" s="13" t="n"/>
      <c r="V20" s="13" t="n"/>
      <c r="W20" s="13" t="n"/>
      <c r="X20" s="171" t="n"/>
      <c r="Y20" s="601" t="n"/>
      <c r="Z20" s="1237" t="n"/>
      <c r="AA20" s="1238" t="n"/>
      <c r="AB20" s="1238" t="n"/>
      <c r="AC20" s="1238" t="n"/>
      <c r="AD20" s="1238" t="n"/>
      <c r="AE20" s="1238" t="n"/>
      <c r="AF20" s="1238" t="n"/>
      <c r="AG20" s="1238" t="n"/>
      <c r="AH20" s="1238" t="n"/>
      <c r="AI20" s="1238" t="n"/>
      <c r="AJ20" s="1238" t="n"/>
      <c r="AK20" s="1238" t="n"/>
      <c r="AL20" s="13" t="n"/>
    </row>
    <row r="21" hidden="1" customFormat="1" s="13">
      <c r="A21" s="175" t="inlineStr">
        <is>
          <t>E</t>
        </is>
      </c>
      <c r="B21" s="176">
        <f>IF(_epmOfflineCondition_,"C_ENTITY",EPMDimensionType(,A21))</f>
        <v/>
      </c>
      <c r="C21" s="447">
        <f>IF(_epmOfflineCondition_,"E100787",IF(B21="","",EPMContextMember(,B21)))</f>
        <v/>
      </c>
      <c r="D21" s="390">
        <f>IF(_epmOfflineCondition_,"内蒙古京能苏尼特风力发电有限公司（内蒙古分公司）",EPMOlapMemberO(D6,"[C_ENTITY].[PARENTH1].[E100787]","E100787 - 内蒙古京能苏尼特风力发电有限公司（内蒙古分公司）","","000"))</f>
        <v/>
      </c>
      <c r="E21" s="13" t="n"/>
      <c r="F21" s="384" t="n"/>
      <c r="G21" s="384" t="n"/>
      <c r="H21" s="13" t="n"/>
      <c r="I21" s="13" t="n"/>
      <c r="J21" s="13" t="n"/>
      <c r="K21" s="13" t="n"/>
      <c r="L21" s="13" t="n"/>
      <c r="M21" s="13" t="n"/>
      <c r="N21" s="13" t="n"/>
      <c r="O21" s="13" t="n"/>
      <c r="P21" s="13" t="n"/>
      <c r="Q21" s="13" t="n"/>
      <c r="R21" s="13" t="n"/>
      <c r="S21" s="1103" t="n"/>
      <c r="T21" s="13" t="n"/>
      <c r="U21" s="13" t="n"/>
      <c r="V21" s="13" t="n"/>
      <c r="W21" s="13" t="n"/>
      <c r="X21" s="171" t="n"/>
      <c r="Y21" s="601" t="n"/>
      <c r="Z21" s="1237" t="n"/>
      <c r="AA21" s="1238" t="n"/>
      <c r="AB21" s="1238" t="n"/>
      <c r="AC21" s="1238" t="n"/>
      <c r="AD21" s="1238" t="n"/>
      <c r="AE21" s="1238" t="n"/>
      <c r="AF21" s="1238" t="n"/>
      <c r="AG21" s="1238" t="n"/>
      <c r="AH21" s="1238" t="n"/>
      <c r="AI21" s="1238" t="n"/>
      <c r="AJ21" s="1238" t="n"/>
      <c r="AK21" s="1238" t="n"/>
      <c r="AL21" s="13" t="n"/>
    </row>
    <row r="22" hidden="1" customFormat="1" s="13">
      <c r="A22" s="175" t="inlineStr">
        <is>
          <t>R</t>
        </is>
      </c>
      <c r="B22" s="176">
        <f>IF(_epmOfflineCondition_,"C_RPTCURRENCY",EPMDimensionType(,A22))</f>
        <v/>
      </c>
      <c r="C22" s="182" t="inlineStr">
        <is>
          <t>LC</t>
        </is>
      </c>
      <c r="D22" s="390" t="n"/>
      <c r="E22" s="13" t="n"/>
      <c r="F22" s="384" t="n"/>
      <c r="G22" s="384" t="n"/>
      <c r="H22" s="13" t="n"/>
      <c r="I22" s="13" t="n"/>
      <c r="J22" s="13" t="n"/>
      <c r="K22" s="13" t="n"/>
      <c r="L22" s="13" t="n"/>
      <c r="M22" s="13" t="n"/>
      <c r="N22" s="13" t="n"/>
      <c r="O22" s="13" t="n"/>
      <c r="P22" s="13" t="n"/>
      <c r="Q22" s="13" t="n"/>
      <c r="R22" s="13" t="n"/>
      <c r="S22" s="1103" t="n"/>
      <c r="T22" s="13" t="n"/>
      <c r="U22" s="13" t="n"/>
      <c r="V22" s="13" t="n"/>
      <c r="W22" s="13" t="n"/>
      <c r="X22" s="171" t="n"/>
      <c r="Y22" s="601" t="n"/>
      <c r="Z22" s="1237" t="n"/>
      <c r="AA22" s="1238" t="n"/>
      <c r="AB22" s="1238" t="n"/>
      <c r="AC22" s="1238" t="n"/>
      <c r="AD22" s="1238" t="n"/>
      <c r="AE22" s="1238" t="n"/>
      <c r="AF22" s="1238" t="n"/>
      <c r="AG22" s="1238" t="n"/>
      <c r="AH22" s="1238" t="n"/>
      <c r="AI22" s="1238" t="n"/>
      <c r="AJ22" s="1238" t="n"/>
      <c r="AK22" s="1238" t="n"/>
      <c r="AL22" s="13" t="n"/>
    </row>
    <row r="23" hidden="1" customFormat="1" s="13">
      <c r="A23" s="175" t="inlineStr">
        <is>
          <t>D</t>
        </is>
      </c>
      <c r="B23" s="176">
        <f>IF(_epmOfflineCondition_,"C_AUDITTRAIL",EPMDimensionType(,A23))</f>
        <v/>
      </c>
      <c r="C23" s="447">
        <f>IF(_epmOfflineCondition_,"D1001",IF(B23="","",EPMContextMember(,B23)))</f>
        <v/>
      </c>
      <c r="D23" s="390" t="n"/>
      <c r="E23" s="13" t="n"/>
      <c r="F23" s="384" t="n"/>
      <c r="G23" s="384" t="n"/>
      <c r="H23" s="13" t="n"/>
      <c r="I23" s="13" t="n"/>
      <c r="J23" s="13" t="n"/>
      <c r="K23" s="13" t="n"/>
      <c r="L23" s="13" t="n"/>
      <c r="M23" s="13" t="n"/>
      <c r="N23" s="13" t="n"/>
      <c r="O23" s="13" t="n"/>
      <c r="P23" s="13" t="n"/>
      <c r="Q23" s="13" t="n"/>
      <c r="R23" s="13" t="n"/>
      <c r="S23" s="1103" t="n"/>
      <c r="T23" s="13" t="n"/>
      <c r="U23" s="13" t="n"/>
      <c r="V23" s="13" t="n"/>
      <c r="W23" s="13" t="n"/>
      <c r="X23" s="171" t="n"/>
      <c r="Y23" s="601" t="n"/>
      <c r="Z23" s="1237" t="n"/>
      <c r="AA23" s="1238" t="n"/>
      <c r="AB23" s="1238" t="n"/>
      <c r="AC23" s="1238" t="n"/>
      <c r="AD23" s="1238" t="n"/>
      <c r="AE23" s="1238" t="n"/>
      <c r="AF23" s="1238" t="n"/>
      <c r="AG23" s="1238" t="n"/>
      <c r="AH23" s="1238" t="n"/>
      <c r="AI23" s="1238" t="n"/>
      <c r="AJ23" s="1238" t="n"/>
      <c r="AK23" s="1238" t="n"/>
      <c r="AL23" s="13" t="n"/>
    </row>
    <row r="24" hidden="1" customFormat="1" s="13">
      <c r="A24" s="175" t="inlineStr">
        <is>
          <t>S</t>
        </is>
      </c>
      <c r="B24" s="176">
        <f>IF(_epmOfflineCondition_,"C_FLOW",EPMDimensionType(,A24))</f>
        <v/>
      </c>
      <c r="C24" s="176">
        <f>IF(_epmOfflineCondition_,"F20",IF(B24="","",EPMContextMember(,B24)))</f>
        <v/>
      </c>
      <c r="D24" s="390" t="n"/>
      <c r="E24" s="13" t="n"/>
      <c r="F24" s="384" t="n"/>
      <c r="G24" s="384" t="n"/>
      <c r="H24" s="13" t="n"/>
      <c r="I24" s="13" t="n"/>
      <c r="J24" s="13" t="n"/>
      <c r="K24" s="13" t="n"/>
      <c r="L24" s="13" t="n"/>
      <c r="M24" s="13" t="n"/>
      <c r="N24" s="13" t="n"/>
      <c r="O24" s="13" t="n"/>
      <c r="P24" s="13" t="n"/>
      <c r="Q24" s="13" t="n"/>
      <c r="R24" s="13" t="n"/>
      <c r="S24" s="1103" t="n"/>
      <c r="T24" s="13" t="n"/>
      <c r="U24" s="13" t="n"/>
      <c r="V24" s="13" t="n"/>
      <c r="W24" s="13" t="n"/>
      <c r="X24" s="171" t="n"/>
      <c r="Y24" s="601" t="n"/>
      <c r="Z24" s="1237" t="n"/>
      <c r="AA24" s="1238" t="n"/>
      <c r="AB24" s="1238" t="n"/>
      <c r="AC24" s="1238" t="n"/>
      <c r="AD24" s="1238" t="n"/>
      <c r="AE24" s="1238" t="n"/>
      <c r="AF24" s="1238" t="n"/>
      <c r="AG24" s="1238" t="n"/>
      <c r="AH24" s="1238" t="n"/>
      <c r="AI24" s="1238" t="n"/>
      <c r="AJ24" s="1238" t="n"/>
      <c r="AK24" s="1238" t="n"/>
      <c r="AL24" s="13" t="n"/>
    </row>
    <row r="25" hidden="1" customFormat="1" s="13">
      <c r="A25" s="175" t="inlineStr">
        <is>
          <t>I</t>
        </is>
      </c>
      <c r="B25" s="176">
        <f>IF(_epmOfflineCondition_,"C_INTERCO",EPMDimensionType(,A25))</f>
        <v/>
      </c>
      <c r="C25" s="176">
        <f>IF(_epmOfflineCondition_,"I_ALL",IF(B25="","",EPMContextMember(,B25)))</f>
        <v/>
      </c>
      <c r="D25" s="390">
        <f>IF(_epmOfflineCondition_,"I_ALL",EPMOlapMemberO(C25,"[C_INTERCO].[PARENTH1].[I_ALL]","I_ALL - 全部贸易伙伴","","000"))</f>
        <v/>
      </c>
      <c r="E25" s="13" t="n"/>
      <c r="F25" s="384" t="n"/>
      <c r="G25" s="384" t="n"/>
      <c r="H25" s="13" t="n"/>
      <c r="I25" s="13" t="n"/>
      <c r="J25" s="13" t="n"/>
      <c r="K25" s="13" t="n"/>
      <c r="L25" s="13" t="n"/>
      <c r="M25" s="13" t="n"/>
      <c r="N25" s="13" t="n"/>
      <c r="O25" s="13" t="n"/>
      <c r="P25" s="13" t="n"/>
      <c r="Q25" s="13" t="n"/>
      <c r="R25" s="13" t="n"/>
      <c r="S25" s="1103" t="n"/>
      <c r="T25" s="13" t="n"/>
      <c r="U25" s="13" t="n"/>
      <c r="V25" s="13" t="n"/>
      <c r="W25" s="13" t="n"/>
      <c r="X25" s="171" t="n"/>
      <c r="Y25" s="601" t="n"/>
      <c r="Z25" s="1238" t="n"/>
      <c r="AA25" s="1240" t="inlineStr">
        <is>
          <t>CATEGORY</t>
        </is>
      </c>
      <c r="AB25" s="1240" t="inlineStr">
        <is>
          <t>C1001</t>
        </is>
      </c>
      <c r="AC25" s="1240">
        <f>$C$4</f>
        <v/>
      </c>
      <c r="AD25" s="1240" t="n"/>
      <c r="AE25" s="1240" t="n"/>
      <c r="AF25" s="1240" t="n"/>
      <c r="AG25" s="1238" t="n"/>
      <c r="AH25" s="1238" t="n"/>
      <c r="AI25" s="1238" t="n"/>
      <c r="AJ25" s="1240" t="inlineStr">
        <is>
          <t>C3002</t>
        </is>
      </c>
      <c r="AK25" s="1238" t="n"/>
      <c r="AL25" s="13" t="n"/>
    </row>
    <row r="26" hidden="1" customFormat="1" s="13">
      <c r="A26" s="175" t="inlineStr">
        <is>
          <t>G</t>
        </is>
      </c>
      <c r="B26" s="176">
        <f>IF(_epmOfflineCondition_,"C_SCOPE",EPMDimensionType(,A26))</f>
        <v/>
      </c>
      <c r="C26" s="182" t="inlineStr">
        <is>
          <t>G_DUMMY</t>
        </is>
      </c>
      <c r="D26" s="390">
        <f>IF(_epmOfflineCondition_,"合并范围无关",EPMOlapMemberO(D11,"[C_SCOPE].[PARENTH1].[G_DUMMY]","G_DUMMY - 合并范围无关","","000"))</f>
        <v/>
      </c>
      <c r="E26" s="13" t="n"/>
      <c r="F26" s="384" t="n"/>
      <c r="G26" s="384" t="n"/>
      <c r="H26" s="13" t="n"/>
      <c r="I26" s="13" t="n"/>
      <c r="J26" s="13" t="n"/>
      <c r="K26" s="13" t="n"/>
      <c r="L26" s="13" t="n"/>
      <c r="M26" s="13" t="n"/>
      <c r="N26" s="13" t="n"/>
      <c r="O26" s="13" t="n"/>
      <c r="P26" s="13" t="n"/>
      <c r="Q26" s="13" t="n"/>
      <c r="R26" s="13" t="n"/>
      <c r="S26" s="1103" t="n"/>
      <c r="T26" s="13" t="n"/>
      <c r="U26" s="13" t="n"/>
      <c r="V26" s="13" t="n"/>
      <c r="W26" s="13" t="n"/>
      <c r="X26" s="171" t="n"/>
      <c r="Y26" s="601" t="n"/>
      <c r="Z26" s="1238" t="n"/>
      <c r="AA26" s="1241" t="inlineStr">
        <is>
          <t>TIME</t>
        </is>
      </c>
      <c r="AB26" s="1241">
        <f>$I$11</f>
        <v/>
      </c>
      <c r="AC26" s="1240">
        <f>$J$4</f>
        <v/>
      </c>
      <c r="AD26" s="1242">
        <f>$I$13</f>
        <v/>
      </c>
      <c r="AE26" s="1240">
        <f>J5</f>
        <v/>
      </c>
      <c r="AF26" s="1242" t="n"/>
      <c r="AG26" s="1238" t="n"/>
      <c r="AH26" s="1238" t="n"/>
      <c r="AI26" s="1238" t="n"/>
      <c r="AJ26" s="1238">
        <f>$I$11</f>
        <v/>
      </c>
      <c r="AK26" s="1238" t="n"/>
      <c r="AL26" s="13" t="n"/>
    </row>
    <row r="27" hidden="1" customFormat="1" s="13">
      <c r="A27" s="175" t="inlineStr">
        <is>
          <t>U8</t>
        </is>
      </c>
      <c r="B27" s="176">
        <f>IF(_epmOfflineCondition_,"C_PROJECT",EPMDimensionType(,A27))</f>
        <v/>
      </c>
      <c r="C27" s="180" t="inlineStr">
        <is>
          <t>ZP_ALL</t>
        </is>
      </c>
      <c r="D27" s="390">
        <f>IF(_epmOfflineCondition_,"ZP_ALL - 项目合计",EPMOlapMemberO("[C_PROJECT].[PARENTH1].[ZP_ALL]","","ZP_ALL - 项目合计","","000"))</f>
        <v/>
      </c>
      <c r="E27" s="13" t="n"/>
      <c r="F27" s="384" t="n"/>
      <c r="G27" s="384" t="n"/>
      <c r="H27" s="13" t="n"/>
      <c r="I27" s="13" t="n"/>
      <c r="J27" s="13" t="n"/>
      <c r="K27" s="13" t="n"/>
      <c r="L27" s="13" t="n"/>
      <c r="M27" s="13" t="n"/>
      <c r="N27" s="13" t="n"/>
      <c r="O27" s="13" t="n"/>
      <c r="P27" s="13" t="n"/>
      <c r="Q27" s="13" t="n"/>
      <c r="R27" s="13" t="n"/>
      <c r="S27" s="1103" t="n"/>
      <c r="T27" s="13" t="n"/>
      <c r="U27" s="13" t="n"/>
      <c r="V27" s="13" t="n"/>
      <c r="W27" s="13" t="n"/>
      <c r="X27" s="171" t="n"/>
      <c r="Y27" s="601" t="n"/>
      <c r="Z27" s="1238" t="n"/>
      <c r="AA27" s="1242" t="inlineStr">
        <is>
          <t>MEASURES</t>
        </is>
      </c>
      <c r="AB27" s="1242" t="inlineStr">
        <is>
          <t>YTD</t>
        </is>
      </c>
      <c r="AC27" s="1242" t="inlineStr">
        <is>
          <t>Periodic</t>
        </is>
      </c>
      <c r="AD27" s="1242" t="n"/>
      <c r="AE27" s="1242" t="n"/>
      <c r="AF27" s="1242" t="n"/>
      <c r="AG27" s="1238" t="n"/>
      <c r="AH27" s="1238" t="n"/>
      <c r="AI27" s="1238" t="n"/>
      <c r="AJ27" s="1242" t="inlineStr">
        <is>
          <t>YTD</t>
        </is>
      </c>
      <c r="AK27" s="1238" t="n"/>
      <c r="AL27" s="13" t="n"/>
    </row>
    <row r="28" hidden="1" customFormat="1" s="13">
      <c r="A28" s="175" t="inlineStr">
        <is>
          <t>U9</t>
        </is>
      </c>
      <c r="B28" s="176">
        <f>IF(_epmOfflineCondition_,"C_ITEM",EPMDimensionType(,A28))</f>
        <v/>
      </c>
      <c r="C28" s="180" t="inlineStr">
        <is>
          <t>ZI_ALL</t>
        </is>
      </c>
      <c r="D28" s="390">
        <f>IF(_epmOfflineCondition_,"ZI_ALL",EPMOlapMemberO(C28,"[C_ITEM].[PARENTH1].[ZI_ALL]","ZI_ALL - 全部ITEM","","000"))</f>
        <v/>
      </c>
      <c r="E28" s="13" t="n"/>
      <c r="F28" s="384" t="n"/>
      <c r="G28" s="384" t="n"/>
      <c r="H28" s="13" t="n"/>
      <c r="I28" s="13" t="n"/>
      <c r="J28" s="13" t="n"/>
      <c r="K28" s="13" t="n"/>
      <c r="L28" s="13" t="n"/>
      <c r="M28" s="13" t="n"/>
      <c r="N28" s="13" t="n"/>
      <c r="O28" s="13" t="n"/>
      <c r="P28" s="13" t="n"/>
      <c r="Q28" s="13" t="n"/>
      <c r="R28" s="13" t="n"/>
      <c r="S28" s="1103" t="n"/>
      <c r="T28" s="13" t="n"/>
      <c r="U28" s="13" t="n"/>
      <c r="V28" s="13" t="n"/>
      <c r="W28" s="13" t="n"/>
      <c r="X28" s="171" t="n"/>
      <c r="Y28" s="601" t="n"/>
      <c r="Z28" s="1238" t="n"/>
      <c r="AA28" s="1242" t="inlineStr">
        <is>
          <t>FLOW</t>
        </is>
      </c>
      <c r="AB28" s="1242" t="inlineStr">
        <is>
          <t>F20</t>
        </is>
      </c>
      <c r="AC28" s="1242" t="inlineStr">
        <is>
          <t>F30</t>
        </is>
      </c>
      <c r="AD28" s="1242" t="inlineStr">
        <is>
          <t>F99</t>
        </is>
      </c>
      <c r="AE28" s="1242" t="inlineStr">
        <is>
          <t>FEND</t>
        </is>
      </c>
      <c r="AF28" s="1242" t="inlineStr">
        <is>
          <t>FMOV</t>
        </is>
      </c>
      <c r="AG28" s="1242" t="inlineStr">
        <is>
          <t>F00T</t>
        </is>
      </c>
      <c r="AH28" s="1238" t="n"/>
      <c r="AI28" s="1238" t="n"/>
      <c r="AJ28" s="1242" t="inlineStr">
        <is>
          <t>FEND</t>
        </is>
      </c>
      <c r="AK28" s="1238" t="n"/>
      <c r="AL28" s="13" t="n"/>
    </row>
    <row r="29" hidden="1" customFormat="1" s="13">
      <c r="A29" s="175" t="inlineStr">
        <is>
          <t>U10</t>
        </is>
      </c>
      <c r="B29" s="176">
        <f>IF(_epmOfflineCondition_,"C_MISK",EPMDimensionType(,A29))</f>
        <v/>
      </c>
      <c r="C29" s="449" t="inlineStr">
        <is>
          <t>ZM_ALL</t>
        </is>
      </c>
      <c r="D29" s="390">
        <f>IF(_epmOfflineCondition_,"ZM_ALL - ALL",EPMOlapMemberO("[C_MISK].[PARENTH1].[ZM_ALL]","","ZM_ALL - ALL","","000"))</f>
        <v/>
      </c>
      <c r="E29" s="13" t="n"/>
      <c r="F29" s="384" t="n"/>
      <c r="G29" s="384" t="n"/>
      <c r="H29" s="13" t="n"/>
      <c r="I29" s="13" t="n"/>
      <c r="J29" s="13" t="n"/>
      <c r="K29" s="13" t="n"/>
      <c r="L29" s="13" t="n"/>
      <c r="M29" s="13" t="n"/>
      <c r="N29" s="13" t="n"/>
      <c r="O29" s="13" t="n"/>
      <c r="P29" s="13" t="n"/>
      <c r="Q29" s="13" t="n"/>
      <c r="R29" s="13" t="n"/>
      <c r="S29" s="1103" t="n"/>
      <c r="T29" s="13" t="n"/>
      <c r="U29" s="13" t="n"/>
      <c r="V29" s="13" t="n"/>
      <c r="W29" s="13" t="n"/>
      <c r="X29" s="171" t="n"/>
      <c r="Y29" s="601" t="n"/>
      <c r="Z29" s="1238" t="n"/>
      <c r="AA29" s="1253" t="inlineStr">
        <is>
          <t>AUDITTRAIL</t>
        </is>
      </c>
      <c r="AB29" s="1253" t="inlineStr">
        <is>
          <t>DLC_BK</t>
        </is>
      </c>
      <c r="AC29" s="1253" t="inlineStr">
        <is>
          <t>DLC_RC</t>
        </is>
      </c>
      <c r="AD29" s="1253" t="inlineStr">
        <is>
          <t>DALL</t>
        </is>
      </c>
      <c r="AE29" s="1253" t="inlineStr">
        <is>
          <t>DLC_ADJ</t>
        </is>
      </c>
      <c r="AF29" s="1253" t="n"/>
      <c r="AG29" s="1238" t="n"/>
      <c r="AH29" s="1238" t="n"/>
      <c r="AI29" s="1238" t="n"/>
      <c r="AJ29" s="1253" t="inlineStr">
        <is>
          <t>DALL</t>
        </is>
      </c>
      <c r="AK29" s="1238" t="n"/>
      <c r="AL29" s="13" t="n"/>
    </row>
    <row r="30" hidden="1" customFormat="1" s="13">
      <c r="A30" s="175" t="n"/>
      <c r="B30" s="176" t="n"/>
      <c r="C30" s="449" t="n"/>
      <c r="D30" s="390" t="n"/>
      <c r="E30" s="13" t="n"/>
      <c r="F30" s="384" t="n"/>
      <c r="G30" s="384" t="n"/>
      <c r="H30" s="13" t="n"/>
      <c r="I30" s="13" t="n"/>
      <c r="J30" s="13" t="n"/>
      <c r="K30" s="13" t="n"/>
      <c r="L30" s="13" t="n"/>
      <c r="M30" s="13" t="n"/>
      <c r="N30" s="13" t="n"/>
      <c r="O30" s="13" t="n"/>
      <c r="P30" s="13" t="n"/>
      <c r="Q30" s="13" t="n"/>
      <c r="R30" s="13" t="n"/>
      <c r="S30" s="1103" t="n"/>
      <c r="T30" s="13" t="n"/>
      <c r="U30" s="13" t="n"/>
      <c r="V30" s="13" t="n"/>
      <c r="W30" s="13" t="n"/>
      <c r="X30" s="171" t="n"/>
      <c r="Y30" s="601" t="n"/>
      <c r="Z30" s="1242">
        <f>$Z$38</f>
        <v/>
      </c>
      <c r="AA30" s="1242">
        <f>$Z$38</f>
        <v/>
      </c>
      <c r="AB30" s="1242">
        <f>$Z$38</f>
        <v/>
      </c>
      <c r="AC30" s="1242">
        <f>$Z$38</f>
        <v/>
      </c>
      <c r="AD30" s="1242">
        <f>$Z$38</f>
        <v/>
      </c>
      <c r="AE30" s="1242">
        <f>$Z$38</f>
        <v/>
      </c>
      <c r="AF30" s="1242">
        <f>$Z$38</f>
        <v/>
      </c>
      <c r="AG30" s="1242">
        <f>$Z$38</f>
        <v/>
      </c>
      <c r="AH30" s="1242">
        <f>$Z$38</f>
        <v/>
      </c>
      <c r="AI30" s="1242">
        <f>$Z$38</f>
        <v/>
      </c>
      <c r="AJ30" s="1242" t="inlineStr">
        <is>
          <t>CNY</t>
        </is>
      </c>
      <c r="AK30" s="1242" t="inlineStr">
        <is>
          <t>CNY</t>
        </is>
      </c>
      <c r="AL30" s="1242" t="inlineStr">
        <is>
          <t>CNY</t>
        </is>
      </c>
    </row>
    <row r="31" hidden="1" customFormat="1" s="13">
      <c r="A31" s="175" t="n"/>
      <c r="B31" s="175">
        <f>IF(_epmOfflineCondition_,"",EPMDimensionType(,A31))</f>
        <v/>
      </c>
      <c r="C31" s="182" t="inlineStr">
        <is>
          <t>PERIODIC</t>
        </is>
      </c>
      <c r="D31" s="390" t="n"/>
      <c r="E31" s="13" t="n"/>
      <c r="F31" s="384" t="n"/>
      <c r="G31" s="384" t="n"/>
      <c r="H31" s="13" t="n"/>
      <c r="I31" s="13" t="n"/>
      <c r="J31" s="13" t="n"/>
      <c r="K31" s="13" t="n"/>
      <c r="L31" s="13" t="n"/>
      <c r="M31" s="13" t="n"/>
      <c r="N31" s="13" t="n"/>
      <c r="O31" s="13" t="n"/>
      <c r="P31" s="13" t="n"/>
      <c r="Q31" s="13" t="n"/>
      <c r="R31" s="13" t="n"/>
      <c r="S31" s="1103" t="n"/>
      <c r="T31" s="13" t="n"/>
      <c r="U31" s="13" t="n"/>
      <c r="V31" s="13" t="n"/>
      <c r="W31" s="13" t="n"/>
      <c r="X31" s="171" t="n"/>
      <c r="Y31" s="601" t="n"/>
      <c r="Z31" s="1238" t="n"/>
      <c r="AA31" s="1238" t="n"/>
      <c r="AB31" s="1238">
        <f>IF(_epmOfflineCondition_,"单体账面",EPMMemberDesc(AB29))</f>
        <v/>
      </c>
      <c r="AC31" s="1238">
        <f>IF(_epmOfflineCondition_,"单体重分类",EPMMemberDesc(AC29))</f>
        <v/>
      </c>
      <c r="AD31" s="1238">
        <f>IF(_epmOfflineCondition_,"合并后",EPMMemberDesc(AD29))</f>
        <v/>
      </c>
      <c r="AE31" s="1238">
        <f>IF(_epmOfflineCondition_,"单体调整",EPMMemberDesc(AE29))</f>
        <v/>
      </c>
      <c r="AF31" s="1238" t="n"/>
      <c r="AG31" s="1238" t="n"/>
      <c r="AH31" s="1238" t="n"/>
      <c r="AI31" s="1238" t="n"/>
      <c r="AJ31" s="1238" t="n"/>
      <c r="AK31" s="1238" t="n"/>
      <c r="AL31" s="13" t="n"/>
    </row>
    <row r="32" hidden="1" customFormat="1" s="13">
      <c r="A32" s="13" t="n"/>
      <c r="B32" s="1103" t="n"/>
      <c r="C32" s="1103" t="n"/>
      <c r="D32" s="1103" t="n"/>
      <c r="E32" s="13" t="n"/>
      <c r="F32" s="13" t="n"/>
      <c r="G32" s="13" t="n"/>
      <c r="H32" s="13" t="n"/>
      <c r="I32" s="13" t="n"/>
      <c r="J32" s="13" t="n"/>
      <c r="K32" s="13" t="n"/>
      <c r="L32" s="13" t="n"/>
      <c r="M32" s="13" t="n"/>
      <c r="N32" s="13" t="n"/>
      <c r="O32" s="13" t="n"/>
      <c r="P32" s="13" t="n"/>
      <c r="Q32" s="13" t="n"/>
      <c r="R32" s="13" t="n"/>
      <c r="S32" s="1103" t="n"/>
      <c r="T32" s="13" t="n"/>
      <c r="U32" s="13" t="n"/>
      <c r="V32" s="13" t="n"/>
      <c r="W32" s="13" t="n"/>
      <c r="X32" s="171" t="n"/>
      <c r="Y32" s="601" t="n"/>
      <c r="Z32" s="1238" t="n"/>
      <c r="AA32" s="1238" t="n"/>
      <c r="AB32" s="1238" t="n"/>
      <c r="AC32" s="1238" t="n"/>
      <c r="AD32" s="1238" t="n"/>
      <c r="AE32" s="1238" t="n"/>
      <c r="AF32" s="1238" t="n"/>
      <c r="AG32" s="1238" t="n"/>
      <c r="AH32" s="1238" t="n"/>
      <c r="AI32" s="1238" t="n"/>
      <c r="AJ32" s="1238" t="n"/>
      <c r="AK32" s="1238" t="n"/>
      <c r="AL32" s="13" t="n"/>
    </row>
    <row r="33" hidden="1" customFormat="1" s="13">
      <c r="A33" s="13" t="n"/>
      <c r="B33" s="1103" t="n"/>
      <c r="C33" s="1103" t="n"/>
      <c r="D33" s="1103" t="n"/>
      <c r="E33" s="13" t="n"/>
      <c r="F33" s="13" t="n"/>
      <c r="G33" s="13" t="n"/>
      <c r="H33" s="13" t="n"/>
      <c r="I33" s="13" t="n"/>
      <c r="J33" s="13" t="n"/>
      <c r="K33" s="13" t="n"/>
      <c r="L33" s="13" t="n"/>
      <c r="M33" s="13" t="n"/>
      <c r="N33" s="13" t="n"/>
      <c r="O33" s="13" t="n"/>
      <c r="P33" s="13" t="n"/>
      <c r="Q33" s="13" t="n"/>
      <c r="R33" s="13" t="n"/>
      <c r="S33" s="1103" t="n"/>
      <c r="T33" s="13" t="n"/>
      <c r="U33" s="13" t="n"/>
      <c r="V33" s="13" t="n"/>
      <c r="W33" s="13" t="n"/>
      <c r="X33" s="171" t="n"/>
      <c r="Y33" s="601" t="n"/>
      <c r="Z33" s="1238" t="n"/>
      <c r="AA33" s="1238" t="n"/>
      <c r="AB33" s="1238" t="n"/>
      <c r="AC33" s="1238" t="n"/>
      <c r="AD33" s="1238" t="n"/>
      <c r="AE33" s="1238" t="n"/>
      <c r="AF33" s="1238" t="n"/>
      <c r="AG33" s="1238" t="n"/>
      <c r="AH33" s="1238" t="n"/>
      <c r="AI33" s="1238" t="n"/>
      <c r="AJ33" s="1238" t="n"/>
      <c r="AK33" s="1238" t="n"/>
      <c r="AL33" s="13" t="n"/>
    </row>
    <row r="34" hidden="1" customFormat="1" s="13">
      <c r="A34" s="13" t="n"/>
      <c r="B34" s="1103" t="n"/>
      <c r="C34" s="1103" t="n"/>
      <c r="D34" s="1103" t="n"/>
      <c r="E34" s="13" t="n"/>
      <c r="F34" s="13" t="n"/>
      <c r="G34" s="13" t="n"/>
      <c r="H34" s="13" t="n"/>
      <c r="I34" s="13" t="n"/>
      <c r="J34" s="13" t="n"/>
      <c r="K34" s="13" t="n"/>
      <c r="L34" s="13" t="n"/>
      <c r="M34" s="13" t="n"/>
      <c r="N34" s="13" t="n"/>
      <c r="O34" s="13" t="n"/>
      <c r="P34" s="13" t="n"/>
      <c r="Q34" s="13" t="n"/>
      <c r="R34" s="13" t="n"/>
      <c r="S34" s="1103" t="n"/>
      <c r="T34" s="13" t="n"/>
      <c r="U34" s="13" t="n"/>
      <c r="V34" s="13" t="n"/>
      <c r="W34" s="13" t="n"/>
      <c r="X34" s="171" t="n"/>
      <c r="Y34" s="601" t="n"/>
      <c r="Z34" s="1238" t="n"/>
      <c r="AA34" s="1238" t="n"/>
      <c r="AB34" s="1238" t="n"/>
      <c r="AC34" s="1238" t="n"/>
      <c r="AD34" s="1238" t="n"/>
      <c r="AE34" s="1238" t="n"/>
      <c r="AF34" s="1238" t="n"/>
      <c r="AG34" s="1238" t="n"/>
      <c r="AH34" s="1238" t="n"/>
      <c r="AI34" s="1238" t="n"/>
      <c r="AJ34" s="1238" t="n"/>
      <c r="AK34" s="1238" t="n"/>
      <c r="AL34" s="13" t="n"/>
    </row>
    <row r="35" ht="10.5" customFormat="1" customHeight="1" s="644">
      <c r="A35" s="13" t="n"/>
      <c r="B35" s="1103" t="n"/>
      <c r="C35" s="1103" t="n"/>
      <c r="D35" s="1103" t="n"/>
      <c r="E35" s="13" t="n"/>
      <c r="F35" s="13" t="n"/>
      <c r="G35" s="13" t="n"/>
      <c r="H35" s="13" t="n"/>
      <c r="I35" s="13" t="n"/>
      <c r="J35" s="13" t="n"/>
      <c r="K35" s="13" t="n"/>
      <c r="L35" s="13" t="n"/>
      <c r="M35" s="13" t="n"/>
      <c r="N35" s="13" t="n"/>
      <c r="O35" s="13" t="n"/>
      <c r="P35" s="13" t="n"/>
      <c r="Q35" s="13" t="n"/>
      <c r="R35" s="13" t="n"/>
      <c r="S35" s="1103" t="n"/>
      <c r="T35" s="13" t="n"/>
      <c r="U35" s="13" t="n"/>
      <c r="V35" s="13" t="n"/>
      <c r="W35" s="13" t="n"/>
      <c r="X35" s="171" t="n"/>
      <c r="Y35" s="601" t="n"/>
      <c r="Z35" s="1238" t="n"/>
      <c r="AA35" s="1238" t="n"/>
      <c r="AB35" s="1238" t="n"/>
      <c r="AC35" s="1238" t="n"/>
      <c r="AD35" s="1238" t="n"/>
      <c r="AE35" s="1238" t="n"/>
      <c r="AF35" s="1238" t="n"/>
      <c r="AG35" s="1238" t="n"/>
      <c r="AH35" s="1238" t="n"/>
      <c r="AI35" s="1238" t="n"/>
      <c r="AJ35" s="1238" t="n"/>
      <c r="AK35" s="1238" t="n"/>
      <c r="AL35" s="13" t="n"/>
    </row>
    <row r="36" ht="32.25" customFormat="1" customHeight="1" s="155">
      <c r="A36" s="384" t="n"/>
      <c r="B36" s="384" t="n"/>
      <c r="C36" s="384" t="n"/>
      <c r="D36" s="384" t="n"/>
      <c r="E36" s="384" t="n"/>
      <c r="F36" s="384" t="n"/>
      <c r="G36" s="384" t="n"/>
      <c r="H36" s="384" t="n"/>
      <c r="I36" s="384" t="n"/>
      <c r="J36" s="384" t="n"/>
      <c r="K36" s="384" t="n"/>
      <c r="L36" s="384" t="n"/>
      <c r="M36" s="384" t="n"/>
      <c r="N36" s="384" t="n"/>
      <c r="O36" s="384" t="n"/>
      <c r="P36" s="384" t="n"/>
      <c r="Q36" s="384" t="n"/>
      <c r="R36" s="384" t="n"/>
      <c r="S36" s="32" t="n"/>
      <c r="T36" s="384" t="n"/>
      <c r="U36" s="384" t="n"/>
      <c r="V36" s="384" t="n"/>
      <c r="W36" s="384" t="n"/>
      <c r="X36" s="38" t="n"/>
      <c r="Y36" s="706" t="n"/>
      <c r="Z36" s="1243" t="n"/>
      <c r="AA36" s="1237" t="n"/>
      <c r="AB36" s="1237" t="n"/>
      <c r="AC36" s="1237" t="n"/>
      <c r="AD36" s="1237" t="n"/>
      <c r="AE36" s="1244" t="inlineStr">
        <is>
          <t>资产负债比较表二-查询</t>
        </is>
      </c>
      <c r="AF36" s="1237" t="n"/>
      <c r="AG36" s="1237" t="n"/>
      <c r="AH36" s="1237" t="n"/>
      <c r="AI36" s="1237" t="n"/>
      <c r="AJ36" s="1237" t="n"/>
      <c r="AK36" s="1237" t="n"/>
      <c r="AL36" s="384" t="n"/>
    </row>
    <row r="37" ht="15.2" customFormat="1" customHeight="1" s="489">
      <c r="A37" s="716" t="n"/>
      <c r="B37" s="716" t="n"/>
      <c r="C37" s="716" t="n"/>
      <c r="D37" s="716" t="n"/>
      <c r="E37" s="716" t="n"/>
      <c r="F37" s="716" t="n"/>
      <c r="G37" s="716" t="n"/>
      <c r="H37" s="716" t="n"/>
      <c r="I37" s="716" t="n"/>
      <c r="J37" s="716" t="n"/>
      <c r="K37" s="716" t="n"/>
      <c r="L37" s="716" t="n"/>
      <c r="M37" s="716" t="n"/>
      <c r="N37" s="716" t="n"/>
      <c r="O37" s="716" t="n"/>
      <c r="P37" s="716" t="n"/>
      <c r="Q37" s="716" t="n"/>
      <c r="R37" s="716" t="n"/>
      <c r="S37" s="462">
        <f>IF(D21="全部实体",D26,D21)</f>
        <v/>
      </c>
      <c r="T37" s="716" t="n"/>
      <c r="U37" s="716" t="n"/>
      <c r="V37" s="716" t="n"/>
      <c r="W37" s="716" t="n"/>
      <c r="X37" s="190">
        <f>IF(_epmOfflineCondition_,"编制单位：内蒙古京能苏尼特风力发电有限公司（内蒙古分公司）","编制单位："&amp;EPMMemberDesc($S$37))</f>
        <v/>
      </c>
      <c r="Y37" s="707" t="n"/>
      <c r="Z37" s="1243" t="n"/>
      <c r="AA37" s="1245" t="n"/>
      <c r="AB37" s="1245" t="n"/>
      <c r="AC37" s="1245" t="n"/>
      <c r="AD37" s="1245" t="n"/>
      <c r="AE37" s="1245" t="n"/>
      <c r="AF37" s="1245" t="n"/>
      <c r="AG37" s="1245" t="n"/>
      <c r="AH37" s="1245" t="n"/>
      <c r="AI37" s="1245" t="n"/>
      <c r="AJ37" s="1245" t="n"/>
      <c r="AK37" s="1245" t="n"/>
      <c r="AL37" s="716" t="n"/>
    </row>
    <row r="38" ht="15.2" customFormat="1" customHeight="1" s="489">
      <c r="A38" s="716" t="n"/>
      <c r="B38" s="716" t="n"/>
      <c r="C38" s="716" t="n"/>
      <c r="D38" s="716" t="n"/>
      <c r="E38" s="716" t="n"/>
      <c r="F38" s="716" t="n"/>
      <c r="G38" s="716" t="n"/>
      <c r="H38" s="716" t="n"/>
      <c r="I38" s="716" t="n"/>
      <c r="J38" s="716" t="n"/>
      <c r="K38" s="716" t="n"/>
      <c r="L38" s="716" t="n"/>
      <c r="M38" s="716" t="n"/>
      <c r="N38" s="716" t="n"/>
      <c r="O38" s="716" t="n"/>
      <c r="P38" s="716" t="n"/>
      <c r="Q38" s="716" t="n"/>
      <c r="R38" s="716" t="n"/>
      <c r="S38" s="462" t="n"/>
      <c r="T38" s="716" t="n"/>
      <c r="U38" s="716" t="n"/>
      <c r="V38" s="716" t="n"/>
      <c r="W38" s="716" t="n"/>
      <c r="X38" s="190">
        <f>"编制月份："&amp;$I$3&amp;"年"&amp;$I$8&amp;"月"</f>
        <v/>
      </c>
      <c r="Y38" s="190" t="inlineStr">
        <is>
          <t>币种：</t>
        </is>
      </c>
      <c r="Z38" s="1245" t="inlineStr">
        <is>
          <t>LC</t>
        </is>
      </c>
      <c r="AA38" s="1245" t="n"/>
      <c r="AB38" s="1245" t="n"/>
      <c r="AC38" s="1245" t="n"/>
      <c r="AD38" s="1245" t="n"/>
      <c r="AE38" s="1245" t="n"/>
      <c r="AF38" s="1245" t="n"/>
      <c r="AG38" s="1245" t="n"/>
      <c r="AH38" s="1245" t="n"/>
      <c r="AI38" s="1245" t="n"/>
      <c r="AJ38" s="1245" t="n"/>
      <c r="AK38" s="1245" t="n"/>
      <c r="AL38" s="190" t="inlineStr">
        <is>
          <t>金额单位：元</t>
        </is>
      </c>
    </row>
    <row r="39" ht="15.2" customFormat="1" customHeight="1" s="716">
      <c r="A39" s="716" t="n"/>
      <c r="B39" s="716" t="n"/>
      <c r="C39" s="716" t="n"/>
      <c r="D39" s="716" t="n"/>
      <c r="E39" s="716" t="n"/>
      <c r="F39" s="716" t="n"/>
      <c r="G39" s="716" t="n"/>
      <c r="H39" s="716" t="n"/>
      <c r="I39" s="716" t="n"/>
      <c r="J39" s="716" t="n"/>
      <c r="K39" s="716" t="n"/>
      <c r="L39" s="716" t="n"/>
      <c r="M39" s="716" t="n"/>
      <c r="N39" s="716" t="n"/>
      <c r="O39" s="716" t="n"/>
      <c r="P39" s="716" t="n"/>
      <c r="Q39" s="716" t="n"/>
      <c r="R39" s="716" t="n"/>
      <c r="S39" s="462" t="n"/>
      <c r="T39" s="716" t="n"/>
      <c r="U39" s="716" t="n"/>
      <c r="V39" s="716" t="n"/>
      <c r="W39" s="716" t="n"/>
      <c r="X39" s="450" t="inlineStr">
        <is>
          <t>项目</t>
        </is>
      </c>
      <c r="Y39" s="450" t="inlineStr">
        <is>
          <t>行次</t>
        </is>
      </c>
      <c r="Z39" s="1247" t="inlineStr">
        <is>
          <t>期末数</t>
        </is>
      </c>
      <c r="AA39" s="1247" t="inlineStr">
        <is>
          <t>对比年初</t>
        </is>
      </c>
      <c r="AB39" s="1182" t="n"/>
      <c r="AC39" s="1183" t="n"/>
      <c r="AD39" s="1247" t="inlineStr">
        <is>
          <t>对比上月</t>
        </is>
      </c>
      <c r="AE39" s="1182" t="n"/>
      <c r="AF39" s="1183" t="n"/>
      <c r="AG39" s="1247" t="inlineStr">
        <is>
          <t>对比上年同期</t>
        </is>
      </c>
      <c r="AH39" s="1182" t="n"/>
      <c r="AI39" s="1183" t="n"/>
      <c r="AJ39" s="712" t="inlineStr">
        <is>
          <t>年度预算完成情况</t>
        </is>
      </c>
      <c r="AK39" s="1182" t="n"/>
      <c r="AL39" s="1183" t="n"/>
    </row>
    <row r="40" ht="15.2" customFormat="1" customHeight="1" s="716">
      <c r="A40" s="716" t="n"/>
      <c r="B40" s="716" t="n"/>
      <c r="C40" s="716" t="n"/>
      <c r="D40" s="716" t="n"/>
      <c r="E40" s="716" t="n"/>
      <c r="F40" s="716" t="n"/>
      <c r="G40" s="716" t="n"/>
      <c r="H40" s="716" t="n"/>
      <c r="I40" s="716" t="n"/>
      <c r="J40" s="716" t="n"/>
      <c r="K40" s="716" t="n"/>
      <c r="L40" s="716" t="n"/>
      <c r="M40" s="716" t="n"/>
      <c r="N40" s="716" t="n"/>
      <c r="O40" s="716" t="n"/>
      <c r="P40" s="716" t="n"/>
      <c r="Q40" s="716" t="n"/>
      <c r="R40" s="716" t="n"/>
      <c r="S40" s="462" t="n"/>
      <c r="T40" s="716" t="n"/>
      <c r="U40" s="716" t="n"/>
      <c r="V40" s="716" t="n"/>
      <c r="W40" s="716" t="n"/>
      <c r="X40" s="1184" t="n"/>
      <c r="Y40" s="1184" t="n"/>
      <c r="Z40" s="1184" t="n"/>
      <c r="AA40" s="1247" t="inlineStr">
        <is>
          <t>年初数</t>
        </is>
      </c>
      <c r="AB40" s="1247" t="inlineStr">
        <is>
          <t>增减额</t>
        </is>
      </c>
      <c r="AC40" s="1247" t="inlineStr">
        <is>
          <t>增减%</t>
        </is>
      </c>
      <c r="AD40" s="1247" t="inlineStr">
        <is>
          <t>上月数</t>
        </is>
      </c>
      <c r="AE40" s="1247" t="inlineStr">
        <is>
          <t>增减额</t>
        </is>
      </c>
      <c r="AF40" s="1247" t="inlineStr">
        <is>
          <t>增减%</t>
        </is>
      </c>
      <c r="AG40" s="1247" t="inlineStr">
        <is>
          <t>上年同期数</t>
        </is>
      </c>
      <c r="AH40" s="1247" t="inlineStr">
        <is>
          <t>增减额</t>
        </is>
      </c>
      <c r="AI40" s="1247" t="inlineStr">
        <is>
          <t>增减%</t>
        </is>
      </c>
      <c r="AJ40" s="1248" t="inlineStr">
        <is>
          <t>本年预算数</t>
        </is>
      </c>
      <c r="AK40" s="1248" t="inlineStr">
        <is>
          <t>增减额</t>
        </is>
      </c>
      <c r="AL40" s="712" t="inlineStr">
        <is>
          <t>完成%</t>
        </is>
      </c>
    </row>
    <row r="41" hidden="1" ht="15.2" customFormat="1" customHeight="1" s="716">
      <c r="A41" s="716" t="n"/>
      <c r="B41" s="716" t="n"/>
      <c r="C41" s="716" t="n"/>
      <c r="D41" s="716" t="n"/>
      <c r="E41" s="716" t="n"/>
      <c r="F41" s="716" t="n"/>
      <c r="G41" s="716" t="n"/>
      <c r="H41" s="716" t="n"/>
      <c r="I41" s="716" t="n"/>
      <c r="J41" s="716" t="n"/>
      <c r="K41" s="716" t="n"/>
      <c r="L41" s="716" t="n"/>
      <c r="M41" s="716" t="n"/>
      <c r="N41" s="716" t="n"/>
      <c r="O41" s="716" t="n"/>
      <c r="P41" s="716" t="n"/>
      <c r="Q41" s="716" t="n"/>
      <c r="R41" s="716" t="n"/>
      <c r="S41" s="462" t="n"/>
      <c r="T41" s="716" t="n"/>
      <c r="U41" s="716" t="n"/>
      <c r="V41" s="716" t="n"/>
      <c r="W41" s="716" t="n"/>
      <c r="X41" s="451" t="inlineStr">
        <is>
          <t>time</t>
        </is>
      </c>
      <c r="Y41" s="707" t="n"/>
      <c r="Z41" s="648">
        <f>IF(_epmOfflineCondition_,"2025.03",EPMOlapMemberO(I11,"[C_TIME].[PARENTH1].[2025.03]","2025.03 - 2025.03","","000"))</f>
        <v/>
      </c>
      <c r="AA41" s="648">
        <f>IF(_epmOfflineCondition_,"2025.03",EPMOlapMemberO($AB$26,"[C_TIME].[PARENTH1].[2025.03]","2025.03 - 2025.03","","000"))</f>
        <v/>
      </c>
      <c r="AB41" s="1254" t="n"/>
      <c r="AC41" s="1254" t="n"/>
      <c r="AD41" s="648">
        <f>IF(_epmOfflineCondition_,"2025.02",EPMOlapMemberO($I$12,"[C_TIME].[PARENTH1].[2025.02]","2025.02 - 2025.02","","000"))</f>
        <v/>
      </c>
      <c r="AE41" s="1254" t="n"/>
      <c r="AF41" s="1254" t="n"/>
      <c r="AG41" s="648">
        <f>IF(_epmOfflineCondition_,"2024.03",EPMOlapMemberO(I13,"[C_TIME].[PARENTH1].[2024.03]","2024.03 - 2024.03","","000"))</f>
        <v/>
      </c>
      <c r="AH41" s="1254" t="n"/>
      <c r="AI41" s="1254" t="n"/>
      <c r="AJ41" s="648">
        <f>IF(_epmOfflineCondition_,"YTD",EPMOlapMemberO(AJ27,"[C_TIME].[PARENTH1].[2025.03]","2025.03 - 2025.03","","000"))</f>
        <v/>
      </c>
      <c r="AK41" s="182">
        <f>IF(_epmOfflineCondition_,"YTD",EPMOlapMemberO(AJ27,"[C_TIME].[PARENTH1].[2025.03]","2025.03 - 2025.03","","000"))</f>
        <v/>
      </c>
      <c r="AL41" s="182">
        <f>IF(_epmOfflineCondition_,"YTD",EPMOlapMemberO(AJ27,"[C_TIME].[PARENTH1].[2025.03]","2025.03 - 2025.03","","000"))</f>
        <v/>
      </c>
    </row>
    <row r="42" hidden="1" ht="14.25" customFormat="1" customHeight="1" s="716">
      <c r="A42" s="716" t="n"/>
      <c r="B42" s="716" t="n"/>
      <c r="C42" s="716" t="n"/>
      <c r="D42" s="716" t="n"/>
      <c r="E42" s="716" t="n"/>
      <c r="F42" s="716" t="n"/>
      <c r="G42" s="716" t="n"/>
      <c r="H42" s="716" t="n"/>
      <c r="I42" s="716" t="n"/>
      <c r="J42" s="716" t="n"/>
      <c r="K42" s="716" t="n"/>
      <c r="L42" s="716" t="n"/>
      <c r="M42" s="716" t="n"/>
      <c r="N42" s="716" t="n"/>
      <c r="O42" s="716" t="n"/>
      <c r="P42" s="716" t="n"/>
      <c r="Q42" s="716" t="n"/>
      <c r="R42" s="716" t="n"/>
      <c r="S42" s="462" t="n"/>
      <c r="T42" s="716" t="n"/>
      <c r="U42" s="716" t="n"/>
      <c r="V42" s="716" t="n"/>
      <c r="W42" s="716" t="n"/>
      <c r="X42" s="451" t="inlineStr">
        <is>
          <t>category</t>
        </is>
      </c>
      <c r="Y42" s="451" t="n"/>
      <c r="Z42" s="182">
        <f>IF(_epmOfflineCondition_,"C1001",EPMOlapMemberO($AB$25,"[C_CATEGORY].[PARENTH1].[C1001]","C1001 - 实际数/决算数","","000"))</f>
        <v/>
      </c>
      <c r="AA42" s="182">
        <f>IF(_epmOfflineCondition_,"C1001",EPMOlapMemberO($AB$25,"[C_CATEGORY].[PARENTH1].[C1001]","C1001 - 实际数/决算数","","000"))</f>
        <v/>
      </c>
      <c r="AB42" s="1239" t="n"/>
      <c r="AC42" s="1239" t="n"/>
      <c r="AD42" s="182">
        <f>IF(_epmOfflineCondition_,"C1001",EPMOlapMemberO($AB$25,"[C_CATEGORY].[PARENTH1].[C1001]","C1001 - 实际数/决算数","","000"))</f>
        <v/>
      </c>
      <c r="AE42" s="1239" t="n"/>
      <c r="AF42" s="1239" t="n"/>
      <c r="AG42" s="182">
        <f>IF(_epmOfflineCondition_,"C1001",EPMOlapMemberO($AB$25,"[C_CATEGORY].[PARENTH1].[C1001]","C1001 - 实际数/决算数","","000"))</f>
        <v/>
      </c>
      <c r="AH42" s="1239" t="n"/>
      <c r="AI42" s="1239" t="n"/>
      <c r="AJ42" s="182">
        <f>IF(_epmOfflineCondition_,"C3002",EPMOlapMemberO($AJ$25,"[C_CATEGORY].[PARENTH1].[C3002]","C3002 - 月度预算（原""预算数（终稿）"")","","000"))</f>
        <v/>
      </c>
      <c r="AK42" s="182">
        <f>IF(_epmOfflineCondition_,"C3002",EPMOlapMemberO($AJ$25,"[C_CATEGORY].[PARENTH1].[C3002]","C3002 - 月度预算（原""预算数（终稿）"")","","000"))</f>
        <v/>
      </c>
      <c r="AL42" s="182">
        <f>IF(_epmOfflineCondition_,"C3002",EPMOlapMemberO($AJ$25,"[C_CATEGORY].[PARENTH1].[C3002]","C3002 - 月度预算（原""预算数（终稿）"")","","000"))</f>
        <v/>
      </c>
    </row>
    <row r="43" hidden="1" ht="14.25" customFormat="1" customHeight="1" s="716">
      <c r="A43" s="716" t="n"/>
      <c r="B43" s="716" t="n"/>
      <c r="C43" s="716" t="n"/>
      <c r="D43" s="716" t="n"/>
      <c r="E43" s="716" t="n"/>
      <c r="F43" s="716" t="n"/>
      <c r="G43" s="716" t="n"/>
      <c r="H43" s="716" t="n"/>
      <c r="I43" s="716" t="n"/>
      <c r="J43" s="716" t="n"/>
      <c r="K43" s="716" t="n"/>
      <c r="L43" s="716" t="n"/>
      <c r="M43" s="716" t="n"/>
      <c r="N43" s="716" t="n"/>
      <c r="O43" s="716" t="n"/>
      <c r="P43" s="716" t="n"/>
      <c r="Q43" s="716" t="n"/>
      <c r="R43" s="716" t="n"/>
      <c r="S43" s="462" t="n"/>
      <c r="T43" s="716" t="n"/>
      <c r="U43" s="716" t="n"/>
      <c r="V43" s="716" t="n"/>
      <c r="W43" s="716" t="n"/>
      <c r="X43" s="451" t="inlineStr">
        <is>
          <t>AUDITTRAIL</t>
        </is>
      </c>
      <c r="Y43" s="451" t="n"/>
      <c r="Z43" s="182">
        <f>IF(_epmOfflineCondition_,"DALL",EPMOlapMemberO($AD$29,"[C_AUDITTRAIL].[PARENTH1].[DALL]","DALL - 合并后","","000"))</f>
        <v/>
      </c>
      <c r="AA43" s="182">
        <f>IF(_epmOfflineCondition_,"DALL",EPMOlapMemberO($AD$29,"[C_AUDITTRAIL].[PARENTH1].[DALL]","DALL - 合并后","","000"))</f>
        <v/>
      </c>
      <c r="AB43" s="1255" t="n"/>
      <c r="AC43" s="1255" t="n"/>
      <c r="AD43" s="182">
        <f>IF(_epmOfflineCondition_,"DALL",EPMOlapMemberO($AD$29,"[C_AUDITTRAIL].[PARENTH1].[DALL]","DALL - 合并后","","000"))</f>
        <v/>
      </c>
      <c r="AE43" s="1239" t="n"/>
      <c r="AF43" s="1239" t="n"/>
      <c r="AG43" s="182">
        <f>IF(_epmOfflineCondition_,"DALL",EPMOlapMemberO($AD$29,"[C_AUDITTRAIL].[PARENTH1].[DALL]","DALL - 合并后","","000"))</f>
        <v/>
      </c>
      <c r="AH43" s="1239" t="n"/>
      <c r="AI43" s="1239" t="n"/>
      <c r="AJ43" s="182">
        <f>IF(_epmOfflineCondition_,"DALL",EPMOlapMemberO($AJ$29,"[C_AUDITTRAIL].[PARENTH1].[DALL]","DALL - 合并后","","000"))</f>
        <v/>
      </c>
      <c r="AK43" s="182">
        <f>IF(_epmOfflineCondition_,"DALL",EPMOlapMemberO($AJ$29,"[C_AUDITTRAIL].[PARENTH1].[DALL]","DALL - 合并后","","000"))</f>
        <v/>
      </c>
      <c r="AL43" s="182">
        <f>IF(_epmOfflineCondition_,"DALL",EPMOlapMemberO($AJ$29,"[C_AUDITTRAIL].[PARENTH1].[DALL]","DALL - 合并后","","000"))</f>
        <v/>
      </c>
    </row>
    <row r="44" hidden="1" ht="13.5" customFormat="1" customHeight="1" s="716">
      <c r="A44" s="716" t="n"/>
      <c r="B44" s="716" t="n"/>
      <c r="C44" s="716" t="n"/>
      <c r="D44" s="716" t="n"/>
      <c r="E44" s="716" t="n"/>
      <c r="F44" s="716" t="n"/>
      <c r="G44" s="716" t="n"/>
      <c r="H44" s="716" t="n"/>
      <c r="I44" s="716" t="n"/>
      <c r="J44" s="716" t="n"/>
      <c r="K44" s="716" t="n"/>
      <c r="L44" s="716" t="n"/>
      <c r="M44" s="716" t="n"/>
      <c r="N44" s="716" t="n"/>
      <c r="O44" s="716" t="n"/>
      <c r="P44" s="716" t="n"/>
      <c r="Q44" s="716" t="n"/>
      <c r="R44" s="716" t="n"/>
      <c r="S44" s="462" t="n"/>
      <c r="T44" s="716" t="n"/>
      <c r="U44" s="716" t="n"/>
      <c r="V44" s="716" t="n"/>
      <c r="W44" s="716" t="n"/>
      <c r="X44" s="451" t="inlineStr">
        <is>
          <t>flow</t>
        </is>
      </c>
      <c r="Y44" s="451" t="n"/>
      <c r="Z44" s="182">
        <f>IF(_epmOfflineCondition_,"FEND",EPMOlapMemberO(AE28,"[C_FLOW].[PARENTH1].[FEND]","FEND - 期末金额","","000"))</f>
        <v/>
      </c>
      <c r="AA44" s="182">
        <f>IF(_epmOfflineCondition_,"F00T",EPMOlapMemberO($AG$28,"[C_FLOW].[PARENTH1].[F00T]","F00T - 期初金额","","000"))</f>
        <v/>
      </c>
      <c r="AB44" s="1239" t="n"/>
      <c r="AC44" s="1239" t="n"/>
      <c r="AD44" s="182">
        <f>IF(_epmOfflineCondition_,"FEND",EPMOlapMemberO($AE$28,"[C_FLOW].[PARENTH1].[FEND]","FEND - 期末金额","","000"))</f>
        <v/>
      </c>
      <c r="AE44" s="1239" t="n"/>
      <c r="AF44" s="1239" t="n"/>
      <c r="AG44" s="182">
        <f>IF(_epmOfflineCondition_,"FEND",EPMOlapMemberO($AE$28,"[C_FLOW].[PARENTH1].[FEND]","FEND - 期末金额","","000"))</f>
        <v/>
      </c>
      <c r="AH44" s="1239" t="n"/>
      <c r="AI44" s="1239" t="n"/>
      <c r="AJ44" s="182">
        <f>IF(_epmOfflineCondition_,"FEND",EPMOlapMemberO($AJ$28,"[C_FLOW].[PARENTH1].[FEND]","FEND - 期末金额","","000"))</f>
        <v/>
      </c>
      <c r="AK44" s="182">
        <f>IF(_epmOfflineCondition_,"FEND",EPMOlapMemberO($AJ$28,"[C_FLOW].[PARENTH1].[FEND]","FEND - 期末金额","","000"))</f>
        <v/>
      </c>
      <c r="AL44" s="182">
        <f>IF(_epmOfflineCondition_,"FEND",EPMOlapMemberO($AJ$28,"[C_FLOW].[PARENTH1].[FEND]","FEND - 期末金额","","000"))</f>
        <v/>
      </c>
    </row>
    <row r="45" hidden="1" ht="13.5" customFormat="1" customHeight="1" s="716">
      <c r="A45" s="716" t="n"/>
      <c r="B45" s="716" t="n"/>
      <c r="C45" s="716" t="n"/>
      <c r="D45" s="716" t="n"/>
      <c r="E45" s="716" t="n"/>
      <c r="F45" s="716" t="n"/>
      <c r="G45" s="716" t="n"/>
      <c r="H45" s="716" t="n"/>
      <c r="I45" s="716" t="n"/>
      <c r="J45" s="716" t="n"/>
      <c r="K45" s="716" t="n"/>
      <c r="L45" s="716" t="n"/>
      <c r="M45" s="716" t="n"/>
      <c r="N45" s="716" t="n"/>
      <c r="O45" s="716" t="n"/>
      <c r="P45" s="716" t="n"/>
      <c r="Q45" s="716" t="n"/>
      <c r="R45" s="716" t="n"/>
      <c r="S45" s="462" t="n"/>
      <c r="T45" s="716" t="n"/>
      <c r="U45" s="716" t="n"/>
      <c r="V45" s="716" t="n"/>
      <c r="W45" s="716" t="n"/>
      <c r="X45" s="451" t="inlineStr">
        <is>
          <t>measures</t>
        </is>
      </c>
      <c r="Y45" s="451" t="n"/>
      <c r="Z45" s="182">
        <f>IF(_epmOfflineCondition_,"YTD",EPMOlapMemberO($AB$27,"[MEASURES].[].[YTD]","YTD - Year To Date","","000"))</f>
        <v/>
      </c>
      <c r="AA45" s="182">
        <f>IF(_epmOfflineCondition_,"YTD",EPMOlapMemberO($AB$27,"[MEASURES].[].[YTD]","YTD - Year To Date","","000"))</f>
        <v/>
      </c>
      <c r="AB45" s="1239" t="n"/>
      <c r="AC45" s="1239" t="n"/>
      <c r="AD45" s="182">
        <f>IF(_epmOfflineCondition_,"YTD",EPMOlapMemberO($AB$27,"[MEASURES].[].[YTD]","YTD - Year To Date","","000"))</f>
        <v/>
      </c>
      <c r="AE45" s="1239" t="n"/>
      <c r="AF45" s="1239" t="n"/>
      <c r="AG45" s="182">
        <f>IF(_epmOfflineCondition_,"YTD",EPMOlapMemberO($AB$27,"[MEASURES].[].[YTD]","YTD - Year To Date","","000"))</f>
        <v/>
      </c>
      <c r="AH45" s="1239" t="n"/>
      <c r="AI45" s="1239" t="n"/>
      <c r="AJ45" s="182">
        <f>IF(_epmOfflineCondition_,"YTD",EPMOlapMemberO($AJ$27,"[MEASURES].[].[YTD]","YTD - Year To Date","","000"))</f>
        <v/>
      </c>
      <c r="AK45" s="182">
        <f>IF(_epmOfflineCondition_,"YTD",EPMOlapMemberO($AJ$27,"[MEASURES].[].[YTD]","YTD - Year To Date","","000"))</f>
        <v/>
      </c>
      <c r="AL45" s="182">
        <f>IF(_epmOfflineCondition_,"YTD",EPMOlapMemberO($AJ$27,"[MEASURES].[].[YTD]","YTD - Year To Date","","000"))</f>
        <v/>
      </c>
    </row>
    <row r="46" hidden="1" ht="13.5" customFormat="1" customHeight="1" s="716">
      <c r="A46" s="716" t="n"/>
      <c r="B46" s="716" t="n"/>
      <c r="C46" s="716" t="n"/>
      <c r="D46" s="716" t="n"/>
      <c r="E46" s="716" t="n"/>
      <c r="F46" s="716" t="n"/>
      <c r="G46" s="716" t="n"/>
      <c r="H46" s="716" t="n"/>
      <c r="I46" s="716" t="n"/>
      <c r="J46" s="716" t="n"/>
      <c r="K46" s="716" t="n"/>
      <c r="L46" s="716" t="n"/>
      <c r="M46" s="716" t="n"/>
      <c r="N46" s="716" t="n"/>
      <c r="O46" s="716" t="n"/>
      <c r="P46" s="716" t="n"/>
      <c r="Q46" s="716" t="n"/>
      <c r="R46" s="716" t="n"/>
      <c r="S46" s="462" t="n"/>
      <c r="T46" s="716" t="n"/>
      <c r="U46" s="716" t="n"/>
      <c r="V46" s="716" t="n"/>
      <c r="W46" s="716" t="n"/>
      <c r="X46" s="451" t="inlineStr">
        <is>
          <t>CURRENCY</t>
        </is>
      </c>
      <c r="Y46" s="451" t="n"/>
      <c r="Z46" s="182">
        <f>IF(_epmOfflineCondition_,"LC",EPMOlapMemberO(Z30,"[C_RPTCURRENCY].[].[LC]","LC - 本位币","","000"))</f>
        <v/>
      </c>
      <c r="AA46" s="182">
        <f>IF(_epmOfflineCondition_,"LC",EPMOlapMemberO(AA30,"[C_RPTCURRENCY].[].[LC]","LC - 本位币","","000"))</f>
        <v/>
      </c>
      <c r="AB46" s="1239" t="n"/>
      <c r="AC46" s="1239" t="n"/>
      <c r="AD46" s="182">
        <f>IF(_epmOfflineCondition_,"LC",EPMOlapMemberO(AD30,"[C_RPTCURRENCY].[].[LC]","LC - 本位币","","000"))</f>
        <v/>
      </c>
      <c r="AE46" s="1239" t="n"/>
      <c r="AF46" s="1239" t="n"/>
      <c r="AG46" s="182">
        <f>IF(_epmOfflineCondition_,"LC",EPMOlapMemberO(AG30,"[C_RPTCURRENCY].[].[LC]","LC - 本位币","","000"))</f>
        <v/>
      </c>
      <c r="AH46" s="1239" t="n"/>
      <c r="AI46" s="1239" t="n"/>
      <c r="AJ46" s="182">
        <f>IF(_epmOfflineCondition_,"CNY",EPMOlapMemberO(AJ30,"[C_RPTCURRENCY].[].[CNY]","CNY - 人民币","","000"))</f>
        <v/>
      </c>
      <c r="AK46" s="182">
        <f>IF(_epmOfflineCondition_,"CNY",EPMOlapMemberO(AK30,"[C_RPTCURRENCY].[].[CNY]","CNY - 人民币","","000"))</f>
        <v/>
      </c>
      <c r="AL46" s="182">
        <f>IF(_epmOfflineCondition_,"CNY",EPMOlapMemberO(AL30,"[C_RPTCURRENCY].[].[CNY]","CNY - 人民币","","000"))</f>
        <v/>
      </c>
    </row>
    <row r="47" ht="14.45" customFormat="1" customHeight="1" s="716">
      <c r="A47" s="716" t="n"/>
      <c r="B47" s="716" t="n"/>
      <c r="C47" s="716" t="n"/>
      <c r="D47" s="716" t="n"/>
      <c r="E47" s="716" t="n"/>
      <c r="F47" s="716" t="n"/>
      <c r="G47" s="716" t="n"/>
      <c r="H47" s="716" t="n"/>
      <c r="I47" s="716" t="n"/>
      <c r="J47" s="716" t="n"/>
      <c r="K47" s="716" t="n"/>
      <c r="L47" s="716" t="n"/>
      <c r="M47" s="716" t="n"/>
      <c r="N47" s="716" t="n"/>
      <c r="O47" s="716" t="n"/>
      <c r="P47" s="716" t="n"/>
      <c r="Q47" s="716" t="n"/>
      <c r="R47" s="716" t="n"/>
      <c r="S47" s="462">
        <f>IF(_epmOfflineCondition_,"流动负债：",EPMMemberDesc(U47))</f>
        <v/>
      </c>
      <c r="T47" s="716" t="n"/>
      <c r="U47" s="395" t="inlineStr">
        <is>
          <t>A0010399</t>
        </is>
      </c>
      <c r="V47" s="462">
        <f>IF(_epmOfflineCondition_,"A0010399",EPMOlapMemberO(U47,"[C_ACCOUNT].[PARENTH1].[A0010399]","A0010399 - 流动负债：","","000"))</f>
        <v/>
      </c>
      <c r="W47" s="462" t="n"/>
      <c r="X47" s="1045" t="inlineStr">
        <is>
          <t>流动负债：</t>
        </is>
      </c>
      <c r="Y47" s="649" t="inlineStr">
        <is>
          <t>-</t>
        </is>
      </c>
      <c r="Z47" s="1249" t="n"/>
      <c r="AA47" s="1249" t="n"/>
      <c r="AB47" s="1249">
        <f>Z47-AA47</f>
        <v/>
      </c>
      <c r="AC47" s="1249">
        <f>IF(AA47=0,0,(Z47-AA47)/AA47*100)</f>
        <v/>
      </c>
      <c r="AD47" s="1249" t="n"/>
      <c r="AE47" s="1249">
        <f>Z47-AD47</f>
        <v/>
      </c>
      <c r="AF47" s="1249">
        <f>IF(AD47=0,0,(Z47-AD47)/AD47*100)</f>
        <v/>
      </c>
      <c r="AG47" s="1249" t="n"/>
      <c r="AH47" s="1249">
        <f>Z47-AG47</f>
        <v/>
      </c>
      <c r="AI47" s="1249">
        <f>IF(AG47=0,0,(Z47-AG47)/AG47*100)</f>
        <v/>
      </c>
      <c r="AJ47" s="1249" t="n"/>
      <c r="AK47" s="1249">
        <f>AJ47-Z47</f>
        <v/>
      </c>
      <c r="AL47" s="1249">
        <f>IFERROR(Z47/AJ47*100,0)</f>
        <v/>
      </c>
    </row>
    <row r="48" ht="14.45" customFormat="1" customHeight="1" s="716">
      <c r="A48" s="716" t="n"/>
      <c r="B48" s="716" t="n"/>
      <c r="C48" s="716" t="n"/>
      <c r="D48" s="716" t="n"/>
      <c r="E48" s="716" t="n"/>
      <c r="F48" s="716" t="n"/>
      <c r="G48" s="716" t="n"/>
      <c r="H48" s="716" t="n"/>
      <c r="I48" s="716" t="n"/>
      <c r="J48" s="716" t="n"/>
      <c r="K48" s="716" t="n"/>
      <c r="L48" s="716" t="n"/>
      <c r="M48" s="716" t="n"/>
      <c r="N48" s="716" t="n"/>
      <c r="O48" s="716" t="n"/>
      <c r="P48" s="716" t="n"/>
      <c r="Q48" s="716" t="n"/>
      <c r="R48" s="716" t="n"/>
      <c r="S48" s="462">
        <f>IF(_epmOfflineCondition_,"  短期借款",EPMMemberDesc(U48))</f>
        <v/>
      </c>
      <c r="T48" s="716" t="n"/>
      <c r="U48" s="390" t="inlineStr">
        <is>
          <t>A001020101</t>
        </is>
      </c>
      <c r="V48" s="635">
        <f>IF(_epmOfflineCondition_,"A001020101",EPMOlapMemberO(U48,"[C_ACCOUNT].[PARENTH1].[A001020101]","A001020101 -   短期借款","","000"))</f>
        <v/>
      </c>
      <c r="W48" s="462" t="n"/>
      <c r="X48" s="705" t="inlineStr">
        <is>
          <t>短期借款</t>
        </is>
      </c>
      <c r="Y48" s="649" t="inlineStr"/>
      <c r="Z48" s="1249" t="inlineStr"/>
      <c r="AA48" s="1249" t="inlineStr"/>
      <c r="AB48" s="1249">
        <f>Z48-AA48</f>
        <v/>
      </c>
      <c r="AC48" s="1249">
        <f>IF(AA48=0,0,(Z48-AA48)/AA48*100)</f>
        <v/>
      </c>
      <c r="AD48" s="1249" t="inlineStr"/>
      <c r="AE48" s="1249">
        <f>Z48-AD48</f>
        <v/>
      </c>
      <c r="AF48" s="1249">
        <f>IF(AD48=0,0,(Z48-AD48)/AD48*100)</f>
        <v/>
      </c>
      <c r="AG48" s="1249" t="inlineStr"/>
      <c r="AH48" s="1249">
        <f>Z48-AG48</f>
        <v/>
      </c>
      <c r="AI48" s="1249">
        <f>IF(AG48=0,0,(Z48-AG48)/AG48*100)</f>
        <v/>
      </c>
      <c r="AJ48" s="1249" t="n"/>
      <c r="AK48" s="1249">
        <f>AJ48-Z48</f>
        <v/>
      </c>
      <c r="AL48" s="1249">
        <f>IFERROR(Z48/AJ48*100,0)</f>
        <v/>
      </c>
    </row>
    <row r="49" ht="14.45" customFormat="1" customHeight="1" s="716">
      <c r="A49" s="716" t="n"/>
      <c r="B49" s="716" t="n"/>
      <c r="C49" s="716" t="n"/>
      <c r="D49" s="716" t="n"/>
      <c r="E49" s="716" t="n"/>
      <c r="F49" s="716" t="n"/>
      <c r="G49" s="716" t="n"/>
      <c r="H49" s="716" t="n"/>
      <c r="I49" s="716" t="n"/>
      <c r="J49" s="716" t="n"/>
      <c r="K49" s="716" t="n"/>
      <c r="L49" s="716" t="n"/>
      <c r="M49" s="716" t="n"/>
      <c r="N49" s="716" t="n"/>
      <c r="O49" s="716" t="n"/>
      <c r="P49" s="716" t="n"/>
      <c r="Q49" s="716" t="n"/>
      <c r="R49" s="716" t="n"/>
      <c r="S49" s="462">
        <f>IF(_epmOfflineCondition_,"  # 向中央银行借款",EPMMemberDesc(U49))</f>
        <v/>
      </c>
      <c r="T49" s="716" t="n"/>
      <c r="U49" s="390" t="inlineStr">
        <is>
          <t>A001020102</t>
        </is>
      </c>
      <c r="V49" s="635">
        <f>IF(_epmOfflineCondition_,"A001020102",EPMOlapMemberO(U49,"[C_ACCOUNT].[PARENTH1].[A001020102]","A001020102 -   # 向中央银行借款","","000"))</f>
        <v/>
      </c>
      <c r="W49" s="462" t="n"/>
      <c r="X49" s="1046" t="inlineStr">
        <is>
          <t xml:space="preserve">  △向中央银行借款</t>
        </is>
      </c>
      <c r="Y49" s="649" t="inlineStr"/>
      <c r="Z49" s="1249" t="n"/>
      <c r="AA49" s="1249" t="n"/>
      <c r="AB49" s="1249">
        <f>Z49-AA49</f>
        <v/>
      </c>
      <c r="AC49" s="1249">
        <f>IF(AA49=0,0,(Z49-AA49)/AA49*100)</f>
        <v/>
      </c>
      <c r="AD49" s="1249" t="n"/>
      <c r="AE49" s="1249">
        <f>Z49-AD49</f>
        <v/>
      </c>
      <c r="AF49" s="1249">
        <f>IF(AD49=0,0,(Z49-AD49)/AD49*100)</f>
        <v/>
      </c>
      <c r="AG49" s="1249" t="n"/>
      <c r="AH49" s="1249">
        <f>Z49-AG49</f>
        <v/>
      </c>
      <c r="AI49" s="1249">
        <f>IF(AG49=0,0,(Z49-AG49)/AG49*100)</f>
        <v/>
      </c>
      <c r="AJ49" s="1249" t="n"/>
      <c r="AK49" s="1249">
        <f>AJ49-Z49</f>
        <v/>
      </c>
      <c r="AL49" s="1249">
        <f>IFERROR(Z49/AJ49*100,0)</f>
        <v/>
      </c>
    </row>
    <row r="50" ht="14.45" customFormat="1" customHeight="1" s="716">
      <c r="A50" s="716" t="n"/>
      <c r="B50" s="716" t="n"/>
      <c r="C50" s="716" t="n"/>
      <c r="D50" s="716" t="n"/>
      <c r="E50" s="716" t="n"/>
      <c r="F50" s="716" t="n"/>
      <c r="G50" s="716" t="n"/>
      <c r="H50" s="716" t="n"/>
      <c r="I50" s="716" t="n"/>
      <c r="J50" s="716" t="n"/>
      <c r="K50" s="716" t="n"/>
      <c r="L50" s="716" t="n"/>
      <c r="M50" s="716" t="n"/>
      <c r="N50" s="716" t="n"/>
      <c r="O50" s="716" t="n"/>
      <c r="P50" s="716" t="n"/>
      <c r="Q50" s="716" t="n"/>
      <c r="R50" s="716" t="n"/>
      <c r="S50" s="462">
        <f>IF(_epmOfflineCondition_,"  # 吸收存款及同业存放",EPMMemberDesc(U50))</f>
        <v/>
      </c>
      <c r="T50" s="716" t="n"/>
      <c r="U50" s="390" t="inlineStr">
        <is>
          <t>A001020103</t>
        </is>
      </c>
      <c r="V50" s="635">
        <f>IF(_epmOfflineCondition_,"A001020103",EPMOlapMemberO(U50,"[C_ACCOUNT].[PARENTH1].[A001020103]","A001020103 -   # 吸收存款及同业存放","","000"))</f>
        <v/>
      </c>
      <c r="W50" s="462" t="n"/>
      <c r="X50" s="1046" t="inlineStr">
        <is>
          <t xml:space="preserve">  △吸收存款及同业存放</t>
        </is>
      </c>
      <c r="Y50" s="649" t="inlineStr"/>
      <c r="Z50" s="1249" t="n"/>
      <c r="AA50" s="1249" t="n"/>
      <c r="AB50" s="1249">
        <f>Z50-AA50</f>
        <v/>
      </c>
      <c r="AC50" s="1249">
        <f>IF(AA50=0,0,(Z50-AA50)/AA50*100)</f>
        <v/>
      </c>
      <c r="AD50" s="1249" t="n"/>
      <c r="AE50" s="1249">
        <f>Z50-AD50</f>
        <v/>
      </c>
      <c r="AF50" s="1249">
        <f>IF(AD50=0,0,(Z50-AD50)/AD50*100)</f>
        <v/>
      </c>
      <c r="AG50" s="1249" t="n"/>
      <c r="AH50" s="1249">
        <f>Z50-AG50</f>
        <v/>
      </c>
      <c r="AI50" s="1249">
        <f>IF(AG50=0,0,(Z50-AG50)/AG50*100)</f>
        <v/>
      </c>
      <c r="AJ50" s="1249" t="n"/>
      <c r="AK50" s="1249">
        <f>AJ50-Z50</f>
        <v/>
      </c>
      <c r="AL50" s="1249">
        <f>IFERROR(Z50/AJ50*100,0)</f>
        <v/>
      </c>
    </row>
    <row r="51" ht="14.45" customFormat="1" customHeight="1" s="716">
      <c r="A51" s="716" t="n"/>
      <c r="B51" s="716" t="n"/>
      <c r="C51" s="716" t="n"/>
      <c r="D51" s="716" t="n"/>
      <c r="E51" s="716" t="n"/>
      <c r="F51" s="716" t="n"/>
      <c r="G51" s="716" t="n"/>
      <c r="H51" s="716" t="n"/>
      <c r="I51" s="716" t="n"/>
      <c r="J51" s="716" t="n"/>
      <c r="K51" s="716" t="n"/>
      <c r="L51" s="716" t="n"/>
      <c r="M51" s="716" t="n"/>
      <c r="N51" s="716" t="n"/>
      <c r="O51" s="716" t="n"/>
      <c r="P51" s="716" t="n"/>
      <c r="Q51" s="716" t="n"/>
      <c r="R51" s="716" t="n"/>
      <c r="S51" s="462">
        <f>IF(_epmOfflineCondition_,"  # 拆入资金",EPMMemberDesc(U51))</f>
        <v/>
      </c>
      <c r="T51" s="716" t="n"/>
      <c r="U51" s="390" t="inlineStr">
        <is>
          <t>A001020104</t>
        </is>
      </c>
      <c r="V51" s="635">
        <f>IF(_epmOfflineCondition_,"A001020104",EPMOlapMemberO(U51,"[C_ACCOUNT].[PARENTH1].[A001020104]","A001020104 -   # 拆入资金","","000"))</f>
        <v/>
      </c>
      <c r="W51" s="462" t="n"/>
      <c r="X51" s="1046" t="inlineStr">
        <is>
          <t xml:space="preserve">  △拆入资金</t>
        </is>
      </c>
      <c r="Y51" s="649" t="inlineStr"/>
      <c r="Z51" s="1249" t="n"/>
      <c r="AA51" s="1249" t="n"/>
      <c r="AB51" s="1249">
        <f>Z51-AA51</f>
        <v/>
      </c>
      <c r="AC51" s="1249">
        <f>IF(AA51=0,0,(Z51-AA51)/AA51*100)</f>
        <v/>
      </c>
      <c r="AD51" s="1249" t="n"/>
      <c r="AE51" s="1249">
        <f>Z51-AD51</f>
        <v/>
      </c>
      <c r="AF51" s="1249">
        <f>IF(AD51=0,0,(Z51-AD51)/AD51*100)</f>
        <v/>
      </c>
      <c r="AG51" s="1249" t="n"/>
      <c r="AH51" s="1249">
        <f>Z51-AG51</f>
        <v/>
      </c>
      <c r="AI51" s="1249">
        <f>IF(AG51=0,0,(Z51-AG51)/AG51*100)</f>
        <v/>
      </c>
      <c r="AJ51" s="1249" t="n"/>
      <c r="AK51" s="1249">
        <f>AJ51-Z51</f>
        <v/>
      </c>
      <c r="AL51" s="1249">
        <f>IFERROR(Z51/AJ51*100,0)</f>
        <v/>
      </c>
    </row>
    <row r="52" ht="14.45" customFormat="1" customHeight="1" s="716">
      <c r="A52" s="716" t="n"/>
      <c r="B52" s="716" t="n"/>
      <c r="C52" s="716" t="n"/>
      <c r="D52" s="716" t="n"/>
      <c r="E52" s="716" t="n"/>
      <c r="F52" s="716" t="n"/>
      <c r="G52" s="716" t="n"/>
      <c r="H52" s="716" t="n"/>
      <c r="I52" s="716" t="n"/>
      <c r="J52" s="716" t="n"/>
      <c r="K52" s="716" t="n"/>
      <c r="L52" s="716" t="n"/>
      <c r="M52" s="716" t="n"/>
      <c r="N52" s="716" t="n"/>
      <c r="O52" s="716" t="n"/>
      <c r="P52" s="716" t="n"/>
      <c r="Q52" s="716" t="n"/>
      <c r="R52" s="716" t="n"/>
      <c r="S52" s="462">
        <f>IF(_epmOfflineCondition_,"交易性金融负债",EPMMemberDesc(U52))</f>
        <v/>
      </c>
      <c r="T52" s="716" t="n"/>
      <c r="U52" s="390" t="inlineStr">
        <is>
          <t>A2101000000</t>
        </is>
      </c>
      <c r="V52" s="637">
        <f>IF(_epmOfflineCondition_,"A2101000000",EPMOlapMemberO(U52,"[C_ACCOUNT].[PARENTH1].[A2101000000]","A2101000000 - 交易性金融负债","","000"))</f>
        <v/>
      </c>
      <c r="W52" s="462" t="n"/>
      <c r="X52" s="705" t="inlineStr">
        <is>
          <t>交易性金融负债</t>
        </is>
      </c>
      <c r="Y52" s="649" t="inlineStr"/>
      <c r="Z52" s="1249" t="n"/>
      <c r="AA52" s="1249" t="n"/>
      <c r="AB52" s="1249">
        <f>Z52-AA52</f>
        <v/>
      </c>
      <c r="AC52" s="1249">
        <f>IF(AA52=0,0,(Z52-AA52)/AA52*100)</f>
        <v/>
      </c>
      <c r="AD52" s="1249" t="n"/>
      <c r="AE52" s="1249">
        <f>Z52-AD52</f>
        <v/>
      </c>
      <c r="AF52" s="1249">
        <f>IF(AD52=0,0,(Z52-AD52)/AD52*100)</f>
        <v/>
      </c>
      <c r="AG52" s="1249" t="n"/>
      <c r="AH52" s="1249">
        <f>Z52-AG52</f>
        <v/>
      </c>
      <c r="AI52" s="1249">
        <f>IF(AG52=0,0,(Z52-AG52)/AG52*100)</f>
        <v/>
      </c>
      <c r="AJ52" s="1249" t="n"/>
      <c r="AK52" s="1249">
        <f>AJ52-Z52</f>
        <v/>
      </c>
      <c r="AL52" s="1249">
        <f>IFERROR(Z52/AJ52*100,0)</f>
        <v/>
      </c>
    </row>
    <row r="53" ht="14.45" customFormat="1" customHeight="1" s="716">
      <c r="A53" s="716" t="n"/>
      <c r="B53" s="716" t="n"/>
      <c r="C53" s="716" t="n"/>
      <c r="D53" s="716" t="n"/>
      <c r="E53" s="716" t="n"/>
      <c r="F53" s="716" t="n"/>
      <c r="G53" s="716" t="n"/>
      <c r="H53" s="716" t="n"/>
      <c r="I53" s="716" t="n"/>
      <c r="J53" s="716" t="n"/>
      <c r="K53" s="716" t="n"/>
      <c r="L53" s="716" t="n"/>
      <c r="M53" s="716" t="n"/>
      <c r="N53" s="716" t="n"/>
      <c r="O53" s="716" t="n"/>
      <c r="P53" s="716" t="n"/>
      <c r="Q53" s="716" t="n"/>
      <c r="R53" s="716" t="n"/>
      <c r="S53" s="462">
        <f>IF(_epmOfflineCondition_,"   衍生金融负债",EPMMemberDesc(U53))</f>
        <v/>
      </c>
      <c r="T53" s="716" t="n"/>
      <c r="U53" s="390" t="inlineStr">
        <is>
          <t>A001020106</t>
        </is>
      </c>
      <c r="V53" s="635">
        <f>IF(_epmOfflineCondition_,"A001020106",EPMOlapMemberO(U53,"[C_ACCOUNT].[PARENTH1].[A001020106]","A001020106 -    衍生金融负债","","000"))</f>
        <v/>
      </c>
      <c r="W53" s="462" t="n"/>
      <c r="X53" s="705" t="inlineStr">
        <is>
          <t>衍生金融负债</t>
        </is>
      </c>
      <c r="Y53" s="649" t="inlineStr"/>
      <c r="Z53" s="1249" t="n"/>
      <c r="AA53" s="1249" t="n"/>
      <c r="AB53" s="1249">
        <f>Z53-AA53</f>
        <v/>
      </c>
      <c r="AC53" s="1249">
        <f>IF(AA53=0,0,(Z53-AA53)/AA53*100)</f>
        <v/>
      </c>
      <c r="AD53" s="1249" t="n"/>
      <c r="AE53" s="1249">
        <f>Z53-AD53</f>
        <v/>
      </c>
      <c r="AF53" s="1249">
        <f>IF(AD53=0,0,(Z53-AD53)/AD53*100)</f>
        <v/>
      </c>
      <c r="AG53" s="1249" t="n"/>
      <c r="AH53" s="1249">
        <f>Z53-AG53</f>
        <v/>
      </c>
      <c r="AI53" s="1249">
        <f>IF(AG53=0,0,(Z53-AG53)/AG53*100)</f>
        <v/>
      </c>
      <c r="AJ53" s="1249" t="n"/>
      <c r="AK53" s="1249">
        <f>AJ53-Z53</f>
        <v/>
      </c>
      <c r="AL53" s="1249">
        <f>IFERROR(Z53/AJ53*100,0)</f>
        <v/>
      </c>
    </row>
    <row r="54" ht="14.45" customFormat="1" customHeight="1" s="716">
      <c r="A54" s="716" t="n"/>
      <c r="B54" s="716" t="n"/>
      <c r="C54" s="716" t="n"/>
      <c r="D54" s="716" t="n"/>
      <c r="E54" s="716" t="n"/>
      <c r="F54" s="716" t="n"/>
      <c r="G54" s="716" t="n"/>
      <c r="H54" s="716" t="n"/>
      <c r="I54" s="716" t="n"/>
      <c r="J54" s="716" t="n"/>
      <c r="K54" s="716" t="n"/>
      <c r="L54" s="716" t="n"/>
      <c r="M54" s="716" t="n"/>
      <c r="N54" s="716" t="n"/>
      <c r="O54" s="716" t="n"/>
      <c r="P54" s="716" t="n"/>
      <c r="Q54" s="716" t="n"/>
      <c r="R54" s="716" t="n"/>
      <c r="S54" s="462">
        <f>IF(_epmOfflineCondition_,"   应付票据",EPMMemberDesc(U54))</f>
        <v/>
      </c>
      <c r="T54" s="716" t="n"/>
      <c r="U54" s="390" t="inlineStr">
        <is>
          <t>A001020107</t>
        </is>
      </c>
      <c r="V54" s="635">
        <f>IF(_epmOfflineCondition_,"A001020107",EPMOlapMemberO(U54,"[C_ACCOUNT].[PARENTH1].[A001020107]","A001020107 -    应付票据","","000"))</f>
        <v/>
      </c>
      <c r="W54" s="462" t="n"/>
      <c r="X54" s="705" t="inlineStr">
        <is>
          <t>应付票据</t>
        </is>
      </c>
      <c r="Y54" s="649" t="inlineStr"/>
      <c r="Z54" s="1249" t="n"/>
      <c r="AA54" s="1249" t="n"/>
      <c r="AB54" s="1249">
        <f>Z54-AA54</f>
        <v/>
      </c>
      <c r="AC54" s="1249">
        <f>IF(AA54=0,0,(Z54-AA54)/AA54*100)</f>
        <v/>
      </c>
      <c r="AD54" s="1249" t="n"/>
      <c r="AE54" s="1249">
        <f>Z54-AD54</f>
        <v/>
      </c>
      <c r="AF54" s="1249">
        <f>IF(AD54=0,0,(Z54-AD54)/AD54*100)</f>
        <v/>
      </c>
      <c r="AG54" s="1249" t="n"/>
      <c r="AH54" s="1249">
        <f>Z54-AG54</f>
        <v/>
      </c>
      <c r="AI54" s="1249">
        <f>IF(AG54=0,0,(Z54-AG54)/AG54*100)</f>
        <v/>
      </c>
      <c r="AJ54" s="1249" t="n"/>
      <c r="AK54" s="1249">
        <f>AJ54-Z54</f>
        <v/>
      </c>
      <c r="AL54" s="1249">
        <f>IFERROR(Z54/AJ54*100,0)</f>
        <v/>
      </c>
    </row>
    <row r="55" ht="14.45" customFormat="1" customHeight="1" s="716">
      <c r="A55" s="716" t="n"/>
      <c r="B55" s="716" t="n"/>
      <c r="C55" s="716" t="n"/>
      <c r="D55" s="716" t="n"/>
      <c r="E55" s="716" t="n"/>
      <c r="F55" s="716" t="n"/>
      <c r="G55" s="716" t="n"/>
      <c r="H55" s="716" t="n"/>
      <c r="I55" s="716" t="n"/>
      <c r="J55" s="716" t="n"/>
      <c r="K55" s="716" t="n"/>
      <c r="L55" s="716" t="n"/>
      <c r="M55" s="716" t="n"/>
      <c r="N55" s="716" t="n"/>
      <c r="O55" s="716" t="n"/>
      <c r="P55" s="716" t="n"/>
      <c r="Q55" s="716" t="n"/>
      <c r="R55" s="716" t="n"/>
      <c r="S55" s="462">
        <f>IF(_epmOfflineCondition_,"   应付账款",EPMMemberDesc(U55))</f>
        <v/>
      </c>
      <c r="T55" s="716" t="n"/>
      <c r="U55" s="390" t="inlineStr">
        <is>
          <t>A001020108</t>
        </is>
      </c>
      <c r="V55" s="635">
        <f>IF(_epmOfflineCondition_,"A001020108",EPMOlapMemberO(U55,"[C_ACCOUNT].[PARENTH1].[A001020108]","A001020108 -    应付账款","","000"))</f>
        <v/>
      </c>
      <c r="W55" s="462" t="n"/>
      <c r="X55" s="705" t="inlineStr">
        <is>
          <t>应付账款</t>
        </is>
      </c>
      <c r="Y55" s="649" t="inlineStr"/>
      <c r="Z55" s="1249" t="inlineStr"/>
      <c r="AA55" s="1249" t="inlineStr"/>
      <c r="AB55" s="1249">
        <f>Z55-AA55</f>
        <v/>
      </c>
      <c r="AC55" s="1249">
        <f>IF(AA55=0,0,(Z55-AA55)/AA55*100)</f>
        <v/>
      </c>
      <c r="AD55" s="1249" t="inlineStr"/>
      <c r="AE55" s="1249">
        <f>Z55-AD55</f>
        <v/>
      </c>
      <c r="AF55" s="1249">
        <f>IF(AD55=0,0,(Z55-AD55)/AD55*100)</f>
        <v/>
      </c>
      <c r="AG55" s="1249" t="inlineStr"/>
      <c r="AH55" s="1249">
        <f>Z55-AG55</f>
        <v/>
      </c>
      <c r="AI55" s="1249">
        <f>IF(AG55=0,0,(Z55-AG55)/AG55*100)</f>
        <v/>
      </c>
      <c r="AJ55" s="1249" t="n"/>
      <c r="AK55" s="1249">
        <f>AJ55-Z55</f>
        <v/>
      </c>
      <c r="AL55" s="1249">
        <f>IFERROR(Z55/AJ55*100,0)</f>
        <v/>
      </c>
    </row>
    <row r="56" ht="14.45" customFormat="1" customHeight="1" s="716">
      <c r="A56" s="716" t="n"/>
      <c r="B56" s="716" t="n"/>
      <c r="C56" s="716" t="n"/>
      <c r="D56" s="716" t="n"/>
      <c r="E56" s="716" t="n"/>
      <c r="F56" s="716" t="n"/>
      <c r="G56" s="716" t="n"/>
      <c r="H56" s="716" t="n"/>
      <c r="I56" s="716" t="n"/>
      <c r="J56" s="716" t="n"/>
      <c r="K56" s="716" t="n"/>
      <c r="L56" s="716" t="n"/>
      <c r="M56" s="716" t="n"/>
      <c r="N56" s="716" t="n"/>
      <c r="O56" s="716" t="n"/>
      <c r="P56" s="716" t="n"/>
      <c r="Q56" s="716" t="n"/>
      <c r="R56" s="716" t="n"/>
      <c r="S56" s="462">
        <f>IF(_epmOfflineCondition_,"   预收款项",EPMMemberDesc(U56))</f>
        <v/>
      </c>
      <c r="T56" s="716" t="n"/>
      <c r="U56" s="390" t="inlineStr">
        <is>
          <t>A001020109</t>
        </is>
      </c>
      <c r="V56" s="635">
        <f>IF(_epmOfflineCondition_,"A001020109",EPMOlapMemberO(U56,"[C_ACCOUNT].[PARENTH1].[A001020109]","A001020109 -    预收款项","","000"))</f>
        <v/>
      </c>
      <c r="W56" s="462" t="n"/>
      <c r="X56" s="705" t="inlineStr">
        <is>
          <t>预收款项</t>
        </is>
      </c>
      <c r="Y56" s="649" t="inlineStr"/>
      <c r="Z56" s="1249" t="n"/>
      <c r="AA56" s="1249" t="n"/>
      <c r="AB56" s="1249">
        <f>Z56-AA56</f>
        <v/>
      </c>
      <c r="AC56" s="1249">
        <f>IF(AA56=0,0,(Z56-AA56)/AA56*100)</f>
        <v/>
      </c>
      <c r="AD56" s="1249" t="n"/>
      <c r="AE56" s="1249">
        <f>Z56-AD56</f>
        <v/>
      </c>
      <c r="AF56" s="1249">
        <f>IF(AD56=0,0,(Z56-AD56)/AD56*100)</f>
        <v/>
      </c>
      <c r="AG56" s="1249" t="n"/>
      <c r="AH56" s="1249">
        <f>Z56-AG56</f>
        <v/>
      </c>
      <c r="AI56" s="1249">
        <f>IF(AG56=0,0,(Z56-AG56)/AG56*100)</f>
        <v/>
      </c>
      <c r="AJ56" s="1249" t="n"/>
      <c r="AK56" s="1249">
        <f>AJ56-Z56</f>
        <v/>
      </c>
      <c r="AL56" s="1249">
        <f>IFERROR(Z56/AJ56*100,0)</f>
        <v/>
      </c>
    </row>
    <row r="57" ht="14.45" customFormat="1" customHeight="1" s="716">
      <c r="A57" s="716" t="n"/>
      <c r="B57" s="716" t="n"/>
      <c r="C57" s="716" t="n"/>
      <c r="D57" s="716" t="n"/>
      <c r="E57" s="716" t="n"/>
      <c r="F57" s="716" t="n"/>
      <c r="G57" s="716" t="n"/>
      <c r="H57" s="716" t="n"/>
      <c r="I57" s="716" t="n"/>
      <c r="J57" s="716" t="n"/>
      <c r="K57" s="716" t="n"/>
      <c r="L57" s="716" t="n"/>
      <c r="M57" s="716" t="n"/>
      <c r="N57" s="716" t="n"/>
      <c r="O57" s="716" t="n"/>
      <c r="P57" s="716" t="n"/>
      <c r="Q57" s="716" t="n"/>
      <c r="R57" s="716" t="n"/>
      <c r="S57" s="462">
        <f>IF(_epmOfflineCondition_,"   合同负债",EPMMemberDesc(U57))</f>
        <v/>
      </c>
      <c r="T57" s="716" t="n"/>
      <c r="U57" s="390" t="inlineStr">
        <is>
          <t>A001020110</t>
        </is>
      </c>
      <c r="V57" s="635">
        <f>IF(_epmOfflineCondition_,"A001020110",EPMOlapMemberO(U57,"[C_ACCOUNT].[PARENTH1].[A001020110]","A001020110 -    合同负债","","000"))</f>
        <v/>
      </c>
      <c r="W57" s="462" t="n"/>
      <c r="X57" s="705" t="inlineStr">
        <is>
          <t>合同负债</t>
        </is>
      </c>
      <c r="Y57" s="649" t="inlineStr"/>
      <c r="Z57" s="1249" t="n"/>
      <c r="AA57" s="1249" t="n"/>
      <c r="AB57" s="1249">
        <f>Z57-AA57</f>
        <v/>
      </c>
      <c r="AC57" s="1249">
        <f>IF(AA57=0,0,(Z57-AA57)/AA57*100)</f>
        <v/>
      </c>
      <c r="AD57" s="1249" t="n"/>
      <c r="AE57" s="1249">
        <f>Z57-AD57</f>
        <v/>
      </c>
      <c r="AF57" s="1249">
        <f>IF(AD57=0,0,(Z57-AD57)/AD57*100)</f>
        <v/>
      </c>
      <c r="AG57" s="1249" t="n"/>
      <c r="AH57" s="1249">
        <f>Z57-AG57</f>
        <v/>
      </c>
      <c r="AI57" s="1249">
        <f>IF(AG57=0,0,(Z57-AG57)/AG57*100)</f>
        <v/>
      </c>
      <c r="AJ57" s="1249" t="n"/>
      <c r="AK57" s="1249">
        <f>AJ57-Z57</f>
        <v/>
      </c>
      <c r="AL57" s="1249">
        <f>IFERROR(Z57/AJ57*100,0)</f>
        <v/>
      </c>
    </row>
    <row r="58" ht="14.45" customFormat="1" customHeight="1" s="716">
      <c r="A58" s="716" t="n"/>
      <c r="B58" s="716" t="n"/>
      <c r="C58" s="716" t="n"/>
      <c r="D58" s="716" t="n"/>
      <c r="E58" s="716" t="n"/>
      <c r="F58" s="716" t="n"/>
      <c r="G58" s="716" t="n"/>
      <c r="H58" s="716" t="n"/>
      <c r="I58" s="716" t="n"/>
      <c r="J58" s="716" t="n"/>
      <c r="K58" s="716" t="n"/>
      <c r="L58" s="716" t="n"/>
      <c r="M58" s="716" t="n"/>
      <c r="N58" s="716" t="n"/>
      <c r="O58" s="716" t="n"/>
      <c r="P58" s="716" t="n"/>
      <c r="Q58" s="716" t="n"/>
      <c r="R58" s="716" t="n"/>
      <c r="S58" s="462">
        <f>IF(_epmOfflineCondition_,"  # 卖出回购金融资产款",EPMMemberDesc(U58))</f>
        <v/>
      </c>
      <c r="T58" s="716" t="n"/>
      <c r="U58" s="390" t="inlineStr">
        <is>
          <t>A001020111</t>
        </is>
      </c>
      <c r="V58" s="635">
        <f>IF(_epmOfflineCondition_,"A001020111",EPMOlapMemberO(U58,"[C_ACCOUNT].[PARENTH1].[A001020111]","A001020111 -   # 卖出回购金融资产款","","000"))</f>
        <v/>
      </c>
      <c r="W58" s="462" t="n"/>
      <c r="X58" s="1046" t="inlineStr">
        <is>
          <t xml:space="preserve">  △卖出回购金融资产款</t>
        </is>
      </c>
      <c r="Y58" s="649" t="inlineStr"/>
      <c r="Z58" s="1249" t="n"/>
      <c r="AA58" s="1249" t="n"/>
      <c r="AB58" s="1249">
        <f>Z58-AA58</f>
        <v/>
      </c>
      <c r="AC58" s="1249">
        <f>IF(AA58=0,0,(Z58-AA58)/AA58*100)</f>
        <v/>
      </c>
      <c r="AD58" s="1249" t="n"/>
      <c r="AE58" s="1249">
        <f>Z58-AD58</f>
        <v/>
      </c>
      <c r="AF58" s="1249">
        <f>IF(AD58=0,0,(Z58-AD58)/AD58*100)</f>
        <v/>
      </c>
      <c r="AG58" s="1249" t="n"/>
      <c r="AH58" s="1249">
        <f>Z58-AG58</f>
        <v/>
      </c>
      <c r="AI58" s="1249">
        <f>IF(AG58=0,0,(Z58-AG58)/AG58*100)</f>
        <v/>
      </c>
      <c r="AJ58" s="1249" t="n"/>
      <c r="AK58" s="1249">
        <f>AJ58-Z58</f>
        <v/>
      </c>
      <c r="AL58" s="1249">
        <f>IFERROR(Z58/AJ58*100,0)</f>
        <v/>
      </c>
    </row>
    <row r="59" ht="14.45" customFormat="1" customHeight="1" s="716">
      <c r="A59" s="716" t="n"/>
      <c r="B59" s="716" t="n"/>
      <c r="C59" s="716" t="n"/>
      <c r="D59" s="716" t="n"/>
      <c r="E59" s="716" t="n"/>
      <c r="F59" s="716" t="n"/>
      <c r="G59" s="716" t="n"/>
      <c r="H59" s="716" t="n"/>
      <c r="I59" s="716" t="n"/>
      <c r="J59" s="716" t="n"/>
      <c r="K59" s="716" t="n"/>
      <c r="L59" s="716" t="n"/>
      <c r="M59" s="716" t="n"/>
      <c r="N59" s="716" t="n"/>
      <c r="O59" s="716" t="n"/>
      <c r="P59" s="716" t="n"/>
      <c r="Q59" s="716" t="n"/>
      <c r="R59" s="716" t="n"/>
      <c r="S59" s="462">
        <f>IF(_epmOfflineCondition_,"  # 应付手续费及佣金",EPMMemberDesc(U59))</f>
        <v/>
      </c>
      <c r="T59" s="716" t="n"/>
      <c r="U59" s="390" t="inlineStr">
        <is>
          <t>A001020112</t>
        </is>
      </c>
      <c r="V59" s="635">
        <f>IF(_epmOfflineCondition_,"A001020112",EPMOlapMemberO(U59,"[C_ACCOUNT].[PARENTH1].[A001020112]","A001020112 -   # 应付手续费及佣金","","000"))</f>
        <v/>
      </c>
      <c r="W59" s="462" t="n"/>
      <c r="X59" s="1046" t="inlineStr">
        <is>
          <t xml:space="preserve">  △应付手续费及佣金</t>
        </is>
      </c>
      <c r="Y59" s="649" t="inlineStr"/>
      <c r="Z59" s="1249" t="n"/>
      <c r="AA59" s="1249" t="n"/>
      <c r="AB59" s="1249">
        <f>Z59-AA59</f>
        <v/>
      </c>
      <c r="AC59" s="1249">
        <f>IF(AA59=0,0,(Z59-AA59)/AA59*100)</f>
        <v/>
      </c>
      <c r="AD59" s="1249" t="n"/>
      <c r="AE59" s="1249">
        <f>Z59-AD59</f>
        <v/>
      </c>
      <c r="AF59" s="1249">
        <f>IF(AD59=0,0,(Z59-AD59)/AD59*100)</f>
        <v/>
      </c>
      <c r="AG59" s="1249" t="n"/>
      <c r="AH59" s="1249">
        <f>Z59-AG59</f>
        <v/>
      </c>
      <c r="AI59" s="1249">
        <f>IF(AG59=0,0,(Z59-AG59)/AG59*100)</f>
        <v/>
      </c>
      <c r="AJ59" s="1249" t="n"/>
      <c r="AK59" s="1249">
        <f>AJ59-Z59</f>
        <v/>
      </c>
      <c r="AL59" s="1249">
        <f>IFERROR(Z59/AJ59*100,0)</f>
        <v/>
      </c>
    </row>
    <row r="60" ht="14.45" customFormat="1" customHeight="1" s="716">
      <c r="A60" s="716" t="n"/>
      <c r="B60" s="716" t="n"/>
      <c r="C60" s="716" t="n"/>
      <c r="D60" s="716" t="n"/>
      <c r="E60" s="716" t="n"/>
      <c r="F60" s="716" t="n"/>
      <c r="G60" s="716" t="n"/>
      <c r="H60" s="716" t="n"/>
      <c r="I60" s="716" t="n"/>
      <c r="J60" s="716" t="n"/>
      <c r="K60" s="716" t="n"/>
      <c r="L60" s="716" t="n"/>
      <c r="M60" s="716" t="n"/>
      <c r="N60" s="716" t="n"/>
      <c r="O60" s="716" t="n"/>
      <c r="P60" s="716" t="n"/>
      <c r="Q60" s="716" t="n"/>
      <c r="R60" s="716" t="n"/>
      <c r="S60" s="462">
        <f>IF(_epmOfflineCondition_,"　应付职工薪酬",EPMMemberDesc(U60))</f>
        <v/>
      </c>
      <c r="T60" s="716" t="n"/>
      <c r="U60" s="390" t="inlineStr">
        <is>
          <t>A001020113</t>
        </is>
      </c>
      <c r="V60" s="635">
        <f>IF(_epmOfflineCondition_,"A001020113",EPMOlapMemberO(U60,"[C_ACCOUNT].[PARENTH1].[A001020113]","A001020113 - 　应付职工薪酬","","000"))</f>
        <v/>
      </c>
      <c r="W60" s="462" t="n"/>
      <c r="X60" s="705" t="inlineStr">
        <is>
          <t>应付职工薪酬</t>
        </is>
      </c>
      <c r="Y60" s="649" t="inlineStr"/>
      <c r="Z60" s="1249" t="inlineStr"/>
      <c r="AA60" s="1249" t="inlineStr"/>
      <c r="AB60" s="1249">
        <f>Z60-AA60</f>
        <v/>
      </c>
      <c r="AC60" s="1249">
        <f>IF(AA60=0,0,(Z60-AA60)/AA60*100)</f>
        <v/>
      </c>
      <c r="AD60" s="1249" t="inlineStr"/>
      <c r="AE60" s="1249">
        <f>Z60-AD60</f>
        <v/>
      </c>
      <c r="AF60" s="1249">
        <f>IF(AD60=0,0,(Z60-AD60)/AD60*100)</f>
        <v/>
      </c>
      <c r="AG60" s="1249" t="inlineStr"/>
      <c r="AH60" s="1249">
        <f>Z60-AG60</f>
        <v/>
      </c>
      <c r="AI60" s="1249">
        <f>IF(AG60=0,0,(Z60-AG60)/AG60*100)</f>
        <v/>
      </c>
      <c r="AJ60" s="1249" t="n"/>
      <c r="AK60" s="1249">
        <f>AJ60-Z60</f>
        <v/>
      </c>
      <c r="AL60" s="1249">
        <f>IFERROR(Z60/AJ60*100,0)</f>
        <v/>
      </c>
    </row>
    <row r="61" ht="14.45" customFormat="1" customHeight="1" s="716">
      <c r="A61" s="716" t="n"/>
      <c r="B61" s="716" t="n"/>
      <c r="C61" s="716" t="n"/>
      <c r="D61" s="716" t="n"/>
      <c r="E61" s="716" t="n"/>
      <c r="F61" s="716" t="n"/>
      <c r="G61" s="716" t="n"/>
      <c r="H61" s="716" t="n"/>
      <c r="I61" s="716" t="n"/>
      <c r="J61" s="716" t="n"/>
      <c r="K61" s="716" t="n"/>
      <c r="L61" s="716" t="n"/>
      <c r="M61" s="716" t="n"/>
      <c r="N61" s="716" t="n"/>
      <c r="O61" s="716" t="n"/>
      <c r="P61" s="716" t="n"/>
      <c r="Q61" s="716" t="n"/>
      <c r="R61" s="716" t="n"/>
      <c r="S61" s="462">
        <f>IF(_epmOfflineCondition_,"      其中：应付工资",EPMMemberDesc(U61))</f>
        <v/>
      </c>
      <c r="T61" s="716" t="n"/>
      <c r="U61" s="390" t="inlineStr">
        <is>
          <t>A00102011301</t>
        </is>
      </c>
      <c r="V61" s="637">
        <f>IF(_epmOfflineCondition_,"A00102011301",EPMOlapMemberO(U61,"[C_ACCOUNT].[PARENTH1].[A00102011301]","A00102011301 -       其中：应付工资","","000"))</f>
        <v/>
      </c>
      <c r="W61" s="462" t="n"/>
      <c r="X61" s="1047" t="inlineStr">
        <is>
          <t>其中：应付工资</t>
        </is>
      </c>
      <c r="Y61" s="649" t="inlineStr"/>
      <c r="Z61" s="1249" t="inlineStr"/>
      <c r="AA61" s="1249" t="n"/>
      <c r="AB61" s="1249">
        <f>Z61-AA61</f>
        <v/>
      </c>
      <c r="AC61" s="1249">
        <f>IF(AA61=0,0,(Z61-AA61)/AA61*100)</f>
        <v/>
      </c>
      <c r="AD61" s="1249" t="inlineStr"/>
      <c r="AE61" s="1249">
        <f>Z61-AD61</f>
        <v/>
      </c>
      <c r="AF61" s="1249">
        <f>IF(AD61=0,0,(Z61-AD61)/AD61*100)</f>
        <v/>
      </c>
      <c r="AG61" s="1249" t="inlineStr"/>
      <c r="AH61" s="1249">
        <f>Z61-AG61</f>
        <v/>
      </c>
      <c r="AI61" s="1249">
        <f>IF(AG61=0,0,(Z61-AG61)/AG61*100)</f>
        <v/>
      </c>
      <c r="AJ61" s="1249" t="n"/>
      <c r="AK61" s="1249">
        <f>AJ61-Z61</f>
        <v/>
      </c>
      <c r="AL61" s="1249">
        <f>IFERROR(Z61/AJ61*100,0)</f>
        <v/>
      </c>
    </row>
    <row r="62" ht="14.45" customFormat="1" customHeight="1" s="716">
      <c r="A62" s="716" t="n"/>
      <c r="B62" s="716" t="n"/>
      <c r="C62" s="716" t="n"/>
      <c r="D62" s="716" t="n"/>
      <c r="E62" s="716" t="n"/>
      <c r="F62" s="716" t="n"/>
      <c r="G62" s="716" t="n"/>
      <c r="H62" s="716" t="n"/>
      <c r="I62" s="716" t="n"/>
      <c r="J62" s="716" t="n"/>
      <c r="K62" s="716" t="n"/>
      <c r="L62" s="716" t="n"/>
      <c r="M62" s="716" t="n"/>
      <c r="N62" s="716" t="n"/>
      <c r="O62" s="716" t="n"/>
      <c r="P62" s="716" t="n"/>
      <c r="Q62" s="716" t="n"/>
      <c r="R62" s="716" t="n"/>
      <c r="S62" s="462">
        <f>IF(_epmOfflineCondition_,"                 应付福利费",EPMMemberDesc(U62))</f>
        <v/>
      </c>
      <c r="T62" s="716" t="n"/>
      <c r="U62" s="390" t="inlineStr">
        <is>
          <t>A00102011302</t>
        </is>
      </c>
      <c r="V62" s="637">
        <f>IF(_epmOfflineCondition_,"A00102011302",EPMOlapMemberO(U62,"[C_ACCOUNT].[PARENTH1].[A00102011302]","A00102011302 -                  应付福利费","","000"))</f>
        <v/>
      </c>
      <c r="W62" s="462" t="n"/>
      <c r="X62" s="1048" t="inlineStr">
        <is>
          <t xml:space="preserve"> 应付福利费</t>
        </is>
      </c>
      <c r="Y62" s="649" t="inlineStr"/>
      <c r="Z62" s="1249" t="inlineStr"/>
      <c r="AA62" s="1249" t="n"/>
      <c r="AB62" s="1249">
        <f>Z62-AA62</f>
        <v/>
      </c>
      <c r="AC62" s="1249">
        <f>IF(AA62=0,0,(Z62-AA62)/AA62*100)</f>
        <v/>
      </c>
      <c r="AD62" s="1249" t="inlineStr"/>
      <c r="AE62" s="1249">
        <f>Z62-AD62</f>
        <v/>
      </c>
      <c r="AF62" s="1249">
        <f>IF(AD62=0,0,(Z62-AD62)/AD62*100)</f>
        <v/>
      </c>
      <c r="AG62" s="1249" t="inlineStr"/>
      <c r="AH62" s="1249">
        <f>Z62-AG62</f>
        <v/>
      </c>
      <c r="AI62" s="1249">
        <f>IF(AG62=0,0,(Z62-AG62)/AG62*100)</f>
        <v/>
      </c>
      <c r="AJ62" s="1249" t="n"/>
      <c r="AK62" s="1249">
        <f>AJ62-Z62</f>
        <v/>
      </c>
      <c r="AL62" s="1249">
        <f>IFERROR(Z62/AJ62*100,0)</f>
        <v/>
      </c>
    </row>
    <row r="63" ht="14.45" customFormat="1" customHeight="1" s="716">
      <c r="A63" s="716" t="n"/>
      <c r="B63" s="716" t="n"/>
      <c r="C63" s="716" t="n"/>
      <c r="D63" s="716" t="n"/>
      <c r="E63" s="716" t="n"/>
      <c r="F63" s="716" t="n"/>
      <c r="G63" s="716" t="n"/>
      <c r="H63" s="716" t="n"/>
      <c r="I63" s="716" t="n"/>
      <c r="J63" s="716" t="n"/>
      <c r="K63" s="716" t="n"/>
      <c r="L63" s="716" t="n"/>
      <c r="M63" s="716" t="n"/>
      <c r="N63" s="716" t="n"/>
      <c r="O63" s="716" t="n"/>
      <c r="P63" s="716" t="n"/>
      <c r="Q63" s="716" t="n"/>
      <c r="R63" s="716" t="n"/>
      <c r="S63" s="462">
        <f>IF(_epmOfflineCondition_,"　应交税费",EPMMemberDesc(U63))</f>
        <v/>
      </c>
      <c r="T63" s="716" t="n"/>
      <c r="U63" s="390" t="inlineStr">
        <is>
          <t>A001020114</t>
        </is>
      </c>
      <c r="V63" s="635">
        <f>IF(_epmOfflineCondition_,"A001020114",EPMOlapMemberO(U63,"[C_ACCOUNT].[PARENTH1].[A001020114]","A001020114 - 　应交税费","","000"))</f>
        <v/>
      </c>
      <c r="W63" s="462" t="n"/>
      <c r="X63" s="705" t="inlineStr">
        <is>
          <t>应交税费</t>
        </is>
      </c>
      <c r="Y63" s="649" t="inlineStr"/>
      <c r="Z63" s="1249" t="inlineStr"/>
      <c r="AA63" s="1249" t="inlineStr"/>
      <c r="AB63" s="1249">
        <f>Z63-AA63</f>
        <v/>
      </c>
      <c r="AC63" s="1249">
        <f>IF(AA63=0,0,(Z63-AA63)/AA63*100)</f>
        <v/>
      </c>
      <c r="AD63" s="1249" t="inlineStr"/>
      <c r="AE63" s="1249">
        <f>Z63-AD63</f>
        <v/>
      </c>
      <c r="AF63" s="1249">
        <f>IF(AD63=0,0,(Z63-AD63)/AD63*100)</f>
        <v/>
      </c>
      <c r="AG63" s="1249" t="inlineStr"/>
      <c r="AH63" s="1249">
        <f>Z63-AG63</f>
        <v/>
      </c>
      <c r="AI63" s="1249">
        <f>IF(AG63=0,0,(Z63-AG63)/AG63*100)</f>
        <v/>
      </c>
      <c r="AJ63" s="1249" t="n"/>
      <c r="AK63" s="1249">
        <f>AJ63-Z63</f>
        <v/>
      </c>
      <c r="AL63" s="1249">
        <f>IFERROR(Z63/AJ63*100,0)</f>
        <v/>
      </c>
    </row>
    <row r="64" ht="14.45" customFormat="1" customHeight="1" s="716">
      <c r="A64" s="716" t="n"/>
      <c r="B64" s="716" t="n"/>
      <c r="C64" s="716" t="n"/>
      <c r="D64" s="716" t="n"/>
      <c r="E64" s="716" t="n"/>
      <c r="F64" s="716" t="n"/>
      <c r="G64" s="716" t="n"/>
      <c r="H64" s="716" t="n"/>
      <c r="I64" s="716" t="n"/>
      <c r="J64" s="716" t="n"/>
      <c r="K64" s="716" t="n"/>
      <c r="L64" s="716" t="n"/>
      <c r="M64" s="716" t="n"/>
      <c r="N64" s="716" t="n"/>
      <c r="O64" s="716" t="n"/>
      <c r="P64" s="716" t="n"/>
      <c r="Q64" s="716" t="n"/>
      <c r="R64" s="716" t="n"/>
      <c r="S64" s="462">
        <f>IF(_epmOfflineCondition_,"      其中：应交税金",EPMMemberDesc(U64))</f>
        <v/>
      </c>
      <c r="T64" s="716" t="n"/>
      <c r="U64" s="390" t="inlineStr">
        <is>
          <t>A00102011401</t>
        </is>
      </c>
      <c r="V64" s="637">
        <f>IF(_epmOfflineCondition_,"A00102011401",EPMOlapMemberO(U64,"[C_ACCOUNT].[PARENTH1].[A00102011401]","A00102011401 -       其中：应交税金","","000"))</f>
        <v/>
      </c>
      <c r="W64" s="462" t="n"/>
      <c r="X64" s="1047" t="inlineStr">
        <is>
          <t>其中：应交税金</t>
        </is>
      </c>
      <c r="Y64" s="649" t="inlineStr"/>
      <c r="Z64" s="1249" t="inlineStr"/>
      <c r="AA64" s="1249" t="inlineStr"/>
      <c r="AB64" s="1249">
        <f>Z64-AA64</f>
        <v/>
      </c>
      <c r="AC64" s="1249">
        <f>IF(AA64=0,0,(Z64-AA64)/AA64*100)</f>
        <v/>
      </c>
      <c r="AD64" s="1249" t="inlineStr"/>
      <c r="AE64" s="1249">
        <f>Z64-AD64</f>
        <v/>
      </c>
      <c r="AF64" s="1249">
        <f>IF(AD64=0,0,(Z64-AD64)/AD64*100)</f>
        <v/>
      </c>
      <c r="AG64" s="1249" t="inlineStr"/>
      <c r="AH64" s="1249">
        <f>Z64-AG64</f>
        <v/>
      </c>
      <c r="AI64" s="1249">
        <f>IF(AG64=0,0,(Z64-AG64)/AG64*100)</f>
        <v/>
      </c>
      <c r="AJ64" s="1249" t="n"/>
      <c r="AK64" s="1249">
        <f>AJ64-Z64</f>
        <v/>
      </c>
      <c r="AL64" s="1249">
        <f>IFERROR(Z64/AJ64*100,0)</f>
        <v/>
      </c>
    </row>
    <row r="65" ht="14.45" customFormat="1" customHeight="1" s="716">
      <c r="A65" s="716" t="n"/>
      <c r="B65" s="716" t="n"/>
      <c r="C65" s="716" t="n"/>
      <c r="D65" s="716" t="n"/>
      <c r="E65" s="716" t="n"/>
      <c r="F65" s="716" t="n"/>
      <c r="G65" s="716" t="n"/>
      <c r="H65" s="716" t="n"/>
      <c r="I65" s="716" t="n"/>
      <c r="J65" s="716" t="n"/>
      <c r="K65" s="716" t="n"/>
      <c r="L65" s="716" t="n"/>
      <c r="M65" s="716" t="n"/>
      <c r="N65" s="716" t="n"/>
      <c r="O65" s="716" t="n"/>
      <c r="P65" s="716" t="n"/>
      <c r="Q65" s="716" t="n"/>
      <c r="R65" s="716" t="n"/>
      <c r="S65" s="462">
        <f>IF(_epmOfflineCondition_,"    应付利息",EPMMemberDesc(U65))</f>
        <v/>
      </c>
      <c r="T65" s="716" t="n"/>
      <c r="U65" s="390" t="inlineStr">
        <is>
          <t>A001020115</t>
        </is>
      </c>
      <c r="V65" s="635">
        <f>IF(_epmOfflineCondition_,"A001020115",EPMOlapMemberO(U65,"[C_ACCOUNT].[PARENTH1].[A001020115]","A001020115 -     应付利息","","000"))</f>
        <v/>
      </c>
      <c r="W65" s="462" t="n"/>
      <c r="X65" s="705" t="inlineStr">
        <is>
          <t xml:space="preserve"> 应付利息</t>
        </is>
      </c>
      <c r="Y65" s="649" t="inlineStr"/>
      <c r="Z65" s="1249" t="n"/>
      <c r="AA65" s="1249" t="n"/>
      <c r="AB65" s="1249">
        <f>Z65-AA65</f>
        <v/>
      </c>
      <c r="AC65" s="1249">
        <f>IF(AA65=0,0,(Z65-AA65)/AA65*100)</f>
        <v/>
      </c>
      <c r="AD65" s="1249" t="n"/>
      <c r="AE65" s="1249">
        <f>Z65-AD65</f>
        <v/>
      </c>
      <c r="AF65" s="1249">
        <f>IF(AD65=0,0,(Z65-AD65)/AD65*100)</f>
        <v/>
      </c>
      <c r="AG65" s="1249" t="n"/>
      <c r="AH65" s="1249">
        <f>Z65-AG65</f>
        <v/>
      </c>
      <c r="AI65" s="1249">
        <f>IF(AG65=0,0,(Z65-AG65)/AG65*100)</f>
        <v/>
      </c>
      <c r="AJ65" s="1249" t="n"/>
      <c r="AK65" s="1249">
        <f>AJ65-Z65</f>
        <v/>
      </c>
      <c r="AL65" s="1249">
        <f>IFERROR(Z65/AJ65*100,0)</f>
        <v/>
      </c>
    </row>
    <row r="66" ht="14.45" customFormat="1" customHeight="1" s="716">
      <c r="A66" s="716" t="n"/>
      <c r="B66" s="716" t="n"/>
      <c r="C66" s="716" t="n"/>
      <c r="D66" s="716" t="n"/>
      <c r="E66" s="716" t="n"/>
      <c r="F66" s="716" t="n"/>
      <c r="G66" s="716" t="n"/>
      <c r="H66" s="716" t="n"/>
      <c r="I66" s="716" t="n"/>
      <c r="J66" s="716" t="n"/>
      <c r="K66" s="716" t="n"/>
      <c r="L66" s="716" t="n"/>
      <c r="M66" s="716" t="n"/>
      <c r="N66" s="716" t="n"/>
      <c r="O66" s="716" t="n"/>
      <c r="P66" s="716" t="n"/>
      <c r="Q66" s="716" t="n"/>
      <c r="R66" s="716" t="n"/>
      <c r="S66" s="462">
        <f>IF(_epmOfflineCondition_,"    应付股利",EPMMemberDesc(U66))</f>
        <v/>
      </c>
      <c r="T66" s="716" t="n"/>
      <c r="U66" s="390" t="inlineStr">
        <is>
          <t>A001020116</t>
        </is>
      </c>
      <c r="V66" s="635">
        <f>IF(_epmOfflineCondition_,"A001020116",EPMOlapMemberO(U66,"[C_ACCOUNT].[PARENTH1].[A001020116]","A001020116 -     应付股利","","000"))</f>
        <v/>
      </c>
      <c r="W66" s="462" t="n"/>
      <c r="X66" s="705" t="inlineStr">
        <is>
          <t xml:space="preserve"> 应付股利</t>
        </is>
      </c>
      <c r="Y66" s="649" t="inlineStr"/>
      <c r="Z66" s="1249" t="n"/>
      <c r="AA66" s="1249" t="n"/>
      <c r="AB66" s="1249">
        <f>Z66-AA66</f>
        <v/>
      </c>
      <c r="AC66" s="1249">
        <f>IF(AA66=0,0,(Z66-AA66)/AA66*100)</f>
        <v/>
      </c>
      <c r="AD66" s="1249" t="n"/>
      <c r="AE66" s="1249">
        <f>Z66-AD66</f>
        <v/>
      </c>
      <c r="AF66" s="1249">
        <f>IF(AD66=0,0,(Z66-AD66)/AD66*100)</f>
        <v/>
      </c>
      <c r="AG66" s="1249" t="n"/>
      <c r="AH66" s="1249">
        <f>Z66-AG66</f>
        <v/>
      </c>
      <c r="AI66" s="1249">
        <f>IF(AG66=0,0,(Z66-AG66)/AG66*100)</f>
        <v/>
      </c>
      <c r="AJ66" s="1249" t="n"/>
      <c r="AK66" s="1249">
        <f>AJ66-Z66</f>
        <v/>
      </c>
      <c r="AL66" s="1249">
        <f>IFERROR(Z66/AJ66*100,0)</f>
        <v/>
      </c>
    </row>
    <row r="67" ht="14.45" customFormat="1" customHeight="1" s="716">
      <c r="A67" s="716" t="n"/>
      <c r="B67" s="716" t="n"/>
      <c r="C67" s="716" t="n"/>
      <c r="D67" s="716" t="n"/>
      <c r="E67" s="716" t="n"/>
      <c r="F67" s="716" t="n"/>
      <c r="G67" s="716" t="n"/>
      <c r="H67" s="716" t="n"/>
      <c r="I67" s="716" t="n"/>
      <c r="J67" s="716" t="n"/>
      <c r="K67" s="716" t="n"/>
      <c r="L67" s="716" t="n"/>
      <c r="M67" s="716" t="n"/>
      <c r="N67" s="716" t="n"/>
      <c r="O67" s="716" t="n"/>
      <c r="P67" s="716" t="n"/>
      <c r="Q67" s="716" t="n"/>
      <c r="R67" s="716" t="n"/>
      <c r="S67" s="462">
        <f>IF(_epmOfflineCondition_,"    其他应付款",EPMMemberDesc(U67))</f>
        <v/>
      </c>
      <c r="T67" s="716" t="n"/>
      <c r="U67" s="390" t="inlineStr">
        <is>
          <t>A001020117</t>
        </is>
      </c>
      <c r="V67" s="635">
        <f>IF(_epmOfflineCondition_,"A001020117",EPMOlapMemberO(U67,"[C_ACCOUNT].[PARENTH1].[A001020117]","A001020117 -     其他应付款","","000"))</f>
        <v/>
      </c>
      <c r="W67" s="462" t="n"/>
      <c r="X67" s="705" t="inlineStr">
        <is>
          <t>其他应付款</t>
        </is>
      </c>
      <c r="Y67" s="649" t="inlineStr"/>
      <c r="Z67" s="1249" t="inlineStr"/>
      <c r="AA67" s="1249" t="n"/>
      <c r="AB67" s="1249">
        <f>Z67-AA67</f>
        <v/>
      </c>
      <c r="AC67" s="1249">
        <f>IF(AA67=0,0,(Z67-AA67)/AA67*100)</f>
        <v/>
      </c>
      <c r="AD67" s="1249" t="inlineStr"/>
      <c r="AE67" s="1249">
        <f>Z67-AD67</f>
        <v/>
      </c>
      <c r="AF67" s="1249">
        <f>IF(AD67=0,0,(Z67-AD67)/AD67*100)</f>
        <v/>
      </c>
      <c r="AG67" s="1249" t="inlineStr"/>
      <c r="AH67" s="1249">
        <f>Z67-AG67</f>
        <v/>
      </c>
      <c r="AI67" s="1249">
        <f>IF(AG67=0,0,(Z67-AG67)/AG67*100)</f>
        <v/>
      </c>
      <c r="AJ67" s="1249" t="n"/>
      <c r="AK67" s="1249">
        <f>AJ67-Z67</f>
        <v/>
      </c>
      <c r="AL67" s="1249">
        <f>IFERROR(Z67/AJ67*100,0)</f>
        <v/>
      </c>
    </row>
    <row r="68" ht="14.45" customFormat="1" customHeight="1" s="716">
      <c r="A68" s="716" t="n"/>
      <c r="B68" s="716" t="n"/>
      <c r="C68" s="716" t="n"/>
      <c r="D68" s="716" t="n"/>
      <c r="E68" s="716" t="n"/>
      <c r="F68" s="716" t="n"/>
      <c r="G68" s="716" t="n"/>
      <c r="H68" s="716" t="n"/>
      <c r="I68" s="716" t="n"/>
      <c r="J68" s="716" t="n"/>
      <c r="K68" s="716" t="n"/>
      <c r="L68" s="716" t="n"/>
      <c r="M68" s="716" t="n"/>
      <c r="N68" s="716" t="n"/>
      <c r="O68" s="716" t="n"/>
      <c r="P68" s="716" t="n"/>
      <c r="Q68" s="716" t="n"/>
      <c r="R68" s="716" t="n"/>
      <c r="S68" s="462">
        <f>IF(_epmOfflineCondition_,"   # 代理买卖证券款",EPMMemberDesc(U68))</f>
        <v/>
      </c>
      <c r="T68" s="716" t="n"/>
      <c r="U68" s="390" t="inlineStr">
        <is>
          <t>A001020118</t>
        </is>
      </c>
      <c r="V68" s="635">
        <f>IF(_epmOfflineCondition_,"A001020118",EPMOlapMemberO(U68,"[C_ACCOUNT].[PARENTH1].[A001020118]","A001020118 -    # 代理买卖证券款","","000"))</f>
        <v/>
      </c>
      <c r="W68" s="462" t="n"/>
      <c r="X68" s="1046" t="inlineStr">
        <is>
          <t xml:space="preserve">  △代理买卖证券款</t>
        </is>
      </c>
      <c r="Y68" s="649" t="inlineStr"/>
      <c r="Z68" s="1249" t="n"/>
      <c r="AA68" s="1249" t="n"/>
      <c r="AB68" s="1249">
        <f>Z68-AA68</f>
        <v/>
      </c>
      <c r="AC68" s="1249">
        <f>IF(AA68=0,0,(Z68-AA68)/AA68*100)</f>
        <v/>
      </c>
      <c r="AD68" s="1249" t="n"/>
      <c r="AE68" s="1249">
        <f>Z68-AD68</f>
        <v/>
      </c>
      <c r="AF68" s="1249">
        <f>IF(AD68=0,0,(Z68-AD68)/AD68*100)</f>
        <v/>
      </c>
      <c r="AG68" s="1249" t="n"/>
      <c r="AH68" s="1249">
        <f>Z68-AG68</f>
        <v/>
      </c>
      <c r="AI68" s="1249">
        <f>IF(AG68=0,0,(Z68-AG68)/AG68*100)</f>
        <v/>
      </c>
      <c r="AJ68" s="1249" t="n"/>
      <c r="AK68" s="1249">
        <f>AJ68-Z68</f>
        <v/>
      </c>
      <c r="AL68" s="1249">
        <f>IFERROR(Z68/AJ68*100,0)</f>
        <v/>
      </c>
    </row>
    <row r="69" ht="14.45" customFormat="1" customHeight="1" s="716">
      <c r="A69" s="716" t="n"/>
      <c r="B69" s="716" t="n"/>
      <c r="C69" s="716" t="n"/>
      <c r="D69" s="716" t="n"/>
      <c r="E69" s="716" t="n"/>
      <c r="F69" s="716" t="n"/>
      <c r="G69" s="716" t="n"/>
      <c r="H69" s="716" t="n"/>
      <c r="I69" s="716" t="n"/>
      <c r="J69" s="716" t="n"/>
      <c r="K69" s="716" t="n"/>
      <c r="L69" s="716" t="n"/>
      <c r="M69" s="716" t="n"/>
      <c r="N69" s="716" t="n"/>
      <c r="O69" s="716" t="n"/>
      <c r="P69" s="716" t="n"/>
      <c r="Q69" s="716" t="n"/>
      <c r="R69" s="716" t="n"/>
      <c r="S69" s="462">
        <f>IF(_epmOfflineCondition_,"   # 代理承销证券款",EPMMemberDesc(U69))</f>
        <v/>
      </c>
      <c r="T69" s="716" t="n"/>
      <c r="U69" s="390" t="inlineStr">
        <is>
          <t>A001020119</t>
        </is>
      </c>
      <c r="V69" s="635">
        <f>IF(_epmOfflineCondition_,"A001020119",EPMOlapMemberO(U69,"[C_ACCOUNT].[PARENTH1].[A001020119]","A001020119 -    # 代理承销证券款","","000"))</f>
        <v/>
      </c>
      <c r="W69" s="462" t="n"/>
      <c r="X69" s="1046" t="inlineStr">
        <is>
          <t xml:space="preserve">  △代理承销证券款</t>
        </is>
      </c>
      <c r="Y69" s="649" t="inlineStr"/>
      <c r="Z69" s="1249" t="n"/>
      <c r="AA69" s="1249" t="n"/>
      <c r="AB69" s="1249">
        <f>Z69-AA69</f>
        <v/>
      </c>
      <c r="AC69" s="1249">
        <f>IF(AA69=0,0,(Z69-AA69)/AA69*100)</f>
        <v/>
      </c>
      <c r="AD69" s="1249" t="n"/>
      <c r="AE69" s="1249">
        <f>Z69-AD69</f>
        <v/>
      </c>
      <c r="AF69" s="1249">
        <f>IF(AD69=0,0,(Z69-AD69)/AD69*100)</f>
        <v/>
      </c>
      <c r="AG69" s="1249" t="n"/>
      <c r="AH69" s="1249">
        <f>Z69-AG69</f>
        <v/>
      </c>
      <c r="AI69" s="1249">
        <f>IF(AG69=0,0,(Z69-AG69)/AG69*100)</f>
        <v/>
      </c>
      <c r="AJ69" s="1249" t="n"/>
      <c r="AK69" s="1249">
        <f>AJ69-Z69</f>
        <v/>
      </c>
      <c r="AL69" s="1249">
        <f>IFERROR(Z69/AJ69*100,0)</f>
        <v/>
      </c>
    </row>
    <row r="70" ht="14.45" customFormat="1" customHeight="1" s="716">
      <c r="A70" s="716" t="n"/>
      <c r="B70" s="716" t="n"/>
      <c r="C70" s="716" t="n"/>
      <c r="D70" s="716" t="n"/>
      <c r="E70" s="716" t="n"/>
      <c r="F70" s="716" t="n"/>
      <c r="G70" s="716" t="n"/>
      <c r="H70" s="716" t="n"/>
      <c r="I70" s="716" t="n"/>
      <c r="J70" s="716" t="n"/>
      <c r="K70" s="716" t="n"/>
      <c r="L70" s="716" t="n"/>
      <c r="M70" s="716" t="n"/>
      <c r="N70" s="716" t="n"/>
      <c r="O70" s="716" t="n"/>
      <c r="P70" s="716" t="n"/>
      <c r="Q70" s="716" t="n"/>
      <c r="R70" s="716" t="n"/>
      <c r="S70" s="462">
        <f>IF(_epmOfflineCondition_,"    持有待售负债",EPMMemberDesc(U70))</f>
        <v/>
      </c>
      <c r="T70" s="716" t="n"/>
      <c r="U70" s="390" t="inlineStr">
        <is>
          <t>A001020120</t>
        </is>
      </c>
      <c r="V70" s="635">
        <f>IF(_epmOfflineCondition_,"A001020120",EPMOlapMemberO(U70,"[C_ACCOUNT].[PARENTH1].[A001020120]","A001020120 -     持有待售负债","","000"))</f>
        <v/>
      </c>
      <c r="W70" s="462" t="n"/>
      <c r="X70" s="705" t="inlineStr">
        <is>
          <t>持有待售负债</t>
        </is>
      </c>
      <c r="Y70" s="649" t="inlineStr"/>
      <c r="Z70" s="1249" t="n"/>
      <c r="AA70" s="1249" t="n"/>
      <c r="AB70" s="1249">
        <f>Z70-AA70</f>
        <v/>
      </c>
      <c r="AC70" s="1249">
        <f>IF(AA70=0,0,(Z70-AA70)/AA70*100)</f>
        <v/>
      </c>
      <c r="AD70" s="1249" t="n"/>
      <c r="AE70" s="1249">
        <f>Z70-AD70</f>
        <v/>
      </c>
      <c r="AF70" s="1249">
        <f>IF(AD70=0,0,(Z70-AD70)/AD70*100)</f>
        <v/>
      </c>
      <c r="AG70" s="1249" t="n"/>
      <c r="AH70" s="1249">
        <f>Z70-AG70</f>
        <v/>
      </c>
      <c r="AI70" s="1249">
        <f>IF(AG70=0,0,(Z70-AG70)/AG70*100)</f>
        <v/>
      </c>
      <c r="AJ70" s="1249" t="n"/>
      <c r="AK70" s="1249">
        <f>AJ70-Z70</f>
        <v/>
      </c>
      <c r="AL70" s="1249">
        <f>IFERROR(Z70/AJ70*100,0)</f>
        <v/>
      </c>
    </row>
    <row r="71" ht="14.45" customFormat="1" customHeight="1" s="716">
      <c r="A71" s="716" t="n"/>
      <c r="B71" s="716" t="n"/>
      <c r="C71" s="716" t="n"/>
      <c r="D71" s="716" t="n"/>
      <c r="E71" s="716" t="n"/>
      <c r="F71" s="716" t="n"/>
      <c r="G71" s="716" t="n"/>
      <c r="H71" s="716" t="n"/>
      <c r="I71" s="716" t="n"/>
      <c r="J71" s="716" t="n"/>
      <c r="K71" s="716" t="n"/>
      <c r="L71" s="716" t="n"/>
      <c r="M71" s="716" t="n"/>
      <c r="N71" s="716" t="n"/>
      <c r="O71" s="716" t="n"/>
      <c r="P71" s="716" t="n"/>
      <c r="Q71" s="716" t="n"/>
      <c r="R71" s="716" t="n"/>
      <c r="S71" s="462">
        <f>IF(_epmOfflineCondition_,"    一年内到期的非流动负债",EPMMemberDesc(U71))</f>
        <v/>
      </c>
      <c r="T71" s="716" t="n"/>
      <c r="U71" s="390" t="inlineStr">
        <is>
          <t>A001020121</t>
        </is>
      </c>
      <c r="V71" s="635">
        <f>IF(_epmOfflineCondition_,"A001020121",EPMOlapMemberO(U71,"[C_ACCOUNT].[PARENTH1].[A001020121]","A001020121 -     一年内到期的非流动负债","","000"))</f>
        <v/>
      </c>
      <c r="W71" s="462" t="n"/>
      <c r="X71" s="705" t="inlineStr">
        <is>
          <t>一年内到期的非流动负债</t>
        </is>
      </c>
      <c r="Y71" s="649" t="inlineStr"/>
      <c r="Z71" s="1249" t="inlineStr"/>
      <c r="AA71" s="1249" t="inlineStr"/>
      <c r="AB71" s="1249">
        <f>Z71-AA71</f>
        <v/>
      </c>
      <c r="AC71" s="1249">
        <f>IF(AA71=0,0,(Z71-AA71)/AA71*100)</f>
        <v/>
      </c>
      <c r="AD71" s="1249" t="inlineStr"/>
      <c r="AE71" s="1249">
        <f>Z71-AD71</f>
        <v/>
      </c>
      <c r="AF71" s="1249">
        <f>IF(AD71=0,0,(Z71-AD71)/AD71*100)</f>
        <v/>
      </c>
      <c r="AG71" s="1249" t="inlineStr"/>
      <c r="AH71" s="1249">
        <f>Z71-AG71</f>
        <v/>
      </c>
      <c r="AI71" s="1249">
        <f>IF(AG71=0,0,(Z71-AG71)/AG71*100)</f>
        <v/>
      </c>
      <c r="AJ71" s="1249" t="n"/>
      <c r="AK71" s="1249">
        <f>AJ71-Z71</f>
        <v/>
      </c>
      <c r="AL71" s="1249">
        <f>IFERROR(Z71/AJ71*100,0)</f>
        <v/>
      </c>
    </row>
    <row r="72" ht="14.45" customFormat="1" customHeight="1" s="716">
      <c r="A72" s="716" t="n"/>
      <c r="B72" s="716" t="n"/>
      <c r="C72" s="716" t="n"/>
      <c r="D72" s="716" t="n"/>
      <c r="E72" s="716" t="n"/>
      <c r="F72" s="716" t="n"/>
      <c r="G72" s="716" t="n"/>
      <c r="H72" s="716" t="n"/>
      <c r="I72" s="716" t="n"/>
      <c r="J72" s="716" t="n"/>
      <c r="K72" s="716" t="n"/>
      <c r="L72" s="716" t="n"/>
      <c r="M72" s="716" t="n"/>
      <c r="N72" s="716" t="n"/>
      <c r="O72" s="716" t="n"/>
      <c r="P72" s="716" t="n"/>
      <c r="Q72" s="716" t="n"/>
      <c r="R72" s="716" t="n"/>
      <c r="S72" s="462">
        <f>IF(_epmOfflineCondition_,"   其他流动负债",EPMMemberDesc(U72))</f>
        <v/>
      </c>
      <c r="T72" s="716" t="n"/>
      <c r="U72" s="390" t="inlineStr">
        <is>
          <t>A001020122</t>
        </is>
      </c>
      <c r="V72" s="635">
        <f>IF(_epmOfflineCondition_,"A001020122",EPMOlapMemberO(U72,"[C_ACCOUNT].[PARENTH1].[A001020122]","A001020122 -    其他流动负债","","000"))</f>
        <v/>
      </c>
      <c r="W72" s="462" t="n"/>
      <c r="X72" s="705" t="inlineStr">
        <is>
          <t>其他流动负债</t>
        </is>
      </c>
      <c r="Y72" s="649" t="inlineStr"/>
      <c r="Z72" s="1249" t="n"/>
      <c r="AA72" s="1249" t="n"/>
      <c r="AB72" s="1249">
        <f>Z72-AA72</f>
        <v/>
      </c>
      <c r="AC72" s="1249">
        <f>IF(AA72=0,0,(Z72-AA72)/AA72*100)</f>
        <v/>
      </c>
      <c r="AD72" s="1249" t="n"/>
      <c r="AE72" s="1249">
        <f>Z72-AD72</f>
        <v/>
      </c>
      <c r="AF72" s="1249">
        <f>IF(AD72=0,0,(Z72-AD72)/AD72*100)</f>
        <v/>
      </c>
      <c r="AG72" s="1249" t="n"/>
      <c r="AH72" s="1249">
        <f>Z72-AG72</f>
        <v/>
      </c>
      <c r="AI72" s="1249">
        <f>IF(AG72=0,0,(Z72-AG72)/AG72*100)</f>
        <v/>
      </c>
      <c r="AJ72" s="1249" t="n"/>
      <c r="AK72" s="1249">
        <f>AJ72-Z72</f>
        <v/>
      </c>
      <c r="AL72" s="1249">
        <f>IFERROR(Z72/AJ72*100,0)</f>
        <v/>
      </c>
    </row>
    <row r="73" ht="14.45" customFormat="1" customHeight="1" s="716">
      <c r="A73" s="716" t="n"/>
      <c r="B73" s="716" t="n"/>
      <c r="C73" s="716" t="n"/>
      <c r="D73" s="716" t="n"/>
      <c r="E73" s="716" t="n"/>
      <c r="F73" s="716" t="n"/>
      <c r="G73" s="716" t="n"/>
      <c r="H73" s="716" t="n"/>
      <c r="I73" s="716" t="n"/>
      <c r="J73" s="716" t="n"/>
      <c r="K73" s="716" t="n"/>
      <c r="L73" s="716" t="n"/>
      <c r="M73" s="716" t="n"/>
      <c r="N73" s="716" t="n"/>
      <c r="O73" s="716" t="n"/>
      <c r="P73" s="716" t="n"/>
      <c r="Q73" s="716" t="n"/>
      <c r="R73" s="716" t="n"/>
      <c r="S73" s="462">
        <f>IF(_epmOfflineCondition_,"　       流动负债合计",EPMMemberDesc(U73))</f>
        <v/>
      </c>
      <c r="T73" s="716" t="n"/>
      <c r="U73" s="390" t="inlineStr">
        <is>
          <t>A0010201</t>
        </is>
      </c>
      <c r="V73" s="459">
        <f>IF(_epmOfflineCondition_,"A0010201",EPMOlapMemberO(U73,"[C_ACCOUNT].[PARENTH1].[A0010201]","A0010201 - 　       流动负债合计","","000"))</f>
        <v/>
      </c>
      <c r="W73" s="462" t="n"/>
      <c r="X73" s="852" t="inlineStr">
        <is>
          <t>流动负债合计</t>
        </is>
      </c>
      <c r="Y73" s="649" t="inlineStr">
        <is>
          <t>-</t>
        </is>
      </c>
      <c r="Z73" s="1249" t="inlineStr"/>
      <c r="AA73" s="1249" t="inlineStr"/>
      <c r="AB73" s="1249">
        <f>Z73-AA73</f>
        <v/>
      </c>
      <c r="AC73" s="1249">
        <f>IF(AA73=0,0,(Z73-AA73)/AA73*100)</f>
        <v/>
      </c>
      <c r="AD73" s="1249" t="inlineStr"/>
      <c r="AE73" s="1249">
        <f>Z73-AD73</f>
        <v/>
      </c>
      <c r="AF73" s="1249">
        <f>IF(AD73=0,0,(Z73-AD73)/AD73*100)</f>
        <v/>
      </c>
      <c r="AG73" s="1249" t="inlineStr"/>
      <c r="AH73" s="1249">
        <f>Z73-AG73</f>
        <v/>
      </c>
      <c r="AI73" s="1249">
        <f>IF(AG73=0,0,(Z73-AG73)/AG73*100)</f>
        <v/>
      </c>
      <c r="AJ73" s="1249" t="n"/>
      <c r="AK73" s="1249">
        <f>AJ73-Z73</f>
        <v/>
      </c>
      <c r="AL73" s="1249">
        <f>IFERROR(Z73/AJ73*100,0)</f>
        <v/>
      </c>
    </row>
    <row r="74" ht="14.45" customFormat="1" customHeight="1" s="716">
      <c r="A74" s="716" t="n"/>
      <c r="B74" s="716" t="n"/>
      <c r="C74" s="716" t="n"/>
      <c r="D74" s="716" t="n"/>
      <c r="E74" s="716" t="n"/>
      <c r="F74" s="716" t="n"/>
      <c r="G74" s="716" t="n"/>
      <c r="H74" s="716" t="n"/>
      <c r="I74" s="716" t="n"/>
      <c r="J74" s="716" t="n"/>
      <c r="K74" s="716" t="n"/>
      <c r="L74" s="716" t="n"/>
      <c r="M74" s="716" t="n"/>
      <c r="N74" s="716" t="n"/>
      <c r="O74" s="716" t="n"/>
      <c r="P74" s="716" t="n"/>
      <c r="Q74" s="716" t="n"/>
      <c r="R74" s="716" t="n"/>
      <c r="S74" s="462">
        <f>IF(_epmOfflineCondition_,"非流动负债：",EPMMemberDesc(U74))</f>
        <v/>
      </c>
      <c r="T74" s="716" t="n"/>
      <c r="U74" s="390" t="inlineStr">
        <is>
          <t>A0010499</t>
        </is>
      </c>
      <c r="V74" s="462">
        <f>IF(_epmOfflineCondition_,"A0010499",EPMOlapMemberO(U74,"[C_ACCOUNT].[PARENTH1].[A0010499]","A0010499 - 非流动负债：","","000"))</f>
        <v/>
      </c>
      <c r="W74" s="462" t="n"/>
      <c r="X74" s="1045" t="inlineStr">
        <is>
          <t>非流动负债：</t>
        </is>
      </c>
      <c r="Y74" s="649" t="inlineStr"/>
      <c r="Z74" s="1249" t="n"/>
      <c r="AA74" s="1249" t="n"/>
      <c r="AB74" s="1249">
        <f>Z74-AA74</f>
        <v/>
      </c>
      <c r="AC74" s="1249">
        <f>IF(AA74=0,0,(Z74-AA74)/AA74*100)</f>
        <v/>
      </c>
      <c r="AD74" s="1249" t="n"/>
      <c r="AE74" s="1249">
        <f>Z74-AD74</f>
        <v/>
      </c>
      <c r="AF74" s="1249">
        <f>IF(AD74=0,0,(Z74-AD74)/AD74*100)</f>
        <v/>
      </c>
      <c r="AG74" s="1249" t="n"/>
      <c r="AH74" s="1249">
        <f>Z74-AG74</f>
        <v/>
      </c>
      <c r="AI74" s="1249">
        <f>IF(AG74=0,0,(Z74-AG74)/AG74*100)</f>
        <v/>
      </c>
      <c r="AJ74" s="1249" t="n"/>
      <c r="AK74" s="1249">
        <f>AJ74-Z74</f>
        <v/>
      </c>
      <c r="AL74" s="1249">
        <f>IFERROR(Z74/AJ74*100,0)</f>
        <v/>
      </c>
    </row>
    <row r="75" ht="14.45" customFormat="1" customHeight="1" s="716">
      <c r="A75" s="716" t="n"/>
      <c r="B75" s="716" t="n"/>
      <c r="C75" s="716" t="n"/>
      <c r="D75" s="716" t="n"/>
      <c r="E75" s="716" t="n"/>
      <c r="F75" s="716" t="n"/>
      <c r="G75" s="716" t="n"/>
      <c r="H75" s="716" t="n"/>
      <c r="I75" s="716" t="n"/>
      <c r="J75" s="716" t="n"/>
      <c r="K75" s="716" t="n"/>
      <c r="L75" s="716" t="n"/>
      <c r="M75" s="716" t="n"/>
      <c r="N75" s="716" t="n"/>
      <c r="O75" s="716" t="n"/>
      <c r="P75" s="716" t="n"/>
      <c r="Q75" s="716" t="n"/>
      <c r="R75" s="716" t="n"/>
      <c r="S75" s="462">
        <f>IF(_epmOfflineCondition_,"  长期借款",EPMMemberDesc(U75))</f>
        <v/>
      </c>
      <c r="T75" s="716" t="n"/>
      <c r="U75" s="390" t="inlineStr">
        <is>
          <t>A001020201</t>
        </is>
      </c>
      <c r="V75" s="635">
        <f>IF(_epmOfflineCondition_,"A001020201",EPMOlapMemberO(U75,"[C_ACCOUNT].[PARENTH1].[A001020201]","A001020201 -   长期借款","","000"))</f>
        <v/>
      </c>
      <c r="W75" s="462" t="n"/>
      <c r="X75" s="705" t="inlineStr">
        <is>
          <t>长期借款</t>
        </is>
      </c>
      <c r="Y75" s="649" t="inlineStr"/>
      <c r="Z75" s="1249" t="inlineStr"/>
      <c r="AA75" s="1249" t="inlineStr"/>
      <c r="AB75" s="1249">
        <f>Z75-AA75</f>
        <v/>
      </c>
      <c r="AC75" s="1249">
        <f>IF(AA75=0,0,(Z75-AA75)/AA75*100)</f>
        <v/>
      </c>
      <c r="AD75" s="1249" t="inlineStr"/>
      <c r="AE75" s="1249">
        <f>Z75-AD75</f>
        <v/>
      </c>
      <c r="AF75" s="1249">
        <f>IF(AD75=0,0,(Z75-AD75)/AD75*100)</f>
        <v/>
      </c>
      <c r="AG75" s="1249" t="inlineStr"/>
      <c r="AH75" s="1249">
        <f>Z75-AG75</f>
        <v/>
      </c>
      <c r="AI75" s="1249">
        <f>IF(AG75=0,0,(Z75-AG75)/AG75*100)</f>
        <v/>
      </c>
      <c r="AJ75" s="1249" t="n"/>
      <c r="AK75" s="1249">
        <f>AJ75-Z75</f>
        <v/>
      </c>
      <c r="AL75" s="1249">
        <f>IFERROR(Z75/AJ75*100,0)</f>
        <v/>
      </c>
    </row>
    <row r="76" ht="14.45" customFormat="1" customHeight="1" s="716">
      <c r="A76" s="716" t="n"/>
      <c r="B76" s="716" t="n"/>
      <c r="C76" s="716" t="n"/>
      <c r="D76" s="716" t="n"/>
      <c r="E76" s="716" t="n"/>
      <c r="F76" s="716" t="n"/>
      <c r="G76" s="716" t="n"/>
      <c r="H76" s="716" t="n"/>
      <c r="I76" s="716" t="n"/>
      <c r="J76" s="716" t="n"/>
      <c r="K76" s="716" t="n"/>
      <c r="L76" s="716" t="n"/>
      <c r="M76" s="716" t="n"/>
      <c r="N76" s="716" t="n"/>
      <c r="O76" s="716" t="n"/>
      <c r="P76" s="716" t="n"/>
      <c r="Q76" s="716" t="n"/>
      <c r="R76" s="716" t="n"/>
      <c r="S76" s="462">
        <f>IF(_epmOfflineCondition_,"  应付债券",EPMMemberDesc(U76))</f>
        <v/>
      </c>
      <c r="T76" s="716" t="n"/>
      <c r="U76" s="390" t="inlineStr">
        <is>
          <t>A001020202</t>
        </is>
      </c>
      <c r="V76" s="635">
        <f>IF(_epmOfflineCondition_,"A001020202",EPMOlapMemberO(U76,"[C_ACCOUNT].[PARENTH1].[A001020202]","A001020202 -   应付债券","","000"))</f>
        <v/>
      </c>
      <c r="W76" s="462" t="n"/>
      <c r="X76" s="705" t="inlineStr">
        <is>
          <t>应付债券</t>
        </is>
      </c>
      <c r="Y76" s="649" t="inlineStr"/>
      <c r="Z76" s="1249" t="n"/>
      <c r="AA76" s="1249" t="n"/>
      <c r="AB76" s="1249">
        <f>Z76-AA76</f>
        <v/>
      </c>
      <c r="AC76" s="1249">
        <f>IF(AA76=0,0,(Z76-AA76)/AA76*100)</f>
        <v/>
      </c>
      <c r="AD76" s="1249" t="n"/>
      <c r="AE76" s="1249">
        <f>Z76-AD76</f>
        <v/>
      </c>
      <c r="AF76" s="1249">
        <f>IF(AD76=0,0,(Z76-AD76)/AD76*100)</f>
        <v/>
      </c>
      <c r="AG76" s="1249" t="n"/>
      <c r="AH76" s="1249">
        <f>Z76-AG76</f>
        <v/>
      </c>
      <c r="AI76" s="1249">
        <f>IF(AG76=0,0,(Z76-AG76)/AG76*100)</f>
        <v/>
      </c>
      <c r="AJ76" s="1249" t="n"/>
      <c r="AK76" s="1249">
        <f>AJ76-Z76</f>
        <v/>
      </c>
      <c r="AL76" s="1249">
        <f>IFERROR(Z76/AJ76*100,0)</f>
        <v/>
      </c>
    </row>
    <row r="77" ht="14.45" customFormat="1" customHeight="1" s="716">
      <c r="A77" s="716" t="n"/>
      <c r="B77" s="716" t="n"/>
      <c r="C77" s="716" t="n"/>
      <c r="D77" s="716" t="n"/>
      <c r="E77" s="716" t="n"/>
      <c r="F77" s="716" t="n"/>
      <c r="G77" s="716" t="n"/>
      <c r="H77" s="716" t="n"/>
      <c r="I77" s="716" t="n"/>
      <c r="J77" s="716" t="n"/>
      <c r="K77" s="716" t="n"/>
      <c r="L77" s="716" t="n"/>
      <c r="M77" s="716" t="n"/>
      <c r="N77" s="716" t="n"/>
      <c r="O77" s="716" t="n"/>
      <c r="P77" s="716" t="n"/>
      <c r="Q77" s="716" t="n"/>
      <c r="R77" s="716" t="n"/>
      <c r="S77" s="462">
        <f>IF(_epmOfflineCondition_,"      其中：优先股",EPMMemberDesc(U77))</f>
        <v/>
      </c>
      <c r="T77" s="716" t="n"/>
      <c r="U77" s="390" t="inlineStr">
        <is>
          <t>A00102020201</t>
        </is>
      </c>
      <c r="V77" s="637">
        <f>IF(_epmOfflineCondition_,"A00102020201",EPMOlapMemberO(U77,"[C_ACCOUNT].[PARENTH1].[A00102020201]","A00102020201 -       其中：优先股","","000"))</f>
        <v/>
      </c>
      <c r="W77" s="462" t="n"/>
      <c r="X77" s="1047" t="inlineStr">
        <is>
          <t>其中：优先股</t>
        </is>
      </c>
      <c r="Y77" s="649" t="inlineStr"/>
      <c r="Z77" s="1249" t="n"/>
      <c r="AA77" s="1249" t="n"/>
      <c r="AB77" s="1249">
        <f>Z77-AA77</f>
        <v/>
      </c>
      <c r="AC77" s="1249">
        <f>IF(AA77=0,0,(Z77-AA77)/AA77*100)</f>
        <v/>
      </c>
      <c r="AD77" s="1249" t="n"/>
      <c r="AE77" s="1249">
        <f>Z77-AD77</f>
        <v/>
      </c>
      <c r="AF77" s="1249">
        <f>IF(AD77=0,0,(Z77-AD77)/AD77*100)</f>
        <v/>
      </c>
      <c r="AG77" s="1249" t="n"/>
      <c r="AH77" s="1249">
        <f>Z77-AG77</f>
        <v/>
      </c>
      <c r="AI77" s="1249">
        <f>IF(AG77=0,0,(Z77-AG77)/AG77*100)</f>
        <v/>
      </c>
      <c r="AJ77" s="1249" t="n"/>
      <c r="AK77" s="1249">
        <f>AJ77-Z77</f>
        <v/>
      </c>
      <c r="AL77" s="1249">
        <f>IFERROR(Z77/AJ77*100,0)</f>
        <v/>
      </c>
    </row>
    <row r="78" ht="14.45" customFormat="1" customHeight="1" s="716">
      <c r="A78" s="716" t="n"/>
      <c r="B78" s="716" t="n"/>
      <c r="C78" s="716" t="n"/>
      <c r="D78" s="716" t="n"/>
      <c r="E78" s="716" t="n"/>
      <c r="F78" s="716" t="n"/>
      <c r="G78" s="716" t="n"/>
      <c r="H78" s="716" t="n"/>
      <c r="I78" s="716" t="n"/>
      <c r="J78" s="716" t="n"/>
      <c r="K78" s="716" t="n"/>
      <c r="L78" s="716" t="n"/>
      <c r="M78" s="716" t="n"/>
      <c r="N78" s="716" t="n"/>
      <c r="O78" s="716" t="n"/>
      <c r="P78" s="716" t="n"/>
      <c r="Q78" s="716" t="n"/>
      <c r="R78" s="716" t="n"/>
      <c r="S78" s="462">
        <f>IF(_epmOfflineCondition_,"                 永续债",EPMMemberDesc(U78))</f>
        <v/>
      </c>
      <c r="T78" s="716" t="n"/>
      <c r="U78" s="390" t="inlineStr">
        <is>
          <t>A00102020202</t>
        </is>
      </c>
      <c r="V78" s="637">
        <f>IF(_epmOfflineCondition_,"A00102020202",EPMOlapMemberO(U78,"[C_ACCOUNT].[PARENTH1].[A00102020202]","A00102020202 -                  永续债","","000"))</f>
        <v/>
      </c>
      <c r="W78" s="462" t="n"/>
      <c r="X78" s="1048" t="inlineStr">
        <is>
          <t xml:space="preserve"> 永续债</t>
        </is>
      </c>
      <c r="Y78" s="649" t="inlineStr"/>
      <c r="Z78" s="1249" t="n"/>
      <c r="AA78" s="1249" t="n"/>
      <c r="AB78" s="1249">
        <f>Z78-AA78</f>
        <v/>
      </c>
      <c r="AC78" s="1249">
        <f>IF(AA78=0,0,(Z78-AA78)/AA78*100)</f>
        <v/>
      </c>
      <c r="AD78" s="1249" t="n"/>
      <c r="AE78" s="1249">
        <f>Z78-AD78</f>
        <v/>
      </c>
      <c r="AF78" s="1249">
        <f>IF(AD78=0,0,(Z78-AD78)/AD78*100)</f>
        <v/>
      </c>
      <c r="AG78" s="1249" t="n"/>
      <c r="AH78" s="1249">
        <f>Z78-AG78</f>
        <v/>
      </c>
      <c r="AI78" s="1249">
        <f>IF(AG78=0,0,(Z78-AG78)/AG78*100)</f>
        <v/>
      </c>
      <c r="AJ78" s="1249" t="n"/>
      <c r="AK78" s="1249">
        <f>AJ78-Z78</f>
        <v/>
      </c>
      <c r="AL78" s="1249">
        <f>IFERROR(Z78/AJ78*100,0)</f>
        <v/>
      </c>
    </row>
    <row r="79" ht="14.45" customFormat="1" customHeight="1" s="716">
      <c r="A79" s="716" t="n"/>
      <c r="B79" s="716" t="n"/>
      <c r="C79" s="716" t="n"/>
      <c r="D79" s="716" t="n"/>
      <c r="E79" s="716" t="n"/>
      <c r="F79" s="716" t="n"/>
      <c r="G79" s="716" t="n"/>
      <c r="H79" s="716" t="n"/>
      <c r="I79" s="716" t="n"/>
      <c r="J79" s="716" t="n"/>
      <c r="K79" s="716" t="n"/>
      <c r="L79" s="716" t="n"/>
      <c r="M79" s="716" t="n"/>
      <c r="N79" s="716" t="n"/>
      <c r="O79" s="716" t="n"/>
      <c r="P79" s="716" t="n"/>
      <c r="Q79" s="716" t="n"/>
      <c r="R79" s="716" t="n"/>
      <c r="S79" s="462">
        <f>IF(_epmOfflineCondition_,"  租赁负债",EPMMemberDesc(U79))</f>
        <v/>
      </c>
      <c r="T79" s="716" t="n"/>
      <c r="U79" s="390" t="inlineStr">
        <is>
          <t>A001020203</t>
        </is>
      </c>
      <c r="V79" s="635">
        <f>IF(_epmOfflineCondition_,"A001020203",EPMOlapMemberO(U79,"[C_ACCOUNT].[PARENTH1].[A001020203]","A001020203 -   租赁负债","","000"))</f>
        <v/>
      </c>
      <c r="W79" s="462" t="n"/>
      <c r="X79" s="705" t="inlineStr">
        <is>
          <t>租赁负债</t>
        </is>
      </c>
      <c r="Y79" s="649" t="inlineStr"/>
      <c r="Z79" s="1249" t="n"/>
      <c r="AA79" s="1249" t="n"/>
      <c r="AB79" s="1249">
        <f>Z79-AA79</f>
        <v/>
      </c>
      <c r="AC79" s="1249">
        <f>IF(AA79=0,0,(Z79-AA79)/AA79*100)</f>
        <v/>
      </c>
      <c r="AD79" s="1249" t="n"/>
      <c r="AE79" s="1249">
        <f>Z79-AD79</f>
        <v/>
      </c>
      <c r="AF79" s="1249">
        <f>IF(AD79=0,0,(Z79-AD79)/AD79*100)</f>
        <v/>
      </c>
      <c r="AG79" s="1249" t="n"/>
      <c r="AH79" s="1249">
        <f>Z79-AG79</f>
        <v/>
      </c>
      <c r="AI79" s="1249">
        <f>IF(AG79=0,0,(Z79-AG79)/AG79*100)</f>
        <v/>
      </c>
      <c r="AJ79" s="1249" t="n"/>
      <c r="AK79" s="1249">
        <f>AJ79-Z79</f>
        <v/>
      </c>
      <c r="AL79" s="1249">
        <f>IFERROR(Z79/AJ79*100,0)</f>
        <v/>
      </c>
    </row>
    <row r="80" ht="14.45" customFormat="1" customHeight="1" s="716">
      <c r="A80" s="716" t="n"/>
      <c r="B80" s="716" t="n"/>
      <c r="C80" s="716" t="n"/>
      <c r="D80" s="716" t="n"/>
      <c r="E80" s="716" t="n"/>
      <c r="F80" s="716" t="n"/>
      <c r="G80" s="716" t="n"/>
      <c r="H80" s="716" t="n"/>
      <c r="I80" s="716" t="n"/>
      <c r="J80" s="716" t="n"/>
      <c r="K80" s="716" t="n"/>
      <c r="L80" s="716" t="n"/>
      <c r="M80" s="716" t="n"/>
      <c r="N80" s="716" t="n"/>
      <c r="O80" s="716" t="n"/>
      <c r="P80" s="716" t="n"/>
      <c r="Q80" s="716" t="n"/>
      <c r="R80" s="716" t="n"/>
      <c r="S80" s="462">
        <f>IF(_epmOfflineCondition_,"  长期应付款",EPMMemberDesc(U80))</f>
        <v/>
      </c>
      <c r="T80" s="716" t="n"/>
      <c r="U80" s="390" t="inlineStr">
        <is>
          <t>A001020204</t>
        </is>
      </c>
      <c r="V80" s="635">
        <f>IF(_epmOfflineCondition_,"A001020204",EPMOlapMemberO(U80,"[C_ACCOUNT].[PARENTH1].[A001020204]","A001020204 -   长期应付款","","000"))</f>
        <v/>
      </c>
      <c r="W80" s="462" t="n"/>
      <c r="X80" s="705" t="inlineStr">
        <is>
          <t>长期应付款</t>
        </is>
      </c>
      <c r="Y80" s="649" t="inlineStr"/>
      <c r="Z80" s="1249" t="inlineStr"/>
      <c r="AA80" s="1249" t="inlineStr"/>
      <c r="AB80" s="1249">
        <f>Z80-AA80</f>
        <v/>
      </c>
      <c r="AC80" s="1249">
        <f>IF(AA80=0,0,(Z80-AA80)/AA80*100)</f>
        <v/>
      </c>
      <c r="AD80" s="1249" t="inlineStr"/>
      <c r="AE80" s="1249">
        <f>Z80-AD80</f>
        <v/>
      </c>
      <c r="AF80" s="1249">
        <f>IF(AD80=0,0,(Z80-AD80)/AD80*100)</f>
        <v/>
      </c>
      <c r="AG80" s="1249" t="inlineStr"/>
      <c r="AH80" s="1249">
        <f>Z80-AG80</f>
        <v/>
      </c>
      <c r="AI80" s="1249">
        <f>IF(AG80=0,0,(Z80-AG80)/AG80*100)</f>
        <v/>
      </c>
      <c r="AJ80" s="1249" t="n"/>
      <c r="AK80" s="1249">
        <f>AJ80-Z80</f>
        <v/>
      </c>
      <c r="AL80" s="1249">
        <f>IFERROR(Z80/AJ80*100,0)</f>
        <v/>
      </c>
    </row>
    <row r="81" ht="14.45" customFormat="1" customHeight="1" s="716">
      <c r="A81" s="716" t="n"/>
      <c r="B81" s="716" t="n"/>
      <c r="C81" s="716" t="n"/>
      <c r="D81" s="716" t="n"/>
      <c r="E81" s="716" t="n"/>
      <c r="F81" s="716" t="n"/>
      <c r="G81" s="716" t="n"/>
      <c r="H81" s="716" t="n"/>
      <c r="I81" s="716" t="n"/>
      <c r="J81" s="716" t="n"/>
      <c r="K81" s="716" t="n"/>
      <c r="L81" s="716" t="n"/>
      <c r="M81" s="716" t="n"/>
      <c r="N81" s="716" t="n"/>
      <c r="O81" s="716" t="n"/>
      <c r="P81" s="716" t="n"/>
      <c r="Q81" s="716" t="n"/>
      <c r="R81" s="716" t="n"/>
      <c r="S81" s="462">
        <f>IF(_epmOfflineCondition_,"  长期应付职工薪酬",EPMMemberDesc(U81))</f>
        <v/>
      </c>
      <c r="T81" s="716" t="n"/>
      <c r="U81" s="390" t="inlineStr">
        <is>
          <t>A001020205</t>
        </is>
      </c>
      <c r="V81" s="635">
        <f>IF(_epmOfflineCondition_,"A001020205",EPMOlapMemberO(U81,"[C_ACCOUNT].[PARENTH1].[A001020205]","A001020205 -   长期应付职工薪酬","","000"))</f>
        <v/>
      </c>
      <c r="W81" s="462" t="n"/>
      <c r="X81" s="705" t="inlineStr">
        <is>
          <t>长期应付职工薪酬</t>
        </is>
      </c>
      <c r="Y81" s="649" t="inlineStr"/>
      <c r="Z81" s="1249" t="n"/>
      <c r="AA81" s="1249" t="n"/>
      <c r="AB81" s="1249">
        <f>Z81-AA81</f>
        <v/>
      </c>
      <c r="AC81" s="1249">
        <f>IF(AA81=0,0,(Z81-AA81)/AA81*100)</f>
        <v/>
      </c>
      <c r="AD81" s="1249" t="n"/>
      <c r="AE81" s="1249">
        <f>Z81-AD81</f>
        <v/>
      </c>
      <c r="AF81" s="1249">
        <f>IF(AD81=0,0,(Z81-AD81)/AD81*100)</f>
        <v/>
      </c>
      <c r="AG81" s="1249" t="n"/>
      <c r="AH81" s="1249">
        <f>Z81-AG81</f>
        <v/>
      </c>
      <c r="AI81" s="1249">
        <f>IF(AG81=0,0,(Z81-AG81)/AG81*100)</f>
        <v/>
      </c>
      <c r="AJ81" s="1249" t="n"/>
      <c r="AK81" s="1249">
        <f>AJ81-Z81</f>
        <v/>
      </c>
      <c r="AL81" s="1249">
        <f>IFERROR(Z81/AJ81*100,0)</f>
        <v/>
      </c>
    </row>
    <row r="82" ht="14.45" customFormat="1" customHeight="1" s="716">
      <c r="A82" s="716" t="n"/>
      <c r="B82" s="716" t="n"/>
      <c r="C82" s="716" t="n"/>
      <c r="D82" s="716" t="n"/>
      <c r="E82" s="716" t="n"/>
      <c r="F82" s="716" t="n"/>
      <c r="G82" s="716" t="n"/>
      <c r="H82" s="716" t="n"/>
      <c r="I82" s="716" t="n"/>
      <c r="J82" s="716" t="n"/>
      <c r="K82" s="716" t="n"/>
      <c r="L82" s="716" t="n"/>
      <c r="M82" s="716" t="n"/>
      <c r="N82" s="716" t="n"/>
      <c r="O82" s="716" t="n"/>
      <c r="P82" s="716" t="n"/>
      <c r="Q82" s="716" t="n"/>
      <c r="R82" s="716" t="n"/>
      <c r="S82" s="462">
        <f>IF(_epmOfflineCondition_,"  专项应付款",EPMMemberDesc(U82))</f>
        <v/>
      </c>
      <c r="T82" s="716" t="n"/>
      <c r="U82" s="390" t="inlineStr">
        <is>
          <t>A001020206</t>
        </is>
      </c>
      <c r="V82" s="635">
        <f>IF(_epmOfflineCondition_,"A001020206",EPMOlapMemberO(U82,"[C_ACCOUNT].[PARENTH1].[A001020206]","A001020206 -   专项应付款","","000"))</f>
        <v/>
      </c>
      <c r="W82" s="462" t="n"/>
      <c r="X82" s="705" t="inlineStr">
        <is>
          <t>专项应付款</t>
        </is>
      </c>
      <c r="Y82" s="649" t="inlineStr"/>
      <c r="Z82" s="1249" t="n"/>
      <c r="AA82" s="1249" t="n"/>
      <c r="AB82" s="1249">
        <f>Z82-AA82</f>
        <v/>
      </c>
      <c r="AC82" s="1249">
        <f>IF(AA82=0,0,(Z82-AA82)/AA82*100)</f>
        <v/>
      </c>
      <c r="AD82" s="1249" t="n"/>
      <c r="AE82" s="1249">
        <f>Z82-AD82</f>
        <v/>
      </c>
      <c r="AF82" s="1249">
        <f>IF(AD82=0,0,(Z82-AD82)/AD82*100)</f>
        <v/>
      </c>
      <c r="AG82" s="1249" t="n"/>
      <c r="AH82" s="1249">
        <f>Z82-AG82</f>
        <v/>
      </c>
      <c r="AI82" s="1249">
        <f>IF(AG82=0,0,(Z82-AG82)/AG82*100)</f>
        <v/>
      </c>
      <c r="AJ82" s="1249" t="n"/>
      <c r="AK82" s="1249">
        <f>AJ82-Z82</f>
        <v/>
      </c>
      <c r="AL82" s="1249">
        <f>IFERROR(Z82/AJ82*100,0)</f>
        <v/>
      </c>
    </row>
    <row r="83" ht="14.45" customFormat="1" customHeight="1" s="716">
      <c r="A83" s="716" t="n"/>
      <c r="B83" s="716" t="n"/>
      <c r="C83" s="716" t="n"/>
      <c r="D83" s="716" t="n"/>
      <c r="E83" s="716" t="n"/>
      <c r="F83" s="716" t="n"/>
      <c r="G83" s="716" t="n"/>
      <c r="H83" s="716" t="n"/>
      <c r="I83" s="716" t="n"/>
      <c r="J83" s="716" t="n"/>
      <c r="K83" s="716" t="n"/>
      <c r="L83" s="716" t="n"/>
      <c r="M83" s="716" t="n"/>
      <c r="N83" s="716" t="n"/>
      <c r="O83" s="716" t="n"/>
      <c r="P83" s="716" t="n"/>
      <c r="Q83" s="716" t="n"/>
      <c r="R83" s="716" t="n"/>
      <c r="S83" s="462">
        <f>IF(_epmOfflineCondition_,"  预计负债",EPMMemberDesc(U83))</f>
        <v/>
      </c>
      <c r="T83" s="716" t="n"/>
      <c r="U83" s="390" t="inlineStr">
        <is>
          <t>A001020207</t>
        </is>
      </c>
      <c r="V83" s="635">
        <f>IF(_epmOfflineCondition_,"A001020207",EPMOlapMemberO(U83,"[C_ACCOUNT].[PARENTH1].[A001020207]","A001020207 -   预计负债","","000"))</f>
        <v/>
      </c>
      <c r="W83" s="462" t="n"/>
      <c r="X83" s="705" t="inlineStr">
        <is>
          <t>预计负债</t>
        </is>
      </c>
      <c r="Y83" s="649" t="inlineStr"/>
      <c r="Z83" s="1249" t="n"/>
      <c r="AA83" s="1249" t="n"/>
      <c r="AB83" s="1249">
        <f>Z83-AA83</f>
        <v/>
      </c>
      <c r="AC83" s="1249">
        <f>IF(AA83=0,0,(Z83-AA83)/AA83*100)</f>
        <v/>
      </c>
      <c r="AD83" s="1249" t="n"/>
      <c r="AE83" s="1249">
        <f>Z83-AD83</f>
        <v/>
      </c>
      <c r="AF83" s="1249">
        <f>IF(AD83=0,0,(Z83-AD83)/AD83*100)</f>
        <v/>
      </c>
      <c r="AG83" s="1249" t="n"/>
      <c r="AH83" s="1249">
        <f>Z83-AG83</f>
        <v/>
      </c>
      <c r="AI83" s="1249">
        <f>IF(AG83=0,0,(Z83-AG83)/AG83*100)</f>
        <v/>
      </c>
      <c r="AJ83" s="1249" t="n"/>
      <c r="AK83" s="1249">
        <f>AJ83-Z83</f>
        <v/>
      </c>
      <c r="AL83" s="1249">
        <f>IFERROR(Z83/AJ83*100,0)</f>
        <v/>
      </c>
    </row>
    <row r="84" ht="14.45" customFormat="1" customHeight="1" s="716">
      <c r="A84" s="716" t="n"/>
      <c r="B84" s="716" t="n"/>
      <c r="C84" s="716" t="n"/>
      <c r="D84" s="716" t="n"/>
      <c r="E84" s="716" t="n"/>
      <c r="F84" s="716" t="n"/>
      <c r="G84" s="716" t="n"/>
      <c r="H84" s="716" t="n"/>
      <c r="I84" s="716" t="n"/>
      <c r="J84" s="716" t="n"/>
      <c r="K84" s="716" t="n"/>
      <c r="L84" s="716" t="n"/>
      <c r="M84" s="716" t="n"/>
      <c r="N84" s="716" t="n"/>
      <c r="O84" s="716" t="n"/>
      <c r="P84" s="716" t="n"/>
      <c r="Q84" s="716" t="n"/>
      <c r="R84" s="716" t="n"/>
      <c r="S84" s="462">
        <f>IF(_epmOfflineCondition_,"  递延收益",EPMMemberDesc(U84))</f>
        <v/>
      </c>
      <c r="T84" s="716" t="n"/>
      <c r="U84" s="390" t="inlineStr">
        <is>
          <t>A001020208</t>
        </is>
      </c>
      <c r="V84" s="635">
        <f>IF(_epmOfflineCondition_,"A001020208",EPMOlapMemberO(U84,"[C_ACCOUNT].[PARENTH1].[A001020208]","A001020208 -   递延收益","","000"))</f>
        <v/>
      </c>
      <c r="W84" s="462" t="n"/>
      <c r="X84" s="705" t="inlineStr">
        <is>
          <t>递延收益</t>
        </is>
      </c>
      <c r="Y84" s="649" t="inlineStr"/>
      <c r="Z84" s="1249" t="n"/>
      <c r="AA84" s="1249" t="n"/>
      <c r="AB84" s="1249">
        <f>Z84-AA84</f>
        <v/>
      </c>
      <c r="AC84" s="1249">
        <f>IF(AA84=0,0,(Z84-AA84)/AA84*100)</f>
        <v/>
      </c>
      <c r="AD84" s="1249" t="n"/>
      <c r="AE84" s="1249">
        <f>Z84-AD84</f>
        <v/>
      </c>
      <c r="AF84" s="1249">
        <f>IF(AD84=0,0,(Z84-AD84)/AD84*100)</f>
        <v/>
      </c>
      <c r="AG84" s="1249" t="n"/>
      <c r="AH84" s="1249">
        <f>Z84-AG84</f>
        <v/>
      </c>
      <c r="AI84" s="1249">
        <f>IF(AG84=0,0,(Z84-AG84)/AG84*100)</f>
        <v/>
      </c>
      <c r="AJ84" s="1249" t="n"/>
      <c r="AK84" s="1249">
        <f>AJ84-Z84</f>
        <v/>
      </c>
      <c r="AL84" s="1249">
        <f>IFERROR(Z84/AJ84*100,0)</f>
        <v/>
      </c>
    </row>
    <row r="85" ht="14.45" customFormat="1" customHeight="1" s="716">
      <c r="A85" s="716" t="n"/>
      <c r="B85" s="716" t="n"/>
      <c r="C85" s="716" t="n"/>
      <c r="D85" s="716" t="n"/>
      <c r="E85" s="716" t="n"/>
      <c r="F85" s="716" t="n"/>
      <c r="G85" s="716" t="n"/>
      <c r="H85" s="716" t="n"/>
      <c r="I85" s="716" t="n"/>
      <c r="J85" s="716" t="n"/>
      <c r="K85" s="716" t="n"/>
      <c r="L85" s="716" t="n"/>
      <c r="M85" s="716" t="n"/>
      <c r="N85" s="716" t="n"/>
      <c r="O85" s="716" t="n"/>
      <c r="P85" s="716" t="n"/>
      <c r="Q85" s="716" t="n"/>
      <c r="R85" s="716" t="n"/>
      <c r="S85" s="462">
        <f>IF(_epmOfflineCondition_,"  递延所得税负债",EPMMemberDesc(U85))</f>
        <v/>
      </c>
      <c r="T85" s="716" t="n"/>
      <c r="U85" s="390" t="inlineStr">
        <is>
          <t>A001020209</t>
        </is>
      </c>
      <c r="V85" s="635">
        <f>IF(_epmOfflineCondition_,"A001020209",EPMOlapMemberO(U85,"[C_ACCOUNT].[PARENTH1].[A001020209]","A001020209 -   递延所得税负债","","000"))</f>
        <v/>
      </c>
      <c r="W85" s="462" t="n"/>
      <c r="X85" s="705" t="inlineStr">
        <is>
          <t>递延所得税负债</t>
        </is>
      </c>
      <c r="Y85" s="649" t="inlineStr"/>
      <c r="Z85" s="1249" t="n"/>
      <c r="AA85" s="1249" t="n"/>
      <c r="AB85" s="1249">
        <f>Z85-AA85</f>
        <v/>
      </c>
      <c r="AC85" s="1249">
        <f>IF(AA85=0,0,(Z85-AA85)/AA85*100)</f>
        <v/>
      </c>
      <c r="AD85" s="1249" t="n"/>
      <c r="AE85" s="1249">
        <f>Z85-AD85</f>
        <v/>
      </c>
      <c r="AF85" s="1249">
        <f>IF(AD85=0,0,(Z85-AD85)/AD85*100)</f>
        <v/>
      </c>
      <c r="AG85" s="1249" t="n"/>
      <c r="AH85" s="1249">
        <f>Z85-AG85</f>
        <v/>
      </c>
      <c r="AI85" s="1249">
        <f>IF(AG85=0,0,(Z85-AG85)/AG85*100)</f>
        <v/>
      </c>
      <c r="AJ85" s="1249" t="n"/>
      <c r="AK85" s="1249">
        <f>AJ85-Z85</f>
        <v/>
      </c>
      <c r="AL85" s="1249">
        <f>IFERROR(Z85/AJ85*100,0)</f>
        <v/>
      </c>
    </row>
    <row r="86" ht="14.45" customFormat="1" customHeight="1" s="716">
      <c r="A86" s="716" t="n"/>
      <c r="B86" s="716" t="n"/>
      <c r="C86" s="716" t="n"/>
      <c r="D86" s="716" t="n"/>
      <c r="E86" s="716" t="n"/>
      <c r="F86" s="716" t="n"/>
      <c r="G86" s="716" t="n"/>
      <c r="H86" s="716" t="n"/>
      <c r="I86" s="716" t="n"/>
      <c r="J86" s="716" t="n"/>
      <c r="K86" s="716" t="n"/>
      <c r="L86" s="716" t="n"/>
      <c r="M86" s="716" t="n"/>
      <c r="N86" s="716" t="n"/>
      <c r="O86" s="716" t="n"/>
      <c r="P86" s="716" t="n"/>
      <c r="Q86" s="716" t="n"/>
      <c r="R86" s="716" t="n"/>
      <c r="S86" s="462">
        <f>IF(_epmOfflineCondition_,"　其他非流动负债",EPMMemberDesc(U86))</f>
        <v/>
      </c>
      <c r="T86" s="716" t="n"/>
      <c r="U86" s="390" t="inlineStr">
        <is>
          <t>A001020210</t>
        </is>
      </c>
      <c r="V86" s="635">
        <f>IF(_epmOfflineCondition_,"A001020210",EPMOlapMemberO(U86,"[C_ACCOUNT].[PARENTH1].[A001020210]","A001020210 - 　其他非流动负债","","000"))</f>
        <v/>
      </c>
      <c r="W86" s="462" t="n"/>
      <c r="X86" s="705" t="inlineStr">
        <is>
          <t>其他非流动负债</t>
        </is>
      </c>
      <c r="Y86" s="649" t="inlineStr"/>
      <c r="Z86" s="1249" t="n"/>
      <c r="AA86" s="1249" t="n"/>
      <c r="AB86" s="1249">
        <f>Z86-AA86</f>
        <v/>
      </c>
      <c r="AC86" s="1249">
        <f>IF(AA86=0,0,(Z86-AA86)/AA86*100)</f>
        <v/>
      </c>
      <c r="AD86" s="1249" t="n"/>
      <c r="AE86" s="1249">
        <f>Z86-AD86</f>
        <v/>
      </c>
      <c r="AF86" s="1249">
        <f>IF(AD86=0,0,(Z86-AD86)/AD86*100)</f>
        <v/>
      </c>
      <c r="AG86" s="1249" t="n"/>
      <c r="AH86" s="1249">
        <f>Z86-AG86</f>
        <v/>
      </c>
      <c r="AI86" s="1249">
        <f>IF(AG86=0,0,(Z86-AG86)/AG86*100)</f>
        <v/>
      </c>
      <c r="AJ86" s="1249" t="n"/>
      <c r="AK86" s="1249">
        <f>AJ86-Z86</f>
        <v/>
      </c>
      <c r="AL86" s="1249">
        <f>IFERROR(Z86/AJ86*100,0)</f>
        <v/>
      </c>
    </row>
    <row r="87" ht="14.45" customFormat="1" customHeight="1" s="716">
      <c r="A87" s="716" t="n"/>
      <c r="B87" s="716" t="n"/>
      <c r="C87" s="716" t="n"/>
      <c r="D87" s="716" t="n"/>
      <c r="E87" s="716" t="n"/>
      <c r="F87" s="716" t="n"/>
      <c r="G87" s="716" t="n"/>
      <c r="H87" s="716" t="n"/>
      <c r="I87" s="716" t="n"/>
      <c r="J87" s="716" t="n"/>
      <c r="K87" s="716" t="n"/>
      <c r="L87" s="716" t="n"/>
      <c r="M87" s="716" t="n"/>
      <c r="N87" s="716" t="n"/>
      <c r="O87" s="716" t="n"/>
      <c r="P87" s="716" t="n"/>
      <c r="Q87" s="716" t="n"/>
      <c r="R87" s="716" t="n"/>
      <c r="S87" s="462">
        <f>IF(_epmOfflineCondition_,"　       非流动负债合计",EPMMemberDesc(U87))</f>
        <v/>
      </c>
      <c r="T87" s="716" t="n"/>
      <c r="U87" s="390" t="inlineStr">
        <is>
          <t>A0010202</t>
        </is>
      </c>
      <c r="V87" s="459">
        <f>IF(_epmOfflineCondition_,"A0010202",EPMOlapMemberO(U87,"[C_ACCOUNT].[PARENTH1].[A0010202]","A0010202 - 　       非流动负债合计","","000"))</f>
        <v/>
      </c>
      <c r="W87" s="462" t="n"/>
      <c r="X87" s="852" t="inlineStr">
        <is>
          <t>非流动负债合计</t>
        </is>
      </c>
      <c r="Y87" s="649" t="inlineStr"/>
      <c r="Z87" s="1249" t="inlineStr"/>
      <c r="AA87" s="1249" t="inlineStr"/>
      <c r="AB87" s="1249">
        <f>Z87-AA87</f>
        <v/>
      </c>
      <c r="AC87" s="1249">
        <f>IF(AA87=0,0,(Z87-AA87)/AA87*100)</f>
        <v/>
      </c>
      <c r="AD87" s="1249" t="inlineStr"/>
      <c r="AE87" s="1249">
        <f>Z87-AD87</f>
        <v/>
      </c>
      <c r="AF87" s="1249">
        <f>IF(AD87=0,0,(Z87-AD87)/AD87*100)</f>
        <v/>
      </c>
      <c r="AG87" s="1249" t="inlineStr"/>
      <c r="AH87" s="1249">
        <f>Z87-AG87</f>
        <v/>
      </c>
      <c r="AI87" s="1249">
        <f>IF(AG87=0,0,(Z87-AG87)/AG87*100)</f>
        <v/>
      </c>
      <c r="AJ87" s="1249" t="n"/>
      <c r="AK87" s="1249">
        <f>AJ87-Z87</f>
        <v/>
      </c>
      <c r="AL87" s="1249">
        <f>IFERROR(Z87/AJ87*100,0)</f>
        <v/>
      </c>
    </row>
    <row r="88" ht="14.45" customFormat="1" customHeight="1" s="716">
      <c r="A88" s="716" t="n"/>
      <c r="B88" s="716" t="n"/>
      <c r="C88" s="716" t="n"/>
      <c r="D88" s="716" t="n"/>
      <c r="E88" s="716" t="n"/>
      <c r="F88" s="716" t="n"/>
      <c r="G88" s="716" t="n"/>
      <c r="H88" s="716" t="n"/>
      <c r="I88" s="716" t="n"/>
      <c r="J88" s="716" t="n"/>
      <c r="K88" s="716" t="n"/>
      <c r="L88" s="716" t="n"/>
      <c r="M88" s="716" t="n"/>
      <c r="N88" s="716" t="n"/>
      <c r="O88" s="716" t="n"/>
      <c r="P88" s="716" t="n"/>
      <c r="Q88" s="716" t="n"/>
      <c r="R88" s="716" t="n"/>
      <c r="S88" s="462">
        <f>IF(_epmOfflineCondition_,"　       负债合计",EPMMemberDesc(U88))</f>
        <v/>
      </c>
      <c r="T88" s="716" t="n"/>
      <c r="U88" s="390" t="inlineStr">
        <is>
          <t>A00102</t>
        </is>
      </c>
      <c r="V88" s="535">
        <f>IF(_epmOfflineCondition_,"A00102",EPMOlapMemberO(U88,"[C_ACCOUNT].[PARENTH1].[A00102]","A00102 - 　       负债合计","","000"))</f>
        <v/>
      </c>
      <c r="W88" s="462" t="n"/>
      <c r="X88" s="852" t="inlineStr">
        <is>
          <t>负    债    合   计</t>
        </is>
      </c>
      <c r="Y88" s="649" t="inlineStr">
        <is>
          <t>-</t>
        </is>
      </c>
      <c r="Z88" s="1249" t="inlineStr"/>
      <c r="AA88" s="1249" t="inlineStr"/>
      <c r="AB88" s="1249">
        <f>Z88-AA88</f>
        <v/>
      </c>
      <c r="AC88" s="1249">
        <f>IF(AA88=0,0,(Z88-AA88)/AA88*100)</f>
        <v/>
      </c>
      <c r="AD88" s="1249" t="inlineStr"/>
      <c r="AE88" s="1249">
        <f>Z88-AD88</f>
        <v/>
      </c>
      <c r="AF88" s="1249">
        <f>IF(AD88=0,0,(Z88-AD88)/AD88*100)</f>
        <v/>
      </c>
      <c r="AG88" s="1249" t="inlineStr"/>
      <c r="AH88" s="1249">
        <f>Z88-AG88</f>
        <v/>
      </c>
      <c r="AI88" s="1249">
        <f>IF(AG88=0,0,(Z88-AG88)/AG88*100)</f>
        <v/>
      </c>
      <c r="AJ88" s="1249" t="n"/>
      <c r="AK88" s="1249">
        <f>AJ88-Z88</f>
        <v/>
      </c>
      <c r="AL88" s="1249">
        <f>IFERROR(Z88/AJ88*100,0)</f>
        <v/>
      </c>
    </row>
    <row r="89" ht="14.45" customFormat="1" customHeight="1" s="716">
      <c r="A89" s="716" t="n"/>
      <c r="B89" s="716" t="n"/>
      <c r="C89" s="716" t="n"/>
      <c r="D89" s="716" t="n"/>
      <c r="E89" s="716" t="n"/>
      <c r="F89" s="716" t="n"/>
      <c r="G89" s="716" t="n"/>
      <c r="H89" s="716" t="n"/>
      <c r="I89" s="716" t="n"/>
      <c r="J89" s="716" t="n"/>
      <c r="K89" s="716" t="n"/>
      <c r="L89" s="716" t="n"/>
      <c r="M89" s="716" t="n"/>
      <c r="N89" s="716" t="n"/>
      <c r="O89" s="716" t="n"/>
      <c r="P89" s="716" t="n"/>
      <c r="Q89" s="716" t="n"/>
      <c r="R89" s="716" t="n"/>
      <c r="S89" s="462">
        <f>IF(_epmOfflineCondition_,"所有者权益（或股东权益）：",EPMMemberDesc(U89))</f>
        <v/>
      </c>
      <c r="T89" s="716" t="n"/>
      <c r="U89" s="390" t="inlineStr">
        <is>
          <t>A0010599</t>
        </is>
      </c>
      <c r="V89" s="462">
        <f>IF(_epmOfflineCondition_,"A0010599",EPMOlapMemberO(U89,"[C_ACCOUNT].[PARENTH1].[A0010599]","A0010599 - 所有者权益（或股东权益）：","","000"))</f>
        <v/>
      </c>
      <c r="W89" s="462" t="n"/>
      <c r="X89" s="1045" t="inlineStr">
        <is>
          <t>所有者权益（或股东权益）：</t>
        </is>
      </c>
      <c r="Y89" s="649" t="inlineStr"/>
      <c r="Z89" s="1249" t="n"/>
      <c r="AA89" s="1249" t="n"/>
      <c r="AB89" s="1249">
        <f>Z89-AA89</f>
        <v/>
      </c>
      <c r="AC89" s="1249">
        <f>IF(AA89=0,0,(Z89-AA89)/AA89*100)</f>
        <v/>
      </c>
      <c r="AD89" s="1249" t="n"/>
      <c r="AE89" s="1249">
        <f>Z89-AD89</f>
        <v/>
      </c>
      <c r="AF89" s="1249">
        <f>IF(AD89=0,0,(Z89-AD89)/AD89*100)</f>
        <v/>
      </c>
      <c r="AG89" s="1249" t="n"/>
      <c r="AH89" s="1249">
        <f>Z89-AG89</f>
        <v/>
      </c>
      <c r="AI89" s="1249">
        <f>IF(AG89=0,0,(Z89-AG89)/AG89*100)</f>
        <v/>
      </c>
      <c r="AJ89" s="1249" t="n"/>
      <c r="AK89" s="1249">
        <f>AJ89-Z89</f>
        <v/>
      </c>
      <c r="AL89" s="1249">
        <f>IFERROR(Z89/AJ89*100,0)</f>
        <v/>
      </c>
    </row>
    <row r="90" ht="14.45" customFormat="1" customHeight="1" s="716">
      <c r="A90" s="716" t="n"/>
      <c r="B90" s="716" t="n"/>
      <c r="C90" s="716" t="n"/>
      <c r="D90" s="716" t="n"/>
      <c r="E90" s="716" t="n"/>
      <c r="F90" s="716" t="n"/>
      <c r="G90" s="716" t="n"/>
      <c r="H90" s="716" t="n"/>
      <c r="I90" s="716" t="n"/>
      <c r="J90" s="716" t="n"/>
      <c r="K90" s="716" t="n"/>
      <c r="L90" s="716" t="n"/>
      <c r="M90" s="716" t="n"/>
      <c r="N90" s="716" t="n"/>
      <c r="O90" s="716" t="n"/>
      <c r="P90" s="716" t="n"/>
      <c r="Q90" s="716" t="n"/>
      <c r="R90" s="716" t="n"/>
      <c r="S90" s="462">
        <f>IF(_epmOfflineCondition_,"  实收资本（或股本）",EPMMemberDesc(U90))</f>
        <v/>
      </c>
      <c r="T90" s="716" t="n"/>
      <c r="U90" s="390" t="inlineStr">
        <is>
          <t>A0010301</t>
        </is>
      </c>
      <c r="V90" s="635">
        <f>IF(_epmOfflineCondition_,"A0010301",EPMOlapMemberO(U90,"[C_ACCOUNT].[PARENTH1].[A0010301]","A0010301 -   实收资本（或股本）","","000"))</f>
        <v/>
      </c>
      <c r="W90" s="462" t="n"/>
      <c r="X90" s="705" t="inlineStr">
        <is>
          <t>实收资本（股本）</t>
        </is>
      </c>
      <c r="Y90" s="649" t="inlineStr"/>
      <c r="Z90" s="1249" t="inlineStr"/>
      <c r="AA90" s="1249" t="inlineStr"/>
      <c r="AB90" s="1249">
        <f>Z90-AA90</f>
        <v/>
      </c>
      <c r="AC90" s="1249">
        <f>IF(AA90=0,0,(Z90-AA90)/AA90*100)</f>
        <v/>
      </c>
      <c r="AD90" s="1249" t="inlineStr"/>
      <c r="AE90" s="1249">
        <f>Z90-AD90</f>
        <v/>
      </c>
      <c r="AF90" s="1249">
        <f>IF(AD90=0,0,(Z90-AD90)/AD90*100)</f>
        <v/>
      </c>
      <c r="AG90" s="1249" t="inlineStr"/>
      <c r="AH90" s="1249">
        <f>Z90-AG90</f>
        <v/>
      </c>
      <c r="AI90" s="1249">
        <f>IF(AG90=0,0,(Z90-AG90)/AG90*100)</f>
        <v/>
      </c>
      <c r="AJ90" s="1249" t="n"/>
      <c r="AK90" s="1249">
        <f>AJ90-Z90</f>
        <v/>
      </c>
      <c r="AL90" s="1249">
        <f>IFERROR(Z90/AJ90*100,0)</f>
        <v/>
      </c>
    </row>
    <row r="91">
      <c r="A91" s="384" t="n"/>
      <c r="B91" s="384" t="n"/>
      <c r="C91" s="384" t="n"/>
      <c r="D91" s="384" t="n"/>
      <c r="E91" s="384" t="n"/>
      <c r="F91" s="384" t="n"/>
      <c r="G91" s="384" t="n"/>
      <c r="H91" s="384" t="n"/>
      <c r="I91" s="384" t="n"/>
      <c r="J91" s="384" t="n"/>
      <c r="K91" s="384" t="n"/>
      <c r="L91" s="384" t="n"/>
      <c r="M91" s="384" t="n"/>
      <c r="N91" s="384" t="n"/>
      <c r="O91" s="384" t="n"/>
      <c r="P91" s="384" t="n"/>
      <c r="Q91" s="384" t="n"/>
      <c r="R91" s="384" t="n"/>
      <c r="S91" s="462">
        <f>IF(_epmOfflineCondition_,"  其他权益工具",EPMMemberDesc(U91))</f>
        <v/>
      </c>
      <c r="T91" s="384" t="n"/>
      <c r="U91" s="390" t="inlineStr">
        <is>
          <t>A0010302</t>
        </is>
      </c>
      <c r="V91" s="635">
        <f>IF(_epmOfflineCondition_,"A0010302",EPMOlapMemberO(U91,"[C_ACCOUNT].[PARENTH1].[A0010302]","A0010302 -   其他权益工具","","000"))</f>
        <v/>
      </c>
      <c r="W91" s="384" t="n"/>
      <c r="X91" s="705" t="inlineStr">
        <is>
          <t>其他权益工具</t>
        </is>
      </c>
      <c r="Y91" s="649" t="inlineStr"/>
      <c r="Z91" s="1249" t="n"/>
      <c r="AA91" s="1249" t="n"/>
      <c r="AB91" s="1249">
        <f>Z91-AA91</f>
        <v/>
      </c>
      <c r="AC91" s="1249">
        <f>IF(AA91=0,0,(Z91-AA91)/AA91*100)</f>
        <v/>
      </c>
      <c r="AD91" s="1249" t="n"/>
      <c r="AE91" s="1249">
        <f>Z91-AD91</f>
        <v/>
      </c>
      <c r="AF91" s="1249">
        <f>IF(AD91=0,0,(Z91-AD91)/AD91*100)</f>
        <v/>
      </c>
      <c r="AG91" s="1249" t="n"/>
      <c r="AH91" s="1249">
        <f>Z91-AG91</f>
        <v/>
      </c>
      <c r="AI91" s="1249">
        <f>IF(AG91=0,0,(Z91-AG91)/AG91*100)</f>
        <v/>
      </c>
      <c r="AJ91" s="1249" t="n"/>
      <c r="AK91" s="1249">
        <f>AJ91-Z91</f>
        <v/>
      </c>
      <c r="AL91" s="1249">
        <f>IFERROR(Z91/AJ91*100,0)</f>
        <v/>
      </c>
    </row>
    <row r="92">
      <c r="A92" s="384" t="n"/>
      <c r="B92" s="384" t="n"/>
      <c r="C92" s="384" t="n"/>
      <c r="D92" s="384" t="n"/>
      <c r="E92" s="384" t="n"/>
      <c r="F92" s="384" t="n"/>
      <c r="G92" s="384" t="n"/>
      <c r="H92" s="384" t="n"/>
      <c r="I92" s="384" t="n"/>
      <c r="J92" s="384" t="n"/>
      <c r="K92" s="384" t="n"/>
      <c r="L92" s="384" t="n"/>
      <c r="M92" s="384" t="n"/>
      <c r="N92" s="384" t="n"/>
      <c r="O92" s="384" t="n"/>
      <c r="P92" s="384" t="n"/>
      <c r="Q92" s="384" t="n"/>
      <c r="R92" s="384" t="n"/>
      <c r="S92" s="462">
        <f>IF(_epmOfflineCondition_,"      其中：优先股",EPMMemberDesc(U92))</f>
        <v/>
      </c>
      <c r="T92" s="384" t="n"/>
      <c r="U92" s="390" t="inlineStr">
        <is>
          <t>A001030201</t>
        </is>
      </c>
      <c r="V92" s="637">
        <f>IF(_epmOfflineCondition_,"A001030201",EPMOlapMemberO(U92,"[C_ACCOUNT].[PARENTH1].[A001030201]","A001030201 -       其中：优先股","","000"))</f>
        <v/>
      </c>
      <c r="W92" s="384" t="n"/>
      <c r="X92" s="1047" t="inlineStr">
        <is>
          <t>其中：优先股</t>
        </is>
      </c>
      <c r="Y92" s="649" t="inlineStr"/>
      <c r="Z92" s="1249" t="n"/>
      <c r="AA92" s="1249" t="n"/>
      <c r="AB92" s="1249">
        <f>Z92-AA92</f>
        <v/>
      </c>
      <c r="AC92" s="1249">
        <f>IF(AA92=0,0,(Z92-AA92)/AA92*100)</f>
        <v/>
      </c>
      <c r="AD92" s="1249" t="n"/>
      <c r="AE92" s="1249">
        <f>Z92-AD92</f>
        <v/>
      </c>
      <c r="AF92" s="1249">
        <f>IF(AD92=0,0,(Z92-AD92)/AD92*100)</f>
        <v/>
      </c>
      <c r="AG92" s="1249" t="n"/>
      <c r="AH92" s="1249">
        <f>Z92-AG92</f>
        <v/>
      </c>
      <c r="AI92" s="1249">
        <f>IF(AG92=0,0,(Z92-AG92)/AG92*100)</f>
        <v/>
      </c>
      <c r="AJ92" s="1249" t="n"/>
      <c r="AK92" s="1249">
        <f>AJ92-Z92</f>
        <v/>
      </c>
      <c r="AL92" s="1249">
        <f>IFERROR(Z92/AJ92*100,0)</f>
        <v/>
      </c>
    </row>
    <row r="93">
      <c r="A93" s="384" t="n"/>
      <c r="B93" s="384" t="n"/>
      <c r="C93" s="384" t="n"/>
      <c r="D93" s="384" t="n"/>
      <c r="E93" s="384" t="n"/>
      <c r="F93" s="384" t="n"/>
      <c r="G93" s="384" t="n"/>
      <c r="H93" s="384" t="n"/>
      <c r="I93" s="384" t="n"/>
      <c r="J93" s="384" t="n"/>
      <c r="K93" s="384" t="n"/>
      <c r="L93" s="384" t="n"/>
      <c r="M93" s="384" t="n"/>
      <c r="N93" s="384" t="n"/>
      <c r="O93" s="384" t="n"/>
      <c r="P93" s="384" t="n"/>
      <c r="Q93" s="384" t="n"/>
      <c r="R93" s="384" t="n"/>
      <c r="S93" s="462">
        <f>IF(_epmOfflineCondition_,"                 永续债",EPMMemberDesc(U93))</f>
        <v/>
      </c>
      <c r="T93" s="384" t="n"/>
      <c r="U93" s="390" t="inlineStr">
        <is>
          <t>A001030202</t>
        </is>
      </c>
      <c r="V93" s="637">
        <f>IF(_epmOfflineCondition_,"A001030202",EPMOlapMemberO(U93,"[C_ACCOUNT].[PARENTH1].[A001030202]","A001030202 -                  永续债","","000"))</f>
        <v/>
      </c>
      <c r="W93" s="384" t="n"/>
      <c r="X93" s="1048" t="inlineStr">
        <is>
          <t xml:space="preserve"> 永续债</t>
        </is>
      </c>
      <c r="Y93" s="649" t="inlineStr"/>
      <c r="Z93" s="1249" t="n"/>
      <c r="AA93" s="1249" t="n"/>
      <c r="AB93" s="1249">
        <f>Z93-AA93</f>
        <v/>
      </c>
      <c r="AC93" s="1249">
        <f>IF(AA93=0,0,(Z93-AA93)/AA93*100)</f>
        <v/>
      </c>
      <c r="AD93" s="1249" t="n"/>
      <c r="AE93" s="1249">
        <f>Z93-AD93</f>
        <v/>
      </c>
      <c r="AF93" s="1249">
        <f>IF(AD93=0,0,(Z93-AD93)/AD93*100)</f>
        <v/>
      </c>
      <c r="AG93" s="1249" t="n"/>
      <c r="AH93" s="1249">
        <f>Z93-AG93</f>
        <v/>
      </c>
      <c r="AI93" s="1249">
        <f>IF(AG93=0,0,(Z93-AG93)/AG93*100)</f>
        <v/>
      </c>
      <c r="AJ93" s="1249" t="n"/>
      <c r="AK93" s="1249">
        <f>AJ93-Z93</f>
        <v/>
      </c>
      <c r="AL93" s="1249">
        <f>IFERROR(Z93/AJ93*100,0)</f>
        <v/>
      </c>
    </row>
    <row r="94">
      <c r="A94" s="384" t="n"/>
      <c r="B94" s="384" t="n"/>
      <c r="C94" s="384" t="n"/>
      <c r="D94" s="384" t="n"/>
      <c r="E94" s="384" t="n"/>
      <c r="F94" s="384" t="n"/>
      <c r="G94" s="384" t="n"/>
      <c r="H94" s="384" t="n"/>
      <c r="I94" s="384" t="n"/>
      <c r="J94" s="384" t="n"/>
      <c r="K94" s="384" t="n"/>
      <c r="L94" s="384" t="n"/>
      <c r="M94" s="384" t="n"/>
      <c r="N94" s="384" t="n"/>
      <c r="O94" s="384" t="n"/>
      <c r="P94" s="384" t="n"/>
      <c r="Q94" s="384" t="n"/>
      <c r="R94" s="384" t="n"/>
      <c r="S94" s="462">
        <f>IF(_epmOfflineCondition_,"  资本公积",EPMMemberDesc(U94))</f>
        <v/>
      </c>
      <c r="T94" s="384" t="n"/>
      <c r="U94" s="390" t="inlineStr">
        <is>
          <t>A0010303</t>
        </is>
      </c>
      <c r="V94" s="635">
        <f>IF(_epmOfflineCondition_,"A0010303",EPMOlapMemberO(U94,"[C_ACCOUNT].[PARENTH1].[A0010303]","A0010303 -   资本公积","","000"))</f>
        <v/>
      </c>
      <c r="W94" s="384" t="n"/>
      <c r="X94" s="705" t="inlineStr">
        <is>
          <t>资本公积</t>
        </is>
      </c>
      <c r="Y94" s="649" t="inlineStr"/>
      <c r="Z94" s="1249" t="n"/>
      <c r="AA94" s="1249" t="n"/>
      <c r="AB94" s="1249">
        <f>Z94-AA94</f>
        <v/>
      </c>
      <c r="AC94" s="1249">
        <f>IF(AA94=0,0,(Z94-AA94)/AA94*100)</f>
        <v/>
      </c>
      <c r="AD94" s="1249" t="n"/>
      <c r="AE94" s="1249">
        <f>Z94-AD94</f>
        <v/>
      </c>
      <c r="AF94" s="1249">
        <f>IF(AD94=0,0,(Z94-AD94)/AD94*100)</f>
        <v/>
      </c>
      <c r="AG94" s="1249" t="n"/>
      <c r="AH94" s="1249">
        <f>Z94-AG94</f>
        <v/>
      </c>
      <c r="AI94" s="1249">
        <f>IF(AG94=0,0,(Z94-AG94)/AG94*100)</f>
        <v/>
      </c>
      <c r="AJ94" s="1249" t="n"/>
      <c r="AK94" s="1249">
        <f>AJ94-Z94</f>
        <v/>
      </c>
      <c r="AL94" s="1249">
        <f>IFERROR(Z94/AJ94*100,0)</f>
        <v/>
      </c>
    </row>
    <row r="95">
      <c r="A95" s="384" t="n"/>
      <c r="B95" s="384" t="n"/>
      <c r="C95" s="384" t="n"/>
      <c r="D95" s="384" t="n"/>
      <c r="E95" s="384" t="n"/>
      <c r="F95" s="384" t="n"/>
      <c r="G95" s="384" t="n"/>
      <c r="H95" s="384" t="n"/>
      <c r="I95" s="384" t="n"/>
      <c r="J95" s="384" t="n"/>
      <c r="K95" s="384" t="n"/>
      <c r="L95" s="384" t="n"/>
      <c r="M95" s="384" t="n"/>
      <c r="N95" s="384" t="n"/>
      <c r="O95" s="384" t="n"/>
      <c r="P95" s="384" t="n"/>
      <c r="Q95" s="384" t="n"/>
      <c r="R95" s="384" t="n"/>
      <c r="S95" s="462">
        <f>IF(_epmOfflineCondition_,"  减：库存股",EPMMemberDesc(U95))</f>
        <v/>
      </c>
      <c r="T95" s="384" t="n"/>
      <c r="U95" s="390" t="inlineStr">
        <is>
          <t>A0010304</t>
        </is>
      </c>
      <c r="V95" s="635">
        <f>IF(_epmOfflineCondition_,"A0010304",EPMOlapMemberO(U95,"[C_ACCOUNT].[PARENTH1].[A0010304]","A0010304 -   减：库存股","","000"))</f>
        <v/>
      </c>
      <c r="W95" s="384" t="n"/>
      <c r="X95" s="1047" t="inlineStr">
        <is>
          <t>减：库存股</t>
        </is>
      </c>
      <c r="Y95" s="649" t="inlineStr"/>
      <c r="Z95" s="1249" t="n"/>
      <c r="AA95" s="1249" t="n"/>
      <c r="AB95" s="1249">
        <f>Z95-AA95</f>
        <v/>
      </c>
      <c r="AC95" s="1249">
        <f>IF(AA95=0,0,(Z95-AA95)/AA95*100)</f>
        <v/>
      </c>
      <c r="AD95" s="1249" t="n"/>
      <c r="AE95" s="1249">
        <f>Z95-AD95</f>
        <v/>
      </c>
      <c r="AF95" s="1249">
        <f>IF(AD95=0,0,(Z95-AD95)/AD95*100)</f>
        <v/>
      </c>
      <c r="AG95" s="1249" t="n"/>
      <c r="AH95" s="1249">
        <f>Z95-AG95</f>
        <v/>
      </c>
      <c r="AI95" s="1249">
        <f>IF(AG95=0,0,(Z95-AG95)/AG95*100)</f>
        <v/>
      </c>
      <c r="AJ95" s="1249" t="n"/>
      <c r="AK95" s="1249">
        <f>AJ95-Z95</f>
        <v/>
      </c>
      <c r="AL95" s="1249">
        <f>IFERROR(Z95/AJ95*100,0)</f>
        <v/>
      </c>
    </row>
    <row r="96">
      <c r="A96" s="384" t="n"/>
      <c r="B96" s="384" t="n"/>
      <c r="C96" s="384" t="n"/>
      <c r="D96" s="384" t="n"/>
      <c r="E96" s="384" t="n"/>
      <c r="F96" s="384" t="n"/>
      <c r="G96" s="384" t="n"/>
      <c r="H96" s="384" t="n"/>
      <c r="I96" s="384" t="n"/>
      <c r="J96" s="384" t="n"/>
      <c r="K96" s="384" t="n"/>
      <c r="L96" s="384" t="n"/>
      <c r="M96" s="384" t="n"/>
      <c r="N96" s="384" t="n"/>
      <c r="O96" s="384" t="n"/>
      <c r="P96" s="384" t="n"/>
      <c r="Q96" s="384" t="n"/>
      <c r="R96" s="384" t="n"/>
      <c r="S96" s="462">
        <f>IF(_epmOfflineCondition_,"  其他综合收益",EPMMemberDesc(U96))</f>
        <v/>
      </c>
      <c r="T96" s="384" t="n"/>
      <c r="U96" s="390" t="inlineStr">
        <is>
          <t>A0010305</t>
        </is>
      </c>
      <c r="V96" s="635">
        <f>IF(_epmOfflineCondition_,"A0010305",EPMOlapMemberO(U96,"[C_ACCOUNT].[PARENTH1].[A0010305]","A0010305 -   其他综合收益","","000"))</f>
        <v/>
      </c>
      <c r="W96" s="384" t="n"/>
      <c r="X96" s="705" t="inlineStr">
        <is>
          <t>其他综合收益</t>
        </is>
      </c>
      <c r="Y96" s="649" t="inlineStr"/>
      <c r="Z96" s="1249" t="n"/>
      <c r="AA96" s="1249" t="n"/>
      <c r="AB96" s="1249">
        <f>Z96-AA96</f>
        <v/>
      </c>
      <c r="AC96" s="1249">
        <f>IF(AA96=0,0,(Z96-AA96)/AA96*100)</f>
        <v/>
      </c>
      <c r="AD96" s="1249" t="n"/>
      <c r="AE96" s="1249">
        <f>Z96-AD96</f>
        <v/>
      </c>
      <c r="AF96" s="1249">
        <f>IF(AD96=0,0,(Z96-AD96)/AD96*100)</f>
        <v/>
      </c>
      <c r="AG96" s="1249" t="n"/>
      <c r="AH96" s="1249">
        <f>Z96-AG96</f>
        <v/>
      </c>
      <c r="AI96" s="1249">
        <f>IF(AG96=0,0,(Z96-AG96)/AG96*100)</f>
        <v/>
      </c>
      <c r="AJ96" s="1249" t="n"/>
      <c r="AK96" s="1249">
        <f>AJ96-Z96</f>
        <v/>
      </c>
      <c r="AL96" s="1249">
        <f>IFERROR(Z96/AJ96*100,0)</f>
        <v/>
      </c>
    </row>
    <row r="97">
      <c r="A97" s="384" t="n"/>
      <c r="B97" s="384" t="n"/>
      <c r="C97" s="384" t="n"/>
      <c r="D97" s="384" t="n"/>
      <c r="E97" s="384" t="n"/>
      <c r="F97" s="384" t="n"/>
      <c r="G97" s="384" t="n"/>
      <c r="H97" s="384" t="n"/>
      <c r="I97" s="384" t="n"/>
      <c r="J97" s="384" t="n"/>
      <c r="K97" s="384" t="n"/>
      <c r="L97" s="384" t="n"/>
      <c r="M97" s="384" t="n"/>
      <c r="N97" s="384" t="n"/>
      <c r="O97" s="384" t="n"/>
      <c r="P97" s="384" t="n"/>
      <c r="Q97" s="384" t="n"/>
      <c r="R97" s="384" t="n"/>
      <c r="S97" s="462">
        <f>IF(_epmOfflineCondition_,"            8.外币财务报表折算差额",EPMMemberDesc(U97))</f>
        <v/>
      </c>
      <c r="T97" s="384" t="n"/>
      <c r="U97" s="390" t="inlineStr">
        <is>
          <t>A00103051</t>
        </is>
      </c>
      <c r="V97" s="1018">
        <f>IF(_epmOfflineCondition_,"A00103051",EPMOlapMemberO(U97,"[C_ACCOUNT].[PARENTH1].[A00103051]","A00103051 -             8.外币财务报表折算差额","","000"))</f>
        <v/>
      </c>
      <c r="W97" s="384" t="n"/>
      <c r="X97" s="1047" t="inlineStr">
        <is>
          <t>其中：外币报表折算差额</t>
        </is>
      </c>
      <c r="Y97" s="649" t="inlineStr"/>
      <c r="Z97" s="1249" t="n"/>
      <c r="AA97" s="1249" t="n"/>
      <c r="AB97" s="1249">
        <f>Z97-AA97</f>
        <v/>
      </c>
      <c r="AC97" s="1249">
        <f>IF(AA97=0,0,(Z97-AA97)/AA97*100)</f>
        <v/>
      </c>
      <c r="AD97" s="1249" t="n"/>
      <c r="AE97" s="1249">
        <f>Z97-AD97</f>
        <v/>
      </c>
      <c r="AF97" s="1249">
        <f>IF(AD97=0,0,(Z97-AD97)/AD97*100)</f>
        <v/>
      </c>
      <c r="AG97" s="1249" t="n"/>
      <c r="AH97" s="1249">
        <f>Z97-AG97</f>
        <v/>
      </c>
      <c r="AI97" s="1249">
        <f>IF(AG97=0,0,(Z97-AG97)/AG97*100)</f>
        <v/>
      </c>
      <c r="AJ97" s="1249" t="n"/>
      <c r="AK97" s="1249">
        <f>AJ97-Z97</f>
        <v/>
      </c>
      <c r="AL97" s="1249">
        <f>IFERROR(Z97/AJ97*100,0)</f>
        <v/>
      </c>
    </row>
    <row r="98">
      <c r="A98" s="384" t="n"/>
      <c r="B98" s="384" t="n"/>
      <c r="C98" s="384" t="n"/>
      <c r="D98" s="384" t="n"/>
      <c r="E98" s="384" t="n"/>
      <c r="F98" s="384" t="n"/>
      <c r="G98" s="384" t="n"/>
      <c r="H98" s="384" t="n"/>
      <c r="I98" s="384" t="n"/>
      <c r="J98" s="384" t="n"/>
      <c r="K98" s="384" t="n"/>
      <c r="L98" s="384" t="n"/>
      <c r="M98" s="384" t="n"/>
      <c r="N98" s="384" t="n"/>
      <c r="O98" s="384" t="n"/>
      <c r="P98" s="384" t="n"/>
      <c r="Q98" s="384" t="n"/>
      <c r="R98" s="384" t="n"/>
      <c r="S98" s="462">
        <f>IF(_epmOfflineCondition_,"  专项储备",EPMMemberDesc(U98))</f>
        <v/>
      </c>
      <c r="T98" s="384" t="n"/>
      <c r="U98" s="390" t="inlineStr">
        <is>
          <t>A0010306</t>
        </is>
      </c>
      <c r="V98" s="635">
        <f>IF(_epmOfflineCondition_,"A0010306",EPMOlapMemberO(U98,"[C_ACCOUNT].[PARENTH1].[A0010306]","A0010306 -   专项储备","","000"))</f>
        <v/>
      </c>
      <c r="W98" s="384" t="n"/>
      <c r="X98" s="705" t="inlineStr">
        <is>
          <t>专项储备</t>
        </is>
      </c>
      <c r="Y98" s="649" t="inlineStr"/>
      <c r="Z98" s="1249" t="inlineStr"/>
      <c r="AA98" s="1249" t="inlineStr"/>
      <c r="AB98" s="1249">
        <f>Z98-AA98</f>
        <v/>
      </c>
      <c r="AC98" s="1249">
        <f>IF(AA98=0,0,(Z98-AA98)/AA98*100)</f>
        <v/>
      </c>
      <c r="AD98" s="1249" t="inlineStr"/>
      <c r="AE98" s="1249">
        <f>Z98-AD98</f>
        <v/>
      </c>
      <c r="AF98" s="1249">
        <f>IF(AD98=0,0,(Z98-AD98)/AD98*100)</f>
        <v/>
      </c>
      <c r="AG98" s="1249" t="n"/>
      <c r="AH98" s="1249">
        <f>Z98-AG98</f>
        <v/>
      </c>
      <c r="AI98" s="1249">
        <f>IF(AG98=0,0,(Z98-AG98)/AG98*100)</f>
        <v/>
      </c>
      <c r="AJ98" s="1249" t="n"/>
      <c r="AK98" s="1249">
        <f>AJ98-Z98</f>
        <v/>
      </c>
      <c r="AL98" s="1249">
        <f>IFERROR(Z98/AJ98*100,0)</f>
        <v/>
      </c>
    </row>
    <row r="99">
      <c r="A99" s="384" t="n"/>
      <c r="B99" s="384" t="n"/>
      <c r="C99" s="384" t="n"/>
      <c r="D99" s="384" t="n"/>
      <c r="E99" s="384" t="n"/>
      <c r="F99" s="384" t="n"/>
      <c r="G99" s="384" t="n"/>
      <c r="H99" s="384" t="n"/>
      <c r="I99" s="384" t="n"/>
      <c r="J99" s="384" t="n"/>
      <c r="K99" s="384" t="n"/>
      <c r="L99" s="384" t="n"/>
      <c r="M99" s="384" t="n"/>
      <c r="N99" s="384" t="n"/>
      <c r="O99" s="384" t="n"/>
      <c r="P99" s="384" t="n"/>
      <c r="Q99" s="384" t="n"/>
      <c r="R99" s="384" t="n"/>
      <c r="S99" s="462">
        <f>IF(_epmOfflineCondition_,"  盈余公积",EPMMemberDesc(U99))</f>
        <v/>
      </c>
      <c r="T99" s="384" t="n"/>
      <c r="U99" s="390" t="inlineStr">
        <is>
          <t>A0010307</t>
        </is>
      </c>
      <c r="V99" s="635">
        <f>IF(_epmOfflineCondition_,"A0010307",EPMOlapMemberO(U99,"[C_ACCOUNT].[PARENTH1].[A0010307]","A0010307 -   盈余公积","","000"))</f>
        <v/>
      </c>
      <c r="W99" s="384" t="n"/>
      <c r="X99" s="705" t="inlineStr">
        <is>
          <t>盈余公积</t>
        </is>
      </c>
      <c r="Y99" s="649" t="inlineStr"/>
      <c r="Z99" s="1249" t="n"/>
      <c r="AA99" s="1249" t="n"/>
      <c r="AB99" s="1249">
        <f>Z99-AA99</f>
        <v/>
      </c>
      <c r="AC99" s="1249">
        <f>IF(AA99=0,0,(Z99-AA99)/AA99*100)</f>
        <v/>
      </c>
      <c r="AD99" s="1249" t="n"/>
      <c r="AE99" s="1249">
        <f>Z99-AD99</f>
        <v/>
      </c>
      <c r="AF99" s="1249">
        <f>IF(AD99=0,0,(Z99-AD99)/AD99*100)</f>
        <v/>
      </c>
      <c r="AG99" s="1249" t="n"/>
      <c r="AH99" s="1249">
        <f>Z99-AG99</f>
        <v/>
      </c>
      <c r="AI99" s="1249">
        <f>IF(AG99=0,0,(Z99-AG99)/AG99*100)</f>
        <v/>
      </c>
      <c r="AJ99" s="1249" t="n"/>
      <c r="AK99" s="1249">
        <f>AJ99-Z99</f>
        <v/>
      </c>
      <c r="AL99" s="1249">
        <f>IFERROR(Z99/AJ99*100,0)</f>
        <v/>
      </c>
    </row>
    <row r="100">
      <c r="A100" s="384" t="n"/>
      <c r="B100" s="384" t="n"/>
      <c r="C100" s="384" t="n"/>
      <c r="D100" s="384" t="n"/>
      <c r="E100" s="384" t="n"/>
      <c r="F100" s="384" t="n"/>
      <c r="G100" s="384" t="n"/>
      <c r="H100" s="384" t="n"/>
      <c r="I100" s="384" t="n"/>
      <c r="J100" s="384" t="n"/>
      <c r="K100" s="384" t="n"/>
      <c r="L100" s="384" t="n"/>
      <c r="M100" s="384" t="n"/>
      <c r="N100" s="384" t="n"/>
      <c r="O100" s="384" t="n"/>
      <c r="P100" s="384" t="n"/>
      <c r="Q100" s="384" t="n"/>
      <c r="R100" s="384" t="n"/>
      <c r="S100" s="462">
        <f>IF(_epmOfflineCondition_,"      其中：法定公积金",EPMMemberDesc(U100))</f>
        <v/>
      </c>
      <c r="T100" s="384" t="n"/>
      <c r="U100" s="390" t="inlineStr">
        <is>
          <t>A001030701</t>
        </is>
      </c>
      <c r="V100" s="637">
        <f>IF(_epmOfflineCondition_,"A001030701",EPMOlapMemberO(U100,"[C_ACCOUNT].[PARENTH1].[A001030701]","A001030701 -       其中：法定公积金","","000"))</f>
        <v/>
      </c>
      <c r="W100" s="384" t="n"/>
      <c r="X100" s="1047" t="inlineStr">
        <is>
          <t>其中：法定公积金</t>
        </is>
      </c>
      <c r="Y100" s="649" t="inlineStr"/>
      <c r="Z100" s="1249" t="n"/>
      <c r="AA100" s="1249" t="n"/>
      <c r="AB100" s="1249">
        <f>Z100-AA100</f>
        <v/>
      </c>
      <c r="AC100" s="1249">
        <f>IF(AA100=0,0,(Z100-AA100)/AA100*100)</f>
        <v/>
      </c>
      <c r="AD100" s="1249" t="n"/>
      <c r="AE100" s="1249">
        <f>Z100-AD100</f>
        <v/>
      </c>
      <c r="AF100" s="1249">
        <f>IF(AD100=0,0,(Z100-AD100)/AD100*100)</f>
        <v/>
      </c>
      <c r="AG100" s="1249" t="n"/>
      <c r="AH100" s="1249">
        <f>Z100-AG100</f>
        <v/>
      </c>
      <c r="AI100" s="1249">
        <f>IF(AG100=0,0,(Z100-AG100)/AG100*100)</f>
        <v/>
      </c>
      <c r="AJ100" s="1249" t="n"/>
      <c r="AK100" s="1249">
        <f>AJ100-Z100</f>
        <v/>
      </c>
      <c r="AL100" s="1249">
        <f>IFERROR(Z100/AJ100*100,0)</f>
        <v/>
      </c>
    </row>
    <row r="101">
      <c r="A101" s="384" t="n"/>
      <c r="B101" s="384" t="n"/>
      <c r="C101" s="384" t="n"/>
      <c r="D101" s="384" t="n"/>
      <c r="E101" s="384" t="n"/>
      <c r="F101" s="384" t="n"/>
      <c r="G101" s="384" t="n"/>
      <c r="H101" s="384" t="n"/>
      <c r="I101" s="384" t="n"/>
      <c r="J101" s="384" t="n"/>
      <c r="K101" s="384" t="n"/>
      <c r="L101" s="384" t="n"/>
      <c r="M101" s="384" t="n"/>
      <c r="N101" s="384" t="n"/>
      <c r="O101" s="384" t="n"/>
      <c r="P101" s="384" t="n"/>
      <c r="Q101" s="384" t="n"/>
      <c r="R101" s="384" t="n"/>
      <c r="S101" s="462">
        <f>IF(_epmOfflineCondition_,"                 任意公积金",EPMMemberDesc(U101))</f>
        <v/>
      </c>
      <c r="T101" s="384" t="n"/>
      <c r="U101" s="390" t="inlineStr">
        <is>
          <t>A001030702</t>
        </is>
      </c>
      <c r="V101" s="637">
        <f>IF(_epmOfflineCondition_,"A001030702",EPMOlapMemberO(U101,"[C_ACCOUNT].[PARENTH1].[A001030702]","A001030702 -                  任意公积金","","000"))</f>
        <v/>
      </c>
      <c r="W101" s="384" t="n"/>
      <c r="X101" s="1048" t="inlineStr">
        <is>
          <t xml:space="preserve"> 任意公积金</t>
        </is>
      </c>
      <c r="Y101" s="649" t="inlineStr"/>
      <c r="Z101" s="1249" t="n"/>
      <c r="AA101" s="1249" t="n"/>
      <c r="AB101" s="1249">
        <f>Z101-AA101</f>
        <v/>
      </c>
      <c r="AC101" s="1249">
        <f>IF(AA101=0,0,(Z101-AA101)/AA101*100)</f>
        <v/>
      </c>
      <c r="AD101" s="1249" t="n"/>
      <c r="AE101" s="1249">
        <f>Z101-AD101</f>
        <v/>
      </c>
      <c r="AF101" s="1249">
        <f>IF(AD101=0,0,(Z101-AD101)/AD101*100)</f>
        <v/>
      </c>
      <c r="AG101" s="1249" t="n"/>
      <c r="AH101" s="1249">
        <f>Z101-AG101</f>
        <v/>
      </c>
      <c r="AI101" s="1249">
        <f>IF(AG101=0,0,(Z101-AG101)/AG101*100)</f>
        <v/>
      </c>
      <c r="AJ101" s="1249" t="n"/>
      <c r="AK101" s="1249">
        <f>AJ101-Z101</f>
        <v/>
      </c>
      <c r="AL101" s="1249">
        <f>IFERROR(Z101/AJ101*100,0)</f>
        <v/>
      </c>
    </row>
    <row r="102">
      <c r="A102" s="384" t="n"/>
      <c r="B102" s="384" t="n"/>
      <c r="C102" s="384" t="n"/>
      <c r="D102" s="384" t="n"/>
      <c r="E102" s="384" t="n"/>
      <c r="F102" s="384" t="n"/>
      <c r="G102" s="384" t="n"/>
      <c r="H102" s="384" t="n"/>
      <c r="I102" s="384" t="n"/>
      <c r="J102" s="384" t="n"/>
      <c r="K102" s="384" t="n"/>
      <c r="L102" s="384" t="n"/>
      <c r="M102" s="384" t="n"/>
      <c r="N102" s="384" t="n"/>
      <c r="O102" s="384" t="n"/>
      <c r="P102" s="384" t="n"/>
      <c r="Q102" s="384" t="n"/>
      <c r="R102" s="384" t="n"/>
      <c r="S102" s="462">
        <f>IF(_epmOfflineCondition_,"　# 一般风险准备",EPMMemberDesc(U102))</f>
        <v/>
      </c>
      <c r="T102" s="384" t="n"/>
      <c r="U102" s="390" t="inlineStr">
        <is>
          <t>A0010308</t>
        </is>
      </c>
      <c r="V102" s="635">
        <f>IF(_epmOfflineCondition_,"A0010308",EPMOlapMemberO(U102,"[C_ACCOUNT].[PARENTH1].[A0010308]","A0010308 - 　# 一般风险准备","","000"))</f>
        <v/>
      </c>
      <c r="W102" s="384" t="n"/>
      <c r="X102" s="1046" t="inlineStr">
        <is>
          <t xml:space="preserve">  △一般风险准备</t>
        </is>
      </c>
      <c r="Y102" s="649" t="inlineStr"/>
      <c r="Z102" s="1249" t="n"/>
      <c r="AA102" s="1249" t="n"/>
      <c r="AB102" s="1249">
        <f>Z102-AA102</f>
        <v/>
      </c>
      <c r="AC102" s="1249">
        <f>IF(AA102=0,0,(Z102-AA102)/AA102*100)</f>
        <v/>
      </c>
      <c r="AD102" s="1249" t="n"/>
      <c r="AE102" s="1249">
        <f>Z102-AD102</f>
        <v/>
      </c>
      <c r="AF102" s="1249">
        <f>IF(AD102=0,0,(Z102-AD102)/AD102*100)</f>
        <v/>
      </c>
      <c r="AG102" s="1249" t="n"/>
      <c r="AH102" s="1249">
        <f>Z102-AG102</f>
        <v/>
      </c>
      <c r="AI102" s="1249">
        <f>IF(AG102=0,0,(Z102-AG102)/AG102*100)</f>
        <v/>
      </c>
      <c r="AJ102" s="1249" t="n"/>
      <c r="AK102" s="1249">
        <f>AJ102-Z102</f>
        <v/>
      </c>
      <c r="AL102" s="1249">
        <f>IFERROR(Z102/AJ102*100,0)</f>
        <v/>
      </c>
    </row>
    <row r="103">
      <c r="A103" s="384" t="n"/>
      <c r="B103" s="384" t="n"/>
      <c r="C103" s="384" t="n"/>
      <c r="D103" s="384" t="n"/>
      <c r="E103" s="384" t="n"/>
      <c r="F103" s="384" t="n"/>
      <c r="G103" s="384" t="n"/>
      <c r="H103" s="384" t="n"/>
      <c r="I103" s="384" t="n"/>
      <c r="J103" s="384" t="n"/>
      <c r="K103" s="384" t="n"/>
      <c r="L103" s="384" t="n"/>
      <c r="M103" s="384" t="n"/>
      <c r="N103" s="384" t="n"/>
      <c r="O103" s="384" t="n"/>
      <c r="P103" s="384" t="n"/>
      <c r="Q103" s="384" t="n"/>
      <c r="R103" s="384" t="n"/>
      <c r="S103" s="462">
        <f>IF(_epmOfflineCondition_,"　未分配利润",EPMMemberDesc(U103))</f>
        <v/>
      </c>
      <c r="T103" s="384" t="n"/>
      <c r="U103" s="390" t="inlineStr">
        <is>
          <t>A0010309</t>
        </is>
      </c>
      <c r="V103" s="635">
        <f>IF(_epmOfflineCondition_,"A0010309",EPMOlapMemberO(U103,"[C_ACCOUNT].[PARENTH1].[A0010309]","A0010309 - 　未分配利润","","000"))</f>
        <v/>
      </c>
      <c r="W103" s="384" t="n"/>
      <c r="X103" s="705" t="inlineStr">
        <is>
          <t>未分配利润</t>
        </is>
      </c>
      <c r="Y103" s="649" t="inlineStr"/>
      <c r="Z103" s="1249" t="inlineStr"/>
      <c r="AA103" s="1249" t="inlineStr"/>
      <c r="AB103" s="1249">
        <f>Z103-AA103</f>
        <v/>
      </c>
      <c r="AC103" s="1249">
        <f>IF(AA103=0,0,(Z103-AA103)/AA103*100)</f>
        <v/>
      </c>
      <c r="AD103" s="1249" t="inlineStr"/>
      <c r="AE103" s="1249">
        <f>Z103-AD103</f>
        <v/>
      </c>
      <c r="AF103" s="1249">
        <f>IF(AD103=0,0,(Z103-AD103)/AD103*100)</f>
        <v/>
      </c>
      <c r="AG103" s="1249" t="inlineStr"/>
      <c r="AH103" s="1249">
        <f>Z103-AG103</f>
        <v/>
      </c>
      <c r="AI103" s="1249">
        <f>IF(AG103=0,0,(Z103-AG103)/AG103*100)</f>
        <v/>
      </c>
      <c r="AJ103" s="1249" t="n"/>
      <c r="AK103" s="1249">
        <f>AJ103-Z103</f>
        <v/>
      </c>
      <c r="AL103" s="1249">
        <f>IFERROR(Z103/AJ103*100,0)</f>
        <v/>
      </c>
    </row>
    <row r="104">
      <c r="A104" s="384" t="n"/>
      <c r="B104" s="384" t="n"/>
      <c r="C104" s="384" t="n"/>
      <c r="D104" s="384" t="n"/>
      <c r="E104" s="384" t="n"/>
      <c r="F104" s="384" t="n"/>
      <c r="G104" s="384" t="n"/>
      <c r="H104" s="384" t="n"/>
      <c r="I104" s="384" t="n"/>
      <c r="J104" s="384" t="n"/>
      <c r="K104" s="384" t="n"/>
      <c r="L104" s="384" t="n"/>
      <c r="M104" s="384" t="n"/>
      <c r="N104" s="384" t="n"/>
      <c r="O104" s="384" t="n"/>
      <c r="P104" s="384" t="n"/>
      <c r="Q104" s="384" t="n"/>
      <c r="R104" s="384" t="n"/>
      <c r="S104" s="462">
        <f>IF(_epmOfflineCondition_,"　归属于母公司所有者权益合计",EPMMemberDesc(U104))</f>
        <v/>
      </c>
      <c r="T104" s="384" t="n"/>
      <c r="U104" s="390" t="inlineStr">
        <is>
          <t>A0010310</t>
        </is>
      </c>
      <c r="V104" s="459">
        <f>IF(_epmOfflineCondition_,"A0010310",EPMOlapMemberO(U104,"[C_ACCOUNT].[PARENTH1].[A0010310]","A0010310 - 　归属于母公司所有者权益合计","","000"))</f>
        <v/>
      </c>
      <c r="W104" s="384" t="n"/>
      <c r="X104" s="852" t="inlineStr">
        <is>
          <t>归属于母公司所有者权益合计</t>
        </is>
      </c>
      <c r="Y104" s="649" t="inlineStr"/>
      <c r="Z104" s="1249" t="inlineStr"/>
      <c r="AA104" s="1249" t="inlineStr"/>
      <c r="AB104" s="1249">
        <f>Z104-AA104</f>
        <v/>
      </c>
      <c r="AC104" s="1249">
        <f>IF(AA104=0,0,(Z104-AA104)/AA104*100)</f>
        <v/>
      </c>
      <c r="AD104" s="1249" t="inlineStr"/>
      <c r="AE104" s="1249">
        <f>Z104-AD104</f>
        <v/>
      </c>
      <c r="AF104" s="1249">
        <f>IF(AD104=0,0,(Z104-AD104)/AD104*100)</f>
        <v/>
      </c>
      <c r="AG104" s="1249" t="inlineStr"/>
      <c r="AH104" s="1249">
        <f>Z104-AG104</f>
        <v/>
      </c>
      <c r="AI104" s="1249">
        <f>IF(AG104=0,0,(Z104-AG104)/AG104*100)</f>
        <v/>
      </c>
      <c r="AJ104" s="1249" t="n"/>
      <c r="AK104" s="1249">
        <f>AJ104-Z104</f>
        <v/>
      </c>
      <c r="AL104" s="1249">
        <f>IFERROR(Z104/AJ104*100,0)</f>
        <v/>
      </c>
    </row>
    <row r="105">
      <c r="A105" s="384" t="n"/>
      <c r="B105" s="384" t="n"/>
      <c r="C105" s="384" t="n"/>
      <c r="D105" s="384" t="n"/>
      <c r="E105" s="384" t="n"/>
      <c r="F105" s="384" t="n"/>
      <c r="G105" s="384" t="n"/>
      <c r="H105" s="384" t="n"/>
      <c r="I105" s="384" t="n"/>
      <c r="J105" s="384" t="n"/>
      <c r="K105" s="384" t="n"/>
      <c r="L105" s="384" t="n"/>
      <c r="M105" s="384" t="n"/>
      <c r="N105" s="384" t="n"/>
      <c r="O105" s="384" t="n"/>
      <c r="P105" s="384" t="n"/>
      <c r="Q105" s="384" t="n"/>
      <c r="R105" s="384" t="n"/>
      <c r="S105" s="462">
        <f>IF(_epmOfflineCondition_,"　少数股东权益",EPMMemberDesc(U105))</f>
        <v/>
      </c>
      <c r="T105" s="384" t="n"/>
      <c r="U105" s="390" t="inlineStr">
        <is>
          <t>A0010311</t>
        </is>
      </c>
      <c r="V105" s="459">
        <f>IF(_epmOfflineCondition_,"A0010311",EPMOlapMemberO(U105,"[C_ACCOUNT].[PARENTH1].[A0010311]","A0010311 - 　少数股东权益","","000"))</f>
        <v/>
      </c>
      <c r="W105" s="384" t="n"/>
      <c r="X105" s="705" t="inlineStr">
        <is>
          <t>*少数股东权益</t>
        </is>
      </c>
      <c r="Y105" s="649" t="inlineStr"/>
      <c r="Z105" s="1249" t="n"/>
      <c r="AA105" s="1249" t="n"/>
      <c r="AB105" s="1249">
        <f>Z105-AA105</f>
        <v/>
      </c>
      <c r="AC105" s="1249">
        <f>IF(AA105=0,0,(Z105-AA105)/AA105*100)</f>
        <v/>
      </c>
      <c r="AD105" s="1249" t="n"/>
      <c r="AE105" s="1249">
        <f>Z105-AD105</f>
        <v/>
      </c>
      <c r="AF105" s="1249">
        <f>IF(AD105=0,0,(Z105-AD105)/AD105*100)</f>
        <v/>
      </c>
      <c r="AG105" s="1249" t="n"/>
      <c r="AH105" s="1249">
        <f>Z105-AG105</f>
        <v/>
      </c>
      <c r="AI105" s="1249">
        <f>IF(AG105=0,0,(Z105-AG105)/AG105*100)</f>
        <v/>
      </c>
      <c r="AJ105" s="1249" t="n"/>
      <c r="AK105" s="1249">
        <f>AJ105-Z105</f>
        <v/>
      </c>
      <c r="AL105" s="1249">
        <f>IFERROR(Z105/AJ105*100,0)</f>
        <v/>
      </c>
    </row>
    <row r="106">
      <c r="A106" s="384" t="n"/>
      <c r="B106" s="384" t="n"/>
      <c r="C106" s="384" t="n"/>
      <c r="D106" s="384" t="n"/>
      <c r="E106" s="384" t="n"/>
      <c r="F106" s="384" t="n"/>
      <c r="G106" s="384" t="n"/>
      <c r="H106" s="384" t="n"/>
      <c r="I106" s="384" t="n"/>
      <c r="J106" s="384" t="n"/>
      <c r="K106" s="384" t="n"/>
      <c r="L106" s="384" t="n"/>
      <c r="M106" s="384" t="n"/>
      <c r="N106" s="384" t="n"/>
      <c r="O106" s="384" t="n"/>
      <c r="P106" s="384" t="n"/>
      <c r="Q106" s="384" t="n"/>
      <c r="R106" s="384" t="n"/>
      <c r="S106" s="462">
        <f>IF(_epmOfflineCondition_,"        所有者权益合计",EPMMemberDesc(U106))</f>
        <v/>
      </c>
      <c r="T106" s="384" t="n"/>
      <c r="U106" s="390" t="inlineStr">
        <is>
          <t>A00103</t>
        </is>
      </c>
      <c r="V106" s="535">
        <f>IF(_epmOfflineCondition_,"A00103",EPMOlapMemberO(U106,"[C_ACCOUNT].[PARENTH1].[A00103]","A00103 -         所有者权益合计","","000"))</f>
        <v/>
      </c>
      <c r="W106" s="384" t="n"/>
      <c r="X106" s="852" t="inlineStr">
        <is>
          <t>所有者权益合计</t>
        </is>
      </c>
      <c r="Y106" s="649" t="inlineStr"/>
      <c r="Z106" s="1249" t="inlineStr"/>
      <c r="AA106" s="1249" t="inlineStr"/>
      <c r="AB106" s="1249">
        <f>Z106-AA106</f>
        <v/>
      </c>
      <c r="AC106" s="1249">
        <f>IF(AA106=0,0,(Z106-AA106)/AA106*100)</f>
        <v/>
      </c>
      <c r="AD106" s="1249" t="inlineStr"/>
      <c r="AE106" s="1249">
        <f>Z106-AD106</f>
        <v/>
      </c>
      <c r="AF106" s="1249">
        <f>IF(AD106=0,0,(Z106-AD106)/AD106*100)</f>
        <v/>
      </c>
      <c r="AG106" s="1249" t="inlineStr"/>
      <c r="AH106" s="1249">
        <f>Z106-AG106</f>
        <v/>
      </c>
      <c r="AI106" s="1249">
        <f>IF(AG106=0,0,(Z106-AG106)/AG106*100)</f>
        <v/>
      </c>
      <c r="AJ106" s="1249" t="n"/>
      <c r="AK106" s="1249">
        <f>AJ106-Z106</f>
        <v/>
      </c>
      <c r="AL106" s="1249">
        <f>IFERROR(Z106/AJ106*100,0)</f>
        <v/>
      </c>
    </row>
    <row r="107">
      <c r="A107" s="384" t="n"/>
      <c r="B107" s="384" t="n"/>
      <c r="C107" s="384" t="n"/>
      <c r="D107" s="384" t="n"/>
      <c r="E107" s="384" t="n"/>
      <c r="F107" s="384" t="n"/>
      <c r="G107" s="384" t="n"/>
      <c r="H107" s="384" t="n"/>
      <c r="I107" s="384" t="n"/>
      <c r="J107" s="384" t="n"/>
      <c r="K107" s="384" t="n"/>
      <c r="L107" s="384" t="n"/>
      <c r="M107" s="384" t="n"/>
      <c r="N107" s="384" t="n"/>
      <c r="O107" s="384" t="n"/>
      <c r="P107" s="384" t="n"/>
      <c r="Q107" s="384" t="n"/>
      <c r="R107" s="384" t="n"/>
      <c r="S107" s="462">
        <f>IF(_epmOfflineCondition_,"负债和所有者权益总计",EPMMemberDesc(U107))</f>
        <v/>
      </c>
      <c r="T107" s="384" t="n"/>
      <c r="U107" s="390" t="inlineStr">
        <is>
          <t>A00104</t>
        </is>
      </c>
      <c r="V107" s="455">
        <f>IF(_epmOfflineCondition_,"A00104",EPMOlapMemberO(U107,"[C_ACCOUNT].[PARENTH1].[A00104]","A00104 - 负债和所有者权益总计","","000"))</f>
        <v/>
      </c>
      <c r="W107" s="384" t="n"/>
      <c r="X107" s="852" t="inlineStr">
        <is>
          <t>负债和所有者权益合计</t>
        </is>
      </c>
      <c r="Y107" s="649" t="inlineStr"/>
      <c r="Z107" s="1249" t="inlineStr"/>
      <c r="AA107" s="1249" t="inlineStr"/>
      <c r="AB107" s="1249">
        <f>Z107-AA107</f>
        <v/>
      </c>
      <c r="AC107" s="1249">
        <f>IF(AA107=0,0,(Z107-AA107)/AA107*100)</f>
        <v/>
      </c>
      <c r="AD107" s="1249" t="inlineStr"/>
      <c r="AE107" s="1249">
        <f>Z107-AD107</f>
        <v/>
      </c>
      <c r="AF107" s="1249">
        <f>IF(AD107=0,0,(Z107-AD107)/AD107*100)</f>
        <v/>
      </c>
      <c r="AG107" s="1249" t="inlineStr"/>
      <c r="AH107" s="1249">
        <f>Z107-AG107</f>
        <v/>
      </c>
      <c r="AI107" s="1249">
        <f>IF(AG107=0,0,(Z107-AG107)/AG107*100)</f>
        <v/>
      </c>
      <c r="AJ107" s="1249" t="n"/>
      <c r="AK107" s="1249">
        <f>AJ107-Z107</f>
        <v/>
      </c>
      <c r="AL107" s="1249">
        <f>IFERROR(Z107/AJ107*100,0)</f>
        <v/>
      </c>
    </row>
    <row r="108">
      <c r="A108" s="384" t="n"/>
      <c r="B108" s="384" t="n"/>
      <c r="C108" s="384" t="n"/>
      <c r="D108" s="384" t="n"/>
      <c r="E108" s="384" t="n"/>
      <c r="F108" s="384" t="n"/>
      <c r="G108" s="384" t="n"/>
      <c r="H108" s="384" t="n"/>
      <c r="I108" s="384" t="n"/>
      <c r="J108" s="384" t="n"/>
      <c r="K108" s="384" t="n"/>
      <c r="L108" s="384" t="n"/>
      <c r="M108" s="384" t="n"/>
      <c r="N108" s="384" t="n"/>
      <c r="O108" s="384" t="n"/>
      <c r="P108" s="384" t="n"/>
      <c r="Q108" s="384" t="n"/>
      <c r="R108" s="384" t="n"/>
      <c r="S108" s="32" t="n"/>
      <c r="T108" s="384" t="n"/>
      <c r="U108" s="384" t="n"/>
      <c r="V108" s="384" t="n"/>
      <c r="W108" s="384" t="n"/>
      <c r="X108" s="38" t="inlineStr">
        <is>
          <t>注：表中带*科目为合并会计报表专用；带△科目为金融类企业专用；带#科目为外商投资企业专用</t>
        </is>
      </c>
      <c r="Y108" s="706" t="n"/>
      <c r="Z108" s="1237" t="n"/>
      <c r="AA108" s="1237" t="n"/>
      <c r="AB108" s="1237" t="n"/>
      <c r="AC108" s="1237" t="n"/>
      <c r="AD108" s="1237" t="n"/>
      <c r="AE108" s="1237" t="n"/>
      <c r="AF108" s="1237" t="n"/>
      <c r="AG108" s="1237" t="n"/>
      <c r="AH108" s="1237" t="n"/>
      <c r="AI108" s="1237" t="n"/>
      <c r="AJ108" s="1237" t="n"/>
      <c r="AK108" s="1237" t="n"/>
      <c r="AL108" s="384" t="n"/>
    </row>
  </sheetData>
  <sheetProtection selectLockedCells="0" selectUnlockedCells="0" algorithmName="SHA-512" sheet="1" objects="0" insertRows="1" insertHyperlinks="1" autoFilter="1" scenarios="1" formatColumns="1" deleteColumns="1" insertColumns="1" pivotTables="1" deleteRows="1" formatCells="1" saltValue="UlbV6Fm3c9P2iuE7IDKufQ==" formatRows="1" sort="1" spinCount="100000" hashValue="DQSDb2u/r4p7gyR0ED0dbBI93SV3H8jb/1INiDjwP1ZDp88nbRgeDbQoMANcn85kjlgUxEDQ6xOxg2CyzD+f2g=="/>
  <mergeCells count="9">
    <mergeCell ref="H2:J2"/>
    <mergeCell ref="D16:E16"/>
    <mergeCell ref="AA39:AC39"/>
    <mergeCell ref="AD39:AF39"/>
    <mergeCell ref="AG39:AI39"/>
    <mergeCell ref="AJ39:AL39"/>
    <mergeCell ref="X39:X40"/>
    <mergeCell ref="Y39:Y40"/>
    <mergeCell ref="Z39:Z40"/>
  </mergeCells>
  <dataValidations count="1">
    <dataValidation sqref="Z38" showErrorMessage="1" showInputMessage="1" allowBlank="1" type="list">
      <formula1>"LC,CNY"</formula1>
    </dataValidation>
  </dataValidations>
  <pageMargins left="0.7" right="0.7" top="0.75" bottom="0.75" header="0.3" footer="0.3"/>
  <pageSetup orientation="portrait" paperSize="9"/>
  <drawing xmlns:r="http://schemas.openxmlformats.org/officeDocument/2006/relationships" r:id="rId1"/>
</worksheet>
</file>

<file path=xl/worksheets/sheet8.xml><?xml version="1.0" encoding="utf-8"?>
<worksheet xmlns="http://schemas.openxmlformats.org/spreadsheetml/2006/main">
  <sheetPr codeName="Sheet5">
    <outlinePr summaryBelow="1" summaryRight="1"/>
    <pageSetUpPr/>
  </sheetPr>
  <dimension ref="A1:BA120"/>
  <sheetViews>
    <sheetView showGridLines="0" topLeftCell="AQ32" zoomScale="85" zoomScaleNormal="85" workbookViewId="0">
      <selection activeCell="Z36" sqref="Z36"/>
    </sheetView>
  </sheetViews>
  <sheetFormatPr baseColWidth="8" defaultColWidth="8.75" defaultRowHeight="16.8"/>
  <cols>
    <col hidden="1" width="8.25" customWidth="1" style="1181" min="1" max="1"/>
    <col hidden="1" width="15.75" customWidth="1" style="1181" min="2" max="2"/>
    <col hidden="1" width="12" customWidth="1" style="1181" min="3" max="3"/>
    <col hidden="1" width="34" customWidth="1" style="1181" min="4" max="4"/>
    <col hidden="1" width="8.75" customWidth="1" style="1181" min="5" max="5"/>
    <col hidden="1" width="7.75" customWidth="1" style="1181" min="6" max="7"/>
    <col hidden="1" width="13.25" customWidth="1" style="1181" min="8" max="8"/>
    <col hidden="1" width="9" customWidth="1" style="1181" min="9" max="9"/>
    <col hidden="1" width="11.125" customWidth="1" style="1181" min="10" max="10"/>
    <col hidden="1" width="7.75" customWidth="1" style="1181" min="11" max="17"/>
    <col hidden="1" width="16.375" customWidth="1" style="1181" min="18" max="18"/>
    <col hidden="1" width="54.25" customWidth="1" style="32" min="19" max="19"/>
    <col hidden="1" width="2.375" customWidth="1" style="1181" min="20" max="20"/>
    <col hidden="1" width="28.375" customWidth="1" style="1181" min="21" max="21"/>
    <col hidden="1" width="26.25" customWidth="1" style="1181" min="22" max="22"/>
    <col width="1.625" customWidth="1" style="1181" min="23" max="23"/>
    <col width="50.75" customWidth="1" style="38" min="24" max="24"/>
    <col width="6.625" customWidth="1" style="706" min="25" max="25"/>
    <col width="22.25" customWidth="1" style="1181" min="26" max="26"/>
    <col hidden="1" width="22.25" customWidth="1" style="1181" min="27" max="27"/>
    <col width="21.125" customWidth="1" style="1181" min="28" max="28"/>
    <col width="23.375" customWidth="1" style="1181" min="29" max="29"/>
    <col hidden="1" width="21.375" customWidth="1" style="1181" min="30" max="30"/>
    <col hidden="1" width="22.75" customWidth="1" style="1181" min="31" max="31"/>
    <col width="29.25" customWidth="1" style="1181" min="32" max="32"/>
    <col width="24.75" customWidth="1" style="1181" min="33" max="33"/>
    <col width="24.375" customWidth="1" style="1181" min="34" max="34"/>
    <col hidden="1" width="24.375" customWidth="1" style="1181" min="35" max="35"/>
    <col hidden="1" width="26.25" customWidth="1" style="1181" min="36" max="36"/>
    <col width="22.75" customWidth="1" style="1181" min="37" max="37"/>
    <col width="21.375" customWidth="1" style="1181" min="38" max="38"/>
    <col width="21" customWidth="1" style="1181" min="39" max="39"/>
    <col width="18.75" customWidth="1" style="1181" min="40" max="40"/>
    <col width="22.25" customWidth="1" style="1181" min="41" max="41"/>
    <col hidden="1" width="20.25" customWidth="1" style="1181" min="42" max="42"/>
    <col width="20.25" customWidth="1" style="1181" min="43" max="43"/>
    <col width="18.75" customWidth="1" style="1181" min="44" max="45"/>
    <col hidden="1" width="22.625" customWidth="1" style="1181" min="46" max="46"/>
    <col width="22.625" customWidth="1" style="1181" min="47" max="47"/>
    <col width="21.75" customWidth="1" style="1181" min="48" max="48"/>
    <col width="22.375" customWidth="1" style="1181" min="49" max="49"/>
    <col hidden="1" width="25.75" customWidth="1" style="1181" min="50" max="50"/>
    <col width="25.75" customWidth="1" style="1181" min="51" max="51"/>
    <col width="28" customWidth="1" style="1181" min="52" max="52"/>
    <col width="18.625" customWidth="1" style="1181" min="53" max="53"/>
    <col width="8.75" customWidth="1" style="844" min="54" max="16384"/>
  </cols>
  <sheetData>
    <row r="1" hidden="1" customFormat="1" s="1021">
      <c r="A1" s="172" t="inlineStr">
        <is>
          <t>维度清单</t>
        </is>
      </c>
      <c r="B1" s="462" t="n"/>
      <c r="C1" s="173" t="n"/>
      <c r="D1" s="173" t="n"/>
      <c r="E1" s="716" t="n"/>
      <c r="F1" s="13" t="n"/>
      <c r="G1" s="13" t="n"/>
      <c r="H1" s="13" t="n"/>
      <c r="I1" s="13" t="n"/>
      <c r="J1" s="13" t="n"/>
      <c r="K1" s="13" t="n"/>
      <c r="L1" s="13" t="n"/>
      <c r="M1" s="13" t="n"/>
      <c r="N1" s="13" t="n"/>
      <c r="O1" s="13" t="n"/>
      <c r="P1" s="13" t="n"/>
      <c r="Q1" s="13" t="n"/>
      <c r="R1" s="13" t="n"/>
      <c r="S1" s="1103" t="n"/>
      <c r="T1" s="13" t="n"/>
      <c r="U1" s="13" t="n"/>
      <c r="V1" s="13" t="n"/>
      <c r="W1" s="13" t="n"/>
      <c r="X1" s="171" t="n"/>
      <c r="Y1" s="601" t="n"/>
      <c r="Z1" s="13" t="n"/>
      <c r="AA1" s="13" t="n"/>
      <c r="AB1" s="13" t="n"/>
      <c r="AC1" s="203" t="n"/>
      <c r="AD1" s="13" t="n"/>
      <c r="AE1" s="13" t="n"/>
      <c r="AF1" s="13" t="n"/>
      <c r="AG1" s="13" t="n"/>
      <c r="AH1" s="13" t="n"/>
      <c r="AI1" s="13" t="n"/>
      <c r="AJ1" s="13" t="n"/>
      <c r="AK1" s="13" t="n"/>
      <c r="AL1" s="13" t="n"/>
      <c r="AM1" s="13" t="n"/>
      <c r="AN1" s="13" t="n"/>
      <c r="AO1" s="13" t="n"/>
      <c r="AP1" s="13" t="n"/>
      <c r="AQ1" s="13" t="n"/>
      <c r="AR1" s="13" t="n"/>
      <c r="AS1" s="13" t="n"/>
      <c r="AT1" s="13" t="n"/>
      <c r="AU1" s="13" t="n"/>
      <c r="AV1" s="13" t="n"/>
      <c r="AW1" s="13" t="n"/>
      <c r="AX1" s="13" t="n"/>
      <c r="AY1" s="13" t="n"/>
      <c r="AZ1" s="13" t="n"/>
      <c r="BA1" s="13" t="n"/>
    </row>
    <row r="2" hidden="1" customFormat="1" s="1021">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103" t="n"/>
      <c r="T2" s="13" t="n"/>
      <c r="U2" s="13" t="n"/>
      <c r="V2" s="13" t="n"/>
      <c r="W2" s="13" t="n"/>
      <c r="X2" s="171" t="n"/>
      <c r="Y2" s="601" t="n"/>
      <c r="Z2" s="13" t="n"/>
      <c r="AA2" s="13" t="n"/>
      <c r="AB2" s="13" t="n"/>
      <c r="AC2" s="13" t="n"/>
      <c r="AD2" s="13" t="n"/>
      <c r="AE2" s="13" t="n"/>
      <c r="AF2" s="13" t="n"/>
      <c r="AG2" s="13" t="n"/>
      <c r="AH2" s="13" t="n"/>
      <c r="AI2" s="13" t="n"/>
      <c r="AJ2" s="13" t="n"/>
      <c r="AK2" s="13" t="n"/>
      <c r="AL2" s="13" t="n"/>
      <c r="AM2" s="13" t="n"/>
      <c r="AN2" s="13" t="n"/>
      <c r="AO2" s="13" t="n"/>
      <c r="AP2" s="13" t="n"/>
      <c r="AQ2" s="13" t="n"/>
      <c r="AR2" s="13" t="n"/>
      <c r="AS2" s="13" t="n"/>
      <c r="AT2" s="13" t="n"/>
      <c r="AU2" s="13" t="n"/>
      <c r="AV2" s="13" t="n"/>
      <c r="AW2" s="13" t="n"/>
      <c r="AX2" s="13" t="n"/>
      <c r="AY2" s="13" t="n"/>
      <c r="AZ2" s="13" t="n"/>
      <c r="BA2" s="13" t="n"/>
    </row>
    <row r="3" hidden="1" customFormat="1" s="1021">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103" t="n"/>
      <c r="T3" s="13" t="n"/>
      <c r="U3" s="13" t="n"/>
      <c r="V3" s="13" t="n"/>
      <c r="W3" s="13" t="n"/>
      <c r="X3" s="171" t="n"/>
      <c r="Y3" s="601" t="n"/>
      <c r="Z3" s="13" t="n"/>
      <c r="AA3" s="13" t="n"/>
      <c r="AB3" s="13" t="n"/>
      <c r="AC3" s="13" t="n"/>
      <c r="AD3" s="13" t="n"/>
      <c r="AE3" s="13" t="n"/>
      <c r="AF3" s="13" t="n"/>
      <c r="AG3" s="13" t="n"/>
      <c r="AH3" s="13" t="n"/>
      <c r="AI3" s="13" t="n"/>
      <c r="AJ3" s="13" t="n"/>
      <c r="AK3" s="13" t="n"/>
      <c r="AL3" s="13" t="n"/>
      <c r="AM3" s="13" t="n"/>
      <c r="AN3" s="13" t="n"/>
      <c r="AO3" s="13" t="n"/>
      <c r="AP3" s="13" t="n"/>
      <c r="AQ3" s="13" t="n"/>
      <c r="AR3" s="13" t="n"/>
      <c r="AS3" s="13" t="n"/>
      <c r="AT3" s="13" t="n"/>
      <c r="AU3" s="13" t="n"/>
      <c r="AV3" s="13" t="n"/>
      <c r="AW3" s="13" t="n"/>
      <c r="AX3" s="13" t="n"/>
      <c r="AY3" s="13" t="n"/>
      <c r="AZ3" s="13" t="n"/>
      <c r="BA3" s="13" t="n"/>
    </row>
    <row r="4" hidden="1" customFormat="1" s="1021">
      <c r="A4" s="175" t="inlineStr">
        <is>
          <t>C</t>
        </is>
      </c>
      <c r="B4" s="176">
        <f>IF(_epmOfflineCondition_,"C_CATEGORY",EPMDimensionType(,A4))</f>
        <v/>
      </c>
      <c r="C4" s="176">
        <f>IF(_epmOfflineCondition_,"C1001",IF(B4="","",EPMContextMember(,B4)))</f>
        <v/>
      </c>
      <c r="D4" s="176">
        <f>IF(_epmOfflineCondition_,"实际数/决算数",EPMMemberDesc(C4))</f>
        <v/>
      </c>
      <c r="E4" s="176" t="n"/>
      <c r="F4" s="13" t="n"/>
      <c r="G4" s="13" t="n"/>
      <c r="H4" s="184" t="inlineStr">
        <is>
          <t>预算年</t>
        </is>
      </c>
      <c r="I4" s="184">
        <f>"V_"&amp;$I$3</f>
        <v/>
      </c>
      <c r="J4" s="184">
        <f>$I$3&amp;".TOTAL"</f>
        <v/>
      </c>
      <c r="K4" s="13" t="n"/>
      <c r="L4" s="13" t="n"/>
      <c r="M4" s="13" t="n"/>
      <c r="N4" s="13" t="n"/>
      <c r="O4" s="13" t="n"/>
      <c r="P4" s="13" t="n"/>
      <c r="Q4" s="13" t="n"/>
      <c r="R4" s="13" t="n"/>
      <c r="S4" s="1103" t="n"/>
      <c r="T4" s="13" t="n"/>
      <c r="U4" s="13" t="n"/>
      <c r="V4" s="13" t="n"/>
      <c r="W4" s="13" t="n"/>
      <c r="X4" s="171" t="n"/>
      <c r="Y4" s="601" t="n"/>
      <c r="Z4" s="13" t="n"/>
      <c r="AA4" s="13" t="n"/>
      <c r="AB4" s="13" t="n"/>
      <c r="AC4" s="13" t="n"/>
      <c r="AD4" s="13" t="n"/>
      <c r="AE4" s="13" t="n"/>
      <c r="AF4" s="13" t="n"/>
      <c r="AG4" s="13" t="n"/>
      <c r="AH4" s="13" t="n"/>
      <c r="AI4" s="13" t="n"/>
      <c r="AJ4" s="13" t="n"/>
      <c r="AK4" s="13" t="n"/>
      <c r="AL4" s="13" t="n"/>
      <c r="AM4" s="13" t="n"/>
      <c r="AN4" s="13" t="n"/>
      <c r="AO4" s="13" t="n"/>
      <c r="AP4" s="13" t="n"/>
      <c r="AQ4" s="13" t="n"/>
      <c r="AR4" s="13" t="n"/>
      <c r="AS4" s="13" t="n"/>
      <c r="AT4" s="13" t="n"/>
      <c r="AU4" s="13" t="n"/>
      <c r="AV4" s="13" t="n"/>
      <c r="AW4" s="13" t="n"/>
      <c r="AX4" s="13" t="n"/>
      <c r="AY4" s="13" t="n"/>
      <c r="AZ4" s="13" t="n"/>
      <c r="BA4" s="13" t="n"/>
    </row>
    <row r="5" hidden="1" customFormat="1" s="1021">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13" t="n"/>
      <c r="V5" s="13" t="n"/>
      <c r="W5" s="13" t="n"/>
      <c r="X5" s="171" t="n"/>
      <c r="Y5" s="601" t="n"/>
      <c r="Z5" s="13" t="n"/>
      <c r="AA5" s="13" t="n"/>
      <c r="AB5" s="13" t="n"/>
      <c r="AC5" s="13" t="n"/>
      <c r="AD5" s="13" t="n"/>
      <c r="AE5" s="13" t="n"/>
      <c r="AF5" s="13" t="n"/>
      <c r="AG5" s="13" t="n"/>
      <c r="AH5" s="13" t="n"/>
      <c r="AI5" s="13" t="n"/>
      <c r="AJ5" s="13" t="n"/>
      <c r="AK5" s="13" t="n"/>
      <c r="AL5" s="13" t="n"/>
      <c r="AM5" s="13" t="n"/>
      <c r="AN5" s="13" t="n"/>
      <c r="AO5" s="13" t="n"/>
      <c r="AP5" s="13" t="n"/>
      <c r="AQ5" s="13" t="n"/>
      <c r="AR5" s="13" t="n"/>
      <c r="AS5" s="13" t="n"/>
      <c r="AT5" s="13" t="n"/>
      <c r="AU5" s="13" t="n"/>
      <c r="AV5" s="13" t="n"/>
      <c r="AW5" s="13" t="n"/>
      <c r="AX5" s="13" t="n"/>
      <c r="AY5" s="13" t="n"/>
      <c r="AZ5" s="13" t="n"/>
      <c r="BA5" s="13" t="n"/>
    </row>
    <row r="6" hidden="1" customFormat="1" s="1021">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103" t="n"/>
      <c r="T6" s="13" t="n"/>
      <c r="U6" s="13" t="n"/>
      <c r="V6" s="13" t="n"/>
      <c r="W6" s="13" t="n"/>
      <c r="X6" s="171" t="n"/>
      <c r="Y6" s="601" t="n"/>
      <c r="Z6" s="13" t="n"/>
      <c r="AA6" s="13" t="n"/>
      <c r="AB6" s="13" t="n"/>
      <c r="AC6" s="13" t="n"/>
      <c r="AD6" s="13" t="n"/>
      <c r="AE6" s="13" t="n"/>
      <c r="AF6" s="13" t="n"/>
      <c r="AG6" s="13" t="n"/>
      <c r="AH6" s="13" t="n"/>
      <c r="AI6" s="13" t="n"/>
      <c r="AJ6" s="13" t="n"/>
      <c r="AK6" s="13" t="n"/>
      <c r="AL6" s="13" t="n"/>
      <c r="AM6" s="13" t="n"/>
      <c r="AN6" s="13" t="n"/>
      <c r="AO6" s="13" t="n"/>
      <c r="AP6" s="13" t="n"/>
      <c r="AQ6" s="13" t="n"/>
      <c r="AR6" s="13" t="n"/>
      <c r="AS6" s="13" t="n"/>
      <c r="AT6" s="13" t="n"/>
      <c r="AU6" s="13" t="n"/>
      <c r="AV6" s="13" t="n"/>
      <c r="AW6" s="13" t="n"/>
      <c r="AX6" s="13" t="n"/>
      <c r="AY6" s="13" t="n"/>
      <c r="AZ6" s="13" t="n"/>
      <c r="BA6" s="13" t="n"/>
    </row>
    <row r="7" hidden="1" customFormat="1" s="1021">
      <c r="A7" s="175" t="inlineStr">
        <is>
          <t>R</t>
        </is>
      </c>
      <c r="B7" s="176">
        <f>IF(_epmOfflineCondition_,"C_RPTCURRENCY",EPMDimensionType(,A7))</f>
        <v/>
      </c>
      <c r="C7" s="176">
        <f>IF(_epmOfflineCondition_,"LC",IF(B7="","",EPMContextMember(,B7)))</f>
        <v/>
      </c>
      <c r="D7" s="176">
        <f>IF(_epmOfflineCondition_,"本位币",EPMMemberDesc(C7))</f>
        <v/>
      </c>
      <c r="E7" s="176" t="n"/>
      <c r="F7" s="13" t="n"/>
      <c r="G7" s="13" t="n"/>
      <c r="H7" s="13" t="n"/>
      <c r="I7" s="13" t="n"/>
      <c r="J7" s="13" t="n"/>
      <c r="K7" s="13" t="n"/>
      <c r="L7" s="13" t="n"/>
      <c r="M7" s="13" t="n"/>
      <c r="N7" s="13" t="n"/>
      <c r="O7" s="13" t="n"/>
      <c r="P7" s="13" t="n"/>
      <c r="Q7" s="13" t="n"/>
      <c r="R7" s="13" t="n"/>
      <c r="S7" s="1103" t="n"/>
      <c r="T7" s="13" t="n"/>
      <c r="U7" s="13" t="n"/>
      <c r="V7" s="13" t="n"/>
      <c r="W7" s="13" t="n"/>
      <c r="X7" s="171" t="n"/>
      <c r="Y7" s="601" t="n"/>
      <c r="Z7" s="13" t="n"/>
      <c r="AA7" s="13" t="n"/>
      <c r="AB7" s="13" t="n"/>
      <c r="AC7" s="13" t="n"/>
      <c r="AD7" s="13" t="n"/>
      <c r="AE7" s="13" t="n"/>
      <c r="AF7" s="13" t="n"/>
      <c r="AG7" s="13" t="n"/>
      <c r="AH7" s="13" t="n"/>
      <c r="AI7" s="13" t="n"/>
      <c r="AJ7" s="13" t="n"/>
      <c r="AK7" s="13" t="n"/>
      <c r="AL7" s="13" t="n"/>
      <c r="AM7" s="13" t="n"/>
      <c r="AN7" s="13" t="n"/>
      <c r="AO7" s="13" t="n"/>
      <c r="AP7" s="13" t="n"/>
      <c r="AQ7" s="13" t="n"/>
      <c r="AR7" s="13" t="n"/>
      <c r="AS7" s="13" t="n"/>
      <c r="AT7" s="13" t="n"/>
      <c r="AU7" s="13" t="n"/>
      <c r="AV7" s="13" t="n"/>
      <c r="AW7" s="13" t="n"/>
      <c r="AX7" s="13" t="n"/>
      <c r="AY7" s="13" t="n"/>
      <c r="AZ7" s="13" t="n"/>
      <c r="BA7" s="13" t="n"/>
    </row>
    <row r="8" hidden="1" customFormat="1" s="1021">
      <c r="A8" s="175" t="inlineStr">
        <is>
          <t>D</t>
        </is>
      </c>
      <c r="B8" s="176">
        <f>IF(_epmOfflineCondition_,"C_AUDITTRAIL",EPMDimensionType(,A8))</f>
        <v/>
      </c>
      <c r="C8" s="176">
        <f>IF(_epmOfflineCondition_,"D1001",IF(B8="","",EPMContextMember(,B8)))</f>
        <v/>
      </c>
      <c r="D8" s="176">
        <f>IF(_epmOfflineCondition_,"从SAP系统抽取_正常期间",EPMMemberDesc(C8))</f>
        <v/>
      </c>
      <c r="E8" s="176" t="n"/>
      <c r="F8" s="13" t="n"/>
      <c r="G8" s="13" t="n"/>
      <c r="H8" s="184" t="inlineStr">
        <is>
          <t>本月</t>
        </is>
      </c>
      <c r="I8" s="184">
        <f>IF(_epmOfflineCondition_,"03",RIGHT("0"&amp;EPMMemberProperty(,EPMContextMember(,"C_TIME"),"MONTHNUM"),2))</f>
        <v/>
      </c>
      <c r="J8" s="13" t="n"/>
      <c r="K8" s="13" t="n"/>
      <c r="L8" s="13" t="n"/>
      <c r="M8" s="13" t="n"/>
      <c r="N8" s="13" t="n"/>
      <c r="O8" s="13" t="n"/>
      <c r="P8" s="13" t="n"/>
      <c r="Q8" s="13" t="n"/>
      <c r="R8" s="13" t="n"/>
      <c r="S8" s="1103" t="n"/>
      <c r="T8" s="13" t="n"/>
      <c r="U8" s="13" t="n"/>
      <c r="V8" s="13" t="n"/>
      <c r="W8" s="13" t="n"/>
      <c r="X8" s="171" t="n"/>
      <c r="Y8" s="601" t="n"/>
      <c r="Z8" s="13" t="n"/>
      <c r="AA8" s="13" t="n"/>
      <c r="AB8" s="13" t="n"/>
      <c r="AC8" s="13" t="n"/>
      <c r="AD8" s="13" t="n"/>
      <c r="AE8" s="13" t="n"/>
      <c r="AF8" s="13" t="n"/>
      <c r="AG8" s="13" t="n"/>
      <c r="AH8" s="13" t="n"/>
      <c r="AI8" s="13" t="n"/>
      <c r="AJ8" s="13" t="n"/>
      <c r="AK8" s="13" t="n"/>
      <c r="AL8" s="13" t="n"/>
      <c r="AM8" s="13" t="n"/>
      <c r="AN8" s="13" t="n"/>
      <c r="AO8" s="13" t="n"/>
      <c r="AP8" s="13" t="n"/>
      <c r="AQ8" s="13" t="n"/>
      <c r="AR8" s="13" t="n"/>
      <c r="AS8" s="13" t="n"/>
      <c r="AT8" s="13" t="n"/>
      <c r="AU8" s="13" t="n"/>
      <c r="AV8" s="13" t="n"/>
      <c r="AW8" s="13" t="n"/>
      <c r="AX8" s="13" t="n"/>
      <c r="AY8" s="13" t="n"/>
      <c r="AZ8" s="13" t="n"/>
      <c r="BA8" s="13" t="n"/>
    </row>
    <row r="9" hidden="1" customFormat="1" s="1021">
      <c r="A9" s="175" t="inlineStr">
        <is>
          <t>S</t>
        </is>
      </c>
      <c r="B9" s="176">
        <f>IF(_epmOfflineCondition_,"C_FLOW",EPMDimensionType(,A9))</f>
        <v/>
      </c>
      <c r="C9" s="176">
        <f>IF(_epmOfflineCondition_,"F20",IF(B9="","",EPMContextMember(,B9)))</f>
        <v/>
      </c>
      <c r="D9" s="176">
        <f>IF(_epmOfflineCondition_,"本期增加",EPMMemberDesc(C9))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13" t="n"/>
      <c r="V9" s="13" t="n"/>
      <c r="W9" s="13" t="n"/>
      <c r="X9" s="171" t="n"/>
      <c r="Y9" s="601" t="n"/>
      <c r="Z9" s="13" t="n"/>
      <c r="AA9" s="13" t="n"/>
      <c r="AB9" s="13" t="n"/>
      <c r="AC9" s="13" t="n"/>
      <c r="AD9" s="13" t="n"/>
      <c r="AE9" s="13" t="n"/>
      <c r="AF9" s="13" t="n"/>
      <c r="AG9" s="13" t="n"/>
      <c r="AH9" s="13" t="n"/>
      <c r="AI9" s="13" t="n"/>
      <c r="AJ9" s="13" t="n"/>
      <c r="AK9" s="13" t="n"/>
      <c r="AL9" s="13" t="n"/>
      <c r="AM9" s="13" t="n"/>
      <c r="AN9" s="13" t="n"/>
      <c r="AO9" s="13" t="n"/>
      <c r="AP9" s="13" t="n"/>
      <c r="AQ9" s="13" t="n"/>
      <c r="AR9" s="13" t="n"/>
      <c r="AS9" s="13" t="n"/>
      <c r="AT9" s="13" t="n"/>
      <c r="AU9" s="13" t="n"/>
      <c r="AV9" s="13" t="n"/>
      <c r="AW9" s="13" t="n"/>
      <c r="AX9" s="13" t="n"/>
      <c r="AY9" s="13" t="n"/>
      <c r="AZ9" s="13" t="n"/>
      <c r="BA9" s="13" t="n"/>
    </row>
    <row r="10" hidden="1" customFormat="1" s="1021">
      <c r="A10" s="175" t="inlineStr">
        <is>
          <t>I</t>
        </is>
      </c>
      <c r="B10" s="176">
        <f>IF(_epmOfflineCondition_,"C_INTERCO",EPMDimensionType(,A10))</f>
        <v/>
      </c>
      <c r="C10" s="176">
        <f>IF(_epmOfflineCondition_,"I_DUMMY",IF(B10="","",EPMContextMember(,B10)))</f>
        <v/>
      </c>
      <c r="D10" s="176">
        <f>IF(_epmOfflineCondition_,"贸易伙伴无关",EPMMemberDesc(C10))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13" t="n"/>
      <c r="V10" s="13" t="n"/>
      <c r="W10" s="13" t="n"/>
      <c r="X10" s="171" t="n"/>
      <c r="Y10" s="601" t="n"/>
      <c r="Z10" s="13" t="n"/>
      <c r="AA10" s="13" t="n"/>
      <c r="AB10" s="13" t="n"/>
      <c r="AC10" s="13" t="n"/>
      <c r="AD10" s="13" t="n"/>
      <c r="AE10" s="13" t="n"/>
      <c r="AF10" s="13" t="n"/>
      <c r="AG10" s="13" t="n"/>
      <c r="AH10" s="13" t="n"/>
      <c r="AI10" s="13" t="n"/>
      <c r="AJ10" s="13" t="n"/>
      <c r="AK10" s="13" t="n"/>
      <c r="AL10" s="13" t="n"/>
      <c r="AM10" s="13" t="n"/>
      <c r="AN10" s="13" t="n"/>
      <c r="AO10" s="13" t="n"/>
      <c r="AP10" s="13" t="n"/>
      <c r="AQ10" s="13" t="n"/>
      <c r="AR10" s="13" t="n"/>
      <c r="AS10" s="13" t="n"/>
      <c r="AT10" s="13" t="n"/>
      <c r="AU10" s="13" t="n"/>
      <c r="AV10" s="13" t="n"/>
      <c r="AW10" s="13" t="n"/>
      <c r="AX10" s="13" t="n"/>
      <c r="AY10" s="13" t="n"/>
      <c r="AZ10" s="13" t="n"/>
      <c r="BA10" s="13" t="n"/>
    </row>
    <row r="11" hidden="1" customFormat="1" s="1021">
      <c r="A11" s="175" t="inlineStr">
        <is>
          <t>G</t>
        </is>
      </c>
      <c r="B11" s="176">
        <f>IF(_epmOfflineCondition_,"C_SCOPE",EPMDimensionType(,A11))</f>
        <v/>
      </c>
      <c r="C11" s="176">
        <f>IF(_epmOfflineCondition_,"G_DUMMY",IF(B11="","",EPMContextMember(,B11)))</f>
        <v/>
      </c>
      <c r="D11" s="176">
        <f>IF(_epmOfflineCondition_,"合并范围无关",EPMMemberDesc(C11))</f>
        <v/>
      </c>
      <c r="E11" s="176">
        <f>IF(OR(RIGHT(C11,1)="P",RIGHT(C11,1)="S"),LEFT(C11,LEN(C11)-1),C11)</f>
        <v/>
      </c>
      <c r="F11" s="13" t="n"/>
      <c r="G11" s="13" t="n"/>
      <c r="H11" s="184" t="inlineStr">
        <is>
          <t xml:space="preserve">本年月 </t>
        </is>
      </c>
      <c r="I11" s="184">
        <f>I3&amp;"."&amp;I8</f>
        <v/>
      </c>
      <c r="J11" s="13" t="n"/>
      <c r="K11" s="13" t="n"/>
      <c r="L11" s="13" t="n"/>
      <c r="M11" s="13" t="n"/>
      <c r="N11" s="13" t="n"/>
      <c r="O11" s="13" t="n"/>
      <c r="P11" s="13" t="n"/>
      <c r="Q11" s="13" t="n"/>
      <c r="R11" s="13" t="n"/>
      <c r="S11" s="1103" t="n"/>
      <c r="T11" s="13" t="n"/>
      <c r="U11" s="13" t="n"/>
      <c r="V11" s="13" t="n"/>
      <c r="W11" s="13" t="n"/>
      <c r="X11" s="171" t="n"/>
      <c r="Y11" s="601" t="n"/>
      <c r="Z11" s="13" t="n"/>
      <c r="AA11" s="13" t="n"/>
      <c r="AB11" s="13" t="n"/>
      <c r="AC11" s="13" t="n"/>
      <c r="AD11" s="13" t="n"/>
      <c r="AE11" s="13" t="n"/>
      <c r="AF11" s="13" t="n"/>
      <c r="AG11" s="13" t="n"/>
      <c r="AH11" s="13" t="n"/>
      <c r="AI11" s="13" t="n"/>
      <c r="AJ11" s="13" t="n"/>
      <c r="AK11" s="13" t="n"/>
      <c r="AL11" s="13" t="n"/>
      <c r="AM11" s="13" t="n"/>
      <c r="AN11" s="13" t="n"/>
      <c r="AO11" s="13" t="n"/>
      <c r="AP11" s="13" t="n"/>
      <c r="AQ11" s="13" t="n"/>
      <c r="AR11" s="13" t="n"/>
      <c r="AS11" s="13" t="n"/>
      <c r="AT11" s="13" t="n"/>
      <c r="AU11" s="13" t="n"/>
      <c r="AV11" s="13" t="n"/>
      <c r="AW11" s="13" t="n"/>
      <c r="AX11" s="13" t="n"/>
      <c r="AY11" s="13" t="n"/>
      <c r="AZ11" s="13" t="n"/>
      <c r="BA11" s="13" t="n"/>
    </row>
    <row r="12" hidden="1" customFormat="1" s="1021">
      <c r="A12" s="175" t="inlineStr">
        <is>
          <t>U8</t>
        </is>
      </c>
      <c r="B12" s="176">
        <f>IF(_epmOfflineCondition_,"C_PROJECT",EPMDimensionType(,A12))</f>
        <v/>
      </c>
      <c r="C12" s="176">
        <f>IF(_epmOfflineCondition_,"ZP_UNIT",IF(B12="","",EPMContextMember(,B12)))</f>
        <v/>
      </c>
      <c r="D12" s="176">
        <f>IF(_epmOfflineCondition_,"项目分类",EPMMemberDesc(C12))</f>
        <v/>
      </c>
      <c r="E12" s="176" t="n"/>
      <c r="F12" s="13" t="n"/>
      <c r="G12" s="13" t="n"/>
      <c r="H12" s="184" t="inlineStr">
        <is>
          <t>上年月</t>
        </is>
      </c>
      <c r="I12" s="184">
        <f>IF(I8="01",I10&amp;"."&amp;I9,I3&amp;"."&amp;I9)</f>
        <v/>
      </c>
      <c r="J12" s="13" t="n"/>
      <c r="K12" s="13" t="n"/>
      <c r="L12" s="13" t="n"/>
      <c r="M12" s="13" t="n"/>
      <c r="N12" s="13" t="n"/>
      <c r="O12" s="13" t="n"/>
      <c r="P12" s="13" t="n"/>
      <c r="Q12" s="13" t="n"/>
      <c r="R12" s="13" t="n"/>
      <c r="S12" s="1103" t="n"/>
      <c r="T12" s="13" t="n"/>
      <c r="U12" s="13" t="n"/>
      <c r="V12" s="13" t="n"/>
      <c r="W12" s="13" t="n"/>
      <c r="X12" s="171" t="n"/>
      <c r="Y12" s="601" t="n"/>
      <c r="Z12" s="13" t="n"/>
      <c r="AA12" s="13" t="n"/>
      <c r="AB12" s="13" t="n"/>
      <c r="AC12" s="13" t="n"/>
      <c r="AD12" s="13" t="n"/>
      <c r="AE12" s="13" t="n"/>
      <c r="AF12" s="13" t="n"/>
      <c r="AG12" s="13" t="n"/>
      <c r="AH12" s="13" t="n"/>
      <c r="AI12" s="13" t="n"/>
      <c r="AJ12" s="13" t="n"/>
      <c r="AK12" s="13" t="n"/>
      <c r="AL12" s="13" t="n"/>
      <c r="AM12" s="13" t="n"/>
      <c r="AN12" s="13" t="n"/>
      <c r="AO12" s="13" t="n"/>
      <c r="AP12" s="13" t="n"/>
      <c r="AQ12" s="13" t="n"/>
      <c r="AR12" s="13" t="n"/>
      <c r="AS12" s="13" t="n"/>
      <c r="AT12" s="13" t="n"/>
      <c r="AU12" s="13" t="n"/>
      <c r="AV12" s="13" t="n"/>
      <c r="AW12" s="13" t="n"/>
      <c r="AX12" s="13" t="n"/>
      <c r="AY12" s="13" t="n"/>
      <c r="AZ12" s="13" t="n"/>
      <c r="BA12" s="13" t="n"/>
    </row>
    <row r="13" hidden="1" customFormat="1" s="1021">
      <c r="A13" s="175" t="inlineStr">
        <is>
          <t>U9</t>
        </is>
      </c>
      <c r="B13" s="176">
        <f>IF(_epmOfflineCondition_,"C_ITEM",EPMDimensionType(,A13))</f>
        <v/>
      </c>
      <c r="C13" s="176">
        <f>IF(_epmOfflineCondition_,"ZI_DUMMY",IF(B13="","",EPMContextMember(,B13)))</f>
        <v/>
      </c>
      <c r="D13" s="176">
        <f>IF(_epmOfflineCondition_,"与子项无关",EPMMemberDesc(C13))</f>
        <v/>
      </c>
      <c r="E13" s="176" t="n"/>
      <c r="F13" s="13" t="n"/>
      <c r="G13" s="13" t="n"/>
      <c r="H13" s="184" t="inlineStr">
        <is>
          <t xml:space="preserve">上年同期 </t>
        </is>
      </c>
      <c r="I13" s="184">
        <f>I10&amp;"."&amp;I8</f>
        <v/>
      </c>
      <c r="J13" s="13" t="n"/>
      <c r="K13" s="13" t="n"/>
      <c r="L13" s="13" t="n"/>
      <c r="M13" s="13" t="n"/>
      <c r="N13" s="13" t="n"/>
      <c r="O13" s="13" t="n"/>
      <c r="P13" s="13" t="n"/>
      <c r="Q13" s="13" t="n"/>
      <c r="R13" s="13" t="n"/>
      <c r="S13" s="1103" t="n"/>
      <c r="T13" s="13" t="n"/>
      <c r="U13" s="13" t="n"/>
      <c r="V13" s="13" t="n"/>
      <c r="W13" s="13" t="n"/>
      <c r="X13" s="171" t="n"/>
      <c r="Y13" s="601" t="n"/>
      <c r="Z13" s="13" t="n"/>
      <c r="AA13" s="13" t="n"/>
      <c r="AB13" s="13" t="n"/>
      <c r="AC13" s="13" t="n"/>
      <c r="AD13" s="13" t="n"/>
      <c r="AE13" s="13" t="n"/>
      <c r="AF13" s="13" t="n"/>
      <c r="AG13" s="13" t="n"/>
      <c r="AH13" s="13" t="n"/>
      <c r="AI13" s="13" t="n"/>
      <c r="AJ13" s="13" t="n"/>
      <c r="AK13" s="13" t="n"/>
      <c r="AL13" s="13" t="n"/>
      <c r="AM13" s="13" t="n"/>
      <c r="AN13" s="13" t="n"/>
      <c r="AO13" s="13" t="n"/>
      <c r="AP13" s="13" t="n"/>
      <c r="AQ13" s="13" t="n"/>
      <c r="AR13" s="13" t="n"/>
      <c r="AS13" s="13" t="n"/>
      <c r="AT13" s="13" t="n"/>
      <c r="AU13" s="13" t="n"/>
      <c r="AV13" s="13" t="n"/>
      <c r="AW13" s="13" t="n"/>
      <c r="AX13" s="13" t="n"/>
      <c r="AY13" s="13" t="n"/>
      <c r="AZ13" s="13" t="n"/>
      <c r="BA13" s="13" t="n"/>
    </row>
    <row r="14" hidden="1" customFormat="1" s="1021">
      <c r="A14" s="175" t="inlineStr">
        <is>
          <t>U10</t>
        </is>
      </c>
      <c r="B14" s="176">
        <f>IF(_epmOfflineCondition_,"C_MISK",EPMDimensionType(,A14))</f>
        <v/>
      </c>
      <c r="C14" s="176">
        <f>IF(_epmOfflineCondition_,"ZM_DUMMY",IF(B14="","",EPMContextMember(,B14)))</f>
        <v/>
      </c>
      <c r="D14" s="176">
        <f>IF(_epmOfflineCondition_,"综合无关",EPMMemberDesc(C14))</f>
        <v/>
      </c>
      <c r="E14" s="176" t="n"/>
      <c r="F14" s="13" t="n"/>
      <c r="G14" s="13" t="n"/>
      <c r="H14" s="13" t="inlineStr">
        <is>
          <t>上上年月</t>
        </is>
      </c>
      <c r="I14" s="1025">
        <f>TEXT(EDATE(DATE(LEFT(I11,4),RIGHT(I11,2),1),-2),"yyyy.mm")</f>
        <v/>
      </c>
      <c r="J14" s="13" t="n"/>
      <c r="K14" s="13" t="n"/>
      <c r="L14" s="13" t="n"/>
      <c r="M14" s="13" t="n"/>
      <c r="N14" s="13" t="n"/>
      <c r="O14" s="13" t="n"/>
      <c r="P14" s="13" t="n"/>
      <c r="Q14" s="13" t="n"/>
      <c r="R14" s="13" t="n"/>
      <c r="S14" s="1103" t="n"/>
      <c r="T14" s="13" t="n"/>
      <c r="U14" s="13" t="n"/>
      <c r="V14" s="13" t="n"/>
      <c r="W14" s="13" t="n"/>
      <c r="X14" s="171" t="n"/>
      <c r="Y14" s="601" t="n"/>
      <c r="Z14" s="13" t="n"/>
      <c r="AA14" s="13" t="n"/>
      <c r="AB14" s="13" t="n"/>
      <c r="AC14" s="13" t="n"/>
      <c r="AD14" s="13" t="n"/>
      <c r="AE14" s="13" t="n"/>
      <c r="AF14" s="13" t="n"/>
      <c r="AG14" s="13" t="n"/>
      <c r="AH14" s="13" t="n"/>
      <c r="AI14" s="13" t="n"/>
      <c r="AJ14" s="13" t="n"/>
      <c r="AK14" s="13" t="n"/>
      <c r="AL14" s="13" t="n"/>
      <c r="AM14" s="13" t="n"/>
      <c r="AN14" s="13" t="n"/>
      <c r="AO14" s="13" t="n"/>
      <c r="AP14" s="13" t="n"/>
      <c r="AQ14" s="13" t="n"/>
      <c r="AR14" s="13" t="n"/>
      <c r="AS14" s="13" t="n"/>
      <c r="AT14" s="13" t="n"/>
      <c r="AU14" s="13" t="n"/>
      <c r="AV14" s="13" t="n"/>
      <c r="AW14" s="13" t="n"/>
      <c r="AX14" s="13" t="n"/>
      <c r="AY14" s="13" t="n"/>
      <c r="AZ14" s="13" t="n"/>
      <c r="BA14" s="13" t="n"/>
    </row>
    <row r="15" hidden="1" customFormat="1" s="1021">
      <c r="A15" s="13" t="n"/>
      <c r="B15" s="1103" t="n"/>
      <c r="C15" s="1103" t="n"/>
      <c r="D15" s="1103" t="n"/>
      <c r="E15" s="13" t="n"/>
      <c r="F15" s="13" t="n"/>
      <c r="G15" s="13" t="n"/>
      <c r="H15" s="13" t="inlineStr">
        <is>
          <t>上上年月同期</t>
        </is>
      </c>
      <c r="I15" s="1025">
        <f>TEXT(EDATE(DATE(LEFT(I11,4),RIGHT(I11,2),1),-14),"yyyy.mm")</f>
        <v/>
      </c>
      <c r="J15" s="13" t="n"/>
      <c r="K15" s="13" t="n"/>
      <c r="L15" s="13" t="n"/>
      <c r="M15" s="13" t="n"/>
      <c r="N15" s="13" t="n"/>
      <c r="O15" s="13" t="n"/>
      <c r="P15" s="13" t="n"/>
      <c r="Q15" s="13" t="n"/>
      <c r="R15" s="13" t="n"/>
      <c r="S15" s="1103" t="n"/>
      <c r="T15" s="13" t="n"/>
      <c r="U15" s="13" t="n"/>
      <c r="V15" s="13" t="n"/>
      <c r="W15" s="13" t="n"/>
      <c r="X15" s="171" t="n"/>
      <c r="Y15" s="601" t="n"/>
      <c r="Z15" s="13" t="n"/>
      <c r="AA15" s="13" t="n"/>
      <c r="AB15" s="13" t="n"/>
      <c r="AC15" s="13" t="n"/>
      <c r="AD15" s="13" t="n"/>
      <c r="AE15" s="13" t="n"/>
      <c r="AF15" s="13" t="n"/>
      <c r="AG15" s="13" t="n"/>
      <c r="AH15" s="13" t="n"/>
      <c r="AI15" s="13" t="n"/>
      <c r="AJ15" s="13" t="n"/>
      <c r="AK15" s="13" t="n"/>
      <c r="AL15" s="13" t="n"/>
      <c r="AM15" s="13" t="n"/>
      <c r="AN15" s="13" t="n"/>
      <c r="AO15" s="13" t="n"/>
      <c r="AP15" s="13" t="n"/>
      <c r="AQ15" s="13" t="n"/>
      <c r="AR15" s="13" t="n"/>
      <c r="AS15" s="13" t="n"/>
      <c r="AT15" s="13" t="n"/>
      <c r="AU15" s="13" t="n"/>
      <c r="AV15" s="13" t="n"/>
      <c r="AW15" s="13" t="n"/>
      <c r="AX15" s="13" t="n"/>
      <c r="AY15" s="13" t="n"/>
      <c r="AZ15" s="13" t="n"/>
      <c r="BA15" s="13" t="n"/>
    </row>
    <row r="16" hidden="1" customFormat="1" s="1021">
      <c r="A16" s="13" t="n"/>
      <c r="B16" s="13" t="n"/>
      <c r="C16" s="13" t="n"/>
      <c r="D16" s="174" t="inlineStr">
        <is>
          <t>页轴</t>
        </is>
      </c>
      <c r="E16" s="1183" t="n"/>
      <c r="F16" s="13" t="n"/>
      <c r="G16" s="13" t="n"/>
      <c r="H16" s="185" t="inlineStr">
        <is>
          <t>上年上月同期</t>
        </is>
      </c>
      <c r="I16" s="1026">
        <f>TEXT(EDATE(DATE(LEFT(I11,4),RIGHT(I11,2),1),-13),"yyyy.mm")</f>
        <v/>
      </c>
      <c r="J16" s="13" t="n"/>
      <c r="K16" s="13" t="n"/>
      <c r="L16" s="13" t="n"/>
      <c r="M16" s="13" t="n"/>
      <c r="N16" s="13" t="n"/>
      <c r="O16" s="13" t="n"/>
      <c r="P16" s="13" t="n"/>
      <c r="Q16" s="13" t="n"/>
      <c r="R16" s="13" t="n"/>
      <c r="S16" s="1103" t="n"/>
      <c r="T16" s="13" t="n"/>
      <c r="U16" s="13" t="n"/>
      <c r="V16" s="13" t="n"/>
      <c r="W16" s="13" t="n"/>
      <c r="X16" s="171" t="n"/>
      <c r="Y16" s="601" t="n"/>
      <c r="Z16" s="13" t="n"/>
      <c r="AA16" s="13" t="n"/>
      <c r="AB16" s="13" t="n"/>
      <c r="AC16" s="13" t="n"/>
      <c r="AD16" s="13" t="n"/>
      <c r="AE16" s="13" t="n"/>
      <c r="AF16" s="13" t="n"/>
      <c r="AG16" s="13" t="n"/>
      <c r="AH16" s="13" t="n"/>
      <c r="AI16" s="13" t="n"/>
      <c r="AJ16" s="13" t="n"/>
      <c r="AK16" s="13" t="n"/>
      <c r="AL16" s="13" t="n"/>
      <c r="AM16" s="13" t="n"/>
      <c r="AN16" s="13" t="n"/>
      <c r="AO16" s="13" t="n"/>
      <c r="AP16" s="13" t="n"/>
      <c r="AQ16" s="13" t="n"/>
      <c r="AR16" s="13" t="n"/>
      <c r="AS16" s="13" t="n"/>
      <c r="AT16" s="13" t="n"/>
      <c r="AU16" s="13" t="n"/>
      <c r="AV16" s="13" t="n"/>
      <c r="AW16" s="13" t="n"/>
      <c r="AX16" s="13" t="n"/>
      <c r="AY16" s="13" t="n"/>
      <c r="AZ16" s="13" t="n"/>
      <c r="BA16" s="13" t="n"/>
    </row>
    <row r="17" hidden="1" customFormat="1" s="1021">
      <c r="A17" s="174" t="inlineStr">
        <is>
          <t>维度类型</t>
        </is>
      </c>
      <c r="B17" s="174" t="inlineStr">
        <is>
          <t>维度</t>
        </is>
      </c>
      <c r="C17" s="178" t="inlineStr">
        <is>
          <t>页轴替换</t>
        </is>
      </c>
      <c r="D17" s="174" t="inlineStr">
        <is>
          <t>报表001</t>
        </is>
      </c>
      <c r="E17" s="174" t="inlineStr">
        <is>
          <t>报表002</t>
        </is>
      </c>
      <c r="F17" s="13" t="n"/>
      <c r="G17" s="13" t="n"/>
      <c r="H17" s="13" t="n"/>
      <c r="I17" s="13" t="n"/>
      <c r="J17" s="13" t="n"/>
      <c r="K17" s="13" t="n"/>
      <c r="L17" s="13" t="n"/>
      <c r="M17" s="13" t="n"/>
      <c r="N17" s="13" t="n"/>
      <c r="O17" s="13" t="n"/>
      <c r="P17" s="13" t="n"/>
      <c r="Q17" s="13" t="n"/>
      <c r="R17" s="13" t="n"/>
      <c r="S17" s="1103" t="n"/>
      <c r="T17" s="13" t="n"/>
      <c r="U17" s="13" t="n"/>
      <c r="V17" s="13" t="n"/>
      <c r="W17" s="13" t="n"/>
      <c r="X17" s="171" t="n"/>
      <c r="Y17" s="601" t="n"/>
      <c r="Z17" s="13" t="n"/>
      <c r="AA17" s="13" t="n"/>
      <c r="AB17" s="13" t="n"/>
      <c r="AC17" s="13" t="n"/>
      <c r="AD17" s="13" t="n"/>
      <c r="AE17" s="13" t="n"/>
      <c r="AF17" s="13" t="n"/>
      <c r="AG17" s="13" t="n"/>
      <c r="AH17" s="13" t="n"/>
      <c r="AI17" s="13" t="n"/>
      <c r="AJ17" s="13" t="n"/>
      <c r="AK17" s="13" t="n"/>
      <c r="AL17" s="13" t="n"/>
      <c r="AM17" s="13" t="n"/>
      <c r="AN17" s="13" t="n"/>
      <c r="AO17" s="13" t="n"/>
      <c r="AP17" s="13" t="n"/>
      <c r="AQ17" s="13" t="n"/>
      <c r="AR17" s="13" t="n"/>
      <c r="AS17" s="13" t="n"/>
      <c r="AT17" s="13" t="n"/>
      <c r="AU17" s="13" t="n"/>
      <c r="AV17" s="13" t="n"/>
      <c r="AW17" s="13" t="n"/>
      <c r="AX17" s="13" t="n"/>
      <c r="AY17" s="13" t="n"/>
      <c r="AZ17" s="13" t="n"/>
      <c r="BA17" s="13" t="n"/>
    </row>
    <row r="18" hidden="1" customFormat="1" s="1021">
      <c r="A18" s="175" t="inlineStr">
        <is>
          <t>A</t>
        </is>
      </c>
      <c r="B18" s="176">
        <f>IF(_epmOfflineCondition_,"C_ACCOUNT",EPMDimensionType(,A18))</f>
        <v/>
      </c>
      <c r="C18" s="182" t="inlineStr">
        <is>
          <t>A_NOUSED</t>
        </is>
      </c>
      <c r="D18" s="180" t="n"/>
      <c r="E18" s="13" t="n"/>
      <c r="F18" s="13" t="n"/>
      <c r="G18" s="13" t="n"/>
      <c r="H18" s="13" t="n"/>
      <c r="I18" s="13" t="n"/>
      <c r="J18" s="13" t="n"/>
      <c r="K18" s="13" t="n"/>
      <c r="L18" s="13" t="n"/>
      <c r="M18" s="13" t="n"/>
      <c r="N18" s="13" t="n"/>
      <c r="O18" s="13" t="n"/>
      <c r="P18" s="13" t="n"/>
      <c r="Q18" s="13" t="n"/>
      <c r="R18" s="13" t="n"/>
      <c r="S18" s="1103" t="n"/>
      <c r="T18" s="13" t="n"/>
      <c r="U18" s="13" t="n"/>
      <c r="V18" s="13" t="n"/>
      <c r="W18" s="13" t="n"/>
      <c r="X18" s="171" t="n"/>
      <c r="Y18" s="601" t="n"/>
      <c r="Z18" s="13" t="n"/>
      <c r="AA18" s="13" t="n"/>
      <c r="AB18" s="13" t="n"/>
      <c r="AC18" s="13" t="n"/>
      <c r="AD18" s="13" t="n"/>
      <c r="AE18" s="13" t="n"/>
      <c r="AF18" s="13" t="n"/>
      <c r="AG18" s="13" t="n"/>
      <c r="AH18" s="13" t="n"/>
      <c r="AI18" s="13" t="n"/>
      <c r="AJ18" s="13" t="n"/>
      <c r="AK18" s="13" t="n"/>
      <c r="AL18" s="13" t="n"/>
      <c r="AM18" s="13" t="n"/>
      <c r="AN18" s="13" t="n"/>
      <c r="AO18" s="13" t="n"/>
      <c r="AP18" s="13" t="n"/>
      <c r="AQ18" s="13" t="n"/>
      <c r="AR18" s="13" t="n"/>
      <c r="AS18" s="13" t="n"/>
      <c r="AT18" s="13" t="n"/>
      <c r="AU18" s="13" t="n"/>
      <c r="AV18" s="13" t="n"/>
      <c r="AW18" s="13" t="n"/>
      <c r="AX18" s="13" t="n"/>
      <c r="AY18" s="13" t="n"/>
      <c r="AZ18" s="13" t="n"/>
      <c r="BA18" s="13" t="n"/>
    </row>
    <row r="19" hidden="1" customFormat="1" s="1021">
      <c r="A19" s="175" t="inlineStr">
        <is>
          <t>C</t>
        </is>
      </c>
      <c r="B19" s="176">
        <f>IF(_epmOfflineCondition_,"C_CATEGORY",EPMDimensionType(,A19))</f>
        <v/>
      </c>
      <c r="C19" s="182" t="inlineStr">
        <is>
          <t>C_DUMMY</t>
        </is>
      </c>
      <c r="D19" s="180" t="n"/>
      <c r="E19" s="13" t="n"/>
      <c r="F19" s="13" t="n"/>
      <c r="G19" s="13" t="n"/>
      <c r="H19" s="13" t="n"/>
      <c r="I19" s="13" t="n"/>
      <c r="J19" s="13" t="n"/>
      <c r="K19" s="13" t="n"/>
      <c r="L19" s="13" t="n"/>
      <c r="M19" s="13" t="n"/>
      <c r="N19" s="13" t="n"/>
      <c r="O19" s="13" t="n"/>
      <c r="P19" s="13" t="n"/>
      <c r="Q19" s="13" t="n"/>
      <c r="R19" s="13" t="n"/>
      <c r="S19" s="1103" t="n"/>
      <c r="T19" s="13" t="n"/>
      <c r="U19" s="13" t="n"/>
      <c r="V19" s="13" t="n"/>
      <c r="W19" s="13" t="n"/>
      <c r="X19" s="171" t="n"/>
      <c r="Y19" s="601" t="n"/>
      <c r="Z19" s="13" t="n"/>
      <c r="AA19" s="13" t="n"/>
      <c r="AB19" s="13" t="n"/>
      <c r="AC19" s="13" t="n"/>
      <c r="AD19" s="13" t="n"/>
      <c r="AE19" s="13" t="n"/>
      <c r="AF19" s="13" t="n"/>
      <c r="AG19" s="13" t="n"/>
      <c r="AH19" s="13" t="n"/>
      <c r="AI19" s="13" t="n"/>
      <c r="AJ19" s="13" t="n"/>
      <c r="AK19" s="13" t="n"/>
      <c r="AL19" s="13" t="n"/>
      <c r="AM19" s="13" t="n"/>
      <c r="AN19" s="13" t="n"/>
      <c r="AO19" s="13" t="n"/>
      <c r="AP19" s="13" t="n"/>
      <c r="AQ19" s="13" t="n"/>
      <c r="AR19" s="13" t="n"/>
      <c r="AS19" s="13" t="n"/>
      <c r="AT19" s="13" t="n"/>
      <c r="AU19" s="13" t="n"/>
      <c r="AV19" s="13" t="n"/>
      <c r="AW19" s="13" t="n"/>
      <c r="AX19" s="13" t="n"/>
      <c r="AY19" s="13" t="n"/>
      <c r="AZ19" s="13" t="n"/>
      <c r="BA19" s="13" t="n"/>
    </row>
    <row r="20" hidden="1" customFormat="1" s="1021">
      <c r="A20" s="175" t="inlineStr">
        <is>
          <t>T</t>
        </is>
      </c>
      <c r="B20" s="176">
        <f>IF(_epmOfflineCondition_,"C_TIME",EPMDimensionType(,A20))</f>
        <v/>
      </c>
      <c r="C20" s="672" t="inlineStr">
        <is>
          <t>T_DUMMY</t>
        </is>
      </c>
      <c r="D20" s="180" t="n"/>
      <c r="E20" s="13" t="n"/>
      <c r="F20" s="384" t="n"/>
      <c r="G20" s="384" t="n"/>
      <c r="H20" s="13" t="n"/>
      <c r="I20" s="13" t="n"/>
      <c r="J20" s="13" t="n"/>
      <c r="K20" s="13" t="n"/>
      <c r="L20" s="13" t="n"/>
      <c r="M20" s="13" t="n"/>
      <c r="N20" s="13" t="n"/>
      <c r="O20" s="13" t="n"/>
      <c r="P20" s="13" t="n"/>
      <c r="Q20" s="13" t="n"/>
      <c r="R20" s="13" t="n"/>
      <c r="S20" s="1103" t="n"/>
      <c r="T20" s="13" t="n"/>
      <c r="U20" s="13" t="n"/>
      <c r="V20" s="13" t="n"/>
      <c r="W20" s="13" t="n"/>
      <c r="X20" s="171" t="n"/>
      <c r="Y20" s="601" t="n"/>
      <c r="Z20" s="384" t="n"/>
      <c r="AA20" s="384" t="n"/>
      <c r="AB20" s="13" t="n"/>
      <c r="AC20" s="13" t="n"/>
      <c r="AD20" s="13" t="n"/>
      <c r="AE20" s="13" t="n"/>
      <c r="AF20" s="13" t="n"/>
      <c r="AG20" s="13" t="n"/>
      <c r="AH20" s="13" t="n"/>
      <c r="AI20" s="13" t="n"/>
      <c r="AJ20" s="13" t="n"/>
      <c r="AK20" s="13" t="n"/>
      <c r="AL20" s="13" t="n"/>
      <c r="AM20" s="13" t="n"/>
      <c r="AN20" s="13" t="n"/>
      <c r="AO20" s="13" t="n"/>
      <c r="AP20" s="13" t="n"/>
      <c r="AQ20" s="13" t="n"/>
      <c r="AR20" s="13" t="n"/>
      <c r="AS20" s="13" t="n"/>
      <c r="AT20" s="13" t="n"/>
      <c r="AU20" s="13" t="n"/>
      <c r="AV20" s="13" t="n"/>
      <c r="AW20" s="13" t="n"/>
      <c r="AX20" s="13" t="n"/>
      <c r="AY20" s="13" t="n"/>
      <c r="AZ20" s="13" t="n"/>
      <c r="BA20" s="13" t="n"/>
    </row>
    <row r="21" hidden="1" customFormat="1" s="1021">
      <c r="A21" s="175" t="inlineStr">
        <is>
          <t>E</t>
        </is>
      </c>
      <c r="B21" s="176">
        <f>IF(_epmOfflineCondition_,"C_ENTITY",EPMDimensionType(,A21))</f>
        <v/>
      </c>
      <c r="C21" s="447">
        <f>C6</f>
        <v/>
      </c>
      <c r="D21" s="390">
        <f>IF(_epmOfflineCondition_,"内蒙古京能苏尼特风力发电有限公司（内蒙古分公司）",EPMOlapMemberO(D6,"[C_ENTITY].[PARENTH1].[E100787]","E100787 - 内蒙古京能苏尼特风力发电有限公司（内蒙古分公司）","","000"))</f>
        <v/>
      </c>
      <c r="E21" s="13" t="n"/>
      <c r="F21" s="384" t="n"/>
      <c r="G21" s="384" t="n"/>
      <c r="H21" s="13" t="n"/>
      <c r="I21" s="13" t="n"/>
      <c r="J21" s="13" t="n"/>
      <c r="K21" s="13" t="n"/>
      <c r="L21" s="13" t="n"/>
      <c r="M21" s="13" t="n"/>
      <c r="N21" s="13" t="n"/>
      <c r="O21" s="13" t="n"/>
      <c r="P21" s="13" t="n"/>
      <c r="Q21" s="13" t="n"/>
      <c r="R21" s="13" t="n"/>
      <c r="S21" s="1103" t="n"/>
      <c r="T21" s="13" t="n"/>
      <c r="U21" s="13" t="n"/>
      <c r="V21" s="13" t="n"/>
      <c r="W21" s="13" t="n"/>
      <c r="X21" s="171" t="n"/>
      <c r="Y21" s="601" t="n"/>
      <c r="Z21" s="384" t="n"/>
      <c r="AA21" s="384" t="n"/>
      <c r="AB21" s="13" t="n"/>
      <c r="AC21" s="13" t="n"/>
      <c r="AD21" s="13" t="n"/>
      <c r="AE21" s="13" t="n"/>
      <c r="AF21" s="13" t="n"/>
      <c r="AG21" s="13" t="n"/>
      <c r="AH21" s="13" t="n"/>
      <c r="AI21" s="13" t="n"/>
      <c r="AJ21" s="13" t="n"/>
      <c r="AK21" s="13" t="n"/>
      <c r="AL21" s="13" t="n"/>
      <c r="AM21" s="13" t="n"/>
      <c r="AN21" s="13" t="n"/>
      <c r="AO21" s="13" t="n"/>
      <c r="AP21" s="13" t="n"/>
      <c r="AQ21" s="13" t="n"/>
      <c r="AR21" s="13" t="n"/>
      <c r="AS21" s="13" t="n"/>
      <c r="AT21" s="13" t="n"/>
      <c r="AU21" s="13" t="n"/>
      <c r="AV21" s="13" t="n"/>
      <c r="AW21" s="13" t="n"/>
      <c r="AX21" s="13" t="n"/>
      <c r="AY21" s="13" t="n"/>
      <c r="AZ21" s="13" t="n"/>
      <c r="BA21" s="13" t="n"/>
    </row>
    <row r="22" hidden="1" customFormat="1" s="1021">
      <c r="A22" s="175" t="inlineStr">
        <is>
          <t>R</t>
        </is>
      </c>
      <c r="B22" s="176">
        <f>IF(_epmOfflineCondition_,"C_RPTCURRENCY",EPMDimensionType(,A22))</f>
        <v/>
      </c>
      <c r="C22" s="182">
        <f>Z37</f>
        <v/>
      </c>
      <c r="D22" s="850" t="n"/>
      <c r="E22" s="13" t="n"/>
      <c r="F22" s="384" t="n"/>
      <c r="G22" s="384" t="n"/>
      <c r="H22" s="13" t="n"/>
      <c r="I22" s="13" t="n"/>
      <c r="J22" s="13" t="n"/>
      <c r="K22" s="13" t="n"/>
      <c r="L22" s="13" t="n"/>
      <c r="M22" s="13" t="n"/>
      <c r="N22" s="13" t="n"/>
      <c r="O22" s="13" t="n"/>
      <c r="P22" s="13" t="n"/>
      <c r="Q22" s="13" t="n"/>
      <c r="R22" s="13" t="n"/>
      <c r="S22" s="1103" t="n"/>
      <c r="T22" s="13" t="n"/>
      <c r="U22" s="13" t="n"/>
      <c r="V22" s="13" t="n"/>
      <c r="W22" s="13" t="n"/>
      <c r="X22" s="171" t="n"/>
      <c r="Y22" s="601" t="n"/>
      <c r="Z22" s="384" t="n"/>
      <c r="AA22" s="384" t="n"/>
      <c r="AB22" s="13" t="n"/>
      <c r="AC22" s="13" t="n"/>
      <c r="AD22" s="13" t="n"/>
      <c r="AE22" s="13" t="n"/>
      <c r="AF22" s="13" t="n"/>
      <c r="AG22" s="13" t="n"/>
      <c r="AH22" s="13" t="n"/>
      <c r="AI22" s="13" t="n"/>
      <c r="AJ22" s="13" t="n"/>
      <c r="AK22" s="13" t="n"/>
      <c r="AL22" s="13" t="n"/>
      <c r="AM22" s="13" t="n"/>
      <c r="AN22" s="13" t="n"/>
      <c r="AO22" s="13" t="n"/>
      <c r="AP22" s="13" t="n"/>
      <c r="AQ22" s="13" t="n"/>
      <c r="AR22" s="13" t="n"/>
      <c r="AS22" s="13" t="n"/>
      <c r="AT22" s="13" t="n"/>
      <c r="AU22" s="13" t="n"/>
      <c r="AV22" s="13" t="n"/>
      <c r="AW22" s="13" t="n"/>
      <c r="AX22" s="13" t="n"/>
      <c r="AY22" s="13" t="n"/>
      <c r="AZ22" s="13" t="n"/>
      <c r="BA22" s="13" t="n"/>
    </row>
    <row r="23" hidden="1" customFormat="1" s="1021">
      <c r="A23" s="175" t="inlineStr">
        <is>
          <t>D</t>
        </is>
      </c>
      <c r="B23" s="176">
        <f>IF(_epmOfflineCondition_,"C_AUDITTRAIL",EPMDimensionType(,A23))</f>
        <v/>
      </c>
      <c r="C23" s="447">
        <f>IF(_epmOfflineCondition_,"D1001",IF(B23="","",EPMContextMember(,B23)))</f>
        <v/>
      </c>
      <c r="D23" s="390" t="n"/>
      <c r="E23" s="13" t="n"/>
      <c r="F23" s="384" t="n"/>
      <c r="G23" s="384" t="n"/>
      <c r="H23" s="13" t="n"/>
      <c r="I23" s="13" t="n"/>
      <c r="J23" s="13" t="n"/>
      <c r="K23" s="13" t="n"/>
      <c r="L23" s="13" t="n"/>
      <c r="M23" s="13" t="n"/>
      <c r="N23" s="13" t="n"/>
      <c r="O23" s="13" t="n"/>
      <c r="P23" s="13" t="n"/>
      <c r="Q23" s="13" t="n"/>
      <c r="R23" s="13" t="n"/>
      <c r="S23" s="1103" t="n"/>
      <c r="T23" s="13" t="n"/>
      <c r="U23" s="13" t="n"/>
      <c r="V23" s="13" t="n"/>
      <c r="W23" s="13" t="n"/>
      <c r="X23" s="171" t="n"/>
      <c r="Y23" s="601" t="n"/>
      <c r="Z23" s="384" t="n"/>
      <c r="AA23" s="384" t="n"/>
      <c r="AB23" s="13" t="n"/>
      <c r="AC23" s="13" t="n"/>
      <c r="AD23" s="13" t="n"/>
      <c r="AE23" s="13" t="n"/>
      <c r="AF23" s="13" t="n"/>
      <c r="AG23" s="13" t="n"/>
      <c r="AH23" s="13" t="n"/>
      <c r="AI23" s="13" t="n"/>
      <c r="AJ23" s="13" t="n"/>
      <c r="AK23" s="13" t="n"/>
      <c r="AL23" s="13" t="n"/>
      <c r="AM23" s="13" t="n"/>
      <c r="AN23" s="13" t="n"/>
      <c r="AO23" s="13" t="n"/>
      <c r="AP23" s="13" t="n"/>
      <c r="AQ23" s="13" t="n"/>
      <c r="AR23" s="13" t="n"/>
      <c r="AS23" s="13" t="n"/>
      <c r="AT23" s="13" t="n"/>
      <c r="AU23" s="13" t="n"/>
      <c r="AV23" s="13" t="n"/>
      <c r="AW23" s="13" t="n"/>
      <c r="AX23" s="13" t="n"/>
      <c r="AY23" s="13" t="n"/>
      <c r="AZ23" s="13" t="n"/>
      <c r="BA23" s="13" t="n"/>
    </row>
    <row r="24" hidden="1" customFormat="1" s="1021">
      <c r="A24" s="175" t="inlineStr">
        <is>
          <t>S</t>
        </is>
      </c>
      <c r="B24" s="176">
        <f>IF(_epmOfflineCondition_,"C_FLOW",EPMDimensionType(,A24))</f>
        <v/>
      </c>
      <c r="C24" s="176">
        <f>IF(_epmOfflineCondition_,"F20",IF(B24="","",EPMContextMember(,B24)))</f>
        <v/>
      </c>
      <c r="D24" s="390" t="n"/>
      <c r="E24" s="13" t="n"/>
      <c r="F24" s="384" t="n"/>
      <c r="G24" s="384" t="n"/>
      <c r="H24" s="13" t="n"/>
      <c r="I24" s="13" t="n"/>
      <c r="J24" s="13" t="n"/>
      <c r="K24" s="13" t="n"/>
      <c r="L24" s="13" t="n"/>
      <c r="M24" s="13" t="n"/>
      <c r="N24" s="13" t="n"/>
      <c r="O24" s="13" t="n"/>
      <c r="P24" s="13" t="n"/>
      <c r="Q24" s="13" t="n"/>
      <c r="R24" s="13" t="n"/>
      <c r="S24" s="1103" t="n"/>
      <c r="T24" s="13" t="n"/>
      <c r="U24" s="13" t="n"/>
      <c r="V24" s="13" t="n"/>
      <c r="W24" s="13" t="n"/>
      <c r="X24" s="171" t="n"/>
      <c r="Y24" s="601" t="n"/>
      <c r="Z24" s="384" t="n"/>
      <c r="AA24" s="384" t="n"/>
      <c r="AB24" s="13" t="n"/>
      <c r="AC24" s="13" t="n"/>
      <c r="AD24" s="13" t="n"/>
      <c r="AE24" s="13" t="n"/>
      <c r="AF24" s="13" t="n"/>
      <c r="AG24" s="13" t="n"/>
      <c r="AH24" s="13" t="n"/>
      <c r="AI24" s="13" t="n"/>
      <c r="AJ24" s="13" t="n"/>
      <c r="AK24" s="13" t="n"/>
      <c r="AL24" s="13" t="n"/>
      <c r="AM24" s="13" t="n"/>
      <c r="AN24" s="13" t="n"/>
      <c r="AO24" s="13" t="n"/>
      <c r="AP24" s="13" t="n"/>
      <c r="AQ24" s="13" t="n"/>
      <c r="AR24" s="13" t="n"/>
      <c r="AS24" s="13" t="n"/>
      <c r="AT24" s="13" t="n"/>
      <c r="AU24" s="13" t="n"/>
      <c r="AV24" s="13" t="n"/>
      <c r="AW24" s="13" t="n"/>
      <c r="AX24" s="13" t="n"/>
      <c r="AY24" s="13" t="n"/>
      <c r="AZ24" s="13" t="n"/>
      <c r="BA24" s="13" t="n"/>
    </row>
    <row r="25" hidden="1" customFormat="1" s="1021">
      <c r="A25" s="175" t="inlineStr">
        <is>
          <t>I</t>
        </is>
      </c>
      <c r="B25" s="176">
        <f>IF(_epmOfflineCondition_,"C_INTERCO",EPMDimensionType(,A25))</f>
        <v/>
      </c>
      <c r="C25" s="176" t="inlineStr">
        <is>
          <t>I_ALL</t>
        </is>
      </c>
      <c r="D25" s="390">
        <f>IF(_epmOfflineCondition_,"I_ALL",EPMOlapMemberO(C25,"[C_INTERCO].[PARENTH1].[I_ALL]","I_ALL - 全部贸易伙伴","","000"))</f>
        <v/>
      </c>
      <c r="E25" s="13" t="n"/>
      <c r="F25" s="384" t="n"/>
      <c r="G25" s="384" t="n"/>
      <c r="H25" s="13" t="n"/>
      <c r="I25" s="13" t="n"/>
      <c r="J25" s="13" t="n"/>
      <c r="K25" s="13" t="n"/>
      <c r="L25" s="13" t="n"/>
      <c r="M25" s="13" t="n"/>
      <c r="N25" s="13" t="n"/>
      <c r="O25" s="13" t="n"/>
      <c r="P25" s="13" t="n"/>
      <c r="Q25" s="13" t="n"/>
      <c r="R25" s="13" t="n"/>
      <c r="S25" s="1103" t="n"/>
      <c r="T25" s="13" t="n"/>
      <c r="U25" s="13" t="n"/>
      <c r="V25" s="13" t="n"/>
      <c r="W25" s="13" t="n"/>
      <c r="X25" s="171" t="n"/>
      <c r="Y25" s="601" t="n"/>
      <c r="Z25" s="178" t="inlineStr">
        <is>
          <t>CATEGORY</t>
        </is>
      </c>
      <c r="AA25" s="178" t="inlineStr">
        <is>
          <t>C1001</t>
        </is>
      </c>
      <c r="AB25" s="178" t="inlineStr">
        <is>
          <t>C1001</t>
        </is>
      </c>
      <c r="AC25" s="178" t="inlineStr">
        <is>
          <t>C1001</t>
        </is>
      </c>
      <c r="AD25" s="178" t="inlineStr">
        <is>
          <t>C1001</t>
        </is>
      </c>
      <c r="AE25" s="178" t="inlineStr">
        <is>
          <t>C1001</t>
        </is>
      </c>
      <c r="AF25" s="178" t="inlineStr">
        <is>
          <t>C1001</t>
        </is>
      </c>
      <c r="AG25" s="178" t="inlineStr">
        <is>
          <t>C1001</t>
        </is>
      </c>
      <c r="AH25" s="178" t="inlineStr">
        <is>
          <t>C1001</t>
        </is>
      </c>
      <c r="AI25" s="178" t="n"/>
      <c r="AJ25" s="178" t="n"/>
      <c r="AK25" s="178" t="inlineStr">
        <is>
          <t>C1001</t>
        </is>
      </c>
      <c r="AL25" s="178" t="inlineStr">
        <is>
          <t>C1001</t>
        </is>
      </c>
      <c r="AM25" s="178" t="inlineStr">
        <is>
          <t>C1001</t>
        </is>
      </c>
      <c r="AN25" s="178" t="inlineStr">
        <is>
          <t>C1001</t>
        </is>
      </c>
      <c r="AO25" s="178" t="inlineStr">
        <is>
          <t>C1001</t>
        </is>
      </c>
      <c r="AP25" s="178" t="inlineStr">
        <is>
          <t>C3003</t>
        </is>
      </c>
      <c r="AQ25" s="514" t="n"/>
      <c r="AR25" s="13" t="n"/>
      <c r="AS25" s="13" t="n"/>
      <c r="AT25" s="178" t="inlineStr">
        <is>
          <t>C3003</t>
        </is>
      </c>
      <c r="AU25" s="514" t="n"/>
      <c r="AV25" s="13" t="n"/>
      <c r="AW25" s="13" t="n"/>
      <c r="AX25" s="178" t="inlineStr">
        <is>
          <t>C3002</t>
        </is>
      </c>
      <c r="AY25" s="514" t="n"/>
      <c r="AZ25" s="13" t="n"/>
      <c r="BA25" s="13" t="n"/>
    </row>
    <row r="26" hidden="1" customFormat="1" s="1021">
      <c r="A26" s="175" t="inlineStr">
        <is>
          <t>G</t>
        </is>
      </c>
      <c r="B26" s="176">
        <f>IF(_epmOfflineCondition_,"C_SCOPE",EPMDimensionType(,A26))</f>
        <v/>
      </c>
      <c r="C26" s="182" t="inlineStr">
        <is>
          <t>G_DUMMY</t>
        </is>
      </c>
      <c r="D26" s="390">
        <f>IF(_epmOfflineCondition_,"G_DUMMY",EPMOlapMemberO(E11,"[C_SCOPE].[PARENTH1].[G_DUMMY]","G_DUMMY - 合并范围无关","","000"))</f>
        <v/>
      </c>
      <c r="E26" s="13" t="n"/>
      <c r="F26" s="384" t="n"/>
      <c r="G26" s="384" t="n"/>
      <c r="H26" s="13" t="n"/>
      <c r="I26" s="13" t="n"/>
      <c r="J26" s="13" t="n"/>
      <c r="K26" s="13" t="n"/>
      <c r="L26" s="13" t="n"/>
      <c r="M26" s="13" t="n"/>
      <c r="N26" s="13" t="n"/>
      <c r="O26" s="13" t="n"/>
      <c r="P26" s="13" t="n"/>
      <c r="Q26" s="13" t="n"/>
      <c r="R26" s="13" t="n"/>
      <c r="S26" s="1103" t="n"/>
      <c r="T26" s="13" t="n"/>
      <c r="U26" s="13" t="n"/>
      <c r="V26" s="13" t="n"/>
      <c r="W26" s="13" t="n"/>
      <c r="X26" s="171" t="n"/>
      <c r="Y26" s="601" t="n"/>
      <c r="Z26" s="464" t="inlineStr">
        <is>
          <t>TIME</t>
        </is>
      </c>
      <c r="AA26" s="464">
        <f>$I$12</f>
        <v/>
      </c>
      <c r="AB26" s="464">
        <f>$I$11</f>
        <v/>
      </c>
      <c r="AC26" s="464">
        <f>$I$12</f>
        <v/>
      </c>
      <c r="AD26" s="464">
        <f>$J$15</f>
        <v/>
      </c>
      <c r="AE26" s="464" t="inlineStr">
        <is>
          <t>2023.02</t>
        </is>
      </c>
      <c r="AF26" s="464">
        <f>$I$11</f>
        <v/>
      </c>
      <c r="AG26" s="178">
        <f>$J$4</f>
        <v/>
      </c>
      <c r="AH26" s="200">
        <f>$I$13</f>
        <v/>
      </c>
      <c r="AI26" s="185" t="n"/>
      <c r="AJ26" s="185" t="n"/>
      <c r="AK26" s="13" t="n"/>
      <c r="AL26" s="384" t="n"/>
      <c r="AM26" s="13" t="n"/>
      <c r="AN26" s="13" t="n"/>
      <c r="AO26" s="13" t="n"/>
      <c r="AP26" s="13" t="n"/>
      <c r="AQ26" s="13" t="n"/>
      <c r="AR26" s="13" t="n"/>
      <c r="AS26" s="13" t="n"/>
      <c r="AT26" s="13" t="n"/>
      <c r="AU26" s="13" t="n"/>
      <c r="AV26" s="13" t="n"/>
      <c r="AW26" s="13" t="n"/>
      <c r="AX26" s="13">
        <f>$I$11</f>
        <v/>
      </c>
      <c r="AY26" s="13" t="n"/>
      <c r="AZ26" s="13" t="n"/>
      <c r="BA26" s="13" t="n"/>
    </row>
    <row r="27" hidden="1" customFormat="1" s="1021">
      <c r="A27" s="175" t="inlineStr">
        <is>
          <t>U8</t>
        </is>
      </c>
      <c r="B27" s="176">
        <f>IF(_epmOfflineCondition_,"C_PROJECT",EPMDimensionType(,A27))</f>
        <v/>
      </c>
      <c r="C27" s="180" t="inlineStr">
        <is>
          <t>ZP_ALL</t>
        </is>
      </c>
      <c r="D27" s="390">
        <f>IF(_epmOfflineCondition_,"ZP_ALL - 项目合计",EPMOlapMemberO("[C_PROJECT].[PARENTH1].[ZP_ALL]","","ZP_ALL - 项目合计","","000"))</f>
        <v/>
      </c>
      <c r="E27" s="13" t="n"/>
      <c r="F27" s="384" t="n"/>
      <c r="G27" s="384" t="n"/>
      <c r="H27" s="13" t="n"/>
      <c r="I27" s="13" t="n"/>
      <c r="J27" s="13" t="n"/>
      <c r="K27" s="13" t="n"/>
      <c r="L27" s="13" t="n"/>
      <c r="M27" s="13" t="n"/>
      <c r="N27" s="13" t="n"/>
      <c r="O27" s="13" t="n"/>
      <c r="P27" s="13" t="n"/>
      <c r="Q27" s="13" t="n"/>
      <c r="R27" s="13" t="n"/>
      <c r="S27" s="1103" t="n"/>
      <c r="T27" s="13" t="n"/>
      <c r="U27" s="13" t="n"/>
      <c r="V27" s="13" t="n"/>
      <c r="W27" s="13" t="n"/>
      <c r="X27" s="171" t="n"/>
      <c r="Y27" s="601" t="n"/>
      <c r="Z27" s="200" t="inlineStr">
        <is>
          <t>MEASURES</t>
        </is>
      </c>
      <c r="AA27" s="200" t="inlineStr">
        <is>
          <t>YTD</t>
        </is>
      </c>
      <c r="AB27" s="200" t="inlineStr">
        <is>
          <t>YTD</t>
        </is>
      </c>
      <c r="AC27" s="200" t="inlineStr">
        <is>
          <t>YTD</t>
        </is>
      </c>
      <c r="AD27" s="200" t="inlineStr">
        <is>
          <t>YTD</t>
        </is>
      </c>
      <c r="AE27" s="200" t="inlineStr">
        <is>
          <t>YTD</t>
        </is>
      </c>
      <c r="AF27" s="200" t="inlineStr">
        <is>
          <t>YTD</t>
        </is>
      </c>
      <c r="AG27" s="200" t="inlineStr">
        <is>
          <t>YTD</t>
        </is>
      </c>
      <c r="AH27" s="200" t="inlineStr">
        <is>
          <t>YTD</t>
        </is>
      </c>
      <c r="AI27" s="200" t="n"/>
      <c r="AJ27" s="200" t="n"/>
      <c r="AK27" s="200" t="inlineStr">
        <is>
          <t>YTD</t>
        </is>
      </c>
      <c r="AL27" s="200" t="inlineStr">
        <is>
          <t>YTD</t>
        </is>
      </c>
      <c r="AM27" s="200" t="inlineStr">
        <is>
          <t>YTD</t>
        </is>
      </c>
      <c r="AN27" s="200" t="inlineStr">
        <is>
          <t>YTD</t>
        </is>
      </c>
      <c r="AO27" s="200" t="inlineStr">
        <is>
          <t>YTD</t>
        </is>
      </c>
      <c r="AP27" s="200" t="inlineStr">
        <is>
          <t>YTD</t>
        </is>
      </c>
      <c r="AQ27" s="200" t="n"/>
      <c r="AR27" s="200" t="n"/>
      <c r="AS27" s="13" t="n"/>
      <c r="AT27" s="200" t="inlineStr">
        <is>
          <t>YTD</t>
        </is>
      </c>
      <c r="AU27" s="185" t="n"/>
      <c r="AV27" s="13" t="n"/>
      <c r="AW27" s="13" t="n"/>
      <c r="AX27" s="200" t="inlineStr">
        <is>
          <t>YTD</t>
        </is>
      </c>
      <c r="AY27" s="185" t="n"/>
      <c r="AZ27" s="13" t="n"/>
      <c r="BA27" s="13" t="n"/>
    </row>
    <row r="28" hidden="1" customFormat="1" s="1021">
      <c r="A28" s="175" t="inlineStr">
        <is>
          <t>U9</t>
        </is>
      </c>
      <c r="B28" s="176">
        <f>IF(_epmOfflineCondition_,"C_ITEM",EPMDimensionType(,A28))</f>
        <v/>
      </c>
      <c r="C28" s="180" t="inlineStr">
        <is>
          <t>ZI_ALL</t>
        </is>
      </c>
      <c r="D28" s="390">
        <f>IF(_epmOfflineCondition_,"ZI_DUMMY - 与子项无关",EPMOlapMemberO("[C_ITEM].[PARENTH1].[ZI_DUMMY]","","ZI_DUMMY - 与子项无关","","000"))</f>
        <v/>
      </c>
      <c r="E28" s="13" t="n"/>
      <c r="F28" s="384" t="n"/>
      <c r="G28" s="384" t="n"/>
      <c r="H28" s="13" t="n"/>
      <c r="I28" s="13" t="n"/>
      <c r="J28" s="13" t="n"/>
      <c r="K28" s="13" t="n"/>
      <c r="L28" s="13" t="n"/>
      <c r="M28" s="13" t="n"/>
      <c r="N28" s="13" t="n"/>
      <c r="O28" s="13" t="n"/>
      <c r="P28" s="13" t="n"/>
      <c r="Q28" s="13" t="n"/>
      <c r="R28" s="13" t="n"/>
      <c r="S28" s="1103" t="n"/>
      <c r="T28" s="13" t="n"/>
      <c r="U28" s="13" t="n"/>
      <c r="V28" s="13" t="n"/>
      <c r="W28" s="13" t="n"/>
      <c r="X28" s="171" t="n"/>
      <c r="Y28" s="601" t="n"/>
      <c r="Z28" s="200" t="inlineStr">
        <is>
          <t>FLOW</t>
        </is>
      </c>
      <c r="AA28" s="200" t="inlineStr">
        <is>
          <t>FMOV_OP</t>
        </is>
      </c>
      <c r="AB28" s="200" t="inlineStr">
        <is>
          <t>FMOV_OP</t>
        </is>
      </c>
      <c r="AC28" s="200" t="inlineStr">
        <is>
          <t>FMOV_OP</t>
        </is>
      </c>
      <c r="AD28" s="200" t="inlineStr">
        <is>
          <t>FMOV_OP</t>
        </is>
      </c>
      <c r="AE28" s="200" t="inlineStr">
        <is>
          <t>FMOV_OP</t>
        </is>
      </c>
      <c r="AF28" s="200" t="inlineStr">
        <is>
          <t>FMOV_OP</t>
        </is>
      </c>
      <c r="AG28" s="200" t="inlineStr">
        <is>
          <t>FMOV_OP</t>
        </is>
      </c>
      <c r="AH28" s="200" t="inlineStr">
        <is>
          <t>FMOV_OP</t>
        </is>
      </c>
      <c r="AI28" s="200" t="inlineStr">
        <is>
          <t>FMOV_OP</t>
        </is>
      </c>
      <c r="AJ28" s="200" t="inlineStr">
        <is>
          <t>FMOV_OP</t>
        </is>
      </c>
      <c r="AK28" s="200" t="inlineStr">
        <is>
          <t>FMOV_OP</t>
        </is>
      </c>
      <c r="AL28" s="200" t="inlineStr">
        <is>
          <t>FMOV_OP</t>
        </is>
      </c>
      <c r="AM28" s="200" t="inlineStr">
        <is>
          <t>FMOV_OP</t>
        </is>
      </c>
      <c r="AN28" s="200" t="inlineStr">
        <is>
          <t>FMOV_OP</t>
        </is>
      </c>
      <c r="AO28" s="200" t="inlineStr">
        <is>
          <t>FMOV_OP</t>
        </is>
      </c>
      <c r="AP28" s="200" t="inlineStr">
        <is>
          <t>FMOV_OP</t>
        </is>
      </c>
      <c r="AQ28" s="200" t="n"/>
      <c r="AR28" s="200" t="inlineStr">
        <is>
          <t>FMOV_OP</t>
        </is>
      </c>
      <c r="AS28" s="13" t="n"/>
      <c r="AT28" s="200" t="inlineStr">
        <is>
          <t>FMOV_OP</t>
        </is>
      </c>
      <c r="AU28" s="185" t="n"/>
      <c r="AV28" s="13" t="n"/>
      <c r="AW28" s="13" t="n"/>
      <c r="AX28" s="200" t="inlineStr">
        <is>
          <t>FMOV_OP</t>
        </is>
      </c>
      <c r="AY28" s="185" t="n"/>
      <c r="AZ28" s="13" t="n"/>
      <c r="BA28" s="13" t="n"/>
    </row>
    <row r="29" hidden="1" customFormat="1" s="1021">
      <c r="A29" s="175" t="inlineStr">
        <is>
          <t>U10</t>
        </is>
      </c>
      <c r="B29" s="176">
        <f>IF(_epmOfflineCondition_,"C_MISK",EPMDimensionType(,A29))</f>
        <v/>
      </c>
      <c r="C29" s="449" t="inlineStr">
        <is>
          <t>ZM_ALL</t>
        </is>
      </c>
      <c r="D29" s="390">
        <f>IF(_epmOfflineCondition_,"ZM_ALL - ALL",EPMOlapMemberO("[C_MISK].[PARENTH1].[ZM_ALL]","","ZM_ALL - ALL","","000"))</f>
        <v/>
      </c>
      <c r="E29" s="13" t="n"/>
      <c r="F29" s="384" t="n"/>
      <c r="G29" s="384" t="n"/>
      <c r="H29" s="13" t="n"/>
      <c r="I29" s="13" t="n"/>
      <c r="J29" s="13" t="n"/>
      <c r="K29" s="13" t="n"/>
      <c r="L29" s="13" t="n"/>
      <c r="M29" s="13" t="n"/>
      <c r="N29" s="13" t="n"/>
      <c r="O29" s="13" t="n"/>
      <c r="P29" s="13" t="n"/>
      <c r="Q29" s="13" t="n"/>
      <c r="R29" s="13" t="n"/>
      <c r="S29" s="1103" t="n"/>
      <c r="T29" s="13" t="n"/>
      <c r="U29" s="13" t="n"/>
      <c r="V29" s="13" t="n"/>
      <c r="W29" s="13" t="n"/>
      <c r="X29" s="171" t="n"/>
      <c r="Y29" s="601" t="n"/>
      <c r="Z29" s="200" t="inlineStr">
        <is>
          <t>AUDITTRAIL</t>
        </is>
      </c>
      <c r="AA29" s="200" t="inlineStr">
        <is>
          <t>DALL</t>
        </is>
      </c>
      <c r="AB29" s="200" t="inlineStr">
        <is>
          <t>DALL</t>
        </is>
      </c>
      <c r="AC29" s="200" t="inlineStr">
        <is>
          <t>DALL</t>
        </is>
      </c>
      <c r="AD29" s="200" t="inlineStr">
        <is>
          <t>DALL</t>
        </is>
      </c>
      <c r="AE29" s="200" t="inlineStr">
        <is>
          <t>DALL</t>
        </is>
      </c>
      <c r="AF29" s="200" t="inlineStr">
        <is>
          <t>DALL</t>
        </is>
      </c>
      <c r="AG29" s="200" t="inlineStr">
        <is>
          <t>DALL</t>
        </is>
      </c>
      <c r="AH29" s="200" t="inlineStr">
        <is>
          <t>DALL</t>
        </is>
      </c>
      <c r="AI29" s="200" t="inlineStr">
        <is>
          <t>DALL</t>
        </is>
      </c>
      <c r="AJ29" s="200" t="inlineStr">
        <is>
          <t>DALL</t>
        </is>
      </c>
      <c r="AK29" s="200" t="inlineStr">
        <is>
          <t>DALL</t>
        </is>
      </c>
      <c r="AL29" s="200" t="inlineStr">
        <is>
          <t>DALL</t>
        </is>
      </c>
      <c r="AM29" s="200" t="inlineStr">
        <is>
          <t>DALL</t>
        </is>
      </c>
      <c r="AN29" s="200" t="inlineStr">
        <is>
          <t>DALL</t>
        </is>
      </c>
      <c r="AO29" s="200" t="inlineStr">
        <is>
          <t>DALL</t>
        </is>
      </c>
      <c r="AP29" s="200" t="inlineStr">
        <is>
          <t>DALL</t>
        </is>
      </c>
      <c r="AQ29" s="185" t="n"/>
      <c r="AR29" s="13" t="n"/>
      <c r="AS29" s="13" t="n"/>
      <c r="AT29" s="200" t="inlineStr">
        <is>
          <t>DALL</t>
        </is>
      </c>
      <c r="AU29" s="185" t="n"/>
      <c r="AV29" s="13" t="n"/>
      <c r="AW29" s="13" t="n"/>
      <c r="AX29" s="200" t="inlineStr">
        <is>
          <t>DALL</t>
        </is>
      </c>
      <c r="AY29" s="185" t="n"/>
      <c r="AZ29" s="13" t="n"/>
      <c r="BA29" s="13" t="n"/>
    </row>
    <row r="30" hidden="1" customFormat="1" s="1021">
      <c r="A30" s="175" t="n"/>
      <c r="B30" s="175">
        <f>IF(_epmOfflineCondition_,"",EPMDimensionType(,A30))</f>
        <v/>
      </c>
      <c r="C30" s="182" t="inlineStr">
        <is>
          <t>PERIODIC</t>
        </is>
      </c>
      <c r="D30" s="390" t="n"/>
      <c r="E30" s="13" t="n"/>
      <c r="F30" s="384" t="n"/>
      <c r="G30" s="384" t="n"/>
      <c r="H30" s="13" t="n"/>
      <c r="I30" s="13" t="n"/>
      <c r="J30" s="13" t="n"/>
      <c r="K30" s="13" t="n"/>
      <c r="L30" s="13" t="n"/>
      <c r="M30" s="13" t="n"/>
      <c r="N30" s="13" t="n"/>
      <c r="O30" s="13" t="n"/>
      <c r="P30" s="13" t="n"/>
      <c r="Q30" s="13" t="n"/>
      <c r="R30" s="13" t="n"/>
      <c r="S30" s="1103" t="n"/>
      <c r="T30" s="13" t="n"/>
      <c r="U30" s="13" t="n"/>
      <c r="V30" s="13" t="n"/>
      <c r="W30" s="13" t="n"/>
      <c r="X30" s="171" t="n"/>
      <c r="Y30" s="601" t="n"/>
      <c r="Z30" s="13" t="n"/>
      <c r="AA30" s="13" t="n"/>
      <c r="AB30" s="13">
        <f>IF(_epmOfflineCondition_,"合并后",EPMMemberDesc(AA29))</f>
        <v/>
      </c>
      <c r="AC30" s="13">
        <f>IF(_epmOfflineCondition_,"合并后",EPMMemberDesc(AC29))</f>
        <v/>
      </c>
      <c r="AD30" s="13" t="n"/>
      <c r="AE30" s="13" t="n"/>
      <c r="AF30" s="13">
        <f>IF(_epmOfflineCondition_,"合并后",EPMMemberDesc(AF29))</f>
        <v/>
      </c>
      <c r="AG30" s="13">
        <f>IF(_epmOfflineCondition_,"合并后",EPMMemberDesc(AG29))</f>
        <v/>
      </c>
      <c r="AH30" s="13">
        <f>IF(_epmOfflineCondition_,"合并后",EPMMemberDesc(AH29))</f>
        <v/>
      </c>
      <c r="AI30" s="13" t="n"/>
      <c r="AJ30" s="13" t="n"/>
      <c r="AK30" s="13">
        <f>IF(_epmOfflineCondition_,"合并后",EPMMemberDesc(AK29))</f>
        <v/>
      </c>
      <c r="AL30" s="384" t="n"/>
      <c r="AM30" s="13" t="n"/>
      <c r="AN30" s="13" t="n"/>
      <c r="AO30" s="13" t="n"/>
      <c r="AP30" s="200" t="inlineStr">
        <is>
          <t>CNY</t>
        </is>
      </c>
      <c r="AQ30" s="13" t="n"/>
      <c r="AR30" s="13" t="n"/>
      <c r="AS30" s="13" t="n"/>
      <c r="AT30" s="200" t="inlineStr">
        <is>
          <t>CNY</t>
        </is>
      </c>
      <c r="AU30" s="13" t="n"/>
      <c r="AV30" s="13" t="n"/>
      <c r="AW30" s="13" t="n"/>
      <c r="AX30" s="200" t="inlineStr">
        <is>
          <t>CNY</t>
        </is>
      </c>
      <c r="AY30" s="13" t="n"/>
      <c r="AZ30" s="13" t="n"/>
      <c r="BA30" s="13" t="n"/>
    </row>
    <row r="31" hidden="1" customFormat="1" s="1021">
      <c r="A31" s="13" t="n"/>
      <c r="B31" s="1103" t="n"/>
      <c r="C31" s="1103" t="n"/>
      <c r="D31" s="1103" t="n"/>
      <c r="E31" s="13" t="n"/>
      <c r="F31" s="13" t="n"/>
      <c r="G31" s="13" t="n"/>
      <c r="H31" s="13" t="n"/>
      <c r="I31" s="13" t="n"/>
      <c r="J31" s="13" t="n"/>
      <c r="K31" s="13" t="n"/>
      <c r="L31" s="13" t="n"/>
      <c r="M31" s="13" t="n"/>
      <c r="N31" s="13" t="n"/>
      <c r="O31" s="13" t="n"/>
      <c r="P31" s="13" t="n"/>
      <c r="Q31" s="13" t="n"/>
      <c r="R31" s="13" t="n"/>
      <c r="S31" s="1103" t="n"/>
      <c r="T31" s="13" t="n"/>
      <c r="U31" s="13" t="n"/>
      <c r="V31" s="13" t="n"/>
      <c r="W31" s="13" t="n"/>
      <c r="X31" s="171" t="n"/>
      <c r="Y31" s="601" t="n"/>
      <c r="Z31" s="13" t="n"/>
      <c r="AA31" s="13" t="n"/>
      <c r="AB31" s="13" t="n"/>
      <c r="AC31" s="13" t="n"/>
      <c r="AD31" s="13" t="n"/>
      <c r="AE31" s="13" t="n"/>
      <c r="AF31" s="13" t="n"/>
      <c r="AG31" s="13" t="n"/>
      <c r="AH31" s="13" t="n"/>
      <c r="AI31" s="13" t="n"/>
      <c r="AJ31" s="13" t="n"/>
      <c r="AK31" s="13" t="n"/>
      <c r="AL31" s="13" t="n"/>
      <c r="AM31" s="13" t="n"/>
      <c r="AN31" s="13" t="n"/>
      <c r="AO31" s="13" t="n"/>
      <c r="AP31" s="13" t="n"/>
      <c r="AQ31" s="13" t="n"/>
      <c r="AR31" s="13" t="n"/>
      <c r="AS31" s="13" t="n"/>
      <c r="AT31" s="13" t="n"/>
      <c r="AU31" s="13" t="n"/>
      <c r="AV31" s="13" t="n"/>
      <c r="AW31" s="13" t="n"/>
      <c r="AX31" s="13" t="n"/>
      <c r="AY31" s="13" t="n"/>
      <c r="AZ31" s="13" t="n"/>
      <c r="BA31" s="13" t="n"/>
    </row>
    <row r="32" customFormat="1" s="1021">
      <c r="A32" s="13" t="n"/>
      <c r="B32" s="1103" t="n"/>
      <c r="C32" s="1103" t="n"/>
      <c r="D32" s="1103" t="n"/>
      <c r="E32" s="13" t="n"/>
      <c r="F32" s="13" t="n"/>
      <c r="G32" s="13" t="n"/>
      <c r="H32" s="13" t="n"/>
      <c r="I32" s="13" t="n"/>
      <c r="J32" s="13" t="n"/>
      <c r="K32" s="13" t="n"/>
      <c r="L32" s="13" t="n"/>
      <c r="M32" s="13" t="n"/>
      <c r="N32" s="13" t="n"/>
      <c r="O32" s="13" t="n"/>
      <c r="P32" s="13" t="n"/>
      <c r="Q32" s="13" t="n"/>
      <c r="R32" s="13" t="n"/>
      <c r="S32" s="1103" t="n"/>
      <c r="T32" s="13" t="n"/>
      <c r="U32" s="13" t="n"/>
      <c r="V32" s="13" t="n"/>
      <c r="W32" s="13" t="n"/>
      <c r="X32" s="171" t="n"/>
      <c r="Y32" s="601" t="n"/>
      <c r="Z32" s="13" t="n"/>
      <c r="AA32" s="13" t="n"/>
      <c r="AB32" s="13" t="n"/>
      <c r="AC32" s="13" t="n"/>
      <c r="AD32" s="13" t="n"/>
      <c r="AE32" s="13" t="n"/>
      <c r="AF32" s="13" t="n"/>
      <c r="AG32" s="13" t="n"/>
      <c r="AH32" s="13" t="n"/>
      <c r="AI32" s="13" t="n"/>
      <c r="AJ32" s="13" t="n"/>
      <c r="AK32" s="13" t="n"/>
      <c r="AL32" s="13" t="n"/>
      <c r="AM32" s="13" t="n"/>
      <c r="AN32" s="13" t="n"/>
      <c r="AO32" s="13" t="n"/>
      <c r="AP32" s="13" t="n"/>
      <c r="AQ32" s="13" t="n"/>
      <c r="AR32" s="13" t="n"/>
      <c r="AS32" s="13" t="n"/>
      <c r="AT32" s="13" t="n"/>
      <c r="AU32" s="13" t="n"/>
      <c r="AV32" s="13" t="n"/>
      <c r="AW32" s="13" t="n"/>
      <c r="AX32" s="13" t="n"/>
      <c r="AY32" s="13" t="n"/>
      <c r="AZ32" s="13" t="n"/>
      <c r="BA32" s="13" t="n"/>
    </row>
    <row r="33" customFormat="1" s="1021">
      <c r="A33" s="13" t="n"/>
      <c r="B33" s="1103" t="n"/>
      <c r="C33" s="1103" t="n"/>
      <c r="D33" s="1103" t="n"/>
      <c r="E33" s="13" t="n"/>
      <c r="F33" s="13" t="n"/>
      <c r="G33" s="13" t="n"/>
      <c r="H33" s="13" t="n"/>
      <c r="I33" s="13" t="n"/>
      <c r="J33" s="13" t="n"/>
      <c r="K33" s="13" t="n"/>
      <c r="L33" s="13" t="n"/>
      <c r="M33" s="13" t="n"/>
      <c r="N33" s="13" t="n"/>
      <c r="O33" s="13" t="n"/>
      <c r="P33" s="13" t="n"/>
      <c r="Q33" s="13" t="n"/>
      <c r="R33" s="13" t="n"/>
      <c r="S33" s="1103" t="n"/>
      <c r="T33" s="13" t="n"/>
      <c r="U33" s="13" t="n"/>
      <c r="V33" s="13" t="n"/>
      <c r="W33" s="13" t="n"/>
      <c r="X33" s="171" t="n"/>
      <c r="Y33" s="601" t="n"/>
      <c r="Z33" s="13" t="n"/>
      <c r="AA33" s="13" t="n"/>
      <c r="AB33" s="13" t="n"/>
      <c r="AC33" s="13" t="n"/>
      <c r="AD33" s="13" t="n"/>
      <c r="AE33" s="13" t="n"/>
      <c r="AF33" s="13" t="n"/>
      <c r="AG33" s="13" t="n"/>
      <c r="AH33" s="13" t="n"/>
      <c r="AI33" s="13" t="n"/>
      <c r="AJ33" s="13" t="n"/>
      <c r="AK33" s="13" t="n"/>
      <c r="AL33" s="13" t="n"/>
      <c r="AM33" s="13" t="n"/>
      <c r="AN33" s="13" t="n"/>
      <c r="AO33" s="13" t="n"/>
      <c r="AP33" s="13" t="n"/>
      <c r="AQ33" s="13" t="n"/>
      <c r="AR33" s="13" t="n"/>
      <c r="AS33" s="13" t="n"/>
      <c r="AT33" s="13" t="n"/>
      <c r="AU33" s="13" t="n"/>
      <c r="AV33" s="13" t="n"/>
      <c r="AW33" s="13" t="n"/>
      <c r="AX33" s="13" t="n"/>
      <c r="AY33" s="13" t="n"/>
      <c r="AZ33" s="13" t="n"/>
      <c r="BA33" s="13" t="n"/>
    </row>
    <row r="34" ht="10.5" customFormat="1" customHeight="1" s="1021">
      <c r="A34" s="13" t="n"/>
      <c r="B34" s="1103" t="n"/>
      <c r="C34" s="1103" t="n"/>
      <c r="D34" s="1103" t="n"/>
      <c r="E34" s="13" t="n"/>
      <c r="F34" s="13" t="n"/>
      <c r="G34" s="13" t="n"/>
      <c r="H34" s="13" t="n"/>
      <c r="I34" s="13" t="n"/>
      <c r="J34" s="13" t="n"/>
      <c r="K34" s="13" t="n"/>
      <c r="L34" s="13" t="n"/>
      <c r="M34" s="13" t="n"/>
      <c r="N34" s="13" t="n"/>
      <c r="O34" s="13" t="n"/>
      <c r="P34" s="13" t="n"/>
      <c r="Q34" s="13" t="n"/>
      <c r="R34" s="13" t="n"/>
      <c r="S34" s="1103" t="n"/>
      <c r="T34" s="13" t="n"/>
      <c r="U34" s="13" t="n"/>
      <c r="V34" s="13" t="n"/>
      <c r="W34" s="13" t="n"/>
      <c r="X34" s="171" t="n"/>
      <c r="Y34" s="601" t="n"/>
      <c r="Z34" s="13" t="n"/>
      <c r="AA34" s="13" t="n"/>
      <c r="AB34" s="13" t="n"/>
      <c r="AC34" s="13" t="n"/>
      <c r="AD34" s="13" t="n"/>
      <c r="AE34" s="13" t="n"/>
      <c r="AF34" s="13" t="n"/>
      <c r="AG34" s="13" t="n"/>
      <c r="AH34" s="13" t="n"/>
      <c r="AI34" s="13" t="n"/>
      <c r="AJ34" s="13" t="n"/>
      <c r="AK34" s="13" t="n"/>
      <c r="AL34" s="13" t="n"/>
      <c r="AM34" s="13" t="n"/>
      <c r="AN34" s="13" t="n"/>
      <c r="AO34" s="13" t="n"/>
      <c r="AP34" s="13" t="n"/>
      <c r="AQ34" s="13" t="n"/>
      <c r="AR34" s="13" t="n"/>
      <c r="AS34" s="13" t="n"/>
      <c r="AT34" s="13" t="n"/>
      <c r="AU34" s="13" t="n"/>
      <c r="AV34" s="13" t="n"/>
      <c r="AW34" s="13" t="n"/>
      <c r="AX34" s="13" t="n"/>
      <c r="AY34" s="13" t="n"/>
      <c r="AZ34" s="13" t="n"/>
      <c r="BA34" s="13" t="n"/>
    </row>
    <row r="35" ht="32.25" customFormat="1" customHeight="1" s="1022">
      <c r="A35" s="384" t="n"/>
      <c r="B35" s="384" t="n"/>
      <c r="C35" s="384" t="n"/>
      <c r="D35" s="384" t="n"/>
      <c r="E35" s="384" t="n"/>
      <c r="F35" s="384" t="n"/>
      <c r="G35" s="384" t="n"/>
      <c r="H35" s="384" t="n"/>
      <c r="I35" s="384" t="n"/>
      <c r="J35" s="384" t="n"/>
      <c r="K35" s="384" t="n"/>
      <c r="L35" s="384" t="n"/>
      <c r="M35" s="384" t="n"/>
      <c r="N35" s="384" t="n"/>
      <c r="O35" s="384" t="n"/>
      <c r="P35" s="384" t="n"/>
      <c r="Q35" s="384" t="n"/>
      <c r="R35" s="384" t="n"/>
      <c r="S35" s="32" t="n"/>
      <c r="T35" s="384" t="n"/>
      <c r="U35" s="384" t="n"/>
      <c r="V35" s="384" t="n"/>
      <c r="W35" s="384" t="n"/>
      <c r="X35" s="38" t="n"/>
      <c r="Y35" s="706" t="n"/>
      <c r="Z35" s="760" t="n"/>
      <c r="AA35" s="760" t="n"/>
      <c r="AB35" s="220" t="n"/>
      <c r="AC35" s="465" t="n"/>
      <c r="AD35" s="465" t="n"/>
      <c r="AE35" s="465" t="n"/>
      <c r="AF35" s="384" t="n"/>
      <c r="AG35" s="465" t="n"/>
      <c r="AH35" s="465" t="inlineStr">
        <is>
          <t>利润表比较表</t>
        </is>
      </c>
      <c r="AI35" s="465" t="n"/>
      <c r="AJ35" s="465" t="n"/>
      <c r="AK35" s="384" t="n"/>
      <c r="AL35" s="384" t="n"/>
      <c r="AM35" s="384" t="n"/>
      <c r="AN35" s="384" t="n"/>
      <c r="AO35" s="384" t="n"/>
      <c r="AP35" s="384" t="n"/>
      <c r="AQ35" s="384" t="n"/>
      <c r="AR35" s="384" t="n"/>
      <c r="AS35" s="384" t="n"/>
      <c r="AT35" s="384" t="n"/>
      <c r="AU35" s="384" t="n"/>
      <c r="AV35" s="384" t="n"/>
      <c r="AW35" s="384" t="n"/>
      <c r="AX35" s="384" t="n"/>
      <c r="AY35" s="384" t="n"/>
      <c r="AZ35" s="384" t="n"/>
      <c r="BA35" s="384" t="n"/>
    </row>
    <row r="36" ht="15.2" customFormat="1" customHeight="1" s="1023">
      <c r="A36" s="716" t="n"/>
      <c r="B36" s="716" t="n"/>
      <c r="C36" s="716" t="n"/>
      <c r="D36" s="716" t="n"/>
      <c r="E36" s="716" t="n"/>
      <c r="F36" s="716" t="n"/>
      <c r="G36" s="716" t="n"/>
      <c r="H36" s="716" t="n"/>
      <c r="I36" s="716" t="n"/>
      <c r="J36" s="716" t="n"/>
      <c r="K36" s="716" t="n"/>
      <c r="L36" s="716" t="n"/>
      <c r="M36" s="716" t="n"/>
      <c r="N36" s="716" t="n"/>
      <c r="O36" s="716" t="n"/>
      <c r="P36" s="716" t="n"/>
      <c r="Q36" s="716" t="n"/>
      <c r="R36" s="716" t="n"/>
      <c r="S36" s="462" t="n"/>
      <c r="T36" s="716" t="n"/>
      <c r="U36" s="716" t="n"/>
      <c r="V36" s="716" t="n"/>
      <c r="W36" s="716" t="n"/>
      <c r="X36" s="190">
        <f>IF(_epmOfflineCondition_,"编制单位：内蒙古京能苏尼特风力发电有限公司（内蒙古分公司）","编制单位："&amp;EPMMemberDesc($D$6))</f>
        <v/>
      </c>
      <c r="Y36" s="707" t="n"/>
      <c r="Z36" s="760" t="n"/>
      <c r="AA36" s="760" t="n"/>
      <c r="AB36" s="1024" t="n"/>
      <c r="AC36" s="716" t="n"/>
      <c r="AD36" s="716" t="n"/>
      <c r="AE36" s="716" t="n"/>
      <c r="AF36" s="716" t="n"/>
      <c r="AG36" s="716" t="n"/>
      <c r="AH36" s="716" t="n"/>
      <c r="AI36" s="716" t="n"/>
      <c r="AJ36" s="716" t="n"/>
      <c r="AK36" s="716" t="n"/>
      <c r="AL36" s="716" t="n"/>
      <c r="AM36" s="716" t="n"/>
      <c r="AN36" s="716" t="n"/>
      <c r="AO36" s="716" t="n"/>
      <c r="AP36" s="716" t="n"/>
      <c r="AQ36" s="716" t="n"/>
      <c r="AR36" s="716" t="n"/>
      <c r="AS36" s="716" t="n"/>
      <c r="AT36" s="716" t="n"/>
      <c r="AU36" s="716" t="n"/>
      <c r="AV36" s="716" t="n"/>
      <c r="AW36" s="716" t="n"/>
      <c r="AX36" s="716" t="n"/>
      <c r="AY36" s="716" t="n"/>
      <c r="AZ36" s="716" t="n"/>
      <c r="BA36" s="716" t="n"/>
    </row>
    <row r="37" ht="15.2" customFormat="1" customHeight="1" s="1023">
      <c r="A37" s="716" t="n"/>
      <c r="B37" s="716" t="n"/>
      <c r="C37" s="716" t="n"/>
      <c r="D37" s="716" t="n"/>
      <c r="E37" s="716" t="n"/>
      <c r="F37" s="716" t="n"/>
      <c r="G37" s="716" t="n"/>
      <c r="H37" s="716" t="n"/>
      <c r="I37" s="716" t="n"/>
      <c r="J37" s="716" t="n"/>
      <c r="K37" s="716" t="n"/>
      <c r="L37" s="716" t="n"/>
      <c r="M37" s="716" t="n"/>
      <c r="N37" s="716" t="n"/>
      <c r="O37" s="716" t="n"/>
      <c r="P37" s="716" t="n"/>
      <c r="Q37" s="716" t="n"/>
      <c r="R37" s="716" t="n"/>
      <c r="S37" s="462" t="n"/>
      <c r="T37" s="716" t="n"/>
      <c r="U37" s="716" t="n"/>
      <c r="V37" s="716" t="n"/>
      <c r="W37" s="716" t="n"/>
      <c r="X37" s="190">
        <f>"编制月份："&amp;$I$3&amp;"年"&amp;$I$8&amp;"月"</f>
        <v/>
      </c>
      <c r="Y37" s="190" t="inlineStr">
        <is>
          <t>币种：</t>
        </is>
      </c>
      <c r="Z37" s="716" t="inlineStr">
        <is>
          <t>LC</t>
        </is>
      </c>
      <c r="AA37" s="716" t="inlineStr">
        <is>
          <t>操作提示：表单默认币种LC（本位币），外币记账单位，可点击左侧，更换币种，更换后点击EPM选项卡中的“刷新”按钮</t>
        </is>
      </c>
      <c r="AB37" s="716" t="n"/>
      <c r="AC37" s="716" t="n"/>
      <c r="AD37" s="716" t="n"/>
      <c r="AE37" s="716" t="n"/>
      <c r="AF37" s="716" t="n"/>
      <c r="AG37" s="716" t="n"/>
      <c r="AH37" s="716" t="n"/>
      <c r="AI37" s="716" t="n"/>
      <c r="AJ37" s="716" t="n"/>
      <c r="AK37" s="716" t="n"/>
      <c r="AL37" s="716" t="n"/>
      <c r="AM37" s="716" t="n"/>
      <c r="AN37" s="716" t="n"/>
      <c r="AO37" s="190" t="n"/>
      <c r="AP37" s="716" t="n"/>
      <c r="AQ37" s="716" t="n"/>
      <c r="AR37" s="716" t="n"/>
      <c r="AS37" s="716" t="n"/>
      <c r="AT37" s="716" t="n"/>
      <c r="AU37" s="716" t="n"/>
      <c r="AV37" s="716" t="n"/>
      <c r="AW37" s="716" t="n"/>
      <c r="AX37" s="716" t="n"/>
      <c r="AY37" s="716" t="n"/>
      <c r="AZ37" s="716" t="n"/>
      <c r="BA37" s="190" t="inlineStr">
        <is>
          <t>金额单位：元</t>
        </is>
      </c>
    </row>
    <row r="38" ht="15.2" customFormat="1" customHeight="1" s="1024">
      <c r="A38" s="716" t="n"/>
      <c r="B38" s="716" t="n"/>
      <c r="C38" s="716" t="n"/>
      <c r="D38" s="716" t="n"/>
      <c r="E38" s="716" t="n"/>
      <c r="F38" s="716" t="n"/>
      <c r="G38" s="716" t="n"/>
      <c r="H38" s="716" t="n"/>
      <c r="I38" s="716" t="n"/>
      <c r="J38" s="716" t="n"/>
      <c r="K38" s="716" t="n"/>
      <c r="L38" s="716" t="n"/>
      <c r="M38" s="716" t="n"/>
      <c r="N38" s="716" t="n"/>
      <c r="O38" s="716" t="n"/>
      <c r="P38" s="716" t="n"/>
      <c r="Q38" s="716" t="n"/>
      <c r="R38" s="716" t="n"/>
      <c r="S38" s="462" t="n"/>
      <c r="T38" s="716" t="n"/>
      <c r="U38" s="716" t="n"/>
      <c r="V38" s="716" t="n"/>
      <c r="W38" s="716" t="n"/>
      <c r="X38" s="450" t="inlineStr">
        <is>
          <t>项目</t>
        </is>
      </c>
      <c r="Y38" s="450" t="inlineStr">
        <is>
          <t>行次</t>
        </is>
      </c>
      <c r="Z38" s="1256" t="inlineStr">
        <is>
          <t>本年实际</t>
        </is>
      </c>
      <c r="AA38" s="1182" t="n"/>
      <c r="AB38" s="1183" t="n"/>
      <c r="AC38" s="1256" t="inlineStr">
        <is>
          <t>本月对比上月</t>
        </is>
      </c>
      <c r="AD38" s="1182" t="n"/>
      <c r="AE38" s="1182" t="n"/>
      <c r="AF38" s="1182" t="n"/>
      <c r="AG38" s="1183" t="n"/>
      <c r="AH38" s="1256" t="inlineStr">
        <is>
          <t>本月对比上年同期</t>
        </is>
      </c>
      <c r="AI38" s="1182" t="n"/>
      <c r="AJ38" s="1182" t="n"/>
      <c r="AK38" s="1182" t="n"/>
      <c r="AL38" s="1183" t="n"/>
      <c r="AM38" s="1256" t="inlineStr">
        <is>
          <t>本年累计对比上年同期累计</t>
        </is>
      </c>
      <c r="AN38" s="1182" t="n"/>
      <c r="AO38" s="1183" t="n"/>
      <c r="AP38" s="712" t="inlineStr">
        <is>
          <t xml:space="preserve"> 本月预算完成情况 </t>
        </is>
      </c>
      <c r="AQ38" s="1182" t="n"/>
      <c r="AR38" s="1182" t="n"/>
      <c r="AS38" s="1183" t="n"/>
      <c r="AT38" s="712" t="inlineStr">
        <is>
          <t xml:space="preserve"> 进度预算完成情况 </t>
        </is>
      </c>
      <c r="AU38" s="1182" t="n"/>
      <c r="AV38" s="1182" t="n"/>
      <c r="AW38" s="1183" t="n"/>
      <c r="AX38" s="712" t="inlineStr">
        <is>
          <t xml:space="preserve"> 年度预算完成情况 </t>
        </is>
      </c>
      <c r="AY38" s="1182" t="n"/>
      <c r="AZ38" s="1182" t="n"/>
      <c r="BA38" s="1183" t="n"/>
    </row>
    <row r="39" ht="15.2" customFormat="1" customHeight="1" s="1024">
      <c r="A39" s="716" t="n"/>
      <c r="B39" s="716" t="n"/>
      <c r="C39" s="716" t="n"/>
      <c r="D39" s="716" t="n"/>
      <c r="E39" s="716" t="n"/>
      <c r="F39" s="716" t="n"/>
      <c r="G39" s="716" t="n"/>
      <c r="H39" s="716" t="n"/>
      <c r="I39" s="716" t="n"/>
      <c r="J39" s="716" t="n"/>
      <c r="K39" s="716" t="n"/>
      <c r="L39" s="716" t="n"/>
      <c r="M39" s="716" t="n"/>
      <c r="N39" s="716" t="n"/>
      <c r="O39" s="716" t="n"/>
      <c r="P39" s="716" t="n"/>
      <c r="Q39" s="716" t="n"/>
      <c r="R39" s="716" t="n"/>
      <c r="S39" s="462" t="n"/>
      <c r="T39" s="716" t="n"/>
      <c r="U39" s="716" t="n"/>
      <c r="V39" s="716" t="n"/>
      <c r="W39" s="716" t="n"/>
      <c r="X39" s="1184" t="n"/>
      <c r="Y39" s="1184" t="n"/>
      <c r="Z39" s="1256" t="inlineStr">
        <is>
          <t>本月数</t>
        </is>
      </c>
      <c r="AA39" s="1257" t="inlineStr">
        <is>
          <t>截止到上月年累计(此列需要隐藏）</t>
        </is>
      </c>
      <c r="AB39" s="1256" t="inlineStr">
        <is>
          <t>本年累计</t>
        </is>
      </c>
      <c r="AC39" s="1256" t="inlineStr">
        <is>
          <t>上月数</t>
        </is>
      </c>
      <c r="AD39" s="1257" t="inlineStr">
        <is>
          <t>截止到上上月年累计(此列需要隐藏）</t>
        </is>
      </c>
      <c r="AE39" s="1257" t="inlineStr">
        <is>
          <t>截止到上月年累计(此列需要隐藏）</t>
        </is>
      </c>
      <c r="AF39" s="1256" t="inlineStr">
        <is>
          <t>增减额</t>
        </is>
      </c>
      <c r="AG39" s="1256" t="inlineStr">
        <is>
          <t>增减（%）</t>
        </is>
      </c>
      <c r="AH39" s="1256" t="inlineStr">
        <is>
          <t>上年同期</t>
        </is>
      </c>
      <c r="AI39" s="1257" t="inlineStr">
        <is>
          <t>上年上月同期累计(此列需要隐藏）</t>
        </is>
      </c>
      <c r="AJ39" s="1257" t="inlineStr">
        <is>
          <t>上年同月同期累计(此列需要隐藏）</t>
        </is>
      </c>
      <c r="AK39" s="1256" t="inlineStr">
        <is>
          <t>增减额</t>
        </is>
      </c>
      <c r="AL39" s="1256" t="inlineStr">
        <is>
          <t>增减（%）</t>
        </is>
      </c>
      <c r="AM39" s="1256" t="inlineStr">
        <is>
          <t>上年同期累计</t>
        </is>
      </c>
      <c r="AN39" s="1256" t="inlineStr">
        <is>
          <t>增减额</t>
        </is>
      </c>
      <c r="AO39" s="1256" t="inlineStr">
        <is>
          <t>增减（%）</t>
        </is>
      </c>
      <c r="AP39" s="762" t="inlineStr">
        <is>
          <t xml:space="preserve"> 月度预算 </t>
        </is>
      </c>
      <c r="AQ39" s="712" t="inlineStr">
        <is>
          <t xml:space="preserve"> 月度预算 </t>
        </is>
      </c>
      <c r="AR39" s="712" t="inlineStr">
        <is>
          <t xml:space="preserve"> 增减额 </t>
        </is>
      </c>
      <c r="AS39" s="712" t="inlineStr">
        <is>
          <t xml:space="preserve"> 完成预算% </t>
        </is>
      </c>
      <c r="AT39" s="762" t="inlineStr">
        <is>
          <t xml:space="preserve"> 进度预算数 </t>
        </is>
      </c>
      <c r="AU39" s="712" t="inlineStr">
        <is>
          <t xml:space="preserve"> 进度预算数 </t>
        </is>
      </c>
      <c r="AV39" s="712" t="inlineStr">
        <is>
          <t xml:space="preserve"> 增减额 </t>
        </is>
      </c>
      <c r="AW39" s="712" t="inlineStr">
        <is>
          <t xml:space="preserve"> 完成预算% </t>
        </is>
      </c>
      <c r="AX39" s="762" t="inlineStr">
        <is>
          <t xml:space="preserve"> 本年预算数 </t>
        </is>
      </c>
      <c r="AY39" s="712" t="inlineStr">
        <is>
          <t xml:space="preserve"> 本年预算数 </t>
        </is>
      </c>
      <c r="AZ39" s="712" t="inlineStr">
        <is>
          <t xml:space="preserve"> 增减额 </t>
        </is>
      </c>
      <c r="BA39" s="712" t="inlineStr">
        <is>
          <t xml:space="preserve"> 完成预算% </t>
        </is>
      </c>
    </row>
    <row r="40" hidden="1" customFormat="1" s="716">
      <c r="A40" s="716" t="n"/>
      <c r="B40" s="716" t="n"/>
      <c r="C40" s="716" t="n"/>
      <c r="D40" s="716" t="n"/>
      <c r="E40" s="716" t="n"/>
      <c r="F40" s="716" t="n"/>
      <c r="G40" s="716" t="n"/>
      <c r="H40" s="716" t="n"/>
      <c r="I40" s="716" t="n"/>
      <c r="J40" s="716" t="n"/>
      <c r="K40" s="716" t="n"/>
      <c r="L40" s="716" t="n"/>
      <c r="M40" s="716" t="n"/>
      <c r="N40" s="716" t="n"/>
      <c r="O40" s="716" t="n"/>
      <c r="P40" s="716" t="n"/>
      <c r="Q40" s="716" t="n"/>
      <c r="R40" s="716" t="n"/>
      <c r="S40" s="462" t="n"/>
      <c r="T40" s="716" t="n"/>
      <c r="U40" s="716" t="n"/>
      <c r="V40" s="716" t="n"/>
      <c r="W40" s="716" t="n"/>
      <c r="X40" s="707" t="inlineStr">
        <is>
          <t>币种</t>
        </is>
      </c>
      <c r="Y40" s="707" t="n"/>
      <c r="Z40" s="1258" t="n"/>
      <c r="AA40" s="390">
        <f>IF(_epmOfflineCondition_,"LC",EPMOlapMemberO($Z$37,"[C_RPTCURRENCY].[].[LC]","LC - 本位币","","000"))</f>
        <v/>
      </c>
      <c r="AB40" s="390">
        <f>IF(_epmOfflineCondition_,"LC",EPMOlapMemberO($Z$37,"[C_RPTCURRENCY].[].[LC]","LC - 本位币","","000"))</f>
        <v/>
      </c>
      <c r="AC40" s="1258" t="n"/>
      <c r="AD40" s="390">
        <f>IF(_epmOfflineCondition_,"LC",EPMOlapMemberO($Z$37,"[C_RPTCURRENCY].[].[LC]","LC - 本位币","","000"))</f>
        <v/>
      </c>
      <c r="AE40" s="1000">
        <f>IF(_epmOfflineCondition_,"LC",EPMOlapMemberO($Z$37,"[C_RPTCURRENCY].[].[LC]","LC - 本位币","","000"))</f>
        <v/>
      </c>
      <c r="AF40" s="1258" t="n"/>
      <c r="AG40" s="1258" t="n"/>
      <c r="AH40" s="1258" t="n"/>
      <c r="AI40" s="390">
        <f>IF(_epmOfflineCondition_,"LC",EPMOlapMemberO($Z$37,"[C_RPTCURRENCY].[].[LC]","LC - 本位币","","000"))</f>
        <v/>
      </c>
      <c r="AJ40" s="390">
        <f>IF(_epmOfflineCondition_,"LC",EPMOlapMemberO($Z$37,"[C_RPTCURRENCY].[].[LC]","LC - 本位币","","000"))</f>
        <v/>
      </c>
      <c r="AK40" s="390">
        <f>IF(_epmOfflineCondition_,"LC",EPMOlapMemberO($Z$37,"[C_RPTCURRENCY].[].[LC]","LC - 本位币","","000"))</f>
        <v/>
      </c>
      <c r="AL40" s="390">
        <f>IF(_epmOfflineCondition_,"LC",EPMOlapMemberO($Z$37,"[C_RPTCURRENCY].[].[LC]","LC - 本位币","","000"))</f>
        <v/>
      </c>
      <c r="AM40" s="390">
        <f>IF(_epmOfflineCondition_,"LC",EPMOlapMemberO($Z$37,"[C_RPTCURRENCY].[].[LC]","LC - 本位币","","000"))</f>
        <v/>
      </c>
      <c r="AN40" s="390">
        <f>IF(_epmOfflineCondition_,"LC",EPMOlapMemberO($Z$37,"[C_RPTCURRENCY].[].[LC]","LC - 本位币","","000"))</f>
        <v/>
      </c>
      <c r="AO40" s="390">
        <f>IF(_epmOfflineCondition_,"LC",EPMOlapMemberO($Z$37,"[C_RPTCURRENCY].[].[LC]","LC - 本位币","","000"))</f>
        <v/>
      </c>
      <c r="AP40" s="390">
        <f>IF(_epmOfflineCondition_,"CNY",EPMOlapMemberO(AP30,"[C_RPTCURRENCY].[].[CNY]","CNY - 人民币","","000"))</f>
        <v/>
      </c>
      <c r="AQ40" s="390" t="n"/>
      <c r="AR40" s="693" t="n"/>
      <c r="AS40" s="693" t="n"/>
      <c r="AT40" s="390">
        <f>IF(_epmOfflineCondition_,"CNY",EPMOlapMemberO(AT30,"[C_RPTCURRENCY].[].[CNY]","CNY - 人民币","","000"))</f>
        <v/>
      </c>
      <c r="AU40" s="693" t="n"/>
      <c r="AV40" s="693" t="n"/>
      <c r="AW40" s="693" t="n"/>
      <c r="AX40" s="390">
        <f>IF(_epmOfflineCondition_,"CNY",EPMOlapMemberO(AX30,"[C_RPTCURRENCY].[].[CNY]","CNY - 人民币","","000"))</f>
        <v/>
      </c>
      <c r="AY40" s="693" t="n"/>
      <c r="AZ40" s="693" t="n"/>
      <c r="BA40" s="693" t="n"/>
    </row>
    <row r="41" hidden="1" ht="14.25" customFormat="1" customHeight="1" s="1024">
      <c r="A41" s="716" t="n"/>
      <c r="B41" s="716" t="n"/>
      <c r="C41" s="716" t="n"/>
      <c r="D41" s="716" t="n"/>
      <c r="E41" s="716" t="n"/>
      <c r="F41" s="716" t="n"/>
      <c r="G41" s="716" t="n"/>
      <c r="H41" s="716" t="n"/>
      <c r="I41" s="716" t="n"/>
      <c r="J41" s="716" t="n"/>
      <c r="K41" s="716" t="n"/>
      <c r="L41" s="716" t="n"/>
      <c r="M41" s="716" t="n"/>
      <c r="N41" s="716" t="n"/>
      <c r="O41" s="716" t="n"/>
      <c r="P41" s="716" t="n"/>
      <c r="Q41" s="716" t="n"/>
      <c r="R41" s="716" t="n"/>
      <c r="S41" s="462" t="n"/>
      <c r="T41" s="716" t="n"/>
      <c r="U41" s="716" t="n"/>
      <c r="V41" s="716" t="n"/>
      <c r="W41" s="716" t="n"/>
      <c r="X41" s="451" t="inlineStr">
        <is>
          <t>time</t>
        </is>
      </c>
      <c r="Y41" s="451" t="n"/>
      <c r="Z41" s="648" t="n"/>
      <c r="AA41" s="648">
        <f>IF(_epmOfflineCondition_,"2025.02",EPMOlapMemberO(AA26,"[C_TIME].[PARENTH1].[2025.02]","2025.02 - 2025.02","","000"))</f>
        <v/>
      </c>
      <c r="AB41" s="648">
        <f>IF(_epmOfflineCondition_,"2025.03",EPMOlapMemberO(AB26,"[C_TIME].[PARENTH1].[2025.03]","2025.03 - 2025.03","","000"))</f>
        <v/>
      </c>
      <c r="AC41" s="648" t="n"/>
      <c r="AD41" s="648">
        <f>IF(_epmOfflineCondition_,"2025.01",EPMOlapMemberO(I14,"[C_TIME].[PARENTH1].[2025.01]","2025.01 - 2025.01","","000"))</f>
        <v/>
      </c>
      <c r="AE41" s="648">
        <f>IF(_epmOfflineCondition_,"2025.02",EPMOlapMemberO(I12,"[C_TIME].[PARENTH1].[2025.02]","2025.02 - 2025.02","","000"))</f>
        <v/>
      </c>
      <c r="AF41" s="648" t="n"/>
      <c r="AG41" s="648" t="n"/>
      <c r="AH41" s="648" t="n"/>
      <c r="AI41" s="648">
        <f>IF(_epmOfflineCondition_,"2024.02",EPMOlapMemberO(I16,"[C_TIME].[PARENTH1].[2024.02]","2024.02 - 2024.02","","000"))</f>
        <v/>
      </c>
      <c r="AJ41" s="648">
        <f>IF(_epmOfflineCondition_,"2024.03",EPMOlapMemberO(I13,"[C_TIME].[PARENTH1].[2024.03]","2024.03 - 2024.03","","000"))</f>
        <v/>
      </c>
      <c r="AK41" s="648">
        <f>IF(_epmOfflineCondition_,"",EPMOlapMemberO(AK26,"[C_TIME].[PARENTH1].[2022.01]","2022.01 - 2022.01","","000"))</f>
        <v/>
      </c>
      <c r="AL41" s="648">
        <f>IF(_epmOfflineCondition_,"",EPMOlapMemberO(AL26,"[C_TIME].[PARENTH1].[2022.01]","2022.01 - 2022.01","","000"))</f>
        <v/>
      </c>
      <c r="AM41" s="648">
        <f>IF(_epmOfflineCondition_,"2024.03",EPMOlapMemberO(I13,"[C_TIME].[PARENTH1].[2024.03]","2024.03 - 2024.03","","000"))</f>
        <v/>
      </c>
      <c r="AN41" s="648">
        <f>IF(_epmOfflineCondition_,"",EPMOlapMemberO(AN26,"[C_TIME].[PARENTH1].[2023.03]","2023.03 - 2023.03","","000"))</f>
        <v/>
      </c>
      <c r="AO41" s="648">
        <f>IF(_epmOfflineCondition_,"",EPMOlapMemberO(AO26,"[C_TIME].[PARENTH1].[2023.03]","2023.03 - 2023.03","","000"))</f>
        <v/>
      </c>
      <c r="AP41" s="648">
        <f>IF(_epmOfflineCondition_,"2025.03",EPMOlapMemberO(AB26,"[C_TIME].[PARENTH1].[2025.03]","2025.03 - 2025.03","","000"))</f>
        <v/>
      </c>
      <c r="AQ41" s="648" t="n"/>
      <c r="AR41" s="648" t="n"/>
      <c r="AS41" s="648" t="n"/>
      <c r="AT41" s="648">
        <f>IF(_epmOfflineCondition_,"2025.03",EPMOlapMemberO($I$11,"[C_TIME].[PARENTH1].[2025.03]","2025.03 - 2025.03","","000"))</f>
        <v/>
      </c>
      <c r="AU41" s="648" t="n"/>
      <c r="AV41" s="648" t="n"/>
      <c r="AW41" s="648" t="n"/>
      <c r="AX41" s="648">
        <f>IF(_epmOfflineCondition_,"2025.03",EPMOlapMemberO(AX26,"[C_TIME].[PARENTH1].[2025.03]","2025.03 - 2025.03","","000"))</f>
        <v/>
      </c>
      <c r="AY41" s="648" t="n"/>
      <c r="AZ41" s="648" t="n"/>
      <c r="BA41" s="648" t="n"/>
    </row>
    <row r="42" hidden="1" ht="14.25" customFormat="1" customHeight="1" s="1024">
      <c r="A42" s="716" t="n"/>
      <c r="B42" s="716" t="n"/>
      <c r="C42" s="716" t="n"/>
      <c r="D42" s="716" t="n"/>
      <c r="E42" s="716" t="n"/>
      <c r="F42" s="716" t="n"/>
      <c r="G42" s="716" t="n"/>
      <c r="H42" s="716" t="n"/>
      <c r="I42" s="716" t="n"/>
      <c r="J42" s="716" t="n"/>
      <c r="K42" s="716" t="n"/>
      <c r="L42" s="716" t="n"/>
      <c r="M42" s="716" t="n"/>
      <c r="N42" s="716" t="n"/>
      <c r="O42" s="716" t="n"/>
      <c r="P42" s="716" t="n"/>
      <c r="Q42" s="716" t="n"/>
      <c r="R42" s="716" t="n"/>
      <c r="S42" s="462" t="n"/>
      <c r="T42" s="716" t="n"/>
      <c r="U42" s="716" t="n"/>
      <c r="V42" s="716" t="n"/>
      <c r="W42" s="716" t="n"/>
      <c r="X42" s="451" t="inlineStr">
        <is>
          <t>category</t>
        </is>
      </c>
      <c r="Y42" s="451" t="n"/>
      <c r="Z42" s="182" t="n"/>
      <c r="AA42" s="182">
        <f>IF(_epmOfflineCondition_,"C1001",EPMOlapMemberO(AB25,"[C_CATEGORY].[PARENTH1].[C1001]","C1001 - 实际数/决算数","","000"))</f>
        <v/>
      </c>
      <c r="AB42" s="182">
        <f>IF(_epmOfflineCondition_,"C1001",EPMOlapMemberO(AC25,"[C_CATEGORY].[PARENTH1].[C1001]","C1001 - 实际数/决算数","","000"))</f>
        <v/>
      </c>
      <c r="AC42" s="182" t="n"/>
      <c r="AD42" s="182">
        <f>IF(_epmOfflineCondition_,"C1001",EPMOlapMemberO(AE25,"[C_CATEGORY].[PARENTH1].[C1001]","C1001 - 实际数/决算数","","000"))</f>
        <v/>
      </c>
      <c r="AE42" s="182">
        <f>IF(_epmOfflineCondition_,"C1001",EPMOlapMemberO(AF25,"[C_CATEGORY].[PARENTH1].[C1001]","C1001 - 实际数/决算数","","000"))</f>
        <v/>
      </c>
      <c r="AF42" s="182" t="n"/>
      <c r="AG42" s="182" t="n"/>
      <c r="AH42" s="182" t="n"/>
      <c r="AI42" s="182">
        <f>IF(_epmOfflineCondition_,"C1001",EPMOlapMemberO(AL25,"[C_CATEGORY].[PARENTH1].[C1001]","C1001 - 实际数/决算数","","000"))</f>
        <v/>
      </c>
      <c r="AJ42" s="182">
        <f>IF(_epmOfflineCondition_,"C1001",EPMOlapMemberO(AM25,"[C_CATEGORY].[PARENTH1].[C1001]","C1001 - 实际数/决算数","","000"))</f>
        <v/>
      </c>
      <c r="AK42" s="182">
        <f>IF(_epmOfflineCondition_,"C1001",EPMOlapMemberO(AM25,"[C_CATEGORY].[PARENTH1].[C1001]","C1001 - 实际数/决算数","","000"))</f>
        <v/>
      </c>
      <c r="AL42" s="182">
        <f>IF(_epmOfflineCondition_,"C1001",EPMOlapMemberO(AM25,"[C_CATEGORY].[PARENTH1].[C1001]","C1001 - 实际数/决算数","","000"))</f>
        <v/>
      </c>
      <c r="AM42" s="182">
        <f>IF(_epmOfflineCondition_,"C1001",EPMOlapMemberO(AN25,"[C_CATEGORY].[PARENTH1].[C1001]","C1001 - 实际数/决算数","","000"))</f>
        <v/>
      </c>
      <c r="AN42" s="182">
        <f>IF(_epmOfflineCondition_,"C1001",EPMOlapMemberO(AN25,"[C_CATEGORY].[PARENTH1].[C1001]","C1001 - 实际数/决算数","","000"))</f>
        <v/>
      </c>
      <c r="AO42" s="182">
        <f>IF(_epmOfflineCondition_,"C1001",EPMOlapMemberO(AN25,"[C_CATEGORY].[PARENTH1].[C1001]","C1001 - 实际数/决算数","","000"))</f>
        <v/>
      </c>
      <c r="AP42" s="182">
        <f>IF(_epmOfflineCondition_,"C3003",EPMOlapMemberO(AP25,"[C_CATEGORY].[PARENTH1].[C3003]","C3003 - 进度预算（原""预算数（分解版）"")","","000"))</f>
        <v/>
      </c>
      <c r="AQ42" s="182" t="n"/>
      <c r="AR42" s="182" t="n"/>
      <c r="AS42" s="182" t="n"/>
      <c r="AT42" s="182">
        <f>IF(_epmOfflineCondition_,"C3003",EPMOlapMemberO(AT25,"[C_CATEGORY].[PARENTH1].[C3003]","C3003 - 进度预算（原""预算数（分解版）"")","","000"))</f>
        <v/>
      </c>
      <c r="AU42" s="182" t="n"/>
      <c r="AV42" s="182" t="n"/>
      <c r="AW42" s="182" t="n"/>
      <c r="AX42" s="182">
        <f>IF(_epmOfflineCondition_,"C3002",EPMOlapMemberO(AX25,"[C_CATEGORY].[PARENTH1].[C3002]","C3002 - 月度预算（原""预算数（终稿）"")","","000"))</f>
        <v/>
      </c>
      <c r="AY42" s="182" t="n"/>
      <c r="AZ42" s="182" t="n"/>
      <c r="BA42" s="182" t="n"/>
    </row>
    <row r="43" hidden="1" ht="13.5" customFormat="1" customHeight="1" s="1024">
      <c r="A43" s="716" t="n"/>
      <c r="B43" s="716" t="n"/>
      <c r="C43" s="716" t="n"/>
      <c r="D43" s="716" t="n"/>
      <c r="E43" s="716" t="n"/>
      <c r="F43" s="716" t="n"/>
      <c r="G43" s="716" t="n"/>
      <c r="H43" s="716" t="n"/>
      <c r="I43" s="716" t="n"/>
      <c r="J43" s="716" t="n"/>
      <c r="K43" s="716" t="n"/>
      <c r="L43" s="716" t="n"/>
      <c r="M43" s="716" t="n"/>
      <c r="N43" s="716" t="n"/>
      <c r="O43" s="716" t="n"/>
      <c r="P43" s="716" t="n"/>
      <c r="Q43" s="716" t="n"/>
      <c r="R43" s="716" t="n"/>
      <c r="S43" s="462" t="n"/>
      <c r="T43" s="716" t="n"/>
      <c r="U43" s="716" t="n"/>
      <c r="V43" s="716" t="n"/>
      <c r="W43" s="716" t="n"/>
      <c r="X43" s="451" t="inlineStr">
        <is>
          <t>AUDITTRAIL</t>
        </is>
      </c>
      <c r="Y43" s="451" t="n"/>
      <c r="Z43" s="182" t="n"/>
      <c r="AA43" s="182">
        <f>IF(_epmOfflineCondition_,"DALL",EPMOlapMemberO(AB29,"[C_AUDITTRAIL].[PARENTH1].[DALL]","DALL - 合并后","","000"))</f>
        <v/>
      </c>
      <c r="AB43" s="182">
        <f>IF(_epmOfflineCondition_,"DALL",EPMOlapMemberO(AC29,"[C_AUDITTRAIL].[PARENTH1].[DALL]","DALL - 合并后","","000"))</f>
        <v/>
      </c>
      <c r="AC43" s="182" t="n"/>
      <c r="AD43" s="182">
        <f>IF(_epmOfflineCondition_,"DALL",EPMOlapMemberO(AE29,"[C_AUDITTRAIL].[PARENTH1].[DALL]","DALL - 合并后","","000"))</f>
        <v/>
      </c>
      <c r="AE43" s="182">
        <f>IF(_epmOfflineCondition_,"DALL",EPMOlapMemberO(AF29,"[C_AUDITTRAIL].[PARENTH1].[DALL]","DALL - 合并后","","000"))</f>
        <v/>
      </c>
      <c r="AF43" s="182" t="n"/>
      <c r="AG43" s="182" t="n"/>
      <c r="AH43" s="182" t="n"/>
      <c r="AI43" s="182">
        <f>IF(_epmOfflineCondition_,"DALL",EPMOlapMemberO(AL29,"[C_AUDITTRAIL].[PARENTH1].[DALL]","DALL - 合并后","","000"))</f>
        <v/>
      </c>
      <c r="AJ43" s="182">
        <f>IF(_epmOfflineCondition_,"DALL",EPMOlapMemberO(AM29,"[C_AUDITTRAIL].[PARENTH1].[DALL]","DALL - 合并后","","000"))</f>
        <v/>
      </c>
      <c r="AK43" s="182">
        <f>IF(_epmOfflineCondition_,"DALL",EPMOlapMemberO(AM29,"[C_AUDITTRAIL].[PARENTH1].[DALL]","DALL - 合并后","","000"))</f>
        <v/>
      </c>
      <c r="AL43" s="182">
        <f>IF(_epmOfflineCondition_,"DALL",EPMOlapMemberO(AM29,"[C_AUDITTRAIL].[PARENTH1].[DALL]","DALL - 合并后","","000"))</f>
        <v/>
      </c>
      <c r="AM43" s="182">
        <f>IF(_epmOfflineCondition_,"DALL",EPMOlapMemberO(AN29,"[C_AUDITTRAIL].[PARENTH1].[DALL]","DALL - 合并后","","000"))</f>
        <v/>
      </c>
      <c r="AN43" s="182">
        <f>IF(_epmOfflineCondition_,"DALL",EPMOlapMemberO(AN29,"[C_AUDITTRAIL].[PARENTH1].[DALL]","DALL - 合并后","","000"))</f>
        <v/>
      </c>
      <c r="AO43" s="182">
        <f>IF(_epmOfflineCondition_,"DALL",EPMOlapMemberO(AN29,"[C_AUDITTRAIL].[PARENTH1].[DALL]","DALL - 合并后","","000"))</f>
        <v/>
      </c>
      <c r="AP43" s="182">
        <f>IF(_epmOfflineCondition_,"DALL",EPMOlapMemberO(AP29,"[C_AUDITTRAIL].[PARENTH1].[DALL]","DALL - 合并后","","000"))</f>
        <v/>
      </c>
      <c r="AQ43" s="182" t="n"/>
      <c r="AR43" s="182" t="n"/>
      <c r="AS43" s="182" t="n"/>
      <c r="AT43" s="182">
        <f>IF(_epmOfflineCondition_,"DALL",EPMOlapMemberO(AT29,"[C_AUDITTRAIL].[PARENTH1].[DALL]","DALL - 合并后","","000"))</f>
        <v/>
      </c>
      <c r="AU43" s="182" t="n"/>
      <c r="AV43" s="182" t="n"/>
      <c r="AW43" s="182" t="n"/>
      <c r="AX43" s="182">
        <f>IF(_epmOfflineCondition_,"DALL",EPMOlapMemberO(AX29,"[C_AUDITTRAIL].[PARENTH1].[DALL]","DALL - 合并后","","000"))</f>
        <v/>
      </c>
      <c r="AY43" s="182" t="n"/>
      <c r="AZ43" s="182" t="n"/>
      <c r="BA43" s="182" t="n"/>
    </row>
    <row r="44" hidden="1" ht="13.5" customFormat="1" customHeight="1" s="1024">
      <c r="A44" s="716" t="n"/>
      <c r="B44" s="716" t="n"/>
      <c r="C44" s="716" t="n"/>
      <c r="D44" s="716" t="n"/>
      <c r="E44" s="716" t="n"/>
      <c r="F44" s="716" t="n"/>
      <c r="G44" s="716" t="n"/>
      <c r="H44" s="716" t="n"/>
      <c r="I44" s="716" t="n"/>
      <c r="J44" s="716" t="n"/>
      <c r="K44" s="716" t="n"/>
      <c r="L44" s="716" t="n"/>
      <c r="M44" s="716" t="n"/>
      <c r="N44" s="716" t="n"/>
      <c r="O44" s="716" t="n"/>
      <c r="P44" s="716" t="n"/>
      <c r="Q44" s="716" t="n"/>
      <c r="R44" s="716" t="n"/>
      <c r="S44" s="462" t="n"/>
      <c r="T44" s="716" t="n"/>
      <c r="U44" s="716" t="n"/>
      <c r="V44" s="716" t="n"/>
      <c r="W44" s="716" t="n"/>
      <c r="X44" s="451" t="inlineStr">
        <is>
          <t>flow</t>
        </is>
      </c>
      <c r="Y44" s="451" t="n"/>
      <c r="Z44" s="182" t="n"/>
      <c r="AA44" s="182">
        <f>IF(_epmOfflineCondition_,"FMOV_OP",EPMOlapMemberO(AB28,"[C_FLOW].[PARENTH4].[FMOV_OP]","FMOV_OP - 本期变动_经营","","000"))</f>
        <v/>
      </c>
      <c r="AB44" s="182">
        <f>IF(_epmOfflineCondition_,"FMOV_OP",EPMOlapMemberO(AC28,"[C_FLOW].[PARENTH4].[FMOV_OP]","FMOV_OP - 本期变动_经营","","000"))</f>
        <v/>
      </c>
      <c r="AC44" s="182" t="n"/>
      <c r="AD44" s="182">
        <f>IF(_epmOfflineCondition_,"FMOV_OP",EPMOlapMemberO(AE28,"[C_FLOW].[PARENTH4].[FMOV_OP]","FMOV_OP - 本期变动_经营","","000"))</f>
        <v/>
      </c>
      <c r="AE44" s="182">
        <f>IF(_epmOfflineCondition_,"FMOV_OP",EPMOlapMemberO(AF28,"[C_FLOW].[PARENTH4].[FMOV_OP]","FMOV_OP - 本期变动_经营","","000"))</f>
        <v/>
      </c>
      <c r="AF44" s="182" t="n"/>
      <c r="AG44" s="182" t="n"/>
      <c r="AH44" s="182" t="n"/>
      <c r="AI44" s="182">
        <f>IF(_epmOfflineCondition_,"FMOV_OP",EPMOlapMemberO(AL28,"[C_FLOW].[PARENTH4].[FMOV_OP]","FMOV_OP - 本期变动_经营","","000"))</f>
        <v/>
      </c>
      <c r="AJ44" s="182">
        <f>IF(_epmOfflineCondition_,"FMOV_OP",EPMOlapMemberO(AM28,"[C_FLOW].[PARENTH4].[FMOV_OP]","FMOV_OP - 本期变动_经营","","000"))</f>
        <v/>
      </c>
      <c r="AK44" s="182">
        <f>IF(_epmOfflineCondition_,"FMOV_OP",EPMOlapMemberO(AM28,"[C_FLOW].[PARENTH4].[FMOV_OP]","FMOV_OP - 本期变动_经营","","000"))</f>
        <v/>
      </c>
      <c r="AL44" s="182">
        <f>IF(_epmOfflineCondition_,"FMOV_OP",EPMOlapMemberO(AM28,"[C_FLOW].[PARENTH4].[FMOV_OP]","FMOV_OP - 本期变动_经营","","000"))</f>
        <v/>
      </c>
      <c r="AM44" s="182">
        <f>IF(_epmOfflineCondition_,"FMOV_OP",EPMOlapMemberO(AN28,"[C_FLOW].[PARENTH4].[FMOV_OP]","FMOV_OP - 本期变动_经营","","000"))</f>
        <v/>
      </c>
      <c r="AN44" s="182">
        <f>IF(_epmOfflineCondition_,"FMOV_OP",EPMOlapMemberO(AN28,"[C_FLOW].[PARENTH4].[FMOV_OP]","FMOV_OP - 本期变动_经营","","000"))</f>
        <v/>
      </c>
      <c r="AO44" s="182">
        <f>IF(_epmOfflineCondition_,"FMOV_OP",EPMOlapMemberO(AN28,"[C_FLOW].[PARENTH4].[FMOV_OP]","FMOV_OP - 本期变动_经营","","000"))</f>
        <v/>
      </c>
      <c r="AP44" s="182">
        <f>IF(_epmOfflineCondition_,"FMOV_OP",EPMOlapMemberO(AP28,"[C_FLOW].[PARENTH4].[FMOV_OP]","FMOV_OP - 本期变动_经营","","000"))</f>
        <v/>
      </c>
      <c r="AQ44" s="182" t="n"/>
      <c r="AR44" s="182" t="n"/>
      <c r="AS44" s="182" t="n"/>
      <c r="AT44" s="182">
        <f>IF(_epmOfflineCondition_,"FMOV_OP",EPMOlapMemberO(AT28,"[C_FLOW].[PARENTH4].[FMOV_OP]","FMOV_OP - 本期变动_经营","","000"))</f>
        <v/>
      </c>
      <c r="AU44" s="182" t="n"/>
      <c r="AV44" s="182" t="n"/>
      <c r="AW44" s="182" t="n"/>
      <c r="AX44" s="182">
        <f>IF(_epmOfflineCondition_,"FMOV_OP",EPMOlapMemberO(AX28,"[C_FLOW].[PARENTH4].[FMOV_OP]","FMOV_OP - 本期变动_经营","","000"))</f>
        <v/>
      </c>
      <c r="AY44" s="182" t="n"/>
      <c r="AZ44" s="182" t="n"/>
      <c r="BA44" s="182" t="n"/>
    </row>
    <row r="45" hidden="1" ht="13.5" customFormat="1" customHeight="1" s="1024">
      <c r="A45" s="716" t="n"/>
      <c r="B45" s="716" t="n"/>
      <c r="C45" s="716" t="n"/>
      <c r="D45" s="716" t="n"/>
      <c r="E45" s="716" t="n"/>
      <c r="F45" s="716" t="n"/>
      <c r="G45" s="716" t="n"/>
      <c r="H45" s="716" t="n"/>
      <c r="I45" s="716" t="n"/>
      <c r="J45" s="716" t="n"/>
      <c r="K45" s="716" t="n"/>
      <c r="L45" s="716" t="n"/>
      <c r="M45" s="716" t="n"/>
      <c r="N45" s="716" t="n"/>
      <c r="O45" s="716" t="n"/>
      <c r="P45" s="716" t="n"/>
      <c r="Q45" s="716" t="n"/>
      <c r="R45" s="716" t="n"/>
      <c r="S45" s="462" t="n"/>
      <c r="T45" s="716" t="n"/>
      <c r="U45" s="716" t="n"/>
      <c r="V45" s="716" t="n"/>
      <c r="W45" s="716" t="n"/>
      <c r="X45" s="451" t="inlineStr">
        <is>
          <t>measures</t>
        </is>
      </c>
      <c r="Y45" s="451" t="n"/>
      <c r="Z45" s="182" t="n"/>
      <c r="AA45" s="182">
        <f>IF(_epmOfflineCondition_,"YTD",EPMOlapMemberO(AB27,"[MEASURES].[].[YTD]","YTD - Year To Date","","000"))</f>
        <v/>
      </c>
      <c r="AB45" s="182">
        <f>IF(_epmOfflineCondition_,"YTD",EPMOlapMemberO(AC27,"[MEASURES].[].[YTD]","YTD - Year To Date","","000"))</f>
        <v/>
      </c>
      <c r="AC45" s="182" t="n"/>
      <c r="AD45" s="182">
        <f>IF(_epmOfflineCondition_,"YTD",EPMOlapMemberO(AE27,"[MEASURES].[].[YTD]","YTD - Year To Date","","000"))</f>
        <v/>
      </c>
      <c r="AE45" s="182">
        <f>IF(_epmOfflineCondition_,"YTD",EPMOlapMemberO(AF27,"[MEASURES].[].[YTD]","YTD - Year To Date","","000"))</f>
        <v/>
      </c>
      <c r="AF45" s="182" t="n"/>
      <c r="AG45" s="182" t="n"/>
      <c r="AH45" s="182" t="n"/>
      <c r="AI45" s="182">
        <f>IF(_epmOfflineCondition_,"YTD",EPMOlapMemberO(AL27,"[MEASURES].[].[YTD]","YTD - Year To Date","","000"))</f>
        <v/>
      </c>
      <c r="AJ45" s="182">
        <f>IF(_epmOfflineCondition_,"YTD",EPMOlapMemberO(AM27,"[MEASURES].[].[YTD]","YTD - Year To Date","","000"))</f>
        <v/>
      </c>
      <c r="AK45" s="182">
        <f>IF(_epmOfflineCondition_,"YTD",EPMOlapMemberO(AM27,"[MEASURES].[].[YTD]","YTD - Year To Date","","000"))</f>
        <v/>
      </c>
      <c r="AL45" s="182">
        <f>IF(_epmOfflineCondition_,"YTD",EPMOlapMemberO(AM27,"[MEASURES].[].[YTD]","YTD - Year To Date","","000"))</f>
        <v/>
      </c>
      <c r="AM45" s="182">
        <f>IF(_epmOfflineCondition_,"YTD",EPMOlapMemberO(AN27,"[MEASURES].[].[YTD]","YTD - Year To Date","","000"))</f>
        <v/>
      </c>
      <c r="AN45" s="182">
        <f>IF(_epmOfflineCondition_,"YTD",EPMOlapMemberO(AN27,"[MEASURES].[].[YTD]","YTD - Year To Date","","000"))</f>
        <v/>
      </c>
      <c r="AO45" s="182">
        <f>IF(_epmOfflineCondition_,"YTD",EPMOlapMemberO(AN27,"[MEASURES].[].[YTD]","YTD - Year To Date","","000"))</f>
        <v/>
      </c>
      <c r="AP45" s="182">
        <f>IF(_epmOfflineCondition_,"YTD",EPMOlapMemberO(AP27,"[MEASURES].[].[YTD]","YTD - Year To Date","","000"))</f>
        <v/>
      </c>
      <c r="AQ45" s="182" t="n"/>
      <c r="AR45" s="182" t="n"/>
      <c r="AS45" s="182" t="n"/>
      <c r="AT45" s="182">
        <f>IF(_epmOfflineCondition_,"YTD",EPMOlapMemberO(AT27,"[MEASURES].[].[YTD]","YTD - Year To Date","","000"))</f>
        <v/>
      </c>
      <c r="AU45" s="182" t="n"/>
      <c r="AV45" s="182" t="n"/>
      <c r="AW45" s="182" t="n"/>
      <c r="AX45" s="182">
        <f>IF(_epmOfflineCondition_,"YTD",EPMOlapMemberO(AX27,"[MEASURES].[].[YTD]","YTD - Year To Date","","000"))</f>
        <v/>
      </c>
      <c r="AY45" s="182" t="n"/>
      <c r="AZ45" s="182" t="n"/>
      <c r="BA45" s="182" t="n"/>
    </row>
    <row r="46" ht="14.45" customFormat="1" customHeight="1" s="1024">
      <c r="A46" s="716" t="n"/>
      <c r="B46" s="716" t="n"/>
      <c r="C46" s="716" t="n"/>
      <c r="D46" s="716" t="n"/>
      <c r="E46" s="716" t="n"/>
      <c r="F46" s="716" t="n"/>
      <c r="G46" s="716" t="n"/>
      <c r="H46" s="716" t="n"/>
      <c r="I46" s="716" t="n"/>
      <c r="J46" s="716" t="n"/>
      <c r="K46" s="716" t="n"/>
      <c r="L46" s="716" t="n"/>
      <c r="M46" s="716" t="n"/>
      <c r="N46" s="716" t="n"/>
      <c r="O46" s="716" t="n"/>
      <c r="P46" s="716" t="n"/>
      <c r="Q46" s="716" t="n"/>
      <c r="R46" s="716" t="n"/>
      <c r="S46" s="462">
        <f>IF(_epmOfflineCondition_,"一、营业总收入",EPMMemberDesc(U46))</f>
        <v/>
      </c>
      <c r="T46" s="716" t="n"/>
      <c r="U46" s="716" t="inlineStr">
        <is>
          <t>A00201</t>
        </is>
      </c>
      <c r="V46" s="1018">
        <f>IF(_epmOfflineCondition_,"A00201",EPMOlapMemberO(U46,"[C_ACCOUNT].[PARENTH1].[A00201]","A00201 - 一、营业总收入","","000"))</f>
        <v/>
      </c>
      <c r="W46" s="462" t="n"/>
      <c r="X46" s="454" t="inlineStr">
        <is>
          <t>一、营业总收入</t>
        </is>
      </c>
      <c r="Y46" s="1185">
        <f>ROW()-45</f>
        <v/>
      </c>
      <c r="Z46" s="1259">
        <f>IF($I$8="01",AB46,AB46-AA46)</f>
        <v/>
      </c>
      <c r="AA46" s="1249" t="inlineStr"/>
      <c r="AB46" s="1249" t="inlineStr"/>
      <c r="AC46" s="1249">
        <f>IF($I$9="01",AE46,AE46-AD46)</f>
        <v/>
      </c>
      <c r="AD46" s="1250" t="inlineStr"/>
      <c r="AE46" s="1250" t="inlineStr"/>
      <c r="AF46" s="1249">
        <f>Z46-AC46</f>
        <v/>
      </c>
      <c r="AG46" s="1249">
        <f>IF(AC46=0,0,(Z46-AC46)/AC46*100)</f>
        <v/>
      </c>
      <c r="AH46" s="1249">
        <f>IF($I$8="01",AJ46,AJ46-AI46)</f>
        <v/>
      </c>
      <c r="AI46" s="1249" t="inlineStr"/>
      <c r="AJ46" s="1249" t="inlineStr"/>
      <c r="AK46" s="1249">
        <f>Z46-AH46</f>
        <v/>
      </c>
      <c r="AL46" s="1249">
        <f>IF(AH46=0,0,(Z46-AH46)/AH46*100)</f>
        <v/>
      </c>
      <c r="AM46" s="1249" t="inlineStr"/>
      <c r="AN46" s="1249">
        <f>AB46-AM46</f>
        <v/>
      </c>
      <c r="AO46" s="1249">
        <f>IF(AM46=0,0,(AB46-AM46)/AM46*100)</f>
        <v/>
      </c>
      <c r="AP46" s="1249" t="n"/>
      <c r="AQ46" s="1249">
        <f>AP46</f>
        <v/>
      </c>
      <c r="AR46" s="1251">
        <f>Z46-AQ46</f>
        <v/>
      </c>
      <c r="AS46" s="1249">
        <f>IF(AP46=0,0,Z46/AP46*100)</f>
        <v/>
      </c>
      <c r="AT46" s="1249" t="n"/>
      <c r="AU46" s="1249">
        <f>AT46</f>
        <v/>
      </c>
      <c r="AV46" s="1251">
        <f>AB46-AT46</f>
        <v/>
      </c>
      <c r="AW46" s="1249">
        <f>IF(AT46=0,0,AB46/AT46*100)</f>
        <v/>
      </c>
      <c r="AX46" s="1249" t="n"/>
      <c r="AY46" s="1259">
        <f>AX46</f>
        <v/>
      </c>
      <c r="AZ46" s="1260">
        <f>AB46-AX46</f>
        <v/>
      </c>
      <c r="BA46" s="1259">
        <f>IF(AX46=0,0,AB46/AX46*100)</f>
        <v/>
      </c>
    </row>
    <row r="47" ht="14.45" customFormat="1" customHeight="1" s="1024">
      <c r="A47" s="716" t="n"/>
      <c r="B47" s="716" t="n"/>
      <c r="C47" s="716" t="n"/>
      <c r="D47" s="716" t="n"/>
      <c r="E47" s="716" t="n"/>
      <c r="F47" s="716" t="n"/>
      <c r="G47" s="716" t="n"/>
      <c r="H47" s="716" t="n"/>
      <c r="I47" s="716" t="n"/>
      <c r="J47" s="716" t="n"/>
      <c r="K47" s="716" t="n"/>
      <c r="L47" s="716" t="n"/>
      <c r="M47" s="716" t="n"/>
      <c r="N47" s="716" t="n"/>
      <c r="O47" s="716" t="n"/>
      <c r="P47" s="716" t="n"/>
      <c r="Q47" s="716" t="n"/>
      <c r="R47" s="716" t="n"/>
      <c r="S47" s="462">
        <f>IF(_epmOfflineCondition_,"   其中：营业收入",EPMMemberDesc(U47))</f>
        <v/>
      </c>
      <c r="T47" s="716" t="n"/>
      <c r="U47" s="716" t="inlineStr">
        <is>
          <t>A0020101</t>
        </is>
      </c>
      <c r="V47" s="699">
        <f>IF(_epmOfflineCondition_,"A0020101",EPMOlapMemberO(U47,"[C_ACCOUNT].[PARENTH1].[A0020101]","A0020101 -    其中：营业收入","","000"))</f>
        <v/>
      </c>
      <c r="W47" s="462" t="n"/>
      <c r="X47" s="457" t="inlineStr">
        <is>
          <t xml:space="preserve"> 其中：营业收入</t>
        </is>
      </c>
      <c r="Y47" s="1185">
        <f>ROW()-45</f>
        <v/>
      </c>
      <c r="Z47" s="1259">
        <f>IF($I$8="01",AB47,AB47-AA47)</f>
        <v/>
      </c>
      <c r="AA47" s="1249" t="inlineStr"/>
      <c r="AB47" s="1249" t="inlineStr"/>
      <c r="AC47" s="1249">
        <f>IF($I$9="01",AE47,AE47-AD47)</f>
        <v/>
      </c>
      <c r="AD47" s="1250" t="inlineStr"/>
      <c r="AE47" s="1250" t="inlineStr"/>
      <c r="AF47" s="1249">
        <f>Z47-AC47</f>
        <v/>
      </c>
      <c r="AG47" s="1249">
        <f>IF(AC47=0,0,(Z47-AC47)/AC47*100)</f>
        <v/>
      </c>
      <c r="AH47" s="1249">
        <f>IF($I$8="01",AJ47,AJ47-AI47)</f>
        <v/>
      </c>
      <c r="AI47" s="1249" t="inlineStr"/>
      <c r="AJ47" s="1249" t="inlineStr"/>
      <c r="AK47" s="1249">
        <f>Z47-AH47</f>
        <v/>
      </c>
      <c r="AL47" s="1249">
        <f>IF(AH47=0,0,(Z47-AH47)/AH47*100)</f>
        <v/>
      </c>
      <c r="AM47" s="1249" t="inlineStr"/>
      <c r="AN47" s="1249">
        <f>AB47-AM47</f>
        <v/>
      </c>
      <c r="AO47" s="1249">
        <f>IF(AM47=0,0,(AB47-AM47)/AM47*100)</f>
        <v/>
      </c>
      <c r="AP47" s="1251" t="n"/>
      <c r="AQ47" s="1249">
        <f>AP47</f>
        <v/>
      </c>
      <c r="AR47" s="1251">
        <f>Z47-AQ47</f>
        <v/>
      </c>
      <c r="AS47" s="1249">
        <f>IF(AP47=0,0,Z47/AP47*100)</f>
        <v/>
      </c>
      <c r="AT47" s="1251" t="n"/>
      <c r="AU47" s="1249">
        <f>AT47</f>
        <v/>
      </c>
      <c r="AV47" s="1251">
        <f>AB47-AT47</f>
        <v/>
      </c>
      <c r="AW47" s="1249">
        <f>IF(AT47=0,0,AB47/AT47*100)</f>
        <v/>
      </c>
      <c r="AX47" s="1251" t="n"/>
      <c r="AY47" s="1259">
        <f>AX47</f>
        <v/>
      </c>
      <c r="AZ47" s="1260">
        <f>AB47-AX47</f>
        <v/>
      </c>
      <c r="BA47" s="1259">
        <f>IF(AX47=0,0,AB47/AX47*100)</f>
        <v/>
      </c>
    </row>
    <row r="48" ht="14.45" customFormat="1" customHeight="1" s="1024">
      <c r="A48" s="716" t="n"/>
      <c r="B48" s="716" t="n"/>
      <c r="C48" s="716" t="n"/>
      <c r="D48" s="716" t="n"/>
      <c r="E48" s="716" t="n"/>
      <c r="F48" s="716" t="n"/>
      <c r="G48" s="716" t="n"/>
      <c r="H48" s="716" t="n"/>
      <c r="I48" s="716" t="n"/>
      <c r="J48" s="716" t="n"/>
      <c r="K48" s="716" t="n"/>
      <c r="L48" s="716" t="n"/>
      <c r="M48" s="716" t="n"/>
      <c r="N48" s="716" t="n"/>
      <c r="O48" s="716" t="n"/>
      <c r="P48" s="716" t="n"/>
      <c r="Q48" s="716" t="n"/>
      <c r="R48" s="716" t="n"/>
      <c r="S48" s="462">
        <f>IF(_epmOfflineCondition_,"        # 利息收入",EPMMemberDesc(U48))</f>
        <v/>
      </c>
      <c r="T48" s="716" t="n"/>
      <c r="U48" s="716" t="inlineStr">
        <is>
          <t>A0020102</t>
        </is>
      </c>
      <c r="V48" s="699">
        <f>IF(_epmOfflineCondition_,"A0020102",EPMOlapMemberO(U48,"[C_ACCOUNT].[PARENTH1].[A0020102]","A0020102 -         # 利息收入","","000"))</f>
        <v/>
      </c>
      <c r="W48" s="462" t="n"/>
      <c r="X48" s="732" t="inlineStr">
        <is>
          <t xml:space="preserve"> △利息收入</t>
        </is>
      </c>
      <c r="Y48" s="1185">
        <f>ROW()-45</f>
        <v/>
      </c>
      <c r="Z48" s="1259">
        <f>IF($I$8="01",AB48,AB48-AA48)</f>
        <v/>
      </c>
      <c r="AA48" s="1249" t="n"/>
      <c r="AB48" s="1249" t="n"/>
      <c r="AC48" s="1249">
        <f>IF($I$9="01",AE48,AE48-AD48)</f>
        <v/>
      </c>
      <c r="AD48" s="1250" t="n"/>
      <c r="AE48" s="1250" t="n"/>
      <c r="AF48" s="1249">
        <f>Z48-AC48</f>
        <v/>
      </c>
      <c r="AG48" s="1249">
        <f>IF(AC48=0,0,(Z48-AC48)/AC48*100)</f>
        <v/>
      </c>
      <c r="AH48" s="1249">
        <f>IF($I$8="01",AJ48,AJ48-AI48)</f>
        <v/>
      </c>
      <c r="AI48" s="1249" t="n"/>
      <c r="AJ48" s="1249" t="n"/>
      <c r="AK48" s="1249">
        <f>Z48-AH48</f>
        <v/>
      </c>
      <c r="AL48" s="1249">
        <f>IF(AH48=0,0,(Z48-AH48)/AH48*100)</f>
        <v/>
      </c>
      <c r="AM48" s="1249" t="n"/>
      <c r="AN48" s="1249">
        <f>AB48-AM48</f>
        <v/>
      </c>
      <c r="AO48" s="1249">
        <f>IF(AM48=0,0,(AB48-AM48)/AM48*100)</f>
        <v/>
      </c>
      <c r="AP48" s="1251" t="n"/>
      <c r="AQ48" s="1249">
        <f>AP48</f>
        <v/>
      </c>
      <c r="AR48" s="1251">
        <f>Z48-AQ48</f>
        <v/>
      </c>
      <c r="AS48" s="1249">
        <f>IF(AP48=0,0,Z48/AP48*100)</f>
        <v/>
      </c>
      <c r="AT48" s="1251" t="n"/>
      <c r="AU48" s="1249">
        <f>AT48</f>
        <v/>
      </c>
      <c r="AV48" s="1251">
        <f>AB48-AT48</f>
        <v/>
      </c>
      <c r="AW48" s="1249">
        <f>IF(AT48=0,0,AB48/AT48*100)</f>
        <v/>
      </c>
      <c r="AX48" s="1251" t="n"/>
      <c r="AY48" s="1259">
        <f>AX48</f>
        <v/>
      </c>
      <c r="AZ48" s="1260">
        <f>AB48-AX48</f>
        <v/>
      </c>
      <c r="BA48" s="1259">
        <f>IF(AX48=0,0,AB48/AX48*100)</f>
        <v/>
      </c>
    </row>
    <row r="49" ht="14.45" customFormat="1" customHeight="1" s="1024">
      <c r="A49" s="716" t="n"/>
      <c r="B49" s="716" t="n"/>
      <c r="C49" s="716" t="n"/>
      <c r="D49" s="716" t="n"/>
      <c r="E49" s="716" t="n"/>
      <c r="F49" s="716" t="n"/>
      <c r="G49" s="716" t="n"/>
      <c r="H49" s="716" t="n"/>
      <c r="I49" s="716" t="n"/>
      <c r="J49" s="716" t="n"/>
      <c r="K49" s="716" t="n"/>
      <c r="L49" s="716" t="n"/>
      <c r="M49" s="716" t="n"/>
      <c r="N49" s="716" t="n"/>
      <c r="O49" s="716" t="n"/>
      <c r="P49" s="716" t="n"/>
      <c r="Q49" s="716" t="n"/>
      <c r="R49" s="716" t="n"/>
      <c r="S49" s="462">
        <f>IF(_epmOfflineCondition_,"        # 手续费及佣金收入",EPMMemberDesc(U49))</f>
        <v/>
      </c>
      <c r="T49" s="716" t="n"/>
      <c r="U49" s="716" t="inlineStr">
        <is>
          <t>A0020103</t>
        </is>
      </c>
      <c r="V49" s="699">
        <f>IF(_epmOfflineCondition_,"A0020103",EPMOlapMemberO(U49,"[C_ACCOUNT].[PARENTH1].[A0020103]","A0020103 -         # 手续费及佣金收入","","000"))</f>
        <v/>
      </c>
      <c r="W49" s="462" t="n"/>
      <c r="X49" s="1027" t="inlineStr">
        <is>
          <t xml:space="preserve"> △手续费及佣金收入</t>
        </is>
      </c>
      <c r="Y49" s="1185">
        <f>ROW()-45</f>
        <v/>
      </c>
      <c r="Z49" s="1259">
        <f>IF($I$8="01",AB49,AB49-AA49)</f>
        <v/>
      </c>
      <c r="AA49" s="1249" t="n"/>
      <c r="AB49" s="1249" t="n"/>
      <c r="AC49" s="1249">
        <f>IF($I$9="01",AE49,AE49-AD49)</f>
        <v/>
      </c>
      <c r="AD49" s="1249" t="n"/>
      <c r="AE49" s="1249" t="n"/>
      <c r="AF49" s="1249">
        <f>Z49-AC49</f>
        <v/>
      </c>
      <c r="AG49" s="1249">
        <f>IF(AC49=0,0,(Z49-AC49)/AC49*100)</f>
        <v/>
      </c>
      <c r="AH49" s="1249">
        <f>IF($I$8="01",AJ49,AJ49-AI49)</f>
        <v/>
      </c>
      <c r="AI49" s="1249" t="n"/>
      <c r="AJ49" s="1249" t="n"/>
      <c r="AK49" s="1249">
        <f>Z49-AH49</f>
        <v/>
      </c>
      <c r="AL49" s="1249">
        <f>IF(AH49=0,0,(Z49-AH49)/AH49*100)</f>
        <v/>
      </c>
      <c r="AM49" s="1249" t="n"/>
      <c r="AN49" s="1249">
        <f>AB49-AM49</f>
        <v/>
      </c>
      <c r="AO49" s="1249">
        <f>IF(AM49=0,0,(AB49-AM49)/AM49*100)</f>
        <v/>
      </c>
      <c r="AP49" s="1251" t="n"/>
      <c r="AQ49" s="1249">
        <f>AP49</f>
        <v/>
      </c>
      <c r="AR49" s="1251">
        <f>Z49-AQ49</f>
        <v/>
      </c>
      <c r="AS49" s="1249">
        <f>IF(AP49=0,0,Z49/AP49*100)</f>
        <v/>
      </c>
      <c r="AT49" s="1251" t="n"/>
      <c r="AU49" s="1249">
        <f>AT49</f>
        <v/>
      </c>
      <c r="AV49" s="1251">
        <f>AB49-AT49</f>
        <v/>
      </c>
      <c r="AW49" s="1249">
        <f>IF(AT49=0,0,AB49/AT49*100)</f>
        <v/>
      </c>
      <c r="AX49" s="1251" t="n"/>
      <c r="AY49" s="1259">
        <f>AX49</f>
        <v/>
      </c>
      <c r="AZ49" s="1260">
        <f>AB49-AX49</f>
        <v/>
      </c>
      <c r="BA49" s="1259">
        <f>IF(AX49=0,0,AB49/AX49*100)</f>
        <v/>
      </c>
    </row>
    <row r="50" ht="14.45" customFormat="1" customHeight="1" s="1024">
      <c r="A50" s="716" t="n"/>
      <c r="B50" s="716" t="n"/>
      <c r="C50" s="716" t="n"/>
      <c r="D50" s="716" t="n"/>
      <c r="E50" s="716" t="n"/>
      <c r="F50" s="716" t="n"/>
      <c r="G50" s="716" t="n"/>
      <c r="H50" s="716" t="n"/>
      <c r="I50" s="716" t="n"/>
      <c r="J50" s="716" t="n"/>
      <c r="K50" s="716" t="n"/>
      <c r="L50" s="716" t="n"/>
      <c r="M50" s="716" t="n"/>
      <c r="N50" s="716" t="n"/>
      <c r="O50" s="716" t="n"/>
      <c r="P50" s="716" t="n"/>
      <c r="Q50" s="716" t="n"/>
      <c r="R50" s="716" t="n"/>
      <c r="S50" s="462">
        <f>IF(_epmOfflineCondition_,"二、营业总成本",EPMMemberDesc(U50))</f>
        <v/>
      </c>
      <c r="T50" s="716" t="n"/>
      <c r="U50" s="716" t="inlineStr">
        <is>
          <t>A00202</t>
        </is>
      </c>
      <c r="V50" s="1018">
        <f>IF(_epmOfflineCondition_,"A00202",EPMOlapMemberO(U50,"[C_ACCOUNT].[PARENTH1].[A00202]","A00202 - 二、营业总成本","","000"))</f>
        <v/>
      </c>
      <c r="W50" s="462" t="n"/>
      <c r="X50" s="454" t="inlineStr">
        <is>
          <t>二、营业总成本</t>
        </is>
      </c>
      <c r="Y50" s="1185">
        <f>ROW()-45</f>
        <v/>
      </c>
      <c r="Z50" s="1259">
        <f>IF($I$8="01",AB50,AB50-AA50)</f>
        <v/>
      </c>
      <c r="AA50" s="1249" t="inlineStr"/>
      <c r="AB50" s="1249" t="inlineStr"/>
      <c r="AC50" s="1249">
        <f>IF($I$9="01",AE50,AE50-AD50)</f>
        <v/>
      </c>
      <c r="AD50" s="1250" t="inlineStr"/>
      <c r="AE50" s="1250" t="inlineStr"/>
      <c r="AF50" s="1249">
        <f>Z50-AC50</f>
        <v/>
      </c>
      <c r="AG50" s="1249">
        <f>IF(AC50=0,0,(Z50-AC50)/AC50*100)</f>
        <v/>
      </c>
      <c r="AH50" s="1249">
        <f>IF($I$8="01",AJ50,AJ50-AI50)</f>
        <v/>
      </c>
      <c r="AI50" s="1249" t="inlineStr"/>
      <c r="AJ50" s="1249" t="inlineStr"/>
      <c r="AK50" s="1249">
        <f>Z50-AH50</f>
        <v/>
      </c>
      <c r="AL50" s="1249">
        <f>IF(AH50=0,0,(Z50-AH50)/AH50*100)</f>
        <v/>
      </c>
      <c r="AM50" s="1249" t="inlineStr"/>
      <c r="AN50" s="1249">
        <f>AB50-AM50</f>
        <v/>
      </c>
      <c r="AO50" s="1249">
        <f>IF(AM50=0,0,(AB50-AM50)/AM50*100)</f>
        <v/>
      </c>
      <c r="AP50" s="1251" t="n"/>
      <c r="AQ50" s="1249">
        <f>AP50</f>
        <v/>
      </c>
      <c r="AR50" s="1251">
        <f>Z50-AQ50</f>
        <v/>
      </c>
      <c r="AS50" s="1249">
        <f>IF(AP50=0,0,Z50/AP50*100)</f>
        <v/>
      </c>
      <c r="AT50" s="1251" t="n"/>
      <c r="AU50" s="1249">
        <f>AT50</f>
        <v/>
      </c>
      <c r="AV50" s="1251">
        <f>AB50-AT50</f>
        <v/>
      </c>
      <c r="AW50" s="1249">
        <f>IF(AT50=0,0,AB50/AT50*100)</f>
        <v/>
      </c>
      <c r="AX50" s="1251" t="n"/>
      <c r="AY50" s="1259">
        <f>AX50</f>
        <v/>
      </c>
      <c r="AZ50" s="1260">
        <f>AB50-AX50</f>
        <v/>
      </c>
      <c r="BA50" s="1259">
        <f>IF(AX50=0,0,AB50/AX50*100)</f>
        <v/>
      </c>
    </row>
    <row r="51" ht="14.45" customFormat="1" customHeight="1" s="1024">
      <c r="A51" s="716" t="n"/>
      <c r="B51" s="716" t="n"/>
      <c r="C51" s="716" t="n"/>
      <c r="D51" s="716" t="n"/>
      <c r="E51" s="716" t="n"/>
      <c r="F51" s="716" t="n"/>
      <c r="G51" s="716" t="n"/>
      <c r="H51" s="716" t="n"/>
      <c r="I51" s="716" t="n"/>
      <c r="J51" s="716" t="n"/>
      <c r="K51" s="716" t="n"/>
      <c r="L51" s="716" t="n"/>
      <c r="M51" s="716" t="n"/>
      <c r="N51" s="716" t="n"/>
      <c r="O51" s="716" t="n"/>
      <c r="P51" s="716" t="n"/>
      <c r="Q51" s="716" t="n"/>
      <c r="R51" s="716" t="n"/>
      <c r="S51" s="462">
        <f>IF(_epmOfflineCondition_,"   其中：营业成本",EPMMemberDesc(U51))</f>
        <v/>
      </c>
      <c r="T51" s="716" t="n"/>
      <c r="U51" s="716" t="inlineStr">
        <is>
          <t>A0020201</t>
        </is>
      </c>
      <c r="V51" s="699">
        <f>IF(_epmOfflineCondition_,"A0020201",EPMOlapMemberO(U51,"[C_ACCOUNT].[PARENTH1].[A0020201]","A0020201 -    其中：营业成本","","000"))</f>
        <v/>
      </c>
      <c r="W51" s="462" t="n"/>
      <c r="X51" s="588" t="inlineStr">
        <is>
          <t xml:space="preserve">    其中：营业成本</t>
        </is>
      </c>
      <c r="Y51" s="1185">
        <f>ROW()-45</f>
        <v/>
      </c>
      <c r="Z51" s="1259">
        <f>IF($I$8="01",AB51,AB51-AA51)</f>
        <v/>
      </c>
      <c r="AA51" s="1249" t="inlineStr"/>
      <c r="AB51" s="1249" t="inlineStr"/>
      <c r="AC51" s="1249">
        <f>IF($I$9="01",AE51,AE51-AD51)</f>
        <v/>
      </c>
      <c r="AD51" s="1250" t="inlineStr"/>
      <c r="AE51" s="1250" t="inlineStr"/>
      <c r="AF51" s="1249">
        <f>Z51-AC51</f>
        <v/>
      </c>
      <c r="AG51" s="1249">
        <f>IF(AC51=0,0,(Z51-AC51)/AC51*100)</f>
        <v/>
      </c>
      <c r="AH51" s="1249">
        <f>IF($I$8="01",AJ51,AJ51-AI51)</f>
        <v/>
      </c>
      <c r="AI51" s="1249" t="n"/>
      <c r="AJ51" s="1249" t="n"/>
      <c r="AK51" s="1249">
        <f>Z51-AH51</f>
        <v/>
      </c>
      <c r="AL51" s="1249">
        <f>IF(AH51=0,0,(Z51-AH51)/AH51*100)</f>
        <v/>
      </c>
      <c r="AM51" s="1249" t="n"/>
      <c r="AN51" s="1249">
        <f>AB51-AM51</f>
        <v/>
      </c>
      <c r="AO51" s="1249">
        <f>IF(AM51=0,0,(AB51-AM51)/AM51*100)</f>
        <v/>
      </c>
      <c r="AP51" s="1251" t="n"/>
      <c r="AQ51" s="1249">
        <f>AP51</f>
        <v/>
      </c>
      <c r="AR51" s="1251">
        <f>Z51-AQ51</f>
        <v/>
      </c>
      <c r="AS51" s="1249">
        <f>IF(AP51=0,0,Z51/AP51*100)</f>
        <v/>
      </c>
      <c r="AT51" s="1251" t="n"/>
      <c r="AU51" s="1249">
        <f>AT51</f>
        <v/>
      </c>
      <c r="AV51" s="1251">
        <f>AB51-AT51</f>
        <v/>
      </c>
      <c r="AW51" s="1249">
        <f>IF(AT51=0,0,AB51/AT51*100)</f>
        <v/>
      </c>
      <c r="AX51" s="1251" t="n"/>
      <c r="AY51" s="1259">
        <f>AX51</f>
        <v/>
      </c>
      <c r="AZ51" s="1260">
        <f>AB51-AX51</f>
        <v/>
      </c>
      <c r="BA51" s="1259">
        <f>IF(AX51=0,0,AB51/AX51*100)</f>
        <v/>
      </c>
    </row>
    <row r="52" ht="14.45" customFormat="1" customHeight="1" s="1024">
      <c r="A52" s="716" t="n"/>
      <c r="B52" s="716" t="n"/>
      <c r="C52" s="716" t="n"/>
      <c r="D52" s="716" t="n"/>
      <c r="E52" s="716" t="n"/>
      <c r="F52" s="716" t="n"/>
      <c r="G52" s="716" t="n"/>
      <c r="H52" s="716" t="n"/>
      <c r="I52" s="716" t="n"/>
      <c r="J52" s="716" t="n"/>
      <c r="K52" s="716" t="n"/>
      <c r="L52" s="716" t="n"/>
      <c r="M52" s="716" t="n"/>
      <c r="N52" s="716" t="n"/>
      <c r="O52" s="716" t="n"/>
      <c r="P52" s="716" t="n"/>
      <c r="Q52" s="716" t="n"/>
      <c r="R52" s="716" t="n"/>
      <c r="S52" s="462">
        <f>IF(_epmOfflineCondition_,"        # 利息支出",EPMMemberDesc(U52))</f>
        <v/>
      </c>
      <c r="T52" s="716" t="n"/>
      <c r="U52" s="716" t="inlineStr">
        <is>
          <t>A0020202</t>
        </is>
      </c>
      <c r="V52" s="699">
        <f>IF(_epmOfflineCondition_,"A0020202",EPMOlapMemberO(U52,"[C_ACCOUNT].[PARENTH1].[A0020202]","A0020202 -         # 利息支出","","000"))</f>
        <v/>
      </c>
      <c r="W52" s="462" t="n"/>
      <c r="X52" s="732" t="inlineStr">
        <is>
          <t xml:space="preserve"> △利息支出</t>
        </is>
      </c>
      <c r="Y52" s="1185">
        <f>ROW()-45</f>
        <v/>
      </c>
      <c r="Z52" s="1259">
        <f>IF($I$8="01",AB52,AB52-AA52)</f>
        <v/>
      </c>
      <c r="AA52" s="1249" t="n"/>
      <c r="AB52" s="1249" t="n"/>
      <c r="AC52" s="1249">
        <f>IF($I$9="01",AE52,AE52-AD52)</f>
        <v/>
      </c>
      <c r="AD52" s="1250" t="n"/>
      <c r="AE52" s="1250" t="n"/>
      <c r="AF52" s="1249">
        <f>Z52-AC52</f>
        <v/>
      </c>
      <c r="AG52" s="1249">
        <f>IF(AC52=0,0,(Z52-AC52)/AC52*100)</f>
        <v/>
      </c>
      <c r="AH52" s="1249">
        <f>IF($I$8="01",AJ52,AJ52-AI52)</f>
        <v/>
      </c>
      <c r="AI52" s="1249" t="n"/>
      <c r="AJ52" s="1249" t="n"/>
      <c r="AK52" s="1249">
        <f>Z52-AH52</f>
        <v/>
      </c>
      <c r="AL52" s="1249">
        <f>IF(AH52=0,0,(Z52-AH52)/AH52*100)</f>
        <v/>
      </c>
      <c r="AM52" s="1249" t="n"/>
      <c r="AN52" s="1249">
        <f>AB52-AM52</f>
        <v/>
      </c>
      <c r="AO52" s="1249">
        <f>IF(AM52=0,0,(AB52-AM52)/AM52*100)</f>
        <v/>
      </c>
      <c r="AP52" s="1251" t="n"/>
      <c r="AQ52" s="1249">
        <f>AP52</f>
        <v/>
      </c>
      <c r="AR52" s="1251">
        <f>Z52-AQ52</f>
        <v/>
      </c>
      <c r="AS52" s="1249">
        <f>IF(AP52=0,0,Z52/AP52*100)</f>
        <v/>
      </c>
      <c r="AT52" s="1251" t="n"/>
      <c r="AU52" s="1249">
        <f>AT52</f>
        <v/>
      </c>
      <c r="AV52" s="1251">
        <f>AB52-AT52</f>
        <v/>
      </c>
      <c r="AW52" s="1249">
        <f>IF(AT52=0,0,AB52/AT52*100)</f>
        <v/>
      </c>
      <c r="AX52" s="1251" t="n"/>
      <c r="AY52" s="1259">
        <f>AX52</f>
        <v/>
      </c>
      <c r="AZ52" s="1260">
        <f>AB52-AX52</f>
        <v/>
      </c>
      <c r="BA52" s="1259">
        <f>IF(AX52=0,0,AB52/AX52*100)</f>
        <v/>
      </c>
    </row>
    <row r="53" ht="14.45" customFormat="1" customHeight="1" s="1024">
      <c r="A53" s="716" t="n"/>
      <c r="B53" s="716" t="n"/>
      <c r="C53" s="716" t="n"/>
      <c r="D53" s="716" t="n"/>
      <c r="E53" s="716" t="n"/>
      <c r="F53" s="716" t="n"/>
      <c r="G53" s="716" t="n"/>
      <c r="H53" s="716" t="n"/>
      <c r="I53" s="716" t="n"/>
      <c r="J53" s="716" t="n"/>
      <c r="K53" s="716" t="n"/>
      <c r="L53" s="716" t="n"/>
      <c r="M53" s="716" t="n"/>
      <c r="N53" s="716" t="n"/>
      <c r="O53" s="716" t="n"/>
      <c r="P53" s="716" t="n"/>
      <c r="Q53" s="716" t="n"/>
      <c r="R53" s="716" t="n"/>
      <c r="S53" s="462">
        <f>IF(_epmOfflineCondition_,"        # 手续费及佣金支出",EPMMemberDesc(U53))</f>
        <v/>
      </c>
      <c r="T53" s="716" t="n"/>
      <c r="U53" s="716" t="inlineStr">
        <is>
          <t>A0020203</t>
        </is>
      </c>
      <c r="V53" s="699">
        <f>IF(_epmOfflineCondition_,"A0020203",EPMOlapMemberO(U53,"[C_ACCOUNT].[PARENTH1].[A0020203]","A0020203 -         # 手续费及佣金支出","","000"))</f>
        <v/>
      </c>
      <c r="W53" s="462" t="n"/>
      <c r="X53" s="1027" t="inlineStr">
        <is>
          <t xml:space="preserve"> △手续费及佣金支出</t>
        </is>
      </c>
      <c r="Y53" s="1185">
        <f>ROW()-45</f>
        <v/>
      </c>
      <c r="Z53" s="1259">
        <f>IF($I$8="01",AB53,AB53-AA53)</f>
        <v/>
      </c>
      <c r="AA53" s="1249" t="n"/>
      <c r="AB53" s="1249" t="n"/>
      <c r="AC53" s="1249">
        <f>IF($I$9="01",AE53,AE53-AD53)</f>
        <v/>
      </c>
      <c r="AD53" s="1250" t="n"/>
      <c r="AE53" s="1250" t="n"/>
      <c r="AF53" s="1249">
        <f>Z53-AC53</f>
        <v/>
      </c>
      <c r="AG53" s="1249">
        <f>IF(AC53=0,0,(Z53-AC53)/AC53*100)</f>
        <v/>
      </c>
      <c r="AH53" s="1249">
        <f>IF($I$8="01",AJ53,AJ53-AI53)</f>
        <v/>
      </c>
      <c r="AI53" s="1249" t="n"/>
      <c r="AJ53" s="1249" t="n"/>
      <c r="AK53" s="1249">
        <f>Z53-AH53</f>
        <v/>
      </c>
      <c r="AL53" s="1249">
        <f>IF(AH53=0,0,(Z53-AH53)/AH53*100)</f>
        <v/>
      </c>
      <c r="AM53" s="1249" t="n"/>
      <c r="AN53" s="1249">
        <f>AB53-AM53</f>
        <v/>
      </c>
      <c r="AO53" s="1249">
        <f>IF(AM53=0,0,(AB53-AM53)/AM53*100)</f>
        <v/>
      </c>
      <c r="AP53" s="1251" t="n"/>
      <c r="AQ53" s="1249">
        <f>AP53</f>
        <v/>
      </c>
      <c r="AR53" s="1251">
        <f>Z53-AQ53</f>
        <v/>
      </c>
      <c r="AS53" s="1249">
        <f>IF(AP53=0,0,Z53/AP53*100)</f>
        <v/>
      </c>
      <c r="AT53" s="1251" t="n"/>
      <c r="AU53" s="1249">
        <f>AT53</f>
        <v/>
      </c>
      <c r="AV53" s="1251">
        <f>AB53-AT53</f>
        <v/>
      </c>
      <c r="AW53" s="1249">
        <f>IF(AT53=0,0,AB53/AT53*100)</f>
        <v/>
      </c>
      <c r="AX53" s="1251" t="n"/>
      <c r="AY53" s="1259">
        <f>AX53</f>
        <v/>
      </c>
      <c r="AZ53" s="1260">
        <f>AB53-AX53</f>
        <v/>
      </c>
      <c r="BA53" s="1259">
        <f>IF(AX53=0,0,AB53/AX53*100)</f>
        <v/>
      </c>
    </row>
    <row r="54" ht="14.45" customFormat="1" customHeight="1" s="1024">
      <c r="A54" s="716" t="n"/>
      <c r="B54" s="716" t="n"/>
      <c r="C54" s="716" t="n"/>
      <c r="D54" s="716" t="n"/>
      <c r="E54" s="716" t="n"/>
      <c r="F54" s="716" t="n"/>
      <c r="G54" s="716" t="n"/>
      <c r="H54" s="716" t="n"/>
      <c r="I54" s="716" t="n"/>
      <c r="J54" s="716" t="n"/>
      <c r="K54" s="716" t="n"/>
      <c r="L54" s="716" t="n"/>
      <c r="M54" s="716" t="n"/>
      <c r="N54" s="716" t="n"/>
      <c r="O54" s="716" t="n"/>
      <c r="P54" s="716" t="n"/>
      <c r="Q54" s="716" t="n"/>
      <c r="R54" s="716" t="n"/>
      <c r="S54" s="462">
        <f>IF(_epmOfflineCondition_,"　　    税金及附加",EPMMemberDesc(U54))</f>
        <v/>
      </c>
      <c r="T54" s="716" t="n"/>
      <c r="U54" s="716" t="inlineStr">
        <is>
          <t>A0020204</t>
        </is>
      </c>
      <c r="V54" s="699">
        <f>IF(_epmOfflineCondition_,"A0020204",EPMOlapMemberO(U54,"[C_ACCOUNT].[PARENTH1].[A0020204]","A0020204 - 　　    税金及附加","","000"))</f>
        <v/>
      </c>
      <c r="W54" s="462" t="n"/>
      <c r="X54" s="457" t="inlineStr">
        <is>
          <t xml:space="preserve">            税金及附加</t>
        </is>
      </c>
      <c r="Y54" s="1185">
        <f>ROW()-45</f>
        <v/>
      </c>
      <c r="Z54" s="1259">
        <f>IF($I$8="01",AB54,AB54-AA54)</f>
        <v/>
      </c>
      <c r="AA54" s="1249" t="inlineStr"/>
      <c r="AB54" s="1249" t="inlineStr"/>
      <c r="AC54" s="1249">
        <f>IF($I$9="01",AE54,AE54-AD54)</f>
        <v/>
      </c>
      <c r="AD54" s="1250" t="inlineStr"/>
      <c r="AE54" s="1250" t="inlineStr"/>
      <c r="AF54" s="1249">
        <f>Z54-AC54</f>
        <v/>
      </c>
      <c r="AG54" s="1249">
        <f>IF(AC54=0,0,(Z54-AC54)/AC54*100)</f>
        <v/>
      </c>
      <c r="AH54" s="1249">
        <f>IF($I$8="01",AJ54,AJ54-AI54)</f>
        <v/>
      </c>
      <c r="AI54" s="1249" t="inlineStr"/>
      <c r="AJ54" s="1249" t="inlineStr"/>
      <c r="AK54" s="1249">
        <f>Z54-AH54</f>
        <v/>
      </c>
      <c r="AL54" s="1249">
        <f>IF(AH54=0,0,(Z54-AH54)/AH54*100)</f>
        <v/>
      </c>
      <c r="AM54" s="1249" t="inlineStr"/>
      <c r="AN54" s="1249">
        <f>AB54-AM54</f>
        <v/>
      </c>
      <c r="AO54" s="1249">
        <f>IF(AM54=0,0,(AB54-AM54)/AM54*100)</f>
        <v/>
      </c>
      <c r="AP54" s="1251" t="n"/>
      <c r="AQ54" s="1249">
        <f>AP54</f>
        <v/>
      </c>
      <c r="AR54" s="1251">
        <f>Z54-AQ54</f>
        <v/>
      </c>
      <c r="AS54" s="1249">
        <f>IF(AP54=0,0,Z54/AP54*100)</f>
        <v/>
      </c>
      <c r="AT54" s="1251" t="n"/>
      <c r="AU54" s="1249">
        <f>AT54</f>
        <v/>
      </c>
      <c r="AV54" s="1251">
        <f>AB54-AT54</f>
        <v/>
      </c>
      <c r="AW54" s="1249">
        <f>IF(AT54=0,0,AB54/AT54*100)</f>
        <v/>
      </c>
      <c r="AX54" s="1251" t="n"/>
      <c r="AY54" s="1259">
        <f>AX54</f>
        <v/>
      </c>
      <c r="AZ54" s="1260">
        <f>AB54-AX54</f>
        <v/>
      </c>
      <c r="BA54" s="1259">
        <f>IF(AX54=0,0,AB54/AX54*100)</f>
        <v/>
      </c>
    </row>
    <row r="55" ht="14.45" customFormat="1" customHeight="1" s="1024">
      <c r="A55" s="716" t="n"/>
      <c r="B55" s="716" t="n"/>
      <c r="C55" s="716" t="n"/>
      <c r="D55" s="716" t="n"/>
      <c r="E55" s="716" t="n"/>
      <c r="F55" s="716" t="n"/>
      <c r="G55" s="716" t="n"/>
      <c r="H55" s="716" t="n"/>
      <c r="I55" s="716" t="n"/>
      <c r="J55" s="716" t="n"/>
      <c r="K55" s="716" t="n"/>
      <c r="L55" s="716" t="n"/>
      <c r="M55" s="716" t="n"/>
      <c r="N55" s="716" t="n"/>
      <c r="O55" s="716" t="n"/>
      <c r="P55" s="716" t="n"/>
      <c r="Q55" s="716" t="n"/>
      <c r="R55" s="716" t="n"/>
      <c r="S55" s="462">
        <f>IF(_epmOfflineCondition_,"           销售费用",EPMMemberDesc(U55))</f>
        <v/>
      </c>
      <c r="T55" s="716" t="n"/>
      <c r="U55" s="716" t="inlineStr">
        <is>
          <t>A0020205</t>
        </is>
      </c>
      <c r="V55" s="699">
        <f>IF(_epmOfflineCondition_,"A0020205",EPMOlapMemberO(U55,"[C_ACCOUNT].[PARENTH1].[A0020205]","A0020205 -            销售费用","","000"))</f>
        <v/>
      </c>
      <c r="W55" s="462" t="n"/>
      <c r="X55" s="457" t="inlineStr">
        <is>
          <t xml:space="preserve">            销售费用</t>
        </is>
      </c>
      <c r="Y55" s="1185">
        <f>ROW()-45</f>
        <v/>
      </c>
      <c r="Z55" s="1259">
        <f>IF($I$8="01",AB55,AB55-AA55)</f>
        <v/>
      </c>
      <c r="AA55" s="1249" t="n"/>
      <c r="AB55" s="1249" t="n"/>
      <c r="AC55" s="1249">
        <f>IF($I$9="01",AE55,AE55-AD55)</f>
        <v/>
      </c>
      <c r="AD55" s="1250" t="n"/>
      <c r="AE55" s="1250" t="n"/>
      <c r="AF55" s="1249">
        <f>Z55-AC55</f>
        <v/>
      </c>
      <c r="AG55" s="1249">
        <f>IF(AC55=0,0,(Z55-AC55)/AC55*100)</f>
        <v/>
      </c>
      <c r="AH55" s="1249">
        <f>IF($I$8="01",AJ55,AJ55-AI55)</f>
        <v/>
      </c>
      <c r="AI55" s="1249" t="n"/>
      <c r="AJ55" s="1249" t="n"/>
      <c r="AK55" s="1249">
        <f>Z55-AH55</f>
        <v/>
      </c>
      <c r="AL55" s="1249">
        <f>IF(AH55=0,0,(Z55-AH55)/AH55*100)</f>
        <v/>
      </c>
      <c r="AM55" s="1249" t="n"/>
      <c r="AN55" s="1249">
        <f>AB55-AM55</f>
        <v/>
      </c>
      <c r="AO55" s="1249">
        <f>IF(AM55=0,0,(AB55-AM55)/AM55*100)</f>
        <v/>
      </c>
      <c r="AP55" s="1251" t="n"/>
      <c r="AQ55" s="1249">
        <f>AP55</f>
        <v/>
      </c>
      <c r="AR55" s="1251">
        <f>Z55-AQ55</f>
        <v/>
      </c>
      <c r="AS55" s="1249">
        <f>IF(AP55=0,0,Z55/AP55*100)</f>
        <v/>
      </c>
      <c r="AT55" s="1251" t="n"/>
      <c r="AU55" s="1249">
        <f>AT55</f>
        <v/>
      </c>
      <c r="AV55" s="1251">
        <f>AB55-AT55</f>
        <v/>
      </c>
      <c r="AW55" s="1249">
        <f>IF(AT55=0,0,AB55/AT55*100)</f>
        <v/>
      </c>
      <c r="AX55" s="1251" t="n"/>
      <c r="AY55" s="1259">
        <f>AX55</f>
        <v/>
      </c>
      <c r="AZ55" s="1260">
        <f>AB55-AX55</f>
        <v/>
      </c>
      <c r="BA55" s="1259">
        <f>IF(AX55=0,0,AB55/AX55*100)</f>
        <v/>
      </c>
    </row>
    <row r="56" ht="14.45" customFormat="1" customHeight="1" s="1024">
      <c r="A56" s="716" t="n"/>
      <c r="B56" s="716" t="n"/>
      <c r="C56" s="716" t="n"/>
      <c r="D56" s="716" t="n"/>
      <c r="E56" s="716" t="n"/>
      <c r="F56" s="716" t="n"/>
      <c r="G56" s="716" t="n"/>
      <c r="H56" s="716" t="n"/>
      <c r="I56" s="716" t="n"/>
      <c r="J56" s="716" t="n"/>
      <c r="K56" s="716" t="n"/>
      <c r="L56" s="716" t="n"/>
      <c r="M56" s="716" t="n"/>
      <c r="N56" s="716" t="n"/>
      <c r="O56" s="716" t="n"/>
      <c r="P56" s="716" t="n"/>
      <c r="Q56" s="716" t="n"/>
      <c r="R56" s="716" t="n"/>
      <c r="S56" s="462">
        <f>IF(_epmOfflineCondition_,"　　    管理费用",EPMMemberDesc(U56))</f>
        <v/>
      </c>
      <c r="T56" s="716" t="n"/>
      <c r="U56" s="716" t="inlineStr">
        <is>
          <t>A0020206</t>
        </is>
      </c>
      <c r="V56" s="699">
        <f>IF(_epmOfflineCondition_,"A0020206",EPMOlapMemberO(U56,"[C_ACCOUNT].[PARENTH1].[A0020206]","A0020206 - 　　    管理费用","","000"))</f>
        <v/>
      </c>
      <c r="W56" s="462" t="n"/>
      <c r="X56" s="457" t="inlineStr">
        <is>
          <t xml:space="preserve">            管理费用</t>
        </is>
      </c>
      <c r="Y56" s="1185">
        <f>ROW()-45</f>
        <v/>
      </c>
      <c r="Z56" s="1259">
        <f>IF($I$8="01",AB56,AB56-AA56)</f>
        <v/>
      </c>
      <c r="AA56" s="1249" t="n"/>
      <c r="AB56" s="1249" t="n"/>
      <c r="AC56" s="1249">
        <f>IF($I$9="01",AE56,AE56-AD56)</f>
        <v/>
      </c>
      <c r="AD56" s="1250" t="n"/>
      <c r="AE56" s="1250" t="n"/>
      <c r="AF56" s="1249">
        <f>Z56-AC56</f>
        <v/>
      </c>
      <c r="AG56" s="1249">
        <f>IF(AC56=0,0,(Z56-AC56)/AC56*100)</f>
        <v/>
      </c>
      <c r="AH56" s="1249">
        <f>IF($I$8="01",AJ56,AJ56-AI56)</f>
        <v/>
      </c>
      <c r="AI56" s="1249" t="n"/>
      <c r="AJ56" s="1249" t="n"/>
      <c r="AK56" s="1249">
        <f>Z56-AH56</f>
        <v/>
      </c>
      <c r="AL56" s="1249">
        <f>IF(AH56=0,0,(Z56-AH56)/AH56*100)</f>
        <v/>
      </c>
      <c r="AM56" s="1249" t="n"/>
      <c r="AN56" s="1249">
        <f>AB56-AM56</f>
        <v/>
      </c>
      <c r="AO56" s="1249">
        <f>IF(AM56=0,0,(AB56-AM56)/AM56*100)</f>
        <v/>
      </c>
      <c r="AP56" s="1251" t="n"/>
      <c r="AQ56" s="1249">
        <f>AP56</f>
        <v/>
      </c>
      <c r="AR56" s="1251">
        <f>Z56-AQ56</f>
        <v/>
      </c>
      <c r="AS56" s="1249">
        <f>IF(AP56=0,0,Z56/AP56*100)</f>
        <v/>
      </c>
      <c r="AT56" s="1251" t="n"/>
      <c r="AU56" s="1249">
        <f>AT56</f>
        <v/>
      </c>
      <c r="AV56" s="1251">
        <f>AB56-AT56</f>
        <v/>
      </c>
      <c r="AW56" s="1249">
        <f>IF(AT56=0,0,AB56/AT56*100)</f>
        <v/>
      </c>
      <c r="AX56" s="1251" t="n"/>
      <c r="AY56" s="1259">
        <f>AX56</f>
        <v/>
      </c>
      <c r="AZ56" s="1260">
        <f>AB56-AX56</f>
        <v/>
      </c>
      <c r="BA56" s="1259">
        <f>IF(AX56=0,0,AB56/AX56*100)</f>
        <v/>
      </c>
    </row>
    <row r="57" ht="14.45" customFormat="1" customHeight="1" s="1024">
      <c r="A57" s="716" t="n"/>
      <c r="B57" s="716" t="n"/>
      <c r="C57" s="716" t="n"/>
      <c r="D57" s="716" t="n"/>
      <c r="E57" s="716" t="n"/>
      <c r="F57" s="716" t="n"/>
      <c r="G57" s="716" t="n"/>
      <c r="H57" s="716" t="n"/>
      <c r="I57" s="716" t="n"/>
      <c r="J57" s="716" t="n"/>
      <c r="K57" s="716" t="n"/>
      <c r="L57" s="716" t="n"/>
      <c r="M57" s="716" t="n"/>
      <c r="N57" s="716" t="n"/>
      <c r="O57" s="716" t="n"/>
      <c r="P57" s="716" t="n"/>
      <c r="Q57" s="716" t="n"/>
      <c r="R57" s="716" t="n"/>
      <c r="S57" s="462">
        <f>IF(_epmOfflineCondition_,"           研发费用",EPMMemberDesc(U57))</f>
        <v/>
      </c>
      <c r="T57" s="716" t="n"/>
      <c r="U57" s="716" t="inlineStr">
        <is>
          <t>A0020207</t>
        </is>
      </c>
      <c r="V57" s="699">
        <f>IF(_epmOfflineCondition_,"A0020207",EPMOlapMemberO(U57,"[C_ACCOUNT].[PARENTH1].[A0020207]","A0020207 -            研发费用","","000"))</f>
        <v/>
      </c>
      <c r="W57" s="462" t="n"/>
      <c r="X57" s="457" t="inlineStr">
        <is>
          <t xml:space="preserve">            研发费用</t>
        </is>
      </c>
      <c r="Y57" s="1185">
        <f>ROW()-45</f>
        <v/>
      </c>
      <c r="Z57" s="1259">
        <f>IF($I$8="01",AB57,AB57-AA57)</f>
        <v/>
      </c>
      <c r="AA57" s="1249" t="n"/>
      <c r="AB57" s="1249" t="n"/>
      <c r="AC57" s="1249">
        <f>IF($I$9="01",AE57,AE57-AD57)</f>
        <v/>
      </c>
      <c r="AD57" s="1250" t="n"/>
      <c r="AE57" s="1250" t="n"/>
      <c r="AF57" s="1249">
        <f>Z57-AC57</f>
        <v/>
      </c>
      <c r="AG57" s="1249">
        <f>IF(AC57=0,0,(Z57-AC57)/AC57*100)</f>
        <v/>
      </c>
      <c r="AH57" s="1249">
        <f>IF($I$8="01",AJ57,AJ57-AI57)</f>
        <v/>
      </c>
      <c r="AI57" s="1249" t="n"/>
      <c r="AJ57" s="1249" t="n"/>
      <c r="AK57" s="1249">
        <f>Z57-AH57</f>
        <v/>
      </c>
      <c r="AL57" s="1249">
        <f>IF(AH57=0,0,(Z57-AH57)/AH57*100)</f>
        <v/>
      </c>
      <c r="AM57" s="1249" t="n"/>
      <c r="AN57" s="1249">
        <f>AB57-AM57</f>
        <v/>
      </c>
      <c r="AO57" s="1249">
        <f>IF(AM57=0,0,(AB57-AM57)/AM57*100)</f>
        <v/>
      </c>
      <c r="AP57" s="1251" t="n"/>
      <c r="AQ57" s="1249">
        <f>AP57</f>
        <v/>
      </c>
      <c r="AR57" s="1251">
        <f>Z57-AQ57</f>
        <v/>
      </c>
      <c r="AS57" s="1249">
        <f>IF(AP57=0,0,Z57/AP57*100)</f>
        <v/>
      </c>
      <c r="AT57" s="1251" t="n"/>
      <c r="AU57" s="1249">
        <f>AT57</f>
        <v/>
      </c>
      <c r="AV57" s="1251">
        <f>AB57-AT57</f>
        <v/>
      </c>
      <c r="AW57" s="1249">
        <f>IF(AT57=0,0,AB57/AT57*100)</f>
        <v/>
      </c>
      <c r="AX57" s="1251" t="n"/>
      <c r="AY57" s="1259">
        <f>AX57</f>
        <v/>
      </c>
      <c r="AZ57" s="1260">
        <f>AB57-AX57</f>
        <v/>
      </c>
      <c r="BA57" s="1259">
        <f>IF(AX57=0,0,AB57/AX57*100)</f>
        <v/>
      </c>
    </row>
    <row r="58" ht="14.45" customFormat="1" customHeight="1" s="1024">
      <c r="A58" s="716" t="n"/>
      <c r="B58" s="716" t="n"/>
      <c r="C58" s="716" t="n"/>
      <c r="D58" s="716" t="n"/>
      <c r="E58" s="716" t="n"/>
      <c r="F58" s="716" t="n"/>
      <c r="G58" s="716" t="n"/>
      <c r="H58" s="716" t="n"/>
      <c r="I58" s="716" t="n"/>
      <c r="J58" s="716" t="n"/>
      <c r="K58" s="716" t="n"/>
      <c r="L58" s="716" t="n"/>
      <c r="M58" s="716" t="n"/>
      <c r="N58" s="716" t="n"/>
      <c r="O58" s="716" t="n"/>
      <c r="P58" s="716" t="n"/>
      <c r="Q58" s="716" t="n"/>
      <c r="R58" s="716" t="n"/>
      <c r="S58" s="462">
        <f>IF(_epmOfflineCondition_,"　　    财务费用",EPMMemberDesc(U58))</f>
        <v/>
      </c>
      <c r="T58" s="716" t="n"/>
      <c r="U58" s="716" t="inlineStr">
        <is>
          <t>A0020208</t>
        </is>
      </c>
      <c r="V58" s="699">
        <f>IF(_epmOfflineCondition_,"A0020208",EPMOlapMemberO(U58,"[C_ACCOUNT].[PARENTH1].[A0020208]","A0020208 - 　　    财务费用","","000"))</f>
        <v/>
      </c>
      <c r="W58" s="462" t="n"/>
      <c r="X58" s="457" t="inlineStr">
        <is>
          <t xml:space="preserve">            财务费用</t>
        </is>
      </c>
      <c r="Y58" s="1185">
        <f>ROW()-45</f>
        <v/>
      </c>
      <c r="Z58" s="1259">
        <f>IF($I$8="01",AB58,AB58-AA58)</f>
        <v/>
      </c>
      <c r="AA58" s="1249" t="inlineStr"/>
      <c r="AB58" s="1249" t="inlineStr"/>
      <c r="AC58" s="1249">
        <f>IF($I$9="01",AE58,AE58-AD58)</f>
        <v/>
      </c>
      <c r="AD58" s="1250" t="inlineStr"/>
      <c r="AE58" s="1250" t="inlineStr"/>
      <c r="AF58" s="1249">
        <f>Z58-AC58</f>
        <v/>
      </c>
      <c r="AG58" s="1249">
        <f>IF(AC58=0,0,(Z58-AC58)/AC58*100)</f>
        <v/>
      </c>
      <c r="AH58" s="1249">
        <f>IF($I$8="01",AJ58,AJ58-AI58)</f>
        <v/>
      </c>
      <c r="AI58" s="1249" t="n"/>
      <c r="AJ58" s="1249" t="n"/>
      <c r="AK58" s="1249">
        <f>Z58-AH58</f>
        <v/>
      </c>
      <c r="AL58" s="1249">
        <f>IF(AH58=0,0,(Z58-AH58)/AH58*100)</f>
        <v/>
      </c>
      <c r="AM58" s="1249" t="n"/>
      <c r="AN58" s="1249">
        <f>AB58-AM58</f>
        <v/>
      </c>
      <c r="AO58" s="1249">
        <f>IF(AM58=0,0,(AB58-AM58)/AM58*100)</f>
        <v/>
      </c>
      <c r="AP58" s="1251" t="n"/>
      <c r="AQ58" s="1249">
        <f>AP58</f>
        <v/>
      </c>
      <c r="AR58" s="1251">
        <f>Z58-AQ58</f>
        <v/>
      </c>
      <c r="AS58" s="1249">
        <f>IF(AP58=0,0,Z58/AP58*100)</f>
        <v/>
      </c>
      <c r="AT58" s="1251" t="n"/>
      <c r="AU58" s="1249">
        <f>AT58</f>
        <v/>
      </c>
      <c r="AV58" s="1251">
        <f>AB58-AT58</f>
        <v/>
      </c>
      <c r="AW58" s="1249">
        <f>IF(AT58=0,0,AB58/AT58*100)</f>
        <v/>
      </c>
      <c r="AX58" s="1251" t="n"/>
      <c r="AY58" s="1259">
        <f>AX58</f>
        <v/>
      </c>
      <c r="AZ58" s="1260">
        <f>AB58-AX58</f>
        <v/>
      </c>
      <c r="BA58" s="1259">
        <f>IF(AX58=0,0,AB58/AX58*100)</f>
        <v/>
      </c>
    </row>
    <row r="59" ht="14.45" customFormat="1" customHeight="1" s="1024">
      <c r="A59" s="716" t="n"/>
      <c r="B59" s="716" t="n"/>
      <c r="C59" s="716" t="n"/>
      <c r="D59" s="716" t="n"/>
      <c r="E59" s="716" t="n"/>
      <c r="F59" s="716" t="n"/>
      <c r="G59" s="716" t="n"/>
      <c r="H59" s="716" t="n"/>
      <c r="I59" s="716" t="n"/>
      <c r="J59" s="716" t="n"/>
      <c r="K59" s="716" t="n"/>
      <c r="L59" s="716" t="n"/>
      <c r="M59" s="716" t="n"/>
      <c r="N59" s="716" t="n"/>
      <c r="O59" s="716" t="n"/>
      <c r="P59" s="716" t="n"/>
      <c r="Q59" s="716" t="n"/>
      <c r="R59" s="716" t="n"/>
      <c r="S59" s="462">
        <f>IF(_epmOfflineCondition_,"财务费用-利息费用",EPMMemberDesc(U59))</f>
        <v/>
      </c>
      <c r="T59" s="716" t="n"/>
      <c r="U59" s="716" t="inlineStr">
        <is>
          <t>A660302</t>
        </is>
      </c>
      <c r="V59" s="701">
        <f>IF(_epmOfflineCondition_,"A660302",EPMOlapMemberO(U59,"[C_ACCOUNT].[PARENTH1].[A660302]","A660302 - 财务费用-利息费用","","000"))</f>
        <v/>
      </c>
      <c r="W59" s="462" t="n"/>
      <c r="X59" s="588" t="inlineStr">
        <is>
          <t xml:space="preserve">                      其中：利息支出</t>
        </is>
      </c>
      <c r="Y59" s="1185">
        <f>ROW()-45</f>
        <v/>
      </c>
      <c r="Z59" s="1259">
        <f>IF($I$8="01",AB59,AB59-AA59)</f>
        <v/>
      </c>
      <c r="AA59" s="1249" t="inlineStr"/>
      <c r="AB59" s="1249" t="inlineStr"/>
      <c r="AC59" s="1249">
        <f>IF($I$9="01",AE59,AE59-AD59)</f>
        <v/>
      </c>
      <c r="AD59" s="1250" t="inlineStr"/>
      <c r="AE59" s="1250" t="inlineStr"/>
      <c r="AF59" s="1249">
        <f>Z59-AC59</f>
        <v/>
      </c>
      <c r="AG59" s="1249">
        <f>IF(AC59=0,0,(Z59-AC59)/AC59*100)</f>
        <v/>
      </c>
      <c r="AH59" s="1249">
        <f>IF($I$8="01",AJ59,AJ59-AI59)</f>
        <v/>
      </c>
      <c r="AI59" s="1249" t="n"/>
      <c r="AJ59" s="1249" t="n"/>
      <c r="AK59" s="1249">
        <f>Z59-AH59</f>
        <v/>
      </c>
      <c r="AL59" s="1249">
        <f>IF(AH59=0,0,(Z59-AH59)/AH59*100)</f>
        <v/>
      </c>
      <c r="AM59" s="1249" t="n"/>
      <c r="AN59" s="1249">
        <f>AB59-AM59</f>
        <v/>
      </c>
      <c r="AO59" s="1249">
        <f>IF(AM59=0,0,(AB59-AM59)/AM59*100)</f>
        <v/>
      </c>
      <c r="AP59" s="1251" t="n"/>
      <c r="AQ59" s="1249">
        <f>AP59</f>
        <v/>
      </c>
      <c r="AR59" s="1251">
        <f>Z59-AQ59</f>
        <v/>
      </c>
      <c r="AS59" s="1249">
        <f>IF(AP59=0,0,Z59/AP59*100)</f>
        <v/>
      </c>
      <c r="AT59" s="1251" t="n"/>
      <c r="AU59" s="1249">
        <f>AT59</f>
        <v/>
      </c>
      <c r="AV59" s="1251">
        <f>AB59-AT59</f>
        <v/>
      </c>
      <c r="AW59" s="1249">
        <f>IF(AT59=0,0,AB59/AT59*100)</f>
        <v/>
      </c>
      <c r="AX59" s="1251" t="n"/>
      <c r="AY59" s="1259">
        <f>AX59</f>
        <v/>
      </c>
      <c r="AZ59" s="1260">
        <f>AB59-AX59</f>
        <v/>
      </c>
      <c r="BA59" s="1259">
        <f>IF(AX59=0,0,AB59/AX59*100)</f>
        <v/>
      </c>
    </row>
    <row r="60" ht="14.45" customFormat="1" customHeight="1" s="1024">
      <c r="A60" s="716" t="n"/>
      <c r="B60" s="716" t="n"/>
      <c r="C60" s="716" t="n"/>
      <c r="D60" s="716" t="n"/>
      <c r="E60" s="716" t="n"/>
      <c r="F60" s="716" t="n"/>
      <c r="G60" s="716" t="n"/>
      <c r="H60" s="716" t="n"/>
      <c r="I60" s="716" t="n"/>
      <c r="J60" s="716" t="n"/>
      <c r="K60" s="716" t="n"/>
      <c r="L60" s="716" t="n"/>
      <c r="M60" s="716" t="n"/>
      <c r="N60" s="716" t="n"/>
      <c r="O60" s="716" t="n"/>
      <c r="P60" s="716" t="n"/>
      <c r="Q60" s="716" t="n"/>
      <c r="R60" s="716" t="n"/>
      <c r="S60" s="462">
        <f>IF(_epmOfflineCondition_,"财务费用-利息收入",EPMMemberDesc(U60))</f>
        <v/>
      </c>
      <c r="T60" s="716" t="n"/>
      <c r="U60" s="716" t="inlineStr">
        <is>
          <t>A660301</t>
        </is>
      </c>
      <c r="V60" s="701">
        <f>IF(_epmOfflineCondition_,"A660301",EPMOlapMemberO(U60,"[C_ACCOUNT].[PARENTH1].[A660301]","A660301 - 财务费用-利息收入","","000"))</f>
        <v/>
      </c>
      <c r="W60" s="462" t="n"/>
      <c r="X60" s="457" t="inlineStr">
        <is>
          <t xml:space="preserve">                             利息收入</t>
        </is>
      </c>
      <c r="Y60" s="1185">
        <f>ROW()-45</f>
        <v/>
      </c>
      <c r="Z60" s="1259">
        <f>IF($I$8="01",AB60,AB60-AA60)</f>
        <v/>
      </c>
      <c r="AA60" s="1249" t="n"/>
      <c r="AB60" s="1249" t="inlineStr"/>
      <c r="AC60" s="1249">
        <f>IF($I$9="01",AE60,AE60-AD60)</f>
        <v/>
      </c>
      <c r="AD60" s="1250" t="n"/>
      <c r="AE60" s="1250" t="n"/>
      <c r="AF60" s="1249">
        <f>Z60-AC60</f>
        <v/>
      </c>
      <c r="AG60" s="1249">
        <f>IF(AC60=0,0,(Z60-AC60)/AC60*100)</f>
        <v/>
      </c>
      <c r="AH60" s="1249">
        <f>IF($I$8="01",AJ60,AJ60-AI60)</f>
        <v/>
      </c>
      <c r="AI60" s="1249" t="n"/>
      <c r="AJ60" s="1249" t="n"/>
      <c r="AK60" s="1249">
        <f>Z60-AH60</f>
        <v/>
      </c>
      <c r="AL60" s="1249">
        <f>IF(AH60=0,0,(Z60-AH60)/AH60*100)</f>
        <v/>
      </c>
      <c r="AM60" s="1249" t="n"/>
      <c r="AN60" s="1249">
        <f>AB60-AM60</f>
        <v/>
      </c>
      <c r="AO60" s="1249">
        <f>IF(AM60=0,0,(AB60-AM60)/AM60*100)</f>
        <v/>
      </c>
      <c r="AP60" s="1251" t="n"/>
      <c r="AQ60" s="1249">
        <f>AP60</f>
        <v/>
      </c>
      <c r="AR60" s="1251">
        <f>Z60-AQ60</f>
        <v/>
      </c>
      <c r="AS60" s="1249">
        <f>IF(AP60=0,0,Z60/AP60*100)</f>
        <v/>
      </c>
      <c r="AT60" s="1251" t="n"/>
      <c r="AU60" s="1249">
        <f>AT60</f>
        <v/>
      </c>
      <c r="AV60" s="1251">
        <f>AB60-AT60</f>
        <v/>
      </c>
      <c r="AW60" s="1249">
        <f>IF(AT60=0,0,AB60/AT60*100)</f>
        <v/>
      </c>
      <c r="AX60" s="1251" t="n"/>
      <c r="AY60" s="1259">
        <f>AX60</f>
        <v/>
      </c>
      <c r="AZ60" s="1260">
        <f>AB60-AX60</f>
        <v/>
      </c>
      <c r="BA60" s="1259">
        <f>IF(AX60=0,0,AB60/AX60*100)</f>
        <v/>
      </c>
    </row>
    <row r="61" ht="14.45" customFormat="1" customHeight="1" s="1024">
      <c r="A61" s="716" t="n"/>
      <c r="B61" s="716" t="n"/>
      <c r="C61" s="716" t="n"/>
      <c r="D61" s="716" t="n"/>
      <c r="E61" s="716" t="n"/>
      <c r="F61" s="716" t="n"/>
      <c r="G61" s="716" t="n"/>
      <c r="H61" s="716" t="n"/>
      <c r="I61" s="716" t="n"/>
      <c r="J61" s="716" t="n"/>
      <c r="K61" s="716" t="n"/>
      <c r="L61" s="716" t="n"/>
      <c r="M61" s="716" t="n"/>
      <c r="N61" s="716" t="n"/>
      <c r="O61" s="716" t="n"/>
      <c r="P61" s="716" t="n"/>
      <c r="Q61" s="716" t="n"/>
      <c r="R61" s="716" t="n"/>
      <c r="S61" s="462">
        <f>IF(_epmOfflineCondition_,"财务费用-汇兑损益",EPMMemberDesc(U61))</f>
        <v/>
      </c>
      <c r="T61" s="716" t="n"/>
      <c r="U61" s="716" t="inlineStr">
        <is>
          <t>A6603030000</t>
        </is>
      </c>
      <c r="V61" s="703">
        <f>IF(_epmOfflineCondition_,"A6603030000",EPMOlapMemberO(U61,"[C_ACCOUNT].[PARENTH1].[A6603030000]","A6603030000 - 财务费用-汇兑损益","","000"))</f>
        <v/>
      </c>
      <c r="W61" s="462" t="n"/>
      <c r="X61" s="457" t="inlineStr">
        <is>
          <t xml:space="preserve">                             汇兑净损失（净收益以“－”号填列）</t>
        </is>
      </c>
      <c r="Y61" s="1185">
        <f>ROW()-45</f>
        <v/>
      </c>
      <c r="Z61" s="1259">
        <f>IF($I$8="01",AB61,AB61-AA61)</f>
        <v/>
      </c>
      <c r="AA61" s="1249" t="n"/>
      <c r="AB61" s="1249" t="n"/>
      <c r="AC61" s="1249">
        <f>IF($I$9="01",AE61,AE61-AD61)</f>
        <v/>
      </c>
      <c r="AD61" s="1250" t="n"/>
      <c r="AE61" s="1250" t="n"/>
      <c r="AF61" s="1249">
        <f>Z61-AC61</f>
        <v/>
      </c>
      <c r="AG61" s="1249">
        <f>IF(AC61=0,0,(Z61-AC61)/AC61*100)</f>
        <v/>
      </c>
      <c r="AH61" s="1249">
        <f>IF($I$8="01",AJ61,AJ61-AI61)</f>
        <v/>
      </c>
      <c r="AI61" s="1249" t="n"/>
      <c r="AJ61" s="1249" t="n"/>
      <c r="AK61" s="1249">
        <f>Z61-AH61</f>
        <v/>
      </c>
      <c r="AL61" s="1249">
        <f>IF(AH61=0,0,(Z61-AH61)/AH61*100)</f>
        <v/>
      </c>
      <c r="AM61" s="1249" t="n"/>
      <c r="AN61" s="1249">
        <f>AB61-AM61</f>
        <v/>
      </c>
      <c r="AO61" s="1249">
        <f>IF(AM61=0,0,(AB61-AM61)/AM61*100)</f>
        <v/>
      </c>
      <c r="AP61" s="1251" t="n"/>
      <c r="AQ61" s="1249">
        <f>AP61</f>
        <v/>
      </c>
      <c r="AR61" s="1251">
        <f>Z61-AQ61</f>
        <v/>
      </c>
      <c r="AS61" s="1249">
        <f>IF(AP61=0,0,Z61/AP61*100)</f>
        <v/>
      </c>
      <c r="AT61" s="1251" t="n"/>
      <c r="AU61" s="1249">
        <f>AT61</f>
        <v/>
      </c>
      <c r="AV61" s="1251">
        <f>AB61-AT61</f>
        <v/>
      </c>
      <c r="AW61" s="1249">
        <f>IF(AT61=0,0,AB61/AT61*100)</f>
        <v/>
      </c>
      <c r="AX61" s="1251" t="n"/>
      <c r="AY61" s="1259">
        <f>AX61</f>
        <v/>
      </c>
      <c r="AZ61" s="1260">
        <f>AB61-AX61</f>
        <v/>
      </c>
      <c r="BA61" s="1259">
        <f>IF(AX61=0,0,AB61/AX61*100)</f>
        <v/>
      </c>
    </row>
    <row r="62" ht="14.45" customFormat="1" customHeight="1" s="1024">
      <c r="A62" s="716" t="n"/>
      <c r="B62" s="716" t="n"/>
      <c r="C62" s="716" t="n"/>
      <c r="D62" s="716" t="n"/>
      <c r="E62" s="716" t="n"/>
      <c r="F62" s="716" t="n"/>
      <c r="G62" s="716" t="n"/>
      <c r="H62" s="716" t="n"/>
      <c r="I62" s="716" t="n"/>
      <c r="J62" s="716" t="n"/>
      <c r="K62" s="716" t="n"/>
      <c r="L62" s="716" t="n"/>
      <c r="M62" s="716" t="n"/>
      <c r="N62" s="716" t="n"/>
      <c r="O62" s="716" t="n"/>
      <c r="P62" s="716" t="n"/>
      <c r="Q62" s="716" t="n"/>
      <c r="R62" s="716" t="n"/>
      <c r="S62" s="462">
        <f>IF(_epmOfflineCondition_,"其他",EPMMemberDesc(U62))</f>
        <v/>
      </c>
      <c r="T62" s="716" t="n"/>
      <c r="U62" s="716" t="inlineStr">
        <is>
          <t>A0020299</t>
        </is>
      </c>
      <c r="V62" s="699">
        <f>IF(_epmOfflineCondition_,"A0020299",EPMOlapMemberO(U62,"[C_ACCOUNT].[PARENTH1].[A0020299]","A0020299 - 其他","","000"))</f>
        <v/>
      </c>
      <c r="W62" s="462" t="n"/>
      <c r="X62" s="457" t="inlineStr">
        <is>
          <t xml:space="preserve">            其他</t>
        </is>
      </c>
      <c r="Y62" s="1185">
        <f>ROW()-45</f>
        <v/>
      </c>
      <c r="Z62" s="1259">
        <f>IF($I$8="01",AB62,AB62-AA62)</f>
        <v/>
      </c>
      <c r="AA62" s="1249" t="n"/>
      <c r="AB62" s="1249" t="n"/>
      <c r="AC62" s="1249">
        <f>IF($I$9="01",AE62,AE62-AD62)</f>
        <v/>
      </c>
      <c r="AD62" s="1250" t="n"/>
      <c r="AE62" s="1250" t="n"/>
      <c r="AF62" s="1249">
        <f>Z62-AC62</f>
        <v/>
      </c>
      <c r="AG62" s="1249">
        <f>IF(AC62=0,0,(Z62-AC62)/AC62*100)</f>
        <v/>
      </c>
      <c r="AH62" s="1249">
        <f>IF($I$8="01",AJ62,AJ62-AI62)</f>
        <v/>
      </c>
      <c r="AI62" s="1249" t="n"/>
      <c r="AJ62" s="1249" t="n"/>
      <c r="AK62" s="1249">
        <f>Z62-AH62</f>
        <v/>
      </c>
      <c r="AL62" s="1249">
        <f>IF(AH62=0,0,(Z62-AH62)/AH62*100)</f>
        <v/>
      </c>
      <c r="AM62" s="1249" t="n"/>
      <c r="AN62" s="1249">
        <f>AB62-AM62</f>
        <v/>
      </c>
      <c r="AO62" s="1249">
        <f>IF(AM62=0,0,(AB62-AM62)/AM62*100)</f>
        <v/>
      </c>
      <c r="AP62" s="1251" t="n"/>
      <c r="AQ62" s="1249">
        <f>AP62</f>
        <v/>
      </c>
      <c r="AR62" s="1251">
        <f>Z62-AQ62</f>
        <v/>
      </c>
      <c r="AS62" s="1249">
        <f>IF(AP62=0,0,Z62/AP62*100)</f>
        <v/>
      </c>
      <c r="AT62" s="1251" t="n"/>
      <c r="AU62" s="1249">
        <f>AT62</f>
        <v/>
      </c>
      <c r="AV62" s="1251">
        <f>AB62-AT62</f>
        <v/>
      </c>
      <c r="AW62" s="1249">
        <f>IF(AT62=0,0,AB62/AT62*100)</f>
        <v/>
      </c>
      <c r="AX62" s="1251" t="n"/>
      <c r="AY62" s="1259">
        <f>AX62</f>
        <v/>
      </c>
      <c r="AZ62" s="1260">
        <f>AB62-AX62</f>
        <v/>
      </c>
      <c r="BA62" s="1259">
        <f>IF(AX62=0,0,AB62/AX62*100)</f>
        <v/>
      </c>
    </row>
    <row r="63" ht="14.45" customFormat="1" customHeight="1" s="1024">
      <c r="A63" s="716" t="n"/>
      <c r="B63" s="716" t="n"/>
      <c r="C63" s="716" t="n"/>
      <c r="D63" s="716" t="n"/>
      <c r="E63" s="716" t="n"/>
      <c r="F63" s="716" t="n"/>
      <c r="G63" s="716" t="n"/>
      <c r="H63" s="716" t="n"/>
      <c r="I63" s="716" t="n"/>
      <c r="J63" s="716" t="n"/>
      <c r="K63" s="716" t="n"/>
      <c r="L63" s="716" t="n"/>
      <c r="M63" s="716" t="n"/>
      <c r="N63" s="716" t="n"/>
      <c r="O63" s="716" t="n"/>
      <c r="P63" s="716" t="n"/>
      <c r="Q63" s="716" t="n"/>
      <c r="R63" s="716" t="n"/>
      <c r="S63" s="462">
        <f>IF(_epmOfflineCondition_,"    加：其他收益",EPMMemberDesc(U63))</f>
        <v/>
      </c>
      <c r="T63" s="716" t="n"/>
      <c r="U63" s="716" t="inlineStr">
        <is>
          <t>A0020211</t>
        </is>
      </c>
      <c r="V63" s="1018">
        <f>IF(_epmOfflineCondition_,"A0020211",EPMOlapMemberO(U63,"[C_ACCOUNT].[PARENTH1].[A0020211]","A0020211 -     加：其他收益","","000"))</f>
        <v/>
      </c>
      <c r="W63" s="462" t="n"/>
      <c r="X63" s="457" t="inlineStr">
        <is>
          <t xml:space="preserve">   加：其他收益</t>
        </is>
      </c>
      <c r="Y63" s="1185">
        <f>ROW()-45</f>
        <v/>
      </c>
      <c r="Z63" s="1259">
        <f>IF($I$8="01",AB63,AB63-AA63)</f>
        <v/>
      </c>
      <c r="AA63" s="1249" t="n"/>
      <c r="AB63" s="1249" t="n"/>
      <c r="AC63" s="1249">
        <f>IF($I$9="01",AE63,AE63-AD63)</f>
        <v/>
      </c>
      <c r="AD63" s="1250" t="n"/>
      <c r="AE63" s="1250" t="n"/>
      <c r="AF63" s="1249">
        <f>Z63-AC63</f>
        <v/>
      </c>
      <c r="AG63" s="1249">
        <f>IF(AC63=0,0,(Z63-AC63)/AC63*100)</f>
        <v/>
      </c>
      <c r="AH63" s="1249">
        <f>IF($I$8="01",AJ63,AJ63-AI63)</f>
        <v/>
      </c>
      <c r="AI63" s="1249" t="n"/>
      <c r="AJ63" s="1249" t="n"/>
      <c r="AK63" s="1249">
        <f>Z63-AH63</f>
        <v/>
      </c>
      <c r="AL63" s="1249">
        <f>IF(AH63=0,0,(Z63-AH63)/AH63*100)</f>
        <v/>
      </c>
      <c r="AM63" s="1249" t="n"/>
      <c r="AN63" s="1249">
        <f>AB63-AM63</f>
        <v/>
      </c>
      <c r="AO63" s="1249">
        <f>IF(AM63=0,0,(AB63-AM63)/AM63*100)</f>
        <v/>
      </c>
      <c r="AP63" s="1251" t="n"/>
      <c r="AQ63" s="1249">
        <f>AP63</f>
        <v/>
      </c>
      <c r="AR63" s="1251">
        <f>Z63-AQ63</f>
        <v/>
      </c>
      <c r="AS63" s="1249">
        <f>IF(AP63=0,0,Z63/AP63*100)</f>
        <v/>
      </c>
      <c r="AT63" s="1251" t="n"/>
      <c r="AU63" s="1249">
        <f>AT63</f>
        <v/>
      </c>
      <c r="AV63" s="1251">
        <f>AB63-AT63</f>
        <v/>
      </c>
      <c r="AW63" s="1249">
        <f>IF(AT63=0,0,AB63/AT63*100)</f>
        <v/>
      </c>
      <c r="AX63" s="1251" t="n"/>
      <c r="AY63" s="1259">
        <f>AX63</f>
        <v/>
      </c>
      <c r="AZ63" s="1260">
        <f>AB63-AX63</f>
        <v/>
      </c>
      <c r="BA63" s="1259">
        <f>IF(AX63=0,0,AB63/AX63*100)</f>
        <v/>
      </c>
    </row>
    <row r="64" ht="14.45" customFormat="1" customHeight="1" s="1024">
      <c r="A64" s="716" t="n"/>
      <c r="B64" s="716" t="n"/>
      <c r="C64" s="716" t="n"/>
      <c r="D64" s="716" t="n"/>
      <c r="E64" s="716" t="n"/>
      <c r="F64" s="716" t="n"/>
      <c r="G64" s="716" t="n"/>
      <c r="H64" s="716" t="n"/>
      <c r="I64" s="716" t="n"/>
      <c r="J64" s="716" t="n"/>
      <c r="K64" s="716" t="n"/>
      <c r="L64" s="716" t="n"/>
      <c r="M64" s="716" t="n"/>
      <c r="N64" s="716" t="n"/>
      <c r="O64" s="716" t="n"/>
      <c r="P64" s="716" t="n"/>
      <c r="Q64" s="716" t="n"/>
      <c r="R64" s="716" t="n"/>
      <c r="S64" s="462">
        <f>IF(_epmOfflineCondition_,"　      投资收益（损失以“-”号填列）",EPMMemberDesc(U64))</f>
        <v/>
      </c>
      <c r="T64" s="716" t="n"/>
      <c r="U64" s="716" t="inlineStr">
        <is>
          <t>A0020212</t>
        </is>
      </c>
      <c r="V64" s="1018">
        <f>IF(_epmOfflineCondition_,"A0020212",EPMOlapMemberO(U64,"[C_ACCOUNT].[PARENTH1].[A0020212]","A0020212 - 　      投资收益（损失以“-""号填列）","","000"))</f>
        <v/>
      </c>
      <c r="W64" s="462" t="n"/>
      <c r="X64" s="458" t="inlineStr">
        <is>
          <t xml:space="preserve"> 投资收益（损失以“－”号填列）</t>
        </is>
      </c>
      <c r="Y64" s="1185">
        <f>ROW()-45</f>
        <v/>
      </c>
      <c r="Z64" s="1259">
        <f>IF($I$8="01",AB64,AB64-AA64)</f>
        <v/>
      </c>
      <c r="AA64" s="1249" t="n"/>
      <c r="AB64" s="1249" t="n"/>
      <c r="AC64" s="1249">
        <f>IF($I$9="01",AE64,AE64-AD64)</f>
        <v/>
      </c>
      <c r="AD64" s="1250" t="n"/>
      <c r="AE64" s="1250" t="n"/>
      <c r="AF64" s="1249">
        <f>Z64-AC64</f>
        <v/>
      </c>
      <c r="AG64" s="1249">
        <f>IF(AC64=0,0,(Z64-AC64)/AC64*100)</f>
        <v/>
      </c>
      <c r="AH64" s="1249">
        <f>IF($I$8="01",AJ64,AJ64-AI64)</f>
        <v/>
      </c>
      <c r="AI64" s="1249" t="n"/>
      <c r="AJ64" s="1249" t="n"/>
      <c r="AK64" s="1249">
        <f>Z64-AH64</f>
        <v/>
      </c>
      <c r="AL64" s="1249">
        <f>IF(AH64=0,0,(Z64-AH64)/AH64*100)</f>
        <v/>
      </c>
      <c r="AM64" s="1249" t="n"/>
      <c r="AN64" s="1249">
        <f>AB64-AM64</f>
        <v/>
      </c>
      <c r="AO64" s="1249">
        <f>IF(AM64=0,0,(AB64-AM64)/AM64*100)</f>
        <v/>
      </c>
      <c r="AP64" s="1251" t="n"/>
      <c r="AQ64" s="1249">
        <f>AP64</f>
        <v/>
      </c>
      <c r="AR64" s="1251">
        <f>Z64-AQ64</f>
        <v/>
      </c>
      <c r="AS64" s="1249">
        <f>IF(AP64=0,0,Z64/AP64*100)</f>
        <v/>
      </c>
      <c r="AT64" s="1251" t="n"/>
      <c r="AU64" s="1249">
        <f>AT64</f>
        <v/>
      </c>
      <c r="AV64" s="1251">
        <f>AB64-AT64</f>
        <v/>
      </c>
      <c r="AW64" s="1249">
        <f>IF(AT64=0,0,AB64/AT64*100)</f>
        <v/>
      </c>
      <c r="AX64" s="1251" t="n"/>
      <c r="AY64" s="1259">
        <f>AX64</f>
        <v/>
      </c>
      <c r="AZ64" s="1260">
        <f>AB64-AX64</f>
        <v/>
      </c>
      <c r="BA64" s="1259">
        <f>IF(AX64=0,0,AB64/AX64*100)</f>
        <v/>
      </c>
    </row>
    <row r="65" ht="14.45" customFormat="1" customHeight="1" s="1024">
      <c r="A65" s="716" t="n"/>
      <c r="B65" s="716" t="n"/>
      <c r="C65" s="716" t="n"/>
      <c r="D65" s="716" t="n"/>
      <c r="E65" s="716" t="n"/>
      <c r="F65" s="716" t="n"/>
      <c r="G65" s="716" t="n"/>
      <c r="H65" s="716" t="n"/>
      <c r="I65" s="716" t="n"/>
      <c r="J65" s="716" t="n"/>
      <c r="K65" s="716" t="n"/>
      <c r="L65" s="716" t="n"/>
      <c r="M65" s="716" t="n"/>
      <c r="N65" s="716" t="n"/>
      <c r="O65" s="716" t="n"/>
      <c r="P65" s="716" t="n"/>
      <c r="Q65" s="716" t="n"/>
      <c r="R65" s="716" t="n"/>
      <c r="S65" s="462">
        <f>IF(_epmOfflineCondition_,"          其中：对联营企业和合营企业的投资收益",EPMMemberDesc(U65))</f>
        <v/>
      </c>
      <c r="T65" s="716" t="n"/>
      <c r="U65" s="716" t="inlineStr">
        <is>
          <t>A002021201</t>
        </is>
      </c>
      <c r="V65" s="701">
        <f>IF(_epmOfflineCondition_,"A002021201",EPMOlapMemberO(U65,"[C_ACCOUNT].[PARENTH1].[A002021201]","A002021201 -           其中：对联营企业和合营企业的投资收益","","000"))</f>
        <v/>
      </c>
      <c r="W65" s="462" t="n"/>
      <c r="X65" s="458" t="inlineStr">
        <is>
          <t xml:space="preserve">        其中：对联营企业和合营企业的投资收益</t>
        </is>
      </c>
      <c r="Y65" s="1185">
        <f>ROW()-45</f>
        <v/>
      </c>
      <c r="Z65" s="1259">
        <f>IF($I$8="01",AB65,AB65-AA65)</f>
        <v/>
      </c>
      <c r="AA65" s="1249" t="n"/>
      <c r="AB65" s="1249" t="n"/>
      <c r="AC65" s="1249">
        <f>IF($I$9="01",AE65,AE65-AD65)</f>
        <v/>
      </c>
      <c r="AD65" s="1250" t="n"/>
      <c r="AE65" s="1250" t="n"/>
      <c r="AF65" s="1249">
        <f>Z65-AC65</f>
        <v/>
      </c>
      <c r="AG65" s="1249">
        <f>IF(AC65=0,0,(Z65-AC65)/AC65*100)</f>
        <v/>
      </c>
      <c r="AH65" s="1249">
        <f>IF($I$8="01",AJ65,AJ65-AI65)</f>
        <v/>
      </c>
      <c r="AI65" s="1249" t="n"/>
      <c r="AJ65" s="1249" t="n"/>
      <c r="AK65" s="1249">
        <f>Z65-AH65</f>
        <v/>
      </c>
      <c r="AL65" s="1249">
        <f>IF(AH65=0,0,(Z65-AH65)/AH65*100)</f>
        <v/>
      </c>
      <c r="AM65" s="1249" t="n"/>
      <c r="AN65" s="1249">
        <f>AB65-AM65</f>
        <v/>
      </c>
      <c r="AO65" s="1249">
        <f>IF(AM65=0,0,(AB65-AM65)/AM65*100)</f>
        <v/>
      </c>
      <c r="AP65" s="1251" t="n"/>
      <c r="AQ65" s="1249">
        <f>AP65</f>
        <v/>
      </c>
      <c r="AR65" s="1251">
        <f>Z65-AQ65</f>
        <v/>
      </c>
      <c r="AS65" s="1249">
        <f>IF(AP65=0,0,Z65/AP65*100)</f>
        <v/>
      </c>
      <c r="AT65" s="1251" t="n"/>
      <c r="AU65" s="1249">
        <f>AT65</f>
        <v/>
      </c>
      <c r="AV65" s="1251">
        <f>AB65-AT65</f>
        <v/>
      </c>
      <c r="AW65" s="1249">
        <f>IF(AT65=0,0,AB65/AT65*100)</f>
        <v/>
      </c>
      <c r="AX65" s="1251" t="n"/>
      <c r="AY65" s="1259">
        <f>AX65</f>
        <v/>
      </c>
      <c r="AZ65" s="1260">
        <f>AB65-AX65</f>
        <v/>
      </c>
      <c r="BA65" s="1259">
        <f>IF(AX65=0,0,AB65/AX65*100)</f>
        <v/>
      </c>
    </row>
    <row r="66" ht="14.45" customFormat="1" customHeight="1" s="1024">
      <c r="A66" s="716" t="n"/>
      <c r="B66" s="716" t="n"/>
      <c r="C66" s="716" t="n"/>
      <c r="D66" s="716" t="n"/>
      <c r="E66" s="716" t="n"/>
      <c r="F66" s="716" t="n"/>
      <c r="G66" s="716" t="n"/>
      <c r="H66" s="716" t="n"/>
      <c r="I66" s="716" t="n"/>
      <c r="J66" s="716" t="n"/>
      <c r="K66" s="716" t="n"/>
      <c r="L66" s="716" t="n"/>
      <c r="M66" s="716" t="n"/>
      <c r="N66" s="716" t="n"/>
      <c r="O66" s="716" t="n"/>
      <c r="P66" s="716" t="n"/>
      <c r="Q66" s="716" t="n"/>
      <c r="R66" s="716" t="n"/>
      <c r="S66" s="462">
        <f>IF(_epmOfflineCondition_,"                     以摊余成本计量的金融资产终止确认收益",EPMMemberDesc(U66))</f>
        <v/>
      </c>
      <c r="T66" s="716" t="n"/>
      <c r="U66" s="716" t="inlineStr">
        <is>
          <t>A002021202</t>
        </is>
      </c>
      <c r="V66" s="699">
        <f>IF(_epmOfflineCondition_,"A002021202",EPMOlapMemberO(U66,"[C_ACCOUNT].[PARENTH1].[A002021202]","A002021202 -                      以摊余成本计量的金融资产终止确认收益","","000"))</f>
        <v/>
      </c>
      <c r="W66" s="462" t="n"/>
      <c r="X66" s="1029" t="inlineStr">
        <is>
          <t xml:space="preserve">   以摊余成本计量的金融资产终止确认收益</t>
        </is>
      </c>
      <c r="Y66" s="1185">
        <f>ROW()-45</f>
        <v/>
      </c>
      <c r="Z66" s="1259">
        <f>IF($I$8="01",AB66,AB66-AA66)</f>
        <v/>
      </c>
      <c r="AA66" s="1249" t="n"/>
      <c r="AB66" s="1249" t="n"/>
      <c r="AC66" s="1249">
        <f>IF($I$9="01",AE66,AE66-AD66)</f>
        <v/>
      </c>
      <c r="AD66" s="1249" t="n"/>
      <c r="AE66" s="1249" t="n"/>
      <c r="AF66" s="1249">
        <f>Z66-AC66</f>
        <v/>
      </c>
      <c r="AG66" s="1249">
        <f>IF(AC66=0,0,(Z66-AC66)/AC66*100)</f>
        <v/>
      </c>
      <c r="AH66" s="1249">
        <f>IF($I$8="01",AJ66,AJ66-AI66)</f>
        <v/>
      </c>
      <c r="AI66" s="1249" t="n"/>
      <c r="AJ66" s="1249" t="n"/>
      <c r="AK66" s="1249">
        <f>Z66-AH66</f>
        <v/>
      </c>
      <c r="AL66" s="1249">
        <f>IF(AH66=0,0,(Z66-AH66)/AH66*100)</f>
        <v/>
      </c>
      <c r="AM66" s="1249" t="n"/>
      <c r="AN66" s="1249">
        <f>AB66-AM66</f>
        <v/>
      </c>
      <c r="AO66" s="1249">
        <f>IF(AM66=0,0,(AB66-AM66)/AM66*100)</f>
        <v/>
      </c>
      <c r="AP66" s="1251" t="n"/>
      <c r="AQ66" s="1249">
        <f>AP66</f>
        <v/>
      </c>
      <c r="AR66" s="1251">
        <f>Z66-AQ66</f>
        <v/>
      </c>
      <c r="AS66" s="1249">
        <f>IF(AP66=0,0,Z66/AP66*100)</f>
        <v/>
      </c>
      <c r="AT66" s="1251" t="n"/>
      <c r="AU66" s="1249">
        <f>AT66</f>
        <v/>
      </c>
      <c r="AV66" s="1251">
        <f>AB66-AT66</f>
        <v/>
      </c>
      <c r="AW66" s="1249">
        <f>IF(AT66=0,0,AB66/AT66*100)</f>
        <v/>
      </c>
      <c r="AX66" s="1251" t="n"/>
      <c r="AY66" s="1259">
        <f>AX66</f>
        <v/>
      </c>
      <c r="AZ66" s="1260">
        <f>AB66-AX66</f>
        <v/>
      </c>
      <c r="BA66" s="1259">
        <f>IF(AX66=0,0,AB66/AX66*100)</f>
        <v/>
      </c>
    </row>
    <row r="67" ht="14.45" customFormat="1" customHeight="1" s="1024">
      <c r="A67" s="716" t="n"/>
      <c r="B67" s="716" t="n"/>
      <c r="C67" s="716" t="n"/>
      <c r="D67" s="716" t="n"/>
      <c r="E67" s="716" t="n"/>
      <c r="F67" s="716" t="n"/>
      <c r="G67" s="716" t="n"/>
      <c r="H67" s="716" t="n"/>
      <c r="I67" s="716" t="n"/>
      <c r="J67" s="716" t="n"/>
      <c r="K67" s="716" t="n"/>
      <c r="L67" s="716" t="n"/>
      <c r="M67" s="716" t="n"/>
      <c r="N67" s="716" t="n"/>
      <c r="O67" s="716" t="n"/>
      <c r="P67" s="716" t="n"/>
      <c r="Q67" s="716" t="n"/>
      <c r="R67" s="716" t="n"/>
      <c r="S67" s="462">
        <f>IF(_epmOfflineCondition_,"　      # 汇兑收益（损失以“-”号填列）",EPMMemberDesc(U67))</f>
        <v/>
      </c>
      <c r="T67" s="716" t="n"/>
      <c r="U67" s="716" t="inlineStr">
        <is>
          <t>A0020213</t>
        </is>
      </c>
      <c r="V67" s="1018">
        <f>IF(_epmOfflineCondition_,"A0020213",EPMOlapMemberO(U67,"[C_ACCOUNT].[PARENTH1].[A0020213]","A0020213 - 　      # 汇兑收益（损失以“-""号填列）","","000"))</f>
        <v/>
      </c>
      <c r="W67" s="462" t="n"/>
      <c r="X67" s="1030" t="inlineStr">
        <is>
          <t xml:space="preserve">   △汇兑收益（损失以“-”号填列）</t>
        </is>
      </c>
      <c r="Y67" s="1185">
        <f>ROW()-45</f>
        <v/>
      </c>
      <c r="Z67" s="1259">
        <f>IF($I$8="01",AB67,AB67-AA67)</f>
        <v/>
      </c>
      <c r="AA67" s="1249" t="n"/>
      <c r="AB67" s="1249" t="n"/>
      <c r="AC67" s="1249">
        <f>IF($I$9="01",AE67,AE67-AD67)</f>
        <v/>
      </c>
      <c r="AD67" s="1250" t="n"/>
      <c r="AE67" s="1250" t="n"/>
      <c r="AF67" s="1249">
        <f>Z67-AC67</f>
        <v/>
      </c>
      <c r="AG67" s="1249">
        <f>IF(AC67=0,0,(Z67-AC67)/AC67*100)</f>
        <v/>
      </c>
      <c r="AH67" s="1249">
        <f>IF($I$8="01",AJ67,AJ67-AI67)</f>
        <v/>
      </c>
      <c r="AI67" s="1249" t="n"/>
      <c r="AJ67" s="1249" t="n"/>
      <c r="AK67" s="1249">
        <f>Z67-AH67</f>
        <v/>
      </c>
      <c r="AL67" s="1249">
        <f>IF(AH67=0,0,(Z67-AH67)/AH67*100)</f>
        <v/>
      </c>
      <c r="AM67" s="1249" t="n"/>
      <c r="AN67" s="1249">
        <f>AB67-AM67</f>
        <v/>
      </c>
      <c r="AO67" s="1249">
        <f>IF(AM67=0,0,(AB67-AM67)/AM67*100)</f>
        <v/>
      </c>
      <c r="AP67" s="1251" t="n"/>
      <c r="AQ67" s="1249">
        <f>AP67</f>
        <v/>
      </c>
      <c r="AR67" s="1251">
        <f>Z67-AQ67</f>
        <v/>
      </c>
      <c r="AS67" s="1249">
        <f>IF(AP67=0,0,Z67/AP67*100)</f>
        <v/>
      </c>
      <c r="AT67" s="1251" t="n"/>
      <c r="AU67" s="1249">
        <f>AT67</f>
        <v/>
      </c>
      <c r="AV67" s="1251">
        <f>AB67-AT67</f>
        <v/>
      </c>
      <c r="AW67" s="1249">
        <f>IF(AT67=0,0,AB67/AT67*100)</f>
        <v/>
      </c>
      <c r="AX67" s="1251" t="n"/>
      <c r="AY67" s="1259">
        <f>AX67</f>
        <v/>
      </c>
      <c r="AZ67" s="1260">
        <f>AB67-AX67</f>
        <v/>
      </c>
      <c r="BA67" s="1259">
        <f>IF(AX67=0,0,AB67/AX67*100)</f>
        <v/>
      </c>
    </row>
    <row r="68" ht="14.45" customFormat="1" customHeight="1" s="1024">
      <c r="A68" s="716" t="n"/>
      <c r="B68" s="716" t="n"/>
      <c r="C68" s="716" t="n"/>
      <c r="D68" s="716" t="n"/>
      <c r="E68" s="716" t="n"/>
      <c r="F68" s="716" t="n"/>
      <c r="G68" s="716" t="n"/>
      <c r="H68" s="716" t="n"/>
      <c r="I68" s="716" t="n"/>
      <c r="J68" s="716" t="n"/>
      <c r="K68" s="716" t="n"/>
      <c r="L68" s="716" t="n"/>
      <c r="M68" s="716" t="n"/>
      <c r="N68" s="716" t="n"/>
      <c r="O68" s="716" t="n"/>
      <c r="P68" s="716" t="n"/>
      <c r="Q68" s="716" t="n"/>
      <c r="R68" s="716" t="n"/>
      <c r="S68" s="462">
        <f>IF(_epmOfflineCondition_,"        净敞口套期收益（损失以“-”号填列）",EPMMemberDesc(U68))</f>
        <v/>
      </c>
      <c r="T68" s="716" t="n"/>
      <c r="U68" s="716" t="inlineStr">
        <is>
          <t>A0020214</t>
        </is>
      </c>
      <c r="V68" s="1018">
        <f>IF(_epmOfflineCondition_,"A0020214",EPMOlapMemberO(U68,"[C_ACCOUNT].[PARENTH1].[A0020214]","A0020214 -         净敞口套期收益（损失以“-""号填列）","","000"))</f>
        <v/>
      </c>
      <c r="W68" s="462" t="n"/>
      <c r="X68" s="458" t="inlineStr">
        <is>
          <t xml:space="preserve"> 净敞口套期收益（损失以“-”号填列）</t>
        </is>
      </c>
      <c r="Y68" s="1185">
        <f>ROW()-45</f>
        <v/>
      </c>
      <c r="Z68" s="1259">
        <f>IF($I$8="01",AB68,AB68-AA68)</f>
        <v/>
      </c>
      <c r="AA68" s="1249" t="n"/>
      <c r="AB68" s="1249" t="n"/>
      <c r="AC68" s="1249">
        <f>IF($I$9="01",AE68,AE68-AD68)</f>
        <v/>
      </c>
      <c r="AD68" s="1250" t="n"/>
      <c r="AE68" s="1250" t="n"/>
      <c r="AF68" s="1249">
        <f>Z68-AC68</f>
        <v/>
      </c>
      <c r="AG68" s="1249">
        <f>IF(AC68=0,0,(Z68-AC68)/AC68*100)</f>
        <v/>
      </c>
      <c r="AH68" s="1249">
        <f>IF($I$8="01",AJ68,AJ68-AI68)</f>
        <v/>
      </c>
      <c r="AI68" s="1249" t="n"/>
      <c r="AJ68" s="1249" t="n"/>
      <c r="AK68" s="1249">
        <f>Z68-AH68</f>
        <v/>
      </c>
      <c r="AL68" s="1249">
        <f>IF(AH68=0,0,(Z68-AH68)/AH68*100)</f>
        <v/>
      </c>
      <c r="AM68" s="1249" t="n"/>
      <c r="AN68" s="1249">
        <f>AB68-AM68</f>
        <v/>
      </c>
      <c r="AO68" s="1249">
        <f>IF(AM68=0,0,(AB68-AM68)/AM68*100)</f>
        <v/>
      </c>
      <c r="AP68" s="1251" t="n"/>
      <c r="AQ68" s="1249">
        <f>AP68</f>
        <v/>
      </c>
      <c r="AR68" s="1251">
        <f>Z68-AQ68</f>
        <v/>
      </c>
      <c r="AS68" s="1249">
        <f>IF(AP68=0,0,Z68/AP68*100)</f>
        <v/>
      </c>
      <c r="AT68" s="1251" t="n"/>
      <c r="AU68" s="1249">
        <f>AT68</f>
        <v/>
      </c>
      <c r="AV68" s="1251">
        <f>AB68-AT68</f>
        <v/>
      </c>
      <c r="AW68" s="1249">
        <f>IF(AT68=0,0,AB68/AT68*100)</f>
        <v/>
      </c>
      <c r="AX68" s="1251" t="n"/>
      <c r="AY68" s="1259">
        <f>AX68</f>
        <v/>
      </c>
      <c r="AZ68" s="1260">
        <f>AB68-AX68</f>
        <v/>
      </c>
      <c r="BA68" s="1259">
        <f>IF(AX68=0,0,AB68/AX68*100)</f>
        <v/>
      </c>
    </row>
    <row r="69" ht="14.45" customFormat="1" customHeight="1" s="1024">
      <c r="A69" s="716" t="n"/>
      <c r="B69" s="716" t="n"/>
      <c r="C69" s="716" t="n"/>
      <c r="D69" s="716" t="n"/>
      <c r="E69" s="716" t="n"/>
      <c r="F69" s="716" t="n"/>
      <c r="G69" s="716" t="n"/>
      <c r="H69" s="716" t="n"/>
      <c r="I69" s="716" t="n"/>
      <c r="J69" s="716" t="n"/>
      <c r="K69" s="716" t="n"/>
      <c r="L69" s="716" t="n"/>
      <c r="M69" s="716" t="n"/>
      <c r="N69" s="716" t="n"/>
      <c r="O69" s="716" t="n"/>
      <c r="P69" s="716" t="n"/>
      <c r="Q69" s="716" t="n"/>
      <c r="R69" s="716" t="n"/>
      <c r="S69" s="462">
        <f>IF(_epmOfflineCondition_,"        公允价值变动收益（损失以“-”号填列）",EPMMemberDesc(U69))</f>
        <v/>
      </c>
      <c r="T69" s="716" t="n"/>
      <c r="U69" s="716" t="inlineStr">
        <is>
          <t>A0020215</t>
        </is>
      </c>
      <c r="V69" s="1018">
        <f>IF(_epmOfflineCondition_,"A0020215",EPMOlapMemberO(U69,"[C_ACCOUNT].[PARENTH1].[A0020215]","A0020215 -         公允价值变动收益（损失以“-""号填列）","","000"))</f>
        <v/>
      </c>
      <c r="W69" s="462" t="n"/>
      <c r="X69" s="458" t="inlineStr">
        <is>
          <t xml:space="preserve"> 公允价值变动收益（损失以“-”号填列）</t>
        </is>
      </c>
      <c r="Y69" s="1185">
        <f>ROW()-45</f>
        <v/>
      </c>
      <c r="Z69" s="1259">
        <f>IF($I$8="01",AB69,AB69-AA69)</f>
        <v/>
      </c>
      <c r="AA69" s="1249" t="n"/>
      <c r="AB69" s="1249" t="n"/>
      <c r="AC69" s="1249">
        <f>IF($I$9="01",AE69,AE69-AD69)</f>
        <v/>
      </c>
      <c r="AD69" s="1250" t="n"/>
      <c r="AE69" s="1250" t="n"/>
      <c r="AF69" s="1249">
        <f>Z69-AC69</f>
        <v/>
      </c>
      <c r="AG69" s="1249">
        <f>IF(AC69=0,0,(Z69-AC69)/AC69*100)</f>
        <v/>
      </c>
      <c r="AH69" s="1249">
        <f>IF($I$8="01",AJ69,AJ69-AI69)</f>
        <v/>
      </c>
      <c r="AI69" s="1249" t="n"/>
      <c r="AJ69" s="1249" t="n"/>
      <c r="AK69" s="1249">
        <f>Z69-AH69</f>
        <v/>
      </c>
      <c r="AL69" s="1249">
        <f>IF(AH69=0,0,(Z69-AH69)/AH69*100)</f>
        <v/>
      </c>
      <c r="AM69" s="1249" t="n"/>
      <c r="AN69" s="1249">
        <f>AB69-AM69</f>
        <v/>
      </c>
      <c r="AO69" s="1249">
        <f>IF(AM69=0,0,(AB69-AM69)/AM69*100)</f>
        <v/>
      </c>
      <c r="AP69" s="1251" t="n"/>
      <c r="AQ69" s="1249">
        <f>AP69</f>
        <v/>
      </c>
      <c r="AR69" s="1251">
        <f>Z69-AQ69</f>
        <v/>
      </c>
      <c r="AS69" s="1249">
        <f>IF(AP69=0,0,Z69/AP69*100)</f>
        <v/>
      </c>
      <c r="AT69" s="1251" t="n"/>
      <c r="AU69" s="1249">
        <f>AT69</f>
        <v/>
      </c>
      <c r="AV69" s="1251">
        <f>AB69-AT69</f>
        <v/>
      </c>
      <c r="AW69" s="1249">
        <f>IF(AT69=0,0,AB69/AT69*100)</f>
        <v/>
      </c>
      <c r="AX69" s="1251" t="n"/>
      <c r="AY69" s="1259">
        <f>AX69</f>
        <v/>
      </c>
      <c r="AZ69" s="1260">
        <f>AB69-AX69</f>
        <v/>
      </c>
      <c r="BA69" s="1259">
        <f>IF(AX69=0,0,AB69/AX69*100)</f>
        <v/>
      </c>
    </row>
    <row r="70" ht="14.45" customFormat="1" customHeight="1" s="1024">
      <c r="A70" s="716" t="n"/>
      <c r="B70" s="716" t="n"/>
      <c r="C70" s="716" t="n"/>
      <c r="D70" s="716" t="n"/>
      <c r="E70" s="716" t="n"/>
      <c r="F70" s="716" t="n"/>
      <c r="G70" s="716" t="n"/>
      <c r="H70" s="716" t="n"/>
      <c r="I70" s="716" t="n"/>
      <c r="J70" s="716" t="n"/>
      <c r="K70" s="716" t="n"/>
      <c r="L70" s="716" t="n"/>
      <c r="M70" s="716" t="n"/>
      <c r="N70" s="716" t="n"/>
      <c r="O70" s="716" t="n"/>
      <c r="P70" s="716" t="n"/>
      <c r="Q70" s="716" t="n"/>
      <c r="R70" s="716" t="n"/>
      <c r="S70" s="462">
        <f>IF(_epmOfflineCondition_,"        信用减值损失（损失以“-”号填列）",EPMMemberDesc(U70))</f>
        <v/>
      </c>
      <c r="T70" s="716" t="n"/>
      <c r="U70" s="716" t="inlineStr">
        <is>
          <t>A0020210</t>
        </is>
      </c>
      <c r="V70" s="1018">
        <f>IF(_epmOfflineCondition_,"A0020210",EPMOlapMemberO(U70,"[C_ACCOUNT].[PARENTH1].[A0020210]","A0020210 -         信用减值损失（损失以“-""号填列）","","000"))</f>
        <v/>
      </c>
      <c r="W70" s="462" t="n"/>
      <c r="X70" s="458" t="inlineStr">
        <is>
          <t xml:space="preserve"> 信用减值损失（损失以“－”号填列）</t>
        </is>
      </c>
      <c r="Y70" s="1185">
        <f>ROW()-45</f>
        <v/>
      </c>
      <c r="Z70" s="1259">
        <f>IF($I$8="01",AB70,AB70-AA70)</f>
        <v/>
      </c>
      <c r="AA70" s="1249" t="n"/>
      <c r="AB70" s="1249" t="n"/>
      <c r="AC70" s="1249">
        <f>IF($I$9="01",AE70,AE70-AD70)</f>
        <v/>
      </c>
      <c r="AD70" s="1250" t="n"/>
      <c r="AE70" s="1250" t="n"/>
      <c r="AF70" s="1249">
        <f>Z70-AC70</f>
        <v/>
      </c>
      <c r="AG70" s="1249">
        <f>IF(AC70=0,0,(Z70-AC70)/AC70*100)</f>
        <v/>
      </c>
      <c r="AH70" s="1249">
        <f>IF($I$8="01",AJ70,AJ70-AI70)</f>
        <v/>
      </c>
      <c r="AI70" s="1249" t="n"/>
      <c r="AJ70" s="1249" t="n"/>
      <c r="AK70" s="1249">
        <f>Z70-AH70</f>
        <v/>
      </c>
      <c r="AL70" s="1249">
        <f>IF(AH70=0,0,(Z70-AH70)/AH70*100)</f>
        <v/>
      </c>
      <c r="AM70" s="1249" t="n"/>
      <c r="AN70" s="1249">
        <f>AB70-AM70</f>
        <v/>
      </c>
      <c r="AO70" s="1249">
        <f>IF(AM70=0,0,(AB70-AM70)/AM70*100)</f>
        <v/>
      </c>
      <c r="AP70" s="1251" t="n"/>
      <c r="AQ70" s="1249">
        <f>AP70</f>
        <v/>
      </c>
      <c r="AR70" s="1251">
        <f>Z70-AQ70</f>
        <v/>
      </c>
      <c r="AS70" s="1249">
        <f>IF(AP70=0,0,Z70/AP70*100)</f>
        <v/>
      </c>
      <c r="AT70" s="1251" t="n"/>
      <c r="AU70" s="1249">
        <f>AT70</f>
        <v/>
      </c>
      <c r="AV70" s="1251">
        <f>AB70-AT70</f>
        <v/>
      </c>
      <c r="AW70" s="1249">
        <f>IF(AT70=0,0,AB70/AT70*100)</f>
        <v/>
      </c>
      <c r="AX70" s="1251" t="n"/>
      <c r="AY70" s="1259">
        <f>AX70</f>
        <v/>
      </c>
      <c r="AZ70" s="1260">
        <f>AB70-AX70</f>
        <v/>
      </c>
      <c r="BA70" s="1259">
        <f>IF(AX70=0,0,AB70/AX70*100)</f>
        <v/>
      </c>
    </row>
    <row r="71" ht="14.45" customFormat="1" customHeight="1" s="1024">
      <c r="A71" s="716" t="n"/>
      <c r="B71" s="716" t="n"/>
      <c r="C71" s="716" t="n"/>
      <c r="D71" s="716" t="n"/>
      <c r="E71" s="716" t="n"/>
      <c r="F71" s="716" t="n"/>
      <c r="G71" s="716" t="n"/>
      <c r="H71" s="716" t="n"/>
      <c r="I71" s="716" t="n"/>
      <c r="J71" s="716" t="n"/>
      <c r="K71" s="716" t="n"/>
      <c r="L71" s="716" t="n"/>
      <c r="M71" s="716" t="n"/>
      <c r="N71" s="716" t="n"/>
      <c r="O71" s="716" t="n"/>
      <c r="P71" s="716" t="n"/>
      <c r="Q71" s="716" t="n"/>
      <c r="R71" s="716" t="n"/>
      <c r="S71" s="462">
        <f>IF(_epmOfflineCondition_,"        资产减值损失（损失以“-”号填列）",EPMMemberDesc(U71))</f>
        <v/>
      </c>
      <c r="T71" s="716" t="n"/>
      <c r="U71" s="716" t="inlineStr">
        <is>
          <t>A0020209</t>
        </is>
      </c>
      <c r="V71" s="1018">
        <f>IF(_epmOfflineCondition_,"A0020209",EPMOlapMemberO(U71,"[C_ACCOUNT].[PARENTH1].[A0020209]","A0020209 -         资产减值损失（损失以“-""号填列）","","000"))</f>
        <v/>
      </c>
      <c r="W71" s="462" t="n"/>
      <c r="X71" s="458" t="inlineStr">
        <is>
          <t xml:space="preserve"> 资产减值损失（损失以“－”号填列）</t>
        </is>
      </c>
      <c r="Y71" s="1185">
        <f>ROW()-45</f>
        <v/>
      </c>
      <c r="Z71" s="1259">
        <f>IF($I$8="01",AB71,AB71-AA71)</f>
        <v/>
      </c>
      <c r="AA71" s="1249" t="n"/>
      <c r="AB71" s="1249" t="n"/>
      <c r="AC71" s="1249">
        <f>IF($I$9="01",AE71,AE71-AD71)</f>
        <v/>
      </c>
      <c r="AD71" s="1250" t="n"/>
      <c r="AE71" s="1250" t="n"/>
      <c r="AF71" s="1249">
        <f>Z71-AC71</f>
        <v/>
      </c>
      <c r="AG71" s="1249">
        <f>IF(AC71=0,0,(Z71-AC71)/AC71*100)</f>
        <v/>
      </c>
      <c r="AH71" s="1249">
        <f>IF($I$8="01",AJ71,AJ71-AI71)</f>
        <v/>
      </c>
      <c r="AI71" s="1249" t="n"/>
      <c r="AJ71" s="1249" t="n"/>
      <c r="AK71" s="1249">
        <f>Z71-AH71</f>
        <v/>
      </c>
      <c r="AL71" s="1249">
        <f>IF(AH71=0,0,(Z71-AH71)/AH71*100)</f>
        <v/>
      </c>
      <c r="AM71" s="1249" t="n"/>
      <c r="AN71" s="1249">
        <f>AB71-AM71</f>
        <v/>
      </c>
      <c r="AO71" s="1249">
        <f>IF(AM71=0,0,(AB71-AM71)/AM71*100)</f>
        <v/>
      </c>
      <c r="AP71" s="1251" t="n"/>
      <c r="AQ71" s="1249">
        <f>AP71</f>
        <v/>
      </c>
      <c r="AR71" s="1251">
        <f>Z71-AQ71</f>
        <v/>
      </c>
      <c r="AS71" s="1249">
        <f>IF(AP71=0,0,Z71/AP71*100)</f>
        <v/>
      </c>
      <c r="AT71" s="1251" t="n"/>
      <c r="AU71" s="1249">
        <f>AT71</f>
        <v/>
      </c>
      <c r="AV71" s="1251">
        <f>AB71-AT71</f>
        <v/>
      </c>
      <c r="AW71" s="1249">
        <f>IF(AT71=0,0,AB71/AT71*100)</f>
        <v/>
      </c>
      <c r="AX71" s="1251" t="n"/>
      <c r="AY71" s="1259">
        <f>AX71</f>
        <v/>
      </c>
      <c r="AZ71" s="1260">
        <f>AB71-AX71</f>
        <v/>
      </c>
      <c r="BA71" s="1259">
        <f>IF(AX71=0,0,AB71/AX71*100)</f>
        <v/>
      </c>
    </row>
    <row r="72" ht="14.45" customFormat="1" customHeight="1" s="1024">
      <c r="A72" s="716" t="n"/>
      <c r="B72" s="716" t="n"/>
      <c r="C72" s="716" t="n"/>
      <c r="D72" s="716" t="n"/>
      <c r="E72" s="716" t="n"/>
      <c r="F72" s="716" t="n"/>
      <c r="G72" s="716" t="n"/>
      <c r="H72" s="716" t="n"/>
      <c r="I72" s="716" t="n"/>
      <c r="J72" s="716" t="n"/>
      <c r="K72" s="716" t="n"/>
      <c r="L72" s="716" t="n"/>
      <c r="M72" s="716" t="n"/>
      <c r="N72" s="716" t="n"/>
      <c r="O72" s="716" t="n"/>
      <c r="P72" s="716" t="n"/>
      <c r="Q72" s="716" t="n"/>
      <c r="R72" s="716" t="n"/>
      <c r="S72" s="462">
        <f>IF(_epmOfflineCondition_,"        资产处置收益（损失以“-”号填列）",EPMMemberDesc(U72))</f>
        <v/>
      </c>
      <c r="T72" s="716" t="n"/>
      <c r="U72" s="716" t="inlineStr">
        <is>
          <t>A0020216</t>
        </is>
      </c>
      <c r="V72" s="1018">
        <f>IF(_epmOfflineCondition_,"A0020216",EPMOlapMemberO(U72,"[C_ACCOUNT].[PARENTH1].[A0020216]","A0020216 -         资产处置收益（损失以“-""号填列）","","000"))</f>
        <v/>
      </c>
      <c r="W72" s="462" t="n"/>
      <c r="X72" s="458" t="inlineStr">
        <is>
          <t xml:space="preserve"> 资产处置收益（损失以“-”号填列）</t>
        </is>
      </c>
      <c r="Y72" s="1185">
        <f>ROW()-45</f>
        <v/>
      </c>
      <c r="Z72" s="1259">
        <f>IF($I$8="01",AB72,AB72-AA72)</f>
        <v/>
      </c>
      <c r="AA72" s="1249" t="n"/>
      <c r="AB72" s="1249" t="n"/>
      <c r="AC72" s="1249">
        <f>IF($I$9="01",AE72,AE72-AD72)</f>
        <v/>
      </c>
      <c r="AD72" s="1250" t="n"/>
      <c r="AE72" s="1250" t="n"/>
      <c r="AF72" s="1249">
        <f>Z72-AC72</f>
        <v/>
      </c>
      <c r="AG72" s="1249">
        <f>IF(AC72=0,0,(Z72-AC72)/AC72*100)</f>
        <v/>
      </c>
      <c r="AH72" s="1249">
        <f>IF($I$8="01",AJ72,AJ72-AI72)</f>
        <v/>
      </c>
      <c r="AI72" s="1249" t="n"/>
      <c r="AJ72" s="1249" t="n"/>
      <c r="AK72" s="1249">
        <f>Z72-AH72</f>
        <v/>
      </c>
      <c r="AL72" s="1249">
        <f>IF(AH72=0,0,(Z72-AH72)/AH72*100)</f>
        <v/>
      </c>
      <c r="AM72" s="1249" t="n"/>
      <c r="AN72" s="1249">
        <f>AB72-AM72</f>
        <v/>
      </c>
      <c r="AO72" s="1249">
        <f>IF(AM72=0,0,(AB72-AM72)/AM72*100)</f>
        <v/>
      </c>
      <c r="AP72" s="1251" t="n"/>
      <c r="AQ72" s="1249">
        <f>AP72</f>
        <v/>
      </c>
      <c r="AR72" s="1251">
        <f>Z72-AQ72</f>
        <v/>
      </c>
      <c r="AS72" s="1249">
        <f>IF(AP72=0,0,Z72/AP72*100)</f>
        <v/>
      </c>
      <c r="AT72" s="1251" t="n"/>
      <c r="AU72" s="1249">
        <f>AT72</f>
        <v/>
      </c>
      <c r="AV72" s="1251">
        <f>AB72-AT72</f>
        <v/>
      </c>
      <c r="AW72" s="1249">
        <f>IF(AT72=0,0,AB72/AT72*100)</f>
        <v/>
      </c>
      <c r="AX72" s="1251" t="n"/>
      <c r="AY72" s="1259">
        <f>AX72</f>
        <v/>
      </c>
      <c r="AZ72" s="1260">
        <f>AB72-AX72</f>
        <v/>
      </c>
      <c r="BA72" s="1259">
        <f>IF(AX72=0,0,AB72/AX72*100)</f>
        <v/>
      </c>
    </row>
    <row r="73" ht="14.45" customFormat="1" customHeight="1" s="1024">
      <c r="A73" s="716" t="n"/>
      <c r="B73" s="716" t="n"/>
      <c r="C73" s="716" t="n"/>
      <c r="D73" s="716" t="n"/>
      <c r="E73" s="716" t="n"/>
      <c r="F73" s="716" t="n"/>
      <c r="G73" s="716" t="n"/>
      <c r="H73" s="716" t="n"/>
      <c r="I73" s="716" t="n"/>
      <c r="J73" s="716" t="n"/>
      <c r="K73" s="716" t="n"/>
      <c r="L73" s="716" t="n"/>
      <c r="M73" s="716" t="n"/>
      <c r="N73" s="716" t="n"/>
      <c r="O73" s="716" t="n"/>
      <c r="P73" s="716" t="n"/>
      <c r="Q73" s="716" t="n"/>
      <c r="R73" s="716" t="n"/>
      <c r="S73" s="462">
        <f>IF(_epmOfflineCondition_,"三、营业利润（亏损以“-”号填列）",EPMMemberDesc(U73))</f>
        <v/>
      </c>
      <c r="T73" s="716" t="n"/>
      <c r="U73" s="716" t="inlineStr">
        <is>
          <t>A00203</t>
        </is>
      </c>
      <c r="V73" s="637">
        <f>IF(_epmOfflineCondition_,"A00203",EPMOlapMemberO(U73,"[C_ACCOUNT].[PARENTH1].[A00203]","A00203 - 三、营业利润（亏损以“-""号填列）","","000"))</f>
        <v/>
      </c>
      <c r="W73" s="462" t="n"/>
      <c r="X73" s="454" t="inlineStr">
        <is>
          <t>三、营业利润（亏损以“-”号填列）</t>
        </is>
      </c>
      <c r="Y73" s="1185">
        <f>ROW()-45</f>
        <v/>
      </c>
      <c r="Z73" s="1259">
        <f>IF($I$8="01",AB73,AB73-AA73)</f>
        <v/>
      </c>
      <c r="AA73" s="1249" t="inlineStr"/>
      <c r="AB73" s="1249" t="inlineStr"/>
      <c r="AC73" s="1249">
        <f>IF($I$9="01",AE73,AE73-AD73)</f>
        <v/>
      </c>
      <c r="AD73" s="1250" t="inlineStr"/>
      <c r="AE73" s="1250" t="inlineStr"/>
      <c r="AF73" s="1249">
        <f>Z73-AC73</f>
        <v/>
      </c>
      <c r="AG73" s="1249">
        <f>IF(AC73=0,0,(Z73-AC73)/AC73*100)</f>
        <v/>
      </c>
      <c r="AH73" s="1249">
        <f>IF($I$8="01",AJ73,AJ73-AI73)</f>
        <v/>
      </c>
      <c r="AI73" s="1249" t="inlineStr"/>
      <c r="AJ73" s="1249" t="inlineStr"/>
      <c r="AK73" s="1249">
        <f>Z73-AH73</f>
        <v/>
      </c>
      <c r="AL73" s="1249">
        <f>IF(AH73=0,0,(Z73-AH73)/AH73*100)</f>
        <v/>
      </c>
      <c r="AM73" s="1249" t="inlineStr"/>
      <c r="AN73" s="1249">
        <f>AB73-AM73</f>
        <v/>
      </c>
      <c r="AO73" s="1249">
        <f>IF(AM73=0,0,(AB73-AM73)/AM73*100)</f>
        <v/>
      </c>
      <c r="AP73" s="1251" t="n"/>
      <c r="AQ73" s="1249">
        <f>AP73</f>
        <v/>
      </c>
      <c r="AR73" s="1251">
        <f>Z73-AQ73</f>
        <v/>
      </c>
      <c r="AS73" s="1249">
        <f>IF(AP73=0,0,Z73/AP73*100)</f>
        <v/>
      </c>
      <c r="AT73" s="1251" t="n"/>
      <c r="AU73" s="1249">
        <f>AT73</f>
        <v/>
      </c>
      <c r="AV73" s="1251">
        <f>AB73-AT73</f>
        <v/>
      </c>
      <c r="AW73" s="1249">
        <f>IF(AT73=0,0,AB73/AT73*100)</f>
        <v/>
      </c>
      <c r="AX73" s="1251" t="n"/>
      <c r="AY73" s="1259">
        <f>AX73</f>
        <v/>
      </c>
      <c r="AZ73" s="1260">
        <f>AB73-AX73</f>
        <v/>
      </c>
      <c r="BA73" s="1259">
        <f>IF(AX73=0,0,AB73/AX73*100)</f>
        <v/>
      </c>
    </row>
    <row r="74" ht="14.45" customFormat="1" customHeight="1" s="1024">
      <c r="A74" s="716" t="n"/>
      <c r="B74" s="716" t="n"/>
      <c r="C74" s="716" t="n"/>
      <c r="D74" s="716" t="n"/>
      <c r="E74" s="716" t="n"/>
      <c r="F74" s="716" t="n"/>
      <c r="G74" s="716" t="n"/>
      <c r="H74" s="716" t="n"/>
      <c r="I74" s="716" t="n"/>
      <c r="J74" s="716" t="n"/>
      <c r="K74" s="716" t="n"/>
      <c r="L74" s="716" t="n"/>
      <c r="M74" s="716" t="n"/>
      <c r="N74" s="716" t="n"/>
      <c r="O74" s="716" t="n"/>
      <c r="P74" s="716" t="n"/>
      <c r="Q74" s="716" t="n"/>
      <c r="R74" s="716" t="n"/>
      <c r="S74" s="462">
        <f>IF(_epmOfflineCondition_,"    加：营业外收入",EPMMemberDesc(U74))</f>
        <v/>
      </c>
      <c r="T74" s="716" t="n"/>
      <c r="U74" s="716" t="inlineStr">
        <is>
          <t>A0020301</t>
        </is>
      </c>
      <c r="V74" s="637">
        <f>IF(_epmOfflineCondition_,"A0020301",EPMOlapMemberO(U74,"[C_ACCOUNT].[PARENTH1].[A0020301]","A0020301 -     加：营业外收入","","000"))</f>
        <v/>
      </c>
      <c r="W74" s="462" t="n"/>
      <c r="X74" s="588" t="inlineStr">
        <is>
          <t xml:space="preserve">   加：营业外收入</t>
        </is>
      </c>
      <c r="Y74" s="1185">
        <f>ROW()-45</f>
        <v/>
      </c>
      <c r="Z74" s="1259">
        <f>IF($I$8="01",AB74,AB74-AA74)</f>
        <v/>
      </c>
      <c r="AA74" s="1249" t="n"/>
      <c r="AB74" s="1249" t="n"/>
      <c r="AC74" s="1249">
        <f>IF($I$9="01",AE74,AE74-AD74)</f>
        <v/>
      </c>
      <c r="AD74" s="1250" t="n"/>
      <c r="AE74" s="1250" t="n"/>
      <c r="AF74" s="1249">
        <f>Z74-AC74</f>
        <v/>
      </c>
      <c r="AG74" s="1249">
        <f>IF(AC74=0,0,(Z74-AC74)/AC74*100)</f>
        <v/>
      </c>
      <c r="AH74" s="1249">
        <f>IF($I$8="01",AJ74,AJ74-AI74)</f>
        <v/>
      </c>
      <c r="AI74" s="1249" t="n"/>
      <c r="AJ74" s="1249" t="n"/>
      <c r="AK74" s="1249">
        <f>Z74-AH74</f>
        <v/>
      </c>
      <c r="AL74" s="1249">
        <f>IF(AH74=0,0,(Z74-AH74)/AH74*100)</f>
        <v/>
      </c>
      <c r="AM74" s="1249" t="n"/>
      <c r="AN74" s="1249">
        <f>AB74-AM74</f>
        <v/>
      </c>
      <c r="AO74" s="1249">
        <f>IF(AM74=0,0,(AB74-AM74)/AM74*100)</f>
        <v/>
      </c>
      <c r="AP74" s="1251" t="n"/>
      <c r="AQ74" s="1249">
        <f>AP74</f>
        <v/>
      </c>
      <c r="AR74" s="1251">
        <f>Z74-AQ74</f>
        <v/>
      </c>
      <c r="AS74" s="1249">
        <f>IF(AP74=0,0,Z74/AP74*100)</f>
        <v/>
      </c>
      <c r="AT74" s="1251" t="n"/>
      <c r="AU74" s="1249">
        <f>AT74</f>
        <v/>
      </c>
      <c r="AV74" s="1251">
        <f>AB74-AT74</f>
        <v/>
      </c>
      <c r="AW74" s="1249">
        <f>IF(AT74=0,0,AB74/AT74*100)</f>
        <v/>
      </c>
      <c r="AX74" s="1251" t="n"/>
      <c r="AY74" s="1259">
        <f>AX74</f>
        <v/>
      </c>
      <c r="AZ74" s="1260">
        <f>AB74-AX74</f>
        <v/>
      </c>
      <c r="BA74" s="1259">
        <f>IF(AX74=0,0,AB74/AX74*100)</f>
        <v/>
      </c>
    </row>
    <row r="75" ht="14.45" customFormat="1" customHeight="1" s="1024">
      <c r="A75" s="716" t="n"/>
      <c r="B75" s="716" t="n"/>
      <c r="C75" s="716" t="n"/>
      <c r="D75" s="716" t="n"/>
      <c r="E75" s="716" t="n"/>
      <c r="F75" s="716" t="n"/>
      <c r="G75" s="716" t="n"/>
      <c r="H75" s="716" t="n"/>
      <c r="I75" s="716" t="n"/>
      <c r="J75" s="716" t="n"/>
      <c r="K75" s="716" t="n"/>
      <c r="L75" s="716" t="n"/>
      <c r="M75" s="716" t="n"/>
      <c r="N75" s="716" t="n"/>
      <c r="O75" s="716" t="n"/>
      <c r="P75" s="716" t="n"/>
      <c r="Q75" s="716" t="n"/>
      <c r="R75" s="716" t="n"/>
      <c r="S75" s="462">
        <f>IF(_epmOfflineCondition_,"营业外收入-非流动资产报废损毁利得",EPMMemberDesc(U75))</f>
        <v/>
      </c>
      <c r="T75" s="716" t="n"/>
      <c r="U75" s="716" t="inlineStr">
        <is>
          <t>A630101</t>
        </is>
      </c>
      <c r="V75" s="1018">
        <f>IF(_epmOfflineCondition_,"A630101",EPMOlapMemberO(U75,"[C_ACCOUNT].[PARENTH1].[A630101]","A630101 - 营业外收入-非流动资产报废损毁利得","","000"))</f>
        <v/>
      </c>
      <c r="W75" s="462" t="n"/>
      <c r="X75" s="614" t="inlineStr">
        <is>
          <t xml:space="preserve">          其中：非流动资产毁损报废利得</t>
        </is>
      </c>
      <c r="Y75" s="1185">
        <f>ROW()-45</f>
        <v/>
      </c>
      <c r="Z75" s="1259">
        <f>IF($I$8="01",AB75,AB75-AA75)</f>
        <v/>
      </c>
      <c r="AA75" s="1249" t="n"/>
      <c r="AB75" s="1249" t="n"/>
      <c r="AC75" s="1249">
        <f>IF($I$9="01",AE75,AE75-AD75)</f>
        <v/>
      </c>
      <c r="AD75" s="1250" t="n"/>
      <c r="AE75" s="1250" t="n"/>
      <c r="AF75" s="1249">
        <f>Z75-AC75</f>
        <v/>
      </c>
      <c r="AG75" s="1249">
        <f>IF(AC75=0,0,(Z75-AC75)/AC75*100)</f>
        <v/>
      </c>
      <c r="AH75" s="1249">
        <f>IF($I$8="01",AJ75,AJ75-AI75)</f>
        <v/>
      </c>
      <c r="AI75" s="1249" t="n"/>
      <c r="AJ75" s="1249" t="n"/>
      <c r="AK75" s="1249">
        <f>Z75-AH75</f>
        <v/>
      </c>
      <c r="AL75" s="1249">
        <f>IF(AH75=0,0,(Z75-AH75)/AH75*100)</f>
        <v/>
      </c>
      <c r="AM75" s="1249" t="n"/>
      <c r="AN75" s="1249">
        <f>AB75-AM75</f>
        <v/>
      </c>
      <c r="AO75" s="1249">
        <f>IF(AM75=0,0,(AB75-AM75)/AM75*100)</f>
        <v/>
      </c>
      <c r="AP75" s="1251" t="n"/>
      <c r="AQ75" s="1249">
        <f>AP75</f>
        <v/>
      </c>
      <c r="AR75" s="1251">
        <f>Z75-AQ75</f>
        <v/>
      </c>
      <c r="AS75" s="1249">
        <f>IF(AP75=0,0,Z75/AP75*100)</f>
        <v/>
      </c>
      <c r="AT75" s="1251" t="n"/>
      <c r="AU75" s="1249">
        <f>AT75</f>
        <v/>
      </c>
      <c r="AV75" s="1251">
        <f>AB75-AT75</f>
        <v/>
      </c>
      <c r="AW75" s="1249">
        <f>IF(AT75=0,0,AB75/AT75*100)</f>
        <v/>
      </c>
      <c r="AX75" s="1251" t="n"/>
      <c r="AY75" s="1259">
        <f>AX75</f>
        <v/>
      </c>
      <c r="AZ75" s="1260">
        <f>AB75-AX75</f>
        <v/>
      </c>
      <c r="BA75" s="1259">
        <f>IF(AX75=0,0,AB75/AX75*100)</f>
        <v/>
      </c>
    </row>
    <row r="76" ht="14.45" customFormat="1" customHeight="1" s="1024">
      <c r="A76" s="716" t="n"/>
      <c r="B76" s="716" t="n"/>
      <c r="C76" s="716" t="n"/>
      <c r="D76" s="716" t="n"/>
      <c r="E76" s="716" t="n"/>
      <c r="F76" s="716" t="n"/>
      <c r="G76" s="716" t="n"/>
      <c r="H76" s="716" t="n"/>
      <c r="I76" s="716" t="n"/>
      <c r="J76" s="716" t="n"/>
      <c r="K76" s="716" t="n"/>
      <c r="L76" s="716" t="n"/>
      <c r="M76" s="716" t="n"/>
      <c r="N76" s="716" t="n"/>
      <c r="O76" s="716" t="n"/>
      <c r="P76" s="716" t="n"/>
      <c r="Q76" s="716" t="n"/>
      <c r="R76" s="716" t="n"/>
      <c r="S76" s="462">
        <f>IF(_epmOfflineCondition_,"营业外收入-政府补助",EPMMemberDesc(U76))</f>
        <v/>
      </c>
      <c r="T76" s="716" t="n"/>
      <c r="U76" s="716" t="inlineStr">
        <is>
          <t>A6301040000</t>
        </is>
      </c>
      <c r="V76" s="1018">
        <f>IF(_epmOfflineCondition_,"A6301040000",EPMOlapMemberO(U76,"[C_ACCOUNT].[PARENTH1].[A6301040000]","A6301040000 - 营业外收入-政府补助","","000"))</f>
        <v/>
      </c>
      <c r="W76" s="462" t="n"/>
      <c r="X76" s="614" t="inlineStr">
        <is>
          <t xml:space="preserve">                     政府补助</t>
        </is>
      </c>
      <c r="Y76" s="1185">
        <f>ROW()-45</f>
        <v/>
      </c>
      <c r="Z76" s="1259">
        <f>IF($I$8="01",AB76,AB76-AA76)</f>
        <v/>
      </c>
      <c r="AA76" s="1249" t="n"/>
      <c r="AB76" s="1249" t="n"/>
      <c r="AC76" s="1249">
        <f>IF($I$9="01",AE76,AE76-AD76)</f>
        <v/>
      </c>
      <c r="AD76" s="1250" t="n"/>
      <c r="AE76" s="1250" t="n"/>
      <c r="AF76" s="1249">
        <f>Z76-AC76</f>
        <v/>
      </c>
      <c r="AG76" s="1249">
        <f>IF(AC76=0,0,(Z76-AC76)/AC76*100)</f>
        <v/>
      </c>
      <c r="AH76" s="1249">
        <f>IF($I$8="01",AJ76,AJ76-AI76)</f>
        <v/>
      </c>
      <c r="AI76" s="1249" t="n"/>
      <c r="AJ76" s="1249" t="n"/>
      <c r="AK76" s="1249">
        <f>Z76-AH76</f>
        <v/>
      </c>
      <c r="AL76" s="1249">
        <f>IF(AH76=0,0,(Z76-AH76)/AH76*100)</f>
        <v/>
      </c>
      <c r="AM76" s="1249" t="n"/>
      <c r="AN76" s="1249">
        <f>AB76-AM76</f>
        <v/>
      </c>
      <c r="AO76" s="1249">
        <f>IF(AM76=0,0,(AB76-AM76)/AM76*100)</f>
        <v/>
      </c>
      <c r="AP76" s="1251" t="n"/>
      <c r="AQ76" s="1249">
        <f>AP76</f>
        <v/>
      </c>
      <c r="AR76" s="1251">
        <f>Z76-AQ76</f>
        <v/>
      </c>
      <c r="AS76" s="1249">
        <f>IF(AP76=0,0,Z76/AP76*100)</f>
        <v/>
      </c>
      <c r="AT76" s="1251" t="n"/>
      <c r="AU76" s="1249">
        <f>AT76</f>
        <v/>
      </c>
      <c r="AV76" s="1251">
        <f>AB76-AT76</f>
        <v/>
      </c>
      <c r="AW76" s="1249">
        <f>IF(AT76=0,0,AB76/AT76*100)</f>
        <v/>
      </c>
      <c r="AX76" s="1251" t="n"/>
      <c r="AY76" s="1259">
        <f>AX76</f>
        <v/>
      </c>
      <c r="AZ76" s="1260">
        <f>AB76-AX76</f>
        <v/>
      </c>
      <c r="BA76" s="1259">
        <f>IF(AX76=0,0,AB76/AX76*100)</f>
        <v/>
      </c>
    </row>
    <row r="77" ht="14.45" customFormat="1" customHeight="1" s="1024">
      <c r="A77" s="716" t="n"/>
      <c r="B77" s="716" t="n"/>
      <c r="C77" s="716" t="n"/>
      <c r="D77" s="716" t="n"/>
      <c r="E77" s="716" t="n"/>
      <c r="F77" s="716" t="n"/>
      <c r="G77" s="716" t="n"/>
      <c r="H77" s="716" t="n"/>
      <c r="I77" s="716" t="n"/>
      <c r="J77" s="716" t="n"/>
      <c r="K77" s="716" t="n"/>
      <c r="L77" s="716" t="n"/>
      <c r="M77" s="716" t="n"/>
      <c r="N77" s="716" t="n"/>
      <c r="O77" s="716" t="n"/>
      <c r="P77" s="716" t="n"/>
      <c r="Q77" s="716" t="n"/>
      <c r="R77" s="716" t="n"/>
      <c r="S77" s="462">
        <f>IF(_epmOfflineCondition_,"　　减：营业外支出",EPMMemberDesc(U77))</f>
        <v/>
      </c>
      <c r="T77" s="716" t="n"/>
      <c r="U77" s="716" t="inlineStr">
        <is>
          <t>A0020302</t>
        </is>
      </c>
      <c r="V77" s="637">
        <f>IF(_epmOfflineCondition_,"A0020302",EPMOlapMemberO(U77,"[C_ACCOUNT].[PARENTH1].[A0020302]","A0020302 - 　　减：营业外支出","","000"))</f>
        <v/>
      </c>
      <c r="W77" s="462" t="n"/>
      <c r="X77" s="588" t="inlineStr">
        <is>
          <t xml:space="preserve">　减：营业外支出</t>
        </is>
      </c>
      <c r="Y77" s="1185">
        <f>ROW()-45</f>
        <v/>
      </c>
      <c r="Z77" s="1259">
        <f>IF($I$8="01",AB77,AB77-AA77)</f>
        <v/>
      </c>
      <c r="AA77" s="1249" t="n"/>
      <c r="AB77" s="1249" t="n"/>
      <c r="AC77" s="1249">
        <f>IF($I$9="01",AE77,AE77-AD77)</f>
        <v/>
      </c>
      <c r="AD77" s="1250" t="n"/>
      <c r="AE77" s="1250" t="n"/>
      <c r="AF77" s="1249">
        <f>Z77-AC77</f>
        <v/>
      </c>
      <c r="AG77" s="1249">
        <f>IF(AC77=0,0,(Z77-AC77)/AC77*100)</f>
        <v/>
      </c>
      <c r="AH77" s="1249">
        <f>IF($I$8="01",AJ77,AJ77-AI77)</f>
        <v/>
      </c>
      <c r="AI77" s="1249" t="n"/>
      <c r="AJ77" s="1249" t="n"/>
      <c r="AK77" s="1249">
        <f>Z77-AH77</f>
        <v/>
      </c>
      <c r="AL77" s="1249">
        <f>IF(AH77=0,0,(Z77-AH77)/AH77*100)</f>
        <v/>
      </c>
      <c r="AM77" s="1249" t="n"/>
      <c r="AN77" s="1249">
        <f>AB77-AM77</f>
        <v/>
      </c>
      <c r="AO77" s="1249">
        <f>IF(AM77=0,0,(AB77-AM77)/AM77*100)</f>
        <v/>
      </c>
      <c r="AP77" s="1251" t="n"/>
      <c r="AQ77" s="1249">
        <f>AP77</f>
        <v/>
      </c>
      <c r="AR77" s="1251">
        <f>Z77-AQ77</f>
        <v/>
      </c>
      <c r="AS77" s="1249">
        <f>IF(AP77=0,0,Z77/AP77*100)</f>
        <v/>
      </c>
      <c r="AT77" s="1251" t="n"/>
      <c r="AU77" s="1249">
        <f>AT77</f>
        <v/>
      </c>
      <c r="AV77" s="1251">
        <f>AB77-AT77</f>
        <v/>
      </c>
      <c r="AW77" s="1249">
        <f>IF(AT77=0,0,AB77/AT77*100)</f>
        <v/>
      </c>
      <c r="AX77" s="1251" t="n"/>
      <c r="AY77" s="1259">
        <f>AX77</f>
        <v/>
      </c>
      <c r="AZ77" s="1260">
        <f>AB77-AX77</f>
        <v/>
      </c>
      <c r="BA77" s="1259">
        <f>IF(AX77=0,0,AB77/AX77*100)</f>
        <v/>
      </c>
    </row>
    <row r="78" ht="14.45" customFormat="1" customHeight="1" s="1024">
      <c r="A78" s="716" t="n"/>
      <c r="B78" s="716" t="n"/>
      <c r="C78" s="716" t="n"/>
      <c r="D78" s="716" t="n"/>
      <c r="E78" s="716" t="n"/>
      <c r="F78" s="716" t="n"/>
      <c r="G78" s="716" t="n"/>
      <c r="H78" s="716" t="n"/>
      <c r="I78" s="716" t="n"/>
      <c r="J78" s="716" t="n"/>
      <c r="K78" s="716" t="n"/>
      <c r="L78" s="716" t="n"/>
      <c r="M78" s="716" t="n"/>
      <c r="N78" s="716" t="n"/>
      <c r="O78" s="716" t="n"/>
      <c r="P78" s="716" t="n"/>
      <c r="Q78" s="716" t="n"/>
      <c r="R78" s="716" t="n"/>
      <c r="S78" s="462">
        <f>IF(_epmOfflineCondition_,"营业外支出-非流动资产报废损毁损失",EPMMemberDesc(U78))</f>
        <v/>
      </c>
      <c r="T78" s="716" t="n"/>
      <c r="U78" s="716" t="inlineStr">
        <is>
          <t>A671101</t>
        </is>
      </c>
      <c r="V78" s="1018">
        <f>IF(_epmOfflineCondition_,"A671101",EPMOlapMemberO(U78,"[C_ACCOUNT].[PARENTH1].[A671101]","A671101 - 营业外支出-非流动资产报废损毁损失","","000"))</f>
        <v/>
      </c>
      <c r="W78" s="462" t="n"/>
      <c r="X78" s="614" t="inlineStr">
        <is>
          <t xml:space="preserve">          其中：非流动资产毁损报废损失</t>
        </is>
      </c>
      <c r="Y78" s="1185">
        <f>ROW()-45</f>
        <v/>
      </c>
      <c r="Z78" s="1259">
        <f>IF($I$8="01",AB78,AB78-AA78)</f>
        <v/>
      </c>
      <c r="AA78" s="1249" t="n"/>
      <c r="AB78" s="1249" t="n"/>
      <c r="AC78" s="1249">
        <f>IF($I$9="01",AE78,AE78-AD78)</f>
        <v/>
      </c>
      <c r="AD78" s="1250" t="n"/>
      <c r="AE78" s="1250" t="n"/>
      <c r="AF78" s="1249">
        <f>Z78-AC78</f>
        <v/>
      </c>
      <c r="AG78" s="1249">
        <f>IF(AC78=0,0,(Z78-AC78)/AC78*100)</f>
        <v/>
      </c>
      <c r="AH78" s="1249">
        <f>IF($I$8="01",AJ78,AJ78-AI78)</f>
        <v/>
      </c>
      <c r="AI78" s="1249" t="n"/>
      <c r="AJ78" s="1249" t="n"/>
      <c r="AK78" s="1249">
        <f>Z78-AH78</f>
        <v/>
      </c>
      <c r="AL78" s="1249">
        <f>IF(AH78=0,0,(Z78-AH78)/AH78*100)</f>
        <v/>
      </c>
      <c r="AM78" s="1249" t="n"/>
      <c r="AN78" s="1249">
        <f>AB78-AM78</f>
        <v/>
      </c>
      <c r="AO78" s="1249">
        <f>IF(AM78=0,0,(AB78-AM78)/AM78*100)</f>
        <v/>
      </c>
      <c r="AP78" s="1251" t="n"/>
      <c r="AQ78" s="1249">
        <f>AP78</f>
        <v/>
      </c>
      <c r="AR78" s="1251">
        <f>Z78-AQ78</f>
        <v/>
      </c>
      <c r="AS78" s="1249">
        <f>IF(AP78=0,0,Z78/AP78*100)</f>
        <v/>
      </c>
      <c r="AT78" s="1251" t="n"/>
      <c r="AU78" s="1249">
        <f>AT78</f>
        <v/>
      </c>
      <c r="AV78" s="1251">
        <f>AB78-AT78</f>
        <v/>
      </c>
      <c r="AW78" s="1249">
        <f>IF(AT78=0,0,AB78/AT78*100)</f>
        <v/>
      </c>
      <c r="AX78" s="1251" t="n"/>
      <c r="AY78" s="1259">
        <f>AX78</f>
        <v/>
      </c>
      <c r="AZ78" s="1260">
        <f>AB78-AX78</f>
        <v/>
      </c>
      <c r="BA78" s="1259">
        <f>IF(AX78=0,0,AB78/AX78*100)</f>
        <v/>
      </c>
    </row>
    <row r="79" ht="14.45" customFormat="1" customHeight="1" s="1024">
      <c r="A79" s="716" t="n"/>
      <c r="B79" s="716" t="n"/>
      <c r="C79" s="716" t="n"/>
      <c r="D79" s="716" t="n"/>
      <c r="E79" s="716" t="n"/>
      <c r="F79" s="716" t="n"/>
      <c r="G79" s="716" t="n"/>
      <c r="H79" s="716" t="n"/>
      <c r="I79" s="716" t="n"/>
      <c r="J79" s="716" t="n"/>
      <c r="K79" s="716" t="n"/>
      <c r="L79" s="716" t="n"/>
      <c r="M79" s="716" t="n"/>
      <c r="N79" s="716" t="n"/>
      <c r="O79" s="716" t="n"/>
      <c r="P79" s="716" t="n"/>
      <c r="Q79" s="716" t="n"/>
      <c r="R79" s="716" t="n"/>
      <c r="S79" s="462">
        <f>IF(_epmOfflineCondition_,"四、利润总额（亏损总额以“-”号填列）",EPMMemberDesc(U79))</f>
        <v/>
      </c>
      <c r="T79" s="716" t="n"/>
      <c r="U79" s="716" t="inlineStr">
        <is>
          <t>A00204</t>
        </is>
      </c>
      <c r="V79" s="635">
        <f>IF(_epmOfflineCondition_,"A00204",EPMOlapMemberO(U79,"[C_ACCOUNT].[PARENTH1].[A00204]","A00204 - 四、利润总额（亏损总额以“-""号填列）","","000"))</f>
        <v/>
      </c>
      <c r="W79" s="462" t="n"/>
      <c r="X79" s="454" t="inlineStr">
        <is>
          <t>四、利润总额（亏损总额以“-”号填列）</t>
        </is>
      </c>
      <c r="Y79" s="1185">
        <f>ROW()-45</f>
        <v/>
      </c>
      <c r="Z79" s="1259">
        <f>IF($I$8="01",AB79,AB79-AA79)</f>
        <v/>
      </c>
      <c r="AA79" s="1249" t="inlineStr"/>
      <c r="AB79" s="1249" t="inlineStr"/>
      <c r="AC79" s="1249">
        <f>IF($I$9="01",AE79,AE79-AD79)</f>
        <v/>
      </c>
      <c r="AD79" s="1250" t="inlineStr"/>
      <c r="AE79" s="1250" t="inlineStr"/>
      <c r="AF79" s="1249">
        <f>Z79-AC79</f>
        <v/>
      </c>
      <c r="AG79" s="1249">
        <f>IF(AC79=0,0,(Z79-AC79)/AC79*100)</f>
        <v/>
      </c>
      <c r="AH79" s="1249">
        <f>IF($I$8="01",AJ79,AJ79-AI79)</f>
        <v/>
      </c>
      <c r="AI79" s="1249" t="inlineStr"/>
      <c r="AJ79" s="1249" t="inlineStr"/>
      <c r="AK79" s="1249">
        <f>Z79-AH79</f>
        <v/>
      </c>
      <c r="AL79" s="1249">
        <f>IF(AH79=0,0,(Z79-AH79)/AH79*100)</f>
        <v/>
      </c>
      <c r="AM79" s="1249" t="inlineStr"/>
      <c r="AN79" s="1249">
        <f>AB79-AM79</f>
        <v/>
      </c>
      <c r="AO79" s="1249">
        <f>IF(AM79=0,0,(AB79-AM79)/AM79*100)</f>
        <v/>
      </c>
      <c r="AP79" s="1251" t="n"/>
      <c r="AQ79" s="1249">
        <f>AP79</f>
        <v/>
      </c>
      <c r="AR79" s="1251">
        <f>Z79-AQ79</f>
        <v/>
      </c>
      <c r="AS79" s="1249">
        <f>IF(AP79=0,0,Z79/AP79*100)</f>
        <v/>
      </c>
      <c r="AT79" s="1251" t="n"/>
      <c r="AU79" s="1249">
        <f>AT79</f>
        <v/>
      </c>
      <c r="AV79" s="1251">
        <f>AB79-AT79</f>
        <v/>
      </c>
      <c r="AW79" s="1249">
        <f>IF(AT79=0,0,AB79/AT79*100)</f>
        <v/>
      </c>
      <c r="AX79" s="1251" t="n"/>
      <c r="AY79" s="1259">
        <f>AX79</f>
        <v/>
      </c>
      <c r="AZ79" s="1260">
        <f>AB79-AX79</f>
        <v/>
      </c>
      <c r="BA79" s="1259">
        <f>IF(AX79=0,0,AB79/AX79*100)</f>
        <v/>
      </c>
    </row>
    <row r="80" ht="14.45" customFormat="1" customHeight="1" s="1024">
      <c r="A80" s="716" t="n"/>
      <c r="B80" s="716" t="n"/>
      <c r="C80" s="716" t="n"/>
      <c r="D80" s="716" t="n"/>
      <c r="E80" s="716" t="n"/>
      <c r="F80" s="716" t="n"/>
      <c r="G80" s="716" t="n"/>
      <c r="H80" s="716" t="n"/>
      <c r="I80" s="716" t="n"/>
      <c r="J80" s="716" t="n"/>
      <c r="K80" s="716" t="n"/>
      <c r="L80" s="716" t="n"/>
      <c r="M80" s="716" t="n"/>
      <c r="N80" s="716" t="n"/>
      <c r="O80" s="716" t="n"/>
      <c r="P80" s="716" t="n"/>
      <c r="Q80" s="716" t="n"/>
      <c r="R80" s="716" t="n"/>
      <c r="S80" s="462">
        <f>IF(_epmOfflineCondition_,"　　减：所得税费用",EPMMemberDesc(U80))</f>
        <v/>
      </c>
      <c r="T80" s="716" t="n"/>
      <c r="U80" s="716" t="inlineStr">
        <is>
          <t>A0020401</t>
        </is>
      </c>
      <c r="V80" s="635">
        <f>IF(_epmOfflineCondition_,"A0020401",EPMOlapMemberO(U80,"[C_ACCOUNT].[PARENTH1].[A0020401]","A0020401 - 　　减：所得税费用","","000"))</f>
        <v/>
      </c>
      <c r="W80" s="462" t="n"/>
      <c r="X80" s="588" t="inlineStr">
        <is>
          <t xml:space="preserve">　减：所得税费用</t>
        </is>
      </c>
      <c r="Y80" s="1185">
        <f>ROW()-45</f>
        <v/>
      </c>
      <c r="Z80" s="1259">
        <f>IF($I$8="01",AB80,AB80-AA80)</f>
        <v/>
      </c>
      <c r="AA80" s="1249" t="n"/>
      <c r="AB80" s="1249" t="n"/>
      <c r="AC80" s="1249">
        <f>IF($I$9="01",AE80,AE80-AD80)</f>
        <v/>
      </c>
      <c r="AD80" s="1250" t="n"/>
      <c r="AE80" s="1250" t="n"/>
      <c r="AF80" s="1249">
        <f>Z80-AC80</f>
        <v/>
      </c>
      <c r="AG80" s="1249">
        <f>IF(AC80=0,0,(Z80-AC80)/AC80*100)</f>
        <v/>
      </c>
      <c r="AH80" s="1249">
        <f>IF($I$8="01",AJ80,AJ80-AI80)</f>
        <v/>
      </c>
      <c r="AI80" s="1249" t="n"/>
      <c r="AJ80" s="1249" t="n"/>
      <c r="AK80" s="1249">
        <f>Z80-AH80</f>
        <v/>
      </c>
      <c r="AL80" s="1249">
        <f>IF(AH80=0,0,(Z80-AH80)/AH80*100)</f>
        <v/>
      </c>
      <c r="AM80" s="1249" t="n"/>
      <c r="AN80" s="1249">
        <f>AB80-AM80</f>
        <v/>
      </c>
      <c r="AO80" s="1249">
        <f>IF(AM80=0,0,(AB80-AM80)/AM80*100)</f>
        <v/>
      </c>
      <c r="AP80" s="1251" t="n"/>
      <c r="AQ80" s="1249">
        <f>AP80</f>
        <v/>
      </c>
      <c r="AR80" s="1251">
        <f>Z80-AQ80</f>
        <v/>
      </c>
      <c r="AS80" s="1249">
        <f>IF(AP80=0,0,Z80/AP80*100)</f>
        <v/>
      </c>
      <c r="AT80" s="1251" t="n"/>
      <c r="AU80" s="1249">
        <f>AT80</f>
        <v/>
      </c>
      <c r="AV80" s="1251">
        <f>AB80-AT80</f>
        <v/>
      </c>
      <c r="AW80" s="1249">
        <f>IF(AT80=0,0,AB80/AT80*100)</f>
        <v/>
      </c>
      <c r="AX80" s="1251" t="n"/>
      <c r="AY80" s="1259">
        <f>AX80</f>
        <v/>
      </c>
      <c r="AZ80" s="1260">
        <f>AB80-AX80</f>
        <v/>
      </c>
      <c r="BA80" s="1259">
        <f>IF(AX80=0,0,AB80/AX80*100)</f>
        <v/>
      </c>
    </row>
    <row r="81" ht="14.45" customFormat="1" customHeight="1" s="1024">
      <c r="A81" s="716" t="n"/>
      <c r="B81" s="716" t="n"/>
      <c r="C81" s="716" t="n"/>
      <c r="D81" s="716" t="n"/>
      <c r="E81" s="716" t="n"/>
      <c r="F81" s="716" t="n"/>
      <c r="G81" s="716" t="n"/>
      <c r="H81" s="716" t="n"/>
      <c r="I81" s="716" t="n"/>
      <c r="J81" s="716" t="n"/>
      <c r="K81" s="716" t="n"/>
      <c r="L81" s="716" t="n"/>
      <c r="M81" s="716" t="n"/>
      <c r="N81" s="716" t="n"/>
      <c r="O81" s="716" t="n"/>
      <c r="P81" s="716" t="n"/>
      <c r="Q81" s="716" t="n"/>
      <c r="R81" s="716" t="n"/>
      <c r="S81" s="462">
        <f>IF(_epmOfflineCondition_,"五、净利润（净亏损以“-”号填列）",EPMMemberDesc(U81))</f>
        <v/>
      </c>
      <c r="T81" s="716" t="n"/>
      <c r="U81" s="716" t="inlineStr">
        <is>
          <t>A00205</t>
        </is>
      </c>
      <c r="V81" s="459">
        <f>IF(_epmOfflineCondition_,"A00205",EPMOlapMemberO(U81,"[C_ACCOUNT].[PARENTH1].[A00205]","A00205 - 五、净利润（净亏损以“-""号填列）","","000"))</f>
        <v/>
      </c>
      <c r="W81" s="462" t="n"/>
      <c r="X81" s="454" t="inlineStr">
        <is>
          <t>五、净利润（净亏损以“-”号填列）</t>
        </is>
      </c>
      <c r="Y81" s="1185">
        <f>ROW()-45</f>
        <v/>
      </c>
      <c r="Z81" s="1259">
        <f>IF($I$8="01",AB81,AB81-AA81)</f>
        <v/>
      </c>
      <c r="AA81" s="1249" t="inlineStr"/>
      <c r="AB81" s="1249" t="inlineStr"/>
      <c r="AC81" s="1249">
        <f>IF($I$9="01",AE81,AE81-AD81)</f>
        <v/>
      </c>
      <c r="AD81" s="1250" t="inlineStr"/>
      <c r="AE81" s="1250" t="inlineStr"/>
      <c r="AF81" s="1249">
        <f>Z81-AC81</f>
        <v/>
      </c>
      <c r="AG81" s="1249">
        <f>IF(AC81=0,0,(Z81-AC81)/AC81*100)</f>
        <v/>
      </c>
      <c r="AH81" s="1249">
        <f>IF($I$8="01",AJ81,AJ81-AI81)</f>
        <v/>
      </c>
      <c r="AI81" s="1249" t="inlineStr"/>
      <c r="AJ81" s="1249" t="inlineStr"/>
      <c r="AK81" s="1249">
        <f>Z81-AH81</f>
        <v/>
      </c>
      <c r="AL81" s="1249">
        <f>IF(AH81=0,0,(Z81-AH81)/AH81*100)</f>
        <v/>
      </c>
      <c r="AM81" s="1249" t="inlineStr"/>
      <c r="AN81" s="1249">
        <f>AB81-AM81</f>
        <v/>
      </c>
      <c r="AO81" s="1249">
        <f>IF(AM81=0,0,(AB81-AM81)/AM81*100)</f>
        <v/>
      </c>
      <c r="AP81" s="1251" t="n"/>
      <c r="AQ81" s="1249">
        <f>AP81</f>
        <v/>
      </c>
      <c r="AR81" s="1251">
        <f>Z81-AQ81</f>
        <v/>
      </c>
      <c r="AS81" s="1249">
        <f>IF(AP81=0,0,Z81/AP81*100)</f>
        <v/>
      </c>
      <c r="AT81" s="1251" t="n"/>
      <c r="AU81" s="1249">
        <f>AT81</f>
        <v/>
      </c>
      <c r="AV81" s="1251">
        <f>AB81-AT81</f>
        <v/>
      </c>
      <c r="AW81" s="1249">
        <f>IF(AT81=0,0,AB81/AT81*100)</f>
        <v/>
      </c>
      <c r="AX81" s="1251" t="n"/>
      <c r="AY81" s="1259">
        <f>AX81</f>
        <v/>
      </c>
      <c r="AZ81" s="1260">
        <f>AB81-AX81</f>
        <v/>
      </c>
      <c r="BA81" s="1259">
        <f>IF(AX81=0,0,AB81/AX81*100)</f>
        <v/>
      </c>
    </row>
    <row r="82" ht="14.45" customFormat="1" customHeight="1" s="1024">
      <c r="A82" s="716" t="n"/>
      <c r="B82" s="716" t="n"/>
      <c r="C82" s="716" t="n"/>
      <c r="D82" s="716" t="n"/>
      <c r="E82" s="716" t="n"/>
      <c r="F82" s="716" t="n"/>
      <c r="G82" s="716" t="n"/>
      <c r="H82" s="716" t="n"/>
      <c r="I82" s="716" t="n"/>
      <c r="J82" s="716" t="n"/>
      <c r="K82" s="716" t="n"/>
      <c r="L82" s="716" t="n"/>
      <c r="M82" s="716" t="n"/>
      <c r="N82" s="716" t="n"/>
      <c r="O82" s="716" t="n"/>
      <c r="P82" s="716" t="n"/>
      <c r="Q82" s="716" t="n"/>
      <c r="R82" s="716" t="n"/>
      <c r="S82" s="462">
        <f>IF(_epmOfflineCondition_,"　　归属于母公司所有者的净利润",EPMMemberDesc(U82))</f>
        <v/>
      </c>
      <c r="T82" s="716" t="n"/>
      <c r="U82" s="636" t="inlineStr">
        <is>
          <t>A0020504</t>
        </is>
      </c>
      <c r="V82" s="535">
        <f>IF(_epmOfflineCondition_,"A0020504",EPMOlapMemberO(U82,"[C_ACCOUNT].[PARENTH1].[A0020504]","A0020504 - 　　归属于母公司所有者的净利润","","000"))</f>
        <v/>
      </c>
      <c r="W82" s="462" t="n"/>
      <c r="X82" s="585" t="inlineStr">
        <is>
          <t xml:space="preserve">       归属于母公司所有者的净利润</t>
        </is>
      </c>
      <c r="Y82" s="1185">
        <f>ROW()-45</f>
        <v/>
      </c>
      <c r="Z82" s="1259">
        <f>IF($I$8="01",AB82,AB82-AA82)</f>
        <v/>
      </c>
      <c r="AA82" s="1249" t="inlineStr"/>
      <c r="AB82" s="1249" t="inlineStr"/>
      <c r="AC82" s="1249">
        <f>IF($I$9="01",AE82,AE82-AD82)</f>
        <v/>
      </c>
      <c r="AD82" s="1250" t="inlineStr"/>
      <c r="AE82" s="1250" t="inlineStr"/>
      <c r="AF82" s="1249">
        <f>Z82-AC82</f>
        <v/>
      </c>
      <c r="AG82" s="1249">
        <f>IF(AC82=0,0,(Z82-AC82)/AC82*100)</f>
        <v/>
      </c>
      <c r="AH82" s="1249">
        <f>IF($I$8="01",AJ82,AJ82-AI82)</f>
        <v/>
      </c>
      <c r="AI82" s="1249" t="inlineStr"/>
      <c r="AJ82" s="1249" t="inlineStr"/>
      <c r="AK82" s="1249">
        <f>Z82-AH82</f>
        <v/>
      </c>
      <c r="AL82" s="1249">
        <f>IF(AH82=0,0,(Z82-AH82)/AH82*100)</f>
        <v/>
      </c>
      <c r="AM82" s="1249" t="inlineStr"/>
      <c r="AN82" s="1249">
        <f>AB82-AM82</f>
        <v/>
      </c>
      <c r="AO82" s="1249">
        <f>IF(AM82=0,0,(AB82-AM82)/AM82*100)</f>
        <v/>
      </c>
      <c r="AP82" s="1251" t="n"/>
      <c r="AQ82" s="1249">
        <f>AP82</f>
        <v/>
      </c>
      <c r="AR82" s="1251">
        <f>Z82-AQ82</f>
        <v/>
      </c>
      <c r="AS82" s="1249">
        <f>IF(AP82=0,0,Z82/AP82*100)</f>
        <v/>
      </c>
      <c r="AT82" s="1251" t="n"/>
      <c r="AU82" s="1249">
        <f>AT82</f>
        <v/>
      </c>
      <c r="AV82" s="1251">
        <f>AB82-AT82</f>
        <v/>
      </c>
      <c r="AW82" s="1249">
        <f>IF(AT82=0,0,AB82/AT82*100)</f>
        <v/>
      </c>
      <c r="AX82" s="1251" t="n"/>
      <c r="AY82" s="1259">
        <f>AX82</f>
        <v/>
      </c>
      <c r="AZ82" s="1260">
        <f>AB82-AX82</f>
        <v/>
      </c>
      <c r="BA82" s="1259">
        <f>IF(AX82=0,0,AB82/AX82*100)</f>
        <v/>
      </c>
    </row>
    <row r="83" ht="14.45" customFormat="1" customHeight="1" s="1024">
      <c r="A83" s="716" t="n"/>
      <c r="B83" s="716" t="n"/>
      <c r="C83" s="716" t="n"/>
      <c r="D83" s="716" t="n"/>
      <c r="E83" s="716" t="n"/>
      <c r="F83" s="716" t="n"/>
      <c r="G83" s="716" t="n"/>
      <c r="H83" s="716" t="n"/>
      <c r="I83" s="716" t="n"/>
      <c r="J83" s="716" t="n"/>
      <c r="K83" s="716" t="n"/>
      <c r="L83" s="716" t="n"/>
      <c r="M83" s="716" t="n"/>
      <c r="N83" s="716" t="n"/>
      <c r="O83" s="716" t="n"/>
      <c r="P83" s="716" t="n"/>
      <c r="Q83" s="716" t="n"/>
      <c r="R83" s="716" t="n"/>
      <c r="S83" s="462">
        <f>IF(_epmOfflineCondition_,"　　少数股东损益",EPMMemberDesc(U83))</f>
        <v/>
      </c>
      <c r="T83" s="716" t="n"/>
      <c r="U83" s="716" t="inlineStr">
        <is>
          <t>A0020503</t>
        </is>
      </c>
      <c r="V83" s="635">
        <f>IF(_epmOfflineCondition_,"A0020503",EPMOlapMemberO(U83,"[C_ACCOUNT].[PARENTH1].[A0020503]","A0020503 - 　　少数股东损益","","000"))</f>
        <v/>
      </c>
      <c r="W83" s="462" t="n"/>
      <c r="X83" s="585" t="inlineStr">
        <is>
          <t xml:space="preserve">       少数股东损益</t>
        </is>
      </c>
      <c r="Y83" s="1185">
        <f>ROW()-45</f>
        <v/>
      </c>
      <c r="Z83" s="1259">
        <f>IF($I$8="01",AB83,AB83-AA83)</f>
        <v/>
      </c>
      <c r="AA83" s="1249" t="n"/>
      <c r="AB83" s="1249" t="n"/>
      <c r="AC83" s="1249">
        <f>IF($I$9="01",AE83,AE83-AD83)</f>
        <v/>
      </c>
      <c r="AD83" s="1250" t="n"/>
      <c r="AE83" s="1250" t="n"/>
      <c r="AF83" s="1249">
        <f>Z83-AC83</f>
        <v/>
      </c>
      <c r="AG83" s="1249">
        <f>IF(AC83=0,0,(Z83-AC83)/AC83*100)</f>
        <v/>
      </c>
      <c r="AH83" s="1249">
        <f>IF($I$8="01",AJ83,AJ83-AI83)</f>
        <v/>
      </c>
      <c r="AI83" s="1249" t="n"/>
      <c r="AJ83" s="1249" t="n"/>
      <c r="AK83" s="1249">
        <f>Z83-AH83</f>
        <v/>
      </c>
      <c r="AL83" s="1249">
        <f>IF(AH83=0,0,(Z83-AH83)/AH83*100)</f>
        <v/>
      </c>
      <c r="AM83" s="1249" t="n"/>
      <c r="AN83" s="1249">
        <f>AB83-AM83</f>
        <v/>
      </c>
      <c r="AO83" s="1249">
        <f>IF(AM83=0,0,(AB83-AM83)/AM83*100)</f>
        <v/>
      </c>
      <c r="AP83" s="1251" t="n"/>
      <c r="AQ83" s="1249">
        <f>AP83</f>
        <v/>
      </c>
      <c r="AR83" s="1251">
        <f>Z83-AQ83</f>
        <v/>
      </c>
      <c r="AS83" s="1249">
        <f>IF(AP83=0,0,Z83/AP83*100)</f>
        <v/>
      </c>
      <c r="AT83" s="1251" t="n"/>
      <c r="AU83" s="1249">
        <f>AT83</f>
        <v/>
      </c>
      <c r="AV83" s="1251">
        <f>AB83-AT83</f>
        <v/>
      </c>
      <c r="AW83" s="1249">
        <f>IF(AT83=0,0,AB83/AT83*100)</f>
        <v/>
      </c>
      <c r="AX83" s="1251" t="n"/>
      <c r="AY83" s="1259">
        <f>AX83</f>
        <v/>
      </c>
      <c r="AZ83" s="1260">
        <f>AB83-AX83</f>
        <v/>
      </c>
      <c r="BA83" s="1259">
        <f>IF(AX83=0,0,AB83/AX83*100)</f>
        <v/>
      </c>
    </row>
    <row r="84" ht="14.45" customFormat="1" customHeight="1" s="1024">
      <c r="A84" s="716" t="n"/>
      <c r="B84" s="716" t="n"/>
      <c r="C84" s="716" t="n"/>
      <c r="D84" s="716" t="n"/>
      <c r="E84" s="716" t="n"/>
      <c r="F84" s="716" t="n"/>
      <c r="G84" s="716" t="n"/>
      <c r="H84" s="716" t="n"/>
      <c r="I84" s="716" t="n"/>
      <c r="J84" s="716" t="n"/>
      <c r="K84" s="716" t="n"/>
      <c r="L84" s="716" t="n"/>
      <c r="M84" s="716" t="n"/>
      <c r="N84" s="716" t="n"/>
      <c r="O84" s="716" t="n"/>
      <c r="P84" s="716" t="n"/>
      <c r="Q84" s="716" t="n"/>
      <c r="R84" s="716" t="n"/>
      <c r="S84" s="462">
        <f>IF(_epmOfflineCondition_,"　　（一）持续经营净利润（净亏损以“－”号填列）",EPMMemberDesc(U84))</f>
        <v/>
      </c>
      <c r="T84" s="716" t="n"/>
      <c r="U84" s="716" t="inlineStr">
        <is>
          <t>A0020501</t>
        </is>
      </c>
      <c r="V84" s="462">
        <f>IF(_epmOfflineCondition_,"A0020501",EPMOlapMemberO(U84,"[C_ACCOUNT].[PARENTH2].[A0020501]","A0020501 - 　　（一）持续经营净利润（净亏损以“－""号填列）","","000"))</f>
        <v/>
      </c>
      <c r="W84" s="462" t="n"/>
      <c r="X84" s="475" t="inlineStr">
        <is>
          <t>（一）持续经营净利润（净亏损以“-”号填列）</t>
        </is>
      </c>
      <c r="Y84" s="1185">
        <f>ROW()-45</f>
        <v/>
      </c>
      <c r="Z84" s="1259">
        <f>IF($I$8="01",AB84,AB84-AA84)</f>
        <v/>
      </c>
      <c r="AA84" s="1249" t="inlineStr"/>
      <c r="AB84" s="1249" t="inlineStr"/>
      <c r="AC84" s="1249">
        <f>IF($I$9="01",AE84,AE84-AD84)</f>
        <v/>
      </c>
      <c r="AD84" s="1250" t="inlineStr"/>
      <c r="AE84" s="1250" t="inlineStr"/>
      <c r="AF84" s="1249">
        <f>Z84-AC84</f>
        <v/>
      </c>
      <c r="AG84" s="1249">
        <f>IF(AC84=0,0,(Z84-AC84)/AC84*100)</f>
        <v/>
      </c>
      <c r="AH84" s="1249">
        <f>IF($I$8="01",AJ84,AJ84-AI84)</f>
        <v/>
      </c>
      <c r="AI84" s="1249" t="inlineStr"/>
      <c r="AJ84" s="1249" t="inlineStr"/>
      <c r="AK84" s="1249">
        <f>Z84-AH84</f>
        <v/>
      </c>
      <c r="AL84" s="1249">
        <f>IF(AH84=0,0,(Z84-AH84)/AH84*100)</f>
        <v/>
      </c>
      <c r="AM84" s="1249" t="inlineStr"/>
      <c r="AN84" s="1249">
        <f>AB84-AM84</f>
        <v/>
      </c>
      <c r="AO84" s="1249">
        <f>IF(AM84=0,0,(AB84-AM84)/AM84*100)</f>
        <v/>
      </c>
      <c r="AP84" s="1251" t="n"/>
      <c r="AQ84" s="1249">
        <f>AP84</f>
        <v/>
      </c>
      <c r="AR84" s="1251">
        <f>Z84-AQ84</f>
        <v/>
      </c>
      <c r="AS84" s="1249">
        <f>IF(AP84=0,0,Z84/AP84*100)</f>
        <v/>
      </c>
      <c r="AT84" s="1251" t="n"/>
      <c r="AU84" s="1249">
        <f>AT84</f>
        <v/>
      </c>
      <c r="AV84" s="1251">
        <f>AB84-AT84</f>
        <v/>
      </c>
      <c r="AW84" s="1249">
        <f>IF(AT84=0,0,AB84/AT84*100)</f>
        <v/>
      </c>
      <c r="AX84" s="1251" t="n"/>
      <c r="AY84" s="1259">
        <f>AX84</f>
        <v/>
      </c>
      <c r="AZ84" s="1260">
        <f>AB84-AX84</f>
        <v/>
      </c>
      <c r="BA84" s="1259">
        <f>IF(AX84=0,0,AB84/AX84*100)</f>
        <v/>
      </c>
    </row>
    <row r="85" ht="14.45" customFormat="1" customHeight="1" s="1024">
      <c r="A85" s="716" t="n"/>
      <c r="B85" s="716" t="n"/>
      <c r="C85" s="716" t="n"/>
      <c r="D85" s="716" t="n"/>
      <c r="E85" s="716" t="n"/>
      <c r="F85" s="716" t="n"/>
      <c r="G85" s="716" t="n"/>
      <c r="H85" s="716" t="n"/>
      <c r="I85" s="716" t="n"/>
      <c r="J85" s="716" t="n"/>
      <c r="K85" s="716" t="n"/>
      <c r="L85" s="716" t="n"/>
      <c r="M85" s="716" t="n"/>
      <c r="N85" s="716" t="n"/>
      <c r="O85" s="716" t="n"/>
      <c r="P85" s="716" t="n"/>
      <c r="Q85" s="716" t="n"/>
      <c r="R85" s="716" t="n"/>
      <c r="S85" s="462">
        <f>IF(_epmOfflineCondition_,"　　（二）终止经营净利润（净亏损以“－”号填列）",EPMMemberDesc(U85))</f>
        <v/>
      </c>
      <c r="T85" s="716" t="n"/>
      <c r="U85" s="716" t="inlineStr">
        <is>
          <t>A0020502</t>
        </is>
      </c>
      <c r="V85" s="535">
        <f>IF(_epmOfflineCondition_,"A0020502",EPMOlapMemberO(U85,"[C_ACCOUNT].[PARENTH1].[A0020502]","A0020502 - 　　（二）终止经营净利润（净亏损以“－""号填列）","","000"))</f>
        <v/>
      </c>
      <c r="W85" s="462" t="n"/>
      <c r="X85" s="475" t="inlineStr">
        <is>
          <t>（二）终止经营净利润（净亏损以“-”号填列）</t>
        </is>
      </c>
      <c r="Y85" s="1185">
        <f>ROW()-45</f>
        <v/>
      </c>
      <c r="Z85" s="1259">
        <f>IF($I$8="01",AB85,AB85-AA85)</f>
        <v/>
      </c>
      <c r="AA85" s="1249" t="n"/>
      <c r="AB85" s="1249" t="n"/>
      <c r="AC85" s="1249">
        <f>IF($I$9="01",AE85,AE85-AD85)</f>
        <v/>
      </c>
      <c r="AD85" s="1250" t="n"/>
      <c r="AE85" s="1250" t="n"/>
      <c r="AF85" s="1249">
        <f>Z85-AC85</f>
        <v/>
      </c>
      <c r="AG85" s="1249">
        <f>IF(AC85=0,0,(Z85-AC85)/AC85*100)</f>
        <v/>
      </c>
      <c r="AH85" s="1249">
        <f>IF($I$8="01",AJ85,AJ85-AI85)</f>
        <v/>
      </c>
      <c r="AI85" s="1249" t="n"/>
      <c r="AJ85" s="1249" t="n"/>
      <c r="AK85" s="1249">
        <f>Z85-AH85</f>
        <v/>
      </c>
      <c r="AL85" s="1249">
        <f>IF(AH85=0,0,(Z85-AH85)/AH85*100)</f>
        <v/>
      </c>
      <c r="AM85" s="1249" t="n"/>
      <c r="AN85" s="1249">
        <f>AB85-AM85</f>
        <v/>
      </c>
      <c r="AO85" s="1249">
        <f>IF(AM85=0,0,(AB85-AM85)/AM85*100)</f>
        <v/>
      </c>
      <c r="AP85" s="1251" t="n"/>
      <c r="AQ85" s="1249">
        <f>AP85</f>
        <v/>
      </c>
      <c r="AR85" s="1251">
        <f>Z85-AQ85</f>
        <v/>
      </c>
      <c r="AS85" s="1249">
        <f>IF(AP85=0,0,Z85/AP85*100)</f>
        <v/>
      </c>
      <c r="AT85" s="1251" t="n"/>
      <c r="AU85" s="1249">
        <f>AT85</f>
        <v/>
      </c>
      <c r="AV85" s="1251">
        <f>AB85-AT85</f>
        <v/>
      </c>
      <c r="AW85" s="1249">
        <f>IF(AT85=0,0,AB85/AT85*100)</f>
        <v/>
      </c>
      <c r="AX85" s="1251" t="n"/>
      <c r="AY85" s="1259">
        <f>AX85</f>
        <v/>
      </c>
      <c r="AZ85" s="1260">
        <f>AB85-AX85</f>
        <v/>
      </c>
      <c r="BA85" s="1259">
        <f>IF(AX85=0,0,AB85/AX85*100)</f>
        <v/>
      </c>
    </row>
    <row r="86" ht="14.45" customFormat="1" customHeight="1" s="1024">
      <c r="A86" s="716" t="n"/>
      <c r="B86" s="716" t="n"/>
      <c r="C86" s="716" t="n"/>
      <c r="D86" s="716" t="n"/>
      <c r="E86" s="716" t="n"/>
      <c r="F86" s="716" t="n"/>
      <c r="G86" s="716" t="n"/>
      <c r="H86" s="716" t="n"/>
      <c r="I86" s="716" t="n"/>
      <c r="J86" s="716" t="n"/>
      <c r="K86" s="716" t="n"/>
      <c r="L86" s="716" t="n"/>
      <c r="M86" s="716" t="n"/>
      <c r="N86" s="716" t="n"/>
      <c r="O86" s="716" t="n"/>
      <c r="P86" s="716" t="n"/>
      <c r="Q86" s="716" t="n"/>
      <c r="R86" s="716" t="n"/>
      <c r="S86" s="462">
        <f>IF(_epmOfflineCondition_,"六、其他综合收益的税后净额",EPMMemberDesc(U86))</f>
        <v/>
      </c>
      <c r="T86" s="716" t="n"/>
      <c r="U86" s="716" t="inlineStr">
        <is>
          <t>A00206</t>
        </is>
      </c>
      <c r="V86" s="455">
        <f>IF(_epmOfflineCondition_,"A00206",EPMOlapMemberO(U86,"[C_ACCOUNT].[PARENTH3].[A00206]","A00206 - 六、其他综合收益的税后净额","","000"))</f>
        <v/>
      </c>
      <c r="W86" s="462" t="n"/>
      <c r="X86" s="463" t="inlineStr">
        <is>
          <t>六、其他综合收益的税后净额</t>
        </is>
      </c>
      <c r="Y86" s="1185">
        <f>ROW()-45</f>
        <v/>
      </c>
      <c r="Z86" s="1259">
        <f>IF($I$8="01",AB86,AB86-AA86)</f>
        <v/>
      </c>
      <c r="AA86" s="1249">
        <f>AA87+AA104</f>
        <v/>
      </c>
      <c r="AB86" s="1249">
        <f>AB87+AB104</f>
        <v/>
      </c>
      <c r="AC86" s="1249">
        <f>IF($I$9="01",AE86,AE86-AD86)</f>
        <v/>
      </c>
      <c r="AD86" s="1249">
        <f>AD87+AD104</f>
        <v/>
      </c>
      <c r="AE86" s="1249">
        <f>AE87+AE104</f>
        <v/>
      </c>
      <c r="AF86" s="1249">
        <f>Z86-AC86</f>
        <v/>
      </c>
      <c r="AG86" s="1249">
        <f>IF(AC86=0,0,(Z86-AC86)/AC86*100)</f>
        <v/>
      </c>
      <c r="AH86" s="1249">
        <f>IF($I$8="01",AJ86,AJ86-AI86)</f>
        <v/>
      </c>
      <c r="AI86" s="1249">
        <f>AI87+AI104</f>
        <v/>
      </c>
      <c r="AJ86" s="1249">
        <f>AJ87+AJ104</f>
        <v/>
      </c>
      <c r="AK86" s="1249">
        <f>Z86-AH86</f>
        <v/>
      </c>
      <c r="AL86" s="1249">
        <f>IF(AH86=0,0,(Z86-AH86)/AH86*100)</f>
        <v/>
      </c>
      <c r="AM86" s="1249">
        <f>AM87+AM104</f>
        <v/>
      </c>
      <c r="AN86" s="1249">
        <f>AB86-AM86</f>
        <v/>
      </c>
      <c r="AO86" s="1249">
        <f>IF(AM86=0,0,(AB86-AM86)/AM86*100)</f>
        <v/>
      </c>
      <c r="AP86" s="1251" t="n"/>
      <c r="AQ86" s="1249">
        <f>AP86</f>
        <v/>
      </c>
      <c r="AR86" s="1251">
        <f>Z86-AQ86</f>
        <v/>
      </c>
      <c r="AS86" s="1249">
        <f>IF(AP86=0,0,Z86/AP86*100)</f>
        <v/>
      </c>
      <c r="AT86" s="1251" t="n"/>
      <c r="AU86" s="1249">
        <f>AT86</f>
        <v/>
      </c>
      <c r="AV86" s="1251">
        <f>AB86-AT86</f>
        <v/>
      </c>
      <c r="AW86" s="1249">
        <f>IF(AT86=0,0,AB86/AT86*100)</f>
        <v/>
      </c>
      <c r="AX86" s="1251" t="n"/>
      <c r="AY86" s="1259">
        <f>AX86</f>
        <v/>
      </c>
      <c r="AZ86" s="1260">
        <f>AB86-AX86</f>
        <v/>
      </c>
      <c r="BA86" s="1259">
        <f>IF(AX86=0,0,AB86/AX86*100)</f>
        <v/>
      </c>
    </row>
    <row r="87" ht="14.45" customFormat="1" customHeight="1" s="1024">
      <c r="A87" s="716" t="n"/>
      <c r="B87" s="716" t="n"/>
      <c r="C87" s="716" t="n"/>
      <c r="D87" s="716" t="n"/>
      <c r="E87" s="716" t="n"/>
      <c r="F87" s="716" t="n"/>
      <c r="G87" s="716" t="n"/>
      <c r="H87" s="716" t="n"/>
      <c r="I87" s="716" t="n"/>
      <c r="J87" s="716" t="n"/>
      <c r="K87" s="716" t="n"/>
      <c r="L87" s="716" t="n"/>
      <c r="M87" s="716" t="n"/>
      <c r="N87" s="716" t="n"/>
      <c r="O87" s="716" t="n"/>
      <c r="P87" s="716" t="n"/>
      <c r="Q87" s="716" t="n"/>
      <c r="R87" s="716" t="n"/>
      <c r="S87" s="462">
        <f>IF(_epmOfflineCondition_,"  其他综合收益",EPMMemberDesc(U87))</f>
        <v/>
      </c>
      <c r="T87" s="716" t="n"/>
      <c r="U87" s="716" t="inlineStr">
        <is>
          <t>A0010305</t>
        </is>
      </c>
      <c r="V87" s="635">
        <f>IF(_epmOfflineCondition_,"A0010305",EPMOlapMemberO(U87,"[C_ACCOUNT].[PARENTH1].[A0010305]","A0010305 -   其他综合收益","","000"))</f>
        <v/>
      </c>
      <c r="W87" s="462" t="n"/>
      <c r="X87" s="1017" t="inlineStr">
        <is>
          <t>归属于母公司所有者的其他综合收益的税后净额</t>
        </is>
      </c>
      <c r="Y87" s="1185">
        <f>ROW()-45</f>
        <v/>
      </c>
      <c r="Z87" s="1259">
        <f>IF($I$8="01",AB87,AB87-AA87)</f>
        <v/>
      </c>
      <c r="AA87" s="1249" t="n"/>
      <c r="AB87" s="1249" t="n"/>
      <c r="AC87" s="1249">
        <f>IF($I$9="01",AE87,AE87-AD87)</f>
        <v/>
      </c>
      <c r="AD87" s="1250" t="n"/>
      <c r="AE87" s="1250" t="n"/>
      <c r="AF87" s="1249">
        <f>Z87-AC87</f>
        <v/>
      </c>
      <c r="AG87" s="1249">
        <f>IF(AC87=0,0,(Z87-AC87)/AC87*100)</f>
        <v/>
      </c>
      <c r="AH87" s="1249">
        <f>IF($I$8="01",AJ87,AJ87-AI87)</f>
        <v/>
      </c>
      <c r="AI87" s="1249" t="n"/>
      <c r="AJ87" s="1249" t="n"/>
      <c r="AK87" s="1249">
        <f>Z87-AH87</f>
        <v/>
      </c>
      <c r="AL87" s="1249">
        <f>IF(AH87=0,0,(Z87-AH87)/AH87*100)</f>
        <v/>
      </c>
      <c r="AM87" s="1249" t="n"/>
      <c r="AN87" s="1249">
        <f>AB87-AM87</f>
        <v/>
      </c>
      <c r="AO87" s="1249">
        <f>IF(AM87=0,0,(AB87-AM87)/AM87*100)</f>
        <v/>
      </c>
      <c r="AP87" s="1251" t="n"/>
      <c r="AQ87" s="1249">
        <f>AP87</f>
        <v/>
      </c>
      <c r="AR87" s="1251">
        <f>Z87-AQ87</f>
        <v/>
      </c>
      <c r="AS87" s="1249">
        <f>IF(AP87=0,0,Z87/AP87*100)</f>
        <v/>
      </c>
      <c r="AT87" s="1251" t="n"/>
      <c r="AU87" s="1249">
        <f>AT87</f>
        <v/>
      </c>
      <c r="AV87" s="1251">
        <f>AB87-AT87</f>
        <v/>
      </c>
      <c r="AW87" s="1249">
        <f>IF(AT87=0,0,AB87/AT87*100)</f>
        <v/>
      </c>
      <c r="AX87" s="1251" t="n"/>
      <c r="AY87" s="1259">
        <f>AX87</f>
        <v/>
      </c>
      <c r="AZ87" s="1260">
        <f>AB87-AX87</f>
        <v/>
      </c>
      <c r="BA87" s="1259">
        <f>IF(AX87=0,0,AB87/AX87*100)</f>
        <v/>
      </c>
    </row>
    <row r="88" ht="14.45" customFormat="1" customHeight="1" s="1024">
      <c r="A88" s="716" t="n"/>
      <c r="B88" s="716" t="n"/>
      <c r="C88" s="716" t="n"/>
      <c r="D88" s="716" t="n"/>
      <c r="E88" s="716" t="n"/>
      <c r="F88" s="716" t="n"/>
      <c r="G88" s="716" t="n"/>
      <c r="H88" s="716" t="n"/>
      <c r="I88" s="716" t="n"/>
      <c r="J88" s="716" t="n"/>
      <c r="K88" s="716" t="n"/>
      <c r="L88" s="716" t="n"/>
      <c r="M88" s="716" t="n"/>
      <c r="N88" s="716" t="n"/>
      <c r="O88" s="716" t="n"/>
      <c r="P88" s="716" t="n"/>
      <c r="Q88" s="716" t="n"/>
      <c r="R88" s="716" t="n"/>
      <c r="S88" s="462">
        <f>IF(_epmOfflineCondition_,"（一）不能重分类进损益的其他综合收益",EPMMemberDesc(U88))</f>
        <v/>
      </c>
      <c r="T88" s="716" t="n"/>
      <c r="U88" s="462" t="inlineStr">
        <is>
          <t>A400401</t>
        </is>
      </c>
      <c r="V88" s="637">
        <f>IF(_epmOfflineCondition_,"A400401",EPMOlapMemberO(U88,"[C_ACCOUNT].[PARENTH1].[A400401]","A400401 - （一）不能重分类进损益的其他综合收益","","000"))</f>
        <v/>
      </c>
      <c r="W88" s="462" t="n"/>
      <c r="X88" s="475" t="inlineStr">
        <is>
          <t>（一）不能重分类进损益的其他综合收益</t>
        </is>
      </c>
      <c r="Y88" s="1185">
        <f>ROW()-45</f>
        <v/>
      </c>
      <c r="Z88" s="1259">
        <f>IF($I$8="01",AB88,AB88-AA88)</f>
        <v/>
      </c>
      <c r="AA88" s="1249" t="n"/>
      <c r="AB88" s="1249" t="n"/>
      <c r="AC88" s="1249">
        <f>IF($I$9="01",AE88,AE88-AD88)</f>
        <v/>
      </c>
      <c r="AD88" s="1250" t="n"/>
      <c r="AE88" s="1250" t="n"/>
      <c r="AF88" s="1249">
        <f>Z88-AC88</f>
        <v/>
      </c>
      <c r="AG88" s="1249">
        <f>IF(AC88=0,0,(Z88-AC88)/AC88*100)</f>
        <v/>
      </c>
      <c r="AH88" s="1249">
        <f>IF($I$8="01",AJ88,AJ88-AI88)</f>
        <v/>
      </c>
      <c r="AI88" s="1249" t="n"/>
      <c r="AJ88" s="1249" t="n"/>
      <c r="AK88" s="1249">
        <f>Z88-AH88</f>
        <v/>
      </c>
      <c r="AL88" s="1249">
        <f>IF(AH88=0,0,(Z88-AH88)/AH88*100)</f>
        <v/>
      </c>
      <c r="AM88" s="1249" t="n"/>
      <c r="AN88" s="1249">
        <f>AB88-AM88</f>
        <v/>
      </c>
      <c r="AO88" s="1249">
        <f>IF(AM88=0,0,(AB88-AM88)/AM88*100)</f>
        <v/>
      </c>
      <c r="AP88" s="1251" t="n"/>
      <c r="AQ88" s="1249">
        <f>AP88</f>
        <v/>
      </c>
      <c r="AR88" s="1251">
        <f>Z88-AQ88</f>
        <v/>
      </c>
      <c r="AS88" s="1249">
        <f>IF(AP88=0,0,Z88/AP88*100)</f>
        <v/>
      </c>
      <c r="AT88" s="1251" t="n"/>
      <c r="AU88" s="1249">
        <f>AT88</f>
        <v/>
      </c>
      <c r="AV88" s="1251">
        <f>AB88-AT88</f>
        <v/>
      </c>
      <c r="AW88" s="1249">
        <f>IF(AT88=0,0,AB88/AT88*100)</f>
        <v/>
      </c>
      <c r="AX88" s="1251" t="n"/>
      <c r="AY88" s="1259">
        <f>AX88</f>
        <v/>
      </c>
      <c r="AZ88" s="1260">
        <f>AB88-AX88</f>
        <v/>
      </c>
      <c r="BA88" s="1259">
        <f>IF(AX88=0,0,AB88/AX88*100)</f>
        <v/>
      </c>
    </row>
    <row r="89" ht="14.45" customFormat="1" customHeight="1" s="1024">
      <c r="A89" s="716" t="n"/>
      <c r="B89" s="716" t="n"/>
      <c r="C89" s="716" t="n"/>
      <c r="D89" s="716" t="n"/>
      <c r="E89" s="716" t="n"/>
      <c r="F89" s="716" t="n"/>
      <c r="G89" s="716" t="n"/>
      <c r="H89" s="716" t="n"/>
      <c r="I89" s="716" t="n"/>
      <c r="J89" s="716" t="n"/>
      <c r="K89" s="716" t="n"/>
      <c r="L89" s="716" t="n"/>
      <c r="M89" s="716" t="n"/>
      <c r="N89" s="716" t="n"/>
      <c r="O89" s="716" t="n"/>
      <c r="P89" s="716" t="n"/>
      <c r="Q89" s="716" t="n"/>
      <c r="R89" s="716" t="n"/>
      <c r="S89" s="462">
        <f>IF(_epmOfflineCondition_,"    其中：1.重新计量设定受益计划变动额",EPMMemberDesc(U89))</f>
        <v/>
      </c>
      <c r="T89" s="716" t="n"/>
      <c r="U89" s="462" t="inlineStr">
        <is>
          <t>A4004010100</t>
        </is>
      </c>
      <c r="V89" s="1018">
        <f>IF(_epmOfflineCondition_,"A4004010100",EPMOlapMemberO(U89,"[C_ACCOUNT].[PARENTH1].[A4004010100]","A4004010100 -     其中：1.重新计量设定受益计划变动额","","000"))</f>
        <v/>
      </c>
      <c r="W89" s="462" t="n"/>
      <c r="X89" s="585" t="inlineStr">
        <is>
          <t xml:space="preserve">                 1.重新计量设定受益计划变动额</t>
        </is>
      </c>
      <c r="Y89" s="1185">
        <f>ROW()-45</f>
        <v/>
      </c>
      <c r="Z89" s="1259">
        <f>IF($I$8="01",AB89,AB89-AA89)</f>
        <v/>
      </c>
      <c r="AA89" s="1249" t="n"/>
      <c r="AB89" s="1249" t="n"/>
      <c r="AC89" s="1249">
        <f>IF($I$9="01",AE89,AE89-AD89)</f>
        <v/>
      </c>
      <c r="AD89" s="1250" t="n"/>
      <c r="AE89" s="1250" t="n"/>
      <c r="AF89" s="1249">
        <f>Z89-AC89</f>
        <v/>
      </c>
      <c r="AG89" s="1249">
        <f>IF(AC89=0,0,(Z89-AC89)/AC89*100)</f>
        <v/>
      </c>
      <c r="AH89" s="1249">
        <f>IF($I$8="01",AJ89,AJ89-AI89)</f>
        <v/>
      </c>
      <c r="AI89" s="1249" t="n"/>
      <c r="AJ89" s="1249" t="n"/>
      <c r="AK89" s="1249">
        <f>Z89-AH89</f>
        <v/>
      </c>
      <c r="AL89" s="1249">
        <f>IF(AH89=0,0,(Z89-AH89)/AH89*100)</f>
        <v/>
      </c>
      <c r="AM89" s="1249" t="n"/>
      <c r="AN89" s="1249">
        <f>AB89-AM89</f>
        <v/>
      </c>
      <c r="AO89" s="1249">
        <f>IF(AM89=0,0,(AB89-AM89)/AM89*100)</f>
        <v/>
      </c>
      <c r="AP89" s="1251" t="n"/>
      <c r="AQ89" s="1249">
        <f>AP89</f>
        <v/>
      </c>
      <c r="AR89" s="1251">
        <f>Z89-AQ89</f>
        <v/>
      </c>
      <c r="AS89" s="1249">
        <f>IF(AP89=0,0,Z89/AP89*100)</f>
        <v/>
      </c>
      <c r="AT89" s="1251" t="n"/>
      <c r="AU89" s="1249">
        <f>AT89</f>
        <v/>
      </c>
      <c r="AV89" s="1251">
        <f>AB89-AT89</f>
        <v/>
      </c>
      <c r="AW89" s="1249">
        <f>IF(AT89=0,0,AB89/AT89*100)</f>
        <v/>
      </c>
      <c r="AX89" s="1251" t="n"/>
      <c r="AY89" s="1259">
        <f>AX89</f>
        <v/>
      </c>
      <c r="AZ89" s="1260">
        <f>AB89-AX89</f>
        <v/>
      </c>
      <c r="BA89" s="1259">
        <f>IF(AX89=0,0,AB89/AX89*100)</f>
        <v/>
      </c>
    </row>
    <row r="90">
      <c r="A90" s="384" t="n"/>
      <c r="B90" s="384" t="n"/>
      <c r="C90" s="384" t="n"/>
      <c r="D90" s="384" t="n"/>
      <c r="E90" s="384" t="n"/>
      <c r="F90" s="384" t="n"/>
      <c r="G90" s="384" t="n"/>
      <c r="H90" s="384" t="n"/>
      <c r="I90" s="384" t="n"/>
      <c r="J90" s="384" t="n"/>
      <c r="K90" s="384" t="n"/>
      <c r="L90" s="384" t="n"/>
      <c r="M90" s="384" t="n"/>
      <c r="N90" s="384" t="n"/>
      <c r="O90" s="384" t="n"/>
      <c r="P90" s="384" t="n"/>
      <c r="Q90" s="384" t="n"/>
      <c r="R90" s="384" t="n"/>
      <c r="S90" s="462">
        <f>IF(_epmOfflineCondition_,"            2.权益法下不能转损益的其他综合收益",EPMMemberDesc(U90))</f>
        <v/>
      </c>
      <c r="T90" s="384" t="n"/>
      <c r="U90" s="462" t="inlineStr">
        <is>
          <t>A4004010400</t>
        </is>
      </c>
      <c r="V90" s="1018">
        <f>IF(_epmOfflineCondition_,"A4004010400",EPMOlapMemberO(U90,"[C_ACCOUNT].[PARENTH1].[A4004010400]","A4004010400 -             2.权益法下不能转损益的其他综合收益","","000"))</f>
        <v/>
      </c>
      <c r="W90" s="384" t="n"/>
      <c r="X90" s="585" t="inlineStr">
        <is>
          <t xml:space="preserve">                 2.权益法下不能转损益的其他综合收益</t>
        </is>
      </c>
      <c r="Y90" s="1185">
        <f>ROW()-45</f>
        <v/>
      </c>
      <c r="Z90" s="1259">
        <f>IF($I$8="01",AB90,AB90-AA90)</f>
        <v/>
      </c>
      <c r="AA90" s="1249" t="n"/>
      <c r="AB90" s="1249" t="n"/>
      <c r="AC90" s="1249">
        <f>IF($I$9="01",AE90,AE90-AD90)</f>
        <v/>
      </c>
      <c r="AD90" s="1250" t="n"/>
      <c r="AE90" s="1250" t="n"/>
      <c r="AF90" s="1249">
        <f>Z90-AC90</f>
        <v/>
      </c>
      <c r="AG90" s="1249">
        <f>IF(AC90=0,0,(Z90-AC90)/AC90*100)</f>
        <v/>
      </c>
      <c r="AH90" s="1249">
        <f>IF($I$8="01",AJ90,AJ90-AI90)</f>
        <v/>
      </c>
      <c r="AI90" s="1249" t="n"/>
      <c r="AJ90" s="1249" t="n"/>
      <c r="AK90" s="1249">
        <f>Z90-AH90</f>
        <v/>
      </c>
      <c r="AL90" s="1249">
        <f>IF(AH90=0,0,(Z90-AH90)/AH90*100)</f>
        <v/>
      </c>
      <c r="AM90" s="1249" t="n"/>
      <c r="AN90" s="1249">
        <f>AB90-AM90</f>
        <v/>
      </c>
      <c r="AO90" s="1249">
        <f>IF(AM90=0,0,(AB90-AM90)/AM90*100)</f>
        <v/>
      </c>
      <c r="AP90" s="1252" t="n"/>
      <c r="AQ90" s="1249">
        <f>AP90</f>
        <v/>
      </c>
      <c r="AR90" s="1251">
        <f>Z90-AQ90</f>
        <v/>
      </c>
      <c r="AS90" s="1249">
        <f>IF(AP90=0,0,Z90/AP90*100)</f>
        <v/>
      </c>
      <c r="AT90" s="1252" t="n"/>
      <c r="AU90" s="1249">
        <f>AT90</f>
        <v/>
      </c>
      <c r="AV90" s="1251">
        <f>AB90-AT90</f>
        <v/>
      </c>
      <c r="AW90" s="1249">
        <f>IF(AT90=0,0,AB90/AT90*100)</f>
        <v/>
      </c>
      <c r="AX90" s="1252" t="n"/>
      <c r="AY90" s="1259">
        <f>AX90</f>
        <v/>
      </c>
      <c r="AZ90" s="1260">
        <f>AB90-AX90</f>
        <v/>
      </c>
      <c r="BA90" s="1259">
        <f>IF(AX90=0,0,AB90/AX90*100)</f>
        <v/>
      </c>
    </row>
    <row r="91">
      <c r="A91" s="384" t="n"/>
      <c r="B91" s="384" t="n"/>
      <c r="C91" s="384" t="n"/>
      <c r="D91" s="384" t="n"/>
      <c r="E91" s="384" t="n"/>
      <c r="F91" s="384" t="n"/>
      <c r="G91" s="384" t="n"/>
      <c r="H91" s="384" t="n"/>
      <c r="I91" s="384" t="n"/>
      <c r="J91" s="384" t="n"/>
      <c r="K91" s="384" t="n"/>
      <c r="L91" s="384" t="n"/>
      <c r="M91" s="384" t="n"/>
      <c r="N91" s="384" t="n"/>
      <c r="O91" s="384" t="n"/>
      <c r="P91" s="384" t="n"/>
      <c r="Q91" s="384" t="n"/>
      <c r="R91" s="384" t="n"/>
      <c r="S91" s="462">
        <f>IF(_epmOfflineCondition_,"            3.其他权益工具投资公允价值变动",EPMMemberDesc(U91))</f>
        <v/>
      </c>
      <c r="T91" s="384" t="n"/>
      <c r="U91" s="462" t="inlineStr">
        <is>
          <t>A4004010200</t>
        </is>
      </c>
      <c r="V91" s="1018">
        <f>IF(_epmOfflineCondition_,"A4004010200",EPMOlapMemberO(U91,"[C_ACCOUNT].[PARENTH1].[A4004010200]","A4004010200 -             3.其他权益工具投资公允价值变动","","000"))</f>
        <v/>
      </c>
      <c r="W91" s="384" t="n"/>
      <c r="X91" s="585" t="inlineStr">
        <is>
          <t xml:space="preserve">                 3.其他权益工具投资公允价值变动</t>
        </is>
      </c>
      <c r="Y91" s="1185">
        <f>ROW()-45</f>
        <v/>
      </c>
      <c r="Z91" s="1259">
        <f>IF($I$8="01",AB91,AB91-AA91)</f>
        <v/>
      </c>
      <c r="AA91" s="1249" t="n"/>
      <c r="AB91" s="1249" t="n"/>
      <c r="AC91" s="1249">
        <f>IF($I$9="01",AE91,AE91-AD91)</f>
        <v/>
      </c>
      <c r="AD91" s="1250" t="n"/>
      <c r="AE91" s="1250" t="n"/>
      <c r="AF91" s="1249">
        <f>Z91-AC91</f>
        <v/>
      </c>
      <c r="AG91" s="1249">
        <f>IF(AC91=0,0,(Z91-AC91)/AC91*100)</f>
        <v/>
      </c>
      <c r="AH91" s="1249">
        <f>IF($I$8="01",AJ91,AJ91-AI91)</f>
        <v/>
      </c>
      <c r="AI91" s="1249" t="n"/>
      <c r="AJ91" s="1249" t="n"/>
      <c r="AK91" s="1249">
        <f>Z91-AH91</f>
        <v/>
      </c>
      <c r="AL91" s="1249">
        <f>IF(AH91=0,0,(Z91-AH91)/AH91*100)</f>
        <v/>
      </c>
      <c r="AM91" s="1249" t="n"/>
      <c r="AN91" s="1249">
        <f>AB91-AM91</f>
        <v/>
      </c>
      <c r="AO91" s="1249">
        <f>IF(AM91=0,0,(AB91-AM91)/AM91*100)</f>
        <v/>
      </c>
      <c r="AP91" s="1252" t="n"/>
      <c r="AQ91" s="1249">
        <f>AP91</f>
        <v/>
      </c>
      <c r="AR91" s="1251">
        <f>Z91-AQ91</f>
        <v/>
      </c>
      <c r="AS91" s="1249">
        <f>IF(AP91=0,0,Z91/AP91*100)</f>
        <v/>
      </c>
      <c r="AT91" s="1252" t="n"/>
      <c r="AU91" s="1249">
        <f>AT91</f>
        <v/>
      </c>
      <c r="AV91" s="1251">
        <f>AB91-AT91</f>
        <v/>
      </c>
      <c r="AW91" s="1249">
        <f>IF(AT91=0,0,AB91/AT91*100)</f>
        <v/>
      </c>
      <c r="AX91" s="1252" t="n"/>
      <c r="AY91" s="1259">
        <f>AX91</f>
        <v/>
      </c>
      <c r="AZ91" s="1260">
        <f>AB91-AX91</f>
        <v/>
      </c>
      <c r="BA91" s="1259">
        <f>IF(AX91=0,0,AB91/AX91*100)</f>
        <v/>
      </c>
    </row>
    <row r="92">
      <c r="A92" s="384" t="n"/>
      <c r="B92" s="384" t="n"/>
      <c r="C92" s="384" t="n"/>
      <c r="D92" s="384" t="n"/>
      <c r="E92" s="384" t="n"/>
      <c r="F92" s="384" t="n"/>
      <c r="G92" s="384" t="n"/>
      <c r="H92" s="384" t="n"/>
      <c r="I92" s="384" t="n"/>
      <c r="J92" s="384" t="n"/>
      <c r="K92" s="384" t="n"/>
      <c r="L92" s="384" t="n"/>
      <c r="M92" s="384" t="n"/>
      <c r="N92" s="384" t="n"/>
      <c r="O92" s="384" t="n"/>
      <c r="P92" s="384" t="n"/>
      <c r="Q92" s="384" t="n"/>
      <c r="R92" s="384" t="n"/>
      <c r="S92" s="462">
        <f>IF(_epmOfflineCondition_,"            4.企业自身信用风险公允价值变动",EPMMemberDesc(U92))</f>
        <v/>
      </c>
      <c r="T92" s="384" t="n"/>
      <c r="U92" s="462" t="inlineStr">
        <is>
          <t>A4004010300</t>
        </is>
      </c>
      <c r="V92" s="1018">
        <f>IF(_epmOfflineCondition_,"A4004010300",EPMOlapMemberO(U92,"[C_ACCOUNT].[PARENTH1].[A4004010300]","A4004010300 -             4.企业自身信用风险公允价值变动","","000"))</f>
        <v/>
      </c>
      <c r="W92" s="384" t="n"/>
      <c r="X92" s="585" t="inlineStr">
        <is>
          <t xml:space="preserve">                 4.企业自身信用风险公允价值变动</t>
        </is>
      </c>
      <c r="Y92" s="1185">
        <f>ROW()-45</f>
        <v/>
      </c>
      <c r="Z92" s="1259">
        <f>IF($I$8="01",AB92,AB92-AA92)</f>
        <v/>
      </c>
      <c r="AA92" s="1249" t="n"/>
      <c r="AB92" s="1249" t="n"/>
      <c r="AC92" s="1249">
        <f>IF($I$9="01",AE92,AE92-AD92)</f>
        <v/>
      </c>
      <c r="AD92" s="1250" t="n"/>
      <c r="AE92" s="1250" t="n"/>
      <c r="AF92" s="1249">
        <f>Z92-AC92</f>
        <v/>
      </c>
      <c r="AG92" s="1249">
        <f>IF(AC92=0,0,(Z92-AC92)/AC92*100)</f>
        <v/>
      </c>
      <c r="AH92" s="1249">
        <f>IF($I$8="01",AJ92,AJ92-AI92)</f>
        <v/>
      </c>
      <c r="AI92" s="1249" t="n"/>
      <c r="AJ92" s="1249" t="n"/>
      <c r="AK92" s="1249">
        <f>Z92-AH92</f>
        <v/>
      </c>
      <c r="AL92" s="1249">
        <f>IF(AH92=0,0,(Z92-AH92)/AH92*100)</f>
        <v/>
      </c>
      <c r="AM92" s="1249" t="n"/>
      <c r="AN92" s="1249">
        <f>AB92-AM92</f>
        <v/>
      </c>
      <c r="AO92" s="1249">
        <f>IF(AM92=0,0,(AB92-AM92)/AM92*100)</f>
        <v/>
      </c>
      <c r="AP92" s="1252" t="n"/>
      <c r="AQ92" s="1249">
        <f>AP92</f>
        <v/>
      </c>
      <c r="AR92" s="1251">
        <f>Z92-AQ92</f>
        <v/>
      </c>
      <c r="AS92" s="1249">
        <f>IF(AP92=0,0,Z92/AP92*100)</f>
        <v/>
      </c>
      <c r="AT92" s="1252" t="n"/>
      <c r="AU92" s="1249">
        <f>AT92</f>
        <v/>
      </c>
      <c r="AV92" s="1251">
        <f>AB92-AT92</f>
        <v/>
      </c>
      <c r="AW92" s="1249">
        <f>IF(AT92=0,0,AB92/AT92*100)</f>
        <v/>
      </c>
      <c r="AX92" s="1252" t="n"/>
      <c r="AY92" s="1259">
        <f>AX92</f>
        <v/>
      </c>
      <c r="AZ92" s="1260">
        <f>AB92-AX92</f>
        <v/>
      </c>
      <c r="BA92" s="1259">
        <f>IF(AX92=0,0,AB92/AX92*100)</f>
        <v/>
      </c>
    </row>
    <row r="93">
      <c r="A93" s="384" t="n"/>
      <c r="B93" s="384" t="n"/>
      <c r="C93" s="384" t="n"/>
      <c r="D93" s="384" t="n"/>
      <c r="E93" s="384" t="n"/>
      <c r="F93" s="384" t="n"/>
      <c r="G93" s="384" t="n"/>
      <c r="H93" s="384" t="n"/>
      <c r="I93" s="384" t="n"/>
      <c r="J93" s="384" t="n"/>
      <c r="K93" s="384" t="n"/>
      <c r="L93" s="384" t="n"/>
      <c r="M93" s="384" t="n"/>
      <c r="N93" s="384" t="n"/>
      <c r="O93" s="384" t="n"/>
      <c r="P93" s="384" t="n"/>
      <c r="Q93" s="384" t="n"/>
      <c r="R93" s="384" t="n"/>
      <c r="S93" s="462">
        <f>IF(_epmOfflineCondition_,"            5.其他",EPMMemberDesc(U93))</f>
        <v/>
      </c>
      <c r="T93" s="384" t="n"/>
      <c r="U93" s="462" t="inlineStr">
        <is>
          <t>A4004019900</t>
        </is>
      </c>
      <c r="V93" s="1018">
        <f>IF(_epmOfflineCondition_,"A4004019900",EPMOlapMemberO(U93,"[C_ACCOUNT].[PARENTH1].[A4004019900]","A4004019900 -             5.其他","","000"))</f>
        <v/>
      </c>
      <c r="W93" s="384" t="n"/>
      <c r="X93" s="585" t="inlineStr">
        <is>
          <t xml:space="preserve">                 5.其他</t>
        </is>
      </c>
      <c r="Y93" s="1185">
        <f>ROW()-45</f>
        <v/>
      </c>
      <c r="Z93" s="1259">
        <f>IF($I$8="01",AB93,AB93-AA93)</f>
        <v/>
      </c>
      <c r="AA93" s="1249" t="n"/>
      <c r="AB93" s="1249" t="n"/>
      <c r="AC93" s="1249">
        <f>IF($I$9="01",AE93,AE93-AD93)</f>
        <v/>
      </c>
      <c r="AD93" s="1250" t="n"/>
      <c r="AE93" s="1250" t="n"/>
      <c r="AF93" s="1249">
        <f>Z93-AC93</f>
        <v/>
      </c>
      <c r="AG93" s="1249">
        <f>IF(AC93=0,0,(Z93-AC93)/AC93*100)</f>
        <v/>
      </c>
      <c r="AH93" s="1249">
        <f>IF($I$8="01",AJ93,AJ93-AI93)</f>
        <v/>
      </c>
      <c r="AI93" s="1249" t="n"/>
      <c r="AJ93" s="1249" t="n"/>
      <c r="AK93" s="1249">
        <f>Z93-AH93</f>
        <v/>
      </c>
      <c r="AL93" s="1249">
        <f>IF(AH93=0,0,(Z93-AH93)/AH93*100)</f>
        <v/>
      </c>
      <c r="AM93" s="1249" t="n"/>
      <c r="AN93" s="1249">
        <f>AB93-AM93</f>
        <v/>
      </c>
      <c r="AO93" s="1249">
        <f>IF(AM93=0,0,(AB93-AM93)/AM93*100)</f>
        <v/>
      </c>
      <c r="AP93" s="1252" t="n"/>
      <c r="AQ93" s="1249">
        <f>AP93</f>
        <v/>
      </c>
      <c r="AR93" s="1251">
        <f>Z93-AQ93</f>
        <v/>
      </c>
      <c r="AS93" s="1249">
        <f>IF(AP93=0,0,Z93/AP93*100)</f>
        <v/>
      </c>
      <c r="AT93" s="1252" t="n"/>
      <c r="AU93" s="1249">
        <f>AT93</f>
        <v/>
      </c>
      <c r="AV93" s="1251">
        <f>AB93-AT93</f>
        <v/>
      </c>
      <c r="AW93" s="1249">
        <f>IF(AT93=0,0,AB93/AT93*100)</f>
        <v/>
      </c>
      <c r="AX93" s="1252" t="n"/>
      <c r="AY93" s="1259">
        <f>AX93</f>
        <v/>
      </c>
      <c r="AZ93" s="1260">
        <f>AB93-AX93</f>
        <v/>
      </c>
      <c r="BA93" s="1259">
        <f>IF(AX93=0,0,AB93/AX93*100)</f>
        <v/>
      </c>
    </row>
    <row r="94">
      <c r="A94" s="384" t="n"/>
      <c r="B94" s="384" t="n"/>
      <c r="C94" s="384" t="n"/>
      <c r="D94" s="384" t="n"/>
      <c r="E94" s="384" t="n"/>
      <c r="F94" s="384" t="n"/>
      <c r="G94" s="384" t="n"/>
      <c r="H94" s="384" t="n"/>
      <c r="I94" s="384" t="n"/>
      <c r="J94" s="384" t="n"/>
      <c r="K94" s="384" t="n"/>
      <c r="L94" s="384" t="n"/>
      <c r="M94" s="384" t="n"/>
      <c r="N94" s="384" t="n"/>
      <c r="O94" s="384" t="n"/>
      <c r="P94" s="384" t="n"/>
      <c r="Q94" s="384" t="n"/>
      <c r="R94" s="384" t="n"/>
      <c r="S94" s="462">
        <f>IF(_epmOfflineCondition_,"（二）将重分类进损益的其他综合收益",EPMMemberDesc(U94))</f>
        <v/>
      </c>
      <c r="T94" s="384" t="n"/>
      <c r="U94" s="462" t="inlineStr">
        <is>
          <t>A400402</t>
        </is>
      </c>
      <c r="V94" s="637">
        <f>IF(_epmOfflineCondition_,"A400402",EPMOlapMemberO(U94,"[C_ACCOUNT].[PARENTH1].[A400402]","A400402 - （二）将重分类进损益的其他综合收益","","000"))</f>
        <v/>
      </c>
      <c r="W94" s="384" t="n"/>
      <c r="X94" s="475" t="inlineStr">
        <is>
          <t>（二）将重分类进损益的其他综合收益</t>
        </is>
      </c>
      <c r="Y94" s="1185">
        <f>ROW()-45</f>
        <v/>
      </c>
      <c r="Z94" s="1259">
        <f>IF($I$8="01",AB94,AB94-AA94)</f>
        <v/>
      </c>
      <c r="AA94" s="1249" t="n"/>
      <c r="AB94" s="1249" t="n"/>
      <c r="AC94" s="1249">
        <f>IF($I$9="01",AE94,AE94-AD94)</f>
        <v/>
      </c>
      <c r="AD94" s="1250" t="n"/>
      <c r="AE94" s="1250" t="n"/>
      <c r="AF94" s="1249">
        <f>Z94-AC94</f>
        <v/>
      </c>
      <c r="AG94" s="1249">
        <f>IF(AC94=0,0,(Z94-AC94)/AC94*100)</f>
        <v/>
      </c>
      <c r="AH94" s="1249">
        <f>IF($I$8="01",AJ94,AJ94-AI94)</f>
        <v/>
      </c>
      <c r="AI94" s="1249" t="n"/>
      <c r="AJ94" s="1249" t="n"/>
      <c r="AK94" s="1249">
        <f>Z94-AH94</f>
        <v/>
      </c>
      <c r="AL94" s="1249">
        <f>IF(AH94=0,0,(Z94-AH94)/AH94*100)</f>
        <v/>
      </c>
      <c r="AM94" s="1249" t="n"/>
      <c r="AN94" s="1249">
        <f>AB94-AM94</f>
        <v/>
      </c>
      <c r="AO94" s="1249">
        <f>IF(AM94=0,0,(AB94-AM94)/AM94*100)</f>
        <v/>
      </c>
      <c r="AP94" s="1252" t="n"/>
      <c r="AQ94" s="1249">
        <f>AP94</f>
        <v/>
      </c>
      <c r="AR94" s="1251">
        <f>Z94-AQ94</f>
        <v/>
      </c>
      <c r="AS94" s="1249">
        <f>IF(AP94=0,0,Z94/AP94*100)</f>
        <v/>
      </c>
      <c r="AT94" s="1252" t="n"/>
      <c r="AU94" s="1249">
        <f>AT94</f>
        <v/>
      </c>
      <c r="AV94" s="1251">
        <f>AB94-AT94</f>
        <v/>
      </c>
      <c r="AW94" s="1249">
        <f>IF(AT94=0,0,AB94/AT94*100)</f>
        <v/>
      </c>
      <c r="AX94" s="1252" t="n"/>
      <c r="AY94" s="1259">
        <f>AX94</f>
        <v/>
      </c>
      <c r="AZ94" s="1260">
        <f>AB94-AX94</f>
        <v/>
      </c>
      <c r="BA94" s="1259">
        <f>IF(AX94=0,0,AB94/AX94*100)</f>
        <v/>
      </c>
    </row>
    <row r="95">
      <c r="A95" s="384" t="n"/>
      <c r="B95" s="384" t="n"/>
      <c r="C95" s="384" t="n"/>
      <c r="D95" s="384" t="n"/>
      <c r="E95" s="384" t="n"/>
      <c r="F95" s="384" t="n"/>
      <c r="G95" s="384" t="n"/>
      <c r="H95" s="384" t="n"/>
      <c r="I95" s="384" t="n"/>
      <c r="J95" s="384" t="n"/>
      <c r="K95" s="384" t="n"/>
      <c r="L95" s="384" t="n"/>
      <c r="M95" s="384" t="n"/>
      <c r="N95" s="384" t="n"/>
      <c r="O95" s="384" t="n"/>
      <c r="P95" s="384" t="n"/>
      <c r="Q95" s="384" t="n"/>
      <c r="R95" s="384" t="n"/>
      <c r="S95" s="462">
        <f>IF(_epmOfflineCondition_,"    其中：1.权益法下可转换的其他综合收益",EPMMemberDesc(U95))</f>
        <v/>
      </c>
      <c r="T95" s="384" t="n"/>
      <c r="U95" s="462" t="inlineStr">
        <is>
          <t>A4004020500</t>
        </is>
      </c>
      <c r="V95" s="1018">
        <f>IF(_epmOfflineCondition_,"A4004020500",EPMOlapMemberO(U95,"[C_ACCOUNT].[PARENTH1].[A4004020500]","A4004020500 -     其中：1.权益法下可转换的其他综合收益","","000"))</f>
        <v/>
      </c>
      <c r="W95" s="384" t="n"/>
      <c r="X95" s="475" t="inlineStr">
        <is>
          <t xml:space="preserve">                 1.权益法下可转换的其他综合收益</t>
        </is>
      </c>
      <c r="Y95" s="1185">
        <f>ROW()-45</f>
        <v/>
      </c>
      <c r="Z95" s="1259">
        <f>IF($I$8="01",AB95,AB95-AA95)</f>
        <v/>
      </c>
      <c r="AA95" s="1249" t="n"/>
      <c r="AB95" s="1249" t="n"/>
      <c r="AC95" s="1249">
        <f>IF($I$9="01",AE95,AE95-AD95)</f>
        <v/>
      </c>
      <c r="AD95" s="1250" t="n"/>
      <c r="AE95" s="1250" t="n"/>
      <c r="AF95" s="1249">
        <f>Z95-AC95</f>
        <v/>
      </c>
      <c r="AG95" s="1249">
        <f>IF(AC95=0,0,(Z95-AC95)/AC95*100)</f>
        <v/>
      </c>
      <c r="AH95" s="1249">
        <f>IF($I$8="01",AJ95,AJ95-AI95)</f>
        <v/>
      </c>
      <c r="AI95" s="1249" t="n"/>
      <c r="AJ95" s="1249" t="n"/>
      <c r="AK95" s="1249">
        <f>Z95-AH95</f>
        <v/>
      </c>
      <c r="AL95" s="1249">
        <f>IF(AH95=0,0,(Z95-AH95)/AH95*100)</f>
        <v/>
      </c>
      <c r="AM95" s="1249" t="n"/>
      <c r="AN95" s="1249">
        <f>AB95-AM95</f>
        <v/>
      </c>
      <c r="AO95" s="1249">
        <f>IF(AM95=0,0,(AB95-AM95)/AM95*100)</f>
        <v/>
      </c>
      <c r="AP95" s="1252" t="n"/>
      <c r="AQ95" s="1249">
        <f>AP95</f>
        <v/>
      </c>
      <c r="AR95" s="1251">
        <f>Z95-AQ95</f>
        <v/>
      </c>
      <c r="AS95" s="1249">
        <f>IF(AP95=0,0,Z95/AP95*100)</f>
        <v/>
      </c>
      <c r="AT95" s="1252" t="n"/>
      <c r="AU95" s="1249">
        <f>AT95</f>
        <v/>
      </c>
      <c r="AV95" s="1251">
        <f>AB95-AT95</f>
        <v/>
      </c>
      <c r="AW95" s="1249">
        <f>IF(AT95=0,0,AB95/AT95*100)</f>
        <v/>
      </c>
      <c r="AX95" s="1252" t="n"/>
      <c r="AY95" s="1259">
        <f>AX95</f>
        <v/>
      </c>
      <c r="AZ95" s="1260">
        <f>AB95-AX95</f>
        <v/>
      </c>
      <c r="BA95" s="1259">
        <f>IF(AX95=0,0,AB95/AX95*100)</f>
        <v/>
      </c>
    </row>
    <row r="96">
      <c r="A96" s="384" t="n"/>
      <c r="B96" s="384" t="n"/>
      <c r="C96" s="384" t="n"/>
      <c r="D96" s="384" t="n"/>
      <c r="E96" s="384" t="n"/>
      <c r="F96" s="384" t="n"/>
      <c r="G96" s="384" t="n"/>
      <c r="H96" s="384" t="n"/>
      <c r="I96" s="384" t="n"/>
      <c r="J96" s="384" t="n"/>
      <c r="K96" s="384" t="n"/>
      <c r="L96" s="384" t="n"/>
      <c r="M96" s="384" t="n"/>
      <c r="N96" s="384" t="n"/>
      <c r="O96" s="384" t="n"/>
      <c r="P96" s="384" t="n"/>
      <c r="Q96" s="384" t="n"/>
      <c r="R96" s="384" t="n"/>
      <c r="S96" s="462">
        <f>IF(_epmOfflineCondition_,"            2.其他债权投资公允价值",EPMMemberDesc(U96))</f>
        <v/>
      </c>
      <c r="T96" s="384" t="n"/>
      <c r="U96" s="462" t="inlineStr">
        <is>
          <t>A4004020200</t>
        </is>
      </c>
      <c r="V96" s="1018">
        <f>IF(_epmOfflineCondition_,"A4004020200",EPMOlapMemberO(U96,"[C_ACCOUNT].[PARENTH1].[A4004020200]","A4004020200 -             2.其他债权投资公允价值","","000"))</f>
        <v/>
      </c>
      <c r="W96" s="384" t="n"/>
      <c r="X96" s="475" t="inlineStr">
        <is>
          <t xml:space="preserve">                 2.其他债权投资公允价值变动</t>
        </is>
      </c>
      <c r="Y96" s="1185">
        <f>ROW()-45</f>
        <v/>
      </c>
      <c r="Z96" s="1259">
        <f>IF($I$8="01",AB96,AB96-AA96)</f>
        <v/>
      </c>
      <c r="AA96" s="1249" t="n"/>
      <c r="AB96" s="1249" t="n"/>
      <c r="AC96" s="1249">
        <f>IF($I$9="01",AE96,AE96-AD96)</f>
        <v/>
      </c>
      <c r="AD96" s="1250" t="n"/>
      <c r="AE96" s="1250" t="n"/>
      <c r="AF96" s="1249">
        <f>Z96-AC96</f>
        <v/>
      </c>
      <c r="AG96" s="1249">
        <f>IF(AC96=0,0,(Z96-AC96)/AC96*100)</f>
        <v/>
      </c>
      <c r="AH96" s="1249">
        <f>IF($I$8="01",AJ96,AJ96-AI96)</f>
        <v/>
      </c>
      <c r="AI96" s="1249" t="n"/>
      <c r="AJ96" s="1249" t="n"/>
      <c r="AK96" s="1249">
        <f>Z96-AH96</f>
        <v/>
      </c>
      <c r="AL96" s="1249">
        <f>IF(AH96=0,0,(Z96-AH96)/AH96*100)</f>
        <v/>
      </c>
      <c r="AM96" s="1249" t="n"/>
      <c r="AN96" s="1249">
        <f>AB96-AM96</f>
        <v/>
      </c>
      <c r="AO96" s="1249">
        <f>IF(AM96=0,0,(AB96-AM96)/AM96*100)</f>
        <v/>
      </c>
      <c r="AP96" s="1252" t="n"/>
      <c r="AQ96" s="1249">
        <f>AP96</f>
        <v/>
      </c>
      <c r="AR96" s="1251">
        <f>Z96-AQ96</f>
        <v/>
      </c>
      <c r="AS96" s="1249">
        <f>IF(AP96=0,0,Z96/AP96*100)</f>
        <v/>
      </c>
      <c r="AT96" s="1252" t="n"/>
      <c r="AU96" s="1249">
        <f>AT96</f>
        <v/>
      </c>
      <c r="AV96" s="1251">
        <f>AB96-AT96</f>
        <v/>
      </c>
      <c r="AW96" s="1249">
        <f>IF(AT96=0,0,AB96/AT96*100)</f>
        <v/>
      </c>
      <c r="AX96" s="1252" t="n"/>
      <c r="AY96" s="1259">
        <f>AX96</f>
        <v/>
      </c>
      <c r="AZ96" s="1260">
        <f>AB96-AX96</f>
        <v/>
      </c>
      <c r="BA96" s="1259">
        <f>IF(AX96=0,0,AB96/AX96*100)</f>
        <v/>
      </c>
    </row>
    <row r="97">
      <c r="A97" s="384" t="n"/>
      <c r="B97" s="384" t="n"/>
      <c r="C97" s="384" t="n"/>
      <c r="D97" s="384" t="n"/>
      <c r="E97" s="384" t="n"/>
      <c r="F97" s="384" t="n"/>
      <c r="G97" s="384" t="n"/>
      <c r="H97" s="384" t="n"/>
      <c r="I97" s="384" t="n"/>
      <c r="J97" s="384" t="n"/>
      <c r="K97" s="384" t="n"/>
      <c r="L97" s="384" t="n"/>
      <c r="M97" s="384" t="n"/>
      <c r="N97" s="384" t="n"/>
      <c r="O97" s="384" t="n"/>
      <c r="P97" s="384" t="n"/>
      <c r="Q97" s="384" t="n"/>
      <c r="R97" s="384" t="n"/>
      <c r="S97" s="462" t="n"/>
      <c r="T97" s="384" t="n"/>
      <c r="U97" s="462" t="n"/>
      <c r="V97" s="1018" t="n"/>
      <c r="W97" s="384" t="n"/>
      <c r="X97" s="475" t="inlineStr">
        <is>
          <t xml:space="preserve">                 3.可供出售金融资产公允价值变动损益</t>
        </is>
      </c>
      <c r="Y97" s="1185">
        <f>ROW()-45</f>
        <v/>
      </c>
      <c r="Z97" s="1259">
        <f>"——"</f>
        <v/>
      </c>
      <c r="AA97" s="1249">
        <f>"——"</f>
        <v/>
      </c>
      <c r="AB97" s="1249">
        <f>"——"</f>
        <v/>
      </c>
      <c r="AC97" s="1249">
        <f>"——"</f>
        <v/>
      </c>
      <c r="AD97" s="1249">
        <f>"——"</f>
        <v/>
      </c>
      <c r="AE97" s="1249">
        <f>"——"</f>
        <v/>
      </c>
      <c r="AF97" s="1249">
        <f>"——"</f>
        <v/>
      </c>
      <c r="AG97" s="1249">
        <f>"——"</f>
        <v/>
      </c>
      <c r="AH97" s="1249">
        <f>"——"</f>
        <v/>
      </c>
      <c r="AI97" s="1249">
        <f>"——"</f>
        <v/>
      </c>
      <c r="AJ97" s="1249">
        <f>"——"</f>
        <v/>
      </c>
      <c r="AK97" s="1249">
        <f>"——"</f>
        <v/>
      </c>
      <c r="AL97" s="1249">
        <f>"——"</f>
        <v/>
      </c>
      <c r="AM97" s="1249">
        <f>"——"</f>
        <v/>
      </c>
      <c r="AN97" s="1249">
        <f>"——"</f>
        <v/>
      </c>
      <c r="AO97" s="1249">
        <f>"——"</f>
        <v/>
      </c>
      <c r="AP97" s="1249">
        <f>"——"</f>
        <v/>
      </c>
      <c r="AQ97" s="1249">
        <f>AP97</f>
        <v/>
      </c>
      <c r="AR97" s="1261">
        <f>"——"</f>
        <v/>
      </c>
      <c r="AS97" s="1249">
        <f>"——"</f>
        <v/>
      </c>
      <c r="AT97" s="1249">
        <f>"——"</f>
        <v/>
      </c>
      <c r="AU97" s="1249">
        <f>AT97</f>
        <v/>
      </c>
      <c r="AV97" s="1249">
        <f>"——"</f>
        <v/>
      </c>
      <c r="AW97" s="1249">
        <f>"——"</f>
        <v/>
      </c>
      <c r="AX97" s="1249">
        <f>"——"</f>
        <v/>
      </c>
      <c r="AY97" s="1259">
        <f>AX97</f>
        <v/>
      </c>
      <c r="AZ97" s="1259">
        <f>"——"</f>
        <v/>
      </c>
      <c r="BA97" s="1259">
        <f>"——"</f>
        <v/>
      </c>
    </row>
    <row r="98">
      <c r="A98" s="384" t="n"/>
      <c r="B98" s="384" t="n"/>
      <c r="C98" s="384" t="n"/>
      <c r="D98" s="384" t="n"/>
      <c r="E98" s="384" t="n"/>
      <c r="F98" s="384" t="n"/>
      <c r="G98" s="384" t="n"/>
      <c r="H98" s="384" t="n"/>
      <c r="I98" s="384" t="n"/>
      <c r="J98" s="384" t="n"/>
      <c r="K98" s="384" t="n"/>
      <c r="L98" s="384" t="n"/>
      <c r="M98" s="384" t="n"/>
      <c r="N98" s="384" t="n"/>
      <c r="O98" s="384" t="n"/>
      <c r="P98" s="384" t="n"/>
      <c r="Q98" s="384" t="n"/>
      <c r="R98" s="384" t="n"/>
      <c r="S98" s="462">
        <f>IF(_epmOfflineCondition_,"            4.金融资产重分类计入其他综合收益的金额",EPMMemberDesc(U98))</f>
        <v/>
      </c>
      <c r="T98" s="384" t="n"/>
      <c r="U98" s="462" t="inlineStr">
        <is>
          <t>A4004020300</t>
        </is>
      </c>
      <c r="V98" s="1018">
        <f>IF(_epmOfflineCondition_,"A4004020300",EPMOlapMemberO(U98,"[C_ACCOUNT].[PARENTH1].[A4004020300]","A4004020300 -             4.金融资产重分类计入其他综合收益的金额","","000"))</f>
        <v/>
      </c>
      <c r="W98" s="384" t="n"/>
      <c r="X98" s="475" t="inlineStr">
        <is>
          <t xml:space="preserve">                 4.金融资产重分类计入其他综合收益的金额</t>
        </is>
      </c>
      <c r="Y98" s="1185">
        <f>ROW()-45</f>
        <v/>
      </c>
      <c r="Z98" s="1259">
        <f>IF($I$8="01",AB98,AB98-AA98)</f>
        <v/>
      </c>
      <c r="AA98" s="1249" t="n"/>
      <c r="AB98" s="1249" t="n"/>
      <c r="AC98" s="1249">
        <f>IF($I$9="01",AE98,AE98-AD98)</f>
        <v/>
      </c>
      <c r="AD98" s="1250" t="n"/>
      <c r="AE98" s="1250" t="n"/>
      <c r="AF98" s="1249">
        <f>Z98-AC98</f>
        <v/>
      </c>
      <c r="AG98" s="1249">
        <f>IF(AC98=0,0,(Z98-AC98)/AC98*100)</f>
        <v/>
      </c>
      <c r="AH98" s="1249">
        <f>IF($I$8="01",AJ98,AJ98-AI98)</f>
        <v/>
      </c>
      <c r="AI98" s="1249" t="n"/>
      <c r="AJ98" s="1249" t="n"/>
      <c r="AK98" s="1249">
        <f>Z98-AH98</f>
        <v/>
      </c>
      <c r="AL98" s="1249">
        <f>IF(AH98=0,0,(Z98-AH98)/AH98*100)</f>
        <v/>
      </c>
      <c r="AM98" s="1249" t="n"/>
      <c r="AN98" s="1249">
        <f>AB98-AM98</f>
        <v/>
      </c>
      <c r="AO98" s="1249">
        <f>IF(AM98=0,0,(AB98-AM98)/AM98*100)</f>
        <v/>
      </c>
      <c r="AP98" s="1252" t="n"/>
      <c r="AQ98" s="1249">
        <f>AP98</f>
        <v/>
      </c>
      <c r="AR98" s="1251">
        <f>Z98-AQ98</f>
        <v/>
      </c>
      <c r="AS98" s="1249">
        <f>IF(AP98=0,0,Z98/AP98*100)</f>
        <v/>
      </c>
      <c r="AT98" s="1252" t="n"/>
      <c r="AU98" s="1249">
        <f>AT98</f>
        <v/>
      </c>
      <c r="AV98" s="1251">
        <f>AB98-AT98</f>
        <v/>
      </c>
      <c r="AW98" s="1249">
        <f>IF(AT98=0,0,AB98/AT98*100)</f>
        <v/>
      </c>
      <c r="AX98" s="1252" t="n"/>
      <c r="AY98" s="1259">
        <f>AX98</f>
        <v/>
      </c>
      <c r="AZ98" s="1260">
        <f>AB98-AX98</f>
        <v/>
      </c>
      <c r="BA98" s="1259">
        <f>IF(AX98=0,0,AB98/AX98*100)</f>
        <v/>
      </c>
    </row>
    <row r="99">
      <c r="A99" s="384" t="n"/>
      <c r="B99" s="384" t="n"/>
      <c r="C99" s="384" t="n"/>
      <c r="D99" s="384" t="n"/>
      <c r="E99" s="384" t="n"/>
      <c r="F99" s="384" t="n"/>
      <c r="G99" s="384" t="n"/>
      <c r="H99" s="384" t="n"/>
      <c r="I99" s="384" t="n"/>
      <c r="J99" s="384" t="n"/>
      <c r="K99" s="384" t="n"/>
      <c r="L99" s="384" t="n"/>
      <c r="M99" s="384" t="n"/>
      <c r="N99" s="384" t="n"/>
      <c r="O99" s="384" t="n"/>
      <c r="P99" s="384" t="n"/>
      <c r="Q99" s="384" t="n"/>
      <c r="R99" s="384" t="n"/>
      <c r="S99" s="462" t="n"/>
      <c r="T99" s="384" t="n"/>
      <c r="U99" s="716" t="n"/>
      <c r="V99" s="1018" t="n"/>
      <c r="W99" s="384" t="n"/>
      <c r="X99" s="475" t="inlineStr">
        <is>
          <t xml:space="preserve">                 5.持有至到期投资重分类为可供出售金融资产损益</t>
        </is>
      </c>
      <c r="Y99" s="1185">
        <f>ROW()-45</f>
        <v/>
      </c>
      <c r="Z99" s="1259">
        <f>"——"</f>
        <v/>
      </c>
      <c r="AA99" s="1249">
        <f>"——"</f>
        <v/>
      </c>
      <c r="AB99" s="1249">
        <f>"——"</f>
        <v/>
      </c>
      <c r="AC99" s="1249">
        <f>"——"</f>
        <v/>
      </c>
      <c r="AD99" s="1249">
        <f>"——"</f>
        <v/>
      </c>
      <c r="AE99" s="1249">
        <f>"——"</f>
        <v/>
      </c>
      <c r="AF99" s="1249">
        <f>"——"</f>
        <v/>
      </c>
      <c r="AG99" s="1249">
        <f>"——"</f>
        <v/>
      </c>
      <c r="AH99" s="1249">
        <f>"——"</f>
        <v/>
      </c>
      <c r="AI99" s="1249">
        <f>"——"</f>
        <v/>
      </c>
      <c r="AJ99" s="1249">
        <f>"——"</f>
        <v/>
      </c>
      <c r="AK99" s="1249">
        <f>"——"</f>
        <v/>
      </c>
      <c r="AL99" s="1249">
        <f>"——"</f>
        <v/>
      </c>
      <c r="AM99" s="1249">
        <f>"——"</f>
        <v/>
      </c>
      <c r="AN99" s="1249">
        <f>"——"</f>
        <v/>
      </c>
      <c r="AO99" s="1249">
        <f>"——"</f>
        <v/>
      </c>
      <c r="AP99" s="1249">
        <f>"——"</f>
        <v/>
      </c>
      <c r="AQ99" s="1249">
        <f>AP99</f>
        <v/>
      </c>
      <c r="AR99" s="1261">
        <f>"——"</f>
        <v/>
      </c>
      <c r="AS99" s="1249">
        <f>"——"</f>
        <v/>
      </c>
      <c r="AT99" s="1249">
        <f>"——"</f>
        <v/>
      </c>
      <c r="AU99" s="1249">
        <f>AT99</f>
        <v/>
      </c>
      <c r="AV99" s="1249">
        <f>"——"</f>
        <v/>
      </c>
      <c r="AW99" s="1249">
        <f>"——"</f>
        <v/>
      </c>
      <c r="AX99" s="1249">
        <f>"——"</f>
        <v/>
      </c>
      <c r="AY99" s="1259">
        <f>AX99</f>
        <v/>
      </c>
      <c r="AZ99" s="1259">
        <f>"——"</f>
        <v/>
      </c>
      <c r="BA99" s="1259">
        <f>"——"</f>
        <v/>
      </c>
    </row>
    <row r="100">
      <c r="A100" s="384" t="n"/>
      <c r="B100" s="384" t="n"/>
      <c r="C100" s="384" t="n"/>
      <c r="D100" s="384" t="n"/>
      <c r="E100" s="384" t="n"/>
      <c r="F100" s="384" t="n"/>
      <c r="G100" s="384" t="n"/>
      <c r="H100" s="384" t="n"/>
      <c r="I100" s="384" t="n"/>
      <c r="J100" s="384" t="n"/>
      <c r="K100" s="384" t="n"/>
      <c r="L100" s="384" t="n"/>
      <c r="M100" s="384" t="n"/>
      <c r="N100" s="384" t="n"/>
      <c r="O100" s="384" t="n"/>
      <c r="P100" s="384" t="n"/>
      <c r="Q100" s="384" t="n"/>
      <c r="R100" s="384" t="n"/>
      <c r="S100" s="462">
        <f>IF(_epmOfflineCondition_,"            6.其他债权投资信用减值准备",EPMMemberDesc(U100))</f>
        <v/>
      </c>
      <c r="T100" s="384" t="n"/>
      <c r="U100" s="462" t="inlineStr">
        <is>
          <t>A4004020700</t>
        </is>
      </c>
      <c r="V100" s="1018">
        <f>IF(_epmOfflineCondition_,"A4004020700",EPMOlapMemberO(U100,"[C_ACCOUNT].[PARENTH1].[A4004020700]","A4004020700 -             6.其他债权投资信用减值准备","","000"))</f>
        <v/>
      </c>
      <c r="W100" s="384" t="n"/>
      <c r="X100" s="475" t="inlineStr">
        <is>
          <t xml:space="preserve">                 6.其他债权投资信用减值准备</t>
        </is>
      </c>
      <c r="Y100" s="1185">
        <f>ROW()-45</f>
        <v/>
      </c>
      <c r="Z100" s="1259">
        <f>IF($I$8="01",AB100,AB100-AA100)</f>
        <v/>
      </c>
      <c r="AA100" s="1249" t="n"/>
      <c r="AB100" s="1249" t="n"/>
      <c r="AC100" s="1249">
        <f>IF($I$9="01",AE100,AE100-AD100)</f>
        <v/>
      </c>
      <c r="AD100" s="1250" t="n"/>
      <c r="AE100" s="1250" t="n"/>
      <c r="AF100" s="1249">
        <f>Z100-AC100</f>
        <v/>
      </c>
      <c r="AG100" s="1249">
        <f>IF(AC100=0,0,(Z100-AC100)/AC100*100)</f>
        <v/>
      </c>
      <c r="AH100" s="1249">
        <f>IF($I$8="01",AJ100,AJ100-AI100)</f>
        <v/>
      </c>
      <c r="AI100" s="1249" t="n"/>
      <c r="AJ100" s="1249" t="n"/>
      <c r="AK100" s="1249">
        <f>Z100-AH100</f>
        <v/>
      </c>
      <c r="AL100" s="1249">
        <f>IF(AH100=0,0,(Z100-AH100)/AH100*100)</f>
        <v/>
      </c>
      <c r="AM100" s="1249" t="n"/>
      <c r="AN100" s="1249">
        <f>AB100-AM100</f>
        <v/>
      </c>
      <c r="AO100" s="1249">
        <f>IF(AM100=0,0,(AB100-AM100)/AM100*100)</f>
        <v/>
      </c>
      <c r="AP100" s="1252" t="n"/>
      <c r="AQ100" s="1249">
        <f>AP100</f>
        <v/>
      </c>
      <c r="AR100" s="1251">
        <f>Z100-AQ100</f>
        <v/>
      </c>
      <c r="AS100" s="1249">
        <f>IF(AP100=0,0,Z100/AP100*100)</f>
        <v/>
      </c>
      <c r="AT100" s="1252" t="n"/>
      <c r="AU100" s="1249">
        <f>AT100</f>
        <v/>
      </c>
      <c r="AV100" s="1251">
        <f>AB100-AT100</f>
        <v/>
      </c>
      <c r="AW100" s="1249">
        <f>IF(AT100=0,0,AB100/AT100*100)</f>
        <v/>
      </c>
      <c r="AX100" s="1252" t="n"/>
      <c r="AY100" s="1259">
        <f>AX100</f>
        <v/>
      </c>
      <c r="AZ100" s="1260">
        <f>AB100-AX100</f>
        <v/>
      </c>
      <c r="BA100" s="1259">
        <f>IF(AX100=0,0,AB100/AX100*100)</f>
        <v/>
      </c>
    </row>
    <row r="101">
      <c r="A101" s="384" t="n"/>
      <c r="B101" s="384" t="n"/>
      <c r="C101" s="384" t="n"/>
      <c r="D101" s="384" t="n"/>
      <c r="E101" s="384" t="n"/>
      <c r="F101" s="384" t="n"/>
      <c r="G101" s="384" t="n"/>
      <c r="H101" s="384" t="n"/>
      <c r="I101" s="384" t="n"/>
      <c r="J101" s="384" t="n"/>
      <c r="K101" s="384" t="n"/>
      <c r="L101" s="384" t="n"/>
      <c r="M101" s="384" t="n"/>
      <c r="N101" s="384" t="n"/>
      <c r="O101" s="384" t="n"/>
      <c r="P101" s="384" t="n"/>
      <c r="Q101" s="384" t="n"/>
      <c r="R101" s="384" t="n"/>
      <c r="S101" s="462">
        <f>IF(_epmOfflineCondition_,"            7.现金流量套期损益的有效部分",EPMMemberDesc(U101))</f>
        <v/>
      </c>
      <c r="T101" s="384" t="n"/>
      <c r="U101" s="462" t="inlineStr">
        <is>
          <t>A4004020400</t>
        </is>
      </c>
      <c r="V101" s="1018">
        <f>IF(_epmOfflineCondition_,"A4004020400",EPMOlapMemberO(U101,"[C_ACCOUNT].[PARENTH1].[A4004020400]","A4004020400 -             7.现金流量套期损益的有效部分","","000"))</f>
        <v/>
      </c>
      <c r="W101" s="384" t="n"/>
      <c r="X101" s="475" t="inlineStr">
        <is>
          <t xml:space="preserve">                 7.现金流量套期损益的有效部分</t>
        </is>
      </c>
      <c r="Y101" s="1185">
        <f>ROW()-45</f>
        <v/>
      </c>
      <c r="Z101" s="1259">
        <f>IF($I$8="01",AB101,AB101-AA101)</f>
        <v/>
      </c>
      <c r="AA101" s="1249" t="n"/>
      <c r="AB101" s="1249" t="n"/>
      <c r="AC101" s="1249">
        <f>IF($I$9="01",AE101,AE101-AD101)</f>
        <v/>
      </c>
      <c r="AD101" s="1250" t="n"/>
      <c r="AE101" s="1250" t="n"/>
      <c r="AF101" s="1249">
        <f>Z101-AC101</f>
        <v/>
      </c>
      <c r="AG101" s="1249">
        <f>IF(AC101=0,0,(Z101-AC101)/AC101*100)</f>
        <v/>
      </c>
      <c r="AH101" s="1249">
        <f>IF($I$8="01",AJ101,AJ101-AI101)</f>
        <v/>
      </c>
      <c r="AI101" s="1249" t="n"/>
      <c r="AJ101" s="1249" t="n"/>
      <c r="AK101" s="1249">
        <f>Z101-AH101</f>
        <v/>
      </c>
      <c r="AL101" s="1249">
        <f>IF(AH101=0,0,(Z101-AH101)/AH101*100)</f>
        <v/>
      </c>
      <c r="AM101" s="1249" t="n"/>
      <c r="AN101" s="1249">
        <f>AB101-AM101</f>
        <v/>
      </c>
      <c r="AO101" s="1249">
        <f>IF(AM101=0,0,(AB101-AM101)/AM101*100)</f>
        <v/>
      </c>
      <c r="AP101" s="1252" t="n"/>
      <c r="AQ101" s="1249">
        <f>AP101</f>
        <v/>
      </c>
      <c r="AR101" s="1251">
        <f>Z101-AQ101</f>
        <v/>
      </c>
      <c r="AS101" s="1249">
        <f>IF(AP101=0,0,Z101/AP101*100)</f>
        <v/>
      </c>
      <c r="AT101" s="1252" t="n"/>
      <c r="AU101" s="1249">
        <f>AT101</f>
        <v/>
      </c>
      <c r="AV101" s="1251">
        <f>AB101-AT101</f>
        <v/>
      </c>
      <c r="AW101" s="1249">
        <f>IF(AT101=0,0,AB101/AT101*100)</f>
        <v/>
      </c>
      <c r="AX101" s="1252" t="n"/>
      <c r="AY101" s="1259">
        <f>AX101</f>
        <v/>
      </c>
      <c r="AZ101" s="1260">
        <f>AB101-AX101</f>
        <v/>
      </c>
      <c r="BA101" s="1259">
        <f>IF(AX101=0,0,AB101/AX101*100)</f>
        <v/>
      </c>
    </row>
    <row r="102">
      <c r="A102" s="1018" t="n"/>
      <c r="B102" s="1018" t="n"/>
      <c r="C102" s="1018" t="n"/>
      <c r="D102" s="1018" t="n"/>
      <c r="E102" s="1018" t="n"/>
      <c r="F102" s="1018" t="n"/>
      <c r="G102" s="1018" t="n"/>
      <c r="H102" s="1018" t="n"/>
      <c r="I102" s="1018" t="n"/>
      <c r="J102" s="1018" t="n"/>
      <c r="K102" s="1018" t="n"/>
      <c r="L102" s="1018" t="n"/>
      <c r="M102" s="1018" t="n"/>
      <c r="N102" s="1018" t="n"/>
      <c r="O102" s="1018" t="n"/>
      <c r="P102" s="1018" t="n"/>
      <c r="Q102" s="1018" t="n"/>
      <c r="R102" s="1018" t="n"/>
      <c r="S102" s="1018">
        <f>IF(_epmOfflineCondition_,"            8.外币财务报表折算差额",EPMMemberDesc(U102))</f>
        <v/>
      </c>
      <c r="T102" s="1018" t="n"/>
      <c r="U102" s="1018" t="inlineStr">
        <is>
          <t>A00103051</t>
        </is>
      </c>
      <c r="V102" s="1018">
        <f>IF(_epmOfflineCondition_,"A00103051",EPMOlapMemberO(U102,"[C_ACCOUNT].[PARENTH1].[A00103051]","A00103051 -             8.外币财务报表折算差额","","000"))</f>
        <v/>
      </c>
      <c r="W102" s="384" t="n"/>
      <c r="X102" s="475" t="inlineStr">
        <is>
          <t xml:space="preserve">                 8.外币财务报表折算差额</t>
        </is>
      </c>
      <c r="Y102" s="1185">
        <f>ROW()-45</f>
        <v/>
      </c>
      <c r="Z102" s="1259">
        <f>IF($I$8="01",AB102,AB102-AA102)</f>
        <v/>
      </c>
      <c r="AA102" s="1249" t="n"/>
      <c r="AB102" s="1249" t="n"/>
      <c r="AC102" s="1249">
        <f>IF($I$9="01",AE102,AE102-AD102)</f>
        <v/>
      </c>
      <c r="AD102" s="1250" t="n"/>
      <c r="AE102" s="1250" t="n"/>
      <c r="AF102" s="1249">
        <f>Z102-AC102</f>
        <v/>
      </c>
      <c r="AG102" s="1249">
        <f>IF(AC102=0,0,(Z102-AC102)/AC102*100)</f>
        <v/>
      </c>
      <c r="AH102" s="1249">
        <f>IF($I$8="01",AJ102,AJ102-AI102)</f>
        <v/>
      </c>
      <c r="AI102" s="1249" t="n"/>
      <c r="AJ102" s="1249" t="n"/>
      <c r="AK102" s="1249">
        <f>Z102-AH102</f>
        <v/>
      </c>
      <c r="AL102" s="1249">
        <f>IF(AH102=0,0,(Z102-AH102)/AH102*100)</f>
        <v/>
      </c>
      <c r="AM102" s="1249" t="n"/>
      <c r="AN102" s="1249">
        <f>AB102-AM102</f>
        <v/>
      </c>
      <c r="AO102" s="1249">
        <f>IF(AM102=0,0,(AB102-AM102)/AM102*100)</f>
        <v/>
      </c>
      <c r="AP102" s="1252" t="n"/>
      <c r="AQ102" s="1249">
        <f>AP102</f>
        <v/>
      </c>
      <c r="AR102" s="1251">
        <f>Z102-AQ102</f>
        <v/>
      </c>
      <c r="AS102" s="1249">
        <f>IF(AP102=0,0,Z102/AP102*100)</f>
        <v/>
      </c>
      <c r="AT102" s="1252" t="n"/>
      <c r="AU102" s="1249">
        <f>AT102</f>
        <v/>
      </c>
      <c r="AV102" s="1251">
        <f>AB102-AT102</f>
        <v/>
      </c>
      <c r="AW102" s="1249">
        <f>IF(AT102=0,0,AB102/AT102*100)</f>
        <v/>
      </c>
      <c r="AX102" s="1252" t="n"/>
      <c r="AY102" s="1259">
        <f>AX102</f>
        <v/>
      </c>
      <c r="AZ102" s="1260">
        <f>AB102-AX102</f>
        <v/>
      </c>
      <c r="BA102" s="1259">
        <f>IF(AX102=0,0,AB102/AX102*100)</f>
        <v/>
      </c>
    </row>
    <row r="103">
      <c r="A103" s="1018" t="n"/>
      <c r="B103" s="1018" t="n"/>
      <c r="C103" s="1018" t="n"/>
      <c r="D103" s="1018" t="n"/>
      <c r="E103" s="1018" t="n"/>
      <c r="F103" s="1018" t="n"/>
      <c r="G103" s="1018" t="n"/>
      <c r="H103" s="1018" t="n"/>
      <c r="I103" s="1018" t="n"/>
      <c r="J103" s="1018" t="n"/>
      <c r="K103" s="1018" t="n"/>
      <c r="L103" s="1018" t="n"/>
      <c r="M103" s="1018" t="n"/>
      <c r="N103" s="1018" t="n"/>
      <c r="O103" s="1018" t="n"/>
      <c r="P103" s="1018" t="n"/>
      <c r="Q103" s="1018" t="n"/>
      <c r="R103" s="1018" t="n"/>
      <c r="S103" s="1018">
        <f>IF(_epmOfflineCondition_,"            9.其他",EPMMemberDesc(U103))</f>
        <v/>
      </c>
      <c r="T103" s="1018" t="n"/>
      <c r="U103" s="1018" t="inlineStr">
        <is>
          <t>A4004029999</t>
        </is>
      </c>
      <c r="V103" s="1018">
        <f>IF(_epmOfflineCondition_,"A4004029999",EPMOlapMemberO(U103,"[C_ACCOUNT].[PARENTH1].[A4004029999]","A4004029999 -             9.其他","","000"))</f>
        <v/>
      </c>
      <c r="W103" s="384" t="n"/>
      <c r="X103" s="475" t="inlineStr">
        <is>
          <t xml:space="preserve">                 9.其他</t>
        </is>
      </c>
      <c r="Y103" s="1185">
        <f>ROW()-45</f>
        <v/>
      </c>
      <c r="Z103" s="1259">
        <f>IF($I$8="01",AB103,AB103-AA103)</f>
        <v/>
      </c>
      <c r="AA103" s="1249" t="n"/>
      <c r="AB103" s="1249" t="n"/>
      <c r="AC103" s="1249">
        <f>IF($I$9="01",AE103,AE103-AD103)</f>
        <v/>
      </c>
      <c r="AD103" s="1250" t="n"/>
      <c r="AE103" s="1250" t="n"/>
      <c r="AF103" s="1249">
        <f>Z103-AC103</f>
        <v/>
      </c>
      <c r="AG103" s="1249">
        <f>IF(AC103=0,0,(Z103-AC103)/AC103*100)</f>
        <v/>
      </c>
      <c r="AH103" s="1249">
        <f>IF($I$8="01",AJ103,AJ103-AI103)</f>
        <v/>
      </c>
      <c r="AI103" s="1249" t="n"/>
      <c r="AJ103" s="1249" t="n"/>
      <c r="AK103" s="1249">
        <f>Z103-AH103</f>
        <v/>
      </c>
      <c r="AL103" s="1249">
        <f>IF(AH103=0,0,(Z103-AH103)/AH103*100)</f>
        <v/>
      </c>
      <c r="AM103" s="1249" t="n"/>
      <c r="AN103" s="1249">
        <f>AB103-AM103</f>
        <v/>
      </c>
      <c r="AO103" s="1249">
        <f>IF(AM103=0,0,(AB103-AM103)/AM103*100)</f>
        <v/>
      </c>
      <c r="AP103" s="1252" t="n"/>
      <c r="AQ103" s="1249">
        <f>AP103</f>
        <v/>
      </c>
      <c r="AR103" s="1251">
        <f>Z103-AQ103</f>
        <v/>
      </c>
      <c r="AS103" s="1249">
        <f>IF(AP103=0,0,Z103/AP103*100)</f>
        <v/>
      </c>
      <c r="AT103" s="1252" t="n"/>
      <c r="AU103" s="1249">
        <f>AT103</f>
        <v/>
      </c>
      <c r="AV103" s="1251">
        <f>AB103-AT103</f>
        <v/>
      </c>
      <c r="AW103" s="1249">
        <f>IF(AT103=0,0,AB103/AT103*100)</f>
        <v/>
      </c>
      <c r="AX103" s="1252" t="n"/>
      <c r="AY103" s="1259">
        <f>AX103</f>
        <v/>
      </c>
      <c r="AZ103" s="1260">
        <f>AB103-AX103</f>
        <v/>
      </c>
      <c r="BA103" s="1259">
        <f>IF(AX103=0,0,AB103/AX103*100)</f>
        <v/>
      </c>
    </row>
    <row r="104">
      <c r="A104" s="1018" t="n"/>
      <c r="B104" s="1018" t="n"/>
      <c r="C104" s="1018" t="n"/>
      <c r="D104" s="1018" t="n"/>
      <c r="E104" s="1018" t="n"/>
      <c r="F104" s="1018" t="n"/>
      <c r="G104" s="1018" t="n"/>
      <c r="H104" s="1018" t="n"/>
      <c r="I104" s="1018" t="n"/>
      <c r="J104" s="1018" t="n"/>
      <c r="K104" s="1018" t="n"/>
      <c r="L104" s="1018" t="n"/>
      <c r="M104" s="1018" t="n"/>
      <c r="N104" s="1018" t="n"/>
      <c r="O104" s="1018" t="n"/>
      <c r="P104" s="1018" t="n"/>
      <c r="Q104" s="1018" t="n"/>
      <c r="R104" s="1018" t="inlineStr">
        <is>
          <t>DELIM</t>
        </is>
      </c>
      <c r="S104" s="1018">
        <f>IF(_epmOfflineCondition_,"归属于少数股东的其他综合收益的税后净额_余额计算",EPMMemberDesc(U104))</f>
        <v/>
      </c>
      <c r="T104" s="1018" t="n"/>
      <c r="U104" s="1018" t="inlineStr">
        <is>
          <t>ATEC0020602_FEND</t>
        </is>
      </c>
      <c r="V104" s="462">
        <f>IF(_epmOfflineCondition_,"ATEC0020602_FEND",EPMOlapMemberO(U104,"[C_ACCOUNT].[PARENTH1].[ATEC0020602_FEND]","ATEC0020602_FEND - 归属于少数股东的其他综合收益的税后净额_余额计算","","000"))</f>
        <v/>
      </c>
      <c r="W104" s="1214" t="n"/>
      <c r="X104" s="1017" t="inlineStr">
        <is>
          <t>*归属于少数股东的其他综合收益的税后净额</t>
        </is>
      </c>
      <c r="Y104" s="1185">
        <f>ROW()-45</f>
        <v/>
      </c>
      <c r="Z104" s="1259">
        <f>IF($I$8="01",AB104,AB104-AA104)</f>
        <v/>
      </c>
      <c r="AA104" s="1249" t="n"/>
      <c r="AB104" s="1249" t="n"/>
      <c r="AC104" s="1249">
        <f>IF($I$9="01",AE104,AE104-AD104)</f>
        <v/>
      </c>
      <c r="AD104" s="1249" t="n"/>
      <c r="AE104" s="1249" t="n"/>
      <c r="AF104" s="1249">
        <f>Z104-AC104</f>
        <v/>
      </c>
      <c r="AG104" s="1249">
        <f>IF(AC104=0,0,(Z104-AC104)/AC104*100)</f>
        <v/>
      </c>
      <c r="AH104" s="1249">
        <f>IF($I$8="01",AJ104,AJ104-AI104)</f>
        <v/>
      </c>
      <c r="AI104" s="1249" t="n"/>
      <c r="AJ104" s="1249" t="n"/>
      <c r="AK104" s="1249">
        <f>Z104-AH104</f>
        <v/>
      </c>
      <c r="AL104" s="1249">
        <f>IF(AH104=0,0,(Z104-AH104)/AH104*100)</f>
        <v/>
      </c>
      <c r="AM104" s="1249" t="n"/>
      <c r="AN104" s="1249">
        <f>AB104-AM104</f>
        <v/>
      </c>
      <c r="AO104" s="1249">
        <f>IF(AM104=0,0,(AB104-AM104)/AM104*100)</f>
        <v/>
      </c>
      <c r="AP104" s="1252" t="n"/>
      <c r="AQ104" s="1249">
        <f>AP104</f>
        <v/>
      </c>
      <c r="AR104" s="1251">
        <f>Z104-AQ104</f>
        <v/>
      </c>
      <c r="AS104" s="1249">
        <f>IF(AP104=0,0,Z104/AP104*100)</f>
        <v/>
      </c>
      <c r="AT104" s="1252" t="n"/>
      <c r="AU104" s="1249">
        <f>AT104</f>
        <v/>
      </c>
      <c r="AV104" s="1251">
        <f>AB104-AT104</f>
        <v/>
      </c>
      <c r="AW104" s="1249">
        <f>IF(AT104=0,0,AB104/AT104*100)</f>
        <v/>
      </c>
      <c r="AX104" s="1252" t="n"/>
      <c r="AY104" s="1259">
        <f>AX104</f>
        <v/>
      </c>
      <c r="AZ104" s="1260">
        <f>AB104-AX104</f>
        <v/>
      </c>
      <c r="BA104" s="1259">
        <f>IF(AX104=0,0,AB104/AX104*100)</f>
        <v/>
      </c>
    </row>
    <row r="105">
      <c r="A105" s="384" t="n"/>
      <c r="B105" s="384" t="n"/>
      <c r="C105" s="384" t="n"/>
      <c r="D105" s="384" t="n"/>
      <c r="E105" s="384" t="n"/>
      <c r="F105" s="384" t="n"/>
      <c r="G105" s="384" t="n"/>
      <c r="H105" s="384" t="n"/>
      <c r="I105" s="384" t="n"/>
      <c r="J105" s="384" t="n"/>
      <c r="K105" s="384" t="n"/>
      <c r="L105" s="384" t="n"/>
      <c r="M105" s="384" t="n"/>
      <c r="N105" s="384" t="n"/>
      <c r="O105" s="384" t="n"/>
      <c r="P105" s="384" t="n"/>
      <c r="Q105" s="384" t="n"/>
      <c r="R105" s="384" t="n"/>
      <c r="S105" s="462">
        <f>IF(_epmOfflineCondition_,"七、综合收益总额",EPMMemberDesc(U105))</f>
        <v/>
      </c>
      <c r="T105" s="384" t="n"/>
      <c r="U105" s="716" t="inlineStr">
        <is>
          <t>A00207</t>
        </is>
      </c>
      <c r="V105" s="462">
        <f>IF(_epmOfflineCondition_,"A00207",EPMOlapMemberO(U105,"[C_ACCOUNT].[PARENTH3].[A00207]","A00207 - 七、综合收益总额","","000"))</f>
        <v/>
      </c>
      <c r="W105" s="1214" t="n"/>
      <c r="X105" s="454" t="inlineStr">
        <is>
          <t>七、综合收益总额</t>
        </is>
      </c>
      <c r="Y105" s="1185">
        <f>ROW()-45</f>
        <v/>
      </c>
      <c r="Z105" s="1259">
        <f>IF($I$8="01",AB105,AB105-AA105)</f>
        <v/>
      </c>
      <c r="AA105" s="1249">
        <f>SUM(AA106:AA107)</f>
        <v/>
      </c>
      <c r="AB105" s="1249">
        <f>SUM(AB106:AB107)</f>
        <v/>
      </c>
      <c r="AC105" s="1249">
        <f>IF($I$9="01",AE105,AE105-AD105)</f>
        <v/>
      </c>
      <c r="AD105" s="1249">
        <f>SUM(AD106:AD107)</f>
        <v/>
      </c>
      <c r="AE105" s="1249">
        <f>SUM(AE106:AE107)</f>
        <v/>
      </c>
      <c r="AF105" s="1249">
        <f>Z105-AC105</f>
        <v/>
      </c>
      <c r="AG105" s="1249">
        <f>IF(AC105=0,0,(Z105-AC105)/AC105*100)</f>
        <v/>
      </c>
      <c r="AH105" s="1249">
        <f>IF($I$8="01",AJ105,AJ105-AI105)</f>
        <v/>
      </c>
      <c r="AI105" s="1249">
        <f>SUM(AI106:AI107)</f>
        <v/>
      </c>
      <c r="AJ105" s="1249">
        <f>SUM(AJ106:AJ107)</f>
        <v/>
      </c>
      <c r="AK105" s="1249">
        <f>Z105-AH105</f>
        <v/>
      </c>
      <c r="AL105" s="1249">
        <f>IF(AH105=0,0,(Z105-AH105)/AH105*100)</f>
        <v/>
      </c>
      <c r="AM105" s="1249">
        <f>SUM(AM106:AM107)</f>
        <v/>
      </c>
      <c r="AN105" s="1249">
        <f>AB105-AM105</f>
        <v/>
      </c>
      <c r="AO105" s="1249">
        <f>IF(AM105=0,0,(AB105-AM105)/AM105*100)</f>
        <v/>
      </c>
      <c r="AP105" s="1252" t="n"/>
      <c r="AQ105" s="1249">
        <f>AP105</f>
        <v/>
      </c>
      <c r="AR105" s="1251">
        <f>Z105-AQ105</f>
        <v/>
      </c>
      <c r="AS105" s="1249">
        <f>IF(AP105=0,0,Z105/AP105*100)</f>
        <v/>
      </c>
      <c r="AT105" s="1252" t="n"/>
      <c r="AU105" s="1249">
        <f>AT105</f>
        <v/>
      </c>
      <c r="AV105" s="1251">
        <f>AB105-AT105</f>
        <v/>
      </c>
      <c r="AW105" s="1249">
        <f>IF(AT105=0,0,AB105/AT105*100)</f>
        <v/>
      </c>
      <c r="AX105" s="1252" t="n"/>
      <c r="AY105" s="1259">
        <f>AX105</f>
        <v/>
      </c>
      <c r="AZ105" s="1260">
        <f>AB105-AX105</f>
        <v/>
      </c>
      <c r="BA105" s="1259">
        <f>IF(AX105=0,0,AB105/AX105*100)</f>
        <v/>
      </c>
    </row>
    <row r="106">
      <c r="A106" s="384" t="n"/>
      <c r="B106" s="384" t="n"/>
      <c r="C106" s="384" t="n"/>
      <c r="D106" s="384" t="n"/>
      <c r="E106" s="384" t="n"/>
      <c r="F106" s="384" t="n"/>
      <c r="G106" s="384" t="n"/>
      <c r="H106" s="384" t="n"/>
      <c r="I106" s="384" t="n"/>
      <c r="J106" s="384" t="n"/>
      <c r="K106" s="384" t="n"/>
      <c r="L106" s="384" t="n"/>
      <c r="M106" s="384" t="n"/>
      <c r="N106" s="384" t="n"/>
      <c r="O106" s="384" t="n"/>
      <c r="P106" s="384" t="n"/>
      <c r="Q106" s="384" t="n"/>
      <c r="R106" s="384" t="n"/>
      <c r="S106" s="462">
        <f>IF(_epmOfflineCondition_,"    归属于母公司所有者的综合收益总额",EPMMemberDesc(U106))</f>
        <v/>
      </c>
      <c r="T106" s="384" t="n"/>
      <c r="U106" s="716" t="inlineStr">
        <is>
          <t>A0020701</t>
        </is>
      </c>
      <c r="V106" s="455">
        <f>IF(_epmOfflineCondition_,"A0020701",EPMOlapMemberO(U106,"[C_ACCOUNT].[PARENTH1].[A0020701]","A0020701 -     归属于母公司所有者的综合收益总额","","000"))</f>
        <v/>
      </c>
      <c r="W106" s="384" t="n"/>
      <c r="X106" s="588" t="inlineStr">
        <is>
          <t xml:space="preserve">    归属于母公司所有者的综合收益总额</t>
        </is>
      </c>
      <c r="Y106" s="1185">
        <f>ROW()-45</f>
        <v/>
      </c>
      <c r="Z106" s="1259">
        <f>IF($I$8="01",AB106,AB106-AA106)</f>
        <v/>
      </c>
      <c r="AA106" s="1249">
        <f>SUM(AA82,AA87)</f>
        <v/>
      </c>
      <c r="AB106" s="1249">
        <f>SUM(AB82,AB87)</f>
        <v/>
      </c>
      <c r="AC106" s="1249">
        <f>IF($I$9="01",AE106,AE106-AD106)</f>
        <v/>
      </c>
      <c r="AD106" s="1249">
        <f>SUM(AD82,AD87)</f>
        <v/>
      </c>
      <c r="AE106" s="1249">
        <f>SUM(AE82,AE87)</f>
        <v/>
      </c>
      <c r="AF106" s="1249">
        <f>Z106-AC106</f>
        <v/>
      </c>
      <c r="AG106" s="1249">
        <f>IF(AC106=0,0,(Z106-AC106)/AC106*100)</f>
        <v/>
      </c>
      <c r="AH106" s="1249">
        <f>IF($I$8="01",AJ106,AJ106-AI106)</f>
        <v/>
      </c>
      <c r="AI106" s="1249">
        <f>SUM(AI82,AI87)</f>
        <v/>
      </c>
      <c r="AJ106" s="1249">
        <f>SUM(AJ82,AJ87)</f>
        <v/>
      </c>
      <c r="AK106" s="1249">
        <f>Z106-AH106</f>
        <v/>
      </c>
      <c r="AL106" s="1249">
        <f>IF(AH106=0,0,(Z106-AH106)/AH106*100)</f>
        <v/>
      </c>
      <c r="AM106" s="1249">
        <f>SUM(AM82,AM87)</f>
        <v/>
      </c>
      <c r="AN106" s="1249">
        <f>AB106-AM106</f>
        <v/>
      </c>
      <c r="AO106" s="1249">
        <f>IF(AM106=0,0,(AB106-AM106)/AM106*100)</f>
        <v/>
      </c>
      <c r="AP106" s="1252" t="n"/>
      <c r="AQ106" s="1249">
        <f>AP106</f>
        <v/>
      </c>
      <c r="AR106" s="1251">
        <f>Z106-AQ106</f>
        <v/>
      </c>
      <c r="AS106" s="1249">
        <f>IF(AP106=0,0,Z106/AP106*100)</f>
        <v/>
      </c>
      <c r="AT106" s="1252" t="n"/>
      <c r="AU106" s="1249">
        <f>AT106</f>
        <v/>
      </c>
      <c r="AV106" s="1251">
        <f>AB106-AT106</f>
        <v/>
      </c>
      <c r="AW106" s="1249">
        <f>IF(AT106=0,0,AB106/AT106*100)</f>
        <v/>
      </c>
      <c r="AX106" s="1252" t="n"/>
      <c r="AY106" s="1259">
        <f>AX106</f>
        <v/>
      </c>
      <c r="AZ106" s="1260">
        <f>AB106-AX106</f>
        <v/>
      </c>
      <c r="BA106" s="1259">
        <f>IF(AX106=0,0,AB106/AX106*100)</f>
        <v/>
      </c>
    </row>
    <row r="107">
      <c r="A107" s="384" t="n"/>
      <c r="B107" s="384" t="n"/>
      <c r="C107" s="384" t="n"/>
      <c r="D107" s="384" t="n"/>
      <c r="E107" s="384" t="n"/>
      <c r="F107" s="384" t="n"/>
      <c r="G107" s="384" t="n"/>
      <c r="H107" s="384" t="n"/>
      <c r="I107" s="384" t="n"/>
      <c r="J107" s="384" t="n"/>
      <c r="K107" s="384" t="n"/>
      <c r="L107" s="384" t="n"/>
      <c r="M107" s="384" t="n"/>
      <c r="N107" s="384" t="n"/>
      <c r="O107" s="384" t="n"/>
      <c r="P107" s="384" t="n"/>
      <c r="Q107" s="384" t="n"/>
      <c r="R107" s="384" t="n"/>
      <c r="S107" s="462">
        <f>IF(_epmOfflineCondition_,"   *归属于少数股东的综合收益总额",EPMMemberDesc(U107))</f>
        <v/>
      </c>
      <c r="T107" s="384" t="n"/>
      <c r="U107" s="716" t="inlineStr">
        <is>
          <t>A0020702</t>
        </is>
      </c>
      <c r="V107" s="462">
        <f>IF(_epmOfflineCondition_,"A0020702",EPMOlapMemberO(U107,"[C_ACCOUNT].[PARENTH2].[A0020702]","A0020702 -    *归属于少数股东的综合收益总额","","000"))</f>
        <v/>
      </c>
      <c r="W107" s="384" t="n"/>
      <c r="X107" s="588" t="inlineStr">
        <is>
          <t xml:space="preserve">   *归属于少数股东的综合收益总额</t>
        </is>
      </c>
      <c r="Y107" s="1185">
        <f>ROW()-45</f>
        <v/>
      </c>
      <c r="Z107" s="1259">
        <f>IF($I$8="01",AB107,AB107-AA107)</f>
        <v/>
      </c>
      <c r="AA107" s="1249">
        <f>AA83+AA104</f>
        <v/>
      </c>
      <c r="AB107" s="1249">
        <f>AB83+AB104</f>
        <v/>
      </c>
      <c r="AC107" s="1249">
        <f>IF($I$9="01",AE107,AE107-AD107)</f>
        <v/>
      </c>
      <c r="AD107" s="1249">
        <f>AD83+AD104</f>
        <v/>
      </c>
      <c r="AE107" s="1249">
        <f>AE83+AE104</f>
        <v/>
      </c>
      <c r="AF107" s="1249">
        <f>Z107-AC107</f>
        <v/>
      </c>
      <c r="AG107" s="1249">
        <f>IF(AC107=0,0,(Z107-AC107)/AC107*100)</f>
        <v/>
      </c>
      <c r="AH107" s="1249">
        <f>IF($I$8="01",AJ107,AJ107-AI107)</f>
        <v/>
      </c>
      <c r="AI107" s="1249">
        <f>AI83+AI104</f>
        <v/>
      </c>
      <c r="AJ107" s="1249">
        <f>AJ83+AJ104</f>
        <v/>
      </c>
      <c r="AK107" s="1249">
        <f>Z107-AH107</f>
        <v/>
      </c>
      <c r="AL107" s="1249">
        <f>IF(AH107=0,0,(Z107-AH107)/AH107*100)</f>
        <v/>
      </c>
      <c r="AM107" s="1249">
        <f>AM83+AM104</f>
        <v/>
      </c>
      <c r="AN107" s="1249">
        <f>AB107-AM107</f>
        <v/>
      </c>
      <c r="AO107" s="1249">
        <f>IF(AM107=0,0,(AB107-AM107)/AM107*100)</f>
        <v/>
      </c>
      <c r="AP107" s="1252" t="n"/>
      <c r="AQ107" s="1262">
        <f>AP107*-1</f>
        <v/>
      </c>
      <c r="AR107" s="1251">
        <f>Z107-AQ107</f>
        <v/>
      </c>
      <c r="AS107" s="1249">
        <f>IF(AP107=0,0,Z107/AP107*100)</f>
        <v/>
      </c>
      <c r="AT107" s="1252" t="n"/>
      <c r="AU107" s="1249">
        <f>AT107*-1</f>
        <v/>
      </c>
      <c r="AV107" s="1251">
        <f>AB107-AT107</f>
        <v/>
      </c>
      <c r="AW107" s="1249">
        <f>IF(AT107=0,0,AB107/AT107*100)</f>
        <v/>
      </c>
      <c r="AX107" s="1252" t="n"/>
      <c r="AY107" s="1259">
        <f>AX107*-1</f>
        <v/>
      </c>
      <c r="AZ107" s="1260">
        <f>AB107-AX107</f>
        <v/>
      </c>
      <c r="BA107" s="1259">
        <f>IF(AX107=0,0,AB107/AX107*100)</f>
        <v/>
      </c>
    </row>
    <row r="108">
      <c r="A108" s="384" t="n"/>
      <c r="B108" s="384" t="n"/>
      <c r="C108" s="384" t="n"/>
      <c r="D108" s="384" t="n"/>
      <c r="E108" s="384" t="n"/>
      <c r="F108" s="384" t="n"/>
      <c r="G108" s="384" t="n"/>
      <c r="H108" s="384" t="n"/>
      <c r="I108" s="384" t="n"/>
      <c r="J108" s="384" t="n"/>
      <c r="K108" s="384" t="n"/>
      <c r="L108" s="384" t="n"/>
      <c r="M108" s="384" t="n"/>
      <c r="N108" s="384" t="n"/>
      <c r="O108" s="384" t="n"/>
      <c r="P108" s="384" t="n"/>
      <c r="Q108" s="384" t="n"/>
      <c r="R108" s="384" t="n"/>
      <c r="S108" s="462">
        <f>IF(_epmOfflineCondition_,"八、应上交国家利润（国家股利）",EPMMemberDesc(U108))</f>
        <v/>
      </c>
      <c r="T108" s="384" t="n"/>
      <c r="U108" s="716" t="inlineStr">
        <is>
          <t>A00208</t>
        </is>
      </c>
      <c r="V108" s="455">
        <f>IF(_epmOfflineCondition_,"A00208",EPMOlapMemberO(U108,"[C_ACCOUNT].[PARENTH1].[A00208]","A00208 - 八、应上交国家利润（国家股利）","","000"))</f>
        <v/>
      </c>
      <c r="W108" s="384" t="n"/>
      <c r="X108" s="454" t="inlineStr">
        <is>
          <t>八、每股收益：</t>
        </is>
      </c>
      <c r="Y108" s="1185">
        <f>ROW()-45</f>
        <v/>
      </c>
      <c r="Z108" s="1259">
        <f>IF($I$8="01",AB108,AB108-AA108)</f>
        <v/>
      </c>
      <c r="AA108" s="1249" t="n"/>
      <c r="AB108" s="1249" t="n"/>
      <c r="AC108" s="1249">
        <f>IF($I$9="01",AE108,AE108-AD108)</f>
        <v/>
      </c>
      <c r="AD108" s="1250" t="n"/>
      <c r="AE108" s="1250" t="n"/>
      <c r="AF108" s="1249">
        <f>Z108-AC108</f>
        <v/>
      </c>
      <c r="AG108" s="1249">
        <f>IF(AC108=0,0,(Z108-AC108)/AC108*100)</f>
        <v/>
      </c>
      <c r="AH108" s="1249">
        <f>IF($I$8="01",AJ108,AJ108-AI108)</f>
        <v/>
      </c>
      <c r="AI108" s="1249" t="n"/>
      <c r="AJ108" s="1249" t="n"/>
      <c r="AK108" s="1249">
        <f>Z108-AH108</f>
        <v/>
      </c>
      <c r="AL108" s="1249">
        <f>IF(AH108=0,0,(Z108-AH108)/AH108*100)</f>
        <v/>
      </c>
      <c r="AM108" s="1249" t="n"/>
      <c r="AN108" s="1249">
        <f>AB108-AM108</f>
        <v/>
      </c>
      <c r="AO108" s="1249">
        <f>IF(AM108=0,0,(AB108-AM108)/AM108*100)</f>
        <v/>
      </c>
      <c r="AP108" s="1252" t="n"/>
      <c r="AQ108" s="1252">
        <f>AP108</f>
        <v/>
      </c>
      <c r="AR108" s="1251">
        <f>Z108-AQ108</f>
        <v/>
      </c>
      <c r="AS108" s="1249">
        <f>IF(AP108=0,0,Z108/AP108*100)</f>
        <v/>
      </c>
      <c r="AT108" s="1252" t="n"/>
      <c r="AU108" s="1249">
        <f>AT108</f>
        <v/>
      </c>
      <c r="AV108" s="1251">
        <f>AB108-AT108</f>
        <v/>
      </c>
      <c r="AW108" s="1249">
        <f>IF(AT108=0,0,AB108/AT108*100)</f>
        <v/>
      </c>
      <c r="AX108" s="1252" t="n"/>
      <c r="AY108" s="1259">
        <f>AX108</f>
        <v/>
      </c>
      <c r="AZ108" s="1260">
        <f>AB108-AX108</f>
        <v/>
      </c>
      <c r="BA108" s="1259">
        <f>IF(AX108=0,0,AB108/AX108*100)</f>
        <v/>
      </c>
    </row>
    <row r="109">
      <c r="A109" s="384" t="n"/>
      <c r="B109" s="384" t="n"/>
      <c r="C109" s="384" t="n"/>
      <c r="D109" s="384" t="n"/>
      <c r="E109" s="384" t="n"/>
      <c r="F109" s="384" t="n"/>
      <c r="G109" s="384" t="n"/>
      <c r="H109" s="384" t="n"/>
      <c r="I109" s="384" t="n"/>
      <c r="J109" s="384" t="n"/>
      <c r="K109" s="384" t="n"/>
      <c r="L109" s="384" t="n"/>
      <c r="M109" s="384" t="n"/>
      <c r="N109" s="384" t="n"/>
      <c r="O109" s="384" t="n"/>
      <c r="P109" s="384" t="n"/>
      <c r="Q109" s="384" t="n"/>
      <c r="R109" s="384" t="n"/>
      <c r="S109" s="462">
        <f>IF(_epmOfflineCondition_,"   （一）基本每股收益",EPMMemberDesc(U109))</f>
        <v/>
      </c>
      <c r="T109" s="384" t="n"/>
      <c r="U109" s="716" t="inlineStr">
        <is>
          <t>A0020801</t>
        </is>
      </c>
      <c r="V109" s="535">
        <f>IF(_epmOfflineCondition_,"A0020801",EPMOlapMemberO(U109,"[C_ACCOUNT].[PARENTH1].[A0020801]","A0020801 -    （一）基本每股收益","","000"))</f>
        <v/>
      </c>
      <c r="W109" s="384" t="n"/>
      <c r="X109" s="475" t="inlineStr">
        <is>
          <t>（一）基本每股收益</t>
        </is>
      </c>
      <c r="Y109" s="1185">
        <f>ROW()-45</f>
        <v/>
      </c>
      <c r="Z109" s="1259">
        <f>IF($I$8="01",AB109,AB109-AA109)</f>
        <v/>
      </c>
      <c r="AA109" s="1249" t="n"/>
      <c r="AB109" s="1249" t="n"/>
      <c r="AC109" s="1249">
        <f>IF($I$9="01",AE109,AE109-AD109)</f>
        <v/>
      </c>
      <c r="AD109" s="1250" t="n"/>
      <c r="AE109" s="1250" t="n"/>
      <c r="AF109" s="1249">
        <f>Z109-AC109</f>
        <v/>
      </c>
      <c r="AG109" s="1249">
        <f>IF(AC109=0,0,(Z109-AC109)/AC109*100)</f>
        <v/>
      </c>
      <c r="AH109" s="1249">
        <f>IF($I$8="01",AJ109,AJ109-AI109)</f>
        <v/>
      </c>
      <c r="AI109" s="1249" t="n"/>
      <c r="AJ109" s="1249" t="n"/>
      <c r="AK109" s="1249">
        <f>Z109-AH109</f>
        <v/>
      </c>
      <c r="AL109" s="1249">
        <f>IF(AH109=0,0,(Z109-AH109)/AH109*100)</f>
        <v/>
      </c>
      <c r="AM109" s="1249" t="n"/>
      <c r="AN109" s="1249">
        <f>AB109-AM109</f>
        <v/>
      </c>
      <c r="AO109" s="1249">
        <f>IF(AM109=0,0,(AB109-AM109)/AM109*100)</f>
        <v/>
      </c>
      <c r="AP109" s="1252" t="n"/>
      <c r="AQ109" s="1252">
        <f>AP109</f>
        <v/>
      </c>
      <c r="AR109" s="1251">
        <f>Z109-AQ109</f>
        <v/>
      </c>
      <c r="AS109" s="1249">
        <f>IF(AP109=0,0,Z109/AP109*100)</f>
        <v/>
      </c>
      <c r="AT109" s="1252" t="n"/>
      <c r="AU109" s="1249">
        <f>AT109</f>
        <v/>
      </c>
      <c r="AV109" s="1251">
        <f>AB109-AT109</f>
        <v/>
      </c>
      <c r="AW109" s="1249">
        <f>IF(AT109=0,0,AB109/AT109*100)</f>
        <v/>
      </c>
      <c r="AX109" s="1252" t="n"/>
      <c r="AY109" s="1259">
        <f>AX109</f>
        <v/>
      </c>
      <c r="AZ109" s="1260">
        <f>AB109-AX109</f>
        <v/>
      </c>
      <c r="BA109" s="1259">
        <f>IF(AX109=0,0,AB109/AX109*100)</f>
        <v/>
      </c>
    </row>
    <row r="110">
      <c r="A110" s="384" t="n"/>
      <c r="B110" s="384" t="n"/>
      <c r="C110" s="384" t="n"/>
      <c r="D110" s="384" t="n"/>
      <c r="E110" s="384" t="n"/>
      <c r="F110" s="384" t="n"/>
      <c r="G110" s="384" t="n"/>
      <c r="H110" s="384" t="n"/>
      <c r="I110" s="384" t="n"/>
      <c r="J110" s="384" t="n"/>
      <c r="K110" s="384" t="n"/>
      <c r="L110" s="384" t="n"/>
      <c r="M110" s="384" t="n"/>
      <c r="N110" s="384" t="n"/>
      <c r="O110" s="384" t="n"/>
      <c r="P110" s="384" t="n"/>
      <c r="Q110" s="384" t="n"/>
      <c r="R110" s="384" t="n"/>
      <c r="S110" s="462">
        <f>IF(_epmOfflineCondition_,"   （二）稀释每股收益",EPMMemberDesc(U110))</f>
        <v/>
      </c>
      <c r="T110" s="384" t="n"/>
      <c r="U110" s="716" t="inlineStr">
        <is>
          <t>A0020802</t>
        </is>
      </c>
      <c r="V110" s="535">
        <f>IF(_epmOfflineCondition_,"A0020802",EPMOlapMemberO(U110,"[C_ACCOUNT].[PARENTH1].[A0020802]","A0020802 -    （二）稀释每股收益","","000"))</f>
        <v/>
      </c>
      <c r="W110" s="384" t="n"/>
      <c r="X110" s="475" t="inlineStr">
        <is>
          <t>（二）稀释每股收益</t>
        </is>
      </c>
      <c r="Y110" s="1185">
        <f>ROW()-45</f>
        <v/>
      </c>
      <c r="Z110" s="1259">
        <f>IF($I$8="01",AB110,AB110-AA110)</f>
        <v/>
      </c>
      <c r="AA110" s="1249" t="n"/>
      <c r="AB110" s="1249" t="n"/>
      <c r="AC110" s="1249">
        <f>IF($I$9="01",AE110,AE110-AD110)</f>
        <v/>
      </c>
      <c r="AD110" s="1250" t="n"/>
      <c r="AE110" s="1250" t="n"/>
      <c r="AF110" s="1249">
        <f>Z110-AC110</f>
        <v/>
      </c>
      <c r="AG110" s="1249">
        <f>IF(AC110=0,0,(Z110-AC110)/AC110*100)</f>
        <v/>
      </c>
      <c r="AH110" s="1249">
        <f>IF($I$8="01",AJ110,AJ110-AI110)</f>
        <v/>
      </c>
      <c r="AI110" s="1249" t="n"/>
      <c r="AJ110" s="1249" t="n"/>
      <c r="AK110" s="1249">
        <f>Z110-AH110</f>
        <v/>
      </c>
      <c r="AL110" s="1249">
        <f>IF(AH110=0,0,(Z110-AH110)/AH110*100)</f>
        <v/>
      </c>
      <c r="AM110" s="1249" t="n"/>
      <c r="AN110" s="1249">
        <f>AB110-AM110</f>
        <v/>
      </c>
      <c r="AO110" s="1249">
        <f>IF(AM110=0,0,(AB110-AM110)/AM110*100)</f>
        <v/>
      </c>
      <c r="AP110" s="1252" t="n"/>
      <c r="AQ110" s="1252">
        <f>AP110</f>
        <v/>
      </c>
      <c r="AR110" s="1251">
        <f>Z110-AQ110</f>
        <v/>
      </c>
      <c r="AS110" s="1249">
        <f>IF(AP110=0,0,Z110/AP110*100)</f>
        <v/>
      </c>
      <c r="AT110" s="1252" t="n"/>
      <c r="AU110" s="1249">
        <f>AT110</f>
        <v/>
      </c>
      <c r="AV110" s="1251">
        <f>AB110-AT110</f>
        <v/>
      </c>
      <c r="AW110" s="1249">
        <f>IF(AT110=0,0,AB110/AT110*100)</f>
        <v/>
      </c>
      <c r="AX110" s="1252" t="n"/>
      <c r="AY110" s="1259">
        <f>AX110</f>
        <v/>
      </c>
      <c r="AZ110" s="1260">
        <f>AB110-AX110</f>
        <v/>
      </c>
      <c r="BA110" s="1259">
        <f>IF(AX110=0,0,AB110/AX110*100)</f>
        <v/>
      </c>
    </row>
    <row r="111">
      <c r="A111" s="384" t="n"/>
      <c r="B111" s="384" t="n"/>
      <c r="C111" s="384" t="n"/>
      <c r="D111" s="384" t="n"/>
      <c r="E111" s="384" t="n"/>
      <c r="F111" s="384" t="n"/>
      <c r="G111" s="384" t="n"/>
      <c r="H111" s="384" t="n"/>
      <c r="I111" s="384" t="n"/>
      <c r="J111" s="384" t="n"/>
      <c r="K111" s="384" t="n"/>
      <c r="L111" s="384" t="n"/>
      <c r="M111" s="384" t="n"/>
      <c r="N111" s="384" t="n"/>
      <c r="O111" s="384" t="n"/>
      <c r="P111" s="384" t="n"/>
      <c r="Q111" s="384" t="n"/>
      <c r="R111" s="384" t="n"/>
      <c r="S111" s="462" t="n"/>
      <c r="T111" s="384" t="n"/>
      <c r="U111" s="716" t="n"/>
      <c r="V111" s="459" t="n"/>
      <c r="W111" s="384" t="n"/>
      <c r="X111" s="575" t="inlineStr">
        <is>
          <t>注：表中带*科目为合并会计报表专用；带△科目为金融类企业专用；带#科目为外商投资企业专用</t>
        </is>
      </c>
      <c r="Y111" s="1193" t="n"/>
      <c r="Z111" s="1188" t="n"/>
      <c r="AA111" s="1195" t="n"/>
      <c r="AB111" s="1195" t="n"/>
      <c r="AC111" s="1202" t="n"/>
      <c r="AD111" s="1202" t="n"/>
      <c r="AE111" s="1202" t="n"/>
      <c r="AF111" s="1195" t="n"/>
      <c r="AG111" s="1195" t="n"/>
      <c r="AH111" s="1195" t="n"/>
      <c r="AI111" s="1195" t="n"/>
      <c r="AJ111" s="1195" t="n"/>
      <c r="AK111" s="1195" t="n"/>
      <c r="AL111" s="1195" t="n"/>
      <c r="AM111" s="1195" t="n"/>
      <c r="AN111" s="1195" t="n"/>
      <c r="AO111" s="1195" t="n"/>
      <c r="AP111" s="155" t="n"/>
      <c r="AQ111" s="155" t="n"/>
      <c r="AR111" s="155" t="n"/>
      <c r="AS111" s="155" t="n"/>
      <c r="AT111" s="155" t="n"/>
      <c r="AU111" s="155" t="n"/>
      <c r="AV111" s="155" t="n"/>
      <c r="AW111" s="155" t="n"/>
      <c r="AX111" s="155" t="n"/>
      <c r="AY111" s="384" t="n"/>
      <c r="AZ111" s="384" t="n"/>
      <c r="BA111" s="384" t="n"/>
    </row>
    <row r="112">
      <c r="A112" s="384" t="n"/>
      <c r="B112" s="384" t="n"/>
      <c r="C112" s="384" t="n"/>
      <c r="D112" s="384" t="n"/>
      <c r="E112" s="384" t="n"/>
      <c r="F112" s="384" t="n"/>
      <c r="G112" s="384" t="n"/>
      <c r="H112" s="384" t="n"/>
      <c r="I112" s="384" t="n"/>
      <c r="J112" s="384" t="n"/>
      <c r="K112" s="384" t="n"/>
      <c r="L112" s="384" t="n"/>
      <c r="M112" s="384" t="n"/>
      <c r="N112" s="384" t="n"/>
      <c r="O112" s="384" t="n"/>
      <c r="P112" s="384" t="n"/>
      <c r="Q112" s="384" t="n"/>
      <c r="R112" s="384" t="n"/>
      <c r="S112" s="462" t="n"/>
      <c r="T112" s="384" t="n"/>
      <c r="U112" s="384" t="n"/>
      <c r="V112" s="455" t="n"/>
      <c r="W112" s="384" t="n"/>
      <c r="X112" s="1032" t="inlineStr">
        <is>
          <t>补充资料：</t>
        </is>
      </c>
      <c r="Y112" s="1263">
        <f>"-"</f>
        <v/>
      </c>
      <c r="Z112" s="1264" t="n"/>
      <c r="AA112" s="1265" t="n"/>
      <c r="AB112" s="1265" t="n"/>
      <c r="AC112" s="1266" t="n"/>
      <c r="AD112" s="1266" t="n"/>
      <c r="AE112" s="1266" t="n"/>
      <c r="AF112" s="1265" t="n"/>
      <c r="AG112" s="1265" t="n"/>
      <c r="AH112" s="1265" t="n"/>
      <c r="AI112" s="1265" t="n"/>
      <c r="AJ112" s="1265" t="n"/>
      <c r="AK112" s="1265" t="n"/>
      <c r="AL112" s="1265" t="n"/>
      <c r="AM112" s="1265" t="n"/>
      <c r="AN112" s="1265" t="n"/>
      <c r="AO112" s="1265" t="n"/>
      <c r="AP112" s="1043" t="n"/>
      <c r="AQ112" s="1043" t="n"/>
      <c r="AR112" s="1043" t="n"/>
      <c r="AS112" s="1043" t="n"/>
      <c r="AT112" s="1043" t="n"/>
      <c r="AU112" s="1043" t="n"/>
      <c r="AV112" s="1043" t="n"/>
      <c r="AW112" s="1043" t="n"/>
      <c r="AX112" s="1043" t="n"/>
      <c r="AY112" s="1044" t="n"/>
      <c r="AZ112" s="1044" t="n"/>
      <c r="BA112" s="1044" t="n"/>
    </row>
    <row r="113">
      <c r="A113" s="384" t="n"/>
      <c r="B113" s="384" t="n"/>
      <c r="C113" s="384" t="n"/>
      <c r="D113" s="384" t="n"/>
      <c r="E113" s="384" t="n"/>
      <c r="F113" s="384" t="n"/>
      <c r="G113" s="384" t="n"/>
      <c r="H113" s="384" t="n"/>
      <c r="I113" s="384" t="n"/>
      <c r="J113" s="384" t="n"/>
      <c r="K113" s="384" t="n"/>
      <c r="L113" s="384" t="n"/>
      <c r="M113" s="384" t="n"/>
      <c r="N113" s="384" t="n"/>
      <c r="O113" s="384" t="n"/>
      <c r="P113" s="384" t="n"/>
      <c r="Q113" s="384" t="n"/>
      <c r="R113" s="384" t="n"/>
      <c r="S113" s="462" t="n"/>
      <c r="T113" s="384" t="n"/>
      <c r="U113" s="384" t="n"/>
      <c r="V113" s="455" t="n"/>
      <c r="W113" s="384" t="n"/>
      <c r="X113" s="450" t="inlineStr">
        <is>
          <t>项           目</t>
        </is>
      </c>
      <c r="Y113" s="1185">
        <f>ROW()-47</f>
        <v/>
      </c>
      <c r="Z113" s="1259" t="n"/>
      <c r="AA113" s="1249" t="n"/>
      <c r="AB113" s="1249" t="n"/>
      <c r="AC113" s="1249" t="n"/>
      <c r="AD113" s="1250" t="n"/>
      <c r="AE113" s="1250" t="n"/>
      <c r="AF113" s="1249" t="n"/>
      <c r="AG113" s="1249" t="n"/>
      <c r="AH113" s="1249" t="n"/>
      <c r="AI113" s="1249" t="n"/>
      <c r="AJ113" s="1249" t="n"/>
      <c r="AK113" s="1249" t="n"/>
      <c r="AL113" s="1249" t="n"/>
      <c r="AM113" s="1249" t="n"/>
      <c r="AN113" s="1249" t="n"/>
      <c r="AO113" s="1249" t="n"/>
      <c r="AP113" s="1249" t="n"/>
      <c r="AQ113" s="1252">
        <f>AP113</f>
        <v/>
      </c>
      <c r="AR113" s="1249" t="n"/>
      <c r="AS113" s="1249" t="n"/>
      <c r="AT113" s="1249" t="n"/>
      <c r="AU113" s="1249">
        <f>AT113</f>
        <v/>
      </c>
      <c r="AV113" s="1249" t="n"/>
      <c r="AW113" s="1249" t="n"/>
      <c r="AX113" s="1249" t="n"/>
      <c r="AY113" s="1259">
        <f>AX113</f>
        <v/>
      </c>
      <c r="AZ113" s="1259" t="n"/>
      <c r="BA113" s="1259" t="n"/>
    </row>
    <row r="114">
      <c r="A114" s="384" t="n"/>
      <c r="B114" s="384" t="n"/>
      <c r="C114" s="384" t="n"/>
      <c r="D114" s="384" t="n"/>
      <c r="E114" s="384" t="n"/>
      <c r="F114" s="384" t="n"/>
      <c r="G114" s="384" t="n"/>
      <c r="H114" s="384" t="n"/>
      <c r="I114" s="384" t="n"/>
      <c r="J114" s="384" t="n"/>
      <c r="K114" s="384" t="n"/>
      <c r="L114" s="384" t="n"/>
      <c r="M114" s="384" t="n"/>
      <c r="N114" s="384" t="n"/>
      <c r="O114" s="384" t="n"/>
      <c r="P114" s="384" t="n"/>
      <c r="Q114" s="384" t="n"/>
      <c r="R114" s="384" t="n"/>
      <c r="S114" s="462">
        <f>IF(_epmOfflineCondition_,"   其中：营业收入",EPMMemberDesc(U114))</f>
        <v/>
      </c>
      <c r="T114" s="384" t="n"/>
      <c r="U114" s="716" t="inlineStr">
        <is>
          <t>A0020101</t>
        </is>
      </c>
      <c r="V114" s="699">
        <f>IF(_epmOfflineCondition_,"A0020101",EPMOlapMemberO(U114,"[C_ACCOUNT].[PARENTH1].[A0020101]","A0020101 -    其中：营业收入","","000"))</f>
        <v/>
      </c>
      <c r="W114" s="384" t="n"/>
      <c r="X114" s="463" t="inlineStr">
        <is>
          <t>一、营业收入</t>
        </is>
      </c>
      <c r="Y114" s="1185">
        <f>ROW()-47</f>
        <v/>
      </c>
      <c r="Z114" s="1259">
        <f>IF($I$8="01",AB114,AB114-AA114)</f>
        <v/>
      </c>
      <c r="AA114" s="1249" t="inlineStr"/>
      <c r="AB114" s="1249" t="inlineStr"/>
      <c r="AC114" s="1249">
        <f>IF($I$9="01",AE114,AE114-AD114)</f>
        <v/>
      </c>
      <c r="AD114" s="1250" t="inlineStr"/>
      <c r="AE114" s="1250" t="inlineStr"/>
      <c r="AF114" s="1249">
        <f>Z114-AC114</f>
        <v/>
      </c>
      <c r="AG114" s="1249">
        <f>IF(AC114=0,0,(Z114-AC114)/AC114*100)</f>
        <v/>
      </c>
      <c r="AH114" s="1249">
        <f>IF($I$8="01",AJ114,AJ114-AI114)</f>
        <v/>
      </c>
      <c r="AI114" s="1249" t="inlineStr"/>
      <c r="AJ114" s="1249" t="inlineStr"/>
      <c r="AK114" s="1249">
        <f>Z114-AH114</f>
        <v/>
      </c>
      <c r="AL114" s="1249">
        <f>IF(AH114=0,0,(Z114-AH114)/AH114*100)</f>
        <v/>
      </c>
      <c r="AM114" s="1249" t="inlineStr"/>
      <c r="AN114" s="1249">
        <f>AB114-AM114</f>
        <v/>
      </c>
      <c r="AO114" s="1249">
        <f>IF(AM114=0,0,(AB114-AM114)/AM114*100)</f>
        <v/>
      </c>
      <c r="AP114" s="1252" t="n"/>
      <c r="AQ114" s="1252">
        <f>AP114</f>
        <v/>
      </c>
      <c r="AR114" s="1251">
        <f>Z114-AQ114</f>
        <v/>
      </c>
      <c r="AS114" s="1249">
        <f>IF(AP114=0,0,Z114/AP114*100)</f>
        <v/>
      </c>
      <c r="AT114" s="1252" t="n"/>
      <c r="AU114" s="1249">
        <f>AT114</f>
        <v/>
      </c>
      <c r="AV114" s="1251">
        <f>AB114-AT114</f>
        <v/>
      </c>
      <c r="AW114" s="1249">
        <f>IF(AT114=0,0,AB114/AT114*100)</f>
        <v/>
      </c>
      <c r="AX114" s="1252" t="n"/>
      <c r="AY114" s="1259">
        <f>AX114</f>
        <v/>
      </c>
      <c r="AZ114" s="1260">
        <f>AB114-AX114</f>
        <v/>
      </c>
      <c r="BA114" s="1259">
        <f>IF(AX114=0,0,AB114/AX114*100)</f>
        <v/>
      </c>
    </row>
    <row r="115">
      <c r="A115" s="384" t="n"/>
      <c r="B115" s="384" t="n"/>
      <c r="C115" s="384" t="n"/>
      <c r="D115" s="384" t="n"/>
      <c r="E115" s="384" t="n"/>
      <c r="F115" s="384" t="n"/>
      <c r="G115" s="384" t="n"/>
      <c r="H115" s="384" t="n"/>
      <c r="I115" s="384" t="n"/>
      <c r="J115" s="384" t="n"/>
      <c r="K115" s="384" t="n"/>
      <c r="L115" s="384" t="n"/>
      <c r="M115" s="384" t="n"/>
      <c r="N115" s="384" t="n"/>
      <c r="O115" s="384" t="n"/>
      <c r="P115" s="384" t="n"/>
      <c r="Q115" s="384" t="n"/>
      <c r="R115" s="384" t="n"/>
      <c r="S115" s="462">
        <f>IF(_epmOfflineCondition_,"主营业务收入",EPMMemberDesc(U115))</f>
        <v/>
      </c>
      <c r="T115" s="384" t="n"/>
      <c r="U115" s="716" t="inlineStr">
        <is>
          <t>A6001</t>
        </is>
      </c>
      <c r="V115" s="701">
        <f>IF(_epmOfflineCondition_,"A6001",EPMOlapMemberO(U115,"[C_ACCOUNT].[PARENTH1].[A6001]","A6001 - 主营业务收入","","000"))</f>
        <v/>
      </c>
      <c r="W115" s="384" t="n"/>
      <c r="X115" s="457" t="inlineStr">
        <is>
          <t>主营业务收入</t>
        </is>
      </c>
      <c r="Y115" s="1185">
        <f>ROW()-47</f>
        <v/>
      </c>
      <c r="Z115" s="1259">
        <f>IF($I$8="01",AB115,AB115-AA115)</f>
        <v/>
      </c>
      <c r="AA115" s="1249" t="inlineStr"/>
      <c r="AB115" s="1249" t="inlineStr"/>
      <c r="AC115" s="1249">
        <f>IF($I$9="01",AE115,AE115-AD115)</f>
        <v/>
      </c>
      <c r="AD115" s="1250" t="inlineStr"/>
      <c r="AE115" s="1250" t="inlineStr"/>
      <c r="AF115" s="1249">
        <f>Z115-AC115</f>
        <v/>
      </c>
      <c r="AG115" s="1249">
        <f>IF(AC115=0,0,(Z115-AC115)/AC115*100)</f>
        <v/>
      </c>
      <c r="AH115" s="1249">
        <f>IF($I$8="01",AJ115,AJ115-AI115)</f>
        <v/>
      </c>
      <c r="AI115" s="1249" t="inlineStr"/>
      <c r="AJ115" s="1249" t="inlineStr"/>
      <c r="AK115" s="1249">
        <f>Z115-AH115</f>
        <v/>
      </c>
      <c r="AL115" s="1249">
        <f>IF(AH115=0,0,(Z115-AH115)/AH115*100)</f>
        <v/>
      </c>
      <c r="AM115" s="1249" t="inlineStr"/>
      <c r="AN115" s="1249">
        <f>AB115-AM115</f>
        <v/>
      </c>
      <c r="AO115" s="1249">
        <f>IF(AM115=0,0,(AB115-AM115)/AM115*100)</f>
        <v/>
      </c>
      <c r="AP115" s="1252" t="n"/>
      <c r="AQ115" s="1252">
        <f>AP115</f>
        <v/>
      </c>
      <c r="AR115" s="1251">
        <f>Z115-AQ115</f>
        <v/>
      </c>
      <c r="AS115" s="1249">
        <f>IF(AP115=0,0,Z115/AP115*100)</f>
        <v/>
      </c>
      <c r="AT115" s="1252" t="n"/>
      <c r="AU115" s="1249">
        <f>AT115</f>
        <v/>
      </c>
      <c r="AV115" s="1251">
        <f>AB115-AT115</f>
        <v/>
      </c>
      <c r="AW115" s="1249">
        <f>IF(AT115=0,0,AB115/AT115*100)</f>
        <v/>
      </c>
      <c r="AX115" s="1252" t="n"/>
      <c r="AY115" s="1259">
        <f>AX115</f>
        <v/>
      </c>
      <c r="AZ115" s="1260">
        <f>AB115-AX115</f>
        <v/>
      </c>
      <c r="BA115" s="1259">
        <f>IF(AX115=0,0,AB115/AX115*100)</f>
        <v/>
      </c>
    </row>
    <row r="116">
      <c r="A116" s="384" t="n"/>
      <c r="B116" s="384" t="n"/>
      <c r="C116" s="384" t="n"/>
      <c r="D116" s="384" t="n"/>
      <c r="E116" s="384" t="n"/>
      <c r="F116" s="384" t="n"/>
      <c r="G116" s="384" t="n"/>
      <c r="H116" s="384" t="n"/>
      <c r="I116" s="384" t="n"/>
      <c r="J116" s="384" t="n"/>
      <c r="K116" s="384" t="n"/>
      <c r="L116" s="384" t="n"/>
      <c r="M116" s="384" t="n"/>
      <c r="N116" s="384" t="n"/>
      <c r="O116" s="384" t="n"/>
      <c r="P116" s="384" t="n"/>
      <c r="Q116" s="384" t="n"/>
      <c r="R116" s="384" t="n"/>
      <c r="S116" s="462">
        <f>IF(_epmOfflineCondition_,"其他业务收入",EPMMemberDesc(U116))</f>
        <v/>
      </c>
      <c r="T116" s="384" t="n"/>
      <c r="U116" s="716" t="inlineStr">
        <is>
          <t>A6051</t>
        </is>
      </c>
      <c r="V116" s="701">
        <f>IF(_epmOfflineCondition_,"A6051",EPMOlapMemberO(U116,"[C_ACCOUNT].[PARENTH1].[A6051]","A6051 - 其他业务收入","","000"))</f>
        <v/>
      </c>
      <c r="W116" s="384" t="n"/>
      <c r="X116" s="457" t="inlineStr">
        <is>
          <t>其他业务收入</t>
        </is>
      </c>
      <c r="Y116" s="1185">
        <f>ROW()-47</f>
        <v/>
      </c>
      <c r="Z116" s="1259">
        <f>IF($I$8="01",AB116,AB116-AA116)</f>
        <v/>
      </c>
      <c r="AA116" s="1249" t="n"/>
      <c r="AB116" s="1249" t="n"/>
      <c r="AC116" s="1249">
        <f>IF($I$9="01",AE116,AE116-AD116)</f>
        <v/>
      </c>
      <c r="AD116" s="1250" t="n"/>
      <c r="AE116" s="1250" t="n"/>
      <c r="AF116" s="1249">
        <f>Z116-AC116</f>
        <v/>
      </c>
      <c r="AG116" s="1249">
        <f>IF(AC116=0,0,(Z116-AC116)/AC116*100)</f>
        <v/>
      </c>
      <c r="AH116" s="1249">
        <f>IF($I$8="01",AJ116,AJ116-AI116)</f>
        <v/>
      </c>
      <c r="AI116" s="1249" t="n"/>
      <c r="AJ116" s="1249" t="n"/>
      <c r="AK116" s="1249">
        <f>Z116-AH116</f>
        <v/>
      </c>
      <c r="AL116" s="1249">
        <f>IF(AH116=0,0,(Z116-AH116)/AH116*100)</f>
        <v/>
      </c>
      <c r="AM116" s="1249" t="n"/>
      <c r="AN116" s="1249">
        <f>AB116-AM116</f>
        <v/>
      </c>
      <c r="AO116" s="1249">
        <f>IF(AM116=0,0,(AB116-AM116)/AM116*100)</f>
        <v/>
      </c>
      <c r="AP116" s="1252" t="n"/>
      <c r="AQ116" s="1252">
        <f>AP116</f>
        <v/>
      </c>
      <c r="AR116" s="1251">
        <f>Z116-AQ116</f>
        <v/>
      </c>
      <c r="AS116" s="1249">
        <f>IF(AP116=0,0,Z116/AP116*100)</f>
        <v/>
      </c>
      <c r="AT116" s="1252" t="n"/>
      <c r="AU116" s="1249">
        <f>AT116</f>
        <v/>
      </c>
      <c r="AV116" s="1251">
        <f>AB116-AT116</f>
        <v/>
      </c>
      <c r="AW116" s="1249">
        <f>IF(AT116=0,0,AB116/AT116*100)</f>
        <v/>
      </c>
      <c r="AX116" s="1252" t="n"/>
      <c r="AY116" s="1259">
        <f>AX116</f>
        <v/>
      </c>
      <c r="AZ116" s="1260">
        <f>AB116-AX116</f>
        <v/>
      </c>
      <c r="BA116" s="1259">
        <f>IF(AX116=0,0,AB116/AX116*100)</f>
        <v/>
      </c>
    </row>
    <row r="117">
      <c r="A117" s="384" t="n"/>
      <c r="B117" s="384" t="n"/>
      <c r="C117" s="384" t="n"/>
      <c r="D117" s="384" t="n"/>
      <c r="E117" s="384" t="n"/>
      <c r="F117" s="384" t="n"/>
      <c r="G117" s="384" t="n"/>
      <c r="H117" s="384" t="n"/>
      <c r="I117" s="384" t="n"/>
      <c r="J117" s="384" t="n"/>
      <c r="K117" s="384" t="n"/>
      <c r="L117" s="384" t="n"/>
      <c r="M117" s="384" t="n"/>
      <c r="N117" s="384" t="n"/>
      <c r="O117" s="384" t="n"/>
      <c r="P117" s="384" t="n"/>
      <c r="Q117" s="384" t="n"/>
      <c r="R117" s="384" t="n"/>
      <c r="S117" s="462">
        <f>IF(_epmOfflineCondition_,"   其中：营业成本",EPMMemberDesc(U117))</f>
        <v/>
      </c>
      <c r="T117" s="384" t="n"/>
      <c r="U117" s="716" t="inlineStr">
        <is>
          <t>A0020201</t>
        </is>
      </c>
      <c r="V117" s="699">
        <f>IF(_epmOfflineCondition_,"A0020201",EPMOlapMemberO(U117,"[C_ACCOUNT].[PARENTH1].[A0020201]","A0020201 -    其中：营业成本","","000"))</f>
        <v/>
      </c>
      <c r="W117" s="384" t="n"/>
      <c r="X117" s="463" t="inlineStr">
        <is>
          <t>二、营业成本</t>
        </is>
      </c>
      <c r="Y117" s="1185">
        <f>ROW()-47</f>
        <v/>
      </c>
      <c r="Z117" s="1259">
        <f>IF($I$8="01",AB117,AB117-AA117)</f>
        <v/>
      </c>
      <c r="AA117" s="1249" t="inlineStr"/>
      <c r="AB117" s="1249" t="inlineStr"/>
      <c r="AC117" s="1249">
        <f>IF($I$9="01",AE117,AE117-AD117)</f>
        <v/>
      </c>
      <c r="AD117" s="1250" t="inlineStr"/>
      <c r="AE117" s="1250" t="inlineStr"/>
      <c r="AF117" s="1249">
        <f>Z117-AC117</f>
        <v/>
      </c>
      <c r="AG117" s="1249">
        <f>IF(AC117=0,0,(Z117-AC117)/AC117*100)</f>
        <v/>
      </c>
      <c r="AH117" s="1249">
        <f>IF($I$8="01",AJ117,AJ117-AI117)</f>
        <v/>
      </c>
      <c r="AI117" s="1249" t="n"/>
      <c r="AJ117" s="1249" t="n"/>
      <c r="AK117" s="1249">
        <f>Z117-AH117</f>
        <v/>
      </c>
      <c r="AL117" s="1249">
        <f>IF(AH117=0,0,(Z117-AH117)/AH117*100)</f>
        <v/>
      </c>
      <c r="AM117" s="1249" t="n"/>
      <c r="AN117" s="1249">
        <f>AB117-AM117</f>
        <v/>
      </c>
      <c r="AO117" s="1249">
        <f>IF(AM117=0,0,(AB117-AM117)/AM117*100)</f>
        <v/>
      </c>
      <c r="AP117" s="1252" t="n"/>
      <c r="AQ117" s="1252">
        <f>AP117</f>
        <v/>
      </c>
      <c r="AR117" s="1251">
        <f>Z117-AQ117</f>
        <v/>
      </c>
      <c r="AS117" s="1249">
        <f>IF(AP117=0,0,Z117/AP117*100)</f>
        <v/>
      </c>
      <c r="AT117" s="1252" t="n"/>
      <c r="AU117" s="1249">
        <f>AT117</f>
        <v/>
      </c>
      <c r="AV117" s="1251">
        <f>AB117-AT117</f>
        <v/>
      </c>
      <c r="AW117" s="1249">
        <f>IF(AT117=0,0,AB117/AT117*100)</f>
        <v/>
      </c>
      <c r="AX117" s="1252" t="n"/>
      <c r="AY117" s="1259">
        <f>AX117</f>
        <v/>
      </c>
      <c r="AZ117" s="1260">
        <f>AB117-AX117</f>
        <v/>
      </c>
      <c r="BA117" s="1259">
        <f>IF(AX117=0,0,AB117/AX117*100)</f>
        <v/>
      </c>
    </row>
    <row r="118">
      <c r="A118" s="384" t="n"/>
      <c r="B118" s="384" t="n"/>
      <c r="C118" s="384" t="n"/>
      <c r="D118" s="384" t="n"/>
      <c r="E118" s="384" t="n"/>
      <c r="F118" s="384" t="n"/>
      <c r="G118" s="384" t="n"/>
      <c r="H118" s="384" t="n"/>
      <c r="I118" s="384" t="n"/>
      <c r="J118" s="384" t="n"/>
      <c r="K118" s="384" t="n"/>
      <c r="L118" s="384" t="n"/>
      <c r="M118" s="384" t="n"/>
      <c r="N118" s="384" t="n"/>
      <c r="O118" s="384" t="n"/>
      <c r="P118" s="384" t="n"/>
      <c r="Q118" s="384" t="n"/>
      <c r="R118" s="384" t="n"/>
      <c r="S118" s="462">
        <f>IF(_epmOfflineCondition_,"主营业务成本",EPMMemberDesc(U118))</f>
        <v/>
      </c>
      <c r="T118" s="384" t="n"/>
      <c r="U118" s="716" t="inlineStr">
        <is>
          <t>A6401</t>
        </is>
      </c>
      <c r="V118" s="701">
        <f>IF(_epmOfflineCondition_,"A6401",EPMOlapMemberO(U118,"[C_ACCOUNT].[PARENTH1].[A6401]","A6401 - 主营业务成本","","000"))</f>
        <v/>
      </c>
      <c r="W118" s="384" t="n"/>
      <c r="X118" s="457" t="inlineStr">
        <is>
          <t>主营业务成本</t>
        </is>
      </c>
      <c r="Y118" s="1185">
        <f>ROW()-47</f>
        <v/>
      </c>
      <c r="Z118" s="1259">
        <f>IF($I$8="01",AB118,AB118-AA118)</f>
        <v/>
      </c>
      <c r="AA118" s="1249" t="inlineStr"/>
      <c r="AB118" s="1249" t="inlineStr"/>
      <c r="AC118" s="1249">
        <f>IF($I$9="01",AE118,AE118-AD118)</f>
        <v/>
      </c>
      <c r="AD118" s="1250" t="inlineStr"/>
      <c r="AE118" s="1250" t="inlineStr"/>
      <c r="AF118" s="1249">
        <f>Z118-AC118</f>
        <v/>
      </c>
      <c r="AG118" s="1249">
        <f>IF(AC118=0,0,(Z118-AC118)/AC118*100)</f>
        <v/>
      </c>
      <c r="AH118" s="1249">
        <f>IF($I$8="01",AJ118,AJ118-AI118)</f>
        <v/>
      </c>
      <c r="AI118" s="1249" t="n"/>
      <c r="AJ118" s="1249" t="n"/>
      <c r="AK118" s="1249">
        <f>Z118-AH118</f>
        <v/>
      </c>
      <c r="AL118" s="1249">
        <f>IF(AH118=0,0,(Z118-AH118)/AH118*100)</f>
        <v/>
      </c>
      <c r="AM118" s="1249" t="n"/>
      <c r="AN118" s="1249">
        <f>AB118-AM118</f>
        <v/>
      </c>
      <c r="AO118" s="1249">
        <f>IF(AM118=0,0,(AB118-AM118)/AM118*100)</f>
        <v/>
      </c>
      <c r="AP118" s="1252" t="n"/>
      <c r="AQ118" s="1252">
        <f>AP118</f>
        <v/>
      </c>
      <c r="AR118" s="1251">
        <f>Z118-AQ118</f>
        <v/>
      </c>
      <c r="AS118" s="1249">
        <f>IF(AP118=0,0,Z118/AP118*100)</f>
        <v/>
      </c>
      <c r="AT118" s="1252" t="n"/>
      <c r="AU118" s="1249">
        <f>AT118</f>
        <v/>
      </c>
      <c r="AV118" s="1251">
        <f>AB118-AT118</f>
        <v/>
      </c>
      <c r="AW118" s="1249">
        <f>IF(AT118=0,0,AB118/AT118*100)</f>
        <v/>
      </c>
      <c r="AX118" s="1252" t="n"/>
      <c r="AY118" s="1259">
        <f>AX118</f>
        <v/>
      </c>
      <c r="AZ118" s="1260">
        <f>AB118-AX118</f>
        <v/>
      </c>
      <c r="BA118" s="1259">
        <f>IF(AX118=0,0,AB118/AX118*100)</f>
        <v/>
      </c>
    </row>
    <row r="119">
      <c r="A119" s="384" t="n"/>
      <c r="B119" s="384" t="n"/>
      <c r="C119" s="384" t="n"/>
      <c r="D119" s="384" t="n"/>
      <c r="E119" s="384" t="n"/>
      <c r="F119" s="384" t="n"/>
      <c r="G119" s="384" t="n"/>
      <c r="H119" s="384" t="n"/>
      <c r="I119" s="384" t="n"/>
      <c r="J119" s="384" t="n"/>
      <c r="K119" s="384" t="n"/>
      <c r="L119" s="384" t="n"/>
      <c r="M119" s="384" t="n"/>
      <c r="N119" s="384" t="n"/>
      <c r="O119" s="384" t="n"/>
      <c r="P119" s="384" t="n"/>
      <c r="Q119" s="384" t="n"/>
      <c r="R119" s="384" t="n"/>
      <c r="S119" s="462">
        <f>IF(_epmOfflineCondition_,"其他业务成本",EPMMemberDesc(U119))</f>
        <v/>
      </c>
      <c r="T119" s="384" t="n"/>
      <c r="U119" s="716" t="inlineStr">
        <is>
          <t>A6402</t>
        </is>
      </c>
      <c r="V119" s="701">
        <f>IF(_epmOfflineCondition_,"A6402",EPMOlapMemberO(U119,"[C_ACCOUNT].[PARENTH1].[A6402]","A6402 - 其他业务成本","","000"))</f>
        <v/>
      </c>
      <c r="W119" s="384" t="n"/>
      <c r="X119" s="457" t="inlineStr">
        <is>
          <t>其他业务成本</t>
        </is>
      </c>
      <c r="Y119" s="1185">
        <f>ROW()-47</f>
        <v/>
      </c>
      <c r="Z119" s="1259">
        <f>IF($I$8="01",AB119,AB119-AA119)</f>
        <v/>
      </c>
      <c r="AA119" s="1249" t="n"/>
      <c r="AB119" s="1249" t="n"/>
      <c r="AC119" s="1249">
        <f>IF($I$9="01",AE119,AE119-AD119)</f>
        <v/>
      </c>
      <c r="AD119" s="1250" t="n"/>
      <c r="AE119" s="1250" t="n"/>
      <c r="AF119" s="1249">
        <f>Z119-AC119</f>
        <v/>
      </c>
      <c r="AG119" s="1249">
        <f>IF(AC119=0,0,(Z119-AC119)/AC119*100)</f>
        <v/>
      </c>
      <c r="AH119" s="1249">
        <f>IF($I$8="01",AJ119,AJ119-AI119)</f>
        <v/>
      </c>
      <c r="AI119" s="1249" t="n"/>
      <c r="AJ119" s="1249" t="n"/>
      <c r="AK119" s="1249">
        <f>Z119-AH119</f>
        <v/>
      </c>
      <c r="AL119" s="1249">
        <f>IF(AH119=0,0,(Z119-AH119)/AH119*100)</f>
        <v/>
      </c>
      <c r="AM119" s="1249" t="n"/>
      <c r="AN119" s="1249">
        <f>AB119-AM119</f>
        <v/>
      </c>
      <c r="AO119" s="1249">
        <f>IF(AM119=0,0,(AB119-AM119)/AM119*100)</f>
        <v/>
      </c>
      <c r="AP119" s="1252" t="n"/>
      <c r="AQ119" s="1252">
        <f>AP119</f>
        <v/>
      </c>
      <c r="AR119" s="1251">
        <f>Z119-AQ119</f>
        <v/>
      </c>
      <c r="AS119" s="1249">
        <f>IF(AP119=0,0,Z119/AP119*100)</f>
        <v/>
      </c>
      <c r="AT119" s="1252" t="n"/>
      <c r="AU119" s="1249">
        <f>AT119</f>
        <v/>
      </c>
      <c r="AV119" s="1251">
        <f>AB119-AT119</f>
        <v/>
      </c>
      <c r="AW119" s="1249">
        <f>IF(AT119=0,0,AB119/AT119*100)</f>
        <v/>
      </c>
      <c r="AX119" s="1252" t="n"/>
      <c r="AY119" s="1259">
        <f>AX119</f>
        <v/>
      </c>
      <c r="AZ119" s="1260">
        <f>AB119-AX119</f>
        <v/>
      </c>
      <c r="BA119" s="1259">
        <f>IF(AX119=0,0,AB119/AX119*100)</f>
        <v/>
      </c>
    </row>
    <row r="120">
      <c r="A120" s="384" t="n"/>
      <c r="B120" s="384" t="n"/>
      <c r="C120" s="384" t="n"/>
      <c r="D120" s="384" t="n"/>
      <c r="E120" s="384" t="n"/>
      <c r="F120" s="384" t="n"/>
      <c r="G120" s="384" t="n"/>
      <c r="H120" s="384" t="n"/>
      <c r="I120" s="384" t="n"/>
      <c r="J120" s="384" t="n"/>
      <c r="K120" s="384" t="n"/>
      <c r="L120" s="384" t="n"/>
      <c r="M120" s="384" t="n"/>
      <c r="N120" s="384" t="n"/>
      <c r="O120" s="384" t="n"/>
      <c r="P120" s="384" t="n"/>
      <c r="Q120" s="384" t="n"/>
      <c r="R120" s="384" t="n"/>
      <c r="S120" s="32" t="n"/>
      <c r="T120" s="384" t="n"/>
      <c r="U120" s="384" t="n"/>
      <c r="V120" s="384" t="n"/>
      <c r="W120" s="384" t="n"/>
      <c r="X120" s="38" t="n"/>
      <c r="Y120" s="38" t="n"/>
      <c r="Z120" s="384" t="n"/>
      <c r="AA120" s="384" t="n"/>
      <c r="AB120" s="384" t="n"/>
      <c r="AC120" s="384" t="n"/>
      <c r="AD120" s="384" t="n"/>
      <c r="AE120" s="384" t="n"/>
      <c r="AF120" s="384" t="n"/>
      <c r="AG120" s="384" t="n"/>
      <c r="AH120" s="384" t="n"/>
      <c r="AI120" s="384" t="n"/>
      <c r="AJ120" s="384" t="n"/>
      <c r="AK120" s="384" t="n"/>
      <c r="AL120" s="384" t="n"/>
      <c r="AM120" s="384" t="n"/>
      <c r="AN120" s="384" t="n"/>
      <c r="AO120" s="384" t="n"/>
      <c r="AP120" s="384" t="n"/>
      <c r="AQ120" s="384" t="n"/>
      <c r="AR120" s="384" t="n"/>
      <c r="AS120" s="384" t="n"/>
      <c r="AT120" s="384" t="n"/>
      <c r="AU120" s="384" t="n"/>
      <c r="AV120" s="384" t="n"/>
      <c r="AW120" s="384" t="n"/>
      <c r="AX120" s="384" t="n"/>
      <c r="AY120" s="384" t="n"/>
      <c r="AZ120" s="384" t="n"/>
      <c r="BA120" s="384" t="n"/>
    </row>
  </sheetData>
  <sheetProtection selectLockedCells="0" selectUnlockedCells="0" algorithmName="SHA-512" sheet="1" objects="0" insertRows="1" insertHyperlinks="1" autoFilter="1" scenarios="1" formatColumns="1" deleteColumns="1" insertColumns="1" pivotTables="1" deleteRows="1" formatCells="1" saltValue="AksnZ9mbIDqyRZft7nRcSg==" formatRows="1" sort="1" spinCount="100000" hashValue="F6sDuoikmIg5fwtRZ9GPxnt3vAfLS1+jHaiQK+rLWMPPnmcQ4FzvgkqSQ6pQMkcFAYqBSkpEqXyYaNPSEPZ2hg=="/>
  <mergeCells count="11">
    <mergeCell ref="H2:J2"/>
    <mergeCell ref="D16:E16"/>
    <mergeCell ref="Z38:AB38"/>
    <mergeCell ref="AC38:AG38"/>
    <mergeCell ref="AH38:AL38"/>
    <mergeCell ref="AM38:AO38"/>
    <mergeCell ref="AP38:AS38"/>
    <mergeCell ref="AT38:AW38"/>
    <mergeCell ref="AX38:BA38"/>
    <mergeCell ref="X38:X39"/>
    <mergeCell ref="Y38:Y39"/>
  </mergeCells>
  <dataValidations count="1">
    <dataValidation sqref="Z37" showErrorMessage="1" showInputMessage="1" allowBlank="1" type="list">
      <formula1>"LC,CNY"</formula1>
    </dataValidation>
  </dataValidations>
  <pageMargins left="0.7" right="0.7" top="0.75" bottom="0.75" header="0.3" footer="0.3"/>
  <pageSetup orientation="portrait" paperSize="9"/>
  <drawing xmlns:r="http://schemas.openxmlformats.org/officeDocument/2006/relationships" r:id="rId1"/>
</worksheet>
</file>

<file path=xl/worksheets/sheet9.xml><?xml version="1.0" encoding="utf-8"?>
<worksheet xmlns="http://schemas.openxmlformats.org/spreadsheetml/2006/main">
  <sheetPr codeName="Sheet1">
    <outlinePr summaryBelow="1" summaryRight="1"/>
    <pageSetUpPr/>
  </sheetPr>
  <dimension ref="A1:AS117"/>
  <sheetViews>
    <sheetView showGridLines="0" topLeftCell="W35" zoomScale="85" zoomScaleNormal="85" workbookViewId="0">
      <selection activeCell="Z54" sqref="Z54"/>
    </sheetView>
  </sheetViews>
  <sheetFormatPr baseColWidth="8" defaultColWidth="9" defaultRowHeight="16.8"/>
  <cols>
    <col hidden="1" width="8.25" customWidth="1" style="1181" min="1" max="1"/>
    <col hidden="1" width="15.75" customWidth="1" style="1181" min="2" max="2"/>
    <col hidden="1" width="10.375" customWidth="1" style="1181" min="3" max="3"/>
    <col hidden="1" width="35.75" customWidth="1" style="1181" min="4" max="4"/>
    <col hidden="1" width="7.75" customWidth="1" style="1181" min="5" max="5"/>
    <col hidden="1" width="18" customWidth="1" style="1181" min="6" max="6"/>
    <col hidden="1" width="15.75" customWidth="1" style="1181" min="7" max="7"/>
    <col hidden="1" width="18.625" customWidth="1" style="1181" min="8" max="8"/>
    <col hidden="1" width="14.375" customWidth="1" style="1181" min="9" max="9"/>
    <col hidden="1" width="16.375" customWidth="1" style="1181" min="10" max="10"/>
    <col hidden="1" width="18.25" customWidth="1" style="1181" min="11" max="11"/>
    <col hidden="1" width="7.75" customWidth="1" style="1181" min="12" max="18"/>
    <col hidden="1" width="56.25" customWidth="1" style="32" min="19" max="19"/>
    <col hidden="1" width="2.375" customWidth="1" style="1181" min="20" max="20"/>
    <col hidden="1" width="12.75" customWidth="1" style="1181" min="21" max="21"/>
    <col hidden="1" width="21.75" customWidth="1" style="1181" min="22" max="22"/>
    <col width="1.375" customWidth="1" style="1181" min="23" max="23"/>
    <col width="60.375" customWidth="1" style="38" min="24" max="24"/>
    <col width="6.375" customWidth="1" style="706" min="25" max="25"/>
    <col width="34.25" customWidth="1" style="1181" min="26" max="27"/>
    <col width="21.25" customWidth="1" style="1181" min="28" max="28"/>
    <col width="21.75" customWidth="1" style="1181" min="29" max="29"/>
    <col width="15.75" customWidth="1" style="1237" min="30" max="30"/>
    <col width="25" customWidth="1" style="1181" min="31" max="31"/>
    <col width="29.25" customWidth="1" style="1181" min="32" max="32"/>
    <col width="12.625" customWidth="1" style="1181" min="33" max="33"/>
    <col width="20.375" customWidth="1" style="1181" min="34" max="34"/>
    <col width="30" customWidth="1" style="1181" min="35" max="35"/>
    <col width="16" customWidth="1" style="1181" min="36" max="36"/>
    <col width="20.375" customWidth="1" style="1237" min="37" max="37"/>
    <col width="18.375" customWidth="1" style="1181" min="38" max="38"/>
    <col width="12.25" customWidth="1" style="1181" min="39" max="39"/>
    <col width="20.375" customWidth="1" style="1181" min="40" max="40"/>
    <col width="19.125" customWidth="1" style="1181" min="41" max="41"/>
    <col width="12.25" customWidth="1" style="1181" min="42" max="42"/>
    <col width="20.375" customWidth="1" style="1181" min="43" max="43"/>
    <col width="24.375" customWidth="1" style="1181" min="44" max="44"/>
    <col width="11.75" customWidth="1" style="1181" min="45" max="45"/>
  </cols>
  <sheetData>
    <row r="1" hidden="1" customFormat="1" s="644">
      <c r="A1" s="172" t="inlineStr">
        <is>
          <t>维度清单</t>
        </is>
      </c>
      <c r="B1" s="462" t="n"/>
      <c r="C1" s="173" t="n"/>
      <c r="D1" s="173" t="n"/>
      <c r="E1" s="716" t="n"/>
      <c r="F1" s="13" t="n"/>
      <c r="G1" s="13" t="n"/>
      <c r="H1" s="13" t="n"/>
      <c r="I1" s="13" t="n"/>
      <c r="J1" s="13" t="n"/>
      <c r="K1" s="13" t="n"/>
      <c r="L1" s="13" t="n"/>
      <c r="M1" s="13" t="n"/>
      <c r="N1" s="13" t="n"/>
      <c r="O1" s="13" t="n"/>
      <c r="P1" s="13" t="n"/>
      <c r="Q1" s="13" t="n"/>
      <c r="R1" s="13" t="n"/>
      <c r="S1" s="1103" t="n"/>
      <c r="T1" s="13" t="n"/>
      <c r="U1" s="13" t="n"/>
      <c r="V1" s="13" t="n"/>
      <c r="W1" s="13" t="n"/>
      <c r="X1" s="171" t="n"/>
      <c r="Y1" s="601" t="n"/>
      <c r="Z1" s="13" t="n"/>
      <c r="AA1" s="13" t="n"/>
      <c r="AB1" s="13" t="n"/>
      <c r="AC1" s="13" t="n"/>
      <c r="AD1" s="1238" t="n"/>
      <c r="AE1" s="13" t="n"/>
      <c r="AF1" s="13" t="n"/>
      <c r="AG1" s="13" t="n"/>
      <c r="AH1" s="13" t="n"/>
      <c r="AI1" s="13" t="n"/>
      <c r="AJ1" s="13" t="n"/>
      <c r="AK1" s="1238" t="n"/>
      <c r="AL1" s="13" t="n"/>
      <c r="AM1" s="13" t="n"/>
      <c r="AN1" s="13" t="n"/>
      <c r="AO1" s="13" t="n"/>
      <c r="AP1" s="13" t="n"/>
      <c r="AQ1" s="13" t="n"/>
      <c r="AR1" s="13" t="n"/>
      <c r="AS1" s="13" t="n"/>
    </row>
    <row r="2" hidden="1" customFormat="1" s="644">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103" t="n"/>
      <c r="T2" s="13" t="n"/>
      <c r="U2" s="13" t="n"/>
      <c r="V2" s="13" t="n"/>
      <c r="W2" s="13" t="n"/>
      <c r="X2" s="171" t="n"/>
      <c r="Y2" s="601" t="n"/>
      <c r="Z2" s="13" t="n"/>
      <c r="AA2" s="13" t="n"/>
      <c r="AB2" s="13" t="n"/>
      <c r="AC2" s="13" t="n"/>
      <c r="AD2" s="1238" t="n"/>
      <c r="AE2" s="13" t="n"/>
      <c r="AF2" s="13" t="n"/>
      <c r="AG2" s="13" t="n"/>
      <c r="AH2" s="13" t="n"/>
      <c r="AI2" s="13" t="n"/>
      <c r="AJ2" s="13" t="n"/>
      <c r="AK2" s="1238" t="n"/>
      <c r="AL2" s="13" t="n"/>
      <c r="AM2" s="13" t="n"/>
      <c r="AN2" s="13" t="n"/>
      <c r="AO2" s="13" t="n"/>
      <c r="AP2" s="13" t="n"/>
      <c r="AQ2" s="13" t="n"/>
      <c r="AR2" s="13" t="n"/>
      <c r="AS2" s="13" t="n"/>
    </row>
    <row r="3" hidden="1" customFormat="1" s="644">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103" t="n"/>
      <c r="T3" s="13" t="n"/>
      <c r="U3" s="13" t="n"/>
      <c r="V3" s="13" t="n"/>
      <c r="W3" s="13" t="n"/>
      <c r="X3" s="171" t="n"/>
      <c r="Y3" s="601" t="n"/>
      <c r="Z3" s="13" t="n"/>
      <c r="AA3" s="13" t="n"/>
      <c r="AB3" s="13" t="n"/>
      <c r="AC3" s="13" t="n"/>
      <c r="AD3" s="1238" t="n"/>
      <c r="AE3" s="13" t="n"/>
      <c r="AF3" s="13" t="n"/>
      <c r="AG3" s="13" t="n"/>
      <c r="AH3" s="13" t="n"/>
      <c r="AI3" s="13" t="n"/>
      <c r="AJ3" s="13" t="n"/>
      <c r="AK3" s="1238" t="n"/>
      <c r="AL3" s="13" t="n"/>
      <c r="AM3" s="13" t="n"/>
      <c r="AN3" s="13" t="n"/>
      <c r="AO3" s="13" t="n"/>
      <c r="AP3" s="13" t="n"/>
      <c r="AQ3" s="13" t="n"/>
      <c r="AR3" s="13" t="n"/>
      <c r="AS3" s="13" t="n"/>
    </row>
    <row r="4" hidden="1" customFormat="1" s="644">
      <c r="A4" s="175" t="inlineStr">
        <is>
          <t>C</t>
        </is>
      </c>
      <c r="B4" s="176">
        <f>IF(_epmOfflineCondition_,"C_CATEGORY",EPMDimensionType(,A4))</f>
        <v/>
      </c>
      <c r="C4" s="176">
        <f>IF(_epmOfflineCondition_,"C_ALL",IF(B4="","",EPMContextMember(,B4)))</f>
        <v/>
      </c>
      <c r="D4" s="176">
        <f>IF(_epmOfflineCondition_,"全部类别",EPMMemberDesc(C4))</f>
        <v/>
      </c>
      <c r="E4" s="176" t="n"/>
      <c r="F4" s="13" t="n"/>
      <c r="G4" s="13" t="n"/>
      <c r="H4" s="184" t="inlineStr">
        <is>
          <t>预算年</t>
        </is>
      </c>
      <c r="I4" s="184">
        <f>"V_"&amp;$I$3</f>
        <v/>
      </c>
      <c r="J4" s="184">
        <f>$I$3&amp;".TOTAL"</f>
        <v/>
      </c>
      <c r="K4" s="13" t="n"/>
      <c r="L4" s="13" t="n"/>
      <c r="M4" s="13" t="n"/>
      <c r="N4" s="13" t="n"/>
      <c r="O4" s="13" t="n"/>
      <c r="P4" s="13" t="n"/>
      <c r="Q4" s="13" t="n"/>
      <c r="R4" s="13" t="n"/>
      <c r="S4" s="1103" t="n"/>
      <c r="T4" s="13" t="n"/>
      <c r="U4" s="13" t="n"/>
      <c r="V4" s="13" t="n"/>
      <c r="W4" s="13" t="n"/>
      <c r="X4" s="171" t="n"/>
      <c r="Y4" s="601" t="n"/>
      <c r="Z4" s="13" t="n"/>
      <c r="AA4" s="13" t="n"/>
      <c r="AB4" s="13" t="n"/>
      <c r="AC4" s="13" t="n"/>
      <c r="AD4" s="1238" t="n"/>
      <c r="AE4" s="13" t="n"/>
      <c r="AF4" s="13" t="n"/>
      <c r="AG4" s="13" t="n"/>
      <c r="AH4" s="13" t="n"/>
      <c r="AI4" s="13" t="n"/>
      <c r="AJ4" s="13" t="n"/>
      <c r="AK4" s="1238" t="n"/>
      <c r="AL4" s="13" t="n"/>
      <c r="AM4" s="13" t="n"/>
      <c r="AN4" s="13" t="n"/>
      <c r="AO4" s="13" t="n"/>
      <c r="AP4" s="13" t="n"/>
      <c r="AQ4" s="13" t="n"/>
      <c r="AR4" s="13" t="n"/>
      <c r="AS4" s="13" t="n"/>
    </row>
    <row r="5" hidden="1" customFormat="1" s="644">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13" t="n"/>
      <c r="V5" s="13" t="n"/>
      <c r="W5" s="13" t="n"/>
      <c r="X5" s="171" t="n"/>
      <c r="Y5" s="601" t="n"/>
      <c r="Z5" s="13" t="n"/>
      <c r="AA5" s="13" t="n"/>
      <c r="AB5" s="13" t="n"/>
      <c r="AC5" s="13" t="n"/>
      <c r="AD5" s="1238" t="n"/>
      <c r="AE5" s="13" t="n"/>
      <c r="AF5" s="13" t="n"/>
      <c r="AG5" s="13" t="n"/>
      <c r="AH5" s="13" t="n"/>
      <c r="AI5" s="13" t="n"/>
      <c r="AJ5" s="13" t="n"/>
      <c r="AK5" s="1238" t="n"/>
      <c r="AL5" s="13" t="n"/>
      <c r="AM5" s="13" t="n"/>
      <c r="AN5" s="13" t="n"/>
      <c r="AO5" s="13" t="n"/>
      <c r="AP5" s="13" t="n"/>
      <c r="AQ5" s="13" t="n"/>
      <c r="AR5" s="13" t="n"/>
      <c r="AS5" s="13" t="n"/>
    </row>
    <row r="6" hidden="1" customFormat="1" s="644">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103" t="n"/>
      <c r="T6" s="13" t="n"/>
      <c r="U6" s="13" t="n"/>
      <c r="V6" s="13" t="n"/>
      <c r="W6" s="13" t="n"/>
      <c r="X6" s="171" t="n"/>
      <c r="Y6" s="601" t="n"/>
      <c r="Z6" s="13" t="n"/>
      <c r="AA6" s="13" t="n"/>
      <c r="AB6" s="13" t="n"/>
      <c r="AC6" s="13" t="n"/>
      <c r="AD6" s="1238" t="n"/>
      <c r="AE6" s="13" t="n"/>
      <c r="AF6" s="13" t="n"/>
      <c r="AG6" s="13" t="n"/>
      <c r="AH6" s="13" t="n"/>
      <c r="AI6" s="13" t="n"/>
      <c r="AJ6" s="13" t="n"/>
      <c r="AK6" s="1238" t="n"/>
      <c r="AL6" s="13" t="n"/>
      <c r="AM6" s="13" t="n"/>
      <c r="AN6" s="13" t="n"/>
      <c r="AO6" s="13" t="n"/>
      <c r="AP6" s="13" t="n"/>
      <c r="AQ6" s="13" t="n"/>
      <c r="AR6" s="13" t="n"/>
      <c r="AS6" s="13" t="n"/>
    </row>
    <row r="7" hidden="1" customFormat="1" s="644">
      <c r="A7" s="175" t="inlineStr">
        <is>
          <t>R</t>
        </is>
      </c>
      <c r="B7" s="176">
        <f>IF(_epmOfflineCondition_,"C_RPTCURRENCY",EPMDimensionType(,A7))</f>
        <v/>
      </c>
      <c r="C7" s="176">
        <f>IF(_epmOfflineCondition_,"AUD",IF(B7="","",EPMContextMember(,B7)))</f>
        <v/>
      </c>
      <c r="D7" s="176">
        <f>IF(_epmOfflineCondition_,"澳元",EPMMemberDesc(C7))</f>
        <v/>
      </c>
      <c r="E7" s="176" t="n"/>
      <c r="F7" s="13" t="n"/>
      <c r="G7" s="13" t="n"/>
      <c r="H7" s="13" t="n"/>
      <c r="I7" s="13" t="n"/>
      <c r="J7" s="13" t="n"/>
      <c r="K7" s="13" t="n"/>
      <c r="L7" s="13" t="n"/>
      <c r="M7" s="13" t="n"/>
      <c r="N7" s="13" t="n"/>
      <c r="O7" s="13" t="n"/>
      <c r="P7" s="13" t="n"/>
      <c r="Q7" s="13" t="n"/>
      <c r="R7" s="13" t="n"/>
      <c r="S7" s="1103" t="n"/>
      <c r="T7" s="13" t="n"/>
      <c r="U7" s="13" t="n"/>
      <c r="V7" s="13" t="n"/>
      <c r="W7" s="13" t="n"/>
      <c r="X7" s="171" t="n"/>
      <c r="Y7" s="601" t="n"/>
      <c r="Z7" s="13" t="n"/>
      <c r="AA7" s="13" t="n"/>
      <c r="AB7" s="13" t="n"/>
      <c r="AC7" s="13" t="n"/>
      <c r="AD7" s="1238" t="n"/>
      <c r="AE7" s="13" t="n"/>
      <c r="AF7" s="13" t="n"/>
      <c r="AG7" s="13" t="n"/>
      <c r="AH7" s="13" t="n"/>
      <c r="AI7" s="13" t="n"/>
      <c r="AJ7" s="13" t="n"/>
      <c r="AK7" s="1238" t="n"/>
      <c r="AL7" s="13" t="n"/>
      <c r="AM7" s="13" t="n"/>
      <c r="AN7" s="13" t="n"/>
      <c r="AO7" s="13" t="n"/>
      <c r="AP7" s="13" t="n"/>
      <c r="AQ7" s="13" t="n"/>
      <c r="AR7" s="13" t="n"/>
      <c r="AS7" s="13" t="n"/>
    </row>
    <row r="8" hidden="1" customFormat="1" s="644">
      <c r="A8" s="175" t="inlineStr">
        <is>
          <t>D</t>
        </is>
      </c>
      <c r="B8" s="176">
        <f>IF(_epmOfflineCondition_,"C_AUDITTRAIL",EPMDimensionType(,A8))</f>
        <v/>
      </c>
      <c r="C8" s="176">
        <f>IF(_epmOfflineCondition_,"DTOTAL",IF(B8="","",EPMContextMember(,B8)))</f>
        <v/>
      </c>
      <c r="D8" s="176">
        <f>IF(_epmOfflineCondition_,"全部审计线索",EPMMemberDesc(C8))</f>
        <v/>
      </c>
      <c r="E8" s="176" t="n"/>
      <c r="F8" s="13" t="n"/>
      <c r="G8" s="13" t="n"/>
      <c r="H8" s="184" t="inlineStr">
        <is>
          <t>本月</t>
        </is>
      </c>
      <c r="I8" s="184">
        <f>IF(_epmOfflineCondition_,"03",RIGHT("0"&amp;EPMMemberProperty(,EPMContextMember(,"C_TIME"),"MONTHNUM"),2))</f>
        <v/>
      </c>
      <c r="J8" s="13" t="n"/>
      <c r="K8" s="13" t="n"/>
      <c r="L8" s="13" t="n"/>
      <c r="M8" s="13" t="n"/>
      <c r="N8" s="13" t="n"/>
      <c r="O8" s="13" t="n"/>
      <c r="P8" s="13" t="n"/>
      <c r="Q8" s="13" t="n"/>
      <c r="R8" s="13" t="n"/>
      <c r="S8" s="1103" t="n"/>
      <c r="T8" s="13" t="n"/>
      <c r="U8" s="13" t="n"/>
      <c r="V8" s="13" t="n"/>
      <c r="W8" s="13" t="n"/>
      <c r="X8" s="171" t="n"/>
      <c r="Y8" s="601" t="n"/>
      <c r="Z8" s="13" t="n"/>
      <c r="AA8" s="13" t="n"/>
      <c r="AB8" s="13" t="n"/>
      <c r="AC8" s="13" t="n"/>
      <c r="AD8" s="1238" t="n"/>
      <c r="AE8" s="13" t="n"/>
      <c r="AF8" s="13" t="n"/>
      <c r="AG8" s="13" t="n"/>
      <c r="AH8" s="13" t="n"/>
      <c r="AI8" s="13" t="n"/>
      <c r="AJ8" s="13" t="n"/>
      <c r="AK8" s="1238" t="n"/>
      <c r="AL8" s="13" t="n"/>
      <c r="AM8" s="13" t="n"/>
      <c r="AN8" s="13" t="n"/>
      <c r="AO8" s="13" t="n"/>
      <c r="AP8" s="13" t="n"/>
      <c r="AQ8" s="13" t="n"/>
      <c r="AR8" s="13" t="n"/>
      <c r="AS8" s="13" t="n"/>
    </row>
    <row r="9" hidden="1" customFormat="1" s="644">
      <c r="A9" s="175" t="inlineStr">
        <is>
          <t>S</t>
        </is>
      </c>
      <c r="B9" s="176">
        <f>IF(_epmOfflineCondition_,"C_FLOW",EPMDimensionType(,A9))</f>
        <v/>
      </c>
      <c r="C9" s="176">
        <f>IF(_epmOfflineCondition_,"FTOTAL",IF(B9="","",EPMContextMember(,B9)))</f>
        <v/>
      </c>
      <c r="D9" s="176">
        <f>IF(_epmOfflineCondition_,"全部变动",EPMMemberDesc(C9))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13" t="n"/>
      <c r="V9" s="13" t="n"/>
      <c r="W9" s="13" t="n"/>
      <c r="X9" s="171" t="n"/>
      <c r="Y9" s="601" t="n"/>
      <c r="Z9" s="13" t="n"/>
      <c r="AA9" s="13" t="n"/>
      <c r="AB9" s="13" t="n"/>
      <c r="AC9" s="13" t="n"/>
      <c r="AD9" s="1238" t="n"/>
      <c r="AE9" s="13" t="n"/>
      <c r="AF9" s="13" t="n"/>
      <c r="AG9" s="13" t="n"/>
      <c r="AH9" s="13" t="n"/>
      <c r="AI9" s="13" t="n"/>
      <c r="AJ9" s="13" t="n"/>
      <c r="AK9" s="1238" t="n"/>
      <c r="AL9" s="13" t="n"/>
      <c r="AM9" s="13" t="n"/>
      <c r="AN9" s="13" t="n"/>
      <c r="AO9" s="13" t="n"/>
      <c r="AP9" s="13" t="n"/>
      <c r="AQ9" s="13" t="n"/>
      <c r="AR9" s="13" t="n"/>
      <c r="AS9" s="13" t="n"/>
    </row>
    <row r="10" hidden="1" customFormat="1" s="644">
      <c r="A10" s="175" t="inlineStr">
        <is>
          <t>I</t>
        </is>
      </c>
      <c r="B10" s="176">
        <f>IF(_epmOfflineCondition_,"C_INTERCO",EPMDimensionType(,A10))</f>
        <v/>
      </c>
      <c r="C10" s="176">
        <f>IF(_epmOfflineCondition_,"I_ALL",IF(B10="","",EPMContextMember(,B10)))</f>
        <v/>
      </c>
      <c r="D10" s="176">
        <f>IF(_epmOfflineCondition_,"全部贸易伙伴",EPMMemberDesc(C10))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13" t="n"/>
      <c r="V10" s="13" t="n"/>
      <c r="W10" s="13" t="n"/>
      <c r="X10" s="171" t="n"/>
      <c r="Y10" s="601" t="n"/>
      <c r="Z10" s="13" t="n"/>
      <c r="AA10" s="13" t="n"/>
      <c r="AB10" s="13" t="n"/>
      <c r="AC10" s="13" t="n"/>
      <c r="AD10" s="1238" t="n"/>
      <c r="AE10" s="13" t="n"/>
      <c r="AF10" s="13" t="n"/>
      <c r="AG10" s="13" t="n"/>
      <c r="AH10" s="13" t="n"/>
      <c r="AI10" s="13" t="n"/>
      <c r="AJ10" s="13" t="n"/>
      <c r="AK10" s="1238" t="n"/>
      <c r="AL10" s="13" t="n"/>
      <c r="AM10" s="13" t="n"/>
      <c r="AN10" s="13" t="n"/>
      <c r="AO10" s="13" t="n"/>
      <c r="AP10" s="13" t="n"/>
      <c r="AQ10" s="13" t="n"/>
      <c r="AR10" s="13" t="n"/>
      <c r="AS10" s="13" t="n"/>
    </row>
    <row r="11" hidden="1" customFormat="1" s="644">
      <c r="A11" s="175" t="inlineStr">
        <is>
          <t>G</t>
        </is>
      </c>
      <c r="B11" s="176">
        <f>IF(_epmOfflineCondition_,"C_SCOPE",EPMDimensionType(,A11))</f>
        <v/>
      </c>
      <c r="C11" s="176">
        <f>IF(_epmOfflineCondition_,"G_DUMMY",IF(B11="","",EPMContextMember(,B11)))</f>
        <v/>
      </c>
      <c r="D11" s="176">
        <f>IF(_epmOfflineCondition_,"合并范围无关",EPMMemberDesc(C11))</f>
        <v/>
      </c>
      <c r="E11" s="176">
        <f>IF(OR(RIGHT(C11,1)="P",RIGHT(C11,1)="S"),LEFT(C11,LEN(C11)-1),C11)</f>
        <v/>
      </c>
      <c r="F11" s="13" t="n"/>
      <c r="G11" s="13" t="n"/>
      <c r="H11" s="184" t="inlineStr">
        <is>
          <t xml:space="preserve">本年月 </t>
        </is>
      </c>
      <c r="I11" s="184">
        <f>I3&amp;"."&amp;I8</f>
        <v/>
      </c>
      <c r="J11" s="13" t="n"/>
      <c r="K11" s="13" t="n"/>
      <c r="L11" s="13" t="n"/>
      <c r="M11" s="13" t="n"/>
      <c r="N11" s="13" t="n"/>
      <c r="O11" s="13" t="n"/>
      <c r="P11" s="13" t="n"/>
      <c r="Q11" s="13" t="n"/>
      <c r="R11" s="13" t="n"/>
      <c r="S11" s="1103" t="n"/>
      <c r="T11" s="13" t="n"/>
      <c r="U11" s="13" t="n"/>
      <c r="V11" s="13" t="n"/>
      <c r="W11" s="13" t="n"/>
      <c r="X11" s="171" t="n"/>
      <c r="Y11" s="601" t="n"/>
      <c r="Z11" s="13" t="n"/>
      <c r="AA11" s="13" t="n"/>
      <c r="AB11" s="13" t="n"/>
      <c r="AC11" s="13" t="n"/>
      <c r="AD11" s="1238" t="n"/>
      <c r="AE11" s="13" t="n"/>
      <c r="AF11" s="13" t="n"/>
      <c r="AG11" s="13" t="n"/>
      <c r="AH11" s="13" t="n"/>
      <c r="AI11" s="13" t="n"/>
      <c r="AJ11" s="13" t="n"/>
      <c r="AK11" s="1238" t="n"/>
      <c r="AL11" s="13" t="n"/>
      <c r="AM11" s="13" t="n"/>
      <c r="AN11" s="13" t="n"/>
      <c r="AO11" s="13" t="n"/>
      <c r="AP11" s="13" t="n"/>
      <c r="AQ11" s="13" t="n"/>
      <c r="AR11" s="13" t="n"/>
      <c r="AS11" s="13" t="n"/>
    </row>
    <row r="12" hidden="1" customFormat="1" s="644">
      <c r="A12" s="175" t="inlineStr">
        <is>
          <t>U8</t>
        </is>
      </c>
      <c r="B12" s="176">
        <f>IF(_epmOfflineCondition_,"C_PROJECT",EPMDimensionType(,A12))</f>
        <v/>
      </c>
      <c r="C12" s="176">
        <f>IF(_epmOfflineCondition_,"ZP_ALL",IF(B12="","",EPMContextMember(,B12)))</f>
        <v/>
      </c>
      <c r="D12" s="176">
        <f>IF(_epmOfflineCondition_,"项目合计",EPMMemberDesc(C12))</f>
        <v/>
      </c>
      <c r="E12" s="176" t="n"/>
      <c r="F12" s="13" t="n"/>
      <c r="G12" s="13" t="n"/>
      <c r="H12" s="184" t="inlineStr">
        <is>
          <t>本年上月</t>
        </is>
      </c>
      <c r="I12" s="184">
        <f>IF(I8="01",I10&amp;"."&amp;I9,I3&amp;"."&amp;I9)</f>
        <v/>
      </c>
      <c r="J12" s="13" t="n"/>
      <c r="K12" s="13" t="n"/>
      <c r="L12" s="13" t="n"/>
      <c r="M12" s="13" t="n"/>
      <c r="N12" s="13" t="n"/>
      <c r="O12" s="13" t="n"/>
      <c r="P12" s="13" t="n"/>
      <c r="Q12" s="13" t="n"/>
      <c r="R12" s="13" t="n"/>
      <c r="S12" s="1103" t="n"/>
      <c r="T12" s="13" t="n"/>
      <c r="U12" s="13" t="n"/>
      <c r="V12" s="13" t="n"/>
      <c r="W12" s="13" t="n"/>
      <c r="X12" s="171" t="n"/>
      <c r="Y12" s="601" t="n"/>
      <c r="Z12" s="13" t="n"/>
      <c r="AA12" s="13" t="n"/>
      <c r="AB12" s="13" t="n"/>
      <c r="AC12" s="13" t="n"/>
      <c r="AD12" s="1238" t="n"/>
      <c r="AE12" s="13" t="n"/>
      <c r="AF12" s="13" t="n"/>
      <c r="AG12" s="13" t="n"/>
      <c r="AH12" s="13" t="n"/>
      <c r="AI12" s="13" t="n"/>
      <c r="AJ12" s="13" t="n"/>
      <c r="AK12" s="1238" t="n"/>
      <c r="AL12" s="13" t="n"/>
      <c r="AM12" s="13" t="n"/>
      <c r="AN12" s="13" t="n"/>
      <c r="AO12" s="13" t="n"/>
      <c r="AP12" s="13" t="n"/>
      <c r="AQ12" s="13" t="n"/>
      <c r="AR12" s="13" t="n"/>
      <c r="AS12" s="13" t="n"/>
    </row>
    <row r="13" hidden="1" customFormat="1" s="644">
      <c r="A13" s="175" t="inlineStr">
        <is>
          <t>U9</t>
        </is>
      </c>
      <c r="B13" s="176">
        <f>IF(_epmOfflineCondition_,"C_ITEM",EPMDimensionType(,A13))</f>
        <v/>
      </c>
      <c r="C13" s="176">
        <f>IF(_epmOfflineCondition_,"ZI_ALL",IF(B13="","",EPMContextMember(,B13)))</f>
        <v/>
      </c>
      <c r="D13" s="176">
        <f>IF(_epmOfflineCondition_,"全部ITEM",EPMMemberDesc(C13))</f>
        <v/>
      </c>
      <c r="E13" s="176" t="n"/>
      <c r="F13" s="13" t="n"/>
      <c r="G13" s="13" t="n"/>
      <c r="H13" s="184" t="inlineStr">
        <is>
          <t xml:space="preserve">上年同期 </t>
        </is>
      </c>
      <c r="I13" s="184">
        <f>I10&amp;"."&amp;I8</f>
        <v/>
      </c>
      <c r="J13" s="13" t="n"/>
      <c r="K13" s="13" t="n"/>
      <c r="L13" s="13" t="n"/>
      <c r="M13" s="13" t="n"/>
      <c r="N13" s="13" t="n"/>
      <c r="O13" s="13" t="n"/>
      <c r="P13" s="13" t="n"/>
      <c r="Q13" s="13" t="n"/>
      <c r="R13" s="13" t="n"/>
      <c r="S13" s="1103" t="n"/>
      <c r="T13" s="13" t="n"/>
      <c r="U13" s="13" t="n"/>
      <c r="V13" s="13" t="n"/>
      <c r="W13" s="13" t="n"/>
      <c r="X13" s="171" t="n"/>
      <c r="Y13" s="601" t="n"/>
      <c r="Z13" s="13" t="n"/>
      <c r="AA13" s="13" t="n"/>
      <c r="AB13" s="13" t="n"/>
      <c r="AC13" s="13" t="n"/>
      <c r="AD13" s="1238" t="n"/>
      <c r="AE13" s="13" t="n"/>
      <c r="AF13" s="13" t="n"/>
      <c r="AG13" s="13" t="n"/>
      <c r="AH13" s="13" t="n"/>
      <c r="AI13" s="13" t="n"/>
      <c r="AJ13" s="13" t="n"/>
      <c r="AK13" s="1238" t="n"/>
      <c r="AL13" s="13" t="n"/>
      <c r="AM13" s="13" t="n"/>
      <c r="AN13" s="13" t="n"/>
      <c r="AO13" s="13" t="n"/>
      <c r="AP13" s="13" t="n"/>
      <c r="AQ13" s="13" t="n"/>
      <c r="AR13" s="13" t="n"/>
      <c r="AS13" s="13" t="n"/>
    </row>
    <row r="14" hidden="1" customFormat="1" s="644">
      <c r="A14" s="175" t="inlineStr">
        <is>
          <t>U10</t>
        </is>
      </c>
      <c r="B14" s="176">
        <f>IF(_epmOfflineCondition_,"C_MISK",EPMDimensionType(,A14))</f>
        <v/>
      </c>
      <c r="C14" s="176">
        <f>IF(_epmOfflineCondition_,"ZM_ALL",IF(B14="","",EPMContextMember(,B14)))</f>
        <v/>
      </c>
      <c r="D14" s="176">
        <f>IF(_epmOfflineCondition_,"ALL",EPMMemberDesc(C14))</f>
        <v/>
      </c>
      <c r="E14" s="176" t="n"/>
      <c r="F14" s="13" t="n"/>
      <c r="G14" s="13" t="n"/>
      <c r="H14" s="184" t="inlineStr">
        <is>
          <t>本年上上月</t>
        </is>
      </c>
      <c r="I14" s="184">
        <f>TEXT(EDATE(DATE(LEFT(I11,4),RIGHT(I11,2),1),-2),"yyyy.mm")</f>
        <v/>
      </c>
      <c r="J14" s="13" t="n"/>
      <c r="K14" s="13" t="n"/>
      <c r="L14" s="13" t="n"/>
      <c r="M14" s="13" t="n"/>
      <c r="N14" s="13" t="n"/>
      <c r="O14" s="13" t="n"/>
      <c r="P14" s="13" t="n"/>
      <c r="Q14" s="13" t="n"/>
      <c r="R14" s="13" t="n"/>
      <c r="S14" s="1103" t="n"/>
      <c r="T14" s="13" t="n"/>
      <c r="U14" s="13" t="n"/>
      <c r="V14" s="13" t="n"/>
      <c r="W14" s="13" t="n"/>
      <c r="X14" s="171" t="n"/>
      <c r="Y14" s="601" t="n"/>
      <c r="Z14" s="13" t="n"/>
      <c r="AA14" s="13" t="n"/>
      <c r="AB14" s="13" t="n"/>
      <c r="AC14" s="13" t="n"/>
      <c r="AD14" s="1238" t="n"/>
      <c r="AE14" s="13" t="n"/>
      <c r="AF14" s="13" t="n"/>
      <c r="AG14" s="13" t="n"/>
      <c r="AH14" s="13" t="n"/>
      <c r="AI14" s="13" t="n"/>
      <c r="AJ14" s="13" t="n"/>
      <c r="AK14" s="1238" t="n"/>
      <c r="AL14" s="13" t="n"/>
      <c r="AM14" s="13" t="n"/>
      <c r="AN14" s="13" t="n"/>
      <c r="AO14" s="13" t="n"/>
      <c r="AP14" s="13" t="n"/>
      <c r="AQ14" s="13" t="n"/>
      <c r="AR14" s="13" t="n"/>
      <c r="AS14" s="13" t="n"/>
    </row>
    <row r="15" hidden="1" customFormat="1" s="644">
      <c r="A15" s="13" t="n"/>
      <c r="B15" s="1103" t="n"/>
      <c r="C15" s="1103" t="n"/>
      <c r="D15" s="1103" t="n"/>
      <c r="E15" s="13" t="n"/>
      <c r="F15" s="13" t="n"/>
      <c r="G15" s="13" t="n"/>
      <c r="H15" s="184" t="inlineStr">
        <is>
          <t>本年年底</t>
        </is>
      </c>
      <c r="I15" s="184">
        <f>I3&amp;".12"</f>
        <v/>
      </c>
      <c r="J15" s="13" t="n"/>
      <c r="K15" s="13" t="n"/>
      <c r="L15" s="13" t="n"/>
      <c r="M15" s="13" t="n"/>
      <c r="N15" s="13" t="n"/>
      <c r="O15" s="13" t="n"/>
      <c r="P15" s="13" t="n"/>
      <c r="Q15" s="13" t="n"/>
      <c r="R15" s="13" t="n"/>
      <c r="S15" s="1103" t="n"/>
      <c r="T15" s="13" t="n"/>
      <c r="U15" s="13" t="n"/>
      <c r="V15" s="13" t="n"/>
      <c r="W15" s="13" t="n"/>
      <c r="X15" s="171" t="n"/>
      <c r="Y15" s="601" t="n"/>
      <c r="Z15" s="13" t="n"/>
      <c r="AA15" s="13" t="n"/>
      <c r="AB15" s="13" t="n"/>
      <c r="AC15" s="13" t="n"/>
      <c r="AD15" s="1238" t="n"/>
      <c r="AE15" s="13" t="n"/>
      <c r="AF15" s="13" t="n"/>
      <c r="AG15" s="13" t="n"/>
      <c r="AH15" s="13" t="n"/>
      <c r="AI15" s="13" t="n"/>
      <c r="AJ15" s="13" t="n"/>
      <c r="AK15" s="1238" t="n"/>
      <c r="AL15" s="13" t="n"/>
      <c r="AM15" s="13" t="n"/>
      <c r="AN15" s="13" t="n"/>
      <c r="AO15" s="13" t="n"/>
      <c r="AP15" s="13" t="n"/>
      <c r="AQ15" s="13" t="n"/>
      <c r="AR15" s="13" t="n"/>
      <c r="AS15" s="13" t="n"/>
    </row>
    <row r="16" hidden="1" customFormat="1" s="644">
      <c r="A16" s="13" t="n"/>
      <c r="B16" s="13" t="n"/>
      <c r="C16" s="13" t="n"/>
      <c r="D16" s="174" t="inlineStr">
        <is>
          <t>页轴</t>
        </is>
      </c>
      <c r="E16" s="1183" t="n"/>
      <c r="F16" s="13" t="n"/>
      <c r="G16" s="13" t="n"/>
      <c r="H16" s="13" t="n"/>
      <c r="I16" s="13" t="n"/>
      <c r="J16" s="13" t="n"/>
      <c r="K16" s="13" t="n"/>
      <c r="L16" s="13" t="n"/>
      <c r="M16" s="13" t="n"/>
      <c r="N16" s="13" t="n"/>
      <c r="O16" s="13" t="n"/>
      <c r="P16" s="13" t="n"/>
      <c r="Q16" s="13" t="n"/>
      <c r="R16" s="13" t="n"/>
      <c r="S16" s="1103" t="n"/>
      <c r="T16" s="13" t="n"/>
      <c r="U16" s="13" t="n"/>
      <c r="V16" s="13" t="n"/>
      <c r="W16" s="13" t="n"/>
      <c r="X16" s="171" t="n"/>
      <c r="Y16" s="601" t="n"/>
      <c r="Z16" s="13" t="n"/>
      <c r="AA16" s="13" t="n"/>
      <c r="AB16" s="13" t="n"/>
      <c r="AC16" s="13" t="n"/>
      <c r="AD16" s="1238" t="n"/>
      <c r="AE16" s="13" t="n"/>
      <c r="AF16" s="13" t="n"/>
      <c r="AG16" s="13" t="n"/>
      <c r="AH16" s="13" t="n"/>
      <c r="AI16" s="13" t="n"/>
      <c r="AJ16" s="13" t="n"/>
      <c r="AK16" s="1238" t="n"/>
      <c r="AL16" s="13" t="n"/>
      <c r="AM16" s="13" t="n"/>
      <c r="AN16" s="13" t="n"/>
      <c r="AO16" s="13" t="n"/>
      <c r="AP16" s="13" t="n"/>
      <c r="AQ16" s="13" t="n"/>
      <c r="AR16" s="13" t="n"/>
      <c r="AS16" s="13" t="n"/>
    </row>
    <row r="17" hidden="1" customFormat="1" s="644">
      <c r="A17" s="174" t="inlineStr">
        <is>
          <t>维度类型</t>
        </is>
      </c>
      <c r="B17" s="174" t="inlineStr">
        <is>
          <t>维度</t>
        </is>
      </c>
      <c r="C17" s="178" t="inlineStr">
        <is>
          <t>页轴替换</t>
        </is>
      </c>
      <c r="D17" s="174" t="inlineStr">
        <is>
          <t>报表001</t>
        </is>
      </c>
      <c r="E17" s="174" t="inlineStr">
        <is>
          <t>报表002</t>
        </is>
      </c>
      <c r="F17" s="13" t="n"/>
      <c r="G17" s="13" t="n"/>
      <c r="H17" s="13" t="n"/>
      <c r="I17" s="13" t="n"/>
      <c r="J17" s="13" t="n"/>
      <c r="K17" s="13" t="n"/>
      <c r="L17" s="13" t="n"/>
      <c r="M17" s="13" t="n"/>
      <c r="N17" s="13" t="n"/>
      <c r="O17" s="13" t="n"/>
      <c r="P17" s="13" t="n"/>
      <c r="Q17" s="13" t="n"/>
      <c r="R17" s="13" t="n"/>
      <c r="S17" s="1103" t="n"/>
      <c r="T17" s="13" t="n"/>
      <c r="U17" s="13" t="n"/>
      <c r="V17" s="13" t="n"/>
      <c r="W17" s="13" t="n"/>
      <c r="X17" s="171" t="n"/>
      <c r="Y17" s="601" t="n"/>
      <c r="Z17" s="13" t="n"/>
      <c r="AA17" s="13" t="n"/>
      <c r="AB17" s="13" t="n"/>
      <c r="AC17" s="13" t="n"/>
      <c r="AD17" s="1238" t="n"/>
      <c r="AE17" s="13" t="n"/>
      <c r="AF17" s="13" t="n"/>
      <c r="AG17" s="13" t="n"/>
      <c r="AH17" s="13" t="n"/>
      <c r="AI17" s="13" t="n"/>
      <c r="AJ17" s="13" t="n"/>
      <c r="AK17" s="1238" t="n"/>
      <c r="AL17" s="13" t="n"/>
      <c r="AM17" s="13" t="n"/>
      <c r="AN17" s="13" t="n"/>
      <c r="AO17" s="13" t="n"/>
      <c r="AP17" s="13" t="n"/>
      <c r="AQ17" s="13" t="n"/>
      <c r="AR17" s="13" t="n"/>
      <c r="AS17" s="13" t="n"/>
    </row>
    <row r="18" hidden="1" customFormat="1" s="644">
      <c r="A18" s="175" t="inlineStr">
        <is>
          <t>A</t>
        </is>
      </c>
      <c r="B18" s="176">
        <f>IF(_epmOfflineCondition_,"C_ACCOUNT",EPMDimensionType(,A18))</f>
        <v/>
      </c>
      <c r="C18" s="182" t="inlineStr">
        <is>
          <t>A_NOUSED</t>
        </is>
      </c>
      <c r="D18" s="180" t="n"/>
      <c r="E18" s="13" t="n"/>
      <c r="F18" s="13" t="n"/>
      <c r="G18" s="13" t="n"/>
      <c r="H18" s="13" t="n"/>
      <c r="I18" s="13" t="n"/>
      <c r="J18" s="13" t="n"/>
      <c r="K18" s="13" t="n"/>
      <c r="L18" s="13" t="n"/>
      <c r="M18" s="13" t="n"/>
      <c r="N18" s="13" t="n"/>
      <c r="O18" s="13" t="n"/>
      <c r="P18" s="13" t="n"/>
      <c r="Q18" s="13" t="n"/>
      <c r="R18" s="13" t="n"/>
      <c r="S18" s="1103" t="n"/>
      <c r="T18" s="13" t="n"/>
      <c r="U18" s="13" t="n"/>
      <c r="V18" s="13" t="n"/>
      <c r="W18" s="13" t="n"/>
      <c r="X18" s="171" t="n"/>
      <c r="Y18" s="601" t="n"/>
      <c r="Z18" s="13" t="n"/>
      <c r="AA18" s="13" t="n"/>
      <c r="AB18" s="13" t="n"/>
      <c r="AC18" s="13" t="n"/>
      <c r="AD18" s="1238" t="n"/>
      <c r="AE18" s="13" t="n"/>
      <c r="AF18" s="13" t="n"/>
      <c r="AG18" s="13" t="n"/>
      <c r="AH18" s="13" t="n"/>
      <c r="AI18" s="13" t="n"/>
      <c r="AJ18" s="13" t="n"/>
      <c r="AK18" s="1238" t="n"/>
      <c r="AL18" s="13" t="n"/>
      <c r="AM18" s="13" t="n"/>
      <c r="AN18" s="13" t="n"/>
      <c r="AO18" s="13" t="n"/>
      <c r="AP18" s="13" t="n"/>
      <c r="AQ18" s="13" t="n"/>
      <c r="AR18" s="13" t="n"/>
      <c r="AS18" s="13" t="n"/>
    </row>
    <row r="19" hidden="1" customFormat="1" s="644">
      <c r="A19" s="175" t="inlineStr">
        <is>
          <t>C</t>
        </is>
      </c>
      <c r="B19" s="176">
        <f>IF(_epmOfflineCondition_,"C_CATEGORY",EPMDimensionType(,A19))</f>
        <v/>
      </c>
      <c r="C19" s="182" t="inlineStr">
        <is>
          <t>C_DUMMY</t>
        </is>
      </c>
      <c r="D19" s="180" t="n"/>
      <c r="E19" s="13" t="n"/>
      <c r="F19" s="13" t="n"/>
      <c r="G19" s="13" t="n"/>
      <c r="H19" s="13" t="n"/>
      <c r="I19" s="13" t="n"/>
      <c r="J19" s="13" t="n"/>
      <c r="K19" s="13" t="n"/>
      <c r="L19" s="13" t="n"/>
      <c r="M19" s="13" t="n"/>
      <c r="N19" s="13" t="n"/>
      <c r="O19" s="13" t="n"/>
      <c r="P19" s="13" t="n"/>
      <c r="Q19" s="13" t="n"/>
      <c r="R19" s="13" t="n"/>
      <c r="S19" s="1103" t="n"/>
      <c r="T19" s="13" t="n"/>
      <c r="U19" s="13" t="n"/>
      <c r="V19" s="13" t="n"/>
      <c r="W19" s="13" t="n"/>
      <c r="X19" s="171" t="n"/>
      <c r="Y19" s="601" t="n"/>
      <c r="Z19" s="13" t="n"/>
      <c r="AA19" s="13" t="n"/>
      <c r="AB19" s="13" t="n"/>
      <c r="AC19" s="13" t="n"/>
      <c r="AD19" s="1238" t="n"/>
      <c r="AE19" s="13" t="n"/>
      <c r="AF19" s="13" t="n"/>
      <c r="AG19" s="13" t="n"/>
      <c r="AH19" s="13" t="n"/>
      <c r="AI19" s="13" t="n"/>
      <c r="AJ19" s="13" t="n"/>
      <c r="AK19" s="1238" t="n"/>
      <c r="AL19" s="13" t="n"/>
      <c r="AM19" s="13" t="n"/>
      <c r="AN19" s="13" t="n"/>
      <c r="AO19" s="13" t="n"/>
      <c r="AP19" s="13" t="n"/>
      <c r="AQ19" s="13" t="n"/>
      <c r="AR19" s="13" t="n"/>
      <c r="AS19" s="13" t="n"/>
    </row>
    <row r="20" hidden="1" customFormat="1" s="644">
      <c r="A20" s="175" t="inlineStr">
        <is>
          <t>T</t>
        </is>
      </c>
      <c r="B20" s="176">
        <f>IF(_epmOfflineCondition_,"C_TIME",EPMDimensionType(,A20))</f>
        <v/>
      </c>
      <c r="C20" s="672" t="inlineStr">
        <is>
          <t>T_DUMMY</t>
        </is>
      </c>
      <c r="D20" s="180" t="n"/>
      <c r="E20" s="13" t="n"/>
      <c r="F20" s="384" t="n"/>
      <c r="G20" s="384" t="n"/>
      <c r="H20" s="13" t="n"/>
      <c r="I20" s="13" t="n"/>
      <c r="J20" s="13" t="n"/>
      <c r="K20" s="13" t="n"/>
      <c r="L20" s="13" t="n"/>
      <c r="M20" s="13" t="n"/>
      <c r="N20" s="13" t="n"/>
      <c r="O20" s="13" t="n"/>
      <c r="P20" s="13" t="n"/>
      <c r="Q20" s="13" t="n"/>
      <c r="R20" s="13" t="n"/>
      <c r="S20" s="1103" t="n"/>
      <c r="T20" s="13" t="n"/>
      <c r="U20" s="13" t="n"/>
      <c r="V20" s="13" t="n"/>
      <c r="W20" s="13" t="n"/>
      <c r="X20" s="171" t="n"/>
      <c r="Y20" s="601" t="n"/>
      <c r="Z20" s="384" t="n"/>
      <c r="AA20" s="13" t="n"/>
      <c r="AB20" s="13" t="n"/>
      <c r="AC20" s="13" t="n"/>
      <c r="AD20" s="1238" t="n"/>
      <c r="AE20" s="13" t="n"/>
      <c r="AF20" s="13" t="n"/>
      <c r="AG20" s="13" t="n"/>
      <c r="AH20" s="13" t="n"/>
      <c r="AI20" s="13" t="n"/>
      <c r="AJ20" s="13" t="n"/>
      <c r="AK20" s="1238" t="n"/>
      <c r="AL20" s="13" t="n"/>
      <c r="AM20" s="13" t="n"/>
      <c r="AN20" s="13" t="n"/>
      <c r="AO20" s="13" t="n"/>
      <c r="AP20" s="13" t="n"/>
      <c r="AQ20" s="13" t="n"/>
      <c r="AR20" s="13" t="n"/>
      <c r="AS20" s="13" t="n"/>
    </row>
    <row r="21" hidden="1" customFormat="1" s="644">
      <c r="A21" s="175" t="inlineStr">
        <is>
          <t>E</t>
        </is>
      </c>
      <c r="B21" s="176">
        <f>IF(_epmOfflineCondition_,"C_ENTITY",EPMDimensionType(,A21))</f>
        <v/>
      </c>
      <c r="C21" s="447">
        <f>IF(_epmOfflineCondition_,"E100787",IF(B21="","",EPMContextMember(,B21)))</f>
        <v/>
      </c>
      <c r="D21" s="390">
        <f>IF(_epmOfflineCondition_,"内蒙古京能苏尼特风力发电有限公司（内蒙古分公司）",EPMOlapMemberO(D6,"[C_ENTITY].[PARENTH1].[E100787]","E100787 - 内蒙古京能苏尼特风力发电有限公司（内蒙古分公司）","","000"))</f>
        <v/>
      </c>
      <c r="E21" s="13" t="n"/>
      <c r="F21" s="384" t="n"/>
      <c r="G21" s="384" t="n"/>
      <c r="H21" s="13" t="n"/>
      <c r="I21" s="13" t="n"/>
      <c r="J21" s="13" t="n"/>
      <c r="K21" s="13" t="n"/>
      <c r="L21" s="13" t="n"/>
      <c r="M21" s="13" t="n"/>
      <c r="N21" s="13" t="n"/>
      <c r="O21" s="13" t="n"/>
      <c r="P21" s="13" t="n"/>
      <c r="Q21" s="13" t="n"/>
      <c r="R21" s="13" t="n"/>
      <c r="S21" s="1103" t="n"/>
      <c r="T21" s="13" t="n"/>
      <c r="U21" s="13" t="n"/>
      <c r="V21" s="13" t="n"/>
      <c r="W21" s="13" t="n"/>
      <c r="X21" s="171" t="n"/>
      <c r="Y21" s="601" t="n"/>
      <c r="Z21" s="384" t="n"/>
      <c r="AA21" s="13" t="n"/>
      <c r="AB21" s="13" t="n"/>
      <c r="AC21" s="13" t="n"/>
      <c r="AD21" s="1238" t="n"/>
      <c r="AE21" s="13" t="n"/>
      <c r="AF21" s="13" t="n"/>
      <c r="AG21" s="13" t="n"/>
      <c r="AH21" s="13" t="n"/>
      <c r="AI21" s="13" t="n"/>
      <c r="AJ21" s="13" t="n"/>
      <c r="AK21" s="1238" t="n"/>
      <c r="AL21" s="13" t="n"/>
      <c r="AM21" s="13" t="n"/>
      <c r="AN21" s="13" t="n"/>
      <c r="AO21" s="13" t="n"/>
      <c r="AP21" s="13" t="n"/>
      <c r="AQ21" s="13" t="n"/>
      <c r="AR21" s="13" t="n"/>
      <c r="AS21" s="13" t="n"/>
    </row>
    <row r="22" hidden="1" customFormat="1" s="644">
      <c r="A22" s="175" t="inlineStr">
        <is>
          <t>R</t>
        </is>
      </c>
      <c r="B22" s="176">
        <f>IF(_epmOfflineCondition_,"C_RPTCURRENCY",EPMDimensionType(,A22))</f>
        <v/>
      </c>
      <c r="C22" s="182">
        <f>Z37</f>
        <v/>
      </c>
      <c r="D22" s="998">
        <f>Z37</f>
        <v/>
      </c>
      <c r="E22" s="13" t="n"/>
      <c r="F22" s="384" t="n"/>
      <c r="G22" s="384" t="n"/>
      <c r="H22" s="13" t="n"/>
      <c r="I22" s="13" t="n"/>
      <c r="J22" s="13" t="n"/>
      <c r="K22" s="13" t="n"/>
      <c r="L22" s="13" t="n"/>
      <c r="M22" s="13" t="n"/>
      <c r="N22" s="13" t="n"/>
      <c r="O22" s="13" t="n"/>
      <c r="P22" s="13" t="n"/>
      <c r="Q22" s="13" t="n"/>
      <c r="R22" s="13" t="n"/>
      <c r="S22" s="1103" t="n"/>
      <c r="T22" s="13" t="n"/>
      <c r="U22" s="13" t="n"/>
      <c r="V22" s="13" t="n"/>
      <c r="W22" s="13" t="n"/>
      <c r="X22" s="171" t="n"/>
      <c r="Y22" s="601" t="n"/>
      <c r="Z22" s="384" t="n"/>
      <c r="AA22" s="13" t="n"/>
      <c r="AB22" s="13" t="n"/>
      <c r="AC22" s="13" t="n"/>
      <c r="AD22" s="1238" t="n"/>
      <c r="AE22" s="13" t="n"/>
      <c r="AF22" s="13" t="n"/>
      <c r="AG22" s="13" t="n"/>
      <c r="AH22" s="13" t="n"/>
      <c r="AI22" s="13" t="n"/>
      <c r="AJ22" s="13" t="n"/>
      <c r="AK22" s="1238" t="n"/>
      <c r="AL22" s="13" t="n"/>
      <c r="AM22" s="13" t="n"/>
      <c r="AN22" s="13" t="n"/>
      <c r="AO22" s="13" t="n"/>
      <c r="AP22" s="13" t="n"/>
      <c r="AQ22" s="13" t="n"/>
      <c r="AR22" s="13" t="n"/>
      <c r="AS22" s="13" t="n"/>
    </row>
    <row r="23" hidden="1" customFormat="1" s="644">
      <c r="A23" s="175" t="inlineStr">
        <is>
          <t>D</t>
        </is>
      </c>
      <c r="B23" s="176">
        <f>IF(_epmOfflineCondition_,"C_AUDITTRAIL",EPMDimensionType(,A23))</f>
        <v/>
      </c>
      <c r="C23" s="447">
        <f>IF(_epmOfflineCondition_,"DTOTAL",IF(B23="","",EPMContextMember(,B23)))</f>
        <v/>
      </c>
      <c r="D23" s="390" t="n"/>
      <c r="E23" s="13" t="n"/>
      <c r="F23" s="384" t="n"/>
      <c r="G23" s="384" t="n"/>
      <c r="H23" s="13" t="n"/>
      <c r="I23" s="13" t="n"/>
      <c r="J23" s="13" t="n"/>
      <c r="K23" s="13" t="n"/>
      <c r="L23" s="13" t="n"/>
      <c r="M23" s="13" t="n"/>
      <c r="N23" s="13" t="n"/>
      <c r="O23" s="13" t="n"/>
      <c r="P23" s="13" t="n"/>
      <c r="Q23" s="13" t="n"/>
      <c r="R23" s="13" t="n"/>
      <c r="S23" s="1103" t="n"/>
      <c r="T23" s="13" t="n"/>
      <c r="U23" s="13" t="n"/>
      <c r="V23" s="13" t="n"/>
      <c r="W23" s="13" t="n"/>
      <c r="X23" s="171" t="n"/>
      <c r="Y23" s="601" t="n"/>
      <c r="Z23" s="384" t="n"/>
      <c r="AA23" s="13" t="n"/>
      <c r="AB23" s="13" t="n"/>
      <c r="AC23" s="13" t="n"/>
      <c r="AD23" s="1238" t="n"/>
      <c r="AE23" s="13" t="n"/>
      <c r="AF23" s="13" t="n"/>
      <c r="AG23" s="13" t="n"/>
      <c r="AH23" s="13" t="n"/>
      <c r="AI23" s="13" t="n"/>
      <c r="AJ23" s="13" t="n"/>
      <c r="AK23" s="1238" t="n"/>
      <c r="AL23" s="13" t="n"/>
      <c r="AM23" s="13" t="n"/>
      <c r="AN23" s="13" t="n"/>
      <c r="AO23" s="13" t="n"/>
      <c r="AP23" s="13" t="n"/>
      <c r="AQ23" s="13" t="n"/>
      <c r="AR23" s="13" t="n"/>
      <c r="AS23" s="13" t="n"/>
    </row>
    <row r="24" hidden="1" customFormat="1" s="644">
      <c r="A24" s="175" t="inlineStr">
        <is>
          <t>S</t>
        </is>
      </c>
      <c r="B24" s="176">
        <f>IF(_epmOfflineCondition_,"C_FLOW",EPMDimensionType(,A24))</f>
        <v/>
      </c>
      <c r="C24" s="176">
        <f>IF(_epmOfflineCondition_,"FTOTAL",IF(B24="","",EPMContextMember(,B24)))</f>
        <v/>
      </c>
      <c r="D24" s="390" t="n"/>
      <c r="E24" s="13" t="n"/>
      <c r="F24" s="384" t="n"/>
      <c r="G24" s="384" t="n"/>
      <c r="H24" s="13" t="n"/>
      <c r="I24" s="13" t="n"/>
      <c r="J24" s="13" t="n"/>
      <c r="K24" s="13" t="n"/>
      <c r="L24" s="13" t="n"/>
      <c r="M24" s="13" t="n"/>
      <c r="N24" s="13" t="n"/>
      <c r="O24" s="13" t="n"/>
      <c r="P24" s="13" t="n"/>
      <c r="Q24" s="13" t="n"/>
      <c r="R24" s="13" t="n"/>
      <c r="S24" s="1103" t="n"/>
      <c r="T24" s="13" t="n"/>
      <c r="U24" s="13" t="n"/>
      <c r="V24" s="13" t="n"/>
      <c r="W24" s="13" t="n"/>
      <c r="X24" s="171" t="n"/>
      <c r="Y24" s="601" t="n"/>
      <c r="Z24" s="384" t="n"/>
      <c r="AA24" s="13" t="n"/>
      <c r="AB24" s="13" t="n"/>
      <c r="AC24" s="13" t="n"/>
      <c r="AD24" s="1238" t="n"/>
      <c r="AE24" s="13" t="n"/>
      <c r="AF24" s="13" t="n"/>
      <c r="AG24" s="13" t="n"/>
      <c r="AH24" s="13" t="n"/>
      <c r="AI24" s="13" t="n"/>
      <c r="AJ24" s="13" t="n"/>
      <c r="AK24" s="1238" t="n"/>
      <c r="AL24" s="13" t="n"/>
      <c r="AM24" s="13" t="n"/>
      <c r="AN24" s="13" t="n"/>
      <c r="AO24" s="13" t="n"/>
      <c r="AP24" s="13" t="n"/>
      <c r="AQ24" s="13" t="n"/>
      <c r="AR24" s="13" t="n"/>
      <c r="AS24" s="13" t="n"/>
    </row>
    <row r="25" hidden="1" customFormat="1" s="644">
      <c r="A25" s="175" t="inlineStr">
        <is>
          <t>I</t>
        </is>
      </c>
      <c r="B25" s="176">
        <f>IF(_epmOfflineCondition_,"C_INTERCO",EPMDimensionType(,A25))</f>
        <v/>
      </c>
      <c r="C25" s="176" t="inlineStr">
        <is>
          <t>I_ALL</t>
        </is>
      </c>
      <c r="D25" s="390">
        <f>IF(_epmOfflineCondition_,"I_ALL",EPMOlapMemberO(C25,"[C_INTERCO].[PARENTH1].[I_ALL]","I_ALL - 全部贸易伙伴","","000"))</f>
        <v/>
      </c>
      <c r="E25" s="13" t="n"/>
      <c r="F25" s="384" t="n"/>
      <c r="G25" s="384" t="n"/>
      <c r="H25" s="13" t="n"/>
      <c r="I25" s="13" t="n"/>
      <c r="J25" s="13" t="n"/>
      <c r="K25" s="13" t="n"/>
      <c r="L25" s="13" t="n"/>
      <c r="M25" s="13" t="n"/>
      <c r="N25" s="13" t="n"/>
      <c r="O25" s="13" t="n"/>
      <c r="P25" s="13" t="n"/>
      <c r="Q25" s="13" t="n"/>
      <c r="R25" s="13" t="n"/>
      <c r="S25" s="1103" t="n"/>
      <c r="T25" s="13" t="n"/>
      <c r="U25" s="13" t="n"/>
      <c r="V25" s="13" t="n"/>
      <c r="W25" s="13" t="n"/>
      <c r="X25" s="171" t="n"/>
      <c r="Y25" s="601" t="n"/>
      <c r="Z25" s="178" t="inlineStr">
        <is>
          <t>CATEGORY</t>
        </is>
      </c>
      <c r="AA25" s="178" t="inlineStr">
        <is>
          <t>C1001</t>
        </is>
      </c>
      <c r="AB25" s="178" t="inlineStr">
        <is>
          <t>C1001</t>
        </is>
      </c>
      <c r="AC25" s="178">
        <f>$C$4</f>
        <v/>
      </c>
      <c r="AD25" s="1240">
        <f>$C$4</f>
        <v/>
      </c>
      <c r="AE25" s="178">
        <f>$C$4</f>
        <v/>
      </c>
      <c r="AF25" s="13" t="n"/>
      <c r="AG25" s="384" t="n"/>
      <c r="AH25" s="178" t="inlineStr">
        <is>
          <t>C3003</t>
        </is>
      </c>
      <c r="AI25" s="13" t="n"/>
      <c r="AJ25" s="13" t="n"/>
      <c r="AK25" s="1238" t="n"/>
      <c r="AL25" s="13" t="n"/>
      <c r="AM25" s="13" t="n"/>
      <c r="AN25" s="13" t="n"/>
      <c r="AO25" s="13" t="n"/>
      <c r="AP25" s="13" t="n"/>
      <c r="AQ25" s="178" t="inlineStr">
        <is>
          <t>C3002</t>
        </is>
      </c>
      <c r="AR25" s="13" t="n"/>
      <c r="AS25" s="13" t="n"/>
    </row>
    <row r="26" hidden="1" customFormat="1" s="644">
      <c r="A26" s="175" t="inlineStr">
        <is>
          <t>G</t>
        </is>
      </c>
      <c r="B26" s="176">
        <f>IF(_epmOfflineCondition_,"C_SCOPE",EPMDimensionType(,A26))</f>
        <v/>
      </c>
      <c r="C26" s="182" t="inlineStr">
        <is>
          <t>G_DUMMY</t>
        </is>
      </c>
      <c r="D26" s="390">
        <f>IF(_epmOfflineCondition_,"合并范围无关",EPMOlapMemberO(D11,"[C_SCOPE].[PARENTH1].[G_DUMMY]","G_DUMMY - 合并范围无关","","000"))</f>
        <v/>
      </c>
      <c r="E26" s="13" t="n"/>
      <c r="F26" s="384" t="n"/>
      <c r="G26" s="384" t="n"/>
      <c r="H26" s="13" t="n"/>
      <c r="I26" s="13" t="n"/>
      <c r="J26" s="13" t="n"/>
      <c r="K26" s="13" t="n"/>
      <c r="L26" s="13" t="n"/>
      <c r="M26" s="13" t="n"/>
      <c r="N26" s="13" t="n"/>
      <c r="O26" s="13" t="n"/>
      <c r="P26" s="13" t="n"/>
      <c r="Q26" s="13" t="n"/>
      <c r="R26" s="13" t="n"/>
      <c r="S26" s="1103" t="n"/>
      <c r="T26" s="13" t="n"/>
      <c r="U26" s="13" t="n"/>
      <c r="V26" s="13" t="n"/>
      <c r="W26" s="13" t="n"/>
      <c r="X26" s="171" t="n"/>
      <c r="Y26" s="601" t="n"/>
      <c r="Z26" s="464" t="inlineStr">
        <is>
          <t>TIME</t>
        </is>
      </c>
      <c r="AA26" s="464">
        <f>$I$11</f>
        <v/>
      </c>
      <c r="AB26" s="464">
        <f>$I$11</f>
        <v/>
      </c>
      <c r="AC26" s="464">
        <f>$I$11</f>
        <v/>
      </c>
      <c r="AD26" s="1240">
        <f>$J$4</f>
        <v/>
      </c>
      <c r="AE26" s="200">
        <f>$I$13</f>
        <v/>
      </c>
      <c r="AF26" s="13" t="n"/>
      <c r="AG26" s="384" t="n"/>
      <c r="AH26" s="464">
        <f>$I$11</f>
        <v/>
      </c>
      <c r="AI26" s="13" t="n"/>
      <c r="AJ26" s="13" t="n"/>
      <c r="AK26" s="1238" t="n"/>
      <c r="AL26" s="13" t="n"/>
      <c r="AM26" s="13" t="n"/>
      <c r="AN26" s="13" t="n"/>
      <c r="AO26" s="13" t="n"/>
      <c r="AP26" s="13" t="n"/>
      <c r="AQ26" s="464">
        <f>$I$11</f>
        <v/>
      </c>
      <c r="AR26" s="13" t="n"/>
      <c r="AS26" s="13" t="n"/>
    </row>
    <row r="27" hidden="1" customFormat="1" s="644">
      <c r="A27" s="175" t="inlineStr">
        <is>
          <t>U8</t>
        </is>
      </c>
      <c r="B27" s="176">
        <f>IF(_epmOfflineCondition_,"C_PROJECT",EPMDimensionType(,A27))</f>
        <v/>
      </c>
      <c r="C27" s="180" t="inlineStr">
        <is>
          <t>ZP_ALL</t>
        </is>
      </c>
      <c r="D27" s="390">
        <f>IF(_epmOfflineCondition_,"ZP_ALL - 项目合计",EPMOlapMemberO("[C_PROJECT].[PARENTH1].[ZP_ALL]","","ZP_ALL - 项目合计","","000"))</f>
        <v/>
      </c>
      <c r="E27" s="13" t="n"/>
      <c r="F27" s="384" t="n"/>
      <c r="G27" s="384" t="n"/>
      <c r="H27" s="13" t="n"/>
      <c r="I27" s="13" t="n"/>
      <c r="J27" s="13" t="n"/>
      <c r="K27" s="13" t="n"/>
      <c r="L27" s="13" t="n"/>
      <c r="M27" s="13" t="n"/>
      <c r="N27" s="13" t="n"/>
      <c r="O27" s="13" t="n"/>
      <c r="P27" s="13" t="n"/>
      <c r="Q27" s="13" t="n"/>
      <c r="R27" s="13" t="n"/>
      <c r="S27" s="1103" t="n"/>
      <c r="T27" s="13" t="n"/>
      <c r="U27" s="13" t="n"/>
      <c r="V27" s="13" t="n"/>
      <c r="W27" s="13" t="n"/>
      <c r="X27" s="171" t="n"/>
      <c r="Y27" s="601" t="n"/>
      <c r="Z27" s="200" t="inlineStr">
        <is>
          <t>MEASURES</t>
        </is>
      </c>
      <c r="AA27" s="200" t="inlineStr">
        <is>
          <t>YTD</t>
        </is>
      </c>
      <c r="AB27" s="200" t="inlineStr">
        <is>
          <t>YTD</t>
        </is>
      </c>
      <c r="AC27" s="200" t="inlineStr">
        <is>
          <t>Periodic</t>
        </is>
      </c>
      <c r="AD27" s="1242" t="inlineStr">
        <is>
          <t>Periodic</t>
        </is>
      </c>
      <c r="AE27" s="200" t="inlineStr">
        <is>
          <t>Periodic</t>
        </is>
      </c>
      <c r="AF27" s="200" t="n"/>
      <c r="AG27" s="200" t="n"/>
      <c r="AH27" s="200" t="inlineStr">
        <is>
          <t>Periodic</t>
        </is>
      </c>
      <c r="AI27" s="200" t="inlineStr">
        <is>
          <t>YTD</t>
        </is>
      </c>
      <c r="AJ27" s="200" t="n"/>
      <c r="AK27" s="1238" t="n"/>
      <c r="AL27" s="13" t="n"/>
      <c r="AM27" s="13" t="n"/>
      <c r="AN27" s="13" t="n"/>
      <c r="AO27" s="13" t="n"/>
      <c r="AP27" s="13" t="n"/>
      <c r="AQ27" s="200" t="inlineStr">
        <is>
          <t>YTD</t>
        </is>
      </c>
      <c r="AR27" s="13" t="n"/>
      <c r="AS27" s="13" t="n"/>
    </row>
    <row r="28" hidden="1" customFormat="1" s="644">
      <c r="A28" s="175" t="inlineStr">
        <is>
          <t>U9</t>
        </is>
      </c>
      <c r="B28" s="176">
        <f>IF(_epmOfflineCondition_,"C_ITEM",EPMDimensionType(,A28))</f>
        <v/>
      </c>
      <c r="C28" s="180" t="inlineStr">
        <is>
          <t>ZT_ALL</t>
        </is>
      </c>
      <c r="D28" s="390">
        <f>IF(_epmOfflineCondition_,"ZI_ALL - 全部ITEM",EPMOlapMemberO("[C_ITEM].[PARENTH1].[ZI_ALL]","","ZI_ALL - 全部ITEM","","000"))</f>
        <v/>
      </c>
      <c r="E28" s="13" t="n"/>
      <c r="F28" s="384" t="n"/>
      <c r="G28" s="384" t="n"/>
      <c r="H28" s="13" t="n"/>
      <c r="I28" s="13" t="n"/>
      <c r="J28" s="13" t="n"/>
      <c r="K28" s="13" t="n"/>
      <c r="L28" s="13" t="n"/>
      <c r="M28" s="13" t="n"/>
      <c r="N28" s="13" t="n"/>
      <c r="O28" s="13" t="n"/>
      <c r="P28" s="13" t="n"/>
      <c r="Q28" s="13" t="n"/>
      <c r="R28" s="13" t="n"/>
      <c r="S28" s="1103" t="n"/>
      <c r="T28" s="13" t="n"/>
      <c r="U28" s="13" t="n"/>
      <c r="V28" s="13" t="n"/>
      <c r="W28" s="13" t="n"/>
      <c r="X28" s="171" t="n"/>
      <c r="Y28" s="601" t="n"/>
      <c r="Z28" s="200" t="inlineStr">
        <is>
          <t>FLOW</t>
        </is>
      </c>
      <c r="AA28" s="200" t="inlineStr">
        <is>
          <t>F20</t>
        </is>
      </c>
      <c r="AB28" s="200" t="inlineStr">
        <is>
          <t>F20</t>
        </is>
      </c>
      <c r="AC28" s="200" t="inlineStr">
        <is>
          <t>F20</t>
        </is>
      </c>
      <c r="AD28" s="1242" t="inlineStr">
        <is>
          <t>F99</t>
        </is>
      </c>
      <c r="AE28" s="200" t="inlineStr">
        <is>
          <t>FEND</t>
        </is>
      </c>
      <c r="AF28" s="200" t="inlineStr">
        <is>
          <t>FMOV</t>
        </is>
      </c>
      <c r="AG28" s="200" t="inlineStr">
        <is>
          <t>FEND</t>
        </is>
      </c>
      <c r="AH28" s="200" t="inlineStr">
        <is>
          <t>F20</t>
        </is>
      </c>
      <c r="AI28" s="13" t="n"/>
      <c r="AJ28" s="13" t="n"/>
      <c r="AK28" s="1238" t="n"/>
      <c r="AL28" s="13" t="n"/>
      <c r="AM28" s="13" t="n"/>
      <c r="AN28" s="13" t="n"/>
      <c r="AO28" s="13" t="n"/>
      <c r="AP28" s="13" t="n"/>
      <c r="AQ28" s="200" t="inlineStr">
        <is>
          <t>FMOV</t>
        </is>
      </c>
      <c r="AR28" s="13" t="n"/>
      <c r="AS28" s="13" t="n"/>
    </row>
    <row r="29" hidden="1" customFormat="1" s="644">
      <c r="A29" s="175" t="inlineStr">
        <is>
          <t>U10</t>
        </is>
      </c>
      <c r="B29" s="176">
        <f>IF(_epmOfflineCondition_,"C_MISK",EPMDimensionType(,A29))</f>
        <v/>
      </c>
      <c r="C29" s="449" t="inlineStr">
        <is>
          <t>ZM_ALL</t>
        </is>
      </c>
      <c r="D29" s="390">
        <f>IF(_epmOfflineCondition_,"ZM_ALL - ALL",EPMOlapMemberO("[C_MISK].[PARENTH1].[ZM_ALL]","","ZM_ALL - ALL","","000"))</f>
        <v/>
      </c>
      <c r="E29" s="13" t="n"/>
      <c r="F29" s="384" t="n"/>
      <c r="G29" s="384" t="n"/>
      <c r="H29" s="13" t="n"/>
      <c r="I29" s="13" t="n"/>
      <c r="J29" s="13" t="n"/>
      <c r="K29" s="13" t="n"/>
      <c r="L29" s="13" t="n"/>
      <c r="M29" s="13" t="n"/>
      <c r="N29" s="13" t="n"/>
      <c r="O29" s="13" t="n"/>
      <c r="P29" s="13" t="n"/>
      <c r="Q29" s="13" t="n"/>
      <c r="R29" s="13" t="n"/>
      <c r="S29" s="1103" t="n"/>
      <c r="T29" s="13" t="n"/>
      <c r="U29" s="13" t="n"/>
      <c r="V29" s="13" t="n"/>
      <c r="W29" s="13" t="n"/>
      <c r="X29" s="171" t="n"/>
      <c r="Y29" s="601" t="n"/>
      <c r="Z29" s="200" t="inlineStr">
        <is>
          <t>AUDITTRAIL</t>
        </is>
      </c>
      <c r="AA29" s="200" t="inlineStr">
        <is>
          <t>DALL</t>
        </is>
      </c>
      <c r="AB29" s="200" t="inlineStr">
        <is>
          <t>DLC_RC</t>
        </is>
      </c>
      <c r="AC29" s="200" t="inlineStr">
        <is>
          <t>DLC</t>
        </is>
      </c>
      <c r="AD29" s="1242" t="inlineStr">
        <is>
          <t>DLC</t>
        </is>
      </c>
      <c r="AE29" s="200" t="inlineStr">
        <is>
          <t>DLC</t>
        </is>
      </c>
      <c r="AF29" s="200" t="inlineStr">
        <is>
          <t>DLC_ADJ</t>
        </is>
      </c>
      <c r="AG29" s="384" t="n"/>
      <c r="AH29" s="200" t="inlineStr">
        <is>
          <t>DALL</t>
        </is>
      </c>
      <c r="AI29" s="13" t="n"/>
      <c r="AJ29" s="13" t="n"/>
      <c r="AK29" s="1238" t="n"/>
      <c r="AL29" s="13" t="n"/>
      <c r="AM29" s="13" t="n"/>
      <c r="AN29" s="13" t="n"/>
      <c r="AO29" s="13" t="n"/>
      <c r="AP29" s="13" t="n"/>
      <c r="AQ29" s="200" t="inlineStr">
        <is>
          <t>DALL</t>
        </is>
      </c>
      <c r="AR29" s="13" t="n"/>
      <c r="AS29" s="13" t="n"/>
    </row>
    <row r="30" hidden="1" customFormat="1" s="644">
      <c r="A30" s="175" t="n"/>
      <c r="B30" s="175">
        <f>IF(_epmOfflineCondition_,"",EPMDimensionType(,A30))</f>
        <v/>
      </c>
      <c r="C30" s="182" t="inlineStr">
        <is>
          <t>PERIODIC</t>
        </is>
      </c>
      <c r="D30" s="390" t="n"/>
      <c r="E30" s="13" t="n"/>
      <c r="F30" s="384" t="n"/>
      <c r="G30" s="384" t="n"/>
      <c r="H30" s="13" t="n"/>
      <c r="I30" s="13" t="n"/>
      <c r="J30" s="13" t="n"/>
      <c r="K30" s="13" t="n"/>
      <c r="L30" s="13" t="n"/>
      <c r="M30" s="13" t="n"/>
      <c r="N30" s="13" t="n"/>
      <c r="O30" s="13" t="n"/>
      <c r="P30" s="13" t="n"/>
      <c r="Q30" s="13" t="n"/>
      <c r="R30" s="13" t="n"/>
      <c r="S30" s="1103" t="n"/>
      <c r="T30" s="13" t="n"/>
      <c r="U30" s="13" t="n"/>
      <c r="V30" s="13" t="n"/>
      <c r="W30" s="13" t="n"/>
      <c r="X30" s="171" t="n"/>
      <c r="Y30" s="601" t="n"/>
      <c r="Z30" s="13" t="n"/>
      <c r="AA30" s="13">
        <f>IF(_epmOfflineCondition_,"合并后",EPMMemberDesc(AA29))</f>
        <v/>
      </c>
      <c r="AB30" s="13">
        <f>IF(_epmOfflineCondition_,"单体重分类",EPMMemberDesc(AB29))</f>
        <v/>
      </c>
      <c r="AC30" s="13">
        <f>IF(_epmOfflineCondition_,"单体报表",EPMMemberDesc(AC29))</f>
        <v/>
      </c>
      <c r="AD30" s="1238">
        <f>IF(_epmOfflineCondition_,"单体报表",EPMMemberDesc(AD29))</f>
        <v/>
      </c>
      <c r="AE30" s="13">
        <f>IF(_epmOfflineCondition_,"单体报表",EPMMemberDesc(AE29))</f>
        <v/>
      </c>
      <c r="AF30" s="13">
        <f>IF(_epmOfflineCondition_,"单体调整",EPMMemberDesc(AF29))</f>
        <v/>
      </c>
      <c r="AG30" s="384" t="n"/>
      <c r="AH30" s="13" t="n"/>
      <c r="AI30" s="13" t="n"/>
      <c r="AJ30" s="13" t="n"/>
      <c r="AK30" s="1238" t="inlineStr">
        <is>
          <t>CNY</t>
        </is>
      </c>
      <c r="AL30" s="13" t="n"/>
      <c r="AM30" s="13" t="n"/>
      <c r="AN30" s="13" t="inlineStr">
        <is>
          <t>CNY</t>
        </is>
      </c>
      <c r="AO30" s="13" t="n"/>
      <c r="AP30" s="13" t="n"/>
      <c r="AQ30" s="13" t="inlineStr">
        <is>
          <t>CNY</t>
        </is>
      </c>
      <c r="AR30" s="13" t="n"/>
      <c r="AS30" s="13" t="n"/>
    </row>
    <row r="31" hidden="1" customFormat="1" s="644">
      <c r="A31" s="13" t="n"/>
      <c r="B31" s="1103" t="n"/>
      <c r="C31" s="1103" t="n"/>
      <c r="D31" s="1103" t="n"/>
      <c r="E31" s="13" t="n"/>
      <c r="F31" s="13" t="n"/>
      <c r="G31" s="13" t="n"/>
      <c r="H31" s="13" t="n"/>
      <c r="I31" s="13" t="n"/>
      <c r="J31" s="13" t="n"/>
      <c r="K31" s="13" t="n"/>
      <c r="L31" s="13" t="n"/>
      <c r="M31" s="13" t="n"/>
      <c r="N31" s="13" t="n"/>
      <c r="O31" s="13" t="n"/>
      <c r="P31" s="13" t="n"/>
      <c r="Q31" s="13" t="n"/>
      <c r="R31" s="13" t="n"/>
      <c r="S31" s="1103" t="n"/>
      <c r="T31" s="13" t="n"/>
      <c r="U31" s="13" t="n"/>
      <c r="V31" s="13" t="n"/>
      <c r="W31" s="13" t="n"/>
      <c r="X31" s="171" t="n"/>
      <c r="Y31" s="601" t="n"/>
      <c r="Z31" s="13" t="n"/>
      <c r="AA31" s="13" t="n"/>
      <c r="AB31" s="13" t="n"/>
      <c r="AC31" s="13" t="n"/>
      <c r="AD31" s="1238" t="n"/>
      <c r="AE31" s="13" t="n"/>
      <c r="AF31" s="13" t="n"/>
      <c r="AG31" s="13" t="n"/>
      <c r="AH31" s="13" t="n"/>
      <c r="AI31" s="13" t="n"/>
      <c r="AJ31" s="13" t="n"/>
      <c r="AK31" s="1238" t="n"/>
      <c r="AL31" s="13" t="n"/>
      <c r="AM31" s="13" t="n"/>
      <c r="AN31" s="13" t="n"/>
      <c r="AO31" s="13" t="n"/>
      <c r="AP31" s="13" t="n"/>
      <c r="AQ31" s="13" t="n"/>
      <c r="AR31" s="13" t="n"/>
      <c r="AS31" s="13" t="n"/>
    </row>
    <row r="32" hidden="1" customFormat="1" s="644">
      <c r="A32" s="13" t="n"/>
      <c r="B32" s="1103" t="n"/>
      <c r="C32" s="1103" t="n"/>
      <c r="D32" s="1103" t="n"/>
      <c r="E32" s="13" t="n"/>
      <c r="F32" s="13" t="n"/>
      <c r="G32" s="13" t="n"/>
      <c r="H32" s="13" t="n"/>
      <c r="I32" s="13" t="n"/>
      <c r="J32" s="13" t="n"/>
      <c r="K32" s="13" t="n"/>
      <c r="L32" s="13" t="n"/>
      <c r="M32" s="13" t="n"/>
      <c r="N32" s="13" t="n"/>
      <c r="O32" s="13" t="n"/>
      <c r="P32" s="13" t="n"/>
      <c r="Q32" s="13" t="n"/>
      <c r="R32" s="13" t="n"/>
      <c r="S32" s="1103" t="n"/>
      <c r="T32" s="13" t="n"/>
      <c r="U32" s="13" t="n"/>
      <c r="V32" s="13" t="n"/>
      <c r="W32" s="13" t="n"/>
      <c r="X32" s="171" t="n"/>
      <c r="Y32" s="601" t="n"/>
      <c r="Z32" s="13" t="n"/>
      <c r="AA32" s="13" t="n"/>
      <c r="AB32" s="13" t="n"/>
      <c r="AC32" s="13" t="n"/>
      <c r="AD32" s="1238" t="n"/>
      <c r="AE32" s="13" t="n"/>
      <c r="AF32" s="13" t="n"/>
      <c r="AG32" s="13" t="n"/>
      <c r="AH32" s="13" t="n"/>
      <c r="AI32" s="13" t="n"/>
      <c r="AJ32" s="13" t="n"/>
      <c r="AK32" s="1238" t="n"/>
      <c r="AL32" s="13" t="n"/>
      <c r="AM32" s="13" t="n"/>
      <c r="AN32" s="13" t="n"/>
      <c r="AO32" s="13" t="n"/>
      <c r="AP32" s="13" t="n"/>
      <c r="AQ32" s="13" t="n"/>
      <c r="AR32" s="13" t="n"/>
      <c r="AS32" s="13" t="n"/>
    </row>
    <row r="33" hidden="1" customFormat="1" s="644">
      <c r="A33" s="13" t="n"/>
      <c r="B33" s="1103" t="n"/>
      <c r="C33" s="1103" t="n"/>
      <c r="D33" s="1103" t="n"/>
      <c r="E33" s="13" t="n"/>
      <c r="F33" s="13" t="n"/>
      <c r="G33" s="13" t="n"/>
      <c r="H33" s="13" t="n"/>
      <c r="I33" s="13" t="n"/>
      <c r="J33" s="13" t="n"/>
      <c r="K33" s="13" t="n"/>
      <c r="L33" s="13" t="n"/>
      <c r="M33" s="13" t="n"/>
      <c r="N33" s="13" t="n"/>
      <c r="O33" s="13" t="n"/>
      <c r="P33" s="13" t="n"/>
      <c r="Q33" s="13" t="n"/>
      <c r="R33" s="13" t="n"/>
      <c r="S33" s="1103" t="n"/>
      <c r="T33" s="13" t="n"/>
      <c r="U33" s="13" t="n"/>
      <c r="V33" s="13" t="n"/>
      <c r="W33" s="13" t="n"/>
      <c r="X33" s="171" t="n"/>
      <c r="Y33" s="601" t="n"/>
      <c r="Z33" s="13" t="n"/>
      <c r="AA33" s="13" t="n"/>
      <c r="AB33" s="13" t="n"/>
      <c r="AC33" s="13" t="n"/>
      <c r="AD33" s="1238" t="n"/>
      <c r="AE33" s="13" t="n"/>
      <c r="AF33" s="13" t="n"/>
      <c r="AG33" s="13" t="n"/>
      <c r="AH33" s="13" t="n"/>
      <c r="AI33" s="13" t="n"/>
      <c r="AJ33" s="13" t="n"/>
      <c r="AK33" s="1238" t="n"/>
      <c r="AL33" s="13" t="n"/>
      <c r="AM33" s="13" t="n"/>
      <c r="AN33" s="13" t="n"/>
      <c r="AO33" s="13" t="n"/>
      <c r="AP33" s="13" t="n"/>
      <c r="AQ33" s="13" t="n"/>
      <c r="AR33" s="13" t="n"/>
      <c r="AS33" s="13" t="n"/>
    </row>
    <row r="34" hidden="1" ht="11.1" customFormat="1" customHeight="1" s="644">
      <c r="A34" s="13" t="n"/>
      <c r="B34" s="1103" t="n"/>
      <c r="C34" s="1103" t="n"/>
      <c r="D34" s="1103" t="n"/>
      <c r="E34" s="13" t="n"/>
      <c r="F34" s="13" t="n"/>
      <c r="G34" s="13" t="n"/>
      <c r="H34" s="13" t="n"/>
      <c r="I34" s="13" t="n"/>
      <c r="J34" s="13" t="n"/>
      <c r="K34" s="13" t="n"/>
      <c r="L34" s="13" t="n"/>
      <c r="M34" s="13" t="n"/>
      <c r="N34" s="13" t="n"/>
      <c r="O34" s="13" t="n"/>
      <c r="P34" s="13" t="n"/>
      <c r="Q34" s="13" t="n"/>
      <c r="R34" s="13" t="n"/>
      <c r="S34" s="1103" t="n"/>
      <c r="T34" s="13" t="n"/>
      <c r="U34" s="13" t="n"/>
      <c r="V34" s="13" t="n"/>
      <c r="W34" s="13" t="n"/>
      <c r="X34" s="171" t="n"/>
      <c r="Y34" s="601" t="n"/>
      <c r="Z34" s="13" t="n"/>
      <c r="AA34" s="13" t="n"/>
      <c r="AB34" s="13" t="n"/>
      <c r="AC34" s="13" t="n"/>
      <c r="AD34" s="1238" t="n"/>
      <c r="AE34" s="13" t="n"/>
      <c r="AF34" s="13" t="n"/>
      <c r="AG34" s="13" t="n"/>
      <c r="AH34" s="13" t="n"/>
      <c r="AI34" s="13" t="n"/>
      <c r="AJ34" s="13" t="n"/>
      <c r="AK34" s="1238" t="n"/>
      <c r="AL34" s="13" t="n"/>
      <c r="AM34" s="13" t="n"/>
      <c r="AN34" s="13" t="n"/>
      <c r="AO34" s="13" t="n"/>
      <c r="AP34" s="13" t="n"/>
      <c r="AQ34" s="13" t="n"/>
      <c r="AR34" s="13" t="n"/>
      <c r="AS34" s="13" t="n"/>
    </row>
    <row r="35" ht="28.8" customFormat="1" customHeight="1" s="155">
      <c r="A35" s="384" t="n"/>
      <c r="B35" s="384" t="n"/>
      <c r="C35" s="384" t="n"/>
      <c r="D35" s="384" t="n"/>
      <c r="E35" s="384" t="n"/>
      <c r="F35" s="384" t="n"/>
      <c r="G35" s="384" t="n"/>
      <c r="H35" s="384" t="n"/>
      <c r="I35" s="384" t="n"/>
      <c r="J35" s="384" t="n"/>
      <c r="K35" s="384" t="n"/>
      <c r="L35" s="384" t="n"/>
      <c r="M35" s="384" t="n"/>
      <c r="N35" s="384" t="n"/>
      <c r="O35" s="384" t="n"/>
      <c r="P35" s="384" t="n"/>
      <c r="Q35" s="384" t="n"/>
      <c r="R35" s="384" t="n"/>
      <c r="S35" s="32" t="n"/>
      <c r="T35" s="384" t="n"/>
      <c r="U35" s="384" t="n"/>
      <c r="V35" s="384" t="n"/>
      <c r="W35" s="384" t="n"/>
      <c r="X35" s="38" t="n"/>
      <c r="Y35" s="706" t="n"/>
      <c r="Z35" s="760" t="n"/>
      <c r="AA35" s="220" t="n"/>
      <c r="AB35" s="465" t="n"/>
      <c r="AC35" s="384" t="n"/>
      <c r="AD35" s="1244" t="n"/>
      <c r="AE35" s="465" t="inlineStr">
        <is>
          <t>现金流量表比较表</t>
        </is>
      </c>
      <c r="AF35" s="384" t="n"/>
      <c r="AG35" s="384" t="n"/>
      <c r="AH35" s="384" t="n"/>
      <c r="AI35" s="384" t="n"/>
      <c r="AJ35" s="384" t="n"/>
      <c r="AK35" s="1237" t="n"/>
      <c r="AL35" s="384" t="n"/>
      <c r="AM35" s="384" t="n"/>
      <c r="AN35" s="384" t="n"/>
      <c r="AO35" s="384" t="n"/>
      <c r="AP35" s="384" t="n"/>
      <c r="AQ35" s="384" t="n"/>
      <c r="AR35" s="384" t="n"/>
      <c r="AS35" s="384" t="n"/>
    </row>
    <row r="36" ht="15.2" customFormat="1" customHeight="1" s="489">
      <c r="A36" s="716" t="n"/>
      <c r="B36" s="716" t="n"/>
      <c r="C36" s="716" t="n"/>
      <c r="D36" s="716" t="n"/>
      <c r="E36" s="716" t="n"/>
      <c r="F36" s="716" t="n"/>
      <c r="G36" s="716" t="n"/>
      <c r="H36" s="716" t="n"/>
      <c r="I36" s="716" t="n"/>
      <c r="J36" s="716" t="n"/>
      <c r="K36" s="716" t="n"/>
      <c r="L36" s="716" t="n"/>
      <c r="M36" s="716" t="n"/>
      <c r="N36" s="716" t="n"/>
      <c r="O36" s="716" t="n"/>
      <c r="P36" s="716" t="n"/>
      <c r="Q36" s="716" t="n"/>
      <c r="R36" s="716" t="n"/>
      <c r="S36" s="462">
        <f>IF(D21="全部实体",D26,D21)</f>
        <v/>
      </c>
      <c r="T36" s="716" t="n"/>
      <c r="U36" s="716" t="n"/>
      <c r="V36" s="716" t="n"/>
      <c r="W36" s="716" t="n"/>
      <c r="X36" s="190">
        <f>IF(_epmOfflineCondition_,"编制单位：内蒙古京能苏尼特风力发电有限公司（内蒙古分公司）","编制单位："&amp;EPMMemberDesc($S$36))</f>
        <v/>
      </c>
      <c r="Y36" s="707" t="n"/>
      <c r="Z36" s="760" t="n"/>
      <c r="AA36" s="203" t="n"/>
      <c r="AB36" s="716" t="n"/>
      <c r="AC36" s="716" t="n"/>
      <c r="AD36" s="1245" t="n"/>
      <c r="AE36" s="716" t="n"/>
      <c r="AF36" s="716" t="n"/>
      <c r="AG36" s="716" t="n"/>
      <c r="AH36" s="716" t="n"/>
      <c r="AI36" s="716" t="n"/>
      <c r="AJ36" s="716" t="n"/>
      <c r="AK36" s="1245" t="n"/>
      <c r="AL36" s="716" t="n"/>
      <c r="AM36" s="716" t="n"/>
      <c r="AN36" s="716" t="n"/>
      <c r="AO36" s="716" t="n"/>
      <c r="AP36" s="716" t="n"/>
      <c r="AQ36" s="716" t="n"/>
      <c r="AR36" s="716" t="n"/>
      <c r="AS36" s="716" t="n"/>
    </row>
    <row r="37" ht="15.2" customFormat="1" customHeight="1" s="489">
      <c r="A37" s="716" t="n"/>
      <c r="B37" s="716" t="n"/>
      <c r="C37" s="716" t="n"/>
      <c r="D37" s="716" t="n"/>
      <c r="E37" s="716" t="n"/>
      <c r="F37" s="716" t="n"/>
      <c r="G37" s="716" t="n"/>
      <c r="H37" s="716" t="n"/>
      <c r="I37" s="716" t="n"/>
      <c r="J37" s="716" t="n"/>
      <c r="K37" s="716" t="n"/>
      <c r="L37" s="716" t="n"/>
      <c r="M37" s="716" t="n"/>
      <c r="N37" s="716" t="n"/>
      <c r="O37" s="716" t="n"/>
      <c r="P37" s="716" t="n"/>
      <c r="Q37" s="716" t="n"/>
      <c r="R37" s="716" t="n"/>
      <c r="S37" s="462" t="n"/>
      <c r="T37" s="716" t="n"/>
      <c r="U37" s="716" t="n"/>
      <c r="V37" s="716" t="n"/>
      <c r="W37" s="716" t="n"/>
      <c r="X37" s="190">
        <f>"编制月份："&amp;$I$3&amp;"年"&amp;$I$8&amp;"月"</f>
        <v/>
      </c>
      <c r="Y37" s="190" t="inlineStr">
        <is>
          <t>币种：</t>
        </is>
      </c>
      <c r="Z37" s="462" t="inlineStr">
        <is>
          <t>LC</t>
        </is>
      </c>
      <c r="AA37" s="716" t="n"/>
      <c r="AB37" s="716" t="n"/>
      <c r="AC37" s="716" t="n"/>
      <c r="AD37" s="1245" t="n"/>
      <c r="AE37" s="716" t="n"/>
      <c r="AF37" s="716" t="n"/>
      <c r="AG37" s="716" t="n"/>
      <c r="AH37" s="716" t="n"/>
      <c r="AI37" s="716" t="n"/>
      <c r="AJ37" s="190" t="n"/>
      <c r="AK37" s="1245" t="n"/>
      <c r="AL37" s="716" t="n"/>
      <c r="AM37" s="716" t="n"/>
      <c r="AN37" s="716" t="n"/>
      <c r="AO37" s="716" t="n"/>
      <c r="AP37" s="716" t="n"/>
      <c r="AQ37" s="716" t="n"/>
      <c r="AR37" s="716" t="n"/>
      <c r="AS37" s="190" t="inlineStr">
        <is>
          <t>金额单位：元</t>
        </is>
      </c>
    </row>
    <row r="38" ht="15.2" customFormat="1" customHeight="1" s="716">
      <c r="A38" s="716" t="n"/>
      <c r="B38" s="716" t="n"/>
      <c r="C38" s="716" t="n"/>
      <c r="D38" s="716" t="n"/>
      <c r="E38" s="716" t="n"/>
      <c r="F38" s="716" t="n"/>
      <c r="G38" s="716" t="n"/>
      <c r="H38" s="716" t="n"/>
      <c r="I38" s="716" t="n"/>
      <c r="J38" s="716" t="n"/>
      <c r="K38" s="716" t="n"/>
      <c r="L38" s="716" t="n"/>
      <c r="M38" s="716" t="n"/>
      <c r="N38" s="716" t="n"/>
      <c r="O38" s="716" t="n"/>
      <c r="P38" s="716" t="n"/>
      <c r="Q38" s="716" t="n"/>
      <c r="R38" s="716" t="n"/>
      <c r="S38" s="462" t="n"/>
      <c r="T38" s="716" t="n"/>
      <c r="U38" s="716" t="n"/>
      <c r="V38" s="716" t="n"/>
      <c r="W38" s="716" t="n"/>
      <c r="X38" s="450" t="inlineStr">
        <is>
          <t>项目</t>
        </is>
      </c>
      <c r="Y38" s="450" t="inlineStr">
        <is>
          <t>行次</t>
        </is>
      </c>
      <c r="Z38" s="1256" t="inlineStr">
        <is>
          <t>本年实际</t>
        </is>
      </c>
      <c r="AA38" s="1183" t="n"/>
      <c r="AB38" s="1256" t="inlineStr">
        <is>
          <t>本月对比上月</t>
        </is>
      </c>
      <c r="AC38" s="1182" t="n"/>
      <c r="AD38" s="1183" t="n"/>
      <c r="AE38" s="1256" t="inlineStr">
        <is>
          <t>本月对比上年同期</t>
        </is>
      </c>
      <c r="AF38" s="1182" t="n"/>
      <c r="AG38" s="1183" t="n"/>
      <c r="AH38" s="1256" t="inlineStr">
        <is>
          <t>本年累计对比上年同期累计</t>
        </is>
      </c>
      <c r="AI38" s="1182" t="n"/>
      <c r="AJ38" s="1183" t="n"/>
      <c r="AK38" s="712" t="inlineStr">
        <is>
          <t xml:space="preserve"> 本月预算完成情况 </t>
        </is>
      </c>
      <c r="AL38" s="1182" t="n"/>
      <c r="AM38" s="1183" t="n"/>
      <c r="AN38" s="712" t="inlineStr">
        <is>
          <t xml:space="preserve"> 进度预算完成情况 </t>
        </is>
      </c>
      <c r="AO38" s="1182" t="n"/>
      <c r="AP38" s="1183" t="n"/>
      <c r="AQ38" s="712" t="inlineStr">
        <is>
          <t xml:space="preserve"> 年度预算完成情况 </t>
        </is>
      </c>
      <c r="AR38" s="1182" t="n"/>
      <c r="AS38" s="1183" t="n"/>
    </row>
    <row r="39" ht="15.2" customFormat="1" customHeight="1" s="716">
      <c r="A39" s="716" t="n"/>
      <c r="B39" s="716" t="n"/>
      <c r="C39" s="716" t="n"/>
      <c r="D39" s="716" t="n"/>
      <c r="E39" s="716" t="n"/>
      <c r="F39" s="716" t="n"/>
      <c r="G39" s="716" t="n"/>
      <c r="H39" s="716" t="n"/>
      <c r="I39" s="716" t="n"/>
      <c r="J39" s="716" t="n"/>
      <c r="K39" s="716" t="n"/>
      <c r="L39" s="716" t="n"/>
      <c r="M39" s="716" t="n"/>
      <c r="N39" s="716" t="n"/>
      <c r="O39" s="716" t="n"/>
      <c r="P39" s="716" t="n"/>
      <c r="Q39" s="716" t="n"/>
      <c r="R39" s="716" t="n"/>
      <c r="S39" s="462" t="n"/>
      <c r="T39" s="716" t="n"/>
      <c r="U39" s="716" t="n"/>
      <c r="V39" s="716" t="n"/>
      <c r="W39" s="716" t="n"/>
      <c r="X39" s="1184" t="n"/>
      <c r="Y39" s="1184" t="n"/>
      <c r="Z39" s="1256" t="inlineStr">
        <is>
          <t>本月数</t>
        </is>
      </c>
      <c r="AA39" s="1256" t="inlineStr">
        <is>
          <t>本年累计</t>
        </is>
      </c>
      <c r="AB39" s="1256" t="inlineStr">
        <is>
          <t>上月数</t>
        </is>
      </c>
      <c r="AC39" s="1256" t="inlineStr">
        <is>
          <t>增减额</t>
        </is>
      </c>
      <c r="AD39" s="1247" t="inlineStr">
        <is>
          <t>增减（%）</t>
        </is>
      </c>
      <c r="AE39" s="1256" t="inlineStr">
        <is>
          <t>上年同期</t>
        </is>
      </c>
      <c r="AF39" s="1256" t="inlineStr">
        <is>
          <t>增减额</t>
        </is>
      </c>
      <c r="AG39" s="1256" t="inlineStr">
        <is>
          <t>增减（%）</t>
        </is>
      </c>
      <c r="AH39" s="1256" t="inlineStr">
        <is>
          <t>上年同期累计</t>
        </is>
      </c>
      <c r="AI39" s="1256" t="inlineStr">
        <is>
          <t>增减额</t>
        </is>
      </c>
      <c r="AJ39" s="1256" t="inlineStr">
        <is>
          <t>增减（%）</t>
        </is>
      </c>
      <c r="AK39" s="1248" t="inlineStr">
        <is>
          <t xml:space="preserve"> 月度预算 </t>
        </is>
      </c>
      <c r="AL39" s="712" t="inlineStr">
        <is>
          <t xml:space="preserve"> 增减额 </t>
        </is>
      </c>
      <c r="AM39" s="712" t="inlineStr">
        <is>
          <t xml:space="preserve"> 完成预算% </t>
        </is>
      </c>
      <c r="AN39" s="712" t="inlineStr">
        <is>
          <t xml:space="preserve"> 进度预算数 </t>
        </is>
      </c>
      <c r="AO39" s="712" t="inlineStr">
        <is>
          <t xml:space="preserve"> 增减额 </t>
        </is>
      </c>
      <c r="AP39" s="712" t="inlineStr">
        <is>
          <t xml:space="preserve"> 完成预算% </t>
        </is>
      </c>
      <c r="AQ39" s="712" t="inlineStr">
        <is>
          <t xml:space="preserve"> 本年预算数 </t>
        </is>
      </c>
      <c r="AR39" s="712" t="inlineStr">
        <is>
          <t xml:space="preserve"> 增减额 </t>
        </is>
      </c>
      <c r="AS39" s="712" t="inlineStr">
        <is>
          <t xml:space="preserve"> 完成预算% </t>
        </is>
      </c>
    </row>
    <row r="40" hidden="1" ht="15.2" customFormat="1" customHeight="1" s="716">
      <c r="A40" s="716" t="n"/>
      <c r="B40" s="716" t="n"/>
      <c r="C40" s="716" t="n"/>
      <c r="D40" s="716" t="n"/>
      <c r="E40" s="716" t="n"/>
      <c r="F40" s="716" t="n"/>
      <c r="G40" s="716" t="n"/>
      <c r="H40" s="716" t="n"/>
      <c r="I40" s="716" t="n"/>
      <c r="J40" s="716" t="n"/>
      <c r="K40" s="716" t="n"/>
      <c r="L40" s="716" t="n"/>
      <c r="M40" s="716" t="n"/>
      <c r="N40" s="716" t="n"/>
      <c r="O40" s="716" t="n"/>
      <c r="P40" s="716" t="n"/>
      <c r="Q40" s="716" t="n"/>
      <c r="R40" s="716" t="n"/>
      <c r="S40" s="462" t="n"/>
      <c r="T40" s="716" t="n"/>
      <c r="U40" s="716" t="n"/>
      <c r="V40" s="716" t="n"/>
      <c r="W40" s="716" t="n"/>
      <c r="X40" s="451" t="inlineStr">
        <is>
          <t>time</t>
        </is>
      </c>
      <c r="Y40" s="451" t="n"/>
      <c r="Z40" s="648">
        <f>IF(_epmOfflineCondition_,"2025.03",EPMOlapMemberO(I11,"[C_TIME].[PARENTH1].[2025.03]","2025.03 - 2025.03","","000"))</f>
        <v/>
      </c>
      <c r="AA40" s="648">
        <f>IF(_epmOfflineCondition_,"2025.03",EPMOlapMemberO($I$11,"[C_TIME].[PARENTH1].[2025.03]","2025.03 - 2025.03","","000"))</f>
        <v/>
      </c>
      <c r="AB40" s="648">
        <f>IF(_epmOfflineCondition_,"2025.02",EPMOlapMemberO(I12,"[C_TIME].[PARENTH1].[2025.02]","2025.02 - 2025.02","","000"))</f>
        <v/>
      </c>
      <c r="AC40" s="1267" t="n"/>
      <c r="AD40" s="648">
        <f>IF(_epmOfflineCondition_,"2025.02",EPMOlapMemberO(I12,"[C_TIME].[PARENTH1].[2025.02]","2025.02 - 2025.02","","000"))</f>
        <v/>
      </c>
      <c r="AE40" s="648">
        <f>IF(_epmOfflineCondition_,"2024.03",EPMOlapMemberO(I13,"[C_TIME].[PARENTH1].[2024.03]","2024.03 - 2024.03","","000"))</f>
        <v/>
      </c>
      <c r="AF40" s="1267" t="n"/>
      <c r="AG40" s="1267" t="n"/>
      <c r="AH40" s="648">
        <f>IF(_epmOfflineCondition_,"2024.03",EPMOlapMemberO($I$13,"[C_TIME].[PARENTH1].[2024.03]","2024.03 - 2024.03","","000"))</f>
        <v/>
      </c>
      <c r="AI40" s="648" t="n"/>
      <c r="AJ40" s="648" t="n"/>
      <c r="AK40" s="648">
        <f>IF(_epmOfflineCondition_,"2025.03",EPMOlapMemberO($I$11,"[C_TIME].[PARENTH1].[2025.03]","2025.03 - 2025.03","","000"))</f>
        <v/>
      </c>
      <c r="AL40" s="692" t="n"/>
      <c r="AM40" s="692" t="n"/>
      <c r="AN40" s="648">
        <f>IF(_epmOfflineCondition_,"2025.03",EPMOlapMemberO($I$11,"[C_TIME].[PARENTH1].[2025.03]","2025.03 - 2025.03","","000"))</f>
        <v/>
      </c>
      <c r="AO40" s="692" t="n"/>
      <c r="AP40" s="692" t="n"/>
      <c r="AQ40" s="648">
        <f>IF(_epmOfflineCondition_,"2025.03",EPMOlapMemberO($I$11,"[C_TIME].[PARENTH1].[2025.03]","2025.03 - 2025.03","","000"))</f>
        <v/>
      </c>
      <c r="AR40" s="692" t="n"/>
      <c r="AS40" s="692" t="n"/>
    </row>
    <row r="41" hidden="1" ht="15.2" customFormat="1" customHeight="1" s="716">
      <c r="A41" s="716" t="n"/>
      <c r="B41" s="716" t="n"/>
      <c r="C41" s="716" t="n"/>
      <c r="D41" s="716" t="n"/>
      <c r="E41" s="716" t="n"/>
      <c r="F41" s="716" t="n"/>
      <c r="G41" s="716" t="n"/>
      <c r="H41" s="716" t="n"/>
      <c r="I41" s="716" t="n"/>
      <c r="J41" s="716" t="n"/>
      <c r="K41" s="716" t="n"/>
      <c r="L41" s="716" t="n"/>
      <c r="M41" s="716" t="n"/>
      <c r="N41" s="716" t="n"/>
      <c r="O41" s="716" t="n"/>
      <c r="P41" s="716" t="n"/>
      <c r="Q41" s="716" t="n"/>
      <c r="R41" s="716" t="n"/>
      <c r="S41" s="462" t="n"/>
      <c r="T41" s="716" t="n"/>
      <c r="U41" s="24" t="n"/>
      <c r="V41" s="716" t="n"/>
      <c r="W41" s="716" t="n"/>
      <c r="X41" s="451" t="inlineStr">
        <is>
          <t>category</t>
        </is>
      </c>
      <c r="Y41" s="451" t="n"/>
      <c r="Z41" s="182">
        <f>IF(_epmOfflineCondition_,"C1001",EPMOlapMemberO($AB$25,"[C_CATEGORY].[PARENTH1].[C1001]","C1001 - 实际数/决算数","","000"))</f>
        <v/>
      </c>
      <c r="AA41" s="182">
        <f>IF(_epmOfflineCondition_,"C1001",EPMOlapMemberO($AB$25,"[C_CATEGORY].[PARENTH1].[C1001]","C1001 - 实际数/决算数","","000"))</f>
        <v/>
      </c>
      <c r="AB41" s="182">
        <f>IF(_epmOfflineCondition_,"C1001",EPMOlapMemberO($AB$25,"[C_CATEGORY].[PARENTH1].[C1001]","C1001 - 实际数/决算数","","000"))</f>
        <v/>
      </c>
      <c r="AC41" s="182" t="n"/>
      <c r="AD41" s="182">
        <f>IF(_epmOfflineCondition_,"C1001",EPMOlapMemberO($AB$25,"[C_CATEGORY].[PARENTH1].[C1001]","C1001 - 实际数/决算数","","000"))</f>
        <v/>
      </c>
      <c r="AE41" s="182">
        <f>IF(_epmOfflineCondition_,"C1001",EPMOlapMemberO($AB$25,"[C_CATEGORY].[PARENTH1].[C1001]","C1001 - 实际数/决算数","","000"))</f>
        <v/>
      </c>
      <c r="AF41" s="182" t="n"/>
      <c r="AG41" s="182" t="n"/>
      <c r="AH41" s="182">
        <f>IF(_epmOfflineCondition_,"C1001",EPMOlapMemberO($AA$25,"[C_CATEGORY].[PARENTH1].[C1001]","C1001 - 实际数/决算数","","000"))</f>
        <v/>
      </c>
      <c r="AI41" s="182" t="n"/>
      <c r="AJ41" s="182" t="n"/>
      <c r="AK41" s="182">
        <f>IF(_epmOfflineCondition_,"C3003",EPMOlapMemberO($AH$25,"[C_CATEGORY].[PARENTH1].[C3003]","C3003 - 进度预算（原""预算数（分解版）"")","","000"))</f>
        <v/>
      </c>
      <c r="AL41" s="692" t="n"/>
      <c r="AM41" s="692" t="n"/>
      <c r="AN41" s="182">
        <f>IF(_epmOfflineCondition_,"C3003",EPMOlapMemberO($AH$25,"[C_CATEGORY].[PARENTH1].[C3003]","C3003 - 进度预算（原""预算数（分解版）"")","","000"))</f>
        <v/>
      </c>
      <c r="AO41" s="692" t="n"/>
      <c r="AP41" s="692" t="n"/>
      <c r="AQ41" s="182">
        <f>IF(_epmOfflineCondition_,"C3002",EPMOlapMemberO($AQ$25,"[C_CATEGORY].[PARENTH1].[C3002]","C3002 - 月度预算（原""预算数（终稿）"")","","000"))</f>
        <v/>
      </c>
      <c r="AR41" s="692" t="n"/>
      <c r="AS41" s="692" t="n"/>
    </row>
    <row r="42" hidden="1" ht="15.2" customFormat="1" customHeight="1" s="716">
      <c r="A42" s="716" t="n"/>
      <c r="B42" s="716" t="n"/>
      <c r="C42" s="716" t="n"/>
      <c r="D42" s="716" t="n"/>
      <c r="E42" s="716" t="n"/>
      <c r="F42" s="716" t="n"/>
      <c r="G42" s="716" t="n"/>
      <c r="H42" s="716" t="n"/>
      <c r="I42" s="716" t="n"/>
      <c r="J42" s="716" t="n"/>
      <c r="K42" s="716" t="n"/>
      <c r="L42" s="716" t="n"/>
      <c r="M42" s="716" t="n"/>
      <c r="N42" s="716" t="n"/>
      <c r="O42" s="716" t="n"/>
      <c r="P42" s="716" t="n"/>
      <c r="Q42" s="716" t="n"/>
      <c r="R42" s="716" t="n"/>
      <c r="S42" s="462" t="n"/>
      <c r="T42" s="716" t="n"/>
      <c r="U42" s="716" t="n"/>
      <c r="V42" s="716" t="n"/>
      <c r="W42" s="716" t="n"/>
      <c r="X42" s="451" t="inlineStr">
        <is>
          <t>AUDITTRAIL</t>
        </is>
      </c>
      <c r="Y42" s="451" t="n"/>
      <c r="Z42" s="182">
        <f>IF(_epmOfflineCondition_,"DALL",EPMOlapMemberO($AA$29,"[C_AUDITTRAIL].[PARENTH1].[DALL]","DALL - 合并后","","000"))</f>
        <v/>
      </c>
      <c r="AA42" s="182">
        <f>IF(_epmOfflineCondition_,"DALL",EPMOlapMemberO($AA$29,"[C_AUDITTRAIL].[PARENTH1].[DALL]","DALL - 合并后","","000"))</f>
        <v/>
      </c>
      <c r="AB42" s="182">
        <f>IF(_epmOfflineCondition_,"DALL",EPMOlapMemberO($AA$29,"[C_AUDITTRAIL].[PARENTH1].[DALL]","DALL - 合并后","","000"))</f>
        <v/>
      </c>
      <c r="AC42" s="182" t="n"/>
      <c r="AD42" s="182">
        <f>IF(_epmOfflineCondition_,"DALL",EPMOlapMemberO($AA$29,"[C_AUDITTRAIL].[PARENTH1].[DALL]","DALL - 合并后","","000"))</f>
        <v/>
      </c>
      <c r="AE42" s="182">
        <f>IF(_epmOfflineCondition_,"DALL",EPMOlapMemberO($AA$29,"[C_AUDITTRAIL].[PARENTH1].[DALL]","DALL - 合并后","","000"))</f>
        <v/>
      </c>
      <c r="AF42" s="182" t="n"/>
      <c r="AG42" s="182" t="n"/>
      <c r="AH42" s="182">
        <f>IF(_epmOfflineCondition_,"DALL",EPMOlapMemberO($AH$29,"[C_AUDITTRAIL].[PARENTH1].[DALL]","DALL - 合并后","","000"))</f>
        <v/>
      </c>
      <c r="AI42" s="182" t="n"/>
      <c r="AJ42" s="182" t="n"/>
      <c r="AK42" s="182">
        <f>IF(_epmOfflineCondition_,"DALL",EPMOlapMemberO($AH$29,"[C_AUDITTRAIL].[PARENTH1].[DALL]","DALL - 合并后","","000"))</f>
        <v/>
      </c>
      <c r="AL42" s="692" t="n"/>
      <c r="AM42" s="692" t="n"/>
      <c r="AN42" s="182">
        <f>IF(_epmOfflineCondition_,"DALL",EPMOlapMemberO($AH$29,"[C_AUDITTRAIL].[PARENTH1].[DALL]","DALL - 合并后","","000"))</f>
        <v/>
      </c>
      <c r="AO42" s="692" t="n"/>
      <c r="AP42" s="692" t="n"/>
      <c r="AQ42" s="182">
        <f>IF(_epmOfflineCondition_,"DALL",EPMOlapMemberO($AH$29,"[C_AUDITTRAIL].[PARENTH1].[DALL]","DALL - 合并后","","000"))</f>
        <v/>
      </c>
      <c r="AR42" s="692" t="n"/>
      <c r="AS42" s="692" t="n"/>
    </row>
    <row r="43" hidden="1" ht="15.2" customFormat="1" customHeight="1" s="716">
      <c r="A43" s="716" t="n"/>
      <c r="B43" s="716" t="n"/>
      <c r="C43" s="716" t="n"/>
      <c r="D43" s="716" t="n"/>
      <c r="E43" s="716" t="n"/>
      <c r="F43" s="716" t="n"/>
      <c r="G43" s="716" t="n"/>
      <c r="H43" s="716" t="n"/>
      <c r="I43" s="716" t="n"/>
      <c r="J43" s="716" t="n"/>
      <c r="K43" s="716" t="n"/>
      <c r="L43" s="716" t="n"/>
      <c r="M43" s="716" t="n"/>
      <c r="N43" s="716" t="n"/>
      <c r="O43" s="716" t="n"/>
      <c r="P43" s="716" t="n"/>
      <c r="Q43" s="716" t="n"/>
      <c r="R43" s="716" t="n"/>
      <c r="S43" s="462" t="n"/>
      <c r="T43" s="716" t="n"/>
      <c r="U43" s="716" t="n"/>
      <c r="V43" s="716" t="n"/>
      <c r="W43" s="716" t="n"/>
      <c r="X43" s="451" t="inlineStr">
        <is>
          <t>flow</t>
        </is>
      </c>
      <c r="Y43" s="451" t="n"/>
      <c r="Z43" s="182">
        <f>IF(_epmOfflineCondition_,"F20",EPMOlapMemberO($AA$28,"[C_FLOW].[PARENTH1].[F20]","F20 - 本期增加","","000"))</f>
        <v/>
      </c>
      <c r="AA43" s="182">
        <f>IF(_epmOfflineCondition_,"FMOV",EPMOlapMemberO($AF$28,"[C_FLOW].[PARENTH1].[FMOV]","FMOV - 本期变动","","000"))</f>
        <v/>
      </c>
      <c r="AB43" s="182">
        <f>IF(_epmOfflineCondition_,"FMOV",EPMOlapMemberO($AF$28,"[C_FLOW].[PARENTH1].[FMOV]","FMOV - 本期变动","","000"))</f>
        <v/>
      </c>
      <c r="AC43" s="182" t="n"/>
      <c r="AD43" s="182">
        <f>IF(_epmOfflineCondition_,"FMOV",EPMOlapMemberO($AF$28,"[C_FLOW].[PARENTH1].[FMOV]","FMOV - 本期变动","","000"))</f>
        <v/>
      </c>
      <c r="AE43" s="182">
        <f>IF(_epmOfflineCondition_,"FMOV",EPMOlapMemberO($AF$28,"[C_FLOW].[PARENTH1].[FMOV]","FMOV - 本期变动","","000"))</f>
        <v/>
      </c>
      <c r="AF43" s="182" t="n"/>
      <c r="AG43" s="182" t="n"/>
      <c r="AH43" s="182">
        <f>IF(_epmOfflineCondition_,"F20",EPMOlapMemberO($AH$28,"[C_FLOW].[PARENTH1].[F20]","F20 - 本期增加","","000"))</f>
        <v/>
      </c>
      <c r="AI43" s="182" t="n"/>
      <c r="AJ43" s="182" t="n"/>
      <c r="AK43" s="182">
        <f>IF(_epmOfflineCondition_,"F20",EPMOlapMemberO($AH$28,"[C_FLOW].[PARENTH1].[F20]","F20 - 本期增加","","000"))</f>
        <v/>
      </c>
      <c r="AL43" s="692" t="n"/>
      <c r="AM43" s="692" t="n"/>
      <c r="AN43" s="182">
        <f>IF(_epmOfflineCondition_,"F20",EPMOlapMemberO($AH$28,"[C_FLOW].[PARENTH1].[F20]","F20 - 本期增加","","000"))</f>
        <v/>
      </c>
      <c r="AO43" s="692" t="n"/>
      <c r="AP43" s="692" t="n"/>
      <c r="AQ43" s="182">
        <f>IF(_epmOfflineCondition_,"F20",EPMOlapMemberO($AH$28,"[C_FLOW].[PARENTH1].[F20]","F20 - 本期增加","","000"))</f>
        <v/>
      </c>
      <c r="AR43" s="692" t="n"/>
      <c r="AS43" s="692" t="n"/>
    </row>
    <row r="44" hidden="1" ht="15.2" customFormat="1" customHeight="1" s="716">
      <c r="A44" s="716" t="n"/>
      <c r="B44" s="716" t="n"/>
      <c r="C44" s="716" t="n"/>
      <c r="D44" s="716" t="n"/>
      <c r="E44" s="716" t="n"/>
      <c r="F44" s="716" t="n"/>
      <c r="G44" s="716" t="n"/>
      <c r="H44" s="716" t="n"/>
      <c r="I44" s="716" t="n"/>
      <c r="J44" s="716" t="n"/>
      <c r="K44" s="716" t="n"/>
      <c r="L44" s="716" t="n"/>
      <c r="M44" s="716" t="n"/>
      <c r="N44" s="716" t="n"/>
      <c r="O44" s="716" t="n"/>
      <c r="P44" s="716" t="n"/>
      <c r="Q44" s="716" t="n"/>
      <c r="R44" s="716" t="n"/>
      <c r="S44" s="462" t="n"/>
      <c r="T44" s="716" t="n"/>
      <c r="U44" s="716" t="n"/>
      <c r="V44" s="716" t="n"/>
      <c r="W44" s="716" t="n"/>
      <c r="X44" s="451" t="inlineStr">
        <is>
          <t>measures</t>
        </is>
      </c>
      <c r="Y44" s="451" t="n"/>
      <c r="Z44" s="182">
        <f>IF(_epmOfflineCondition_,"Periodic",EPMOlapMemberO($AC$27,"[MEASURES].[].[PERIODIC]","PERIODIC - Periodic","","000"))</f>
        <v/>
      </c>
      <c r="AA44" s="182">
        <f>IF(_epmOfflineCondition_,"YTD",EPMOlapMemberO($AA$27,"[MEASURES].[].[YTD]","YTD - Year To Date","","000"))</f>
        <v/>
      </c>
      <c r="AB44" s="182">
        <f>IF(_epmOfflineCondition_,"Periodic",EPMOlapMemberO($AC$27,"[MEASURES].[].[PERIODIC]","PERIODIC - Periodic","","000"))</f>
        <v/>
      </c>
      <c r="AC44" s="182" t="n"/>
      <c r="AD44" s="182">
        <f>IF(_epmOfflineCondition_,"Periodic",EPMOlapMemberO($AC$27,"[MEASURES].[].[PERIODIC]","PERIODIC - Periodic","","000"))</f>
        <v/>
      </c>
      <c r="AE44" s="182">
        <f>IF(_epmOfflineCondition_,"Periodic",EPMOlapMemberO($AC$27,"[MEASURES].[].[PERIODIC]","PERIODIC - Periodic","","000"))</f>
        <v/>
      </c>
      <c r="AF44" s="182" t="n"/>
      <c r="AG44" s="182" t="n"/>
      <c r="AH44" s="182">
        <f>IF(_epmOfflineCondition_,"YTD",EPMOlapMemberO($AA$27,"[MEASURES].[].[YTD]","YTD - Year To Date","","000"))</f>
        <v/>
      </c>
      <c r="AI44" s="182" t="n"/>
      <c r="AJ44" s="182" t="n"/>
      <c r="AK44" s="182">
        <f>IF(_epmOfflineCondition_,"Periodic",EPMOlapMemberO($AH$27,"[MEASURES].[].[PERIODIC]","PERIODIC - Periodic","","000"))</f>
        <v/>
      </c>
      <c r="AL44" s="692" t="n"/>
      <c r="AM44" s="692" t="n"/>
      <c r="AN44" s="182">
        <f>IF(_epmOfflineCondition_,"YTD",EPMOlapMemberO($AI$27,"[MEASURES].[].[YTD]","YTD - Year To Date","","000"))</f>
        <v/>
      </c>
      <c r="AO44" s="692" t="n"/>
      <c r="AP44" s="692" t="n"/>
      <c r="AQ44" s="182">
        <f>IF(_epmOfflineCondition_,"YTD",EPMOlapMemberO($AI$27,"[MEASURES].[].[YTD]","YTD - Year To Date","","000"))</f>
        <v/>
      </c>
      <c r="AR44" s="692" t="n"/>
      <c r="AS44" s="692" t="n"/>
    </row>
    <row r="45" hidden="1" ht="15.2" customFormat="1" customHeight="1" s="716">
      <c r="A45" s="716" t="n"/>
      <c r="B45" s="716" t="n"/>
      <c r="C45" s="716" t="n"/>
      <c r="D45" s="716" t="n"/>
      <c r="E45" s="716" t="n"/>
      <c r="F45" s="716" t="n"/>
      <c r="G45" s="716" t="n"/>
      <c r="H45" s="716" t="n"/>
      <c r="I45" s="716" t="n"/>
      <c r="J45" s="716" t="n"/>
      <c r="K45" s="716" t="n"/>
      <c r="L45" s="716" t="n"/>
      <c r="M45" s="716" t="n"/>
      <c r="N45" s="716" t="n"/>
      <c r="O45" s="716" t="n"/>
      <c r="P45" s="716" t="n"/>
      <c r="Q45" s="716" t="n"/>
      <c r="R45" s="716" t="n"/>
      <c r="S45" s="462" t="n"/>
      <c r="T45" s="716" t="n"/>
      <c r="U45" s="716" t="n"/>
      <c r="V45" s="716" t="n"/>
      <c r="W45" s="716" t="n"/>
      <c r="X45" s="707" t="inlineStr">
        <is>
          <t>币种</t>
        </is>
      </c>
      <c r="Y45" s="707" t="n"/>
      <c r="Z45" s="1000">
        <f>IF(_epmOfflineCondition_,"LC",EPMOlapMemberO($Z$37,"[C_RPTCURRENCY].[].[LC]","LC - 本位币","","000"))</f>
        <v/>
      </c>
      <c r="AA45" s="1000">
        <f>IF(_epmOfflineCondition_,"LC",EPMOlapMemberO($Z$37,"[C_RPTCURRENCY].[].[LC]","LC - 本位币","","000"))</f>
        <v/>
      </c>
      <c r="AB45" s="1000">
        <f>IF(_epmOfflineCondition_,"LC",EPMOlapMemberO($Z$37,"[C_RPTCURRENCY].[].[LC]","LC - 本位币","","000"))</f>
        <v/>
      </c>
      <c r="AC45" s="1258" t="n"/>
      <c r="AD45" s="1000">
        <f>IF(_epmOfflineCondition_,"LC",EPMOlapMemberO($Z$37,"[C_RPTCURRENCY].[].[LC]","LC - 本位币","","000"))</f>
        <v/>
      </c>
      <c r="AE45" s="1000">
        <f>IF(_epmOfflineCondition_,"LC",EPMOlapMemberO($Z$37,"[C_RPTCURRENCY].[].[LC]","LC - 本位币","","000"))</f>
        <v/>
      </c>
      <c r="AF45" s="1258" t="n"/>
      <c r="AG45" s="1258" t="n"/>
      <c r="AH45" s="1000">
        <f>IF(_epmOfflineCondition_,"LC",EPMOlapMemberO($Z$37,"[C_RPTCURRENCY].[].[LC]","LC - 本位币","","000"))</f>
        <v/>
      </c>
      <c r="AI45" s="1258" t="n"/>
      <c r="AJ45" s="1258" t="n"/>
      <c r="AK45" s="1000">
        <f>IF(_epmOfflineCondition_,"CNY",EPMOlapMemberO($AK$30,"[C_RPTCURRENCY].[].[CNY]","CNY - 人民币","","000"))</f>
        <v/>
      </c>
      <c r="AL45" s="693" t="n"/>
      <c r="AM45" s="693" t="n"/>
      <c r="AN45" s="1000">
        <f>IF(_epmOfflineCondition_,"CNY",EPMOlapMemberO($AN$30,"[C_RPTCURRENCY].[].[CNY]","CNY - 人民币","","000"))</f>
        <v/>
      </c>
      <c r="AO45" s="693" t="n"/>
      <c r="AP45" s="693" t="n"/>
      <c r="AQ45" s="1000">
        <f>IF(_epmOfflineCondition_,"CNY",EPMOlapMemberO($AQ$30,"[C_RPTCURRENCY].[].[CNY]","CNY - 人民币","","000"))</f>
        <v/>
      </c>
      <c r="AR45" s="1000" t="n"/>
      <c r="AS45" s="1000" t="n"/>
    </row>
    <row r="46" ht="15.2" customFormat="1" customHeight="1" s="716">
      <c r="A46" s="716" t="n"/>
      <c r="B46" s="716" t="n"/>
      <c r="C46" s="716" t="n"/>
      <c r="D46" s="716" t="n"/>
      <c r="E46" s="716" t="n"/>
      <c r="F46" s="716" t="n"/>
      <c r="G46" s="716" t="n"/>
      <c r="H46" s="716" t="n"/>
      <c r="I46" s="716" t="n"/>
      <c r="J46" s="716" t="n"/>
      <c r="K46" s="716" t="n"/>
      <c r="L46" s="716" t="n"/>
      <c r="M46" s="716" t="n"/>
      <c r="N46" s="716" t="n"/>
      <c r="O46" s="716" t="n"/>
      <c r="P46" s="716" t="n"/>
      <c r="Q46" s="716" t="n"/>
      <c r="R46" s="716" t="n"/>
      <c r="S46" s="462">
        <f>IF(_epmOfflineCondition_,"一、经营活动产生的现金流量：",EPMMemberDesc(U46))</f>
        <v/>
      </c>
      <c r="T46" s="716" t="n"/>
      <c r="U46" s="716" t="inlineStr">
        <is>
          <t>A00301</t>
        </is>
      </c>
      <c r="V46" s="455">
        <f>IF(_epmOfflineCondition_,"A00301",EPMOlapMemberO(U46,"[C_ACCOUNT].[PARENTH1].[A00301]","A00301 - 一、经营活动产生的现金流量：","","000"))</f>
        <v/>
      </c>
      <c r="W46" s="462" t="n"/>
      <c r="X46" s="454" t="inlineStr">
        <is>
          <t>一、经营活动产生的现金流量：</t>
        </is>
      </c>
      <c r="Y46" s="1185" t="inlineStr">
        <is>
          <t>-</t>
        </is>
      </c>
      <c r="Z46" s="1249" t="n"/>
      <c r="AA46" s="1249" t="n"/>
      <c r="AB46" s="1250" t="n"/>
      <c r="AC46" s="1249">
        <f>Z46-AB46</f>
        <v/>
      </c>
      <c r="AD46" s="1249">
        <f>IF(AB46=0,0,(Z46-AB46)/AB46*100)</f>
        <v/>
      </c>
      <c r="AE46" s="1249" t="n"/>
      <c r="AF46" s="1249">
        <f>Z46-AE46</f>
        <v/>
      </c>
      <c r="AG46" s="1249">
        <f>IF(AE46=0,0,(Z46-AE46)/AE46*100)</f>
        <v/>
      </c>
      <c r="AH46" s="1249" t="n"/>
      <c r="AI46" s="1249">
        <f>AA46-AH46</f>
        <v/>
      </c>
      <c r="AJ46" s="1249">
        <f>IF(AH46=0,0,(AA46-AH46)/AH46*100)</f>
        <v/>
      </c>
      <c r="AK46" s="1249" t="n"/>
      <c r="AL46" s="1251">
        <f>Z46-AK46</f>
        <v/>
      </c>
      <c r="AM46" s="1249">
        <f>IF(AK46=0,0,Z46/AK46*100)</f>
        <v/>
      </c>
      <c r="AN46" s="1249" t="n"/>
      <c r="AO46" s="1251">
        <f>AA46-AN46</f>
        <v/>
      </c>
      <c r="AP46" s="1249">
        <f>IF(AN46=0,0,AA46/AN46*100)</f>
        <v/>
      </c>
      <c r="AQ46" s="1249" t="n"/>
      <c r="AR46" s="1260">
        <f>AA46-AQ46</f>
        <v/>
      </c>
      <c r="AS46" s="1259">
        <f>IF(AQ46=0,0,AA46/AQ46*100)</f>
        <v/>
      </c>
    </row>
    <row r="47" ht="15.2" customFormat="1" customHeight="1" s="716">
      <c r="A47" s="716" t="n"/>
      <c r="B47" s="716" t="n"/>
      <c r="C47" s="716" t="n"/>
      <c r="D47" s="716" t="n"/>
      <c r="E47" s="716" t="n"/>
      <c r="F47" s="716" t="n"/>
      <c r="G47" s="716" t="n"/>
      <c r="H47" s="716" t="n"/>
      <c r="I47" s="716" t="n"/>
      <c r="J47" s="716" t="n"/>
      <c r="K47" s="716" t="n"/>
      <c r="L47" s="716" t="n"/>
      <c r="M47" s="716" t="n"/>
      <c r="N47" s="716" t="n"/>
      <c r="O47" s="716" t="n"/>
      <c r="P47" s="716" t="n"/>
      <c r="Q47" s="716" t="n"/>
      <c r="R47" s="716" t="n"/>
      <c r="S47" s="462">
        <f>IF(_epmOfflineCondition_,"销售商品、提供劳务收到的现金",EPMMemberDesc(U47))</f>
        <v/>
      </c>
      <c r="T47" s="716" t="n"/>
      <c r="U47" s="716" t="inlineStr">
        <is>
          <t>A0030101</t>
        </is>
      </c>
      <c r="V47" s="635">
        <f>IF(_epmOfflineCondition_,"A0030101",EPMOlapMemberO(U47,"[C_ACCOUNT].[PARENTH1].[A0030101]","A0030101 - 销售商品、提供劳务收到的现金","","000"))</f>
        <v/>
      </c>
      <c r="W47" s="462" t="n"/>
      <c r="X47" s="585" t="inlineStr">
        <is>
          <t xml:space="preserve">　　 销售商品、提供劳务收到的现金</t>
        </is>
      </c>
      <c r="Y47" s="1185" t="inlineStr"/>
      <c r="Z47" s="1249" t="inlineStr"/>
      <c r="AA47" s="1249" t="inlineStr"/>
      <c r="AB47" s="1250" t="inlineStr"/>
      <c r="AC47" s="1249">
        <f>Z47-AB47</f>
        <v/>
      </c>
      <c r="AD47" s="1249">
        <f>IF(AB47=0,0,(Z47-AB47)/AB47*100)</f>
        <v/>
      </c>
      <c r="AE47" s="1249" t="n"/>
      <c r="AF47" s="1249">
        <f>Z47-AE47</f>
        <v/>
      </c>
      <c r="AG47" s="1249">
        <f>IF(AE47=0,0,(Z47-AE47)/AE47*100)</f>
        <v/>
      </c>
      <c r="AH47" s="1249" t="n"/>
      <c r="AI47" s="1249">
        <f>AA47-AH47</f>
        <v/>
      </c>
      <c r="AJ47" s="1249">
        <f>IF(AH47=0,0,(AA47-AH47)/AH47*100)</f>
        <v/>
      </c>
      <c r="AK47" s="1251" t="n"/>
      <c r="AL47" s="1251">
        <f>Z47-AK47</f>
        <v/>
      </c>
      <c r="AM47" s="1249">
        <f>IF(AK47=0,0,Z47/AK47*100)</f>
        <v/>
      </c>
      <c r="AN47" s="1251" t="n"/>
      <c r="AO47" s="1251">
        <f>AA47-AN47</f>
        <v/>
      </c>
      <c r="AP47" s="1249">
        <f>IF(AN47=0,0,AA47/AN47*100)</f>
        <v/>
      </c>
      <c r="AQ47" s="1251" t="n"/>
      <c r="AR47" s="1260">
        <f>AA47-AQ47</f>
        <v/>
      </c>
      <c r="AS47" s="1259">
        <f>IF(AQ47=0,0,AA47/AQ47*100)</f>
        <v/>
      </c>
    </row>
    <row r="48" ht="17" customFormat="1" customHeight="1" s="716">
      <c r="A48" s="716" t="n"/>
      <c r="B48" s="716" t="n"/>
      <c r="C48" s="716" t="n"/>
      <c r="D48" s="716" t="n"/>
      <c r="E48" s="716" t="n"/>
      <c r="F48" s="716" t="n"/>
      <c r="G48" s="716" t="n"/>
      <c r="H48" s="716" t="n"/>
      <c r="I48" s="716" t="n"/>
      <c r="J48" s="716" t="n"/>
      <c r="K48" s="716" t="n"/>
      <c r="L48" s="716" t="n"/>
      <c r="M48" s="716" t="n"/>
      <c r="N48" s="716" t="n"/>
      <c r="O48" s="716" t="n"/>
      <c r="P48" s="716" t="n"/>
      <c r="Q48" s="716" t="n"/>
      <c r="R48" s="716" t="n"/>
      <c r="S48" s="462">
        <f>IF(_epmOfflineCondition_,"    # 客户存款和同业存放款项净增加额",EPMMemberDesc(U48))</f>
        <v/>
      </c>
      <c r="T48" s="716" t="n"/>
      <c r="U48" s="716" t="inlineStr">
        <is>
          <t>A0030102</t>
        </is>
      </c>
      <c r="V48" s="635">
        <f>IF(_epmOfflineCondition_,"A0030102",EPMOlapMemberO(U48,"[C_ACCOUNT].[PARENTH1].[A0030102]","A0030102 -     # 客户存款和同业存放款项净增加额","","000"))</f>
        <v/>
      </c>
      <c r="W48" s="462" t="n"/>
      <c r="X48" s="999" t="inlineStr">
        <is>
          <t xml:space="preserve">  △客户存款和同业存放款项净增加额</t>
        </is>
      </c>
      <c r="Y48" s="1185" t="inlineStr"/>
      <c r="Z48" s="1249" t="n"/>
      <c r="AA48" s="1249" t="n"/>
      <c r="AB48" s="1250" t="n"/>
      <c r="AC48" s="1249">
        <f>Z48-AB48</f>
        <v/>
      </c>
      <c r="AD48" s="1249">
        <f>IF(AB48=0,0,(Z48-AB48)/AB48*100)</f>
        <v/>
      </c>
      <c r="AE48" s="1249" t="n"/>
      <c r="AF48" s="1249">
        <f>Z48-AE48</f>
        <v/>
      </c>
      <c r="AG48" s="1249">
        <f>IF(AE48=0,0,(Z48-AE48)/AE48*100)</f>
        <v/>
      </c>
      <c r="AH48" s="1249" t="n"/>
      <c r="AI48" s="1249">
        <f>AA48-AH48</f>
        <v/>
      </c>
      <c r="AJ48" s="1249">
        <f>IF(AH48=0,0,(AA48-AH48)/AH48*100)</f>
        <v/>
      </c>
      <c r="AK48" s="1251" t="n"/>
      <c r="AL48" s="1251">
        <f>Z48-AK48</f>
        <v/>
      </c>
      <c r="AM48" s="1249">
        <f>IF(AK48=0,0,Z48/AK48*100)</f>
        <v/>
      </c>
      <c r="AN48" s="1251" t="n"/>
      <c r="AO48" s="1251">
        <f>AA48-AN48</f>
        <v/>
      </c>
      <c r="AP48" s="1249">
        <f>IF(AN48=0,0,AA48/AN48*100)</f>
        <v/>
      </c>
      <c r="AQ48" s="1251" t="n"/>
      <c r="AR48" s="1260">
        <f>AA48-AQ48</f>
        <v/>
      </c>
      <c r="AS48" s="1259">
        <f>IF(AQ48=0,0,AA48/AQ48*100)</f>
        <v/>
      </c>
    </row>
    <row r="49" ht="17" customFormat="1" customHeight="1" s="716">
      <c r="A49" s="716" t="n"/>
      <c r="B49" s="716" t="n"/>
      <c r="C49" s="716" t="n"/>
      <c r="D49" s="716" t="n"/>
      <c r="E49" s="716" t="n"/>
      <c r="F49" s="716" t="n"/>
      <c r="G49" s="716" t="n"/>
      <c r="H49" s="716" t="n"/>
      <c r="I49" s="716" t="n"/>
      <c r="J49" s="716" t="n"/>
      <c r="K49" s="716" t="n"/>
      <c r="L49" s="716" t="n"/>
      <c r="M49" s="716" t="n"/>
      <c r="N49" s="716" t="n"/>
      <c r="O49" s="716" t="n"/>
      <c r="P49" s="716" t="n"/>
      <c r="Q49" s="716" t="n"/>
      <c r="R49" s="716" t="n"/>
      <c r="S49" s="462">
        <f>IF(_epmOfflineCondition_,"    # 向中央银行借款净增加额",EPMMemberDesc(U49))</f>
        <v/>
      </c>
      <c r="T49" s="716" t="n"/>
      <c r="U49" s="716" t="inlineStr">
        <is>
          <t>A0030103</t>
        </is>
      </c>
      <c r="V49" s="635">
        <f>IF(_epmOfflineCondition_,"A0030103",EPMOlapMemberO(U49,"[C_ACCOUNT].[PARENTH1].[A0030103]","A0030103 -     # 向中央银行借款净增加额","","000"))</f>
        <v/>
      </c>
      <c r="W49" s="462" t="n"/>
      <c r="X49" s="999" t="inlineStr">
        <is>
          <t xml:space="preserve">  △向中央银行借款净增加额</t>
        </is>
      </c>
      <c r="Y49" s="1185" t="inlineStr"/>
      <c r="Z49" s="1249" t="n"/>
      <c r="AA49" s="1249" t="n"/>
      <c r="AB49" s="1249" t="n"/>
      <c r="AC49" s="1249">
        <f>Z49-AB49</f>
        <v/>
      </c>
      <c r="AD49" s="1249">
        <f>IF(AB49=0,0,(Z49-AB49)/AB49*100)</f>
        <v/>
      </c>
      <c r="AE49" s="1249" t="n"/>
      <c r="AF49" s="1249">
        <f>Z49-AE49</f>
        <v/>
      </c>
      <c r="AG49" s="1249">
        <f>IF(AE49=0,0,(Z49-AE49)/AE49*100)</f>
        <v/>
      </c>
      <c r="AH49" s="1249" t="n"/>
      <c r="AI49" s="1249">
        <f>AA49-AH49</f>
        <v/>
      </c>
      <c r="AJ49" s="1249">
        <f>IF(AH49=0,0,(AA49-AH49)/AH49*100)</f>
        <v/>
      </c>
      <c r="AK49" s="1251" t="n"/>
      <c r="AL49" s="1251">
        <f>Z49-AK49</f>
        <v/>
      </c>
      <c r="AM49" s="1249">
        <f>IF(AK49=0,0,Z49/AK49*100)</f>
        <v/>
      </c>
      <c r="AN49" s="1251" t="n"/>
      <c r="AO49" s="1251">
        <f>AA49-AN49</f>
        <v/>
      </c>
      <c r="AP49" s="1249">
        <f>IF(AN49=0,0,AA49/AN49*100)</f>
        <v/>
      </c>
      <c r="AQ49" s="1251" t="n"/>
      <c r="AR49" s="1260">
        <f>AA49-AQ49</f>
        <v/>
      </c>
      <c r="AS49" s="1259">
        <f>IF(AQ49=0,0,AA49/AQ49*100)</f>
        <v/>
      </c>
    </row>
    <row r="50" ht="17" customFormat="1" customHeight="1" s="716">
      <c r="A50" s="716" t="n"/>
      <c r="B50" s="716" t="n"/>
      <c r="C50" s="716" t="n"/>
      <c r="D50" s="716" t="n"/>
      <c r="E50" s="716" t="n"/>
      <c r="F50" s="716" t="n"/>
      <c r="G50" s="716" t="n"/>
      <c r="H50" s="716" t="n"/>
      <c r="I50" s="716" t="n"/>
      <c r="J50" s="716" t="n"/>
      <c r="K50" s="716" t="n"/>
      <c r="L50" s="716" t="n"/>
      <c r="M50" s="716" t="n"/>
      <c r="N50" s="716" t="n"/>
      <c r="O50" s="716" t="n"/>
      <c r="P50" s="716" t="n"/>
      <c r="Q50" s="716" t="n"/>
      <c r="R50" s="716" t="n"/>
      <c r="S50" s="462">
        <f>IF(_epmOfflineCondition_,"    # 向其他金融机构拆入资金净增加额",EPMMemberDesc(U50))</f>
        <v/>
      </c>
      <c r="T50" s="716" t="n"/>
      <c r="U50" s="716" t="inlineStr">
        <is>
          <t>A0030104</t>
        </is>
      </c>
      <c r="V50" s="635">
        <f>IF(_epmOfflineCondition_,"A0030104",EPMOlapMemberO(U50,"[C_ACCOUNT].[PARENTH1].[A0030104]","A0030104 -     # 向其他金融机构拆入资金净增加额","","000"))</f>
        <v/>
      </c>
      <c r="W50" s="462" t="n"/>
      <c r="X50" s="999" t="inlineStr">
        <is>
          <t xml:space="preserve">  △向其他金融机构拆入资金净增加额</t>
        </is>
      </c>
      <c r="Y50" s="1185" t="inlineStr"/>
      <c r="Z50" s="1249" t="n"/>
      <c r="AA50" s="1249" t="n"/>
      <c r="AB50" s="1250" t="n"/>
      <c r="AC50" s="1249">
        <f>Z50-AB50</f>
        <v/>
      </c>
      <c r="AD50" s="1249">
        <f>IF(AB50=0,0,(Z50-AB50)/AB50*100)</f>
        <v/>
      </c>
      <c r="AE50" s="1249" t="n"/>
      <c r="AF50" s="1249">
        <f>Z50-AE50</f>
        <v/>
      </c>
      <c r="AG50" s="1249">
        <f>IF(AE50=0,0,(Z50-AE50)/AE50*100)</f>
        <v/>
      </c>
      <c r="AH50" s="1249" t="n"/>
      <c r="AI50" s="1249">
        <f>AA50-AH50</f>
        <v/>
      </c>
      <c r="AJ50" s="1249">
        <f>IF(AH50=0,0,(AA50-AH50)/AH50*100)</f>
        <v/>
      </c>
      <c r="AK50" s="1251" t="n"/>
      <c r="AL50" s="1251">
        <f>Z50-AK50</f>
        <v/>
      </c>
      <c r="AM50" s="1249">
        <f>IF(AK50=0,0,Z50/AK50*100)</f>
        <v/>
      </c>
      <c r="AN50" s="1251" t="n"/>
      <c r="AO50" s="1251">
        <f>AA50-AN50</f>
        <v/>
      </c>
      <c r="AP50" s="1249">
        <f>IF(AN50=0,0,AA50/AN50*100)</f>
        <v/>
      </c>
      <c r="AQ50" s="1251" t="n"/>
      <c r="AR50" s="1260">
        <f>AA50-AQ50</f>
        <v/>
      </c>
      <c r="AS50" s="1259">
        <f>IF(AQ50=0,0,AA50/AQ50*100)</f>
        <v/>
      </c>
    </row>
    <row r="51" ht="17" customFormat="1" customHeight="1" s="716">
      <c r="A51" s="716" t="n"/>
      <c r="B51" s="716" t="n"/>
      <c r="C51" s="716" t="n"/>
      <c r="D51" s="716" t="n"/>
      <c r="E51" s="716" t="n"/>
      <c r="F51" s="716" t="n"/>
      <c r="G51" s="716" t="n"/>
      <c r="H51" s="716" t="n"/>
      <c r="I51" s="716" t="n"/>
      <c r="J51" s="716" t="n"/>
      <c r="K51" s="716" t="n"/>
      <c r="L51" s="716" t="n"/>
      <c r="M51" s="716" t="n"/>
      <c r="N51" s="716" t="n"/>
      <c r="O51" s="716" t="n"/>
      <c r="P51" s="716" t="n"/>
      <c r="Q51" s="716" t="n"/>
      <c r="R51" s="716" t="n"/>
      <c r="S51" s="462">
        <f>IF(_epmOfflineCondition_,"    # 处置以公允价值计量且其变动计入当期损益的金融资产净增加额",EPMMemberDesc(U51))</f>
        <v/>
      </c>
      <c r="T51" s="716" t="n"/>
      <c r="U51" s="716" t="inlineStr">
        <is>
          <t>A0030105</t>
        </is>
      </c>
      <c r="V51" s="635">
        <f>IF(_epmOfflineCondition_,"A0030105",EPMOlapMemberO(U51,"[C_ACCOUNT].[PARENTH1].[A0030105]","A0030105 -     # 处置以公允价值计量且其变动计入当期损益的金融资产净增加额","","000"))</f>
        <v/>
      </c>
      <c r="W51" s="462" t="n"/>
      <c r="X51" s="999" t="inlineStr">
        <is>
          <t xml:space="preserve">  △处置以公允价值计量且其变动计入当期损益的金融资产净增加额</t>
        </is>
      </c>
      <c r="Y51" s="1185" t="inlineStr"/>
      <c r="Z51" s="1249" t="n"/>
      <c r="AA51" s="1249" t="n"/>
      <c r="AB51" s="1250" t="n"/>
      <c r="AC51" s="1249">
        <f>Z51-AB51</f>
        <v/>
      </c>
      <c r="AD51" s="1249">
        <f>IF(AB51=0,0,(Z51-AB51)/AB51*100)</f>
        <v/>
      </c>
      <c r="AE51" s="1249" t="n"/>
      <c r="AF51" s="1249">
        <f>Z51-AE51</f>
        <v/>
      </c>
      <c r="AG51" s="1249">
        <f>IF(AE51=0,0,(Z51-AE51)/AE51*100)</f>
        <v/>
      </c>
      <c r="AH51" s="1249" t="n"/>
      <c r="AI51" s="1249">
        <f>AA51-AH51</f>
        <v/>
      </c>
      <c r="AJ51" s="1249">
        <f>IF(AH51=0,0,(AA51-AH51)/AH51*100)</f>
        <v/>
      </c>
      <c r="AK51" s="1251" t="n"/>
      <c r="AL51" s="1251">
        <f>Z51-AK51</f>
        <v/>
      </c>
      <c r="AM51" s="1249">
        <f>IF(AK51=0,0,Z51/AK51*100)</f>
        <v/>
      </c>
      <c r="AN51" s="1251" t="n"/>
      <c r="AO51" s="1251">
        <f>AA51-AN51</f>
        <v/>
      </c>
      <c r="AP51" s="1249">
        <f>IF(AN51=0,0,AA51/AN51*100)</f>
        <v/>
      </c>
      <c r="AQ51" s="1251" t="n"/>
      <c r="AR51" s="1260">
        <f>AA51-AQ51</f>
        <v/>
      </c>
      <c r="AS51" s="1259">
        <f>IF(AQ51=0,0,AA51/AQ51*100)</f>
        <v/>
      </c>
    </row>
    <row r="52" ht="17" customFormat="1" customHeight="1" s="716">
      <c r="A52" s="716" t="n"/>
      <c r="B52" s="716" t="n"/>
      <c r="C52" s="716" t="n"/>
      <c r="D52" s="716" t="n"/>
      <c r="E52" s="716" t="n"/>
      <c r="F52" s="716" t="n"/>
      <c r="G52" s="716" t="n"/>
      <c r="H52" s="716" t="n"/>
      <c r="I52" s="716" t="n"/>
      <c r="J52" s="716" t="n"/>
      <c r="K52" s="716" t="n"/>
      <c r="L52" s="716" t="n"/>
      <c r="M52" s="716" t="n"/>
      <c r="N52" s="716" t="n"/>
      <c r="O52" s="716" t="n"/>
      <c r="P52" s="716" t="n"/>
      <c r="Q52" s="716" t="n"/>
      <c r="R52" s="716" t="n"/>
      <c r="S52" s="462">
        <f>IF(_epmOfflineCondition_,"　# 收取利息、手续费及佣金的现金",EPMMemberDesc(U52))</f>
        <v/>
      </c>
      <c r="T52" s="716" t="n"/>
      <c r="U52" s="716" t="inlineStr">
        <is>
          <t>A0030106</t>
        </is>
      </c>
      <c r="V52" s="635">
        <f>IF(_epmOfflineCondition_,"A0030106",EPMOlapMemberO(U52,"[C_ACCOUNT].[PARENTH1].[A0030106]","A0030106 - 　# 收取利息、手续费及佣金的现金","","000"))</f>
        <v/>
      </c>
      <c r="W52" s="462" t="n"/>
      <c r="X52" s="999" t="inlineStr">
        <is>
          <t xml:space="preserve">  △收取利息、手续费及佣金的现金</t>
        </is>
      </c>
      <c r="Y52" s="1185" t="inlineStr"/>
      <c r="Z52" s="1249" t="n"/>
      <c r="AA52" s="1249" t="n"/>
      <c r="AB52" s="1250" t="n"/>
      <c r="AC52" s="1249">
        <f>Z52-AB52</f>
        <v/>
      </c>
      <c r="AD52" s="1249">
        <f>IF(AB52=0,0,(Z52-AB52)/AB52*100)</f>
        <v/>
      </c>
      <c r="AE52" s="1249" t="n"/>
      <c r="AF52" s="1249">
        <f>Z52-AE52</f>
        <v/>
      </c>
      <c r="AG52" s="1249">
        <f>IF(AE52=0,0,(Z52-AE52)/AE52*100)</f>
        <v/>
      </c>
      <c r="AH52" s="1249" t="n"/>
      <c r="AI52" s="1249">
        <f>AA52-AH52</f>
        <v/>
      </c>
      <c r="AJ52" s="1249">
        <f>IF(AH52=0,0,(AA52-AH52)/AH52*100)</f>
        <v/>
      </c>
      <c r="AK52" s="1251" t="n"/>
      <c r="AL52" s="1251">
        <f>Z52-AK52</f>
        <v/>
      </c>
      <c r="AM52" s="1249">
        <f>IF(AK52=0,0,Z52/AK52*100)</f>
        <v/>
      </c>
      <c r="AN52" s="1251" t="n"/>
      <c r="AO52" s="1251">
        <f>AA52-AN52</f>
        <v/>
      </c>
      <c r="AP52" s="1249">
        <f>IF(AN52=0,0,AA52/AN52*100)</f>
        <v/>
      </c>
      <c r="AQ52" s="1251" t="n"/>
      <c r="AR52" s="1260">
        <f>AA52-AQ52</f>
        <v/>
      </c>
      <c r="AS52" s="1259">
        <f>IF(AQ52=0,0,AA52/AQ52*100)</f>
        <v/>
      </c>
    </row>
    <row r="53" ht="17" customFormat="1" customHeight="1" s="716">
      <c r="A53" s="716" t="n"/>
      <c r="B53" s="716" t="n"/>
      <c r="C53" s="716" t="n"/>
      <c r="D53" s="716" t="n"/>
      <c r="E53" s="716" t="n"/>
      <c r="F53" s="716" t="n"/>
      <c r="G53" s="716" t="n"/>
      <c r="H53" s="716" t="n"/>
      <c r="I53" s="716" t="n"/>
      <c r="J53" s="716" t="n"/>
      <c r="K53" s="716" t="n"/>
      <c r="L53" s="716" t="n"/>
      <c r="M53" s="716" t="n"/>
      <c r="N53" s="716" t="n"/>
      <c r="O53" s="716" t="n"/>
      <c r="P53" s="716" t="n"/>
      <c r="Q53" s="716" t="n"/>
      <c r="R53" s="716" t="n"/>
      <c r="S53" s="462">
        <f>IF(_epmOfflineCondition_,"    # 拆入资金净增加额",EPMMemberDesc(U53))</f>
        <v/>
      </c>
      <c r="T53" s="716" t="n"/>
      <c r="U53" s="716" t="inlineStr">
        <is>
          <t>A0030107</t>
        </is>
      </c>
      <c r="V53" s="635">
        <f>IF(_epmOfflineCondition_,"A0030107",EPMOlapMemberO(U53,"[C_ACCOUNT].[PARENTH1].[A0030107]","A0030107 -     # 拆入资金净增加额","","000"))</f>
        <v/>
      </c>
      <c r="W53" s="462" t="n"/>
      <c r="X53" s="999" t="inlineStr">
        <is>
          <t xml:space="preserve">  △拆入资金净增加额</t>
        </is>
      </c>
      <c r="Y53" s="1185" t="inlineStr"/>
      <c r="Z53" s="1249" t="n"/>
      <c r="AA53" s="1249" t="n"/>
      <c r="AB53" s="1250" t="n"/>
      <c r="AC53" s="1249">
        <f>Z53-AB53</f>
        <v/>
      </c>
      <c r="AD53" s="1249">
        <f>IF(AB53=0,0,(Z53-AB53)/AB53*100)</f>
        <v/>
      </c>
      <c r="AE53" s="1249" t="n"/>
      <c r="AF53" s="1249">
        <f>Z53-AE53</f>
        <v/>
      </c>
      <c r="AG53" s="1249">
        <f>IF(AE53=0,0,(Z53-AE53)/AE53*100)</f>
        <v/>
      </c>
      <c r="AH53" s="1249" t="n"/>
      <c r="AI53" s="1249">
        <f>AA53-AH53</f>
        <v/>
      </c>
      <c r="AJ53" s="1249">
        <f>IF(AH53=0,0,(AA53-AH53)/AH53*100)</f>
        <v/>
      </c>
      <c r="AK53" s="1251" t="n"/>
      <c r="AL53" s="1251">
        <f>Z53-AK53</f>
        <v/>
      </c>
      <c r="AM53" s="1249">
        <f>IF(AK53=0,0,Z53/AK53*100)</f>
        <v/>
      </c>
      <c r="AN53" s="1251" t="n"/>
      <c r="AO53" s="1251">
        <f>AA53-AN53</f>
        <v/>
      </c>
      <c r="AP53" s="1249">
        <f>IF(AN53=0,0,AA53/AN53*100)</f>
        <v/>
      </c>
      <c r="AQ53" s="1251" t="n"/>
      <c r="AR53" s="1260">
        <f>AA53-AQ53</f>
        <v/>
      </c>
      <c r="AS53" s="1259">
        <f>IF(AQ53=0,0,AA53/AQ53*100)</f>
        <v/>
      </c>
    </row>
    <row r="54" ht="17" customFormat="1" customHeight="1" s="716">
      <c r="A54" s="716" t="n"/>
      <c r="B54" s="716" t="n"/>
      <c r="C54" s="716" t="n"/>
      <c r="D54" s="716" t="n"/>
      <c r="E54" s="716" t="n"/>
      <c r="F54" s="716" t="n"/>
      <c r="G54" s="716" t="n"/>
      <c r="H54" s="716" t="n"/>
      <c r="I54" s="716" t="n"/>
      <c r="J54" s="716" t="n"/>
      <c r="K54" s="716" t="n"/>
      <c r="L54" s="716" t="n"/>
      <c r="M54" s="716" t="n"/>
      <c r="N54" s="716" t="n"/>
      <c r="O54" s="716" t="n"/>
      <c r="P54" s="716" t="n"/>
      <c r="Q54" s="716" t="n"/>
      <c r="R54" s="716" t="n"/>
      <c r="S54" s="462">
        <f>IF(_epmOfflineCondition_,"    # 回购业务资金净增加额",EPMMemberDesc(U54))</f>
        <v/>
      </c>
      <c r="T54" s="716" t="n"/>
      <c r="U54" s="716" t="inlineStr">
        <is>
          <t>A0030108</t>
        </is>
      </c>
      <c r="V54" s="635">
        <f>IF(_epmOfflineCondition_,"A0030108",EPMOlapMemberO(U54,"[C_ACCOUNT].[PARENTH1].[A0030108]","A0030108 -     # 回购业务资金净增加额","","000"))</f>
        <v/>
      </c>
      <c r="W54" s="462" t="n"/>
      <c r="X54" s="999" t="inlineStr">
        <is>
          <t xml:space="preserve">  △回购业务资金净增加额</t>
        </is>
      </c>
      <c r="Y54" s="1185" t="inlineStr"/>
      <c r="Z54" s="1249" t="n"/>
      <c r="AA54" s="1249" t="n"/>
      <c r="AB54" s="1250" t="n"/>
      <c r="AC54" s="1249">
        <f>Z54-AB54</f>
        <v/>
      </c>
      <c r="AD54" s="1249">
        <f>IF(AB54=0,0,(Z54-AB54)/AB54*100)</f>
        <v/>
      </c>
      <c r="AE54" s="1249" t="n"/>
      <c r="AF54" s="1249">
        <f>Z54-AE54</f>
        <v/>
      </c>
      <c r="AG54" s="1249">
        <f>IF(AE54=0,0,(Z54-AE54)/AE54*100)</f>
        <v/>
      </c>
      <c r="AH54" s="1249" t="n"/>
      <c r="AI54" s="1249">
        <f>AA54-AH54</f>
        <v/>
      </c>
      <c r="AJ54" s="1249">
        <f>IF(AH54=0,0,(AA54-AH54)/AH54*100)</f>
        <v/>
      </c>
      <c r="AK54" s="1251" t="n"/>
      <c r="AL54" s="1251">
        <f>Z54-AK54</f>
        <v/>
      </c>
      <c r="AM54" s="1249">
        <f>IF(AK54=0,0,Z54/AK54*100)</f>
        <v/>
      </c>
      <c r="AN54" s="1251" t="n"/>
      <c r="AO54" s="1251">
        <f>AA54-AN54</f>
        <v/>
      </c>
      <c r="AP54" s="1249">
        <f>IF(AN54=0,0,AA54/AN54*100)</f>
        <v/>
      </c>
      <c r="AQ54" s="1251" t="n"/>
      <c r="AR54" s="1260">
        <f>AA54-AQ54</f>
        <v/>
      </c>
      <c r="AS54" s="1259">
        <f>IF(AQ54=0,0,AA54/AQ54*100)</f>
        <v/>
      </c>
    </row>
    <row r="55" ht="15.2" customFormat="1" customHeight="1" s="716">
      <c r="A55" s="716" t="n"/>
      <c r="B55" s="716" t="n"/>
      <c r="C55" s="716" t="n"/>
      <c r="D55" s="716" t="n"/>
      <c r="E55" s="716" t="n"/>
      <c r="F55" s="716" t="n"/>
      <c r="G55" s="716" t="n"/>
      <c r="H55" s="716" t="n"/>
      <c r="I55" s="716" t="n"/>
      <c r="J55" s="716" t="n"/>
      <c r="K55" s="716" t="n"/>
      <c r="L55" s="716" t="n"/>
      <c r="M55" s="716" t="n"/>
      <c r="N55" s="716" t="n"/>
      <c r="O55" s="716" t="n"/>
      <c r="P55" s="716" t="n"/>
      <c r="Q55" s="716" t="n"/>
      <c r="R55" s="716" t="n"/>
      <c r="S55" s="462">
        <f>IF(_epmOfflineCondition_,"　　收到的税费返还",EPMMemberDesc(U55))</f>
        <v/>
      </c>
      <c r="T55" s="716" t="n"/>
      <c r="U55" s="716" t="inlineStr">
        <is>
          <t>A0030109</t>
        </is>
      </c>
      <c r="V55" s="635">
        <f>IF(_epmOfflineCondition_,"A0030109",EPMOlapMemberO(U55,"[C_ACCOUNT].[PARENTH1].[A0030109]","A0030109 - 　　收到的税费返还","","000"))</f>
        <v/>
      </c>
      <c r="W55" s="462" t="n"/>
      <c r="X55" s="475" t="inlineStr">
        <is>
          <t xml:space="preserve">　　 收到的税费返还</t>
        </is>
      </c>
      <c r="Y55" s="1185" t="inlineStr"/>
      <c r="Z55" s="1249" t="n"/>
      <c r="AA55" s="1249" t="n"/>
      <c r="AB55" s="1250" t="n"/>
      <c r="AC55" s="1249">
        <f>Z55-AB55</f>
        <v/>
      </c>
      <c r="AD55" s="1249">
        <f>IF(AB55=0,0,(Z55-AB55)/AB55*100)</f>
        <v/>
      </c>
      <c r="AE55" s="1249" t="n"/>
      <c r="AF55" s="1249">
        <f>Z55-AE55</f>
        <v/>
      </c>
      <c r="AG55" s="1249">
        <f>IF(AE55=0,0,(Z55-AE55)/AE55*100)</f>
        <v/>
      </c>
      <c r="AH55" s="1249" t="n"/>
      <c r="AI55" s="1249">
        <f>AA55-AH55</f>
        <v/>
      </c>
      <c r="AJ55" s="1249">
        <f>IF(AH55=0,0,(AA55-AH55)/AH55*100)</f>
        <v/>
      </c>
      <c r="AK55" s="1251" t="n"/>
      <c r="AL55" s="1251">
        <f>Z55-AK55</f>
        <v/>
      </c>
      <c r="AM55" s="1249">
        <f>IF(AK55=0,0,Z55/AK55*100)</f>
        <v/>
      </c>
      <c r="AN55" s="1251" t="n"/>
      <c r="AO55" s="1251">
        <f>AA55-AN55</f>
        <v/>
      </c>
      <c r="AP55" s="1249">
        <f>IF(AN55=0,0,AA55/AN55*100)</f>
        <v/>
      </c>
      <c r="AQ55" s="1251" t="n"/>
      <c r="AR55" s="1260">
        <f>AA55-AQ55</f>
        <v/>
      </c>
      <c r="AS55" s="1259">
        <f>IF(AQ55=0,0,AA55/AQ55*100)</f>
        <v/>
      </c>
    </row>
    <row r="56" ht="15.2" customFormat="1" customHeight="1" s="716">
      <c r="A56" s="716" t="n"/>
      <c r="B56" s="716" t="n"/>
      <c r="C56" s="716" t="n"/>
      <c r="D56" s="716" t="n"/>
      <c r="E56" s="716" t="n"/>
      <c r="F56" s="716" t="n"/>
      <c r="G56" s="716" t="n"/>
      <c r="H56" s="716" t="n"/>
      <c r="I56" s="716" t="n"/>
      <c r="J56" s="716" t="n"/>
      <c r="K56" s="716" t="n"/>
      <c r="L56" s="716" t="n"/>
      <c r="M56" s="716" t="n"/>
      <c r="N56" s="716" t="n"/>
      <c r="O56" s="716" t="n"/>
      <c r="P56" s="716" t="n"/>
      <c r="Q56" s="716" t="n"/>
      <c r="R56" s="716" t="n"/>
      <c r="S56" s="462">
        <f>IF(_epmOfflineCondition_,"　　收到的其他与经营有关的现金",EPMMemberDesc(U56))</f>
        <v/>
      </c>
      <c r="T56" s="716" t="n"/>
      <c r="U56" s="716" t="inlineStr">
        <is>
          <t>A0030110</t>
        </is>
      </c>
      <c r="V56" s="637">
        <f>IF(_epmOfflineCondition_,"A0030110",EPMOlapMemberO(U56,"[C_ACCOUNT].[PARENTH1].[A0030110]","A0030110 - 　　收到的其他与经营有关的现金","","000"))</f>
        <v/>
      </c>
      <c r="W56" s="462" t="n"/>
      <c r="X56" s="475" t="inlineStr">
        <is>
          <t xml:space="preserve">　　 收到的其他与经营有关的现金</t>
        </is>
      </c>
      <c r="Y56" s="1185" t="inlineStr"/>
      <c r="Z56" s="1249" t="inlineStr"/>
      <c r="AA56" s="1249" t="inlineStr"/>
      <c r="AB56" s="1250" t="n"/>
      <c r="AC56" s="1249">
        <f>Z56-AB56</f>
        <v/>
      </c>
      <c r="AD56" s="1249">
        <f>IF(AB56=0,0,(Z56-AB56)/AB56*100)</f>
        <v/>
      </c>
      <c r="AE56" s="1249" t="n"/>
      <c r="AF56" s="1249">
        <f>Z56-AE56</f>
        <v/>
      </c>
      <c r="AG56" s="1249">
        <f>IF(AE56=0,0,(Z56-AE56)/AE56*100)</f>
        <v/>
      </c>
      <c r="AH56" s="1249" t="n"/>
      <c r="AI56" s="1249">
        <f>AA56-AH56</f>
        <v/>
      </c>
      <c r="AJ56" s="1249">
        <f>IF(AH56=0,0,(AA56-AH56)/AH56*100)</f>
        <v/>
      </c>
      <c r="AK56" s="1251" t="n"/>
      <c r="AL56" s="1251">
        <f>Z56-AK56</f>
        <v/>
      </c>
      <c r="AM56" s="1249">
        <f>IF(AK56=0,0,Z56/AK56*100)</f>
        <v/>
      </c>
      <c r="AN56" s="1251" t="n"/>
      <c r="AO56" s="1251">
        <f>AA56-AN56</f>
        <v/>
      </c>
      <c r="AP56" s="1249">
        <f>IF(AN56=0,0,AA56/AN56*100)</f>
        <v/>
      </c>
      <c r="AQ56" s="1251" t="n"/>
      <c r="AR56" s="1260">
        <f>AA56-AQ56</f>
        <v/>
      </c>
      <c r="AS56" s="1259">
        <f>IF(AQ56=0,0,AA56/AQ56*100)</f>
        <v/>
      </c>
    </row>
    <row r="57" ht="15.2" customFormat="1" customHeight="1" s="716">
      <c r="A57" s="716" t="n"/>
      <c r="B57" s="716" t="n"/>
      <c r="C57" s="716" t="n"/>
      <c r="D57" s="716" t="n"/>
      <c r="E57" s="716" t="n"/>
      <c r="F57" s="716" t="n"/>
      <c r="G57" s="716" t="n"/>
      <c r="H57" s="716" t="n"/>
      <c r="I57" s="716" t="n"/>
      <c r="J57" s="716" t="n"/>
      <c r="K57" s="716" t="n"/>
      <c r="L57" s="716" t="n"/>
      <c r="M57" s="716" t="n"/>
      <c r="N57" s="716" t="n"/>
      <c r="O57" s="716" t="n"/>
      <c r="P57" s="716" t="n"/>
      <c r="Q57" s="716" t="n"/>
      <c r="R57" s="716" t="n"/>
      <c r="S57" s="462">
        <f>IF(_epmOfflineCondition_,"       经营活动现金流入小计",EPMMemberDesc(U57))</f>
        <v/>
      </c>
      <c r="T57" s="716" t="n"/>
      <c r="U57" s="716" t="inlineStr">
        <is>
          <t>A0030111</t>
        </is>
      </c>
      <c r="V57" s="459">
        <f>IF(_epmOfflineCondition_,"A0030111",EPMOlapMemberO(U57,"[C_ACCOUNT].[PARENTH1].[A0030111]","A0030111 -        经营活动现金流入小计","","000"))</f>
        <v/>
      </c>
      <c r="W57" s="462" t="n"/>
      <c r="X57" s="450" t="inlineStr">
        <is>
          <t xml:space="preserve">        经营活动现金流入小计</t>
        </is>
      </c>
      <c r="Y57" s="1185" t="inlineStr"/>
      <c r="Z57" s="1249" t="inlineStr"/>
      <c r="AA57" s="1249" t="inlineStr"/>
      <c r="AB57" s="1250" t="inlineStr"/>
      <c r="AC57" s="1249">
        <f>Z57-AB57</f>
        <v/>
      </c>
      <c r="AD57" s="1249">
        <f>IF(AB57=0,0,(Z57-AB57)/AB57*100)</f>
        <v/>
      </c>
      <c r="AE57" s="1249" t="n"/>
      <c r="AF57" s="1249">
        <f>Z57-AE57</f>
        <v/>
      </c>
      <c r="AG57" s="1249">
        <f>IF(AE57=0,0,(Z57-AE57)/AE57*100)</f>
        <v/>
      </c>
      <c r="AH57" s="1249" t="n"/>
      <c r="AI57" s="1249">
        <f>AA57-AH57</f>
        <v/>
      </c>
      <c r="AJ57" s="1249">
        <f>IF(AH57=0,0,(AA57-AH57)/AH57*100)</f>
        <v/>
      </c>
      <c r="AK57" s="1251" t="n"/>
      <c r="AL57" s="1251">
        <f>Z57-AK57</f>
        <v/>
      </c>
      <c r="AM57" s="1249">
        <f>IF(AK57=0,0,Z57/AK57*100)</f>
        <v/>
      </c>
      <c r="AN57" s="1251" t="n"/>
      <c r="AO57" s="1251">
        <f>AA57-AN57</f>
        <v/>
      </c>
      <c r="AP57" s="1249">
        <f>IF(AN57=0,0,AA57/AN57*100)</f>
        <v/>
      </c>
      <c r="AQ57" s="1251" t="n"/>
      <c r="AR57" s="1260">
        <f>AA57-AQ57</f>
        <v/>
      </c>
      <c r="AS57" s="1259">
        <f>IF(AQ57=0,0,AA57/AQ57*100)</f>
        <v/>
      </c>
    </row>
    <row r="58" ht="15.2" customFormat="1" customHeight="1" s="716">
      <c r="A58" s="716" t="n"/>
      <c r="B58" s="716" t="n"/>
      <c r="C58" s="716" t="n"/>
      <c r="D58" s="716" t="n"/>
      <c r="E58" s="716" t="n"/>
      <c r="F58" s="716" t="n"/>
      <c r="G58" s="716" t="n"/>
      <c r="H58" s="716" t="n"/>
      <c r="I58" s="716" t="n"/>
      <c r="J58" s="716" t="n"/>
      <c r="K58" s="716" t="n"/>
      <c r="L58" s="716" t="n"/>
      <c r="M58" s="716" t="n"/>
      <c r="N58" s="716" t="n"/>
      <c r="O58" s="716" t="n"/>
      <c r="P58" s="716" t="n"/>
      <c r="Q58" s="716" t="n"/>
      <c r="R58" s="716" t="n"/>
      <c r="S58" s="462">
        <f>IF(_epmOfflineCondition_,"　　购买商品、接受劳务支付的现金",EPMMemberDesc(U58))</f>
        <v/>
      </c>
      <c r="T58" s="716" t="n"/>
      <c r="U58" s="716" t="inlineStr">
        <is>
          <t>A0030112</t>
        </is>
      </c>
      <c r="V58" s="635">
        <f>IF(_epmOfflineCondition_,"A0030112",EPMOlapMemberO(U58,"[C_ACCOUNT].[PARENTH1].[A0030112]","A0030112 - 　　购买商品、接受劳务支付的现金","","000"))</f>
        <v/>
      </c>
      <c r="W58" s="462" t="n"/>
      <c r="X58" s="475" t="inlineStr">
        <is>
          <t xml:space="preserve">　　 购买商品、接受劳务支付的现金</t>
        </is>
      </c>
      <c r="Y58" s="1185" t="inlineStr"/>
      <c r="Z58" s="1249" t="inlineStr"/>
      <c r="AA58" s="1249" t="inlineStr"/>
      <c r="AB58" s="1250" t="inlineStr"/>
      <c r="AC58" s="1249">
        <f>Z58-AB58</f>
        <v/>
      </c>
      <c r="AD58" s="1249">
        <f>IF(AB58=0,0,(Z58-AB58)/AB58*100)</f>
        <v/>
      </c>
      <c r="AE58" s="1249" t="n"/>
      <c r="AF58" s="1249">
        <f>Z58-AE58</f>
        <v/>
      </c>
      <c r="AG58" s="1249">
        <f>IF(AE58=0,0,(Z58-AE58)/AE58*100)</f>
        <v/>
      </c>
      <c r="AH58" s="1249" t="n"/>
      <c r="AI58" s="1249">
        <f>AA58-AH58</f>
        <v/>
      </c>
      <c r="AJ58" s="1249">
        <f>IF(AH58=0,0,(AA58-AH58)/AH58*100)</f>
        <v/>
      </c>
      <c r="AK58" s="1251" t="n"/>
      <c r="AL58" s="1251">
        <f>Z58-AK58</f>
        <v/>
      </c>
      <c r="AM58" s="1249">
        <f>IF(AK58=0,0,Z58/AK58*100)</f>
        <v/>
      </c>
      <c r="AN58" s="1251" t="n"/>
      <c r="AO58" s="1251">
        <f>AA58-AN58</f>
        <v/>
      </c>
      <c r="AP58" s="1249">
        <f>IF(AN58=0,0,AA58/AN58*100)</f>
        <v/>
      </c>
      <c r="AQ58" s="1251" t="n"/>
      <c r="AR58" s="1260">
        <f>AA58-AQ58</f>
        <v/>
      </c>
      <c r="AS58" s="1259">
        <f>IF(AQ58=0,0,AA58/AQ58*100)</f>
        <v/>
      </c>
    </row>
    <row r="59" ht="17" customFormat="1" customHeight="1" s="716">
      <c r="A59" s="716" t="n"/>
      <c r="B59" s="716" t="n"/>
      <c r="C59" s="716" t="n"/>
      <c r="D59" s="716" t="n"/>
      <c r="E59" s="716" t="n"/>
      <c r="F59" s="716" t="n"/>
      <c r="G59" s="716" t="n"/>
      <c r="H59" s="716" t="n"/>
      <c r="I59" s="716" t="n"/>
      <c r="J59" s="716" t="n"/>
      <c r="K59" s="716" t="n"/>
      <c r="L59" s="716" t="n"/>
      <c r="M59" s="716" t="n"/>
      <c r="N59" s="716" t="n"/>
      <c r="O59" s="716" t="n"/>
      <c r="P59" s="716" t="n"/>
      <c r="Q59" s="716" t="n"/>
      <c r="R59" s="716" t="n"/>
      <c r="S59" s="462">
        <f>IF(_epmOfflineCondition_,"    # 客户贷款及垫款净增加额",EPMMemberDesc(U59))</f>
        <v/>
      </c>
      <c r="T59" s="716" t="n"/>
      <c r="U59" s="716" t="inlineStr">
        <is>
          <t>A0030113</t>
        </is>
      </c>
      <c r="V59" s="635">
        <f>IF(_epmOfflineCondition_,"A0030113",EPMOlapMemberO(U59,"[C_ACCOUNT].[PARENTH1].[A0030113]","A0030113 -     # 客户贷款及垫款净增加额","","000"))</f>
        <v/>
      </c>
      <c r="W59" s="462" t="n"/>
      <c r="X59" s="999" t="inlineStr">
        <is>
          <t xml:space="preserve">  △客户贷款及垫款净增加额</t>
        </is>
      </c>
      <c r="Y59" s="1185" t="inlineStr"/>
      <c r="Z59" s="1249" t="n"/>
      <c r="AA59" s="1249" t="n"/>
      <c r="AB59" s="1250" t="n"/>
      <c r="AC59" s="1249">
        <f>Z59-AB59</f>
        <v/>
      </c>
      <c r="AD59" s="1249">
        <f>IF(AB59=0,0,(Z59-AB59)/AB59*100)</f>
        <v/>
      </c>
      <c r="AE59" s="1249" t="n"/>
      <c r="AF59" s="1249">
        <f>Z59-AE59</f>
        <v/>
      </c>
      <c r="AG59" s="1249">
        <f>IF(AE59=0,0,(Z59-AE59)/AE59*100)</f>
        <v/>
      </c>
      <c r="AH59" s="1249" t="n"/>
      <c r="AI59" s="1249">
        <f>AA59-AH59</f>
        <v/>
      </c>
      <c r="AJ59" s="1249">
        <f>IF(AH59=0,0,(AA59-AH59)/AH59*100)</f>
        <v/>
      </c>
      <c r="AK59" s="1251" t="n"/>
      <c r="AL59" s="1251">
        <f>Z59-AK59</f>
        <v/>
      </c>
      <c r="AM59" s="1249">
        <f>IF(AK59=0,0,Z59/AK59*100)</f>
        <v/>
      </c>
      <c r="AN59" s="1251" t="n"/>
      <c r="AO59" s="1251">
        <f>AA59-AN59</f>
        <v/>
      </c>
      <c r="AP59" s="1249">
        <f>IF(AN59=0,0,AA59/AN59*100)</f>
        <v/>
      </c>
      <c r="AQ59" s="1251" t="n"/>
      <c r="AR59" s="1260">
        <f>AA59-AQ59</f>
        <v/>
      </c>
      <c r="AS59" s="1259">
        <f>IF(AQ59=0,0,AA59/AQ59*100)</f>
        <v/>
      </c>
    </row>
    <row r="60" ht="17" customFormat="1" customHeight="1" s="716">
      <c r="A60" s="716" t="n"/>
      <c r="B60" s="716" t="n"/>
      <c r="C60" s="716" t="n"/>
      <c r="D60" s="716" t="n"/>
      <c r="E60" s="716" t="n"/>
      <c r="F60" s="716" t="n"/>
      <c r="G60" s="716" t="n"/>
      <c r="H60" s="716" t="n"/>
      <c r="I60" s="716" t="n"/>
      <c r="J60" s="716" t="n"/>
      <c r="K60" s="716" t="n"/>
      <c r="L60" s="716" t="n"/>
      <c r="M60" s="716" t="n"/>
      <c r="N60" s="716" t="n"/>
      <c r="O60" s="716" t="n"/>
      <c r="P60" s="716" t="n"/>
      <c r="Q60" s="716" t="n"/>
      <c r="R60" s="716" t="n"/>
      <c r="S60" s="462">
        <f>IF(_epmOfflineCondition_,"    # 存放中央银行和同业款项净增加额",EPMMemberDesc(U60))</f>
        <v/>
      </c>
      <c r="T60" s="716" t="n"/>
      <c r="U60" s="716" t="inlineStr">
        <is>
          <t>A0030114</t>
        </is>
      </c>
      <c r="V60" s="635">
        <f>IF(_epmOfflineCondition_,"A0030114",EPMOlapMemberO(U60,"[C_ACCOUNT].[PARENTH1].[A0030114]","A0030114 -     # 存放中央银行和同业款项净增加额","","000"))</f>
        <v/>
      </c>
      <c r="W60" s="462" t="n"/>
      <c r="X60" s="999" t="inlineStr">
        <is>
          <t xml:space="preserve">  △存放中央银行和同业款项净增加额</t>
        </is>
      </c>
      <c r="Y60" s="1185" t="inlineStr"/>
      <c r="Z60" s="1249" t="n"/>
      <c r="AA60" s="1249" t="n"/>
      <c r="AB60" s="1250" t="n"/>
      <c r="AC60" s="1249">
        <f>Z60-AB60</f>
        <v/>
      </c>
      <c r="AD60" s="1249">
        <f>IF(AB60=0,0,(Z60-AB60)/AB60*100)</f>
        <v/>
      </c>
      <c r="AE60" s="1249" t="n"/>
      <c r="AF60" s="1249">
        <f>Z60-AE60</f>
        <v/>
      </c>
      <c r="AG60" s="1249">
        <f>IF(AE60=0,0,(Z60-AE60)/AE60*100)</f>
        <v/>
      </c>
      <c r="AH60" s="1249" t="n"/>
      <c r="AI60" s="1249">
        <f>AA60-AH60</f>
        <v/>
      </c>
      <c r="AJ60" s="1249">
        <f>IF(AH60=0,0,(AA60-AH60)/AH60*100)</f>
        <v/>
      </c>
      <c r="AK60" s="1251" t="n"/>
      <c r="AL60" s="1251">
        <f>Z60-AK60</f>
        <v/>
      </c>
      <c r="AM60" s="1249">
        <f>IF(AK60=0,0,Z60/AK60*100)</f>
        <v/>
      </c>
      <c r="AN60" s="1251" t="n"/>
      <c r="AO60" s="1251">
        <f>AA60-AN60</f>
        <v/>
      </c>
      <c r="AP60" s="1249">
        <f>IF(AN60=0,0,AA60/AN60*100)</f>
        <v/>
      </c>
      <c r="AQ60" s="1251" t="n"/>
      <c r="AR60" s="1260">
        <f>AA60-AQ60</f>
        <v/>
      </c>
      <c r="AS60" s="1259">
        <f>IF(AQ60=0,0,AA60/AQ60*100)</f>
        <v/>
      </c>
    </row>
    <row r="61" ht="17" customFormat="1" customHeight="1" s="716">
      <c r="A61" s="716" t="n"/>
      <c r="B61" s="716" t="n"/>
      <c r="C61" s="716" t="n"/>
      <c r="D61" s="716" t="n"/>
      <c r="E61" s="716" t="n"/>
      <c r="F61" s="716" t="n"/>
      <c r="G61" s="716" t="n"/>
      <c r="H61" s="716" t="n"/>
      <c r="I61" s="716" t="n"/>
      <c r="J61" s="716" t="n"/>
      <c r="K61" s="716" t="n"/>
      <c r="L61" s="716" t="n"/>
      <c r="M61" s="716" t="n"/>
      <c r="N61" s="716" t="n"/>
      <c r="O61" s="716" t="n"/>
      <c r="P61" s="716" t="n"/>
      <c r="Q61" s="716" t="n"/>
      <c r="R61" s="716" t="n"/>
      <c r="S61" s="462">
        <f>IF(_epmOfflineCondition_,"　# 支付利息、手续费及佣金的现金",EPMMemberDesc(U61))</f>
        <v/>
      </c>
      <c r="T61" s="716" t="n"/>
      <c r="U61" s="716" t="inlineStr">
        <is>
          <t>A0030115</t>
        </is>
      </c>
      <c r="V61" s="635">
        <f>IF(_epmOfflineCondition_,"A0030115",EPMOlapMemberO(U61,"[C_ACCOUNT].[PARENTH1].[A0030115]","A0030115 - 　# 支付利息、手续费及佣金的现金","","000"))</f>
        <v/>
      </c>
      <c r="W61" s="462" t="n"/>
      <c r="X61" s="999" t="inlineStr">
        <is>
          <t xml:space="preserve">  △支付利息、手续费及佣金的现金</t>
        </is>
      </c>
      <c r="Y61" s="1185" t="inlineStr"/>
      <c r="Z61" s="1249" t="n"/>
      <c r="AA61" s="1249" t="n"/>
      <c r="AB61" s="1250" t="n"/>
      <c r="AC61" s="1249">
        <f>Z61-AB61</f>
        <v/>
      </c>
      <c r="AD61" s="1249">
        <f>IF(AB61=0,0,(Z61-AB61)/AB61*100)</f>
        <v/>
      </c>
      <c r="AE61" s="1249" t="n"/>
      <c r="AF61" s="1249">
        <f>Z61-AE61</f>
        <v/>
      </c>
      <c r="AG61" s="1249">
        <f>IF(AE61=0,0,(Z61-AE61)/AE61*100)</f>
        <v/>
      </c>
      <c r="AH61" s="1249" t="n"/>
      <c r="AI61" s="1249">
        <f>AA61-AH61</f>
        <v/>
      </c>
      <c r="AJ61" s="1249">
        <f>IF(AH61=0,0,(AA61-AH61)/AH61*100)</f>
        <v/>
      </c>
      <c r="AK61" s="1251" t="n"/>
      <c r="AL61" s="1251">
        <f>Z61-AK61</f>
        <v/>
      </c>
      <c r="AM61" s="1249">
        <f>IF(AK61=0,0,Z61/AK61*100)</f>
        <v/>
      </c>
      <c r="AN61" s="1251" t="n"/>
      <c r="AO61" s="1251">
        <f>AA61-AN61</f>
        <v/>
      </c>
      <c r="AP61" s="1249">
        <f>IF(AN61=0,0,AA61/AN61*100)</f>
        <v/>
      </c>
      <c r="AQ61" s="1251" t="n"/>
      <c r="AR61" s="1260">
        <f>AA61-AQ61</f>
        <v/>
      </c>
      <c r="AS61" s="1259">
        <f>IF(AQ61=0,0,AA61/AQ61*100)</f>
        <v/>
      </c>
    </row>
    <row r="62" ht="15.2" customFormat="1" customHeight="1" s="716">
      <c r="A62" s="716" t="n"/>
      <c r="B62" s="716" t="n"/>
      <c r="C62" s="716" t="n"/>
      <c r="D62" s="716" t="n"/>
      <c r="E62" s="716" t="n"/>
      <c r="F62" s="716" t="n"/>
      <c r="G62" s="716" t="n"/>
      <c r="H62" s="716" t="n"/>
      <c r="I62" s="716" t="n"/>
      <c r="J62" s="716" t="n"/>
      <c r="K62" s="716" t="n"/>
      <c r="L62" s="716" t="n"/>
      <c r="M62" s="716" t="n"/>
      <c r="N62" s="716" t="n"/>
      <c r="O62" s="716" t="n"/>
      <c r="P62" s="716" t="n"/>
      <c r="Q62" s="716" t="n"/>
      <c r="R62" s="716" t="n"/>
      <c r="S62" s="462">
        <f>IF(_epmOfflineCondition_,"　　支付给职工以及为职工支付的现金",EPMMemberDesc(U62))</f>
        <v/>
      </c>
      <c r="T62" s="716" t="n"/>
      <c r="U62" s="716" t="inlineStr">
        <is>
          <t>A0030116</t>
        </is>
      </c>
      <c r="V62" s="635">
        <f>IF(_epmOfflineCondition_,"A0030116",EPMOlapMemberO(U62,"[C_ACCOUNT].[PARENTH1].[A0030116]","A0030116 - 　　支付给职工以及为职工支付的现金","","000"))</f>
        <v/>
      </c>
      <c r="W62" s="462" t="n"/>
      <c r="X62" s="585" t="inlineStr">
        <is>
          <t xml:space="preserve">　　 支付给职工以及为职工支付的现金</t>
        </is>
      </c>
      <c r="Y62" s="1185" t="inlineStr"/>
      <c r="Z62" s="1249" t="inlineStr"/>
      <c r="AA62" s="1249" t="inlineStr"/>
      <c r="AB62" s="1250" t="inlineStr"/>
      <c r="AC62" s="1249">
        <f>Z62-AB62</f>
        <v/>
      </c>
      <c r="AD62" s="1249">
        <f>IF(AB62=0,0,(Z62-AB62)/AB62*100)</f>
        <v/>
      </c>
      <c r="AE62" s="1249" t="n"/>
      <c r="AF62" s="1249">
        <f>Z62-AE62</f>
        <v/>
      </c>
      <c r="AG62" s="1249">
        <f>IF(AE62=0,0,(Z62-AE62)/AE62*100)</f>
        <v/>
      </c>
      <c r="AH62" s="1249" t="n"/>
      <c r="AI62" s="1249">
        <f>AA62-AH62</f>
        <v/>
      </c>
      <c r="AJ62" s="1249">
        <f>IF(AH62=0,0,(AA62-AH62)/AH62*100)</f>
        <v/>
      </c>
      <c r="AK62" s="1251" t="n"/>
      <c r="AL62" s="1251">
        <f>Z62-AK62</f>
        <v/>
      </c>
      <c r="AM62" s="1249">
        <f>IF(AK62=0,0,Z62/AK62*100)</f>
        <v/>
      </c>
      <c r="AN62" s="1251" t="n"/>
      <c r="AO62" s="1251">
        <f>AA62-AN62</f>
        <v/>
      </c>
      <c r="AP62" s="1249">
        <f>IF(AN62=0,0,AA62/AN62*100)</f>
        <v/>
      </c>
      <c r="AQ62" s="1251" t="n"/>
      <c r="AR62" s="1260">
        <f>AA62-AQ62</f>
        <v/>
      </c>
      <c r="AS62" s="1259">
        <f>IF(AQ62=0,0,AA62/AQ62*100)</f>
        <v/>
      </c>
    </row>
    <row r="63" ht="15.2" customFormat="1" customHeight="1" s="716">
      <c r="A63" s="716" t="n"/>
      <c r="B63" s="716" t="n"/>
      <c r="C63" s="716" t="n"/>
      <c r="D63" s="716" t="n"/>
      <c r="E63" s="716" t="n"/>
      <c r="F63" s="716" t="n"/>
      <c r="G63" s="716" t="n"/>
      <c r="H63" s="716" t="n"/>
      <c r="I63" s="716" t="n"/>
      <c r="J63" s="716" t="n"/>
      <c r="K63" s="716" t="n"/>
      <c r="L63" s="716" t="n"/>
      <c r="M63" s="716" t="n"/>
      <c r="N63" s="716" t="n"/>
      <c r="O63" s="716" t="n"/>
      <c r="P63" s="716" t="n"/>
      <c r="Q63" s="716" t="n"/>
      <c r="R63" s="716" t="n"/>
      <c r="S63" s="462">
        <f>IF(_epmOfflineCondition_,"　　支付的各项税费",EPMMemberDesc(U63))</f>
        <v/>
      </c>
      <c r="T63" s="716" t="n"/>
      <c r="U63" s="716" t="inlineStr">
        <is>
          <t>A0030117</t>
        </is>
      </c>
      <c r="V63" s="635">
        <f>IF(_epmOfflineCondition_,"A0030117",EPMOlapMemberO(U63,"[C_ACCOUNT].[PARENTH1].[A0030117]","A0030117 - 　　支付的各项税费","","000"))</f>
        <v/>
      </c>
      <c r="W63" s="462" t="n"/>
      <c r="X63" s="585" t="inlineStr">
        <is>
          <t xml:space="preserve">　　 支付的各项税费</t>
        </is>
      </c>
      <c r="Y63" s="1185" t="inlineStr"/>
      <c r="Z63" s="1249" t="n"/>
      <c r="AA63" s="1249" t="n"/>
      <c r="AB63" s="1250" t="n"/>
      <c r="AC63" s="1249">
        <f>Z63-AB63</f>
        <v/>
      </c>
      <c r="AD63" s="1249">
        <f>IF(AB63=0,0,(Z63-AB63)/AB63*100)</f>
        <v/>
      </c>
      <c r="AE63" s="1249" t="n"/>
      <c r="AF63" s="1249">
        <f>Z63-AE63</f>
        <v/>
      </c>
      <c r="AG63" s="1249">
        <f>IF(AE63=0,0,(Z63-AE63)/AE63*100)</f>
        <v/>
      </c>
      <c r="AH63" s="1249" t="n"/>
      <c r="AI63" s="1249">
        <f>AA63-AH63</f>
        <v/>
      </c>
      <c r="AJ63" s="1249">
        <f>IF(AH63=0,0,(AA63-AH63)/AH63*100)</f>
        <v/>
      </c>
      <c r="AK63" s="1251" t="n"/>
      <c r="AL63" s="1251">
        <f>Z63-AK63</f>
        <v/>
      </c>
      <c r="AM63" s="1249">
        <f>IF(AK63=0,0,Z63/AK63*100)</f>
        <v/>
      </c>
      <c r="AN63" s="1251" t="n"/>
      <c r="AO63" s="1251">
        <f>AA63-AN63</f>
        <v/>
      </c>
      <c r="AP63" s="1249">
        <f>IF(AN63=0,0,AA63/AN63*100)</f>
        <v/>
      </c>
      <c r="AQ63" s="1251" t="n"/>
      <c r="AR63" s="1260">
        <f>AA63-AQ63</f>
        <v/>
      </c>
      <c r="AS63" s="1259">
        <f>IF(AQ63=0,0,AA63/AQ63*100)</f>
        <v/>
      </c>
    </row>
    <row r="64" ht="15.2" customFormat="1" customHeight="1" s="716">
      <c r="A64" s="716" t="n"/>
      <c r="B64" s="716" t="n"/>
      <c r="C64" s="716" t="n"/>
      <c r="D64" s="716" t="n"/>
      <c r="E64" s="716" t="n"/>
      <c r="F64" s="716" t="n"/>
      <c r="G64" s="716" t="n"/>
      <c r="H64" s="716" t="n"/>
      <c r="I64" s="716" t="n"/>
      <c r="J64" s="716" t="n"/>
      <c r="K64" s="716" t="n"/>
      <c r="L64" s="716" t="n"/>
      <c r="M64" s="716" t="n"/>
      <c r="N64" s="716" t="n"/>
      <c r="O64" s="716" t="n"/>
      <c r="P64" s="716" t="n"/>
      <c r="Q64" s="716" t="n"/>
      <c r="R64" s="716" t="n"/>
      <c r="S64" s="462">
        <f>IF(_epmOfflineCondition_,"支付的其他与经营活动有关的现金",EPMMemberDesc(U64))</f>
        <v/>
      </c>
      <c r="T64" s="716" t="n"/>
      <c r="U64" s="716" t="inlineStr">
        <is>
          <t>A0030118T</t>
        </is>
      </c>
      <c r="V64" s="635">
        <f>IF(_epmOfflineCondition_,"A0030118T",EPMOlapMemberO(U64,"[C_ACCOUNT].[PARENTH1].[A0030118T]","A0030118T - 支付的其他与经营活动有关的现金","","000"))</f>
        <v/>
      </c>
      <c r="W64" s="462" t="n"/>
      <c r="X64" s="585" t="inlineStr">
        <is>
          <t xml:space="preserve">　　 支付的其他与经营活动有关的现金</t>
        </is>
      </c>
      <c r="Y64" s="1185" t="inlineStr"/>
      <c r="Z64" s="1249" t="inlineStr"/>
      <c r="AA64" s="1249" t="inlineStr"/>
      <c r="AB64" s="1250" t="inlineStr"/>
      <c r="AC64" s="1249">
        <f>Z64-AB64</f>
        <v/>
      </c>
      <c r="AD64" s="1249">
        <f>IF(AB64=0,0,(Z64-AB64)/AB64*100)</f>
        <v/>
      </c>
      <c r="AE64" s="1249" t="n"/>
      <c r="AF64" s="1249">
        <f>Z64-AE64</f>
        <v/>
      </c>
      <c r="AG64" s="1249">
        <f>IF(AE64=0,0,(Z64-AE64)/AE64*100)</f>
        <v/>
      </c>
      <c r="AH64" s="1249" t="n"/>
      <c r="AI64" s="1249">
        <f>AA64-AH64</f>
        <v/>
      </c>
      <c r="AJ64" s="1249">
        <f>IF(AH64=0,0,(AA64-AH64)/AH64*100)</f>
        <v/>
      </c>
      <c r="AK64" s="1251" t="n"/>
      <c r="AL64" s="1251">
        <f>Z64-AK64</f>
        <v/>
      </c>
      <c r="AM64" s="1249">
        <f>IF(AK64=0,0,Z64/AK64*100)</f>
        <v/>
      </c>
      <c r="AN64" s="1251" t="n"/>
      <c r="AO64" s="1251">
        <f>AA64-AN64</f>
        <v/>
      </c>
      <c r="AP64" s="1249">
        <f>IF(AN64=0,0,AA64/AN64*100)</f>
        <v/>
      </c>
      <c r="AQ64" s="1251" t="n"/>
      <c r="AR64" s="1260">
        <f>AA64-AQ64</f>
        <v/>
      </c>
      <c r="AS64" s="1259">
        <f>IF(AQ64=0,0,AA64/AQ64*100)</f>
        <v/>
      </c>
    </row>
    <row r="65" ht="15.2" customFormat="1" customHeight="1" s="716">
      <c r="A65" s="716" t="n"/>
      <c r="B65" s="716" t="n"/>
      <c r="C65" s="716" t="n"/>
      <c r="D65" s="716" t="n"/>
      <c r="E65" s="716" t="n"/>
      <c r="F65" s="716" t="n"/>
      <c r="G65" s="716" t="n"/>
      <c r="H65" s="716" t="n"/>
      <c r="I65" s="716" t="n"/>
      <c r="J65" s="716" t="n"/>
      <c r="K65" s="716" t="n"/>
      <c r="L65" s="716" t="n"/>
      <c r="M65" s="716" t="n"/>
      <c r="N65" s="716" t="n"/>
      <c r="O65" s="716" t="n"/>
      <c r="P65" s="716" t="n"/>
      <c r="Q65" s="716" t="n"/>
      <c r="R65" s="716" t="n"/>
      <c r="S65" s="462">
        <f>IF(_epmOfflineCondition_,"       经营活动现金流出小计",EPMMemberDesc(U65))</f>
        <v/>
      </c>
      <c r="T65" s="716" t="n"/>
      <c r="U65" s="716" t="inlineStr">
        <is>
          <t>A0030119</t>
        </is>
      </c>
      <c r="V65" s="459">
        <f>IF(_epmOfflineCondition_,"A0030119",EPMOlapMemberO(U65,"[C_ACCOUNT].[PARENTH1].[A0030119]","A0030119 -        经营活动现金流出小计","","000"))</f>
        <v/>
      </c>
      <c r="W65" s="462" t="n"/>
      <c r="X65" s="450" t="inlineStr">
        <is>
          <t xml:space="preserve">        经营活动现金流出小计</t>
        </is>
      </c>
      <c r="Y65" s="1185" t="inlineStr"/>
      <c r="Z65" s="1249" t="inlineStr"/>
      <c r="AA65" s="1249" t="inlineStr"/>
      <c r="AB65" s="1250" t="inlineStr"/>
      <c r="AC65" s="1249">
        <f>Z65-AB65</f>
        <v/>
      </c>
      <c r="AD65" s="1249">
        <f>IF(AB65=0,0,(Z65-AB65)/AB65*100)</f>
        <v/>
      </c>
      <c r="AE65" s="1249" t="n"/>
      <c r="AF65" s="1249">
        <f>Z65-AE65</f>
        <v/>
      </c>
      <c r="AG65" s="1249">
        <f>IF(AE65=0,0,(Z65-AE65)/AE65*100)</f>
        <v/>
      </c>
      <c r="AH65" s="1249" t="n"/>
      <c r="AI65" s="1249">
        <f>AA65-AH65</f>
        <v/>
      </c>
      <c r="AJ65" s="1249">
        <f>IF(AH65=0,0,(AA65-AH65)/AH65*100)</f>
        <v/>
      </c>
      <c r="AK65" s="1251" t="n"/>
      <c r="AL65" s="1251">
        <f>Z65-AK65</f>
        <v/>
      </c>
      <c r="AM65" s="1249">
        <f>IF(AK65=0,0,Z65/AK65*100)</f>
        <v/>
      </c>
      <c r="AN65" s="1251" t="n"/>
      <c r="AO65" s="1251">
        <f>AA65-AN65</f>
        <v/>
      </c>
      <c r="AP65" s="1249">
        <f>IF(AN65=0,0,AA65/AN65*100)</f>
        <v/>
      </c>
      <c r="AQ65" s="1251" t="n"/>
      <c r="AR65" s="1260">
        <f>AA65-AQ65</f>
        <v/>
      </c>
      <c r="AS65" s="1259">
        <f>IF(AQ65=0,0,AA65/AQ65*100)</f>
        <v/>
      </c>
    </row>
    <row r="66" ht="15.2" customFormat="1" customHeight="1" s="716">
      <c r="A66" s="716" t="n"/>
      <c r="B66" s="716" t="n"/>
      <c r="C66" s="716" t="n"/>
      <c r="D66" s="716" t="n"/>
      <c r="E66" s="716" t="n"/>
      <c r="F66" s="716" t="n"/>
      <c r="G66" s="716" t="n"/>
      <c r="H66" s="716" t="n"/>
      <c r="I66" s="716" t="n"/>
      <c r="J66" s="716" t="n"/>
      <c r="K66" s="716" t="n"/>
      <c r="L66" s="716" t="n"/>
      <c r="M66" s="716" t="n"/>
      <c r="N66" s="716" t="n"/>
      <c r="O66" s="716" t="n"/>
      <c r="P66" s="716" t="n"/>
      <c r="Q66" s="716" t="n"/>
      <c r="R66" s="716" t="n"/>
      <c r="S66" s="462">
        <f>IF(_epmOfflineCondition_,"              经营活动产生的现金流量净额",EPMMemberDesc(U66))</f>
        <v/>
      </c>
      <c r="T66" s="716" t="n"/>
      <c r="U66" s="716" t="inlineStr">
        <is>
          <t>A0030120</t>
        </is>
      </c>
      <c r="V66" s="535">
        <f>IF(_epmOfflineCondition_,"A0030120",EPMOlapMemberO(U66,"[C_ACCOUNT].[PARENTH1].[A0030120]","A0030120 -               经营活动产生的现金流量净额","","000"))</f>
        <v/>
      </c>
      <c r="W66" s="462" t="n"/>
      <c r="X66" s="450" t="inlineStr">
        <is>
          <t xml:space="preserve">　　   经营活动产生的现金流量净额</t>
        </is>
      </c>
      <c r="Y66" s="1185" t="inlineStr"/>
      <c r="Z66" s="1249" t="inlineStr"/>
      <c r="AA66" s="1249" t="inlineStr"/>
      <c r="AB66" s="1249" t="inlineStr"/>
      <c r="AC66" s="1249">
        <f>Z66-AB66</f>
        <v/>
      </c>
      <c r="AD66" s="1249">
        <f>IF(AB66=0,0,(Z66-AB66)/AB66*100)</f>
        <v/>
      </c>
      <c r="AE66" s="1249" t="n"/>
      <c r="AF66" s="1249">
        <f>Z66-AE66</f>
        <v/>
      </c>
      <c r="AG66" s="1249">
        <f>IF(AE66=0,0,(Z66-AE66)/AE66*100)</f>
        <v/>
      </c>
      <c r="AH66" s="1249" t="n"/>
      <c r="AI66" s="1249">
        <f>AA66-AH66</f>
        <v/>
      </c>
      <c r="AJ66" s="1249">
        <f>IF(AH66=0,0,(AA66-AH66)/AH66*100)</f>
        <v/>
      </c>
      <c r="AK66" s="1251" t="n"/>
      <c r="AL66" s="1251">
        <f>Z66-AK66</f>
        <v/>
      </c>
      <c r="AM66" s="1249">
        <f>IF(AK66=0,0,Z66/AK66*100)</f>
        <v/>
      </c>
      <c r="AN66" s="1251" t="n"/>
      <c r="AO66" s="1251">
        <f>AA66-AN66</f>
        <v/>
      </c>
      <c r="AP66" s="1249">
        <f>IF(AN66=0,0,AA66/AN66*100)</f>
        <v/>
      </c>
      <c r="AQ66" s="1251" t="n"/>
      <c r="AR66" s="1260">
        <f>AA66-AQ66</f>
        <v/>
      </c>
      <c r="AS66" s="1259">
        <f>IF(AQ66=0,0,AA66/AQ66*100)</f>
        <v/>
      </c>
    </row>
    <row r="67" ht="15.2" customFormat="1" customHeight="1" s="716">
      <c r="A67" s="716" t="n"/>
      <c r="B67" s="716" t="n"/>
      <c r="C67" s="716" t="n"/>
      <c r="D67" s="716" t="n"/>
      <c r="E67" s="716" t="n"/>
      <c r="F67" s="716" t="n"/>
      <c r="G67" s="716" t="n"/>
      <c r="H67" s="716" t="n"/>
      <c r="I67" s="716" t="n"/>
      <c r="J67" s="716" t="n"/>
      <c r="K67" s="716" t="n"/>
      <c r="L67" s="716" t="n"/>
      <c r="M67" s="716" t="n"/>
      <c r="N67" s="716" t="n"/>
      <c r="O67" s="716" t="n"/>
      <c r="P67" s="716" t="n"/>
      <c r="Q67" s="716" t="n"/>
      <c r="R67" s="716" t="n"/>
      <c r="S67" s="462">
        <f>IF(_epmOfflineCondition_,"二、投资活动产生的现金流量：",EPMMemberDesc(U67))</f>
        <v/>
      </c>
      <c r="T67" s="716" t="n"/>
      <c r="U67" s="716" t="inlineStr">
        <is>
          <t>A00302</t>
        </is>
      </c>
      <c r="V67" s="455">
        <f>IF(_epmOfflineCondition_,"A00302",EPMOlapMemberO(U67,"[C_ACCOUNT].[PARENTH1].[A00302]","A00302 - 二、投资活动产生的现金流量：","","000"))</f>
        <v/>
      </c>
      <c r="W67" s="462" t="n"/>
      <c r="X67" s="454" t="inlineStr">
        <is>
          <t>二、投资活动产生的现金流量：</t>
        </is>
      </c>
      <c r="Y67" s="1185" t="inlineStr">
        <is>
          <t>-</t>
        </is>
      </c>
      <c r="Z67" s="1249" t="n"/>
      <c r="AA67" s="1249" t="n"/>
      <c r="AB67" s="1250" t="n"/>
      <c r="AC67" s="1249">
        <f>Z67-AB67</f>
        <v/>
      </c>
      <c r="AD67" s="1249">
        <f>IF(AB67=0,0,(Z67-AB67)/AB67*100)</f>
        <v/>
      </c>
      <c r="AE67" s="1249" t="n"/>
      <c r="AF67" s="1249">
        <f>Z67-AE67</f>
        <v/>
      </c>
      <c r="AG67" s="1249">
        <f>IF(AE67=0,0,(Z67-AE67)/AE67*100)</f>
        <v/>
      </c>
      <c r="AH67" s="1249" t="n"/>
      <c r="AI67" s="1249">
        <f>AA67-AH67</f>
        <v/>
      </c>
      <c r="AJ67" s="1249">
        <f>IF(AH67=0,0,(AA67-AH67)/AH67*100)</f>
        <v/>
      </c>
      <c r="AK67" s="1251" t="n"/>
      <c r="AL67" s="1251">
        <f>Z67-AK67</f>
        <v/>
      </c>
      <c r="AM67" s="1249">
        <f>IF(AK67=0,0,Z67/AK67*100)</f>
        <v/>
      </c>
      <c r="AN67" s="1251" t="n"/>
      <c r="AO67" s="1251">
        <f>AA67-AN67</f>
        <v/>
      </c>
      <c r="AP67" s="1249">
        <f>IF(AN67=0,0,AA67/AN67*100)</f>
        <v/>
      </c>
      <c r="AQ67" s="1251" t="n"/>
      <c r="AR67" s="1260">
        <f>AA67-AQ67</f>
        <v/>
      </c>
      <c r="AS67" s="1259">
        <f>IF(AQ67=0,0,AA67/AQ67*100)</f>
        <v/>
      </c>
    </row>
    <row r="68" ht="15.2" customFormat="1" customHeight="1" s="716">
      <c r="A68" s="716" t="n"/>
      <c r="B68" s="716" t="n"/>
      <c r="C68" s="716" t="n"/>
      <c r="D68" s="716" t="n"/>
      <c r="E68" s="716" t="n"/>
      <c r="F68" s="716" t="n"/>
      <c r="G68" s="716" t="n"/>
      <c r="H68" s="716" t="n"/>
      <c r="I68" s="716" t="n"/>
      <c r="J68" s="716" t="n"/>
      <c r="K68" s="716" t="n"/>
      <c r="L68" s="716" t="n"/>
      <c r="M68" s="716" t="n"/>
      <c r="N68" s="716" t="n"/>
      <c r="O68" s="716" t="n"/>
      <c r="P68" s="716" t="n"/>
      <c r="Q68" s="716" t="n"/>
      <c r="R68" s="716" t="n"/>
      <c r="S68" s="462">
        <f>IF(_epmOfflineCondition_,"　　收回投资收到的现金",EPMMemberDesc(U68))</f>
        <v/>
      </c>
      <c r="T68" s="716" t="n"/>
      <c r="U68" s="716" t="inlineStr">
        <is>
          <t>A003020102</t>
        </is>
      </c>
      <c r="V68" s="635">
        <f>IF(_epmOfflineCondition_,"A003020102",EPMOlapMemberO(U68,"[C_ACCOUNT].[PARENTH1].[A003020102]","A003020102 - 　　收回投资收到的现金","","000"))</f>
        <v/>
      </c>
      <c r="W68" s="462" t="n"/>
      <c r="X68" s="475" t="inlineStr">
        <is>
          <t xml:space="preserve">　　收回投资收到的现金</t>
        </is>
      </c>
      <c r="Y68" s="1185" t="inlineStr"/>
      <c r="Z68" s="1249" t="n"/>
      <c r="AA68" s="1249" t="n"/>
      <c r="AB68" s="1250" t="n"/>
      <c r="AC68" s="1249">
        <f>Z68-AB68</f>
        <v/>
      </c>
      <c r="AD68" s="1249">
        <f>IF(AB68=0,0,(Z68-AB68)/AB68*100)</f>
        <v/>
      </c>
      <c r="AE68" s="1249" t="n"/>
      <c r="AF68" s="1249">
        <f>Z68-AE68</f>
        <v/>
      </c>
      <c r="AG68" s="1249">
        <f>IF(AE68=0,0,(Z68-AE68)/AE68*100)</f>
        <v/>
      </c>
      <c r="AH68" s="1249" t="n"/>
      <c r="AI68" s="1249">
        <f>AA68-AH68</f>
        <v/>
      </c>
      <c r="AJ68" s="1249">
        <f>IF(AH68=0,0,(AA68-AH68)/AH68*100)</f>
        <v/>
      </c>
      <c r="AK68" s="1251" t="n"/>
      <c r="AL68" s="1251">
        <f>Z68-AK68</f>
        <v/>
      </c>
      <c r="AM68" s="1249">
        <f>IF(AK68=0,0,Z68/AK68*100)</f>
        <v/>
      </c>
      <c r="AN68" s="1251" t="n"/>
      <c r="AO68" s="1251">
        <f>AA68-AN68</f>
        <v/>
      </c>
      <c r="AP68" s="1249">
        <f>IF(AN68=0,0,AA68/AN68*100)</f>
        <v/>
      </c>
      <c r="AQ68" s="1251" t="n"/>
      <c r="AR68" s="1260">
        <f>AA68-AQ68</f>
        <v/>
      </c>
      <c r="AS68" s="1259">
        <f>IF(AQ68=0,0,AA68/AQ68*100)</f>
        <v/>
      </c>
    </row>
    <row r="69" ht="15.2" customFormat="1" customHeight="1" s="716">
      <c r="A69" s="716" t="n"/>
      <c r="B69" s="716" t="n"/>
      <c r="C69" s="716" t="n"/>
      <c r="D69" s="716" t="n"/>
      <c r="E69" s="716" t="n"/>
      <c r="F69" s="716" t="n"/>
      <c r="G69" s="716" t="n"/>
      <c r="H69" s="716" t="n"/>
      <c r="I69" s="716" t="n"/>
      <c r="J69" s="716" t="n"/>
      <c r="K69" s="716" t="n"/>
      <c r="L69" s="716" t="n"/>
      <c r="M69" s="716" t="n"/>
      <c r="N69" s="716" t="n"/>
      <c r="O69" s="716" t="n"/>
      <c r="P69" s="716" t="n"/>
      <c r="Q69" s="716" t="n"/>
      <c r="R69" s="716" t="n"/>
      <c r="S69" s="462">
        <f>IF(_epmOfflineCondition_,"　　取得投资收益收到的现金",EPMMemberDesc(U69))</f>
        <v/>
      </c>
      <c r="T69" s="716" t="n"/>
      <c r="U69" s="716" t="inlineStr">
        <is>
          <t>A003020202</t>
        </is>
      </c>
      <c r="V69" s="635">
        <f>IF(_epmOfflineCondition_,"A003020202",EPMOlapMemberO(U69,"[C_ACCOUNT].[PARENTH1].[A003020202]","A003020202 - 　　取得投资收益收到的现金","","000"))</f>
        <v/>
      </c>
      <c r="W69" s="462" t="n"/>
      <c r="X69" s="475" t="inlineStr">
        <is>
          <t xml:space="preserve">　　取得投资收益收到的现金</t>
        </is>
      </c>
      <c r="Y69" s="1185" t="inlineStr"/>
      <c r="Z69" s="1249" t="n"/>
      <c r="AA69" s="1249" t="n"/>
      <c r="AB69" s="1249" t="n"/>
      <c r="AC69" s="1249" t="n"/>
      <c r="AD69" s="1249" t="n"/>
      <c r="AE69" s="1249" t="n"/>
      <c r="AF69" s="1249" t="n"/>
      <c r="AG69" s="1249" t="n"/>
      <c r="AH69" s="1249" t="n"/>
      <c r="AI69" s="1249" t="n"/>
      <c r="AJ69" s="1249" t="n"/>
      <c r="AK69" s="1249" t="n"/>
      <c r="AL69" s="1249" t="n"/>
      <c r="AM69" s="1249">
        <f>IF(AK69=0,0,Z69/AK69*100)</f>
        <v/>
      </c>
      <c r="AN69" s="1249" t="n"/>
      <c r="AO69" s="1249" t="n"/>
      <c r="AP69" s="1249">
        <f>IF(AN69=0,0,AA69/AN69*100)</f>
        <v/>
      </c>
      <c r="AQ69" s="1249" t="n"/>
      <c r="AR69" s="1259" t="n"/>
      <c r="AS69" s="1259">
        <f>IF(AQ69=0,0,AA69/AQ69*100)</f>
        <v/>
      </c>
    </row>
    <row r="70" ht="15.2" customFormat="1" customHeight="1" s="716">
      <c r="A70" s="716" t="n"/>
      <c r="B70" s="716" t="n"/>
      <c r="C70" s="716" t="n"/>
      <c r="D70" s="716" t="n"/>
      <c r="E70" s="716" t="n"/>
      <c r="F70" s="716" t="n"/>
      <c r="G70" s="716" t="n"/>
      <c r="H70" s="716" t="n"/>
      <c r="I70" s="716" t="n"/>
      <c r="J70" s="716" t="n"/>
      <c r="K70" s="716" t="n"/>
      <c r="L70" s="716" t="n"/>
      <c r="M70" s="716" t="n"/>
      <c r="N70" s="716" t="n"/>
      <c r="O70" s="716" t="n"/>
      <c r="P70" s="716" t="n"/>
      <c r="Q70" s="716" t="n"/>
      <c r="R70" s="716" t="n"/>
      <c r="S70" s="462">
        <f>IF(_epmOfflineCondition_,"       处置固定资产、无形资产和其他长期资产所回现金净额",EPMMemberDesc(U70))</f>
        <v/>
      </c>
      <c r="T70" s="716" t="n"/>
      <c r="U70" s="716" t="inlineStr">
        <is>
          <t>A0030203</t>
        </is>
      </c>
      <c r="V70" s="635">
        <f>IF(_epmOfflineCondition_,"A0030203",EPMOlapMemberO(U70,"[C_ACCOUNT].[PARENTH1].[A0030203]","A0030203 -        处置固定资产、无形资产和其他长期资产所回现金净额","","000"))</f>
        <v/>
      </c>
      <c r="W70" s="462" t="n"/>
      <c r="X70" s="475" t="inlineStr">
        <is>
          <t xml:space="preserve">　　处置固定资产、无形资产和其他长期资产收回现金净额</t>
        </is>
      </c>
      <c r="Y70" s="1185" t="inlineStr"/>
      <c r="Z70" s="1249" t="n"/>
      <c r="AA70" s="1249" t="n"/>
      <c r="AB70" s="1250" t="n"/>
      <c r="AC70" s="1249">
        <f>Z70-AB70</f>
        <v/>
      </c>
      <c r="AD70" s="1249">
        <f>IF(AB70=0,0,(Z70-AB70)/AB70*100)</f>
        <v/>
      </c>
      <c r="AE70" s="1249" t="n"/>
      <c r="AF70" s="1249">
        <f>Z70-AE70</f>
        <v/>
      </c>
      <c r="AG70" s="1249">
        <f>IF(AE70=0,0,(Z70-AE70)/AE70*100)</f>
        <v/>
      </c>
      <c r="AH70" s="1249" t="n"/>
      <c r="AI70" s="1249">
        <f>AA70-AH70</f>
        <v/>
      </c>
      <c r="AJ70" s="1249">
        <f>IF(AH70=0,0,(AA70-AH70)/AH70*100)</f>
        <v/>
      </c>
      <c r="AK70" s="1251" t="n"/>
      <c r="AL70" s="1251">
        <f>Z70-AK70</f>
        <v/>
      </c>
      <c r="AM70" s="1249">
        <f>IF(AK70=0,0,Z70/AK70*100)</f>
        <v/>
      </c>
      <c r="AN70" s="1251" t="n"/>
      <c r="AO70" s="1251">
        <f>AA70-AN70</f>
        <v/>
      </c>
      <c r="AP70" s="1249">
        <f>IF(AN70=0,0,AA70/AN70*100)</f>
        <v/>
      </c>
      <c r="AQ70" s="1251" t="n"/>
      <c r="AR70" s="1260">
        <f>AA70-AQ70</f>
        <v/>
      </c>
      <c r="AS70" s="1259">
        <f>IF(AQ70=0,0,AA70/AQ70*100)</f>
        <v/>
      </c>
    </row>
    <row r="71" ht="15.2" customFormat="1" customHeight="1" s="716">
      <c r="A71" s="716" t="n"/>
      <c r="B71" s="716" t="n"/>
      <c r="C71" s="716" t="n"/>
      <c r="D71" s="716" t="n"/>
      <c r="E71" s="716" t="n"/>
      <c r="F71" s="716" t="n"/>
      <c r="G71" s="716" t="n"/>
      <c r="H71" s="716" t="n"/>
      <c r="I71" s="716" t="n"/>
      <c r="J71" s="716" t="n"/>
      <c r="K71" s="716" t="n"/>
      <c r="L71" s="716" t="n"/>
      <c r="M71" s="716" t="n"/>
      <c r="N71" s="716" t="n"/>
      <c r="O71" s="716" t="n"/>
      <c r="P71" s="716" t="n"/>
      <c r="Q71" s="716" t="n"/>
      <c r="R71" s="716" t="n"/>
      <c r="S71" s="462">
        <f>IF(_epmOfflineCondition_,"       处置子公司及其他营业单位收到的现金净额",EPMMemberDesc(U71))</f>
        <v/>
      </c>
      <c r="T71" s="716" t="n"/>
      <c r="U71" s="716" t="inlineStr">
        <is>
          <t>A0030204</t>
        </is>
      </c>
      <c r="V71" s="637">
        <f>IF(_epmOfflineCondition_,"A0030204",EPMOlapMemberO(U71,"[C_ACCOUNT].[PARENTH1].[A0030204]","A0030204 -        处置子公司及其他营业单位收到的现金净额","","000"))</f>
        <v/>
      </c>
      <c r="W71" s="462" t="n"/>
      <c r="X71" s="475" t="inlineStr">
        <is>
          <t xml:space="preserve">   　处置子公司及其他营业单位收到的现金净额</t>
        </is>
      </c>
      <c r="Y71" s="1185" t="inlineStr"/>
      <c r="Z71" s="1249" t="n"/>
      <c r="AA71" s="1249" t="n"/>
      <c r="AB71" s="1250" t="n"/>
      <c r="AC71" s="1249">
        <f>Z71-AB71</f>
        <v/>
      </c>
      <c r="AD71" s="1249">
        <f>IF(AB71=0,0,(Z71-AB71)/AB71*100)</f>
        <v/>
      </c>
      <c r="AE71" s="1249" t="n"/>
      <c r="AF71" s="1249">
        <f>Z71-AE71</f>
        <v/>
      </c>
      <c r="AG71" s="1249">
        <f>IF(AE71=0,0,(Z71-AE71)/AE71*100)</f>
        <v/>
      </c>
      <c r="AH71" s="1249" t="n"/>
      <c r="AI71" s="1249">
        <f>AA71-AH71</f>
        <v/>
      </c>
      <c r="AJ71" s="1249">
        <f>IF(AH71=0,0,(AA71-AH71)/AH71*100)</f>
        <v/>
      </c>
      <c r="AK71" s="1251" t="n"/>
      <c r="AL71" s="1251">
        <f>Z71-AK71</f>
        <v/>
      </c>
      <c r="AM71" s="1249">
        <f>IF(AK71=0,0,Z71/AK71*100)</f>
        <v/>
      </c>
      <c r="AN71" s="1251" t="n"/>
      <c r="AO71" s="1251">
        <f>AA71-AN71</f>
        <v/>
      </c>
      <c r="AP71" s="1249">
        <f>IF(AN71=0,0,AA71/AN71*100)</f>
        <v/>
      </c>
      <c r="AQ71" s="1251" t="n"/>
      <c r="AR71" s="1260">
        <f>AA71-AQ71</f>
        <v/>
      </c>
      <c r="AS71" s="1259">
        <f>IF(AQ71=0,0,AA71/AQ71*100)</f>
        <v/>
      </c>
    </row>
    <row r="72" ht="15.2" customFormat="1" customHeight="1" s="716">
      <c r="A72" s="716" t="n"/>
      <c r="B72" s="716" t="n"/>
      <c r="C72" s="716" t="n"/>
      <c r="D72" s="716" t="n"/>
      <c r="E72" s="716" t="n"/>
      <c r="F72" s="716" t="n"/>
      <c r="G72" s="716" t="n"/>
      <c r="H72" s="716" t="n"/>
      <c r="I72" s="716" t="n"/>
      <c r="J72" s="716" t="n"/>
      <c r="K72" s="716" t="n"/>
      <c r="L72" s="716" t="n"/>
      <c r="M72" s="716" t="n"/>
      <c r="N72" s="716" t="n"/>
      <c r="O72" s="716" t="n"/>
      <c r="P72" s="716" t="n"/>
      <c r="Q72" s="716" t="n"/>
      <c r="R72" s="716" t="n"/>
      <c r="S72" s="462">
        <f>IF(_epmOfflineCondition_,"　　收到其他与投资活动有关的现金",EPMMemberDesc(U72))</f>
        <v/>
      </c>
      <c r="T72" s="716" t="n"/>
      <c r="U72" s="716" t="inlineStr">
        <is>
          <t>A0030205</t>
        </is>
      </c>
      <c r="V72" s="637">
        <f>IF(_epmOfflineCondition_,"A0030205",EPMOlapMemberO(U72,"[C_ACCOUNT].[PARENTH1].[A0030205]","A0030205 - 　　收到其他与投资活动有关的现金","","000"))</f>
        <v/>
      </c>
      <c r="W72" s="462" t="n"/>
      <c r="X72" s="475" t="inlineStr">
        <is>
          <t xml:space="preserve">　　收到其他与投资活动有关的现金</t>
        </is>
      </c>
      <c r="Y72" s="1185" t="inlineStr"/>
      <c r="Z72" s="1249" t="inlineStr"/>
      <c r="AA72" s="1249" t="inlineStr"/>
      <c r="AB72" s="1250" t="n"/>
      <c r="AC72" s="1249">
        <f>Z72-AB72</f>
        <v/>
      </c>
      <c r="AD72" s="1249">
        <f>IF(AB72=0,0,(Z72-AB72)/AB72*100)</f>
        <v/>
      </c>
      <c r="AE72" s="1249" t="inlineStr"/>
      <c r="AF72" s="1249">
        <f>Z72-AE72</f>
        <v/>
      </c>
      <c r="AG72" s="1249">
        <f>IF(AE72=0,0,(Z72-AE72)/AE72*100)</f>
        <v/>
      </c>
      <c r="AH72" s="1249" t="inlineStr"/>
      <c r="AI72" s="1249">
        <f>AA72-AH72</f>
        <v/>
      </c>
      <c r="AJ72" s="1249">
        <f>IF(AH72=0,0,(AA72-AH72)/AH72*100)</f>
        <v/>
      </c>
      <c r="AK72" s="1251" t="n"/>
      <c r="AL72" s="1251">
        <f>Z72-AK72</f>
        <v/>
      </c>
      <c r="AM72" s="1249">
        <f>IF(AK72=0,0,Z72/AK72*100)</f>
        <v/>
      </c>
      <c r="AN72" s="1251" t="n"/>
      <c r="AO72" s="1251">
        <f>AA72-AN72</f>
        <v/>
      </c>
      <c r="AP72" s="1249">
        <f>IF(AN72=0,0,AA72/AN72*100)</f>
        <v/>
      </c>
      <c r="AQ72" s="1251" t="n"/>
      <c r="AR72" s="1260">
        <f>AA72-AQ72</f>
        <v/>
      </c>
      <c r="AS72" s="1259">
        <f>IF(AQ72=0,0,AA72/AQ72*100)</f>
        <v/>
      </c>
    </row>
    <row r="73" ht="15.2" customFormat="1" customHeight="1" s="716">
      <c r="A73" s="716" t="n"/>
      <c r="B73" s="716" t="n"/>
      <c r="C73" s="716" t="n"/>
      <c r="D73" s="716" t="n"/>
      <c r="E73" s="716" t="n"/>
      <c r="F73" s="716" t="n"/>
      <c r="G73" s="716" t="n"/>
      <c r="H73" s="716" t="n"/>
      <c r="I73" s="716" t="n"/>
      <c r="J73" s="716" t="n"/>
      <c r="K73" s="716" t="n"/>
      <c r="L73" s="716" t="n"/>
      <c r="M73" s="716" t="n"/>
      <c r="N73" s="716" t="n"/>
      <c r="O73" s="716" t="n"/>
      <c r="P73" s="716" t="n"/>
      <c r="Q73" s="716" t="n"/>
      <c r="R73" s="716" t="n"/>
      <c r="S73" s="462">
        <f>IF(_epmOfflineCondition_,"       投资活动现金流入小计",EPMMemberDesc(U73))</f>
        <v/>
      </c>
      <c r="T73" s="716" t="n"/>
      <c r="U73" s="716" t="inlineStr">
        <is>
          <t>A0030206</t>
        </is>
      </c>
      <c r="V73" s="459">
        <f>IF(_epmOfflineCondition_,"A0030206",EPMOlapMemberO(U73,"[C_ACCOUNT].[PARENTH1].[A0030206]","A0030206 -        投资活动现金流入小计","","000"))</f>
        <v/>
      </c>
      <c r="W73" s="462" t="n"/>
      <c r="X73" s="450" t="inlineStr">
        <is>
          <t xml:space="preserve"> 投资活动现金流入小计 </t>
        </is>
      </c>
      <c r="Y73" s="1185" t="inlineStr"/>
      <c r="Z73" s="1249" t="inlineStr"/>
      <c r="AA73" s="1249" t="inlineStr"/>
      <c r="AB73" s="1250" t="n"/>
      <c r="AC73" s="1249">
        <f>Z73-AB73</f>
        <v/>
      </c>
      <c r="AD73" s="1249">
        <f>IF(AB73=0,0,(Z73-AB73)/AB73*100)</f>
        <v/>
      </c>
      <c r="AE73" s="1249" t="inlineStr"/>
      <c r="AF73" s="1249">
        <f>Z73-AE73</f>
        <v/>
      </c>
      <c r="AG73" s="1249">
        <f>IF(AE73=0,0,(Z73-AE73)/AE73*100)</f>
        <v/>
      </c>
      <c r="AH73" s="1249" t="inlineStr"/>
      <c r="AI73" s="1249">
        <f>AA73-AH73</f>
        <v/>
      </c>
      <c r="AJ73" s="1249">
        <f>IF(AH73=0,0,(AA73-AH73)/AH73*100)</f>
        <v/>
      </c>
      <c r="AK73" s="1251" t="n"/>
      <c r="AL73" s="1251">
        <f>Z73-AK73</f>
        <v/>
      </c>
      <c r="AM73" s="1249">
        <f>IF(AK73=0,0,Z73/AK73*100)</f>
        <v/>
      </c>
      <c r="AN73" s="1251" t="n"/>
      <c r="AO73" s="1251">
        <f>AA73-AN73</f>
        <v/>
      </c>
      <c r="AP73" s="1249">
        <f>IF(AN73=0,0,AA73/AN73*100)</f>
        <v/>
      </c>
      <c r="AQ73" s="1251" t="n"/>
      <c r="AR73" s="1260">
        <f>AA73-AQ73</f>
        <v/>
      </c>
      <c r="AS73" s="1259">
        <f>IF(AQ73=0,0,AA73/AQ73*100)</f>
        <v/>
      </c>
    </row>
    <row r="74" ht="15.2" customFormat="1" customHeight="1" s="716">
      <c r="A74" s="716" t="n"/>
      <c r="B74" s="716" t="n"/>
      <c r="C74" s="716" t="n"/>
      <c r="D74" s="716" t="n"/>
      <c r="E74" s="716" t="n"/>
      <c r="F74" s="716" t="n"/>
      <c r="G74" s="716" t="n"/>
      <c r="H74" s="716" t="n"/>
      <c r="I74" s="716" t="n"/>
      <c r="J74" s="716" t="n"/>
      <c r="K74" s="716" t="n"/>
      <c r="L74" s="716" t="n"/>
      <c r="M74" s="716" t="n"/>
      <c r="N74" s="716" t="n"/>
      <c r="O74" s="716" t="n"/>
      <c r="P74" s="716" t="n"/>
      <c r="Q74" s="716" t="n"/>
      <c r="R74" s="716" t="n"/>
      <c r="S74" s="462">
        <f>IF(_epmOfflineCondition_,"       购建固定资产、无形资产和其他长期资产所支付的现金",EPMMemberDesc(U74))</f>
        <v/>
      </c>
      <c r="T74" s="716" t="n"/>
      <c r="U74" s="716" t="inlineStr">
        <is>
          <t>A0030207</t>
        </is>
      </c>
      <c r="V74" s="635">
        <f>IF(_epmOfflineCondition_,"A0030207",EPMOlapMemberO(U74,"[C_ACCOUNT].[PARENTH1].[A0030207]","A0030207 -        购建固定资产、无形资产和其他长期资产所支付的现金","","000"))</f>
        <v/>
      </c>
      <c r="W74" s="462" t="n"/>
      <c r="X74" s="475" t="inlineStr">
        <is>
          <t xml:space="preserve"> 　　购建固定资产、无形资产和其他长期资产支付的现金 </t>
        </is>
      </c>
      <c r="Y74" s="1185" t="inlineStr"/>
      <c r="Z74" s="1249" t="inlineStr"/>
      <c r="AA74" s="1249" t="inlineStr"/>
      <c r="AB74" s="1250" t="inlineStr"/>
      <c r="AC74" s="1249">
        <f>Z74-AB74</f>
        <v/>
      </c>
      <c r="AD74" s="1249">
        <f>IF(AB74=0,0,(Z74-AB74)/AB74*100)</f>
        <v/>
      </c>
      <c r="AE74" s="1249" t="inlineStr"/>
      <c r="AF74" s="1249">
        <f>Z74-AE74</f>
        <v/>
      </c>
      <c r="AG74" s="1249">
        <f>IF(AE74=0,0,(Z74-AE74)/AE74*100)</f>
        <v/>
      </c>
      <c r="AH74" s="1249" t="inlineStr"/>
      <c r="AI74" s="1249">
        <f>AA74-AH74</f>
        <v/>
      </c>
      <c r="AJ74" s="1249">
        <f>IF(AH74=0,0,(AA74-AH74)/AH74*100)</f>
        <v/>
      </c>
      <c r="AK74" s="1251" t="n"/>
      <c r="AL74" s="1251">
        <f>Z74-AK74</f>
        <v/>
      </c>
      <c r="AM74" s="1249">
        <f>IF(AK74=0,0,Z74/AK74*100)</f>
        <v/>
      </c>
      <c r="AN74" s="1251" t="n"/>
      <c r="AO74" s="1251">
        <f>AA74-AN74</f>
        <v/>
      </c>
      <c r="AP74" s="1249">
        <f>IF(AN74=0,0,AA74/AN74*100)</f>
        <v/>
      </c>
      <c r="AQ74" s="1251" t="n"/>
      <c r="AR74" s="1260">
        <f>AA74-AQ74</f>
        <v/>
      </c>
      <c r="AS74" s="1259">
        <f>IF(AQ74=0,0,AA74/AQ74*100)</f>
        <v/>
      </c>
    </row>
    <row r="75" ht="15.2" customFormat="1" customHeight="1" s="716">
      <c r="A75" s="716" t="n"/>
      <c r="B75" s="716" t="n"/>
      <c r="C75" s="716" t="n"/>
      <c r="D75" s="716" t="n"/>
      <c r="E75" s="716" t="n"/>
      <c r="F75" s="716" t="n"/>
      <c r="G75" s="716" t="n"/>
      <c r="H75" s="716" t="n"/>
      <c r="I75" s="716" t="n"/>
      <c r="J75" s="716" t="n"/>
      <c r="K75" s="716" t="n"/>
      <c r="L75" s="716" t="n"/>
      <c r="M75" s="716" t="n"/>
      <c r="N75" s="716" t="n"/>
      <c r="O75" s="716" t="n"/>
      <c r="P75" s="716" t="n"/>
      <c r="Q75" s="716" t="n"/>
      <c r="R75" s="716" t="n"/>
      <c r="S75" s="462">
        <f>IF(_epmOfflineCondition_,"       投资支付的现金",EPMMemberDesc(U75))</f>
        <v/>
      </c>
      <c r="T75" s="716" t="n"/>
      <c r="U75" s="716" t="inlineStr">
        <is>
          <t>A003020802</t>
        </is>
      </c>
      <c r="V75" s="635">
        <f>IF(_epmOfflineCondition_,"A003020802",EPMOlapMemberO(U75,"[C_ACCOUNT].[PARENTH1].[A003020802]","A003020802 -        投资支付的现金","","000"))</f>
        <v/>
      </c>
      <c r="W75" s="462" t="n"/>
      <c r="X75" s="475" t="inlineStr">
        <is>
          <t xml:space="preserve"> 　　投资支付的现金 </t>
        </is>
      </c>
      <c r="Y75" s="1185" t="inlineStr"/>
      <c r="Z75" s="1249" t="n"/>
      <c r="AA75" s="1249" t="n"/>
      <c r="AB75" s="1250" t="n"/>
      <c r="AC75" s="1249">
        <f>Z75-AB75</f>
        <v/>
      </c>
      <c r="AD75" s="1249">
        <f>IF(AB75=0,0,(Z75-AB75)/AB75*100)</f>
        <v/>
      </c>
      <c r="AE75" s="1249" t="n"/>
      <c r="AF75" s="1249">
        <f>Z75-AE75</f>
        <v/>
      </c>
      <c r="AG75" s="1249">
        <f>IF(AE75=0,0,(Z75-AE75)/AE75*100)</f>
        <v/>
      </c>
      <c r="AH75" s="1249" t="n"/>
      <c r="AI75" s="1249">
        <f>AA75-AH75</f>
        <v/>
      </c>
      <c r="AJ75" s="1249">
        <f>IF(AH75=0,0,(AA75-AH75)/AH75*100)</f>
        <v/>
      </c>
      <c r="AK75" s="1251" t="n"/>
      <c r="AL75" s="1251">
        <f>Z75-AK75</f>
        <v/>
      </c>
      <c r="AM75" s="1249">
        <f>IF(AK75=0,0,Z75/AK75*100)</f>
        <v/>
      </c>
      <c r="AN75" s="1251" t="n"/>
      <c r="AO75" s="1251">
        <f>AA75-AN75</f>
        <v/>
      </c>
      <c r="AP75" s="1249">
        <f>IF(AN75=0,0,AA75/AN75*100)</f>
        <v/>
      </c>
      <c r="AQ75" s="1251" t="n"/>
      <c r="AR75" s="1260">
        <f>AA75-AQ75</f>
        <v/>
      </c>
      <c r="AS75" s="1259">
        <f>IF(AQ75=0,0,AA75/AQ75*100)</f>
        <v/>
      </c>
    </row>
    <row r="76" ht="17" customFormat="1" customHeight="1" s="716">
      <c r="A76" s="716" t="n"/>
      <c r="B76" s="716" t="n"/>
      <c r="C76" s="716" t="n"/>
      <c r="D76" s="716" t="n"/>
      <c r="E76" s="716" t="n"/>
      <c r="F76" s="716" t="n"/>
      <c r="G76" s="716" t="n"/>
      <c r="H76" s="716" t="n"/>
      <c r="I76" s="716" t="n"/>
      <c r="J76" s="716" t="n"/>
      <c r="K76" s="716" t="n"/>
      <c r="L76" s="716" t="n"/>
      <c r="M76" s="716" t="n"/>
      <c r="N76" s="716" t="n"/>
      <c r="O76" s="716" t="n"/>
      <c r="P76" s="716" t="n"/>
      <c r="Q76" s="716" t="n"/>
      <c r="R76" s="716" t="n"/>
      <c r="S76" s="462">
        <f>IF(_epmOfflineCondition_,"    # 质押贷款净增加额",EPMMemberDesc(U76))</f>
        <v/>
      </c>
      <c r="T76" s="716" t="n"/>
      <c r="U76" s="716" t="inlineStr">
        <is>
          <t>A0030209</t>
        </is>
      </c>
      <c r="V76" s="635">
        <f>IF(_epmOfflineCondition_,"A0030209",EPMOlapMemberO(U76,"[C_ACCOUNT].[PARENTH1].[A0030209]","A0030209 -     # 质押贷款净增加额","","000"))</f>
        <v/>
      </c>
      <c r="W76" s="462" t="n"/>
      <c r="X76" s="1015" t="inlineStr">
        <is>
          <t xml:space="preserve">  △质押贷款净增加额</t>
        </is>
      </c>
      <c r="Y76" s="1185" t="inlineStr"/>
      <c r="Z76" s="1249" t="n"/>
      <c r="AA76" s="1249" t="n"/>
      <c r="AB76" s="1250" t="n"/>
      <c r="AC76" s="1249">
        <f>Z76-AB76</f>
        <v/>
      </c>
      <c r="AD76" s="1249">
        <f>IF(AB76=0,0,(Z76-AB76)/AB76*100)</f>
        <v/>
      </c>
      <c r="AE76" s="1249" t="n"/>
      <c r="AF76" s="1249">
        <f>Z76-AE76</f>
        <v/>
      </c>
      <c r="AG76" s="1249">
        <f>IF(AE76=0,0,(Z76-AE76)/AE76*100)</f>
        <v/>
      </c>
      <c r="AH76" s="1249" t="n"/>
      <c r="AI76" s="1249">
        <f>AA76-AH76</f>
        <v/>
      </c>
      <c r="AJ76" s="1249">
        <f>IF(AH76=0,0,(AA76-AH76)/AH76*100)</f>
        <v/>
      </c>
      <c r="AK76" s="1251" t="n"/>
      <c r="AL76" s="1251">
        <f>Z76-AK76</f>
        <v/>
      </c>
      <c r="AM76" s="1249">
        <f>IF(AK76=0,0,Z76/AK76*100)</f>
        <v/>
      </c>
      <c r="AN76" s="1251" t="n"/>
      <c r="AO76" s="1251">
        <f>AA76-AN76</f>
        <v/>
      </c>
      <c r="AP76" s="1249">
        <f>IF(AN76=0,0,AA76/AN76*100)</f>
        <v/>
      </c>
      <c r="AQ76" s="1251" t="n"/>
      <c r="AR76" s="1260">
        <f>AA76-AQ76</f>
        <v/>
      </c>
      <c r="AS76" s="1259">
        <f>IF(AQ76=0,0,AA76/AQ76*100)</f>
        <v/>
      </c>
    </row>
    <row r="77" ht="15.2" customFormat="1" customHeight="1" s="716">
      <c r="A77" s="716" t="n"/>
      <c r="B77" s="716" t="n"/>
      <c r="C77" s="716" t="n"/>
      <c r="D77" s="716" t="n"/>
      <c r="E77" s="716" t="n"/>
      <c r="F77" s="716" t="n"/>
      <c r="G77" s="716" t="n"/>
      <c r="H77" s="716" t="n"/>
      <c r="I77" s="716" t="n"/>
      <c r="J77" s="716" t="n"/>
      <c r="K77" s="716" t="n"/>
      <c r="L77" s="716" t="n"/>
      <c r="M77" s="716" t="n"/>
      <c r="N77" s="716" t="n"/>
      <c r="O77" s="716" t="n"/>
      <c r="P77" s="716" t="n"/>
      <c r="Q77" s="716" t="n"/>
      <c r="R77" s="716" t="n"/>
      <c r="S77" s="462">
        <f>IF(_epmOfflineCondition_,"       取得子公司及其他营业单位支付的现金净额",EPMMemberDesc(U77))</f>
        <v/>
      </c>
      <c r="T77" s="716" t="n"/>
      <c r="U77" s="716" t="inlineStr">
        <is>
          <t>A0030210</t>
        </is>
      </c>
      <c r="V77" s="637">
        <f>IF(_epmOfflineCondition_,"A0030210",EPMOlapMemberO(U77,"[C_ACCOUNT].[PARENTH1].[A0030210]","A0030210 -        取得子公司及其他营业单位支付的现金净额","","000"))</f>
        <v/>
      </c>
      <c r="W77" s="462" t="n"/>
      <c r="X77" s="475" t="inlineStr">
        <is>
          <t xml:space="preserve"> 　　取得子公司及其他营业单位支付的现金净额 </t>
        </is>
      </c>
      <c r="Y77" s="1185" t="inlineStr"/>
      <c r="Z77" s="1249" t="n"/>
      <c r="AA77" s="1249" t="n"/>
      <c r="AB77" s="1250" t="n"/>
      <c r="AC77" s="1249">
        <f>Z77-AB77</f>
        <v/>
      </c>
      <c r="AD77" s="1249">
        <f>IF(AB77=0,0,(Z77-AB77)/AB77*100)</f>
        <v/>
      </c>
      <c r="AE77" s="1249" t="n"/>
      <c r="AF77" s="1249">
        <f>Z77-AE77</f>
        <v/>
      </c>
      <c r="AG77" s="1249">
        <f>IF(AE77=0,0,(Z77-AE77)/AE77*100)</f>
        <v/>
      </c>
      <c r="AH77" s="1249" t="n"/>
      <c r="AI77" s="1249">
        <f>AA77-AH77</f>
        <v/>
      </c>
      <c r="AJ77" s="1249">
        <f>IF(AH77=0,0,(AA77-AH77)/AH77*100)</f>
        <v/>
      </c>
      <c r="AK77" s="1251" t="n"/>
      <c r="AL77" s="1251">
        <f>Z77-AK77</f>
        <v/>
      </c>
      <c r="AM77" s="1249">
        <f>IF(AK77=0,0,Z77/AK77*100)</f>
        <v/>
      </c>
      <c r="AN77" s="1251" t="n"/>
      <c r="AO77" s="1251">
        <f>AA77-AN77</f>
        <v/>
      </c>
      <c r="AP77" s="1249">
        <f>IF(AN77=0,0,AA77/AN77*100)</f>
        <v/>
      </c>
      <c r="AQ77" s="1251" t="n"/>
      <c r="AR77" s="1260">
        <f>AA77-AQ77</f>
        <v/>
      </c>
      <c r="AS77" s="1259">
        <f>IF(AQ77=0,0,AA77/AQ77*100)</f>
        <v/>
      </c>
    </row>
    <row r="78" ht="15.2" customFormat="1" customHeight="1" s="716">
      <c r="A78" s="716" t="n"/>
      <c r="B78" s="716" t="n"/>
      <c r="C78" s="716" t="n"/>
      <c r="D78" s="716" t="n"/>
      <c r="E78" s="716" t="n"/>
      <c r="F78" s="716" t="n"/>
      <c r="G78" s="716" t="n"/>
      <c r="H78" s="716" t="n"/>
      <c r="I78" s="716" t="n"/>
      <c r="J78" s="716" t="n"/>
      <c r="K78" s="716" t="n"/>
      <c r="L78" s="716" t="n"/>
      <c r="M78" s="716" t="n"/>
      <c r="N78" s="716" t="n"/>
      <c r="O78" s="716" t="n"/>
      <c r="P78" s="716" t="n"/>
      <c r="Q78" s="716" t="n"/>
      <c r="R78" s="716" t="n"/>
      <c r="S78" s="462">
        <f>IF(_epmOfflineCondition_,"       支付其他与投资活动有关的现金",EPMMemberDesc(U78))</f>
        <v/>
      </c>
      <c r="T78" s="716" t="n"/>
      <c r="U78" s="716" t="inlineStr">
        <is>
          <t>A0030211</t>
        </is>
      </c>
      <c r="V78" s="635">
        <f>IF(_epmOfflineCondition_,"A0030211",EPMOlapMemberO(U78,"[C_ACCOUNT].[PARENTH1].[A0030211]","A0030211 -        支付其他与投资活动有关的现金","","000"))</f>
        <v/>
      </c>
      <c r="W78" s="462" t="n"/>
      <c r="X78" s="475" t="inlineStr">
        <is>
          <t xml:space="preserve"> 　   支付其他与投资活动有关的现金 </t>
        </is>
      </c>
      <c r="Y78" s="1185" t="inlineStr"/>
      <c r="Z78" s="1249" t="inlineStr"/>
      <c r="AA78" s="1249" t="inlineStr"/>
      <c r="AB78" s="1250" t="n"/>
      <c r="AC78" s="1249">
        <f>Z78-AB78</f>
        <v/>
      </c>
      <c r="AD78" s="1249">
        <f>IF(AB78=0,0,(Z78-AB78)/AB78*100)</f>
        <v/>
      </c>
      <c r="AE78" s="1249" t="n"/>
      <c r="AF78" s="1249">
        <f>Z78-AE78</f>
        <v/>
      </c>
      <c r="AG78" s="1249">
        <f>IF(AE78=0,0,(Z78-AE78)/AE78*100)</f>
        <v/>
      </c>
      <c r="AH78" s="1249" t="n"/>
      <c r="AI78" s="1249">
        <f>AA78-AH78</f>
        <v/>
      </c>
      <c r="AJ78" s="1249">
        <f>IF(AH78=0,0,(AA78-AH78)/AH78*100)</f>
        <v/>
      </c>
      <c r="AK78" s="1251" t="n"/>
      <c r="AL78" s="1251">
        <f>Z78-AK78</f>
        <v/>
      </c>
      <c r="AM78" s="1249">
        <f>IF(AK78=0,0,Z78/AK78*100)</f>
        <v/>
      </c>
      <c r="AN78" s="1251" t="n"/>
      <c r="AO78" s="1251">
        <f>AA78-AN78</f>
        <v/>
      </c>
      <c r="AP78" s="1249">
        <f>IF(AN78=0,0,AA78/AN78*100)</f>
        <v/>
      </c>
      <c r="AQ78" s="1251" t="n"/>
      <c r="AR78" s="1260">
        <f>AA78-AQ78</f>
        <v/>
      </c>
      <c r="AS78" s="1259">
        <f>IF(AQ78=0,0,AA78/AQ78*100)</f>
        <v/>
      </c>
    </row>
    <row r="79" ht="15.2" customFormat="1" customHeight="1" s="716">
      <c r="A79" s="716" t="n"/>
      <c r="B79" s="716" t="n"/>
      <c r="C79" s="716" t="n"/>
      <c r="D79" s="716" t="n"/>
      <c r="E79" s="716" t="n"/>
      <c r="F79" s="716" t="n"/>
      <c r="G79" s="716" t="n"/>
      <c r="H79" s="716" t="n"/>
      <c r="I79" s="716" t="n"/>
      <c r="J79" s="716" t="n"/>
      <c r="K79" s="716" t="n"/>
      <c r="L79" s="716" t="n"/>
      <c r="M79" s="716" t="n"/>
      <c r="N79" s="716" t="n"/>
      <c r="O79" s="716" t="n"/>
      <c r="P79" s="716" t="n"/>
      <c r="Q79" s="716" t="n"/>
      <c r="R79" s="716" t="n"/>
      <c r="S79" s="462">
        <f>IF(_epmOfflineCondition_,"       投资活动现金流出小计",EPMMemberDesc(U79))</f>
        <v/>
      </c>
      <c r="T79" s="716" t="n"/>
      <c r="U79" s="716" t="inlineStr">
        <is>
          <t>A0030212</t>
        </is>
      </c>
      <c r="V79" s="459">
        <f>IF(_epmOfflineCondition_,"A0030212",EPMOlapMemberO(U79,"[C_ACCOUNT].[PARENTH1].[A0030212]","A0030212 -        投资活动现金流出小计","","000"))</f>
        <v/>
      </c>
      <c r="W79" s="462" t="n"/>
      <c r="X79" s="450" t="inlineStr">
        <is>
          <t xml:space="preserve"> 投资活动现金流出小计 </t>
        </is>
      </c>
      <c r="Y79" s="1185" t="inlineStr"/>
      <c r="Z79" s="1249" t="inlineStr"/>
      <c r="AA79" s="1249" t="inlineStr"/>
      <c r="AB79" s="1250" t="inlineStr"/>
      <c r="AC79" s="1249">
        <f>Z79-AB79</f>
        <v/>
      </c>
      <c r="AD79" s="1249">
        <f>IF(AB79=0,0,(Z79-AB79)/AB79*100)</f>
        <v/>
      </c>
      <c r="AE79" s="1249" t="inlineStr"/>
      <c r="AF79" s="1249">
        <f>Z79-AE79</f>
        <v/>
      </c>
      <c r="AG79" s="1249">
        <f>IF(AE79=0,0,(Z79-AE79)/AE79*100)</f>
        <v/>
      </c>
      <c r="AH79" s="1249" t="inlineStr"/>
      <c r="AI79" s="1249">
        <f>AA79-AH79</f>
        <v/>
      </c>
      <c r="AJ79" s="1249">
        <f>IF(AH79=0,0,(AA79-AH79)/AH79*100)</f>
        <v/>
      </c>
      <c r="AK79" s="1251" t="n"/>
      <c r="AL79" s="1251">
        <f>Z79-AK79</f>
        <v/>
      </c>
      <c r="AM79" s="1249">
        <f>IF(AK79=0,0,Z79/AK79*100)</f>
        <v/>
      </c>
      <c r="AN79" s="1251" t="n"/>
      <c r="AO79" s="1251">
        <f>AA79-AN79</f>
        <v/>
      </c>
      <c r="AP79" s="1249">
        <f>IF(AN79=0,0,AA79/AN79*100)</f>
        <v/>
      </c>
      <c r="AQ79" s="1251" t="n"/>
      <c r="AR79" s="1260">
        <f>AA79-AQ79</f>
        <v/>
      </c>
      <c r="AS79" s="1259">
        <f>IF(AQ79=0,0,AA79/AQ79*100)</f>
        <v/>
      </c>
    </row>
    <row r="80" ht="15.2" customFormat="1" customHeight="1" s="716">
      <c r="A80" s="716" t="n"/>
      <c r="B80" s="716" t="n"/>
      <c r="C80" s="716" t="n"/>
      <c r="D80" s="716" t="n"/>
      <c r="E80" s="716" t="n"/>
      <c r="F80" s="716" t="n"/>
      <c r="G80" s="716" t="n"/>
      <c r="H80" s="716" t="n"/>
      <c r="I80" s="716" t="n"/>
      <c r="J80" s="716" t="n"/>
      <c r="K80" s="716" t="n"/>
      <c r="L80" s="716" t="n"/>
      <c r="M80" s="716" t="n"/>
      <c r="N80" s="716" t="n"/>
      <c r="O80" s="716" t="n"/>
      <c r="P80" s="716" t="n"/>
      <c r="Q80" s="716" t="n"/>
      <c r="R80" s="716" t="n"/>
      <c r="S80" s="462">
        <f>IF(_epmOfflineCondition_,"              投资活动产生的现金流量净额",EPMMemberDesc(U80))</f>
        <v/>
      </c>
      <c r="T80" s="716" t="n"/>
      <c r="U80" s="716" t="inlineStr">
        <is>
          <t>A0030213</t>
        </is>
      </c>
      <c r="V80" s="535">
        <f>IF(_epmOfflineCondition_,"A0030213",EPMOlapMemberO(U80,"[C_ACCOUNT].[PARENTH1].[A0030213]","A0030213 -               投资活动产生的现金流量净额","","000"))</f>
        <v/>
      </c>
      <c r="W80" s="462" t="n"/>
      <c r="X80" s="450" t="inlineStr">
        <is>
          <t xml:space="preserve">投资活动产生的现金流量净额 </t>
        </is>
      </c>
      <c r="Y80" s="1185" t="inlineStr"/>
      <c r="Z80" s="1249" t="inlineStr"/>
      <c r="AA80" s="1249" t="inlineStr"/>
      <c r="AB80" s="1250" t="inlineStr"/>
      <c r="AC80" s="1249">
        <f>Z80-AB80</f>
        <v/>
      </c>
      <c r="AD80" s="1249">
        <f>IF(AB80=0,0,(Z80-AB80)/AB80*100)</f>
        <v/>
      </c>
      <c r="AE80" s="1249" t="inlineStr"/>
      <c r="AF80" s="1249">
        <f>Z80-AE80</f>
        <v/>
      </c>
      <c r="AG80" s="1249">
        <f>IF(AE80=0,0,(Z80-AE80)/AE80*100)</f>
        <v/>
      </c>
      <c r="AH80" s="1249" t="inlineStr"/>
      <c r="AI80" s="1249">
        <f>AA80-AH80</f>
        <v/>
      </c>
      <c r="AJ80" s="1249">
        <f>IF(AH80=0,0,(AA80-AH80)/AH80*100)</f>
        <v/>
      </c>
      <c r="AK80" s="1251" t="n"/>
      <c r="AL80" s="1251">
        <f>Z80-AK80</f>
        <v/>
      </c>
      <c r="AM80" s="1249">
        <f>IF(AK80=0,0,Z80/AK80*100)</f>
        <v/>
      </c>
      <c r="AN80" s="1251" t="n"/>
      <c r="AO80" s="1251">
        <f>AA80-AN80</f>
        <v/>
      </c>
      <c r="AP80" s="1249">
        <f>IF(AN80=0,0,AA80/AN80*100)</f>
        <v/>
      </c>
      <c r="AQ80" s="1251" t="n"/>
      <c r="AR80" s="1260">
        <f>AA80-AQ80</f>
        <v/>
      </c>
      <c r="AS80" s="1259">
        <f>IF(AQ80=0,0,AA80/AQ80*100)</f>
        <v/>
      </c>
    </row>
    <row r="81" ht="15.2" customFormat="1" customHeight="1" s="716">
      <c r="A81" s="716" t="n"/>
      <c r="B81" s="716" t="n"/>
      <c r="C81" s="716" t="n"/>
      <c r="D81" s="716" t="n"/>
      <c r="E81" s="716" t="n"/>
      <c r="F81" s="716" t="n"/>
      <c r="G81" s="716" t="n"/>
      <c r="H81" s="716" t="n"/>
      <c r="I81" s="716" t="n"/>
      <c r="J81" s="716" t="n"/>
      <c r="K81" s="716" t="n"/>
      <c r="L81" s="716" t="n"/>
      <c r="M81" s="716" t="n"/>
      <c r="N81" s="716" t="n"/>
      <c r="O81" s="716" t="n"/>
      <c r="P81" s="716" t="n"/>
      <c r="Q81" s="716" t="n"/>
      <c r="R81" s="716" t="n"/>
      <c r="S81" s="462">
        <f>IF(_epmOfflineCondition_,"三、筹资活动产生的现金流量：",EPMMemberDesc(U81))</f>
        <v/>
      </c>
      <c r="T81" s="716" t="n"/>
      <c r="U81" s="716" t="inlineStr">
        <is>
          <t>A00303</t>
        </is>
      </c>
      <c r="V81" s="455">
        <f>IF(_epmOfflineCondition_,"A00303",EPMOlapMemberO(U81,"[C_ACCOUNT].[PARENTH1].[A00303]","A00303 - 三、筹资活动产生的现金流量：","","000"))</f>
        <v/>
      </c>
      <c r="W81" s="462" t="n"/>
      <c r="X81" s="454" t="inlineStr">
        <is>
          <t xml:space="preserve"> 三、筹资活动产生的现金流量： </t>
        </is>
      </c>
      <c r="Y81" s="1185" t="inlineStr">
        <is>
          <t>-</t>
        </is>
      </c>
      <c r="Z81" s="1249" t="n"/>
      <c r="AA81" s="1249" t="n"/>
      <c r="AB81" s="1250" t="n"/>
      <c r="AC81" s="1249">
        <f>Z81-AB81</f>
        <v/>
      </c>
      <c r="AD81" s="1249">
        <f>IF(AB81=0,0,(Z81-AB81)/AB81*100)</f>
        <v/>
      </c>
      <c r="AE81" s="1249" t="n"/>
      <c r="AF81" s="1249">
        <f>Z81-AE81</f>
        <v/>
      </c>
      <c r="AG81" s="1249">
        <f>IF(AE81=0,0,(Z81-AE81)/AE81*100)</f>
        <v/>
      </c>
      <c r="AH81" s="1249" t="n"/>
      <c r="AI81" s="1249">
        <f>AA81-AH81</f>
        <v/>
      </c>
      <c r="AJ81" s="1249">
        <f>IF(AH81=0,0,(AA81-AH81)/AH81*100)</f>
        <v/>
      </c>
      <c r="AK81" s="1251" t="n"/>
      <c r="AL81" s="1251">
        <f>Z81-AK81</f>
        <v/>
      </c>
      <c r="AM81" s="1249">
        <f>IF(AK81=0,0,Z81/AK81*100)</f>
        <v/>
      </c>
      <c r="AN81" s="1251" t="n"/>
      <c r="AO81" s="1251">
        <f>AA81-AN81</f>
        <v/>
      </c>
      <c r="AP81" s="1249">
        <f>IF(AN81=0,0,AA81/AN81*100)</f>
        <v/>
      </c>
      <c r="AQ81" s="1251" t="n"/>
      <c r="AR81" s="1260">
        <f>AA81-AQ81</f>
        <v/>
      </c>
      <c r="AS81" s="1259">
        <f>IF(AQ81=0,0,AA81/AQ81*100)</f>
        <v/>
      </c>
    </row>
    <row r="82" ht="15.2" customFormat="1" customHeight="1" s="716">
      <c r="A82" s="716" t="n"/>
      <c r="B82" s="716" t="n"/>
      <c r="C82" s="716" t="n"/>
      <c r="D82" s="716" t="n"/>
      <c r="E82" s="716" t="n"/>
      <c r="F82" s="716" t="n"/>
      <c r="G82" s="716" t="n"/>
      <c r="H82" s="716" t="n"/>
      <c r="I82" s="716" t="n"/>
      <c r="J82" s="716" t="n"/>
      <c r="K82" s="716" t="n"/>
      <c r="L82" s="716" t="n"/>
      <c r="M82" s="716" t="n"/>
      <c r="N82" s="716" t="n"/>
      <c r="O82" s="716" t="n"/>
      <c r="P82" s="716" t="n"/>
      <c r="Q82" s="716" t="n"/>
      <c r="R82" s="716" t="n"/>
      <c r="S82" s="462">
        <f>IF(_epmOfflineCondition_,"       吸收投资收到的现金",EPMMemberDesc(U82))</f>
        <v/>
      </c>
      <c r="T82" s="716" t="n"/>
      <c r="U82" s="716" t="inlineStr">
        <is>
          <t>A0030311</t>
        </is>
      </c>
      <c r="V82" s="635">
        <f>IF(_epmOfflineCondition_,"A0030311",EPMOlapMemberO(U82,"[C_ACCOUNT].[PARENTH1].[A0030311]","A0030311 -        吸收投资收到的现金","","000"))</f>
        <v/>
      </c>
      <c r="W82" s="462" t="n"/>
      <c r="X82" s="588" t="inlineStr">
        <is>
          <t xml:space="preserve">     吸收投资收到的现金 </t>
        </is>
      </c>
      <c r="Y82" s="1185" t="inlineStr"/>
      <c r="Z82" s="1249" t="n"/>
      <c r="AA82" s="1249" t="n"/>
      <c r="AB82" s="1250" t="n"/>
      <c r="AC82" s="1249">
        <f>Z82-AB82</f>
        <v/>
      </c>
      <c r="AD82" s="1249">
        <f>IF(AB82=0,0,(Z82-AB82)/AB82*100)</f>
        <v/>
      </c>
      <c r="AE82" s="1249" t="n"/>
      <c r="AF82" s="1249">
        <f>Z82-AE82</f>
        <v/>
      </c>
      <c r="AG82" s="1249">
        <f>IF(AE82=0,0,(Z82-AE82)/AE82*100)</f>
        <v/>
      </c>
      <c r="AH82" s="1249" t="n"/>
      <c r="AI82" s="1249">
        <f>AA82-AH82</f>
        <v/>
      </c>
      <c r="AJ82" s="1249">
        <f>IF(AH82=0,0,(AA82-AH82)/AH82*100)</f>
        <v/>
      </c>
      <c r="AK82" s="1251" t="n"/>
      <c r="AL82" s="1251">
        <f>Z82-AK82</f>
        <v/>
      </c>
      <c r="AM82" s="1249">
        <f>IF(AK82=0,0,Z82/AK82*100)</f>
        <v/>
      </c>
      <c r="AN82" s="1251" t="n"/>
      <c r="AO82" s="1251">
        <f>AA82-AN82</f>
        <v/>
      </c>
      <c r="AP82" s="1249">
        <f>IF(AN82=0,0,AA82/AN82*100)</f>
        <v/>
      </c>
      <c r="AQ82" s="1251" t="n"/>
      <c r="AR82" s="1260">
        <f>AA82-AQ82</f>
        <v/>
      </c>
      <c r="AS82" s="1259">
        <f>IF(AQ82=0,0,AA82/AQ82*100)</f>
        <v/>
      </c>
    </row>
    <row r="83" ht="15.2" customFormat="1" customHeight="1" s="716">
      <c r="A83" s="716" t="n"/>
      <c r="B83" s="716" t="n"/>
      <c r="C83" s="716" t="n"/>
      <c r="D83" s="716" t="n"/>
      <c r="E83" s="716" t="n"/>
      <c r="F83" s="716" t="n"/>
      <c r="G83" s="716" t="n"/>
      <c r="H83" s="716" t="n"/>
      <c r="I83" s="716" t="n"/>
      <c r="J83" s="716" t="n"/>
      <c r="K83" s="716" t="n"/>
      <c r="L83" s="716" t="n"/>
      <c r="M83" s="716" t="n"/>
      <c r="N83" s="716" t="n"/>
      <c r="O83" s="716" t="n"/>
      <c r="P83" s="716" t="n"/>
      <c r="Q83" s="716" t="n"/>
      <c r="R83" s="716" t="n"/>
      <c r="S83" s="462">
        <f>IF(_epmOfflineCondition_,"       其中：子公司吸收少数股东投资收到的现金",EPMMemberDesc(U83))</f>
        <v/>
      </c>
      <c r="T83" s="716" t="n"/>
      <c r="U83" s="716" t="inlineStr">
        <is>
          <t>A003030101</t>
        </is>
      </c>
      <c r="V83" s="637">
        <f>IF(_epmOfflineCondition_,"A003030101",EPMOlapMemberO(U83,"[C_ACCOUNT].[PARENTH1].[A003030101]","A003030101 -        其中：子公司吸收少数股东投资收到的现金","","000"))</f>
        <v/>
      </c>
      <c r="W83" s="462" t="n"/>
      <c r="X83" s="585" t="inlineStr">
        <is>
          <t xml:space="preserve"> 　　　　其中：子公司吸收少数股东投资收到的现金 </t>
        </is>
      </c>
      <c r="Y83" s="1185" t="inlineStr"/>
      <c r="Z83" s="1249" t="n"/>
      <c r="AA83" s="1249" t="n"/>
      <c r="AB83" s="1250" t="n"/>
      <c r="AC83" s="1249">
        <f>Z83-AB83</f>
        <v/>
      </c>
      <c r="AD83" s="1249">
        <f>IF(AB83=0,0,(Z83-AB83)/AB83*100)</f>
        <v/>
      </c>
      <c r="AE83" s="1249" t="n"/>
      <c r="AF83" s="1249">
        <f>Z83-AE83</f>
        <v/>
      </c>
      <c r="AG83" s="1249">
        <f>IF(AE83=0,0,(Z83-AE83)/AE83*100)</f>
        <v/>
      </c>
      <c r="AH83" s="1249" t="n"/>
      <c r="AI83" s="1249">
        <f>AA83-AH83</f>
        <v/>
      </c>
      <c r="AJ83" s="1249">
        <f>IF(AH83=0,0,(AA83-AH83)/AH83*100)</f>
        <v/>
      </c>
      <c r="AK83" s="1251" t="n"/>
      <c r="AL83" s="1251">
        <f>Z83-AK83</f>
        <v/>
      </c>
      <c r="AM83" s="1249">
        <f>IF(AK83=0,0,Z83/AK83*100)</f>
        <v/>
      </c>
      <c r="AN83" s="1251" t="n"/>
      <c r="AO83" s="1251">
        <f>AA83-AN83</f>
        <v/>
      </c>
      <c r="AP83" s="1249">
        <f>IF(AN83=0,0,AA83/AN83*100)</f>
        <v/>
      </c>
      <c r="AQ83" s="1251" t="n"/>
      <c r="AR83" s="1260">
        <f>AA83-AQ83</f>
        <v/>
      </c>
      <c r="AS83" s="1259">
        <f>IF(AQ83=0,0,AA83/AQ83*100)</f>
        <v/>
      </c>
    </row>
    <row r="84" ht="15.2" customFormat="1" customHeight="1" s="716">
      <c r="A84" s="716" t="n"/>
      <c r="B84" s="716" t="n"/>
      <c r="C84" s="716" t="n"/>
      <c r="D84" s="716" t="n"/>
      <c r="E84" s="716" t="n"/>
      <c r="F84" s="716" t="n"/>
      <c r="G84" s="716" t="n"/>
      <c r="H84" s="716" t="n"/>
      <c r="I84" s="716" t="n"/>
      <c r="J84" s="716" t="n"/>
      <c r="K84" s="716" t="n"/>
      <c r="L84" s="716" t="n"/>
      <c r="M84" s="716" t="n"/>
      <c r="N84" s="716" t="n"/>
      <c r="O84" s="716" t="n"/>
      <c r="P84" s="716" t="n"/>
      <c r="Q84" s="716" t="n"/>
      <c r="R84" s="716" t="n"/>
      <c r="S84" s="462">
        <f>IF(_epmOfflineCondition_,"       取得借款收到的现金",EPMMemberDesc(U84))</f>
        <v/>
      </c>
      <c r="T84" s="716" t="n"/>
      <c r="U84" s="716" t="inlineStr">
        <is>
          <t>A0030302</t>
        </is>
      </c>
      <c r="V84" s="635">
        <f>IF(_epmOfflineCondition_,"A0030302",EPMOlapMemberO(U84,"[C_ACCOUNT].[PARENTH1].[A0030302]","A0030302 -        取得借款收到的现金","","000"))</f>
        <v/>
      </c>
      <c r="W84" s="462" t="n"/>
      <c r="X84" s="588" t="inlineStr">
        <is>
          <t xml:space="preserve">     取得借款收到的现金 </t>
        </is>
      </c>
      <c r="Y84" s="1185" t="inlineStr"/>
      <c r="Z84" s="1249" t="n"/>
      <c r="AA84" s="1249" t="n"/>
      <c r="AB84" s="1250" t="n"/>
      <c r="AC84" s="1249">
        <f>Z84-AB84</f>
        <v/>
      </c>
      <c r="AD84" s="1249">
        <f>IF(AB84=0,0,(Z84-AB84)/AB84*100)</f>
        <v/>
      </c>
      <c r="AE84" s="1249" t="inlineStr"/>
      <c r="AF84" s="1249">
        <f>Z84-AE84</f>
        <v/>
      </c>
      <c r="AG84" s="1249">
        <f>IF(AE84=0,0,(Z84-AE84)/AE84*100)</f>
        <v/>
      </c>
      <c r="AH84" s="1249" t="inlineStr"/>
      <c r="AI84" s="1249">
        <f>AA84-AH84</f>
        <v/>
      </c>
      <c r="AJ84" s="1249">
        <f>IF(AH84=0,0,(AA84-AH84)/AH84*100)</f>
        <v/>
      </c>
      <c r="AK84" s="1251" t="n"/>
      <c r="AL84" s="1251">
        <f>Z84-AK84</f>
        <v/>
      </c>
      <c r="AM84" s="1249">
        <f>IF(AK84=0,0,Z84/AK84*100)</f>
        <v/>
      </c>
      <c r="AN84" s="1251" t="n"/>
      <c r="AO84" s="1251">
        <f>AA84-AN84</f>
        <v/>
      </c>
      <c r="AP84" s="1249">
        <f>IF(AN84=0,0,AA84/AN84*100)</f>
        <v/>
      </c>
      <c r="AQ84" s="1251" t="n"/>
      <c r="AR84" s="1260">
        <f>AA84-AQ84</f>
        <v/>
      </c>
      <c r="AS84" s="1259">
        <f>IF(AQ84=0,0,AA84/AQ84*100)</f>
        <v/>
      </c>
    </row>
    <row r="85" ht="17" customFormat="1" customHeight="1" s="716">
      <c r="A85" s="716" t="n"/>
      <c r="B85" s="716" t="n"/>
      <c r="C85" s="716" t="n"/>
      <c r="D85" s="716" t="n"/>
      <c r="E85" s="716" t="n"/>
      <c r="F85" s="716" t="n"/>
      <c r="G85" s="716" t="n"/>
      <c r="H85" s="716" t="n"/>
      <c r="I85" s="716" t="n"/>
      <c r="J85" s="716" t="n"/>
      <c r="K85" s="716" t="n"/>
      <c r="L85" s="716" t="n"/>
      <c r="M85" s="716" t="n"/>
      <c r="N85" s="716" t="n"/>
      <c r="O85" s="716" t="n"/>
      <c r="P85" s="716" t="n"/>
      <c r="Q85" s="716" t="n"/>
      <c r="R85" s="716" t="n"/>
      <c r="S85" s="462">
        <f>IF(_epmOfflineCondition_,"    # 发行债券收到的现金",EPMMemberDesc(U85))</f>
        <v/>
      </c>
      <c r="T85" s="716" t="n"/>
      <c r="U85" s="716" t="inlineStr">
        <is>
          <t>A0030303</t>
        </is>
      </c>
      <c r="V85" s="635">
        <f>IF(_epmOfflineCondition_,"A0030303",EPMOlapMemberO(U85,"[C_ACCOUNT].[PARENTH1].[A0030303]","A0030303 -     # 发行债券收到的现金","","000"))</f>
        <v/>
      </c>
      <c r="W85" s="462" t="n"/>
      <c r="X85" s="1016" t="inlineStr">
        <is>
          <t xml:space="preserve">  △发行债券收到的现金</t>
        </is>
      </c>
      <c r="Y85" s="1185" t="inlineStr"/>
      <c r="Z85" s="1249" t="n"/>
      <c r="AA85" s="1249" t="n"/>
      <c r="AB85" s="1250" t="n"/>
      <c r="AC85" s="1249">
        <f>Z85-AB85</f>
        <v/>
      </c>
      <c r="AD85" s="1249">
        <f>IF(AB85=0,0,(Z85-AB85)/AB85*100)</f>
        <v/>
      </c>
      <c r="AE85" s="1249" t="n"/>
      <c r="AF85" s="1249">
        <f>Z85-AE85</f>
        <v/>
      </c>
      <c r="AG85" s="1249">
        <f>IF(AE85=0,0,(Z85-AE85)/AE85*100)</f>
        <v/>
      </c>
      <c r="AH85" s="1249" t="n"/>
      <c r="AI85" s="1249">
        <f>AA85-AH85</f>
        <v/>
      </c>
      <c r="AJ85" s="1249">
        <f>IF(AH85=0,0,(AA85-AH85)/AH85*100)</f>
        <v/>
      </c>
      <c r="AK85" s="1251" t="n"/>
      <c r="AL85" s="1251">
        <f>Z85-AK85</f>
        <v/>
      </c>
      <c r="AM85" s="1249">
        <f>IF(AK85=0,0,Z85/AK85*100)</f>
        <v/>
      </c>
      <c r="AN85" s="1251" t="n"/>
      <c r="AO85" s="1251">
        <f>AA85-AN85</f>
        <v/>
      </c>
      <c r="AP85" s="1249">
        <f>IF(AN85=0,0,AA85/AN85*100)</f>
        <v/>
      </c>
      <c r="AQ85" s="1251" t="n"/>
      <c r="AR85" s="1260">
        <f>AA85-AQ85</f>
        <v/>
      </c>
      <c r="AS85" s="1259">
        <f>IF(AQ85=0,0,AA85/AQ85*100)</f>
        <v/>
      </c>
    </row>
    <row r="86" ht="15.2" customFormat="1" customHeight="1" s="716">
      <c r="A86" s="716" t="n"/>
      <c r="B86" s="716" t="n"/>
      <c r="C86" s="716" t="n"/>
      <c r="D86" s="716" t="n"/>
      <c r="E86" s="716" t="n"/>
      <c r="F86" s="716" t="n"/>
      <c r="G86" s="716" t="n"/>
      <c r="H86" s="716" t="n"/>
      <c r="I86" s="716" t="n"/>
      <c r="J86" s="716" t="n"/>
      <c r="K86" s="716" t="n"/>
      <c r="L86" s="716" t="n"/>
      <c r="M86" s="716" t="n"/>
      <c r="N86" s="716" t="n"/>
      <c r="O86" s="716" t="n"/>
      <c r="P86" s="716" t="n"/>
      <c r="Q86" s="716" t="n"/>
      <c r="R86" s="716" t="n"/>
      <c r="S86" s="462">
        <f>IF(_epmOfflineCondition_,"       收到的其他与筹资活动有关的现金",EPMMemberDesc(U86))</f>
        <v/>
      </c>
      <c r="T86" s="716" t="n"/>
      <c r="U86" s="716" t="inlineStr">
        <is>
          <t>A003030402</t>
        </is>
      </c>
      <c r="V86" s="635">
        <f>IF(_epmOfflineCondition_,"A003030402",EPMOlapMemberO(U86,"[C_ACCOUNT].[PARENTH1].[A003030402]","A003030402 -        收到的其他与筹资活动有关的现金","","000"))</f>
        <v/>
      </c>
      <c r="W86" s="462" t="n"/>
      <c r="X86" s="588" t="inlineStr">
        <is>
          <t xml:space="preserve">     收到的其他与筹资活动有关的现金 </t>
        </is>
      </c>
      <c r="Y86" s="1185" t="inlineStr"/>
      <c r="Z86" s="1249" t="n"/>
      <c r="AA86" s="1249" t="n"/>
      <c r="AB86" s="1250" t="n"/>
      <c r="AC86" s="1249">
        <f>Z86-AB86</f>
        <v/>
      </c>
      <c r="AD86" s="1249">
        <f>IF(AB86=0,0,(Z86-AB86)/AB86*100)</f>
        <v/>
      </c>
      <c r="AE86" s="1249" t="inlineStr"/>
      <c r="AF86" s="1249">
        <f>Z86-AE86</f>
        <v/>
      </c>
      <c r="AG86" s="1249">
        <f>IF(AE86=0,0,(Z86-AE86)/AE86*100)</f>
        <v/>
      </c>
      <c r="AH86" s="1249" t="inlineStr"/>
      <c r="AI86" s="1249">
        <f>AA86-AH86</f>
        <v/>
      </c>
      <c r="AJ86" s="1249">
        <f>IF(AH86=0,0,(AA86-AH86)/AH86*100)</f>
        <v/>
      </c>
      <c r="AK86" s="1251" t="n"/>
      <c r="AL86" s="1251">
        <f>Z86-AK86</f>
        <v/>
      </c>
      <c r="AM86" s="1249">
        <f>IF(AK86=0,0,Z86/AK86*100)</f>
        <v/>
      </c>
      <c r="AN86" s="1251" t="n"/>
      <c r="AO86" s="1251">
        <f>AA86-AN86</f>
        <v/>
      </c>
      <c r="AP86" s="1249">
        <f>IF(AN86=0,0,AA86/AN86*100)</f>
        <v/>
      </c>
      <c r="AQ86" s="1251" t="n"/>
      <c r="AR86" s="1260">
        <f>AA86-AQ86</f>
        <v/>
      </c>
      <c r="AS86" s="1259">
        <f>IF(AQ86=0,0,AA86/AQ86*100)</f>
        <v/>
      </c>
    </row>
    <row r="87" ht="15.2" customFormat="1" customHeight="1" s="716">
      <c r="A87" s="716" t="n"/>
      <c r="B87" s="716" t="n"/>
      <c r="C87" s="716" t="n"/>
      <c r="D87" s="716" t="n"/>
      <c r="E87" s="716" t="n"/>
      <c r="F87" s="716" t="n"/>
      <c r="G87" s="716" t="n"/>
      <c r="H87" s="716" t="n"/>
      <c r="I87" s="716" t="n"/>
      <c r="J87" s="716" t="n"/>
      <c r="K87" s="716" t="n"/>
      <c r="L87" s="716" t="n"/>
      <c r="M87" s="716" t="n"/>
      <c r="N87" s="716" t="n"/>
      <c r="O87" s="716" t="n"/>
      <c r="P87" s="716" t="n"/>
      <c r="Q87" s="716" t="n"/>
      <c r="R87" s="716" t="n"/>
      <c r="S87" s="462">
        <f>IF(_epmOfflineCondition_,"筹资活动现金流入小计",EPMMemberDesc(U87))</f>
        <v/>
      </c>
      <c r="T87" s="716" t="n"/>
      <c r="U87" s="716" t="inlineStr">
        <is>
          <t>A0030305</t>
        </is>
      </c>
      <c r="V87" s="459">
        <f>IF(_epmOfflineCondition_,"A0030305",EPMOlapMemberO(U87,"[C_ACCOUNT].[PARENTH1].[A0030305]","A0030305 - 筹资活动现金流入小计","","000"))</f>
        <v/>
      </c>
      <c r="W87" s="462" t="n"/>
      <c r="X87" s="1017" t="inlineStr">
        <is>
          <t xml:space="preserve">         筹资活动现金流入小计 </t>
        </is>
      </c>
      <c r="Y87" s="1185" t="inlineStr"/>
      <c r="Z87" s="1249" t="n"/>
      <c r="AA87" s="1249" t="n"/>
      <c r="AB87" s="1250" t="n"/>
      <c r="AC87" s="1249">
        <f>Z87-AB87</f>
        <v/>
      </c>
      <c r="AD87" s="1249">
        <f>IF(AB87=0,0,(Z87-AB87)/AB87*100)</f>
        <v/>
      </c>
      <c r="AE87" s="1249" t="inlineStr"/>
      <c r="AF87" s="1249">
        <f>Z87-AE87</f>
        <v/>
      </c>
      <c r="AG87" s="1249">
        <f>IF(AE87=0,0,(Z87-AE87)/AE87*100)</f>
        <v/>
      </c>
      <c r="AH87" s="1249" t="inlineStr"/>
      <c r="AI87" s="1249">
        <f>AA87-AH87</f>
        <v/>
      </c>
      <c r="AJ87" s="1249">
        <f>IF(AH87=0,0,(AA87-AH87)/AH87*100)</f>
        <v/>
      </c>
      <c r="AK87" s="1251" t="n"/>
      <c r="AL87" s="1251">
        <f>Z87-AK87</f>
        <v/>
      </c>
      <c r="AM87" s="1249">
        <f>IF(AK87=0,0,Z87/AK87*100)</f>
        <v/>
      </c>
      <c r="AN87" s="1251" t="n"/>
      <c r="AO87" s="1251">
        <f>AA87-AN87</f>
        <v/>
      </c>
      <c r="AP87" s="1249">
        <f>IF(AN87=0,0,AA87/AN87*100)</f>
        <v/>
      </c>
      <c r="AQ87" s="1251" t="n"/>
      <c r="AR87" s="1260">
        <f>AA87-AQ87</f>
        <v/>
      </c>
      <c r="AS87" s="1259">
        <f>IF(AQ87=0,0,AA87/AQ87*100)</f>
        <v/>
      </c>
    </row>
    <row r="88" ht="15.2" customFormat="1" customHeight="1" s="716">
      <c r="A88" s="716" t="n"/>
      <c r="B88" s="716" t="n"/>
      <c r="C88" s="716" t="n"/>
      <c r="D88" s="716" t="n"/>
      <c r="E88" s="716" t="n"/>
      <c r="F88" s="716" t="n"/>
      <c r="G88" s="716" t="n"/>
      <c r="H88" s="716" t="n"/>
      <c r="I88" s="716" t="n"/>
      <c r="J88" s="716" t="n"/>
      <c r="K88" s="716" t="n"/>
      <c r="L88" s="716" t="n"/>
      <c r="M88" s="716" t="n"/>
      <c r="N88" s="716" t="n"/>
      <c r="O88" s="716" t="n"/>
      <c r="P88" s="716" t="n"/>
      <c r="Q88" s="716" t="n"/>
      <c r="R88" s="716" t="n"/>
      <c r="S88" s="462">
        <f>IF(_epmOfflineCondition_,"       偿还债务所支付的现金",EPMMemberDesc(U88))</f>
        <v/>
      </c>
      <c r="T88" s="716" t="n"/>
      <c r="U88" s="716" t="inlineStr">
        <is>
          <t>A0030306</t>
        </is>
      </c>
      <c r="V88" s="635">
        <f>IF(_epmOfflineCondition_,"A0030306",EPMOlapMemberO(U88,"[C_ACCOUNT].[PARENTH1].[A0030306]","A0030306 -        偿还债务所支付的现金","","000"))</f>
        <v/>
      </c>
      <c r="W88" s="462" t="n"/>
      <c r="X88" s="588" t="inlineStr">
        <is>
          <t xml:space="preserve">     偿还债务所支付的现金 </t>
        </is>
      </c>
      <c r="Y88" s="1185" t="inlineStr"/>
      <c r="Z88" s="1249" t="n"/>
      <c r="AA88" s="1249" t="n"/>
      <c r="AB88" s="1250" t="n"/>
      <c r="AC88" s="1249">
        <f>Z88-AB88</f>
        <v/>
      </c>
      <c r="AD88" s="1249">
        <f>IF(AB88=0,0,(Z88-AB88)/AB88*100)</f>
        <v/>
      </c>
      <c r="AE88" s="1249" t="n"/>
      <c r="AF88" s="1249">
        <f>Z88-AE88</f>
        <v/>
      </c>
      <c r="AG88" s="1249">
        <f>IF(AE88=0,0,(Z88-AE88)/AE88*100)</f>
        <v/>
      </c>
      <c r="AH88" s="1249" t="n"/>
      <c r="AI88" s="1249">
        <f>AA88-AH88</f>
        <v/>
      </c>
      <c r="AJ88" s="1249">
        <f>IF(AH88=0,0,(AA88-AH88)/AH88*100)</f>
        <v/>
      </c>
      <c r="AK88" s="1251" t="n"/>
      <c r="AL88" s="1251">
        <f>Z88-AK88</f>
        <v/>
      </c>
      <c r="AM88" s="1249">
        <f>IF(AK88=0,0,Z88/AK88*100)</f>
        <v/>
      </c>
      <c r="AN88" s="1251" t="n"/>
      <c r="AO88" s="1251">
        <f>AA88-AN88</f>
        <v/>
      </c>
      <c r="AP88" s="1249">
        <f>IF(AN88=0,0,AA88/AN88*100)</f>
        <v/>
      </c>
      <c r="AQ88" s="1251" t="n"/>
      <c r="AR88" s="1260">
        <f>AA88-AQ88</f>
        <v/>
      </c>
      <c r="AS88" s="1259">
        <f>IF(AQ88=0,0,AA88/AQ88*100)</f>
        <v/>
      </c>
    </row>
    <row r="89" ht="15.2" customFormat="1" customHeight="1" s="716">
      <c r="A89" s="716" t="n"/>
      <c r="B89" s="716" t="n"/>
      <c r="C89" s="716" t="n"/>
      <c r="D89" s="716" t="n"/>
      <c r="E89" s="716" t="n"/>
      <c r="F89" s="716" t="n"/>
      <c r="G89" s="716" t="n"/>
      <c r="H89" s="716" t="n"/>
      <c r="I89" s="716" t="n"/>
      <c r="J89" s="716" t="n"/>
      <c r="K89" s="716" t="n"/>
      <c r="L89" s="716" t="n"/>
      <c r="M89" s="716" t="n"/>
      <c r="N89" s="716" t="n"/>
      <c r="O89" s="716" t="n"/>
      <c r="P89" s="716" t="n"/>
      <c r="Q89" s="716" t="n"/>
      <c r="R89" s="716" t="n"/>
      <c r="S89" s="462">
        <f>IF(_epmOfflineCondition_,"       分配股利、利润或偿付利息所支付的现金",EPMMemberDesc(U89))</f>
        <v/>
      </c>
      <c r="T89" s="716" t="n"/>
      <c r="U89" s="716" t="inlineStr">
        <is>
          <t>A0030307</t>
        </is>
      </c>
      <c r="V89" s="637">
        <f>IF(_epmOfflineCondition_,"A0030307",EPMOlapMemberO(U89,"[C_ACCOUNT].[PARENTH1].[A0030307]","A0030307 -        分配股利、利润或偿付利息所支付的现金","","000"))</f>
        <v/>
      </c>
      <c r="W89" s="462" t="n"/>
      <c r="X89" s="588" t="inlineStr">
        <is>
          <t xml:space="preserve">     分配股利、利润或偿付利息所支付的现金 </t>
        </is>
      </c>
      <c r="Y89" s="1185" t="inlineStr"/>
      <c r="Z89" s="1249" t="inlineStr"/>
      <c r="AA89" s="1249" t="inlineStr"/>
      <c r="AB89" s="1250" t="n"/>
      <c r="AC89" s="1249">
        <f>Z89-AB89</f>
        <v/>
      </c>
      <c r="AD89" s="1249">
        <f>IF(AB89=0,0,(Z89-AB89)/AB89*100)</f>
        <v/>
      </c>
      <c r="AE89" s="1249" t="inlineStr"/>
      <c r="AF89" s="1249">
        <f>Z89-AE89</f>
        <v/>
      </c>
      <c r="AG89" s="1249">
        <f>IF(AE89=0,0,(Z89-AE89)/AE89*100)</f>
        <v/>
      </c>
      <c r="AH89" s="1249" t="inlineStr"/>
      <c r="AI89" s="1249">
        <f>AA89-AH89</f>
        <v/>
      </c>
      <c r="AJ89" s="1249">
        <f>IF(AH89=0,0,(AA89-AH89)/AH89*100)</f>
        <v/>
      </c>
      <c r="AK89" s="1251" t="n"/>
      <c r="AL89" s="1251">
        <f>Z89-AK89</f>
        <v/>
      </c>
      <c r="AM89" s="1249">
        <f>IF(AK89=0,0,Z89/AK89*100)</f>
        <v/>
      </c>
      <c r="AN89" s="1251" t="n"/>
      <c r="AO89" s="1251">
        <f>AA89-AN89</f>
        <v/>
      </c>
      <c r="AP89" s="1249">
        <f>IF(AN89=0,0,AA89/AN89*100)</f>
        <v/>
      </c>
      <c r="AQ89" s="1251" t="n"/>
      <c r="AR89" s="1260">
        <f>AA89-AQ89</f>
        <v/>
      </c>
      <c r="AS89" s="1259">
        <f>IF(AQ89=0,0,AA89/AQ89*100)</f>
        <v/>
      </c>
    </row>
    <row r="90">
      <c r="A90" s="384" t="n"/>
      <c r="B90" s="384" t="n"/>
      <c r="C90" s="384" t="n"/>
      <c r="D90" s="384" t="n"/>
      <c r="E90" s="384" t="n"/>
      <c r="F90" s="384" t="n"/>
      <c r="G90" s="384" t="n"/>
      <c r="H90" s="384" t="n"/>
      <c r="I90" s="384" t="n"/>
      <c r="J90" s="384" t="n"/>
      <c r="K90" s="384" t="n"/>
      <c r="L90" s="384" t="n"/>
      <c r="M90" s="384" t="n"/>
      <c r="N90" s="384" t="n"/>
      <c r="O90" s="384" t="n"/>
      <c r="P90" s="384" t="n"/>
      <c r="Q90" s="384" t="n"/>
      <c r="R90" s="384" t="n"/>
      <c r="S90" s="462">
        <f>IF(_epmOfflineCondition_,"       其中：子公司支付给少数股东的股利、利润",EPMMemberDesc(U90))</f>
        <v/>
      </c>
      <c r="T90" s="384" t="n"/>
      <c r="U90" s="716" t="inlineStr">
        <is>
          <t>A003030701</t>
        </is>
      </c>
      <c r="V90" s="1018">
        <f>IF(_epmOfflineCondition_,"A003030701",EPMOlapMemberO(U90,"[C_ACCOUNT].[PARENTH1].[A003030701]","A003030701 -        其中：子公司支付给少数股东的股利、利润","","000"))</f>
        <v/>
      </c>
      <c r="W90" s="384" t="n"/>
      <c r="X90" s="458" t="inlineStr">
        <is>
          <t xml:space="preserve">其中：子公司支付给少数股东的股利，利润 </t>
        </is>
      </c>
      <c r="Y90" s="1185" t="inlineStr"/>
      <c r="Z90" s="1249" t="n"/>
      <c r="AA90" s="1249" t="n"/>
      <c r="AB90" s="1250" t="n"/>
      <c r="AC90" s="1249">
        <f>Z90-AB90</f>
        <v/>
      </c>
      <c r="AD90" s="1249">
        <f>IF(AB90=0,0,(Z90-AB90)/AB90*100)</f>
        <v/>
      </c>
      <c r="AE90" s="1249" t="n"/>
      <c r="AF90" s="1249">
        <f>Z90-AE90</f>
        <v/>
      </c>
      <c r="AG90" s="1249">
        <f>IF(AE90=0,0,(Z90-AE90)/AE90*100)</f>
        <v/>
      </c>
      <c r="AH90" s="1249" t="n"/>
      <c r="AI90" s="1249">
        <f>AA90-AH90</f>
        <v/>
      </c>
      <c r="AJ90" s="1249">
        <f>IF(AH90=0,0,(AA90-AH90)/AH90*100)</f>
        <v/>
      </c>
      <c r="AK90" s="1252" t="n"/>
      <c r="AL90" s="1251">
        <f>Z90-AK90</f>
        <v/>
      </c>
      <c r="AM90" s="1249">
        <f>IF(AK90=0,0,Z90/AK90*100)</f>
        <v/>
      </c>
      <c r="AN90" s="1252" t="n"/>
      <c r="AO90" s="1251">
        <f>AA90-AN90</f>
        <v/>
      </c>
      <c r="AP90" s="1249">
        <f>IF(AN90=0,0,AA90/AN90*100)</f>
        <v/>
      </c>
      <c r="AQ90" s="1252" t="n"/>
      <c r="AR90" s="1260">
        <f>AA90-AQ90</f>
        <v/>
      </c>
      <c r="AS90" s="1259">
        <f>IF(AQ90=0,0,AA90/AQ90*100)</f>
        <v/>
      </c>
    </row>
    <row r="91">
      <c r="A91" s="384" t="n"/>
      <c r="B91" s="384" t="n"/>
      <c r="C91" s="384" t="n"/>
      <c r="D91" s="384" t="n"/>
      <c r="E91" s="384" t="n"/>
      <c r="F91" s="384" t="n"/>
      <c r="G91" s="384" t="n"/>
      <c r="H91" s="384" t="n"/>
      <c r="I91" s="384" t="n"/>
      <c r="J91" s="384" t="n"/>
      <c r="K91" s="384" t="n"/>
      <c r="L91" s="384" t="n"/>
      <c r="M91" s="384" t="n"/>
      <c r="N91" s="384" t="n"/>
      <c r="O91" s="384" t="n"/>
      <c r="P91" s="384" t="n"/>
      <c r="Q91" s="384" t="n"/>
      <c r="R91" s="384" t="n"/>
      <c r="S91" s="462">
        <f>IF(_epmOfflineCondition_,"       支付其他与筹资活动有关的现金",EPMMemberDesc(U91))</f>
        <v/>
      </c>
      <c r="T91" s="384" t="n"/>
      <c r="U91" s="716" t="inlineStr">
        <is>
          <t>A003030802</t>
        </is>
      </c>
      <c r="V91" s="635">
        <f>IF(_epmOfflineCondition_,"A003030802",EPMOlapMemberO(U91,"[C_ACCOUNT].[PARENTH1].[A003030802]","A003030802 -        支付其他与筹资活动有关的现金","","000"))</f>
        <v/>
      </c>
      <c r="W91" s="384" t="n"/>
      <c r="X91" s="588" t="inlineStr">
        <is>
          <t xml:space="preserve">     支付其他与筹资活动有关的现金 </t>
        </is>
      </c>
      <c r="Y91" s="1185" t="inlineStr"/>
      <c r="Z91" s="1249" t="n"/>
      <c r="AA91" s="1249" t="n"/>
      <c r="AB91" s="1250" t="n"/>
      <c r="AC91" s="1249">
        <f>Z91-AB91</f>
        <v/>
      </c>
      <c r="AD91" s="1249">
        <f>IF(AB91=0,0,(Z91-AB91)/AB91*100)</f>
        <v/>
      </c>
      <c r="AE91" s="1249" t="n"/>
      <c r="AF91" s="1249">
        <f>Z91-AE91</f>
        <v/>
      </c>
      <c r="AG91" s="1249">
        <f>IF(AE91=0,0,(Z91-AE91)/AE91*100)</f>
        <v/>
      </c>
      <c r="AH91" s="1249" t="n"/>
      <c r="AI91" s="1249">
        <f>AA91-AH91</f>
        <v/>
      </c>
      <c r="AJ91" s="1249">
        <f>IF(AH91=0,0,(AA91-AH91)/AH91*100)</f>
        <v/>
      </c>
      <c r="AK91" s="1252" t="n"/>
      <c r="AL91" s="1251">
        <f>Z91-AK91</f>
        <v/>
      </c>
      <c r="AM91" s="1249">
        <f>IF(AK91=0,0,Z91/AK91*100)</f>
        <v/>
      </c>
      <c r="AN91" s="1252" t="n"/>
      <c r="AO91" s="1251">
        <f>AA91-AN91</f>
        <v/>
      </c>
      <c r="AP91" s="1249">
        <f>IF(AN91=0,0,AA91/AN91*100)</f>
        <v/>
      </c>
      <c r="AQ91" s="1252" t="n"/>
      <c r="AR91" s="1260">
        <f>AA91-AQ91</f>
        <v/>
      </c>
      <c r="AS91" s="1259">
        <f>IF(AQ91=0,0,AA91/AQ91*100)</f>
        <v/>
      </c>
    </row>
    <row r="92">
      <c r="A92" s="384" t="n"/>
      <c r="B92" s="384" t="n"/>
      <c r="C92" s="384" t="n"/>
      <c r="D92" s="384" t="n"/>
      <c r="E92" s="384" t="n"/>
      <c r="F92" s="384" t="n"/>
      <c r="G92" s="384" t="n"/>
      <c r="H92" s="384" t="n"/>
      <c r="I92" s="384" t="n"/>
      <c r="J92" s="384" t="n"/>
      <c r="K92" s="384" t="n"/>
      <c r="L92" s="384" t="n"/>
      <c r="M92" s="384" t="n"/>
      <c r="N92" s="384" t="n"/>
      <c r="O92" s="384" t="n"/>
      <c r="P92" s="384" t="n"/>
      <c r="Q92" s="384" t="n"/>
      <c r="R92" s="384" t="n"/>
      <c r="S92" s="462">
        <f>IF(_epmOfflineCondition_,"        筹资活动现金流出小计",EPMMemberDesc(U92))</f>
        <v/>
      </c>
      <c r="T92" s="384" t="n"/>
      <c r="U92" s="716" t="inlineStr">
        <is>
          <t>A0030309</t>
        </is>
      </c>
      <c r="V92" s="459">
        <f>IF(_epmOfflineCondition_,"A0030309",EPMOlapMemberO(U92,"[C_ACCOUNT].[PARENTH1].[A0030309]","A0030309 -         筹资活动现金流出小计","","000"))</f>
        <v/>
      </c>
      <c r="W92" s="384" t="n"/>
      <c r="X92" s="450" t="inlineStr">
        <is>
          <t xml:space="preserve">筹资活动现金流出小计 </t>
        </is>
      </c>
      <c r="Y92" s="1185" t="inlineStr"/>
      <c r="Z92" s="1249" t="inlineStr"/>
      <c r="AA92" s="1249" t="inlineStr"/>
      <c r="AB92" s="1250" t="n"/>
      <c r="AC92" s="1249">
        <f>Z92-AB92</f>
        <v/>
      </c>
      <c r="AD92" s="1249">
        <f>IF(AB92=0,0,(Z92-AB92)/AB92*100)</f>
        <v/>
      </c>
      <c r="AE92" s="1249" t="inlineStr"/>
      <c r="AF92" s="1249">
        <f>Z92-AE92</f>
        <v/>
      </c>
      <c r="AG92" s="1249">
        <f>IF(AE92=0,0,(Z92-AE92)/AE92*100)</f>
        <v/>
      </c>
      <c r="AH92" s="1249" t="inlineStr"/>
      <c r="AI92" s="1249">
        <f>AA92-AH92</f>
        <v/>
      </c>
      <c r="AJ92" s="1249">
        <f>IF(AH92=0,0,(AA92-AH92)/AH92*100)</f>
        <v/>
      </c>
      <c r="AK92" s="1252" t="n"/>
      <c r="AL92" s="1251">
        <f>Z92-AK92</f>
        <v/>
      </c>
      <c r="AM92" s="1249">
        <f>IF(AK92=0,0,Z92/AK92*100)</f>
        <v/>
      </c>
      <c r="AN92" s="1252" t="n"/>
      <c r="AO92" s="1251">
        <f>AA92-AN92</f>
        <v/>
      </c>
      <c r="AP92" s="1249">
        <f>IF(AN92=0,0,AA92/AN92*100)</f>
        <v/>
      </c>
      <c r="AQ92" s="1252" t="n"/>
      <c r="AR92" s="1260">
        <f>AA92-AQ92</f>
        <v/>
      </c>
      <c r="AS92" s="1259">
        <f>IF(AQ92=0,0,AA92/AQ92*100)</f>
        <v/>
      </c>
    </row>
    <row r="93">
      <c r="A93" s="384" t="n"/>
      <c r="B93" s="384" t="n"/>
      <c r="C93" s="384" t="n"/>
      <c r="D93" s="384" t="n"/>
      <c r="E93" s="384" t="n"/>
      <c r="F93" s="384" t="n"/>
      <c r="G93" s="384" t="n"/>
      <c r="H93" s="384" t="n"/>
      <c r="I93" s="384" t="n"/>
      <c r="J93" s="384" t="n"/>
      <c r="K93" s="384" t="n"/>
      <c r="L93" s="384" t="n"/>
      <c r="M93" s="384" t="n"/>
      <c r="N93" s="384" t="n"/>
      <c r="O93" s="384" t="n"/>
      <c r="P93" s="384" t="n"/>
      <c r="Q93" s="384" t="n"/>
      <c r="R93" s="384" t="n"/>
      <c r="S93" s="462">
        <f>IF(_epmOfflineCondition_,"　        　筹资活动产生的现金流量净额",EPMMemberDesc(U93))</f>
        <v/>
      </c>
      <c r="T93" s="384" t="n"/>
      <c r="U93" s="716" t="inlineStr">
        <is>
          <t>A0030310</t>
        </is>
      </c>
      <c r="V93" s="535">
        <f>IF(_epmOfflineCondition_,"A0030310",EPMOlapMemberO(U93,"[C_ACCOUNT].[PARENTH1].[A0030310]","A0030310 - 　        　筹资活动产生的现金流量净额","","000"))</f>
        <v/>
      </c>
      <c r="W93" s="384" t="n"/>
      <c r="X93" s="450" t="inlineStr">
        <is>
          <t xml:space="preserve">筹资活动产生的现金流量净额 </t>
        </is>
      </c>
      <c r="Y93" s="1185" t="inlineStr"/>
      <c r="Z93" s="1249" t="inlineStr"/>
      <c r="AA93" s="1249" t="inlineStr"/>
      <c r="AB93" s="1250" t="n"/>
      <c r="AC93" s="1249">
        <f>Z93-AB93</f>
        <v/>
      </c>
      <c r="AD93" s="1249">
        <f>IF(AB93=0,0,(Z93-AB93)/AB93*100)</f>
        <v/>
      </c>
      <c r="AE93" s="1249" t="inlineStr"/>
      <c r="AF93" s="1249">
        <f>Z93-AE93</f>
        <v/>
      </c>
      <c r="AG93" s="1249">
        <f>IF(AE93=0,0,(Z93-AE93)/AE93*100)</f>
        <v/>
      </c>
      <c r="AH93" s="1249" t="inlineStr"/>
      <c r="AI93" s="1249">
        <f>AA93-AH93</f>
        <v/>
      </c>
      <c r="AJ93" s="1249">
        <f>IF(AH93=0,0,(AA93-AH93)/AH93*100)</f>
        <v/>
      </c>
      <c r="AK93" s="1252" t="n"/>
      <c r="AL93" s="1251">
        <f>Z93-AK93</f>
        <v/>
      </c>
      <c r="AM93" s="1249">
        <f>IF(AK93=0,0,Z93/AK93*100)</f>
        <v/>
      </c>
      <c r="AN93" s="1252" t="n"/>
      <c r="AO93" s="1251">
        <f>AA93-AN93</f>
        <v/>
      </c>
      <c r="AP93" s="1249">
        <f>IF(AN93=0,0,AA93/AN93*100)</f>
        <v/>
      </c>
      <c r="AQ93" s="1252" t="n"/>
      <c r="AR93" s="1260">
        <f>AA93-AQ93</f>
        <v/>
      </c>
      <c r="AS93" s="1259">
        <f>IF(AQ93=0,0,AA93/AQ93*100)</f>
        <v/>
      </c>
    </row>
    <row r="94">
      <c r="A94" s="384" t="n"/>
      <c r="B94" s="384" t="n"/>
      <c r="C94" s="384" t="n"/>
      <c r="D94" s="384" t="n"/>
      <c r="E94" s="384" t="n"/>
      <c r="F94" s="384" t="n"/>
      <c r="G94" s="384" t="n"/>
      <c r="H94" s="384" t="n"/>
      <c r="I94" s="384" t="n"/>
      <c r="J94" s="384" t="n"/>
      <c r="K94" s="384" t="n"/>
      <c r="L94" s="384" t="n"/>
      <c r="M94" s="384" t="n"/>
      <c r="N94" s="384" t="n"/>
      <c r="O94" s="384" t="n"/>
      <c r="P94" s="384" t="n"/>
      <c r="Q94" s="384" t="n"/>
      <c r="R94" s="384" t="n"/>
      <c r="S94" s="462">
        <f>IF(_epmOfflineCondition_,"四、汇率变动对现金及现金等价物的影响",EPMMemberDesc(U94))</f>
        <v/>
      </c>
      <c r="T94" s="384" t="n"/>
      <c r="U94" s="716" t="inlineStr">
        <is>
          <t>A0030402</t>
        </is>
      </c>
      <c r="V94" s="535">
        <f>IF(_epmOfflineCondition_,"A0030402",EPMOlapMemberO(U94,"[C_ACCOUNT].[PARENTH1].[A0030402]","A0030402 - 四、汇率变动对现金及现金等价物的影响","","000"))</f>
        <v/>
      </c>
      <c r="W94" s="384" t="n"/>
      <c r="X94" s="454" t="inlineStr">
        <is>
          <t xml:space="preserve"> 四、汇率变动对现金及现金等价物的影响 </t>
        </is>
      </c>
      <c r="Y94" s="1185" t="inlineStr"/>
      <c r="Z94" s="1249" t="n"/>
      <c r="AA94" s="1249" t="n"/>
      <c r="AB94" s="1250" t="n"/>
      <c r="AC94" s="1249">
        <f>Z94-AB94</f>
        <v/>
      </c>
      <c r="AD94" s="1249">
        <f>IF(AB94=0,0,(Z94-AB94)/AB94*100)</f>
        <v/>
      </c>
      <c r="AE94" s="1249" t="n"/>
      <c r="AF94" s="1249">
        <f>Z94-AE94</f>
        <v/>
      </c>
      <c r="AG94" s="1249">
        <f>IF(AE94=0,0,(Z94-AE94)/AE94*100)</f>
        <v/>
      </c>
      <c r="AH94" s="1249" t="n"/>
      <c r="AI94" s="1249">
        <f>AA94-AH94</f>
        <v/>
      </c>
      <c r="AJ94" s="1249">
        <f>IF(AH94=0,0,(AA94-AH94)/AH94*100)</f>
        <v/>
      </c>
      <c r="AK94" s="1252" t="n"/>
      <c r="AL94" s="1251">
        <f>Z94-AK94</f>
        <v/>
      </c>
      <c r="AM94" s="1249">
        <f>IF(AK94=0,0,Z94/AK94*100)</f>
        <v/>
      </c>
      <c r="AN94" s="1252" t="n"/>
      <c r="AO94" s="1251">
        <f>AA94-AN94</f>
        <v/>
      </c>
      <c r="AP94" s="1249">
        <f>IF(AN94=0,0,AA94/AN94*100)</f>
        <v/>
      </c>
      <c r="AQ94" s="1252" t="n"/>
      <c r="AR94" s="1260">
        <f>AA94-AQ94</f>
        <v/>
      </c>
      <c r="AS94" s="1259">
        <f>IF(AQ94=0,0,AA94/AQ94*100)</f>
        <v/>
      </c>
    </row>
    <row r="95">
      <c r="A95" s="384" t="n"/>
      <c r="B95" s="384" t="n"/>
      <c r="C95" s="384" t="n"/>
      <c r="D95" s="384" t="n"/>
      <c r="E95" s="384" t="n"/>
      <c r="F95" s="384" t="n"/>
      <c r="G95" s="384" t="n"/>
      <c r="H95" s="384" t="n"/>
      <c r="I95" s="384" t="n"/>
      <c r="J95" s="384" t="n"/>
      <c r="K95" s="384" t="n"/>
      <c r="L95" s="384" t="n"/>
      <c r="M95" s="384" t="n"/>
      <c r="N95" s="384" t="n"/>
      <c r="O95" s="384" t="n"/>
      <c r="P95" s="384" t="n"/>
      <c r="Q95" s="384" t="n"/>
      <c r="R95" s="384" t="n"/>
      <c r="S95" s="462">
        <f>IF(_epmOfflineCondition_,"五、现金及现金等价物净增加额",EPMMemberDesc(U95))</f>
        <v/>
      </c>
      <c r="T95" s="384" t="n"/>
      <c r="U95" s="716" t="inlineStr">
        <is>
          <t>A00305</t>
        </is>
      </c>
      <c r="V95" s="455">
        <f>IF(_epmOfflineCondition_,"A00305",EPMOlapMemberO(U95,"[C_ACCOUNT].[PARENTH1].[A00305]","A00305 - 五、现金及现金等价物净增加额","","000"))</f>
        <v/>
      </c>
      <c r="W95" s="384" t="n"/>
      <c r="X95" s="454" t="inlineStr">
        <is>
          <t xml:space="preserve"> 五、现金及现金等价物净增加额 </t>
        </is>
      </c>
      <c r="Y95" s="1185" t="inlineStr"/>
      <c r="Z95" s="1249" t="inlineStr"/>
      <c r="AA95" s="1249" t="inlineStr"/>
      <c r="AB95" s="1250" t="inlineStr"/>
      <c r="AC95" s="1249">
        <f>Z95-AB95</f>
        <v/>
      </c>
      <c r="AD95" s="1249">
        <f>IF(AB95=0,0,(Z95-AB95)/AB95*100)</f>
        <v/>
      </c>
      <c r="AE95" s="1249" t="inlineStr"/>
      <c r="AF95" s="1249">
        <f>Z95-AE95</f>
        <v/>
      </c>
      <c r="AG95" s="1249">
        <f>IF(AE95=0,0,(Z95-AE95)/AE95*100)</f>
        <v/>
      </c>
      <c r="AH95" s="1249" t="inlineStr"/>
      <c r="AI95" s="1249">
        <f>AA95-AH95</f>
        <v/>
      </c>
      <c r="AJ95" s="1249">
        <f>IF(AH95=0,0,(AA95-AH95)/AH95*100)</f>
        <v/>
      </c>
      <c r="AK95" s="1252" t="n"/>
      <c r="AL95" s="1251">
        <f>Z95-AK95</f>
        <v/>
      </c>
      <c r="AM95" s="1249">
        <f>IF(AK95=0,0,Z95/AK95*100)</f>
        <v/>
      </c>
      <c r="AN95" s="1252" t="n"/>
      <c r="AO95" s="1251">
        <f>AA95-AN95</f>
        <v/>
      </c>
      <c r="AP95" s="1249">
        <f>IF(AN95=0,0,AA95/AN95*100)</f>
        <v/>
      </c>
      <c r="AQ95" s="1252" t="n"/>
      <c r="AR95" s="1260">
        <f>AA95-AQ95</f>
        <v/>
      </c>
      <c r="AS95" s="1259">
        <f>IF(AQ95=0,0,AA95/AQ95*100)</f>
        <v/>
      </c>
    </row>
    <row r="96">
      <c r="A96" s="384" t="n"/>
      <c r="B96" s="384" t="n"/>
      <c r="C96" s="384" t="n"/>
      <c r="D96" s="384" t="n"/>
      <c r="E96" s="384" t="n"/>
      <c r="F96" s="384" t="n"/>
      <c r="G96" s="384" t="n"/>
      <c r="H96" s="384" t="n"/>
      <c r="I96" s="384" t="n"/>
      <c r="J96" s="384" t="n"/>
      <c r="K96" s="384" t="n"/>
      <c r="L96" s="384" t="n"/>
      <c r="M96" s="384" t="n"/>
      <c r="N96" s="384" t="n"/>
      <c r="O96" s="384" t="n"/>
      <c r="P96" s="384" t="n"/>
      <c r="Q96" s="384" t="n"/>
      <c r="R96" s="384" t="n"/>
      <c r="S96" s="462">
        <f>IF(_epmOfflineCondition_,"　   加：期初现金及现金等价物余额",EPMMemberDesc(U96))</f>
        <v/>
      </c>
      <c r="T96" s="384" t="n"/>
      <c r="U96" s="716" t="inlineStr">
        <is>
          <t>A00306T</t>
        </is>
      </c>
      <c r="V96" s="455">
        <f>IF(_epmOfflineCondition_,"A00306T",EPMOlapMemberO(U96,"[C_ACCOUNT].[PARENTH1].[A00306T]","A00306T - 　   加：期初现金及现金等价物余额","","000"))</f>
        <v/>
      </c>
      <c r="W96" s="384" t="n"/>
      <c r="X96" s="588" t="inlineStr">
        <is>
          <t xml:space="preserve"> 　加：期初现金及现金等价物余额 </t>
        </is>
      </c>
      <c r="Y96" s="1185" t="inlineStr"/>
      <c r="Z96" s="1249">
        <f>F117</f>
        <v/>
      </c>
      <c r="AA96" s="1249" t="inlineStr"/>
      <c r="AB96" s="1249">
        <f>H117</f>
        <v/>
      </c>
      <c r="AC96" s="1249">
        <f>Z96-AB96</f>
        <v/>
      </c>
      <c r="AD96" s="1249">
        <f>IF(AB96=0,0,(Z96-AB96)/AB96*100)</f>
        <v/>
      </c>
      <c r="AE96" s="1249">
        <f>K117</f>
        <v/>
      </c>
      <c r="AF96" s="1249">
        <f>Z96-AE96</f>
        <v/>
      </c>
      <c r="AG96" s="1249">
        <f>IF(AE96=0,0,(Z96-AE96)/AE96*100)</f>
        <v/>
      </c>
      <c r="AH96" s="1249">
        <f>N117</f>
        <v/>
      </c>
      <c r="AI96" s="1249">
        <f>AA96-AH96</f>
        <v/>
      </c>
      <c r="AJ96" s="1249">
        <f>IF(AH96=0,0,(AA96-AH96)/AH96*100)</f>
        <v/>
      </c>
      <c r="AK96" s="1252" t="n"/>
      <c r="AL96" s="1251">
        <f>Z96-AK96</f>
        <v/>
      </c>
      <c r="AM96" s="1249">
        <f>IF(AK96=0,0,Z96/AK96*100)</f>
        <v/>
      </c>
      <c r="AN96" s="1252" t="n"/>
      <c r="AO96" s="1251">
        <f>AA96-AN96</f>
        <v/>
      </c>
      <c r="AP96" s="1249">
        <f>IF(AN96=0,0,AA96/AN96*100)</f>
        <v/>
      </c>
      <c r="AQ96" s="1252" t="n"/>
      <c r="AR96" s="1260">
        <f>AA96-AQ96</f>
        <v/>
      </c>
      <c r="AS96" s="1259">
        <f>IF(AQ96=0,0,AA96/AQ96*100)</f>
        <v/>
      </c>
    </row>
    <row r="97">
      <c r="A97" s="384" t="n"/>
      <c r="B97" s="384" t="n"/>
      <c r="C97" s="384" t="n"/>
      <c r="D97" s="384" t="n"/>
      <c r="E97" s="384" t="n"/>
      <c r="F97" s="384" t="n"/>
      <c r="G97" s="384" t="n"/>
      <c r="H97" s="384" t="n"/>
      <c r="I97" s="384" t="n"/>
      <c r="J97" s="384" t="n"/>
      <c r="K97" s="384" t="n"/>
      <c r="L97" s="384" t="n"/>
      <c r="M97" s="384" t="n"/>
      <c r="N97" s="384" t="n"/>
      <c r="O97" s="384" t="n"/>
      <c r="P97" s="384" t="n"/>
      <c r="Q97" s="384" t="n"/>
      <c r="R97" s="384" t="n"/>
      <c r="S97" s="462">
        <f>IF(_epmOfflineCondition_,"六、期末现金及现金等价物余额",EPMMemberDesc(U97))</f>
        <v/>
      </c>
      <c r="T97" s="384" t="n"/>
      <c r="U97" s="716" t="inlineStr">
        <is>
          <t>A00307</t>
        </is>
      </c>
      <c r="V97" s="462">
        <f>IF(_epmOfflineCondition_,"A00307",EPMOlapMemberO(U97,"[C_ACCOUNT].[PARENTH1].[A00307]","A00307 - 六、期末现金及现金等价物余额","","000"))</f>
        <v/>
      </c>
      <c r="W97" s="384" t="n"/>
      <c r="X97" s="454" t="inlineStr">
        <is>
          <t xml:space="preserve"> 六、期末现金及现金等价物余额 </t>
        </is>
      </c>
      <c r="Y97" s="1185" t="inlineStr"/>
      <c r="Z97" s="1249">
        <f>Z95+Z96</f>
        <v/>
      </c>
      <c r="AA97" s="1249" t="inlineStr"/>
      <c r="AB97" s="1250">
        <f>AB95+AB96</f>
        <v/>
      </c>
      <c r="AC97" s="1249">
        <f>Z97-AB97</f>
        <v/>
      </c>
      <c r="AD97" s="1249">
        <f>IF(AB97=0,0,(Z97-AB97)/AB97*100)</f>
        <v/>
      </c>
      <c r="AE97" s="1249">
        <f>AE95+AE96</f>
        <v/>
      </c>
      <c r="AF97" s="1249">
        <f>Z97-AE97</f>
        <v/>
      </c>
      <c r="AG97" s="1249">
        <f>IF(AE97=0,0,(Z97-AE97)/AE97*100)</f>
        <v/>
      </c>
      <c r="AH97" s="1249" t="inlineStr"/>
      <c r="AI97" s="1249">
        <f>AA97-AH97</f>
        <v/>
      </c>
      <c r="AJ97" s="1249">
        <f>IF(AH97=0,0,(AA97-AH97)/AH97*100)</f>
        <v/>
      </c>
      <c r="AK97" s="1252" t="n"/>
      <c r="AL97" s="1251">
        <f>Z97-AK97</f>
        <v/>
      </c>
      <c r="AM97" s="1249">
        <f>IF(AK97=0,0,Z97/AK97*100)</f>
        <v/>
      </c>
      <c r="AN97" s="1252" t="n"/>
      <c r="AO97" s="1251">
        <f>AA97-AN97</f>
        <v/>
      </c>
      <c r="AP97" s="1249">
        <f>IF(AN97=0,0,AA97/AN97*100)</f>
        <v/>
      </c>
      <c r="AQ97" s="1252" t="n"/>
      <c r="AR97" s="1260">
        <f>AA97-AQ97</f>
        <v/>
      </c>
      <c r="AS97" s="1259">
        <f>IF(AQ97=0,0,AA97/AQ97*100)</f>
        <v/>
      </c>
    </row>
    <row r="98">
      <c r="A98" s="384" t="n"/>
      <c r="B98" s="384" t="n"/>
      <c r="C98" s="384" t="n"/>
      <c r="D98" s="384" t="n"/>
      <c r="E98" s="384" t="n"/>
      <c r="F98" s="384" t="n"/>
      <c r="G98" s="384" t="n"/>
      <c r="H98" s="384" t="n"/>
      <c r="I98" s="384" t="n"/>
      <c r="J98" s="384" t="n"/>
      <c r="K98" s="384" t="n"/>
      <c r="L98" s="384" t="n"/>
      <c r="M98" s="384" t="n"/>
      <c r="N98" s="384" t="n"/>
      <c r="O98" s="384" t="n"/>
      <c r="P98" s="384" t="n"/>
      <c r="Q98" s="384" t="n"/>
      <c r="R98" s="384" t="n"/>
      <c r="S98" s="32" t="n"/>
      <c r="T98" s="384" t="n"/>
      <c r="U98" s="384" t="n"/>
      <c r="V98" s="384" t="n"/>
      <c r="W98" s="384" t="n"/>
      <c r="X98" s="1019" t="inlineStr">
        <is>
          <t>注：表中带*科目为合并会计报表专用；带△科目为金融类企业专用；带#科目为外商投资企业专用</t>
        </is>
      </c>
      <c r="Y98" s="706" t="n"/>
      <c r="Z98" s="384" t="n"/>
      <c r="AA98" s="384" t="n"/>
      <c r="AB98" s="384" t="n"/>
      <c r="AC98" s="384" t="n"/>
      <c r="AD98" s="1237" t="n"/>
      <c r="AE98" s="384" t="n"/>
      <c r="AF98" s="384" t="n"/>
      <c r="AG98" s="384" t="n"/>
      <c r="AH98" s="384" t="n"/>
      <c r="AI98" s="384" t="n"/>
      <c r="AJ98" s="384" t="n"/>
      <c r="AK98" s="1237" t="n"/>
      <c r="AL98" s="384" t="n"/>
      <c r="AM98" s="384" t="n"/>
      <c r="AN98" s="384" t="n"/>
      <c r="AO98" s="384" t="n"/>
      <c r="AP98" s="384" t="n"/>
      <c r="AQ98" s="384" t="n"/>
      <c r="AR98" s="384" t="n"/>
      <c r="AS98" s="384" t="n"/>
    </row>
    <row r="99">
      <c r="A99" s="384" t="n"/>
      <c r="B99" s="384" t="n"/>
      <c r="C99" s="384" t="n"/>
      <c r="D99" s="384" t="n"/>
      <c r="E99" s="384" t="n"/>
      <c r="F99" s="384" t="n"/>
      <c r="G99" s="384" t="n"/>
      <c r="H99" s="384" t="n"/>
      <c r="I99" s="384" t="n"/>
      <c r="J99" s="384" t="n"/>
      <c r="K99" s="384" t="n"/>
      <c r="L99" s="384" t="n"/>
      <c r="M99" s="384" t="n"/>
      <c r="N99" s="384" t="n"/>
      <c r="O99" s="384" t="n"/>
      <c r="P99" s="384" t="n"/>
      <c r="Q99" s="384" t="n"/>
      <c r="R99" s="384" t="n"/>
      <c r="S99" s="32" t="n"/>
      <c r="T99" s="384" t="n"/>
      <c r="U99" s="13" t="n"/>
      <c r="V99" s="384" t="n"/>
      <c r="W99" s="384" t="n"/>
      <c r="X99" s="38" t="n"/>
      <c r="Y99" s="706" t="n"/>
      <c r="Z99" s="384" t="n"/>
      <c r="AA99" s="384" t="n"/>
      <c r="AB99" s="384" t="n"/>
      <c r="AC99" s="384" t="n"/>
      <c r="AD99" s="1237" t="n"/>
      <c r="AE99" s="384" t="n"/>
      <c r="AF99" s="384" t="n"/>
      <c r="AG99" s="384" t="n"/>
      <c r="AH99" s="384" t="n"/>
      <c r="AI99" s="384" t="n"/>
      <c r="AJ99" s="384" t="n"/>
      <c r="AK99" s="1237" t="n"/>
      <c r="AL99" s="384" t="n"/>
      <c r="AM99" s="384" t="n"/>
      <c r="AN99" s="384" t="n"/>
      <c r="AO99" s="384" t="n"/>
      <c r="AP99" s="384" t="n"/>
      <c r="AQ99" s="384" t="n"/>
      <c r="AR99" s="384" t="n"/>
      <c r="AS99" s="384" t="n"/>
    </row>
    <row r="100">
      <c r="A100" s="384" t="n"/>
      <c r="B100" s="384" t="n"/>
      <c r="C100" s="384" t="n"/>
      <c r="D100" s="384" t="n"/>
      <c r="E100" s="384" t="n"/>
      <c r="F100" s="384" t="n"/>
      <c r="G100" s="384" t="n"/>
      <c r="H100" s="384" t="n"/>
      <c r="I100" s="384" t="n"/>
      <c r="J100" s="384" t="n"/>
      <c r="K100" s="384" t="n"/>
      <c r="L100" s="384" t="n"/>
      <c r="M100" s="384" t="n"/>
      <c r="N100" s="384" t="n"/>
      <c r="O100" s="384" t="n"/>
      <c r="P100" s="384" t="n"/>
      <c r="Q100" s="384" t="n"/>
      <c r="R100" s="384" t="n"/>
      <c r="S100" s="32" t="n"/>
      <c r="T100" s="384" t="n"/>
      <c r="U100" s="384" t="n"/>
      <c r="V100" s="384" t="n"/>
      <c r="W100" s="384" t="n"/>
      <c r="X100" s="38" t="n"/>
      <c r="Y100" s="706" t="n"/>
      <c r="Z100" s="384" t="n"/>
      <c r="AA100" s="384" t="n"/>
      <c r="AB100" s="384" t="n"/>
      <c r="AC100" s="384" t="n"/>
      <c r="AD100" s="1237" t="n"/>
      <c r="AE100" s="384" t="n"/>
      <c r="AF100" s="384" t="n"/>
      <c r="AG100" s="384" t="n"/>
      <c r="AH100" s="384" t="n"/>
      <c r="AI100" s="384" t="n"/>
      <c r="AJ100" s="384" t="n"/>
      <c r="AK100" s="1237" t="n"/>
      <c r="AL100" s="384" t="n"/>
      <c r="AM100" s="384" t="n"/>
      <c r="AN100" s="384" t="n"/>
      <c r="AO100" s="384" t="n"/>
      <c r="AP100" s="384" t="n"/>
      <c r="AQ100" s="384" t="n"/>
      <c r="AR100" s="384" t="n"/>
      <c r="AS100" s="384" t="n"/>
    </row>
    <row r="101">
      <c r="A101" s="384" t="n"/>
      <c r="B101" s="384" t="n"/>
      <c r="C101" s="384" t="n"/>
      <c r="D101" s="384" t="n"/>
      <c r="E101" s="384" t="n"/>
      <c r="F101" s="384" t="n"/>
      <c r="G101" s="384" t="n"/>
      <c r="H101" s="384" t="n"/>
      <c r="I101" s="384" t="n"/>
      <c r="J101" s="384" t="n"/>
      <c r="K101" s="384" t="n"/>
      <c r="L101" s="384" t="n"/>
      <c r="M101" s="384" t="n"/>
      <c r="N101" s="384" t="n"/>
      <c r="O101" s="384" t="n"/>
      <c r="P101" s="384" t="n"/>
      <c r="Q101" s="384" t="n"/>
      <c r="R101" s="384" t="n"/>
      <c r="S101" s="32" t="n"/>
      <c r="T101" s="384" t="n"/>
      <c r="U101" s="716" t="n"/>
      <c r="V101" s="384" t="n"/>
      <c r="W101" s="384" t="n"/>
      <c r="X101" s="38" t="n"/>
      <c r="Y101" s="706" t="n"/>
      <c r="Z101" s="384" t="n"/>
      <c r="AA101" s="384" t="n"/>
      <c r="AB101" s="384" t="n"/>
      <c r="AC101" s="384" t="n"/>
      <c r="AD101" s="1237" t="n"/>
      <c r="AE101" s="384" t="n"/>
      <c r="AF101" s="384" t="n"/>
      <c r="AG101" s="384" t="n"/>
      <c r="AH101" s="384" t="n"/>
      <c r="AI101" s="384" t="n"/>
      <c r="AJ101" s="384" t="n"/>
      <c r="AK101" s="1237" t="n"/>
      <c r="AL101" s="384" t="n"/>
      <c r="AM101" s="384" t="n"/>
      <c r="AN101" s="384" t="n"/>
      <c r="AO101" s="384" t="n"/>
      <c r="AP101" s="384" t="n"/>
      <c r="AQ101" s="384" t="n"/>
      <c r="AR101" s="384" t="n"/>
      <c r="AS101" s="384" t="n"/>
    </row>
    <row r="102">
      <c r="A102" s="384" t="n"/>
      <c r="B102" s="384" t="n"/>
      <c r="C102" s="384" t="n"/>
      <c r="D102" s="384" t="n"/>
      <c r="E102" s="384" t="n"/>
      <c r="F102" s="384" t="n"/>
      <c r="G102" s="384" t="n"/>
      <c r="H102" s="384" t="n"/>
      <c r="I102" s="384" t="n"/>
      <c r="J102" s="384" t="n"/>
      <c r="K102" s="384" t="n"/>
      <c r="L102" s="384" t="n"/>
      <c r="M102" s="384" t="n"/>
      <c r="N102" s="384" t="n"/>
      <c r="O102" s="384" t="n"/>
      <c r="P102" s="384" t="n"/>
      <c r="Q102" s="384" t="n"/>
      <c r="R102" s="384" t="n"/>
      <c r="S102" s="384" t="n"/>
      <c r="T102" s="384" t="n"/>
      <c r="U102" s="384" t="n"/>
      <c r="V102" s="384" t="n"/>
      <c r="W102" s="384" t="n"/>
      <c r="X102" s="38" t="n"/>
      <c r="Y102" s="706" t="n"/>
      <c r="Z102" s="384" t="n"/>
      <c r="AA102" s="384" t="n"/>
      <c r="AB102" s="384" t="n"/>
      <c r="AC102" s="384" t="n"/>
      <c r="AD102" s="1237" t="n"/>
      <c r="AE102" s="384" t="n"/>
      <c r="AF102" s="384" t="n"/>
      <c r="AG102" s="384" t="n"/>
      <c r="AH102" s="384" t="n"/>
      <c r="AI102" s="384" t="n"/>
      <c r="AJ102" s="384" t="n"/>
      <c r="AK102" s="1237" t="n"/>
      <c r="AL102" s="384" t="n"/>
      <c r="AM102" s="384" t="n"/>
      <c r="AN102" s="384" t="n"/>
      <c r="AO102" s="384" t="n"/>
      <c r="AP102" s="384" t="n"/>
      <c r="AQ102" s="384" t="n"/>
      <c r="AR102" s="384" t="n"/>
      <c r="AS102" s="384" t="n"/>
    </row>
    <row r="103">
      <c r="A103" s="384" t="n"/>
      <c r="B103" s="384" t="n"/>
      <c r="C103" s="384" t="n"/>
      <c r="D103" s="384" t="n"/>
      <c r="E103" s="384" t="n"/>
      <c r="F103" s="1011" t="inlineStr">
        <is>
          <t>本月期末数</t>
        </is>
      </c>
      <c r="G103" s="384" t="n"/>
      <c r="H103" s="384" t="n"/>
      <c r="I103" s="384" t="n"/>
      <c r="J103" s="384" t="n"/>
      <c r="K103" s="384" t="n"/>
      <c r="L103" s="384" t="n"/>
      <c r="M103" s="384" t="n"/>
      <c r="N103" s="384" t="n"/>
      <c r="O103" s="384" t="n"/>
      <c r="P103" s="384" t="n"/>
      <c r="Q103" s="384" t="n"/>
      <c r="R103" s="384" t="n"/>
      <c r="S103" s="384" t="n"/>
      <c r="T103" s="384" t="n"/>
      <c r="U103" s="384" t="n"/>
      <c r="V103" s="384" t="n"/>
      <c r="W103" s="384" t="n"/>
      <c r="X103" s="38" t="n"/>
      <c r="Y103" s="706" t="n"/>
      <c r="Z103" s="384" t="n"/>
      <c r="AA103" s="384" t="n"/>
      <c r="AB103" s="384" t="n"/>
      <c r="AC103" s="384" t="n"/>
      <c r="AD103" s="1237" t="n"/>
      <c r="AE103" s="384" t="n"/>
      <c r="AF103" s="384" t="n"/>
      <c r="AG103" s="384" t="n"/>
      <c r="AH103" s="384" t="n"/>
      <c r="AI103" s="384" t="n"/>
      <c r="AJ103" s="384" t="n"/>
      <c r="AK103" s="1237" t="n"/>
      <c r="AL103" s="384" t="n"/>
      <c r="AM103" s="384" t="n"/>
      <c r="AN103" s="384" t="n"/>
      <c r="AO103" s="384" t="n"/>
      <c r="AP103" s="384" t="n"/>
      <c r="AQ103" s="384" t="n"/>
      <c r="AR103" s="384" t="n"/>
      <c r="AS103" s="384" t="n"/>
    </row>
    <row r="104">
      <c r="A104" s="384" t="n"/>
      <c r="B104" s="384" t="n"/>
      <c r="C104" s="384" t="n"/>
      <c r="D104" s="384" t="n"/>
      <c r="E104" s="384" t="n"/>
      <c r="F104" s="1012">
        <f>I12</f>
        <v/>
      </c>
      <c r="G104" s="1012">
        <f>AA40</f>
        <v/>
      </c>
      <c r="H104" s="1012">
        <f>I14</f>
        <v/>
      </c>
      <c r="I104" s="1268">
        <f>AC40</f>
        <v/>
      </c>
      <c r="J104" s="1012">
        <f>I14</f>
        <v/>
      </c>
      <c r="K104" s="1012">
        <f>AE40</f>
        <v/>
      </c>
      <c r="L104" s="1268">
        <f>AF40</f>
        <v/>
      </c>
      <c r="M104" s="1268">
        <f>AG40</f>
        <v/>
      </c>
      <c r="N104" s="1012">
        <f>AH40</f>
        <v/>
      </c>
      <c r="O104" s="384" t="n"/>
      <c r="P104" s="384" t="n"/>
      <c r="Q104" s="384" t="n"/>
      <c r="R104" s="384" t="n"/>
      <c r="S104" s="384" t="n"/>
      <c r="T104" s="384" t="n"/>
      <c r="U104" s="384" t="n"/>
      <c r="V104" s="384" t="n"/>
      <c r="W104" s="384" t="n"/>
      <c r="X104" s="38" t="n"/>
      <c r="Y104" s="706" t="n"/>
      <c r="Z104" s="384" t="n"/>
      <c r="AA104" s="384" t="n"/>
      <c r="AB104" s="384" t="n"/>
      <c r="AC104" s="384" t="n"/>
      <c r="AD104" s="1237" t="n"/>
      <c r="AE104" s="384" t="n"/>
      <c r="AF104" s="384" t="n"/>
      <c r="AG104" s="384" t="n"/>
      <c r="AH104" s="384" t="n"/>
      <c r="AI104" s="384" t="n"/>
      <c r="AJ104" s="384" t="n"/>
      <c r="AK104" s="1237" t="n"/>
      <c r="AL104" s="384" t="n"/>
      <c r="AM104" s="384" t="n"/>
      <c r="AN104" s="384" t="n"/>
      <c r="AO104" s="384" t="n"/>
      <c r="AP104" s="384" t="n"/>
      <c r="AQ104" s="384" t="n"/>
      <c r="AR104" s="384" t="n"/>
      <c r="AS104" s="384" t="n"/>
    </row>
    <row r="105">
      <c r="A105" s="384" t="n"/>
      <c r="B105" s="384" t="n"/>
      <c r="C105" s="384" t="n"/>
      <c r="D105" s="384" t="n"/>
      <c r="E105" s="384" t="n"/>
      <c r="F105" s="1012" t="inlineStr">
        <is>
          <t>C1001</t>
        </is>
      </c>
      <c r="G105" s="1012" t="inlineStr">
        <is>
          <t>C1001</t>
        </is>
      </c>
      <c r="H105" s="1012" t="inlineStr">
        <is>
          <t>C1001</t>
        </is>
      </c>
      <c r="I105" s="1012" t="inlineStr">
        <is>
          <t>C1001</t>
        </is>
      </c>
      <c r="J105" s="1012" t="inlineStr">
        <is>
          <t>C1001</t>
        </is>
      </c>
      <c r="K105" s="1012" t="inlineStr">
        <is>
          <t>C1001</t>
        </is>
      </c>
      <c r="L105" s="1012" t="inlineStr">
        <is>
          <t>C1001</t>
        </is>
      </c>
      <c r="M105" s="1012" t="inlineStr">
        <is>
          <t>C1001</t>
        </is>
      </c>
      <c r="N105" s="1012" t="inlineStr">
        <is>
          <t>C1001</t>
        </is>
      </c>
      <c r="O105" s="384" t="n"/>
      <c r="P105" s="384" t="n"/>
      <c r="Q105" s="384" t="n"/>
      <c r="R105" s="384" t="n"/>
      <c r="S105" s="384" t="n"/>
      <c r="T105" s="384" t="n"/>
      <c r="U105" s="384" t="n"/>
      <c r="V105" s="384" t="n"/>
      <c r="W105" s="384" t="n"/>
      <c r="X105" s="38" t="n"/>
      <c r="Y105" s="706" t="n"/>
      <c r="Z105" s="384" t="n"/>
      <c r="AA105" s="384" t="n"/>
      <c r="AB105" s="384" t="n"/>
      <c r="AC105" s="384" t="n"/>
      <c r="AD105" s="1237" t="n"/>
      <c r="AE105" s="384" t="n"/>
      <c r="AF105" s="384" t="n"/>
      <c r="AG105" s="384" t="n"/>
      <c r="AH105" s="384" t="n"/>
      <c r="AI105" s="384" t="n"/>
      <c r="AJ105" s="384" t="n"/>
      <c r="AK105" s="1237" t="n"/>
      <c r="AL105" s="384" t="n"/>
      <c r="AM105" s="384" t="n"/>
      <c r="AN105" s="384" t="n"/>
      <c r="AO105" s="384" t="n"/>
      <c r="AP105" s="384" t="n"/>
      <c r="AQ105" s="384" t="n"/>
      <c r="AR105" s="384" t="n"/>
      <c r="AS105" s="384" t="n"/>
    </row>
    <row r="106">
      <c r="A106" s="384" t="n"/>
      <c r="B106" s="384" t="n"/>
      <c r="C106" s="384" t="n"/>
      <c r="D106" s="384" t="n"/>
      <c r="E106" s="384" t="n"/>
      <c r="F106" s="1012" t="inlineStr">
        <is>
          <t>DALL</t>
        </is>
      </c>
      <c r="G106" s="1012" t="inlineStr">
        <is>
          <t>DALL</t>
        </is>
      </c>
      <c r="H106" s="1012" t="inlineStr">
        <is>
          <t>DALL</t>
        </is>
      </c>
      <c r="I106" s="1012" t="inlineStr">
        <is>
          <t>DALL</t>
        </is>
      </c>
      <c r="J106" s="1012" t="inlineStr">
        <is>
          <t>DALL</t>
        </is>
      </c>
      <c r="K106" s="1012" t="inlineStr">
        <is>
          <t>DALL</t>
        </is>
      </c>
      <c r="L106" s="1012" t="inlineStr">
        <is>
          <t>DALL</t>
        </is>
      </c>
      <c r="M106" s="1012" t="inlineStr">
        <is>
          <t>DALL</t>
        </is>
      </c>
      <c r="N106" s="1012" t="inlineStr">
        <is>
          <t>DALL</t>
        </is>
      </c>
      <c r="O106" s="384" t="n"/>
      <c r="P106" s="384" t="n"/>
      <c r="Q106" s="384" t="n"/>
      <c r="R106" s="384" t="n"/>
      <c r="S106" s="384" t="n"/>
      <c r="T106" s="384" t="n"/>
      <c r="U106" s="384" t="n"/>
      <c r="V106" s="384" t="n"/>
      <c r="W106" s="384" t="n"/>
      <c r="X106" s="38" t="n"/>
      <c r="Y106" s="706" t="n"/>
      <c r="Z106" s="384" t="n"/>
      <c r="AA106" s="384" t="n"/>
      <c r="AB106" s="384" t="n"/>
      <c r="AC106" s="384" t="n"/>
      <c r="AD106" s="1237" t="n"/>
      <c r="AE106" s="384" t="n"/>
      <c r="AF106" s="384" t="n"/>
      <c r="AG106" s="384" t="n"/>
      <c r="AH106" s="384" t="n"/>
      <c r="AI106" s="384" t="n"/>
      <c r="AJ106" s="384" t="n"/>
      <c r="AK106" s="1237" t="n"/>
      <c r="AL106" s="384" t="n"/>
      <c r="AM106" s="384" t="n"/>
      <c r="AN106" s="384" t="n"/>
      <c r="AO106" s="384" t="n"/>
      <c r="AP106" s="384" t="n"/>
      <c r="AQ106" s="384" t="n"/>
      <c r="AR106" s="384" t="n"/>
      <c r="AS106" s="384" t="n"/>
    </row>
    <row r="107">
      <c r="A107" s="384" t="n"/>
      <c r="B107" s="384" t="n"/>
      <c r="C107" s="384" t="n"/>
      <c r="D107" s="384" t="n"/>
      <c r="E107" s="384" t="n"/>
      <c r="F107" s="1012" t="inlineStr">
        <is>
          <t>FEND</t>
        </is>
      </c>
      <c r="G107" s="1012" t="inlineStr">
        <is>
          <t>FEND</t>
        </is>
      </c>
      <c r="H107" s="1012" t="inlineStr">
        <is>
          <t>FEND</t>
        </is>
      </c>
      <c r="I107" s="1012" t="inlineStr">
        <is>
          <t>FEND</t>
        </is>
      </c>
      <c r="J107" s="1012" t="inlineStr">
        <is>
          <t>FEND</t>
        </is>
      </c>
      <c r="K107" s="1012" t="inlineStr">
        <is>
          <t>FEND</t>
        </is>
      </c>
      <c r="L107" s="1012" t="inlineStr">
        <is>
          <t>FEND</t>
        </is>
      </c>
      <c r="M107" s="1012" t="inlineStr">
        <is>
          <t>FEND</t>
        </is>
      </c>
      <c r="N107" s="1012" t="inlineStr">
        <is>
          <t>FEND</t>
        </is>
      </c>
      <c r="O107" s="384" t="n"/>
      <c r="P107" s="384" t="n"/>
      <c r="Q107" s="384" t="n"/>
      <c r="R107" s="384" t="n"/>
      <c r="S107" s="384" t="n"/>
      <c r="T107" s="384" t="n"/>
      <c r="U107" s="384" t="n"/>
      <c r="V107" s="384" t="n"/>
      <c r="W107" s="384" t="n"/>
      <c r="X107" s="38" t="n"/>
      <c r="Y107" s="706" t="n"/>
      <c r="Z107" s="384" t="n"/>
      <c r="AA107" s="384" t="n"/>
      <c r="AB107" s="384" t="n"/>
      <c r="AC107" s="384" t="n"/>
      <c r="AD107" s="1237" t="n"/>
      <c r="AE107" s="384" t="n"/>
      <c r="AF107" s="384" t="n"/>
      <c r="AG107" s="384" t="n"/>
      <c r="AH107" s="384" t="n"/>
      <c r="AI107" s="384" t="n"/>
      <c r="AJ107" s="384" t="n"/>
      <c r="AK107" s="1237" t="n"/>
      <c r="AL107" s="384" t="n"/>
      <c r="AM107" s="384" t="n"/>
      <c r="AN107" s="384" t="n"/>
      <c r="AO107" s="384" t="n"/>
      <c r="AP107" s="384" t="n"/>
      <c r="AQ107" s="384" t="n"/>
      <c r="AR107" s="384" t="n"/>
      <c r="AS107" s="384" t="n"/>
    </row>
    <row r="108">
      <c r="A108" s="384" t="n"/>
      <c r="B108" s="384" t="n"/>
      <c r="C108" s="384" t="n"/>
      <c r="D108" s="384" t="n"/>
      <c r="E108" s="384" t="n"/>
      <c r="F108" s="1012" t="inlineStr">
        <is>
          <t>YTD</t>
        </is>
      </c>
      <c r="G108" s="1012">
        <f>AA44</f>
        <v/>
      </c>
      <c r="H108" s="1012" t="inlineStr">
        <is>
          <t>YTD</t>
        </is>
      </c>
      <c r="I108" s="1012">
        <f>AC44</f>
        <v/>
      </c>
      <c r="J108" s="1012">
        <f>AD44</f>
        <v/>
      </c>
      <c r="K108" s="1012">
        <f>AE44</f>
        <v/>
      </c>
      <c r="L108" s="1012">
        <f>AF44</f>
        <v/>
      </c>
      <c r="M108" s="1012">
        <f>AG44</f>
        <v/>
      </c>
      <c r="N108" s="1012">
        <f>AH44</f>
        <v/>
      </c>
      <c r="O108" s="384" t="n"/>
      <c r="P108" s="384" t="n"/>
      <c r="Q108" s="384" t="n"/>
      <c r="R108" s="384" t="n"/>
      <c r="S108" s="384" t="n"/>
      <c r="T108" s="384" t="n"/>
      <c r="U108" s="384" t="n"/>
      <c r="V108" s="384" t="n"/>
      <c r="W108" s="384" t="n"/>
      <c r="X108" s="38" t="n"/>
      <c r="Y108" s="706" t="n"/>
      <c r="Z108" s="384" t="n"/>
      <c r="AA108" s="384" t="n"/>
      <c r="AB108" s="384" t="n"/>
      <c r="AC108" s="384" t="n"/>
      <c r="AD108" s="1237" t="n"/>
      <c r="AE108" s="384" t="n"/>
      <c r="AF108" s="384" t="n"/>
      <c r="AG108" s="384" t="n"/>
      <c r="AH108" s="384" t="n"/>
      <c r="AI108" s="384" t="n"/>
      <c r="AJ108" s="384" t="n"/>
      <c r="AK108" s="1237" t="n"/>
      <c r="AL108" s="384" t="n"/>
      <c r="AM108" s="384" t="n"/>
      <c r="AN108" s="384" t="n"/>
      <c r="AO108" s="384" t="n"/>
      <c r="AP108" s="384" t="n"/>
      <c r="AQ108" s="384" t="n"/>
      <c r="AR108" s="384" t="n"/>
      <c r="AS108" s="384" t="n"/>
    </row>
    <row r="109">
      <c r="A109" s="384" t="n"/>
      <c r="B109" s="384" t="n"/>
      <c r="C109" s="384" t="n"/>
      <c r="D109" s="384" t="n"/>
      <c r="E109" s="384" t="n"/>
      <c r="F109" s="390">
        <f>$C$21</f>
        <v/>
      </c>
      <c r="G109" s="390">
        <f>$C$21</f>
        <v/>
      </c>
      <c r="H109" s="390">
        <f>$C$21</f>
        <v/>
      </c>
      <c r="I109" s="390">
        <f>$C$21</f>
        <v/>
      </c>
      <c r="J109" s="390">
        <f>$C$21</f>
        <v/>
      </c>
      <c r="K109" s="390">
        <f>$C$21</f>
        <v/>
      </c>
      <c r="L109" s="390">
        <f>$C$21</f>
        <v/>
      </c>
      <c r="M109" s="390">
        <f>$C$21</f>
        <v/>
      </c>
      <c r="N109" s="390">
        <f>$C$21</f>
        <v/>
      </c>
      <c r="O109" s="384" t="n"/>
      <c r="P109" s="384" t="n"/>
      <c r="Q109" s="384" t="n"/>
      <c r="R109" s="384" t="n"/>
      <c r="S109" s="384" t="n"/>
      <c r="T109" s="384" t="n"/>
      <c r="U109" s="384" t="n"/>
      <c r="V109" s="384" t="n"/>
      <c r="W109" s="384" t="n"/>
      <c r="X109" s="38" t="n"/>
      <c r="Y109" s="706" t="n"/>
      <c r="Z109" s="384" t="n"/>
      <c r="AA109" s="384" t="n"/>
      <c r="AB109" s="384" t="n"/>
      <c r="AC109" s="384" t="n"/>
      <c r="AD109" s="1237" t="n"/>
      <c r="AE109" s="384" t="n"/>
      <c r="AF109" s="384" t="n"/>
      <c r="AG109" s="384" t="n"/>
      <c r="AH109" s="384" t="n"/>
      <c r="AI109" s="384" t="n"/>
      <c r="AJ109" s="384" t="n"/>
      <c r="AK109" s="1237" t="n"/>
      <c r="AL109" s="384" t="n"/>
      <c r="AM109" s="384" t="n"/>
      <c r="AN109" s="384" t="n"/>
      <c r="AO109" s="384" t="n"/>
      <c r="AP109" s="384" t="n"/>
      <c r="AQ109" s="384" t="n"/>
      <c r="AR109" s="384" t="n"/>
      <c r="AS109" s="384" t="n"/>
    </row>
    <row r="110">
      <c r="A110" s="384" t="n"/>
      <c r="B110" s="384" t="n"/>
      <c r="C110" s="384" t="n"/>
      <c r="D110" s="384" t="n"/>
      <c r="E110" s="384" t="n"/>
      <c r="F110" s="1012">
        <f>$D$22</f>
        <v/>
      </c>
      <c r="G110" s="1012">
        <f>$D$22</f>
        <v/>
      </c>
      <c r="H110" s="1012">
        <f>$D$22</f>
        <v/>
      </c>
      <c r="I110" s="1012">
        <f>$D$22</f>
        <v/>
      </c>
      <c r="J110" s="1012">
        <f>$D$22</f>
        <v/>
      </c>
      <c r="K110" s="1012">
        <f>$D$22</f>
        <v/>
      </c>
      <c r="L110" s="1012">
        <f>$D$22</f>
        <v/>
      </c>
      <c r="M110" s="1012">
        <f>$D$22</f>
        <v/>
      </c>
      <c r="N110" s="1012">
        <f>$D$22</f>
        <v/>
      </c>
      <c r="O110" s="384" t="n"/>
      <c r="P110" s="384" t="n"/>
      <c r="Q110" s="384" t="n"/>
      <c r="R110" s="384" t="n"/>
      <c r="S110" s="384" t="n"/>
      <c r="T110" s="384" t="n"/>
      <c r="U110" s="384" t="n"/>
      <c r="V110" s="384" t="n"/>
      <c r="W110" s="384" t="n"/>
      <c r="X110" s="38" t="n"/>
      <c r="Y110" s="706" t="n"/>
      <c r="Z110" s="384" t="n"/>
      <c r="AA110" s="384" t="n"/>
      <c r="AB110" s="384" t="n"/>
      <c r="AC110" s="384" t="n"/>
      <c r="AD110" s="1237" t="n"/>
      <c r="AE110" s="384" t="n"/>
      <c r="AF110" s="384" t="n"/>
      <c r="AG110" s="384" t="n"/>
      <c r="AH110" s="384" t="n"/>
      <c r="AI110" s="384" t="n"/>
      <c r="AJ110" s="384" t="n"/>
      <c r="AK110" s="1237" t="n"/>
      <c r="AL110" s="384" t="n"/>
      <c r="AM110" s="384" t="n"/>
      <c r="AN110" s="384" t="n"/>
      <c r="AO110" s="384" t="n"/>
      <c r="AP110" s="384" t="n"/>
      <c r="AQ110" s="384" t="n"/>
      <c r="AR110" s="384" t="n"/>
      <c r="AS110" s="384" t="n"/>
    </row>
    <row r="111">
      <c r="A111" s="384" t="n"/>
      <c r="B111" s="384" t="n"/>
      <c r="C111" s="384" t="n"/>
      <c r="D111" s="384" t="n"/>
      <c r="E111" s="384" t="n"/>
      <c r="F111" s="1012" t="inlineStr">
        <is>
          <t>I_ALL</t>
        </is>
      </c>
      <c r="G111" s="1012" t="inlineStr">
        <is>
          <t>I_ALL</t>
        </is>
      </c>
      <c r="H111" s="1012" t="inlineStr">
        <is>
          <t>I_ALL</t>
        </is>
      </c>
      <c r="I111" s="1012" t="inlineStr">
        <is>
          <t>I_ALL</t>
        </is>
      </c>
      <c r="J111" s="1012" t="inlineStr">
        <is>
          <t>I_ALL</t>
        </is>
      </c>
      <c r="K111" s="1012" t="inlineStr">
        <is>
          <t>I_ALL</t>
        </is>
      </c>
      <c r="L111" s="1012" t="inlineStr">
        <is>
          <t>I_ALL</t>
        </is>
      </c>
      <c r="M111" s="1012" t="inlineStr">
        <is>
          <t>I_ALL</t>
        </is>
      </c>
      <c r="N111" s="1012" t="inlineStr">
        <is>
          <t>I_ALL</t>
        </is>
      </c>
      <c r="O111" s="384" t="n"/>
      <c r="P111" s="384" t="n"/>
      <c r="Q111" s="384" t="n"/>
      <c r="R111" s="384" t="n"/>
      <c r="S111" s="384" t="n"/>
      <c r="T111" s="384" t="n"/>
      <c r="U111" s="384" t="n"/>
      <c r="V111" s="384" t="n"/>
      <c r="W111" s="384" t="n"/>
      <c r="X111" s="38" t="n"/>
      <c r="Y111" s="706" t="n"/>
      <c r="Z111" s="384" t="n"/>
      <c r="AA111" s="384" t="n"/>
      <c r="AB111" s="384" t="n"/>
      <c r="AC111" s="384" t="n"/>
      <c r="AD111" s="1237" t="n"/>
      <c r="AE111" s="384" t="n"/>
      <c r="AF111" s="384" t="n"/>
      <c r="AG111" s="384" t="n"/>
      <c r="AH111" s="384" t="n"/>
      <c r="AI111" s="384" t="n"/>
      <c r="AJ111" s="384" t="n"/>
      <c r="AK111" s="1237" t="n"/>
      <c r="AL111" s="384" t="n"/>
      <c r="AM111" s="384" t="n"/>
      <c r="AN111" s="384" t="n"/>
      <c r="AO111" s="384" t="n"/>
      <c r="AP111" s="384" t="n"/>
      <c r="AQ111" s="384" t="n"/>
      <c r="AR111" s="384" t="n"/>
      <c r="AS111" s="384" t="n"/>
    </row>
    <row r="112">
      <c r="A112" s="384" t="n"/>
      <c r="B112" s="384" t="n"/>
      <c r="C112" s="384" t="n"/>
      <c r="D112" s="384" t="n"/>
      <c r="E112" s="384" t="n"/>
      <c r="F112" s="1012">
        <f>$E$11</f>
        <v/>
      </c>
      <c r="G112" s="1012">
        <f>$E$11</f>
        <v/>
      </c>
      <c r="H112" s="1012">
        <f>$E$11</f>
        <v/>
      </c>
      <c r="I112" s="1012">
        <f>$E$11</f>
        <v/>
      </c>
      <c r="J112" s="1012">
        <f>$E$11</f>
        <v/>
      </c>
      <c r="K112" s="1012">
        <f>$E$11</f>
        <v/>
      </c>
      <c r="L112" s="1012">
        <f>$E$11</f>
        <v/>
      </c>
      <c r="M112" s="1012">
        <f>$E$11</f>
        <v/>
      </c>
      <c r="N112" s="1012">
        <f>$E$11</f>
        <v/>
      </c>
      <c r="O112" s="384" t="n"/>
      <c r="P112" s="384" t="n"/>
      <c r="Q112" s="384" t="n"/>
      <c r="R112" s="384" t="n"/>
      <c r="S112" s="384" t="n"/>
      <c r="T112" s="384" t="n"/>
      <c r="U112" s="384" t="n"/>
      <c r="V112" s="384" t="n"/>
      <c r="W112" s="384" t="n"/>
      <c r="X112" s="38" t="n"/>
      <c r="Y112" s="706" t="n"/>
      <c r="Z112" s="384" t="n"/>
      <c r="AA112" s="384" t="n"/>
      <c r="AB112" s="384" t="n"/>
      <c r="AC112" s="384" t="n"/>
      <c r="AD112" s="1237" t="n"/>
      <c r="AE112" s="384" t="n"/>
      <c r="AF112" s="384" t="n"/>
      <c r="AG112" s="384" t="n"/>
      <c r="AH112" s="384" t="n"/>
      <c r="AI112" s="384" t="n"/>
      <c r="AJ112" s="384" t="n"/>
      <c r="AK112" s="1237" t="n"/>
      <c r="AL112" s="384" t="n"/>
      <c r="AM112" s="384" t="n"/>
      <c r="AN112" s="384" t="n"/>
      <c r="AO112" s="384" t="n"/>
      <c r="AP112" s="384" t="n"/>
      <c r="AQ112" s="384" t="n"/>
      <c r="AR112" s="384" t="n"/>
      <c r="AS112" s="384" t="n"/>
    </row>
    <row r="113">
      <c r="A113" s="384" t="n"/>
      <c r="B113" s="384" t="n"/>
      <c r="C113" s="384" t="n"/>
      <c r="D113" s="384" t="n"/>
      <c r="E113" s="384" t="n"/>
      <c r="F113" s="1012" t="inlineStr">
        <is>
          <t>ZP_DUMMY</t>
        </is>
      </c>
      <c r="G113" s="1012" t="inlineStr">
        <is>
          <t>ZP_DUMMY</t>
        </is>
      </c>
      <c r="H113" s="1012" t="inlineStr">
        <is>
          <t>ZP_DUMMY</t>
        </is>
      </c>
      <c r="I113" s="1012" t="inlineStr">
        <is>
          <t>ZP_DUMMY</t>
        </is>
      </c>
      <c r="J113" s="1012" t="inlineStr">
        <is>
          <t>ZP_DUMMY</t>
        </is>
      </c>
      <c r="K113" s="1012" t="inlineStr">
        <is>
          <t>ZP_DUMMY</t>
        </is>
      </c>
      <c r="L113" s="1012" t="inlineStr">
        <is>
          <t>ZP_DUMMY</t>
        </is>
      </c>
      <c r="M113" s="1012" t="inlineStr">
        <is>
          <t>ZP_DUMMY</t>
        </is>
      </c>
      <c r="N113" s="1012" t="inlineStr">
        <is>
          <t>ZP_DUMMY</t>
        </is>
      </c>
      <c r="O113" s="384" t="n"/>
      <c r="P113" s="384" t="n"/>
      <c r="Q113" s="384" t="n"/>
      <c r="R113" s="384" t="n"/>
      <c r="S113" s="384" t="n"/>
      <c r="T113" s="384" t="n"/>
      <c r="U113" s="384" t="n"/>
      <c r="V113" s="384" t="n"/>
      <c r="W113" s="384" t="n"/>
      <c r="X113" s="38" t="n"/>
      <c r="Y113" s="706" t="n"/>
      <c r="Z113" s="384" t="n"/>
      <c r="AA113" s="384" t="n"/>
      <c r="AB113" s="384" t="n"/>
      <c r="AC113" s="384" t="n"/>
      <c r="AD113" s="1237" t="n"/>
      <c r="AE113" s="384" t="n"/>
      <c r="AF113" s="384" t="n"/>
      <c r="AG113" s="384" t="n"/>
      <c r="AH113" s="384" t="n"/>
      <c r="AI113" s="384" t="n"/>
      <c r="AJ113" s="384" t="n"/>
      <c r="AK113" s="1237" t="n"/>
      <c r="AL113" s="384" t="n"/>
      <c r="AM113" s="384" t="n"/>
      <c r="AN113" s="384" t="n"/>
      <c r="AO113" s="384" t="n"/>
      <c r="AP113" s="384" t="n"/>
      <c r="AQ113" s="384" t="n"/>
      <c r="AR113" s="384" t="n"/>
      <c r="AS113" s="384" t="n"/>
    </row>
    <row r="114">
      <c r="A114" s="384" t="n"/>
      <c r="B114" s="384" t="n"/>
      <c r="C114" s="384" t="n"/>
      <c r="D114" s="384" t="n"/>
      <c r="E114" s="384" t="n"/>
      <c r="F114" s="1012" t="inlineStr">
        <is>
          <t>ZI_DUMMY</t>
        </is>
      </c>
      <c r="G114" s="1012" t="inlineStr">
        <is>
          <t>ZI_DUMMY</t>
        </is>
      </c>
      <c r="H114" s="1012" t="inlineStr">
        <is>
          <t>ZI_DUMMY</t>
        </is>
      </c>
      <c r="I114" s="1012" t="inlineStr">
        <is>
          <t>ZI_DUMMY</t>
        </is>
      </c>
      <c r="J114" s="1012" t="inlineStr">
        <is>
          <t>ZI_DUMMY</t>
        </is>
      </c>
      <c r="K114" s="1012" t="inlineStr">
        <is>
          <t>ZI_DUMMY</t>
        </is>
      </c>
      <c r="L114" s="1012" t="inlineStr">
        <is>
          <t>ZI_DUMMY</t>
        </is>
      </c>
      <c r="M114" s="1012" t="inlineStr">
        <is>
          <t>ZI_DUMMY</t>
        </is>
      </c>
      <c r="N114" s="1012" t="inlineStr">
        <is>
          <t>ZI_DUMMY</t>
        </is>
      </c>
      <c r="O114" s="384" t="n"/>
      <c r="P114" s="384" t="n"/>
      <c r="Q114" s="384" t="n"/>
      <c r="R114" s="384" t="n"/>
      <c r="S114" s="384" t="n"/>
      <c r="T114" s="384" t="n"/>
      <c r="U114" s="384" t="n"/>
      <c r="V114" s="384" t="n"/>
      <c r="W114" s="384" t="n"/>
      <c r="X114" s="38" t="n"/>
      <c r="Y114" s="706" t="n"/>
      <c r="Z114" s="384" t="n"/>
      <c r="AA114" s="384" t="n"/>
      <c r="AB114" s="384" t="n"/>
      <c r="AC114" s="384" t="n"/>
      <c r="AD114" s="1237" t="n"/>
      <c r="AE114" s="384" t="n"/>
      <c r="AF114" s="384" t="n"/>
      <c r="AG114" s="384" t="n"/>
      <c r="AH114" s="384" t="n"/>
      <c r="AI114" s="384" t="n"/>
      <c r="AJ114" s="384" t="n"/>
      <c r="AK114" s="1237" t="n"/>
      <c r="AL114" s="384" t="n"/>
      <c r="AM114" s="384" t="n"/>
      <c r="AN114" s="384" t="n"/>
      <c r="AO114" s="384" t="n"/>
      <c r="AP114" s="384" t="n"/>
      <c r="AQ114" s="384" t="n"/>
      <c r="AR114" s="384" t="n"/>
      <c r="AS114" s="384" t="n"/>
    </row>
    <row r="115">
      <c r="A115" s="384" t="n"/>
      <c r="B115" s="384" t="n"/>
      <c r="C115" s="384" t="n"/>
      <c r="D115" s="384" t="n"/>
      <c r="E115" s="384" t="n"/>
      <c r="F115" s="1012" t="inlineStr">
        <is>
          <t>ZM_DUMMY</t>
        </is>
      </c>
      <c r="G115" s="1012" t="inlineStr">
        <is>
          <t>ZM_DUMMY</t>
        </is>
      </c>
      <c r="H115" s="1012" t="inlineStr">
        <is>
          <t>ZM_DUMMY</t>
        </is>
      </c>
      <c r="I115" s="1012" t="inlineStr">
        <is>
          <t>ZM_DUMMY</t>
        </is>
      </c>
      <c r="J115" s="1012" t="inlineStr">
        <is>
          <t>ZM_DUMMY</t>
        </is>
      </c>
      <c r="K115" s="1012" t="inlineStr">
        <is>
          <t>ZM_DUMMY</t>
        </is>
      </c>
      <c r="L115" s="1012" t="inlineStr">
        <is>
          <t>ZM_DUMMY</t>
        </is>
      </c>
      <c r="M115" s="1012" t="inlineStr">
        <is>
          <t>ZM_DUMMY</t>
        </is>
      </c>
      <c r="N115" s="1012" t="inlineStr">
        <is>
          <t>ZM_DUMMY</t>
        </is>
      </c>
      <c r="O115" s="384" t="n"/>
      <c r="P115" s="384" t="n"/>
      <c r="Q115" s="384" t="n"/>
      <c r="R115" s="384" t="n"/>
      <c r="S115" s="384" t="n"/>
      <c r="T115" s="384" t="n"/>
      <c r="U115" s="384" t="n"/>
      <c r="V115" s="384" t="n"/>
      <c r="W115" s="384" t="n"/>
      <c r="X115" s="38" t="n"/>
      <c r="Y115" s="706" t="n"/>
      <c r="Z115" s="384" t="n"/>
      <c r="AA115" s="384" t="n"/>
      <c r="AB115" s="384" t="n"/>
      <c r="AC115" s="384" t="n"/>
      <c r="AD115" s="1237" t="n"/>
      <c r="AE115" s="384" t="n"/>
      <c r="AF115" s="384" t="n"/>
      <c r="AG115" s="384" t="n"/>
      <c r="AH115" s="384" t="n"/>
      <c r="AI115" s="384" t="n"/>
      <c r="AJ115" s="384" t="n"/>
      <c r="AK115" s="1237" t="n"/>
      <c r="AL115" s="384" t="n"/>
      <c r="AM115" s="384" t="n"/>
      <c r="AN115" s="384" t="n"/>
      <c r="AO115" s="384" t="n"/>
      <c r="AP115" s="384" t="n"/>
      <c r="AQ115" s="384" t="n"/>
      <c r="AR115" s="384" t="n"/>
      <c r="AS115" s="384" t="n"/>
    </row>
    <row r="116">
      <c r="A116" s="384" t="n"/>
      <c r="B116" s="384" t="n"/>
      <c r="C116" s="384" t="n"/>
      <c r="D116" s="384" t="n"/>
      <c r="E116" s="384" t="n"/>
      <c r="F116" s="390" t="inlineStr">
        <is>
          <t>A00307</t>
        </is>
      </c>
      <c r="G116" s="390" t="inlineStr">
        <is>
          <t>A00307</t>
        </is>
      </c>
      <c r="H116" s="390" t="inlineStr">
        <is>
          <t>A00307</t>
        </is>
      </c>
      <c r="I116" s="390" t="inlineStr">
        <is>
          <t>A00307</t>
        </is>
      </c>
      <c r="J116" s="390" t="inlineStr">
        <is>
          <t>A00307</t>
        </is>
      </c>
      <c r="K116" s="390" t="inlineStr">
        <is>
          <t>A00307</t>
        </is>
      </c>
      <c r="L116" s="390" t="inlineStr">
        <is>
          <t>A00307</t>
        </is>
      </c>
      <c r="M116" s="390" t="inlineStr">
        <is>
          <t>A00307</t>
        </is>
      </c>
      <c r="N116" s="390" t="inlineStr">
        <is>
          <t>A00307</t>
        </is>
      </c>
      <c r="O116" s="384" t="n"/>
      <c r="P116" s="384" t="n"/>
      <c r="Q116" s="384" t="n"/>
      <c r="R116" s="384" t="n"/>
      <c r="S116" s="32" t="n"/>
      <c r="T116" s="384" t="n"/>
      <c r="U116" s="384" t="n"/>
      <c r="V116" s="384" t="n"/>
      <c r="W116" s="384" t="n"/>
      <c r="X116" s="38" t="n"/>
      <c r="Y116" s="706" t="n"/>
      <c r="Z116" s="384" t="n"/>
      <c r="AA116" s="384" t="n"/>
      <c r="AB116" s="384" t="n"/>
      <c r="AC116" s="384" t="n"/>
      <c r="AD116" s="1237" t="n"/>
      <c r="AE116" s="384" t="n"/>
      <c r="AF116" s="384" t="n"/>
      <c r="AG116" s="384" t="n"/>
      <c r="AH116" s="384" t="n"/>
      <c r="AI116" s="384" t="n"/>
      <c r="AJ116" s="384" t="n"/>
      <c r="AK116" s="1237" t="n"/>
      <c r="AL116" s="384" t="n"/>
      <c r="AM116" s="384" t="n"/>
      <c r="AN116" s="384" t="n"/>
      <c r="AO116" s="384" t="n"/>
      <c r="AP116" s="384" t="n"/>
      <c r="AQ116" s="384" t="n"/>
      <c r="AR116" s="384" t="n"/>
      <c r="AS116" s="384" t="n"/>
    </row>
    <row r="117">
      <c r="A117" s="384" t="n"/>
      <c r="B117" s="384" t="n"/>
      <c r="C117" s="384" t="n"/>
      <c r="D117" s="384" t="n"/>
      <c r="E117" s="384" t="n"/>
      <c r="F117" s="1217">
        <f>IF(_epmOfflineCondition_,121665029.53,EPMRetrieveData(,,F104,F105,F106,F107,F108,F109,F110,F111,F112,F113,F114,F115,F116))</f>
        <v/>
      </c>
      <c r="G117" s="1217">
        <f>IF(_epmOfflineCondition_,143342074.28,EPMRetrieveData(,,G104,G105,G106,G107,G108,G109,G110,G111,G112,G113,G114,G115,G116))</f>
        <v/>
      </c>
      <c r="H117" s="1217">
        <f>IF(_epmOfflineCondition_,90772655.64,EPMRetrieveData(,,H104,H105,H106,H107,H108,H109,H110,H111,H112,H113,H114,H115,H116))</f>
        <v/>
      </c>
      <c r="I117" s="1217" t="n"/>
      <c r="J117" s="1217">
        <f>IF(_epmOfflineCondition_,90772655.64,EPMRetrieveData(,,J104,J105,J106,J107,J108,J109,J110,J111,J112,J113,J114,J115,J116))</f>
        <v/>
      </c>
      <c r="K117" s="1217">
        <f>IF(_epmOfflineCondition_,-3394568.11,EPMRetrieveData(,,K104,K105,K106,K107,K108,K109,K110,K111,K112,K113,K114,K115,K116))</f>
        <v/>
      </c>
      <c r="L117" s="1217" t="n"/>
      <c r="M117" s="1217" t="n"/>
      <c r="N117" s="1217">
        <f>IF(_epmOfflineCondition_,71985112.69,EPMRetrieveData(,,N104,N105,N106,N107,N108,N109,N110,N111,N112,N113,N114,N115,N116))</f>
        <v/>
      </c>
      <c r="O117" s="384" t="n"/>
      <c r="P117" s="384" t="n"/>
      <c r="Q117" s="384" t="n"/>
      <c r="R117" s="384" t="n"/>
      <c r="S117" s="32" t="n"/>
      <c r="T117" s="384" t="n"/>
      <c r="U117" s="384" t="n"/>
      <c r="V117" s="384" t="n"/>
      <c r="W117" s="384" t="n"/>
      <c r="X117" s="38" t="n"/>
      <c r="Y117" s="706" t="n"/>
      <c r="Z117" s="384" t="n"/>
      <c r="AA117" s="384" t="n"/>
      <c r="AB117" s="384" t="n"/>
      <c r="AC117" s="384" t="n"/>
      <c r="AD117" s="1237" t="n"/>
      <c r="AE117" s="384" t="n"/>
      <c r="AF117" s="384" t="n"/>
      <c r="AG117" s="384" t="n"/>
      <c r="AH117" s="384" t="n"/>
      <c r="AI117" s="384" t="n"/>
      <c r="AJ117" s="384" t="n"/>
      <c r="AK117" s="1237" t="n"/>
      <c r="AL117" s="384" t="n"/>
      <c r="AM117" s="384" t="n"/>
      <c r="AN117" s="384" t="n"/>
      <c r="AO117" s="384" t="n"/>
      <c r="AP117" s="384" t="n"/>
      <c r="AQ117" s="384" t="n"/>
      <c r="AR117" s="384" t="n"/>
      <c r="AS117" s="384" t="n"/>
    </row>
  </sheetData>
  <sheetProtection selectLockedCells="0" selectUnlockedCells="0" algorithmName="SHA-512" sheet="1" objects="0" insertRows="1" insertHyperlinks="1" autoFilter="1" scenarios="1" formatColumns="1" deleteColumns="1" insertColumns="1" pivotTables="1" deleteRows="1" formatCells="1" saltValue="kJVaPi5hZY083ES4s9ZoVg==" formatRows="1" sort="1" spinCount="100000" hashValue="c9vmGsOOuT5JfAUXuR/cdec6u2lEdnGwg7UkgEQtrVdipoXgWy97enUABUQSfczH8FGCIBAs/n941CeoRKgT6w=="/>
  <mergeCells count="11">
    <mergeCell ref="H2:J2"/>
    <mergeCell ref="D16:E16"/>
    <mergeCell ref="Z38:AA38"/>
    <mergeCell ref="AB38:AD38"/>
    <mergeCell ref="AE38:AG38"/>
    <mergeCell ref="AH38:AJ38"/>
    <mergeCell ref="AK38:AM38"/>
    <mergeCell ref="AN38:AP38"/>
    <mergeCell ref="AQ38:AS38"/>
    <mergeCell ref="X38:X39"/>
    <mergeCell ref="Y38:Y39"/>
  </mergeCells>
  <dataValidations count="1">
    <dataValidation sqref="Z37" showErrorMessage="1" showInputMessage="1" allowBlank="1" type="list">
      <formula1>"LC,CNY"</formula1>
    </dataValidation>
  </dataValidations>
  <pageMargins left="0.7086614173228351" right="0.7086614173228351" top="0.748031496062992" bottom="0.748031496062992" header="0.31496062992126" footer="0.31496062992126"/>
  <pageSetup orientation="landscape" paperSize="9" scale="50"/>
  <drawing xmlns:r="http://schemas.openxmlformats.org/officeDocument/2006/relationships" r:id="rId1"/>
</worksheet>
</file>

<file path=xl/worksheets/sheet10.xml><?xml version="1.0" encoding="utf-8"?>
<worksheet xmlns="http://schemas.openxmlformats.org/spreadsheetml/2006/main">
  <sheetPr codeName="Sheet30">
    <outlinePr summaryBelow="1" summaryRight="1"/>
    <pageSetUpPr/>
  </sheetPr>
  <dimension ref="A1:AY187"/>
  <sheetViews>
    <sheetView topLeftCell="X35" zoomScale="80" zoomScaleNormal="80" workbookViewId="0">
      <selection activeCell="AC54" sqref="AC54"/>
    </sheetView>
  </sheetViews>
  <sheetFormatPr baseColWidth="8" defaultColWidth="8.625" defaultRowHeight="16.8"/>
  <cols>
    <col hidden="1" width="8.375" customWidth="1" style="1181" min="1" max="1"/>
    <col hidden="1" width="27.625" customWidth="1" style="1181" min="2" max="2"/>
    <col hidden="1" width="12.75" customWidth="1" style="1181" min="3" max="3"/>
    <col hidden="1" width="18.75" customWidth="1" style="1181" min="4" max="4"/>
    <col hidden="1" width="18" customWidth="1" style="1181" min="5" max="5"/>
    <col hidden="1" width="17.75" customWidth="1" style="1181" min="6" max="6"/>
    <col hidden="1" width="8.25" customWidth="1" style="1181" min="7" max="7"/>
    <col hidden="1" width="8.75" customWidth="1" style="1181" min="8" max="8"/>
    <col hidden="1" width="7.75" customWidth="1" style="1181" min="9" max="9"/>
    <col hidden="1" width="1.125" customWidth="1" style="1181" min="10" max="10"/>
    <col hidden="1" width="7.75" customWidth="1" style="1181" min="11" max="17"/>
    <col hidden="1" width="9.375" customWidth="1" style="1181" min="18" max="18"/>
    <col hidden="1" width="35.75" customWidth="1" style="32" min="19" max="19"/>
    <col hidden="1" width="2.375" customWidth="1" style="1181" min="20" max="20"/>
    <col hidden="1" width="9.75" customWidth="1" style="1181" min="21" max="22"/>
    <col hidden="1" width="1.375" customWidth="1" style="1181" min="23" max="23"/>
    <col width="51.75" customWidth="1" style="38" min="24" max="24"/>
    <col width="6.625" customWidth="1" style="1181" min="25" max="25"/>
    <col width="21.625" customWidth="1" style="1181" min="26" max="28"/>
    <col width="83.75" customWidth="1" style="1181" min="29" max="29"/>
    <col hidden="1" width="18.375" customWidth="1" style="1181" min="30" max="30"/>
    <col hidden="1" width="13" customWidth="1" style="1181" min="31" max="32"/>
    <col hidden="1" outlineLevel="1" width="12.75" customWidth="1" style="1181" min="33" max="33"/>
    <col hidden="1" outlineLevel="1" width="12.375" customWidth="1" style="1181" min="34" max="34"/>
    <col hidden="1" outlineLevel="1" width="28.375" customWidth="1" style="1181" min="35" max="35"/>
    <col hidden="1" outlineLevel="1" width="20.25" customWidth="1" style="1181" min="36" max="36"/>
    <col hidden="1" outlineLevel="1" width="25" customWidth="1" style="1181" min="37" max="37"/>
    <col hidden="1" outlineLevel="1" width="20.75" customWidth="1" style="1181" min="38" max="38"/>
    <col hidden="1" outlineLevel="1" width="4.75" customWidth="1" style="1181" min="39" max="42"/>
    <col hidden="1" outlineLevel="1" width="16.75" customWidth="1" style="1181" min="43" max="43"/>
    <col hidden="1" outlineLevel="1" width="20.75" customWidth="1" style="1181" min="44" max="44"/>
    <col hidden="1" outlineLevel="1" width="19.25" customWidth="1" style="1181" min="45" max="45"/>
    <col hidden="1" outlineLevel="1" width="28" customWidth="1" style="1181" min="46" max="47"/>
    <col hidden="1" outlineLevel="1" width="26.625" customWidth="1" style="1181" min="48" max="48"/>
    <col hidden="1" outlineLevel="1" width="20.125" customWidth="1" style="1181" min="49" max="49"/>
    <col hidden="1" outlineLevel="1" width="8.625" customWidth="1" style="1181" min="50" max="50"/>
    <col hidden="1" collapsed="1" width="8.625" customWidth="1" style="1181" min="51" max="51"/>
    <col width="8.625" customWidth="1" style="1181" min="52" max="62"/>
  </cols>
  <sheetData>
    <row r="1" hidden="1" customFormat="1" s="13">
      <c r="A1" s="172" t="inlineStr">
        <is>
          <t>维度清单</t>
        </is>
      </c>
      <c r="B1" s="462" t="n"/>
      <c r="C1" s="173" t="n"/>
      <c r="D1" s="173" t="n"/>
      <c r="E1" s="716" t="n"/>
      <c r="F1" s="13" t="n"/>
      <c r="G1" s="13" t="n"/>
      <c r="H1" s="13" t="n"/>
      <c r="I1" s="13" t="n"/>
      <c r="J1" s="13" t="n"/>
      <c r="K1" s="13" t="n"/>
      <c r="L1" s="13" t="n"/>
      <c r="M1" s="13" t="n"/>
      <c r="N1" s="13" t="n"/>
      <c r="O1" s="13" t="n"/>
      <c r="P1" s="13" t="n"/>
      <c r="Q1" s="13" t="n"/>
      <c r="R1" s="13" t="n"/>
      <c r="S1" s="1103" t="n"/>
      <c r="T1" s="13" t="n"/>
      <c r="U1" s="13" t="n"/>
      <c r="V1" s="13" t="n"/>
      <c r="W1" s="13" t="n"/>
      <c r="X1" s="171" t="n"/>
      <c r="Y1" s="13" t="n"/>
      <c r="Z1" s="13" t="n"/>
      <c r="AA1" s="13" t="n"/>
      <c r="AB1" s="13" t="n"/>
      <c r="AC1" s="13" t="n"/>
      <c r="AD1" s="13" t="n"/>
      <c r="AE1" s="13" t="n"/>
      <c r="AF1" s="13" t="n"/>
      <c r="AG1" s="13" t="n"/>
      <c r="AH1" s="13" t="n"/>
      <c r="AI1" s="13" t="n"/>
      <c r="AJ1" s="13" t="n"/>
      <c r="AK1" s="13" t="n"/>
      <c r="AL1" s="13" t="n"/>
      <c r="AM1" s="13" t="n"/>
      <c r="AN1" s="13" t="n"/>
      <c r="AO1" s="13" t="n"/>
      <c r="AP1" s="13" t="n"/>
      <c r="AQ1" s="13" t="n"/>
      <c r="AR1" s="13" t="n"/>
      <c r="AS1" s="13" t="n"/>
      <c r="AT1" s="13" t="n"/>
      <c r="AU1" s="13" t="n"/>
      <c r="AV1" s="13" t="n"/>
      <c r="AW1" s="13" t="n"/>
      <c r="AX1" s="13" t="n"/>
      <c r="AY1" s="13" t="n"/>
    </row>
    <row r="2" hidden="1" customFormat="1" s="13">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103" t="n"/>
      <c r="T2" s="13" t="n"/>
      <c r="U2" s="13" t="n"/>
      <c r="V2" s="13" t="n"/>
      <c r="W2" s="13" t="n"/>
      <c r="X2" s="171" t="n"/>
      <c r="Y2" s="13" t="n"/>
      <c r="Z2" s="13" t="n"/>
      <c r="AA2" s="13" t="n"/>
      <c r="AB2" s="13" t="n"/>
      <c r="AC2" s="13" t="n"/>
      <c r="AD2" s="13" t="n"/>
      <c r="AE2" s="13" t="n"/>
      <c r="AF2" s="13" t="n"/>
      <c r="AG2" s="13" t="n"/>
      <c r="AH2" s="13" t="n"/>
      <c r="AI2" s="13" t="n"/>
      <c r="AJ2" s="13" t="n"/>
      <c r="AK2" s="13" t="n"/>
      <c r="AL2" s="13" t="n"/>
      <c r="AM2" s="13" t="n"/>
      <c r="AN2" s="13" t="n"/>
      <c r="AO2" s="13" t="n"/>
      <c r="AP2" s="13" t="n"/>
      <c r="AQ2" s="13" t="n"/>
      <c r="AR2" s="13" t="n"/>
      <c r="AS2" s="13" t="n"/>
      <c r="AT2" s="13" t="n"/>
      <c r="AU2" s="13" t="n"/>
      <c r="AV2" s="13" t="n"/>
      <c r="AW2" s="13" t="n"/>
      <c r="AX2" s="13" t="n"/>
      <c r="AY2" s="13" t="n"/>
    </row>
    <row r="3" hidden="1" customFormat="1" s="13">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103" t="n"/>
      <c r="T3" s="13" t="n"/>
      <c r="U3" s="13" t="n"/>
      <c r="V3" s="13" t="n"/>
      <c r="W3" s="13" t="n"/>
      <c r="X3" s="171" t="n"/>
      <c r="Y3" s="13" t="n"/>
      <c r="Z3" s="13" t="n"/>
      <c r="AA3" s="13" t="n"/>
      <c r="AB3" s="13" t="n"/>
      <c r="AC3" s="13" t="n"/>
      <c r="AD3" s="13" t="n"/>
      <c r="AE3" s="13" t="n"/>
      <c r="AF3" s="13" t="n"/>
      <c r="AG3" s="13" t="n"/>
      <c r="AH3" s="13" t="n"/>
      <c r="AI3" s="13" t="n"/>
      <c r="AJ3" s="13" t="n"/>
      <c r="AK3" s="13" t="n"/>
      <c r="AL3" s="13" t="n"/>
      <c r="AM3" s="13" t="n"/>
      <c r="AN3" s="13" t="n"/>
      <c r="AO3" s="13" t="n"/>
      <c r="AP3" s="13" t="n"/>
      <c r="AQ3" s="13" t="n"/>
      <c r="AR3" s="13" t="n"/>
      <c r="AS3" s="13" t="n"/>
      <c r="AT3" s="13" t="n"/>
      <c r="AU3" s="13" t="n"/>
      <c r="AV3" s="13" t="n"/>
      <c r="AW3" s="13" t="n"/>
      <c r="AX3" s="13" t="n"/>
      <c r="AY3" s="13" t="n"/>
    </row>
    <row r="4" hidden="1" customFormat="1" s="13">
      <c r="A4" s="175" t="inlineStr">
        <is>
          <t>C</t>
        </is>
      </c>
      <c r="B4" s="176">
        <f>IF(_epmOfflineCondition_,"C_CATEGORY",EPMDimensionType(,A4))</f>
        <v/>
      </c>
      <c r="C4" s="176">
        <f>IF(_epmOfflineCondition_,"C1001",IF(B4="","",EPMContextMember(,B4)))</f>
        <v/>
      </c>
      <c r="D4" s="176">
        <f>IF(_epmOfflineCondition_,"实际数/决算数",EPMMemberDesc(C4))</f>
        <v/>
      </c>
      <c r="E4" s="176" t="n"/>
      <c r="F4" s="13" t="n"/>
      <c r="G4" s="13" t="n"/>
      <c r="H4" s="184" t="inlineStr">
        <is>
          <t>预算年</t>
        </is>
      </c>
      <c r="I4" s="184">
        <f>"V_"&amp;$I$3</f>
        <v/>
      </c>
      <c r="J4" s="184">
        <f>$I$3&amp;".TOTAL"</f>
        <v/>
      </c>
      <c r="K4" s="13" t="n"/>
      <c r="L4" s="13" t="n"/>
      <c r="M4" s="13" t="n"/>
      <c r="N4" s="13" t="n"/>
      <c r="O4" s="13" t="n"/>
      <c r="P4" s="13" t="n"/>
      <c r="Q4" s="13" t="n"/>
      <c r="R4" s="13" t="n"/>
      <c r="S4" s="1103" t="n"/>
      <c r="T4" s="13" t="n"/>
      <c r="U4" s="13" t="n"/>
      <c r="V4" s="13" t="n"/>
      <c r="W4" s="13" t="n"/>
      <c r="X4" s="171" t="n"/>
      <c r="Y4" s="13" t="n"/>
      <c r="Z4" s="13" t="n"/>
      <c r="AA4" s="13" t="n"/>
      <c r="AB4" s="13" t="n"/>
      <c r="AC4" s="13" t="n"/>
      <c r="AD4" s="13" t="n"/>
      <c r="AE4" s="13" t="n"/>
      <c r="AF4" s="13" t="n"/>
      <c r="AG4" s="13" t="n"/>
      <c r="AH4" s="13" t="n"/>
      <c r="AI4" s="13" t="n"/>
      <c r="AJ4" s="13" t="n"/>
      <c r="AK4" s="13" t="n"/>
      <c r="AL4" s="13" t="n"/>
      <c r="AM4" s="13" t="n"/>
      <c r="AN4" s="13" t="n"/>
      <c r="AO4" s="13" t="n"/>
      <c r="AP4" s="13" t="n"/>
      <c r="AQ4" s="13" t="n"/>
      <c r="AR4" s="13" t="n"/>
      <c r="AS4" s="13" t="n"/>
      <c r="AT4" s="13" t="n"/>
      <c r="AU4" s="13" t="n"/>
      <c r="AV4" s="13" t="n"/>
      <c r="AW4" s="13" t="n"/>
      <c r="AX4" s="13" t="n"/>
      <c r="AY4" s="13" t="n"/>
    </row>
    <row r="5" hidden="1" customFormat="1" s="13">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13" t="n"/>
      <c r="V5" s="13" t="n"/>
      <c r="W5" s="13" t="n"/>
      <c r="X5" s="171" t="n"/>
      <c r="Y5" s="13" t="n"/>
      <c r="Z5" s="13" t="n"/>
      <c r="AA5" s="13" t="n"/>
      <c r="AB5" s="13" t="n"/>
      <c r="AC5" s="13" t="n"/>
      <c r="AD5" s="13" t="n"/>
      <c r="AE5" s="13" t="n"/>
      <c r="AF5" s="13" t="n"/>
      <c r="AG5" s="13" t="n"/>
      <c r="AH5" s="13" t="n"/>
      <c r="AI5" s="13" t="n"/>
      <c r="AJ5" s="13" t="n"/>
      <c r="AK5" s="13" t="n"/>
      <c r="AL5" s="13" t="n"/>
      <c r="AM5" s="13" t="n"/>
      <c r="AN5" s="13" t="n"/>
      <c r="AO5" s="13" t="n"/>
      <c r="AP5" s="13" t="n"/>
      <c r="AQ5" s="13" t="n"/>
      <c r="AR5" s="13" t="n"/>
      <c r="AS5" s="13" t="n"/>
      <c r="AT5" s="13" t="n"/>
      <c r="AU5" s="13" t="n"/>
      <c r="AV5" s="13" t="n"/>
      <c r="AW5" s="13" t="n"/>
      <c r="AX5" s="13" t="n"/>
      <c r="AY5" s="13" t="n"/>
    </row>
    <row r="6" hidden="1" customFormat="1" s="13">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103" t="n"/>
      <c r="T6" s="13" t="n"/>
      <c r="U6" s="13" t="n"/>
      <c r="V6" s="13" t="n"/>
      <c r="W6" s="13" t="n"/>
      <c r="X6" s="171" t="n"/>
      <c r="Y6" s="13" t="n"/>
      <c r="Z6" s="13" t="n"/>
      <c r="AA6" s="13" t="n"/>
      <c r="AB6" s="13" t="n"/>
      <c r="AC6" s="13" t="n"/>
      <c r="AD6" s="13" t="n"/>
      <c r="AE6" s="13" t="n"/>
      <c r="AF6" s="13" t="n"/>
      <c r="AG6" s="13" t="n"/>
      <c r="AH6" s="13" t="n"/>
      <c r="AI6" s="13" t="n"/>
      <c r="AJ6" s="13" t="n"/>
      <c r="AK6" s="13" t="n"/>
      <c r="AL6" s="13" t="n"/>
      <c r="AM6" s="13" t="n"/>
      <c r="AN6" s="13" t="n"/>
      <c r="AO6" s="13" t="n"/>
      <c r="AP6" s="13" t="n"/>
      <c r="AQ6" s="13" t="n"/>
      <c r="AR6" s="13" t="n"/>
      <c r="AS6" s="13" t="n"/>
      <c r="AT6" s="13" t="n"/>
      <c r="AU6" s="13" t="n"/>
      <c r="AV6" s="13" t="n"/>
      <c r="AW6" s="13" t="n"/>
      <c r="AX6" s="13" t="n"/>
      <c r="AY6" s="13" t="n"/>
    </row>
    <row r="7" hidden="1" customFormat="1" s="13">
      <c r="A7" s="175" t="inlineStr">
        <is>
          <t>R</t>
        </is>
      </c>
      <c r="B7" s="176">
        <f>IF(_epmOfflineCondition_,"C_RPTCURRENCY",EPMDimensionType(,A7))</f>
        <v/>
      </c>
      <c r="C7" s="176">
        <f>IF(_epmOfflineCondition_,"LC",IF(B7="","",EPMContextMember(,B7)))</f>
        <v/>
      </c>
      <c r="D7" s="176">
        <f>IF(_epmOfflineCondition_,"本位币",EPMMemberDesc(C7))</f>
        <v/>
      </c>
      <c r="E7" s="176" t="n"/>
      <c r="F7" s="13" t="n"/>
      <c r="G7" s="13" t="n"/>
      <c r="H7" s="13" t="n"/>
      <c r="I7" s="13" t="n"/>
      <c r="J7" s="13" t="n"/>
      <c r="K7" s="13" t="n"/>
      <c r="L7" s="13" t="n"/>
      <c r="M7" s="13" t="n"/>
      <c r="N7" s="13" t="n"/>
      <c r="O7" s="13" t="n"/>
      <c r="P7" s="13" t="n"/>
      <c r="Q7" s="13" t="n"/>
      <c r="R7" s="13" t="n"/>
      <c r="S7" s="1103" t="n"/>
      <c r="T7" s="13" t="n"/>
      <c r="U7" s="13" t="n"/>
      <c r="V7" s="13" t="n"/>
      <c r="W7" s="13" t="n"/>
      <c r="X7" s="171" t="n"/>
      <c r="Y7" s="13" t="n"/>
      <c r="Z7" s="13" t="n"/>
      <c r="AA7" s="13" t="n"/>
      <c r="AB7" s="13" t="n"/>
      <c r="AC7" s="13" t="n"/>
      <c r="AD7" s="13" t="n"/>
      <c r="AE7" s="13" t="n"/>
      <c r="AF7" s="13" t="n"/>
      <c r="AG7" s="13" t="n"/>
      <c r="AH7" s="13" t="n"/>
      <c r="AI7" s="13" t="n"/>
      <c r="AJ7" s="13" t="n"/>
      <c r="AK7" s="13" t="n"/>
      <c r="AL7" s="13" t="n"/>
      <c r="AM7" s="13" t="n"/>
      <c r="AN7" s="13" t="n"/>
      <c r="AO7" s="13" t="n"/>
      <c r="AP7" s="13" t="n"/>
      <c r="AQ7" s="13" t="n"/>
      <c r="AR7" s="13" t="n"/>
      <c r="AS7" s="13" t="n"/>
      <c r="AT7" s="13" t="n"/>
      <c r="AU7" s="13" t="n"/>
      <c r="AV7" s="13" t="n"/>
      <c r="AW7" s="13" t="n"/>
      <c r="AX7" s="13" t="n"/>
      <c r="AY7" s="13" t="n"/>
    </row>
    <row r="8" hidden="1" customFormat="1" s="13">
      <c r="A8" s="175" t="inlineStr">
        <is>
          <t>D</t>
        </is>
      </c>
      <c r="B8" s="176">
        <f>IF(_epmOfflineCondition_,"C_AUDITTRAIL",EPMDimensionType(,A8))</f>
        <v/>
      </c>
      <c r="C8" s="176">
        <f>IF(_epmOfflineCondition_,"DTOTAL",IF(B8="","",EPMContextMember(,B8)))</f>
        <v/>
      </c>
      <c r="D8" s="176">
        <f>IF(_epmOfflineCondition_,"全部审计线索",EPMMemberDesc(C8))</f>
        <v/>
      </c>
      <c r="E8" s="176" t="n"/>
      <c r="F8" s="13" t="n"/>
      <c r="G8" s="13" t="n"/>
      <c r="H8" s="184" t="inlineStr">
        <is>
          <t>本月</t>
        </is>
      </c>
      <c r="I8" s="184">
        <f>IF(_epmOfflineCondition_,"03",RIGHT("0"&amp;EPMMemberProperty(,EPMContextMember(,"C_TIME"),"MONTHNUM"),2))</f>
        <v/>
      </c>
      <c r="J8" s="13" t="n"/>
      <c r="K8" s="13" t="n"/>
      <c r="L8" s="13" t="n"/>
      <c r="M8" s="13" t="n"/>
      <c r="N8" s="13" t="n"/>
      <c r="O8" s="13" t="n"/>
      <c r="P8" s="13" t="n"/>
      <c r="Q8" s="13" t="n"/>
      <c r="R8" s="13" t="n"/>
      <c r="S8" s="1103" t="n"/>
      <c r="T8" s="13" t="n"/>
      <c r="U8" s="13" t="n"/>
      <c r="V8" s="13" t="n"/>
      <c r="W8" s="13" t="n"/>
      <c r="X8" s="171" t="n"/>
      <c r="Y8" s="13" t="n"/>
      <c r="Z8" s="13" t="n"/>
      <c r="AA8" s="13" t="n"/>
      <c r="AB8" s="13" t="n"/>
      <c r="AC8" s="13" t="n"/>
      <c r="AD8" s="13" t="n"/>
      <c r="AE8" s="13" t="n"/>
      <c r="AF8" s="13" t="n"/>
      <c r="AG8" s="13" t="n"/>
      <c r="AH8" s="13" t="n"/>
      <c r="AI8" s="13" t="n"/>
      <c r="AJ8" s="13" t="n"/>
      <c r="AK8" s="13" t="n"/>
      <c r="AL8" s="13" t="n"/>
      <c r="AM8" s="13" t="n"/>
      <c r="AN8" s="13" t="n"/>
      <c r="AO8" s="13" t="n"/>
      <c r="AP8" s="13" t="n"/>
      <c r="AQ8" s="13" t="n"/>
      <c r="AR8" s="13" t="n"/>
      <c r="AS8" s="13" t="n"/>
      <c r="AT8" s="13" t="n"/>
      <c r="AU8" s="13" t="n"/>
      <c r="AV8" s="13" t="n"/>
      <c r="AW8" s="13" t="n"/>
      <c r="AX8" s="13" t="n"/>
      <c r="AY8" s="13" t="n"/>
    </row>
    <row r="9" hidden="1" customFormat="1" s="13">
      <c r="A9" s="175" t="inlineStr">
        <is>
          <t>S</t>
        </is>
      </c>
      <c r="B9" s="176">
        <f>IF(_epmOfflineCondition_,"C_FLOW",EPMDimensionType(,A9))</f>
        <v/>
      </c>
      <c r="C9" s="176">
        <f>IF(_epmOfflineCondition_,"FTOTAL",IF(B9="","",EPMContextMember(,B9)))</f>
        <v/>
      </c>
      <c r="D9" s="176">
        <f>IF(_epmOfflineCondition_,"全部变动",EPMMemberDesc(C9))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13" t="n"/>
      <c r="V9" s="13" t="n"/>
      <c r="W9" s="13" t="n"/>
      <c r="X9" s="171" t="n"/>
      <c r="Y9" s="13" t="n"/>
      <c r="Z9" s="13" t="n"/>
      <c r="AA9" s="13" t="n"/>
      <c r="AB9" s="13" t="n"/>
      <c r="AC9" s="13" t="n"/>
      <c r="AD9" s="13" t="n"/>
      <c r="AE9" s="13" t="n"/>
      <c r="AF9" s="13" t="n"/>
      <c r="AG9" s="13" t="n"/>
      <c r="AH9" s="13" t="n"/>
      <c r="AI9" s="13" t="n"/>
      <c r="AJ9" s="13" t="n"/>
      <c r="AK9" s="13" t="n"/>
      <c r="AL9" s="13" t="n"/>
      <c r="AM9" s="13" t="n"/>
      <c r="AN9" s="13" t="n"/>
      <c r="AO9" s="13" t="n"/>
      <c r="AP9" s="13" t="n"/>
      <c r="AQ9" s="13" t="n"/>
      <c r="AR9" s="13" t="n"/>
      <c r="AS9" s="13" t="n"/>
      <c r="AT9" s="13" t="n"/>
      <c r="AU9" s="13" t="n"/>
      <c r="AV9" s="13" t="n"/>
      <c r="AW9" s="13" t="n"/>
      <c r="AX9" s="13" t="n"/>
      <c r="AY9" s="13" t="n"/>
    </row>
    <row r="10" hidden="1" customFormat="1" s="13">
      <c r="A10" s="175" t="inlineStr">
        <is>
          <t>I</t>
        </is>
      </c>
      <c r="B10" s="176">
        <f>IF(_epmOfflineCondition_,"C_INTERCO",EPMDimensionType(,A10))</f>
        <v/>
      </c>
      <c r="C10" s="176">
        <f>IF(_epmOfflineCondition_,"I_ALL",IF(B10="","",EPMContextMember(,B10)))</f>
        <v/>
      </c>
      <c r="D10" s="176">
        <f>IF(_epmOfflineCondition_,"全部贸易伙伴",EPMMemberDesc(C10))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13" t="n"/>
      <c r="V10" s="13" t="n"/>
      <c r="W10" s="13" t="n"/>
      <c r="X10" s="171" t="n"/>
      <c r="Y10" s="13" t="n"/>
      <c r="Z10" s="13" t="n"/>
      <c r="AA10" s="13" t="n"/>
      <c r="AB10" s="13" t="n"/>
      <c r="AC10" s="13" t="n"/>
      <c r="AD10" s="13" t="n"/>
      <c r="AE10" s="13" t="n"/>
      <c r="AF10" s="13" t="n"/>
      <c r="AG10" s="13" t="n"/>
      <c r="AH10" s="13" t="n"/>
      <c r="AI10" s="13" t="n"/>
      <c r="AJ10" s="13" t="n"/>
      <c r="AK10" s="13" t="n"/>
      <c r="AL10" s="13" t="n"/>
      <c r="AM10" s="13" t="n"/>
      <c r="AN10" s="13" t="n"/>
      <c r="AO10" s="13" t="n"/>
      <c r="AP10" s="13" t="n"/>
      <c r="AQ10" s="13" t="n"/>
      <c r="AR10" s="13" t="n"/>
      <c r="AS10" s="13" t="n"/>
      <c r="AT10" s="13" t="n"/>
      <c r="AU10" s="13" t="n"/>
      <c r="AV10" s="13" t="n"/>
      <c r="AW10" s="13" t="n"/>
      <c r="AX10" s="13" t="n"/>
      <c r="AY10" s="13" t="n"/>
    </row>
    <row r="11" hidden="1" customFormat="1" s="13">
      <c r="A11" s="175" t="inlineStr">
        <is>
          <t>G</t>
        </is>
      </c>
      <c r="B11" s="176">
        <f>IF(_epmOfflineCondition_,"C_SCOPE",EPMDimensionType(,A11))</f>
        <v/>
      </c>
      <c r="C11" s="176">
        <f>IF(_epmOfflineCondition_,"G_DUMMY",IF(B11="","",EPMContextMember(,B11)))</f>
        <v/>
      </c>
      <c r="D11" s="176">
        <f>IF(_epmOfflineCondition_,"合并范围无关",EPMMemberDesc(C11))</f>
        <v/>
      </c>
      <c r="E11" s="176" t="n"/>
      <c r="F11" s="13" t="n"/>
      <c r="G11" s="13" t="n"/>
      <c r="H11" s="184" t="inlineStr">
        <is>
          <t xml:space="preserve">本年月 </t>
        </is>
      </c>
      <c r="I11" s="184">
        <f>I3&amp;"."&amp;I8</f>
        <v/>
      </c>
      <c r="J11" s="13" t="n"/>
      <c r="K11" s="13" t="n"/>
      <c r="L11" s="13" t="n"/>
      <c r="M11" s="13" t="n"/>
      <c r="N11" s="13" t="n"/>
      <c r="O11" s="13" t="n"/>
      <c r="P11" s="13" t="n"/>
      <c r="Q11" s="13" t="n"/>
      <c r="R11" s="13" t="n"/>
      <c r="S11" s="1103" t="n"/>
      <c r="T11" s="13" t="n"/>
      <c r="U11" s="13" t="n"/>
      <c r="V11" s="13" t="n"/>
      <c r="W11" s="13" t="n"/>
      <c r="X11" s="171" t="n"/>
      <c r="Y11" s="13" t="n"/>
      <c r="Z11" s="13" t="n"/>
      <c r="AA11" s="13" t="n"/>
      <c r="AB11" s="13" t="n"/>
      <c r="AC11" s="13" t="n"/>
      <c r="AD11" s="13" t="n"/>
      <c r="AE11" s="13" t="n"/>
      <c r="AF11" s="13" t="n"/>
      <c r="AG11" s="13" t="n"/>
      <c r="AH11" s="13" t="n"/>
      <c r="AI11" s="13" t="n"/>
      <c r="AJ11" s="13" t="n"/>
      <c r="AK11" s="13" t="n"/>
      <c r="AL11" s="13" t="n"/>
      <c r="AM11" s="13" t="n"/>
      <c r="AN11" s="13" t="n"/>
      <c r="AO11" s="13" t="n"/>
      <c r="AP11" s="13" t="n"/>
      <c r="AQ11" s="13" t="n"/>
      <c r="AR11" s="13" t="n"/>
      <c r="AS11" s="13" t="n"/>
      <c r="AT11" s="13" t="n"/>
      <c r="AU11" s="13" t="n"/>
      <c r="AV11" s="13" t="n"/>
      <c r="AW11" s="13" t="n"/>
      <c r="AX11" s="13" t="n"/>
      <c r="AY11" s="13" t="n"/>
    </row>
    <row r="12" hidden="1" customFormat="1" s="13">
      <c r="A12" s="175" t="inlineStr">
        <is>
          <t>U8</t>
        </is>
      </c>
      <c r="B12" s="176">
        <f>IF(_epmOfflineCondition_,"C_PROJECT",EPMDimensionType(,A12))</f>
        <v/>
      </c>
      <c r="C12" s="176">
        <f>IF(_epmOfflineCondition_,"ZP_ALL",IF(B12="","",EPMContextMember(,B12)))</f>
        <v/>
      </c>
      <c r="D12" s="176">
        <f>IF(_epmOfflineCondition_,"项目合计",EPMMemberDesc(C12))</f>
        <v/>
      </c>
      <c r="E12" s="176" t="n"/>
      <c r="F12" s="13" t="n"/>
      <c r="G12" s="13" t="n"/>
      <c r="H12" s="184" t="inlineStr">
        <is>
          <t>上年月</t>
        </is>
      </c>
      <c r="I12" s="184">
        <f>IF(I8="01",I10&amp;"."&amp;I9,I3&amp;"."&amp;I9)</f>
        <v/>
      </c>
      <c r="J12" s="13" t="n"/>
      <c r="K12" s="13" t="n"/>
      <c r="L12" s="13" t="n"/>
      <c r="M12" s="13" t="n"/>
      <c r="N12" s="13" t="n"/>
      <c r="O12" s="13" t="n"/>
      <c r="P12" s="13" t="n"/>
      <c r="Q12" s="13" t="n"/>
      <c r="R12" s="13" t="n"/>
      <c r="S12" s="1103" t="n"/>
      <c r="T12" s="13" t="n"/>
      <c r="U12" s="13" t="n"/>
      <c r="V12" s="13" t="n"/>
      <c r="W12" s="13" t="n"/>
      <c r="X12" s="171" t="n"/>
      <c r="Y12" s="13" t="n"/>
      <c r="Z12" s="13" t="n"/>
      <c r="AA12" s="13" t="n"/>
      <c r="AB12" s="13" t="n"/>
      <c r="AC12" s="13" t="n"/>
      <c r="AD12" s="13" t="n"/>
      <c r="AE12" s="13" t="n"/>
      <c r="AF12" s="13" t="n"/>
      <c r="AG12" s="13" t="n"/>
      <c r="AH12" s="13" t="n"/>
      <c r="AI12" s="13" t="n"/>
      <c r="AJ12" s="13" t="n"/>
      <c r="AK12" s="13" t="n"/>
      <c r="AL12" s="13" t="n"/>
      <c r="AM12" s="13" t="n"/>
      <c r="AN12" s="13" t="n"/>
      <c r="AO12" s="13" t="n"/>
      <c r="AP12" s="13" t="n"/>
      <c r="AQ12" s="13" t="n"/>
      <c r="AR12" s="13" t="n"/>
      <c r="AS12" s="13" t="n"/>
      <c r="AT12" s="13" t="n"/>
      <c r="AU12" s="13" t="n"/>
      <c r="AV12" s="13" t="n"/>
      <c r="AW12" s="13" t="n"/>
      <c r="AX12" s="13" t="n"/>
      <c r="AY12" s="13" t="n"/>
    </row>
    <row r="13" hidden="1" customFormat="1" s="13">
      <c r="A13" s="175" t="inlineStr">
        <is>
          <t>U9</t>
        </is>
      </c>
      <c r="B13" s="176">
        <f>IF(_epmOfflineCondition_,"C_ITEM",EPMDimensionType(,A13))</f>
        <v/>
      </c>
      <c r="C13" s="176">
        <f>IF(_epmOfflineCondition_,"ZI_ALL",IF(B13="","",EPMContextMember(,B13)))</f>
        <v/>
      </c>
      <c r="D13" s="176">
        <f>IF(_epmOfflineCondition_,"全部ITEM",EPMMemberDesc(C13))</f>
        <v/>
      </c>
      <c r="E13" s="176" t="n"/>
      <c r="F13" s="13" t="n"/>
      <c r="G13" s="13" t="n"/>
      <c r="H13" s="184" t="inlineStr">
        <is>
          <t xml:space="preserve">上年同期 </t>
        </is>
      </c>
      <c r="I13" s="184">
        <f>I10&amp;"."&amp;I8</f>
        <v/>
      </c>
      <c r="J13" s="13" t="n"/>
      <c r="K13" s="13" t="n"/>
      <c r="L13" s="13" t="n"/>
      <c r="M13" s="13" t="n"/>
      <c r="N13" s="13" t="n"/>
      <c r="O13" s="13" t="n"/>
      <c r="P13" s="13" t="n"/>
      <c r="Q13" s="13" t="n"/>
      <c r="R13" s="13" t="n"/>
      <c r="S13" s="1103" t="n"/>
      <c r="T13" s="13" t="n"/>
      <c r="U13" s="13" t="n"/>
      <c r="V13" s="13" t="n"/>
      <c r="W13" s="13" t="n"/>
      <c r="X13" s="171" t="n"/>
      <c r="Y13" s="13" t="n"/>
      <c r="Z13" s="13" t="n"/>
      <c r="AA13" s="13" t="n"/>
      <c r="AB13" s="13" t="n"/>
      <c r="AC13" s="13" t="n"/>
      <c r="AD13" s="13" t="n"/>
      <c r="AE13" s="13" t="n"/>
      <c r="AF13" s="13" t="n"/>
      <c r="AG13" s="13" t="n"/>
      <c r="AH13" s="13" t="n"/>
      <c r="AI13" s="13" t="n"/>
      <c r="AJ13" s="13" t="n"/>
      <c r="AK13" s="13" t="n"/>
      <c r="AL13" s="13" t="n"/>
      <c r="AM13" s="13" t="n"/>
      <c r="AN13" s="13" t="n"/>
      <c r="AO13" s="13" t="n"/>
      <c r="AP13" s="13" t="n"/>
      <c r="AQ13" s="13" t="n"/>
      <c r="AR13" s="13" t="n"/>
      <c r="AS13" s="13" t="n"/>
      <c r="AT13" s="13" t="n"/>
      <c r="AU13" s="13" t="n"/>
      <c r="AV13" s="13" t="n"/>
      <c r="AW13" s="13" t="n"/>
      <c r="AX13" s="13" t="n"/>
      <c r="AY13" s="13" t="n"/>
    </row>
    <row r="14" hidden="1" customFormat="1" s="13">
      <c r="A14" s="175" t="inlineStr">
        <is>
          <t>U10</t>
        </is>
      </c>
      <c r="B14" s="176">
        <f>IF(_epmOfflineCondition_,"C_MISK",EPMDimensionType(,A14))</f>
        <v/>
      </c>
      <c r="C14" s="176">
        <f>IF(_epmOfflineCondition_,"ZM_ALL",IF(B14="","",EPMContextMember(,B14)))</f>
        <v/>
      </c>
      <c r="D14" s="176">
        <f>IF(_epmOfflineCondition_,"ALL",EPMMemberDesc(C14))</f>
        <v/>
      </c>
      <c r="E14" s="176" t="n"/>
      <c r="F14" s="13" t="n"/>
      <c r="G14" s="13" t="n"/>
      <c r="H14" s="13" t="n"/>
      <c r="I14" s="13" t="n"/>
      <c r="J14" s="13" t="n"/>
      <c r="K14" s="13" t="n"/>
      <c r="L14" s="13" t="n"/>
      <c r="M14" s="13" t="n"/>
      <c r="N14" s="13" t="n"/>
      <c r="O14" s="13" t="n"/>
      <c r="P14" s="13" t="n"/>
      <c r="Q14" s="13" t="n"/>
      <c r="R14" s="13" t="n"/>
      <c r="S14" s="1103" t="n"/>
      <c r="T14" s="13" t="n"/>
      <c r="U14" s="13" t="n"/>
      <c r="V14" s="13" t="n"/>
      <c r="W14" s="13" t="n"/>
      <c r="X14" s="171" t="n"/>
      <c r="Y14" s="13" t="n"/>
      <c r="Z14" s="13" t="n"/>
      <c r="AA14" s="13" t="n"/>
      <c r="AB14" s="13" t="n"/>
      <c r="AC14" s="13" t="n"/>
      <c r="AD14" s="13" t="n"/>
      <c r="AE14" s="13" t="n"/>
      <c r="AF14" s="13" t="n"/>
      <c r="AG14" s="13" t="n"/>
      <c r="AH14" s="13" t="n"/>
      <c r="AI14" s="13" t="n"/>
      <c r="AJ14" s="13" t="n"/>
      <c r="AK14" s="13" t="n"/>
      <c r="AL14" s="13" t="n"/>
      <c r="AM14" s="13" t="n"/>
      <c r="AN14" s="13" t="n"/>
      <c r="AO14" s="13" t="n"/>
      <c r="AP14" s="13" t="n"/>
      <c r="AQ14" s="13" t="n"/>
      <c r="AR14" s="13" t="n"/>
      <c r="AS14" s="13" t="n"/>
      <c r="AT14" s="13" t="n"/>
      <c r="AU14" s="13" t="n"/>
      <c r="AV14" s="13" t="n"/>
      <c r="AW14" s="13" t="n"/>
      <c r="AX14" s="13" t="n"/>
      <c r="AY14" s="13" t="n"/>
    </row>
    <row r="15" hidden="1" customFormat="1" s="13">
      <c r="A15" s="13" t="n"/>
      <c r="B15" s="1103" t="n"/>
      <c r="C15" s="1103" t="n"/>
      <c r="D15" s="1103" t="n"/>
      <c r="E15" s="13" t="n"/>
      <c r="F15" s="13" t="n"/>
      <c r="G15" s="13" t="n"/>
      <c r="H15" s="13" t="n"/>
      <c r="I15" s="13" t="n"/>
      <c r="J15" s="13" t="n"/>
      <c r="K15" s="13" t="n"/>
      <c r="L15" s="13" t="n"/>
      <c r="M15" s="13" t="n"/>
      <c r="N15" s="13" t="n"/>
      <c r="O15" s="13" t="n"/>
      <c r="P15" s="13" t="n"/>
      <c r="Q15" s="13" t="n"/>
      <c r="R15" s="13" t="n"/>
      <c r="S15" s="1103" t="n"/>
      <c r="T15" s="13" t="n"/>
      <c r="U15" s="13" t="n"/>
      <c r="V15" s="13" t="n"/>
      <c r="W15" s="13" t="n"/>
      <c r="X15" s="171" t="n"/>
      <c r="Y15" s="13" t="n"/>
      <c r="Z15" s="13" t="n"/>
      <c r="AA15" s="13" t="n"/>
      <c r="AB15" s="13" t="n"/>
      <c r="AC15" s="13" t="n"/>
      <c r="AD15" s="13" t="n"/>
      <c r="AE15" s="13" t="n"/>
      <c r="AF15" s="13" t="n"/>
      <c r="AG15" s="13" t="n"/>
      <c r="AH15" s="13" t="n"/>
      <c r="AI15" s="13" t="n"/>
      <c r="AJ15" s="13" t="n"/>
      <c r="AK15" s="13" t="n"/>
      <c r="AL15" s="13" t="n"/>
      <c r="AM15" s="13" t="n"/>
      <c r="AN15" s="13" t="n"/>
      <c r="AO15" s="13" t="n"/>
      <c r="AP15" s="13" t="n"/>
      <c r="AQ15" s="13" t="n"/>
      <c r="AR15" s="13" t="n"/>
      <c r="AS15" s="13" t="n"/>
      <c r="AT15" s="13" t="n"/>
      <c r="AU15" s="13" t="n"/>
      <c r="AV15" s="13" t="n"/>
      <c r="AW15" s="13" t="n"/>
      <c r="AX15" s="13" t="n"/>
      <c r="AY15" s="13" t="n"/>
    </row>
    <row r="16" hidden="1" customFormat="1" s="13">
      <c r="A16" s="13" t="n"/>
      <c r="B16" s="13" t="n"/>
      <c r="C16" s="13" t="n"/>
      <c r="D16" s="1269" t="inlineStr">
        <is>
          <t>页轴</t>
        </is>
      </c>
      <c r="E16" s="1270" t="n"/>
      <c r="F16" s="1270" t="n"/>
      <c r="G16" s="1271" t="n"/>
      <c r="H16" s="13" t="n"/>
      <c r="I16" s="13" t="n"/>
      <c r="J16" s="13" t="n"/>
      <c r="K16" s="13" t="n"/>
      <c r="L16" s="13" t="n"/>
      <c r="M16" s="13" t="n"/>
      <c r="N16" s="13" t="n"/>
      <c r="O16" s="13" t="n"/>
      <c r="P16" s="13" t="n"/>
      <c r="Q16" s="13" t="n"/>
      <c r="R16" s="13" t="n"/>
      <c r="S16" s="1103" t="n"/>
      <c r="T16" s="13" t="n"/>
      <c r="U16" s="13" t="n"/>
      <c r="V16" s="13" t="n"/>
      <c r="W16" s="13" t="n"/>
      <c r="X16" s="171" t="n"/>
      <c r="Y16" s="13" t="n"/>
      <c r="Z16" s="13" t="n"/>
      <c r="AA16" s="13" t="n"/>
      <c r="AB16" s="13" t="n"/>
      <c r="AC16" s="13" t="n"/>
      <c r="AD16" s="13" t="n"/>
      <c r="AE16" s="13" t="n"/>
      <c r="AF16" s="13" t="n"/>
      <c r="AG16" s="13" t="n"/>
      <c r="AH16" s="13" t="n"/>
      <c r="AI16" s="13" t="n"/>
      <c r="AJ16" s="13" t="n"/>
      <c r="AK16" s="13" t="n"/>
      <c r="AL16" s="13" t="n"/>
      <c r="AM16" s="13" t="n"/>
      <c r="AN16" s="13" t="n"/>
      <c r="AO16" s="13" t="n"/>
      <c r="AP16" s="13" t="n"/>
      <c r="AQ16" s="13" t="n"/>
      <c r="AR16" s="13" t="n"/>
      <c r="AS16" s="13" t="n"/>
      <c r="AT16" s="13" t="n"/>
      <c r="AU16" s="13" t="n"/>
      <c r="AV16" s="13" t="n"/>
      <c r="AW16" s="13" t="n"/>
      <c r="AX16" s="13" t="n"/>
      <c r="AY16" s="13" t="n"/>
    </row>
    <row r="17" hidden="1" customFormat="1" s="13">
      <c r="A17" s="174" t="inlineStr">
        <is>
          <t>维度类型</t>
        </is>
      </c>
      <c r="B17" s="174" t="inlineStr">
        <is>
          <t>维度</t>
        </is>
      </c>
      <c r="C17" s="178" t="inlineStr">
        <is>
          <t>页轴替换</t>
        </is>
      </c>
      <c r="D17" s="174" t="inlineStr">
        <is>
          <t>报表000-主要财务指标评价表</t>
        </is>
      </c>
      <c r="E17" s="174" t="inlineStr">
        <is>
          <t>报表001-利润表</t>
        </is>
      </c>
      <c r="F17" s="177" t="inlineStr">
        <is>
          <t>报表002-资产负债表</t>
        </is>
      </c>
      <c r="G17" s="174" t="n"/>
      <c r="H17" s="13" t="n"/>
      <c r="I17" s="13" t="n"/>
      <c r="J17" s="13" t="n"/>
      <c r="K17" s="13" t="n"/>
      <c r="L17" s="13" t="n"/>
      <c r="M17" s="13" t="n"/>
      <c r="N17" s="13" t="n"/>
      <c r="O17" s="13" t="n"/>
      <c r="P17" s="13" t="n"/>
      <c r="Q17" s="13" t="n"/>
      <c r="R17" s="13" t="n"/>
      <c r="S17" s="1103" t="n"/>
      <c r="T17" s="13" t="n"/>
      <c r="U17" s="13" t="n"/>
      <c r="V17" s="13" t="n"/>
      <c r="W17" s="13" t="n"/>
      <c r="X17" s="171" t="n"/>
      <c r="Y17" s="13" t="n"/>
      <c r="Z17" s="13" t="n"/>
      <c r="AA17" s="13" t="n"/>
      <c r="AB17" s="13" t="n"/>
      <c r="AC17" s="13" t="n"/>
      <c r="AD17" s="13" t="n"/>
      <c r="AE17" s="13" t="n"/>
      <c r="AF17" s="13" t="n"/>
      <c r="AG17" s="13" t="n"/>
      <c r="AH17" s="13" t="n"/>
      <c r="AI17" s="13" t="n"/>
      <c r="AJ17" s="13" t="n"/>
      <c r="AK17" s="13" t="n"/>
      <c r="AL17" s="13" t="n"/>
      <c r="AM17" s="13" t="n"/>
      <c r="AN17" s="13" t="n"/>
      <c r="AO17" s="13" t="n"/>
      <c r="AP17" s="13" t="n"/>
      <c r="AQ17" s="13" t="n"/>
      <c r="AR17" s="13" t="n"/>
      <c r="AS17" s="13" t="n"/>
      <c r="AT17" s="13" t="n"/>
      <c r="AU17" s="13" t="n"/>
      <c r="AV17" s="13" t="n"/>
      <c r="AW17" s="13" t="n"/>
      <c r="AX17" s="13" t="n"/>
      <c r="AY17" s="13" t="n"/>
    </row>
    <row r="18" hidden="1" customFormat="1" s="13">
      <c r="A18" s="175" t="inlineStr">
        <is>
          <t>A</t>
        </is>
      </c>
      <c r="B18" s="176">
        <f>IF(_epmOfflineCondition_,"C_ACCOUNT",EPMDimensionType(,A18))</f>
        <v/>
      </c>
      <c r="C18" s="182" t="inlineStr">
        <is>
          <t>A_NOUSED</t>
        </is>
      </c>
      <c r="D18" s="182" t="n"/>
      <c r="E18" s="182" t="n"/>
      <c r="F18" s="885" t="n"/>
      <c r="G18" s="182" t="n"/>
      <c r="H18" s="13" t="n"/>
      <c r="I18" s="13" t="n"/>
      <c r="J18" s="13" t="n"/>
      <c r="K18" s="13" t="n"/>
      <c r="L18" s="13" t="n"/>
      <c r="M18" s="13" t="n"/>
      <c r="N18" s="13" t="n"/>
      <c r="O18" s="13" t="n"/>
      <c r="P18" s="13" t="n"/>
      <c r="Q18" s="13" t="n"/>
      <c r="R18" s="13" t="n"/>
      <c r="S18" s="1103" t="n"/>
      <c r="T18" s="13" t="n"/>
      <c r="U18" s="13" t="n"/>
      <c r="V18" s="13" t="n"/>
      <c r="W18" s="13" t="n"/>
      <c r="X18" s="171" t="n"/>
      <c r="Y18" s="13" t="n"/>
      <c r="Z18" s="13" t="n"/>
      <c r="AA18" s="13" t="n"/>
      <c r="AB18" s="13" t="n"/>
      <c r="AC18" s="13" t="n"/>
      <c r="AD18" s="13" t="n"/>
      <c r="AE18" s="13" t="n"/>
      <c r="AF18" s="13" t="n"/>
      <c r="AG18" s="13" t="n"/>
      <c r="AH18" s="13" t="n"/>
      <c r="AI18" s="13" t="n"/>
      <c r="AJ18" s="13" t="n"/>
      <c r="AK18" s="13" t="n"/>
      <c r="AL18" s="13" t="n"/>
      <c r="AM18" s="13" t="n"/>
      <c r="AN18" s="13" t="n"/>
      <c r="AO18" s="13" t="n"/>
      <c r="AP18" s="13" t="n"/>
      <c r="AQ18" s="13" t="n"/>
      <c r="AR18" s="13" t="n"/>
      <c r="AS18" s="13" t="n"/>
      <c r="AT18" s="13" t="n"/>
      <c r="AU18" s="13" t="n"/>
      <c r="AV18" s="13" t="n"/>
      <c r="AW18" s="13" t="n"/>
      <c r="AX18" s="13" t="n"/>
      <c r="AY18" s="13" t="n"/>
    </row>
    <row r="19" hidden="1" customFormat="1" s="13">
      <c r="A19" s="175" t="inlineStr">
        <is>
          <t>C</t>
        </is>
      </c>
      <c r="B19" s="176">
        <f>IF(_epmOfflineCondition_,"C_CATEGORY",EPMDimensionType(,A19))</f>
        <v/>
      </c>
      <c r="C19" s="182" t="inlineStr">
        <is>
          <t>C_DUMMY</t>
        </is>
      </c>
      <c r="D19" s="182" t="n"/>
      <c r="E19" s="182" t="n"/>
      <c r="F19" s="885" t="n"/>
      <c r="G19" s="182" t="n"/>
      <c r="H19" s="13" t="n"/>
      <c r="I19" s="13" t="n"/>
      <c r="J19" s="13" t="n"/>
      <c r="K19" s="13" t="n"/>
      <c r="L19" s="13" t="n"/>
      <c r="M19" s="13" t="n"/>
      <c r="N19" s="13" t="n"/>
      <c r="O19" s="13" t="n"/>
      <c r="P19" s="13" t="n"/>
      <c r="Q19" s="13" t="n"/>
      <c r="R19" s="13" t="n"/>
      <c r="S19" s="1103" t="n"/>
      <c r="T19" s="13" t="n"/>
      <c r="U19" s="13" t="n"/>
      <c r="V19" s="13" t="n"/>
      <c r="W19" s="13" t="n"/>
      <c r="X19" s="171" t="n"/>
      <c r="Y19" s="13" t="n"/>
      <c r="Z19" s="13" t="n"/>
      <c r="AA19" s="13" t="n"/>
      <c r="AB19" s="13" t="n"/>
      <c r="AC19" s="13" t="n"/>
      <c r="AD19" s="13" t="n"/>
      <c r="AE19" s="13" t="n"/>
      <c r="AF19" s="13" t="n"/>
      <c r="AG19" s="13" t="n"/>
      <c r="AH19" s="13" t="n"/>
      <c r="AI19" s="13" t="n"/>
      <c r="AJ19" s="13" t="n"/>
      <c r="AK19" s="13" t="n"/>
      <c r="AL19" s="13" t="n"/>
      <c r="AM19" s="13" t="n"/>
      <c r="AN19" s="13" t="n"/>
      <c r="AO19" s="13" t="n"/>
      <c r="AP19" s="13" t="n"/>
      <c r="AQ19" s="13" t="n"/>
      <c r="AR19" s="13" t="n"/>
      <c r="AS19" s="13" t="n"/>
      <c r="AT19" s="13" t="n"/>
      <c r="AU19" s="13" t="n"/>
      <c r="AV19" s="13" t="n"/>
      <c r="AW19" s="13" t="n"/>
      <c r="AX19" s="13" t="n"/>
      <c r="AY19" s="13" t="n"/>
    </row>
    <row r="20" hidden="1" customFormat="1" s="13">
      <c r="A20" s="175" t="inlineStr">
        <is>
          <t>T</t>
        </is>
      </c>
      <c r="B20" s="176">
        <f>IF(_epmOfflineCondition_,"C_TIME",EPMDimensionType(,A20))</f>
        <v/>
      </c>
      <c r="C20" s="672" t="inlineStr">
        <is>
          <t>T_DUMMY</t>
        </is>
      </c>
      <c r="D20" s="182" t="n"/>
      <c r="E20" s="182" t="n"/>
      <c r="F20" s="885" t="n"/>
      <c r="G20" s="884" t="n"/>
      <c r="H20" s="13" t="n"/>
      <c r="I20" s="13" t="n"/>
      <c r="J20" s="13" t="n"/>
      <c r="K20" s="13" t="n"/>
      <c r="L20" s="13" t="n"/>
      <c r="M20" s="13" t="n"/>
      <c r="N20" s="13" t="n"/>
      <c r="O20" s="13" t="n"/>
      <c r="P20" s="13" t="n"/>
      <c r="Q20" s="13" t="n"/>
      <c r="R20" s="13" t="n"/>
      <c r="S20" s="1103" t="n"/>
      <c r="T20" s="13" t="n"/>
      <c r="U20" s="13" t="n"/>
      <c r="V20" s="13" t="n"/>
      <c r="W20" s="13" t="n"/>
      <c r="X20" s="171" t="n"/>
      <c r="Y20" s="384" t="n"/>
      <c r="Z20" s="13" t="n"/>
      <c r="AA20" s="13" t="n"/>
      <c r="AB20" s="13" t="n"/>
      <c r="AC20" s="13" t="n"/>
      <c r="AD20" s="13" t="n"/>
      <c r="AE20" s="13" t="n"/>
      <c r="AF20" s="13" t="n"/>
      <c r="AG20" s="13" t="n"/>
      <c r="AH20" s="13" t="n"/>
      <c r="AI20" s="13" t="n"/>
      <c r="AJ20" s="13" t="n"/>
      <c r="AK20" s="13" t="n"/>
      <c r="AL20" s="13" t="n"/>
      <c r="AM20" s="13" t="n"/>
      <c r="AN20" s="13" t="n"/>
      <c r="AO20" s="13" t="n"/>
      <c r="AP20" s="13" t="n"/>
      <c r="AQ20" s="13" t="n"/>
      <c r="AR20" s="13" t="n"/>
      <c r="AS20" s="13" t="n"/>
      <c r="AT20" s="13" t="n"/>
      <c r="AU20" s="13" t="n"/>
      <c r="AV20" s="13" t="n"/>
      <c r="AW20" s="13" t="n"/>
      <c r="AX20" s="13" t="n"/>
      <c r="AY20" s="13" t="n"/>
    </row>
    <row r="21" hidden="1" customFormat="1" s="13">
      <c r="A21" s="175" t="inlineStr">
        <is>
          <t>E</t>
        </is>
      </c>
      <c r="B21" s="176">
        <f>IF(_epmOfflineCondition_,"C_ENTITY",EPMDimensionType(,A21))</f>
        <v/>
      </c>
      <c r="C21" s="672">
        <f>IF(_epmOfflineCondition_,"E100787",IF(B21="","",EPMContextMember(,B21)))</f>
        <v/>
      </c>
      <c r="D21" s="182">
        <f>IF(_epmOfflineCondition_,"E100787",EPMOlapMemberO(C21,"[C_ENTITY].[PARENTH1].[E100787]","E100787 - 内蒙古京能苏尼特风力发电有限公司（内蒙古分公司）","","000"))</f>
        <v/>
      </c>
      <c r="E21" s="182">
        <f>IF(_epmOfflineCondition_,"E100787",EPMOlapMemberO(C21,"[C_ENTITY].[PARENTH1].[E100787]","E100787 - 内蒙古京能苏尼特风力发电有限公司（内蒙古分公司）","","001"))</f>
        <v/>
      </c>
      <c r="F21" s="885">
        <f>IF(_epmOfflineCondition_,"E100787",EPMOlapMemberO(C21,"[C_ENTITY].[PARENTH1].[E100787]","E100787 - 内蒙古京能苏尼特风力发电有限公司（内蒙古分公司）","","002"))</f>
        <v/>
      </c>
      <c r="G21" s="884" t="n"/>
      <c r="H21" s="13" t="n"/>
      <c r="I21" s="13" t="n"/>
      <c r="J21" s="13" t="n"/>
      <c r="K21" s="13" t="n"/>
      <c r="L21" s="13" t="n"/>
      <c r="M21" s="13" t="n"/>
      <c r="N21" s="13" t="n"/>
      <c r="O21" s="13" t="n"/>
      <c r="P21" s="13" t="n"/>
      <c r="Q21" s="13" t="n"/>
      <c r="R21" s="13" t="n"/>
      <c r="S21" s="1103" t="n"/>
      <c r="T21" s="13" t="n"/>
      <c r="U21" s="13" t="n"/>
      <c r="V21" s="13" t="n"/>
      <c r="W21" s="13" t="n"/>
      <c r="X21" s="171" t="n"/>
      <c r="Y21" s="384" t="n"/>
      <c r="Z21" s="13" t="n"/>
      <c r="AA21" s="13" t="n"/>
      <c r="AB21" s="13" t="n"/>
      <c r="AC21" s="13" t="n"/>
      <c r="AD21" s="13" t="n"/>
      <c r="AE21" s="13" t="n"/>
      <c r="AF21" s="13" t="n"/>
      <c r="AG21" s="13" t="n"/>
      <c r="AH21" s="13" t="n"/>
      <c r="AI21" s="13" t="n"/>
      <c r="AJ21" s="13" t="n"/>
      <c r="AK21" s="13" t="n"/>
      <c r="AL21" s="13" t="n"/>
      <c r="AM21" s="13" t="n"/>
      <c r="AN21" s="13" t="n"/>
      <c r="AO21" s="13" t="n"/>
      <c r="AP21" s="13" t="n"/>
      <c r="AQ21" s="13" t="n"/>
      <c r="AR21" s="13" t="n"/>
      <c r="AS21" s="13" t="n"/>
      <c r="AT21" s="13" t="n"/>
      <c r="AU21" s="13" t="n"/>
      <c r="AV21" s="13" t="n"/>
      <c r="AW21" s="13" t="n"/>
      <c r="AX21" s="13" t="n"/>
      <c r="AY21" s="13" t="n"/>
    </row>
    <row r="22" hidden="1" customFormat="1" s="13">
      <c r="A22" s="175" t="inlineStr">
        <is>
          <t>R</t>
        </is>
      </c>
      <c r="B22" s="176">
        <f>IF(_epmOfflineCondition_,"C_RPTCURRENCY",EPMDimensionType(,A22))</f>
        <v/>
      </c>
      <c r="C22" s="672">
        <f>IF(C26&lt;&gt;"G_DUMMY","CNY",Z37)</f>
        <v/>
      </c>
      <c r="D22" s="182">
        <f>IF(_epmOfflineCondition_,"LC",EPMOlapMemberO(C22,"[C_RPTCURRENCY].[].[LC]","LC - 本位币","","000"))</f>
        <v/>
      </c>
      <c r="E22" s="182">
        <f>IF(_epmOfflineCondition_,"LC",EPMOlapMemberO(C22,"[C_RPTCURRENCY].[].[LC]","LC - 本位币","","001"))</f>
        <v/>
      </c>
      <c r="F22" s="885">
        <f>IF(_epmOfflineCondition_,"LC",EPMOlapMemberO(C22,"[C_RPTCURRENCY].[].[LC]","LC - 本位币","","002"))</f>
        <v/>
      </c>
      <c r="G22" s="884" t="n"/>
      <c r="H22" s="13" t="n"/>
      <c r="I22" s="13" t="n"/>
      <c r="J22" s="13" t="n"/>
      <c r="K22" s="13" t="n"/>
      <c r="L22" s="13" t="n"/>
      <c r="M22" s="13" t="n"/>
      <c r="N22" s="13" t="n"/>
      <c r="O22" s="13" t="n"/>
      <c r="P22" s="13" t="n"/>
      <c r="Q22" s="13" t="n"/>
      <c r="R22" s="13" t="n"/>
      <c r="S22" s="1103" t="n"/>
      <c r="T22" s="13" t="n"/>
      <c r="U22" s="13" t="n"/>
      <c r="V22" s="13" t="n"/>
      <c r="W22" s="13" t="n"/>
      <c r="X22" s="171" t="n"/>
      <c r="Y22" s="384" t="n"/>
      <c r="Z22" s="13" t="n"/>
      <c r="AA22" s="13" t="n"/>
      <c r="AB22" s="13" t="n"/>
      <c r="AC22" s="13" t="n"/>
      <c r="AD22" s="13" t="n"/>
      <c r="AE22" s="13" t="n"/>
      <c r="AF22" s="13" t="n"/>
      <c r="AG22" s="13" t="n"/>
      <c r="AH22" s="13" t="n"/>
      <c r="AI22" s="13" t="n"/>
      <c r="AJ22" s="13" t="n"/>
      <c r="AK22" s="13" t="n"/>
      <c r="AL22" s="13" t="n"/>
      <c r="AM22" s="13" t="n"/>
      <c r="AN22" s="13" t="n"/>
      <c r="AO22" s="13" t="n"/>
      <c r="AP22" s="13" t="n"/>
      <c r="AQ22" s="13" t="n"/>
      <c r="AR22" s="13" t="n"/>
      <c r="AS22" s="13" t="n"/>
      <c r="AT22" s="13" t="n"/>
      <c r="AU22" s="13" t="n"/>
      <c r="AV22" s="13" t="n"/>
      <c r="AW22" s="13" t="n"/>
      <c r="AX22" s="13" t="n"/>
      <c r="AY22" s="13" t="n"/>
    </row>
    <row r="23" hidden="1" customFormat="1" s="13">
      <c r="A23" s="175" t="inlineStr">
        <is>
          <t>D</t>
        </is>
      </c>
      <c r="B23" s="176">
        <f>IF(_epmOfflineCondition_,"C_AUDITTRAIL",EPMDimensionType(,A23))</f>
        <v/>
      </c>
      <c r="C23" s="672" t="inlineStr">
        <is>
          <t>DALL</t>
        </is>
      </c>
      <c r="D23" s="182">
        <f>IF(_epmOfflineCondition_,"DALL",EPMOlapMemberO(C23,"[C_AUDITTRAIL].[PARENTH1].[DALL]","DALL - 合并后","","000"))</f>
        <v/>
      </c>
      <c r="E23" s="182" t="n"/>
      <c r="F23" s="885" t="n"/>
      <c r="G23" s="182" t="n"/>
      <c r="H23" s="13" t="n"/>
      <c r="I23" s="13" t="n"/>
      <c r="J23" s="13" t="n"/>
      <c r="K23" s="13" t="n"/>
      <c r="L23" s="13" t="n"/>
      <c r="M23" s="13" t="n"/>
      <c r="N23" s="13" t="n"/>
      <c r="O23" s="13" t="n"/>
      <c r="P23" s="13" t="n"/>
      <c r="Q23" s="13" t="n"/>
      <c r="R23" s="13" t="n"/>
      <c r="S23" s="1103" t="n"/>
      <c r="T23" s="13" t="n"/>
      <c r="U23" s="35" t="n"/>
      <c r="V23" s="35" t="n"/>
      <c r="W23" s="13" t="n"/>
      <c r="X23" s="171" t="n"/>
      <c r="Y23" s="384" t="n"/>
      <c r="Z23" s="13" t="n"/>
      <c r="AA23" s="13" t="n"/>
      <c r="AB23" s="13" t="n"/>
      <c r="AC23" s="13" t="n"/>
      <c r="AD23" s="13" t="n"/>
      <c r="AE23" s="13" t="n"/>
      <c r="AF23" s="13" t="n"/>
      <c r="AG23" s="13" t="n"/>
      <c r="AH23" s="13" t="n"/>
      <c r="AI23" s="13" t="n"/>
      <c r="AJ23" s="13" t="n"/>
      <c r="AK23" s="13" t="n"/>
      <c r="AL23" s="13" t="n"/>
      <c r="AM23" s="13" t="n"/>
      <c r="AN23" s="13" t="n"/>
      <c r="AO23" s="13" t="n"/>
      <c r="AP23" s="13" t="n"/>
      <c r="AQ23" s="13" t="n"/>
      <c r="AR23" s="13" t="n"/>
      <c r="AS23" s="13" t="n"/>
      <c r="AT23" s="13" t="n"/>
      <c r="AU23" s="13" t="n"/>
      <c r="AV23" s="13" t="n"/>
      <c r="AW23" s="13" t="n"/>
      <c r="AX23" s="13" t="n"/>
      <c r="AY23" s="13" t="n"/>
    </row>
    <row r="24" hidden="1" customFormat="1" s="13">
      <c r="A24" s="175" t="inlineStr">
        <is>
          <t>S</t>
        </is>
      </c>
      <c r="B24" s="176">
        <f>IF(_epmOfflineCondition_,"C_FLOW",EPMDimensionType(,A24))</f>
        <v/>
      </c>
      <c r="C24" s="672">
        <f>IF(_epmOfflineCondition_,"FTOTAL",IF(B24="","",EPMContextMember(,B24)))</f>
        <v/>
      </c>
      <c r="D24" s="182" t="n"/>
      <c r="E24" s="182" t="n"/>
      <c r="F24" s="885" t="n"/>
      <c r="G24" s="182" t="n"/>
      <c r="H24" s="13" t="n"/>
      <c r="I24" s="13" t="n"/>
      <c r="J24" s="13" t="n"/>
      <c r="K24" s="13" t="n"/>
      <c r="L24" s="13" t="n"/>
      <c r="M24" s="13" t="n"/>
      <c r="N24" s="13" t="n"/>
      <c r="O24" s="13" t="n"/>
      <c r="P24" s="13" t="n"/>
      <c r="Q24" s="13" t="n"/>
      <c r="R24" s="13" t="n"/>
      <c r="S24" s="1103" t="n"/>
      <c r="T24" s="13" t="n"/>
      <c r="U24" s="35" t="n"/>
      <c r="V24" s="35" t="n"/>
      <c r="W24" s="13" t="n"/>
      <c r="X24" s="171" t="n"/>
      <c r="Y24" s="384" t="n"/>
      <c r="Z24" s="13" t="n"/>
      <c r="AA24" s="13" t="n"/>
      <c r="AB24" s="13" t="n"/>
      <c r="AC24" s="13" t="n"/>
      <c r="AD24" s="13" t="n"/>
      <c r="AE24" s="13" t="n"/>
      <c r="AF24" s="13" t="n"/>
      <c r="AG24" s="13" t="n"/>
      <c r="AH24" s="13" t="n"/>
      <c r="AI24" s="13" t="n"/>
      <c r="AJ24" s="13" t="n"/>
      <c r="AK24" s="13" t="n"/>
      <c r="AL24" s="13" t="n"/>
      <c r="AM24" s="13" t="n"/>
      <c r="AN24" s="13" t="n"/>
      <c r="AO24" s="13" t="n"/>
      <c r="AP24" s="13" t="n"/>
      <c r="AQ24" s="13" t="n"/>
      <c r="AR24" s="13" t="n"/>
      <c r="AS24" s="13" t="n"/>
      <c r="AT24" s="13" t="n"/>
      <c r="AU24" s="13" t="n"/>
      <c r="AV24" s="13" t="n"/>
      <c r="AW24" s="13" t="n"/>
      <c r="AX24" s="13" t="n"/>
      <c r="AY24" s="13" t="n"/>
    </row>
    <row r="25" hidden="1" customFormat="1" s="13">
      <c r="A25" s="175" t="inlineStr">
        <is>
          <t>I</t>
        </is>
      </c>
      <c r="B25" s="176">
        <f>IF(_epmOfflineCondition_,"C_INTERCO",EPMDimensionType(,A25))</f>
        <v/>
      </c>
      <c r="C25" s="672" t="inlineStr">
        <is>
          <t>I_ALL</t>
        </is>
      </c>
      <c r="D25" s="182">
        <f>IF(_epmOfflineCondition_,"I_ALL",EPMOlapMemberO(C25,"[C_INTERCO].[PARENTH1].[I_ALL]","I_ALL - 全部贸易伙伴","","000"))</f>
        <v/>
      </c>
      <c r="E25" s="182">
        <f>IF(_epmOfflineCondition_,"I_ALL",EPMOlapMemberO(G25,"[C_INTERCO].[PARENTH1].[I_ALL]","I_ALL - 全部贸易伙伴","","001"))</f>
        <v/>
      </c>
      <c r="F25" s="885">
        <f>IF(_epmOfflineCondition_,"I_ALL",EPMOlapMemberO(G25,"[C_INTERCO].[PARENTH1].[I_ALL]","I_ALL - 全部贸易伙伴","","002"))</f>
        <v/>
      </c>
      <c r="G25" s="182" t="inlineStr">
        <is>
          <t>I_ALL</t>
        </is>
      </c>
      <c r="H25" s="13" t="n"/>
      <c r="I25" s="13" t="n"/>
      <c r="J25" s="13" t="n"/>
      <c r="K25" s="13" t="n"/>
      <c r="L25" s="13" t="n"/>
      <c r="M25" s="13" t="n"/>
      <c r="N25" s="13" t="n"/>
      <c r="O25" s="13" t="n"/>
      <c r="P25" s="13" t="n"/>
      <c r="Q25" s="13" t="n"/>
      <c r="R25" s="13" t="n"/>
      <c r="S25" s="1103" t="n"/>
      <c r="T25" s="13" t="n"/>
      <c r="U25" s="35" t="n"/>
      <c r="V25" s="35" t="n"/>
      <c r="W25" s="13" t="n"/>
      <c r="X25" s="171" t="n"/>
      <c r="Y25" s="13" t="n"/>
      <c r="Z25" s="178" t="inlineStr">
        <is>
          <t>C1001</t>
        </is>
      </c>
      <c r="AA25" s="178" t="inlineStr">
        <is>
          <t>C1001</t>
        </is>
      </c>
      <c r="AB25" s="13" t="n"/>
      <c r="AC25" s="13" t="n"/>
      <c r="AD25" s="13" t="n"/>
      <c r="AE25" s="13" t="n"/>
      <c r="AF25" s="13" t="n"/>
      <c r="AG25" s="13" t="n"/>
      <c r="AH25" s="13" t="n"/>
      <c r="AI25" s="13" t="n"/>
      <c r="AJ25" s="13" t="n"/>
      <c r="AK25" s="178" t="inlineStr">
        <is>
          <t>C1001</t>
        </is>
      </c>
      <c r="AL25" s="178" t="inlineStr">
        <is>
          <t>C1001</t>
        </is>
      </c>
      <c r="AM25" s="716" t="n"/>
      <c r="AN25" s="716" t="n"/>
      <c r="AO25" s="716" t="n"/>
      <c r="AP25" s="716" t="n"/>
      <c r="AQ25" s="716" t="n"/>
      <c r="AR25" s="716" t="n"/>
      <c r="AS25" s="716" t="n"/>
      <c r="AT25" s="178" t="inlineStr">
        <is>
          <t>C1001</t>
        </is>
      </c>
      <c r="AU25" s="178" t="inlineStr">
        <is>
          <t>C1001</t>
        </is>
      </c>
      <c r="AV25" s="178" t="inlineStr">
        <is>
          <t>C1001</t>
        </is>
      </c>
      <c r="AW25" s="178" t="inlineStr">
        <is>
          <t>C1001</t>
        </is>
      </c>
      <c r="AX25" s="13" t="n"/>
      <c r="AY25" s="13" t="n"/>
    </row>
    <row r="26" hidden="1" customFormat="1" s="13">
      <c r="A26" s="175" t="inlineStr">
        <is>
          <t>G</t>
        </is>
      </c>
      <c r="B26" s="176">
        <f>IF(_epmOfflineCondition_,"C_SCOPE",EPMDimensionType(,A26))</f>
        <v/>
      </c>
      <c r="C26" s="672">
        <f>IF(_epmOfflineCondition_,"G_DUMMY",IF(B26="","",EPMContextMember(,B26)))</f>
        <v/>
      </c>
      <c r="D26" s="182">
        <f>IF(_epmOfflineCondition_,"G_DUMMY",EPMOlapMemberO(C26,"[C_SCOPE].[PARENTH1].[G_DUMMY]","G_DUMMY - 合并范围无关","","000"))</f>
        <v/>
      </c>
      <c r="E26" s="182">
        <f>IF(_epmOfflineCondition_,"G_DUMMY",EPMOlapMemberO(C26,"[C_SCOPE].[PARENTH1].[G_DUMMY]","G_DUMMY - 合并范围无关","","001"))</f>
        <v/>
      </c>
      <c r="F26" s="885">
        <f>IF(_epmOfflineCondition_,"G_DUMMY",EPMOlapMemberO(C26,"[C_SCOPE].[PARENTH1].[G_DUMMY]","G_DUMMY - 合并范围无关","","002"))</f>
        <v/>
      </c>
      <c r="G26" s="182" t="n"/>
      <c r="H26" s="13" t="n"/>
      <c r="I26" s="13" t="n"/>
      <c r="J26" s="13" t="n"/>
      <c r="K26" s="13" t="n"/>
      <c r="L26" s="13" t="n"/>
      <c r="M26" s="13" t="n"/>
      <c r="N26" s="13" t="n"/>
      <c r="O26" s="13" t="n"/>
      <c r="P26" s="13" t="n"/>
      <c r="Q26" s="13" t="n"/>
      <c r="R26" s="13" t="n"/>
      <c r="S26" s="1103" t="n"/>
      <c r="T26" s="13" t="n"/>
      <c r="U26" s="35" t="n"/>
      <c r="V26" s="35" t="n"/>
      <c r="W26" s="13" t="n"/>
      <c r="X26" s="171" t="n"/>
      <c r="Y26" s="13" t="n"/>
      <c r="Z26" s="178">
        <f>$I$11</f>
        <v/>
      </c>
      <c r="AA26" s="178">
        <f>$I$13</f>
        <v/>
      </c>
      <c r="AB26" s="13" t="n"/>
      <c r="AC26" s="13" t="n"/>
      <c r="AD26" s="13" t="n"/>
      <c r="AE26" s="13" t="n"/>
      <c r="AF26" s="13" t="n"/>
      <c r="AG26" s="13" t="n"/>
      <c r="AH26" s="13" t="n"/>
      <c r="AI26" s="13" t="n"/>
      <c r="AJ26" s="13" t="n"/>
      <c r="AK26" s="27">
        <f>$I$11</f>
        <v/>
      </c>
      <c r="AL26" s="27">
        <f>$I$13</f>
        <v/>
      </c>
      <c r="AM26" s="716" t="n"/>
      <c r="AN26" s="716" t="n"/>
      <c r="AO26" s="716" t="n"/>
      <c r="AP26" s="716" t="n"/>
      <c r="AQ26" s="716" t="n"/>
      <c r="AR26" s="716" t="n"/>
      <c r="AS26" s="716" t="n"/>
      <c r="AT26" s="27">
        <f>$I$11</f>
        <v/>
      </c>
      <c r="AU26" s="27">
        <f>$I$11</f>
        <v/>
      </c>
      <c r="AV26" s="27">
        <f>$I$13</f>
        <v/>
      </c>
      <c r="AW26" s="27">
        <f>$I$13</f>
        <v/>
      </c>
      <c r="AX26" s="13" t="n"/>
      <c r="AY26" s="13" t="n"/>
    </row>
    <row r="27" hidden="1" customFormat="1" s="13">
      <c r="A27" s="175" t="inlineStr">
        <is>
          <t>U8</t>
        </is>
      </c>
      <c r="B27" s="176">
        <f>IF(_epmOfflineCondition_,"C_PROJECT",EPMDimensionType(,A27))</f>
        <v/>
      </c>
      <c r="C27" s="182" t="inlineStr">
        <is>
          <t>ZP_ALL</t>
        </is>
      </c>
      <c r="D27" s="182">
        <f>IF(_epmOfflineCondition_,"ZP_ALL - 项目合计",EPMOlapMemberO("[C_PROJECT].[PARENTH1].[ZP_ALL]","","ZP_ALL - 项目合计","","000"))</f>
        <v/>
      </c>
      <c r="E27" s="182">
        <f>IF(_epmOfflineCondition_,"ZP_ALL",EPMOlapMemberO(G27,"[C_PROJECT].[PARENTH1].[ZP_ALL]","ZP_ALL - 项目合计","","001"))</f>
        <v/>
      </c>
      <c r="F27" s="885">
        <f>IF(_epmOfflineCondition_,"ZP_ALL",EPMOlapMemberO(G27,"[C_PROJECT].[PARENTH1].[ZP_ALL]","ZP_ALL - 项目合计","","002"))</f>
        <v/>
      </c>
      <c r="G27" s="182" t="inlineStr">
        <is>
          <t>ZP_ALL</t>
        </is>
      </c>
      <c r="H27" s="13" t="n"/>
      <c r="I27" s="13" t="n"/>
      <c r="J27" s="13" t="n"/>
      <c r="K27" s="13" t="n"/>
      <c r="L27" s="13" t="n"/>
      <c r="M27" s="13" t="n"/>
      <c r="N27" s="13" t="n"/>
      <c r="O27" s="13" t="n"/>
      <c r="P27" s="13" t="n"/>
      <c r="Q27" s="13" t="n"/>
      <c r="R27" s="13" t="n"/>
      <c r="S27" s="1103" t="n"/>
      <c r="T27" s="13" t="n"/>
      <c r="U27" s="35" t="n"/>
      <c r="V27" s="35" t="n"/>
      <c r="W27" s="13" t="n"/>
      <c r="X27" s="13" t="n"/>
      <c r="Y27" s="13" t="n"/>
      <c r="Z27" s="200" t="inlineStr">
        <is>
          <t>YTD</t>
        </is>
      </c>
      <c r="AA27" s="200" t="inlineStr">
        <is>
          <t>YTD</t>
        </is>
      </c>
      <c r="AB27" s="13" t="n"/>
      <c r="AC27" s="13" t="n"/>
      <c r="AD27" s="13" t="n"/>
      <c r="AE27" s="13" t="n"/>
      <c r="AF27" s="13" t="n"/>
      <c r="AG27" s="13" t="n"/>
      <c r="AH27" s="13" t="n"/>
      <c r="AI27" s="13" t="n"/>
      <c r="AJ27" s="13" t="n"/>
      <c r="AK27" s="178">
        <f>IF(AND($C$26="G_DUMMY",LEN($C$21)=7),"DLC",IF(AND($C$26&lt;&gt;"G_DUMMY",LEN($C$21)=8),"DALL","DALL"))</f>
        <v/>
      </c>
      <c r="AL27" s="178">
        <f>IF(AND($C$26="G_DUMMY",LEN($C$21)=7),"DLC",IF(AND($C$26&lt;&gt;"G_DUMMY",LEN($C$21)=8),"DALL","DALL"))</f>
        <v/>
      </c>
      <c r="AM27" s="716" t="n"/>
      <c r="AN27" s="716" t="n"/>
      <c r="AO27" s="716" t="n"/>
      <c r="AP27" s="716" t="n"/>
      <c r="AQ27" s="716" t="n"/>
      <c r="AR27" s="716" t="n"/>
      <c r="AS27" s="716" t="n"/>
      <c r="AT27" s="178">
        <f>IF(AND($C$26="G_DUMMY",LEN($C$21)=7),"DLC",IF(AND($C$26&lt;&gt;"G_DUMMY",LEN($C$21)=8),"DALL","DALL"))</f>
        <v/>
      </c>
      <c r="AU27" s="178">
        <f>IF(AND($C$26="G_DUMMY",LEN($C$21)=7),"DLC",IF(AND($C$26&lt;&gt;"G_DUMMY",LEN($C$21)=8),"DALL","DALL"))</f>
        <v/>
      </c>
      <c r="AV27" s="178">
        <f>IF(AND($C$26="G_DUMMY",LEN($C$21)=7),"DLC",IF(AND($C$26&lt;&gt;"G_DUMMY",LEN($C$21)=8),"DALL","DALL"))</f>
        <v/>
      </c>
      <c r="AW27" s="178">
        <f>IF(AND($C$26="G_DUMMY",LEN($C$21)=7),"DLC",IF(AND($C$26&lt;&gt;"G_DUMMY",LEN($C$21)=8),"DALL","DALL"))</f>
        <v/>
      </c>
      <c r="AX27" s="13" t="n"/>
      <c r="AY27" s="13" t="n"/>
    </row>
    <row r="28" hidden="1" customFormat="1" s="13">
      <c r="A28" s="175" t="inlineStr">
        <is>
          <t>U9</t>
        </is>
      </c>
      <c r="B28" s="176">
        <f>IF(_epmOfflineCondition_,"C_ITEM",EPMDimensionType(,A28))</f>
        <v/>
      </c>
      <c r="C28" s="182" t="inlineStr">
        <is>
          <t>ZI_ALL</t>
        </is>
      </c>
      <c r="D28" s="182">
        <f>IF(_epmOfflineCondition_,"ZI_ALL - 全部ITEM",EPMOlapMemberO("[C_ITEM].[PARENTH1].[ZI_ALL]","","ZI_ALL - 全部ITEM","","000"))</f>
        <v/>
      </c>
      <c r="E28" s="182">
        <f>IF(_epmOfflineCondition_,"ZI_ALL",EPMOlapMemberO(G28,"[C_ITEM].[PARENTH1].[ZI_ALL]","ZI_ALL - 全部ITEM","","001"))</f>
        <v/>
      </c>
      <c r="F28" s="885">
        <f>IF(_epmOfflineCondition_,"ZI_ALL",EPMOlapMemberO(G28,"[C_ITEM].[PARENTH1].[ZI_ALL]","ZI_ALL - 全部ITEM","","002"))</f>
        <v/>
      </c>
      <c r="G28" s="182" t="inlineStr">
        <is>
          <t>ZI_ALL</t>
        </is>
      </c>
      <c r="H28" s="13" t="n"/>
      <c r="I28" s="13" t="n"/>
      <c r="J28" s="13" t="n"/>
      <c r="K28" s="13" t="n"/>
      <c r="L28" s="13" t="n"/>
      <c r="M28" s="13" t="n"/>
      <c r="N28" s="13" t="n"/>
      <c r="O28" s="13" t="n"/>
      <c r="P28" s="13" t="n"/>
      <c r="Q28" s="13" t="n"/>
      <c r="R28" s="13" t="n"/>
      <c r="S28" s="13" t="n"/>
      <c r="T28" s="13" t="n"/>
      <c r="U28" s="35" t="n"/>
      <c r="V28" s="35" t="n"/>
      <c r="W28" s="13" t="n"/>
      <c r="X28" s="171" t="n"/>
      <c r="Y28" s="13" t="n"/>
      <c r="Z28" s="200" t="inlineStr">
        <is>
          <t>F20</t>
        </is>
      </c>
      <c r="AA28" s="200" t="inlineStr">
        <is>
          <t>F20</t>
        </is>
      </c>
      <c r="AB28" s="13" t="n"/>
      <c r="AC28" s="13" t="n"/>
      <c r="AD28" s="13" t="n"/>
      <c r="AE28" s="13" t="n"/>
      <c r="AF28" s="13" t="n"/>
      <c r="AG28" s="13" t="n"/>
      <c r="AH28" s="13" t="n"/>
      <c r="AI28" s="13" t="n"/>
      <c r="AJ28" s="13" t="n"/>
      <c r="AK28" s="178" t="inlineStr">
        <is>
          <t>FMOV_OP</t>
        </is>
      </c>
      <c r="AL28" s="178" t="inlineStr">
        <is>
          <t>FMOV_OP</t>
        </is>
      </c>
      <c r="AM28" s="716" t="n"/>
      <c r="AN28" s="716" t="n"/>
      <c r="AO28" s="716" t="n"/>
      <c r="AP28" s="716" t="n"/>
      <c r="AQ28" s="716" t="n"/>
      <c r="AR28" s="716" t="n"/>
      <c r="AS28" s="716" t="n"/>
      <c r="AT28" s="178" t="inlineStr">
        <is>
          <t>FEND</t>
        </is>
      </c>
      <c r="AU28" s="178" t="inlineStr">
        <is>
          <t>F00T</t>
        </is>
      </c>
      <c r="AV28" s="178" t="inlineStr">
        <is>
          <t>FEND</t>
        </is>
      </c>
      <c r="AW28" s="178" t="inlineStr">
        <is>
          <t>F00T</t>
        </is>
      </c>
      <c r="AX28" s="13" t="n"/>
      <c r="AY28" s="13" t="n"/>
    </row>
    <row r="29" hidden="1" customFormat="1" s="13">
      <c r="A29" s="175" t="inlineStr">
        <is>
          <t>U10</t>
        </is>
      </c>
      <c r="B29" s="176">
        <f>IF(_epmOfflineCondition_,"C_MISK",EPMDimensionType(,A29))</f>
        <v/>
      </c>
      <c r="C29" s="672" t="inlineStr">
        <is>
          <t>ZM_ALL</t>
        </is>
      </c>
      <c r="D29" s="182" t="n"/>
      <c r="E29" s="182" t="n"/>
      <c r="F29" s="885" t="n"/>
      <c r="G29" s="182" t="n"/>
      <c r="H29" s="13" t="n"/>
      <c r="I29" s="13" t="n"/>
      <c r="J29" s="13" t="n"/>
      <c r="K29" s="13" t="n"/>
      <c r="L29" s="13" t="n"/>
      <c r="M29" s="13" t="n"/>
      <c r="N29" s="13" t="n"/>
      <c r="O29" s="13" t="n"/>
      <c r="P29" s="13" t="n"/>
      <c r="Q29" s="13" t="n"/>
      <c r="R29" s="13" t="n"/>
      <c r="S29" s="1103" t="n"/>
      <c r="T29" s="13" t="n"/>
      <c r="U29" s="35" t="n"/>
      <c r="V29" s="35" t="n"/>
      <c r="W29" s="13" t="n"/>
      <c r="X29" s="171" t="n"/>
      <c r="Y29" s="13" t="n"/>
      <c r="Z29" s="178" t="inlineStr">
        <is>
          <t>ZM_ALL</t>
        </is>
      </c>
      <c r="AA29" s="178" t="inlineStr">
        <is>
          <t>ZM_ALL</t>
        </is>
      </c>
      <c r="AB29" s="13" t="n"/>
      <c r="AC29" s="13" t="n"/>
      <c r="AD29" s="13" t="n"/>
      <c r="AE29" s="13" t="n"/>
      <c r="AF29" s="13" t="n"/>
      <c r="AG29" s="13" t="n"/>
      <c r="AH29" s="13" t="n"/>
      <c r="AI29" s="13" t="n"/>
      <c r="AJ29" s="13" t="n"/>
      <c r="AK29" s="178" t="inlineStr">
        <is>
          <t>ZM_ALL</t>
        </is>
      </c>
      <c r="AL29" s="178" t="inlineStr">
        <is>
          <t>ZM_ALL</t>
        </is>
      </c>
      <c r="AM29" s="716" t="n"/>
      <c r="AN29" s="716" t="n"/>
      <c r="AO29" s="716" t="n"/>
      <c r="AP29" s="716" t="n"/>
      <c r="AQ29" s="716" t="n"/>
      <c r="AR29" s="716" t="n"/>
      <c r="AS29" s="716" t="n"/>
      <c r="AT29" s="178" t="inlineStr">
        <is>
          <t>ZM_ALL</t>
        </is>
      </c>
      <c r="AU29" s="178" t="inlineStr">
        <is>
          <t>ZM_ALL</t>
        </is>
      </c>
      <c r="AV29" s="178" t="inlineStr">
        <is>
          <t>ZM_ALL</t>
        </is>
      </c>
      <c r="AW29" s="178" t="inlineStr">
        <is>
          <t>ZM_ALL</t>
        </is>
      </c>
      <c r="AX29" s="13" t="n"/>
      <c r="AY29" s="13" t="n"/>
    </row>
    <row r="30" hidden="1" customFormat="1" s="13">
      <c r="A30" s="175" t="n"/>
      <c r="B30" s="175">
        <f>IF(_epmOfflineCondition_,"",EPMDimensionType(,A30))</f>
        <v/>
      </c>
      <c r="C30" s="182" t="inlineStr">
        <is>
          <t>PERIODIC</t>
        </is>
      </c>
      <c r="D30" s="182" t="n"/>
      <c r="E30" s="182" t="n"/>
      <c r="F30" s="182" t="n"/>
      <c r="G30" s="182" t="n"/>
      <c r="H30" s="13" t="n"/>
      <c r="I30" s="13" t="n"/>
      <c r="J30" s="13" t="n"/>
      <c r="K30" s="13" t="n"/>
      <c r="L30" s="13" t="n"/>
      <c r="M30" s="13" t="n"/>
      <c r="N30" s="13" t="n"/>
      <c r="O30" s="13" t="n"/>
      <c r="P30" s="13" t="n"/>
      <c r="Q30" s="13" t="n"/>
      <c r="R30" s="13" t="n"/>
      <c r="S30" s="13" t="n"/>
      <c r="T30" s="13" t="n"/>
      <c r="U30" s="35" t="n"/>
      <c r="V30" s="35" t="n"/>
      <c r="W30" s="13" t="n"/>
      <c r="X30" s="171" t="n"/>
      <c r="Y30" s="13" t="n"/>
      <c r="Z30" s="13" t="n"/>
      <c r="AA30" s="13" t="n"/>
      <c r="AB30" s="13" t="n"/>
      <c r="AC30" s="13" t="n"/>
      <c r="AD30" s="13" t="n"/>
      <c r="AE30" s="13" t="n"/>
      <c r="AF30" s="13" t="n"/>
      <c r="AG30" s="13" t="n"/>
      <c r="AH30" s="13" t="n"/>
      <c r="AI30" s="13" t="n"/>
      <c r="AJ30" s="716" t="n"/>
      <c r="AK30" s="178" t="inlineStr">
        <is>
          <t>YTD</t>
        </is>
      </c>
      <c r="AL30" s="178" t="inlineStr">
        <is>
          <t>YTD</t>
        </is>
      </c>
      <c r="AM30" s="716" t="n"/>
      <c r="AN30" s="716" t="n"/>
      <c r="AO30" s="716" t="n"/>
      <c r="AP30" s="716" t="n"/>
      <c r="AQ30" s="716" t="n"/>
      <c r="AR30" s="716" t="n"/>
      <c r="AS30" s="716" t="n"/>
      <c r="AT30" s="178" t="inlineStr">
        <is>
          <t>YTD</t>
        </is>
      </c>
      <c r="AU30" s="178" t="inlineStr">
        <is>
          <t>YTD</t>
        </is>
      </c>
      <c r="AV30" s="178" t="inlineStr">
        <is>
          <t>YTD</t>
        </is>
      </c>
      <c r="AW30" s="178" t="inlineStr">
        <is>
          <t>YTD</t>
        </is>
      </c>
      <c r="AX30" s="13" t="n"/>
      <c r="AY30" s="13" t="n"/>
    </row>
    <row r="31" hidden="1" customFormat="1" s="13">
      <c r="A31" s="13" t="n"/>
      <c r="B31" s="1103" t="inlineStr">
        <is>
          <t>判断单位“所属二级单位”属性，热力单位单独计算“11、成本费用总额占营业收入（含补贴）比重（%）（热力用）”。</t>
        </is>
      </c>
      <c r="C31" s="1103">
        <f>IF(_epmOfflineCondition_,"清洁能源",EPMMemberProperty(,LEFT(C21,7),"所属二级单位"))</f>
        <v/>
      </c>
      <c r="D31" s="1103" t="n"/>
      <c r="E31" s="13" t="n"/>
      <c r="F31" s="13" t="n"/>
      <c r="G31" s="13" t="n"/>
      <c r="H31" s="13" t="n"/>
      <c r="I31" s="13" t="n"/>
      <c r="J31" s="13" t="n"/>
      <c r="K31" s="13" t="n"/>
      <c r="L31" s="13" t="n"/>
      <c r="M31" s="13" t="n"/>
      <c r="N31" s="13" t="n"/>
      <c r="O31" s="13" t="n"/>
      <c r="P31" s="13" t="n"/>
      <c r="Q31" s="13" t="n"/>
      <c r="R31" s="13" t="n"/>
      <c r="S31" s="13" t="n"/>
      <c r="T31" s="13" t="n"/>
      <c r="U31" s="35" t="n"/>
      <c r="V31" s="35" t="n"/>
      <c r="W31" s="13" t="n"/>
      <c r="X31" s="171" t="n"/>
      <c r="Y31" s="384" t="n"/>
      <c r="Z31" s="13" t="n"/>
      <c r="AA31" s="13" t="n"/>
      <c r="AB31" s="13" t="n"/>
      <c r="AC31" s="13" t="n"/>
      <c r="AD31" s="13" t="n"/>
      <c r="AE31" s="13" t="n"/>
      <c r="AF31" s="13" t="n"/>
      <c r="AG31" s="13" t="n"/>
      <c r="AH31" s="13" t="n"/>
      <c r="AI31" s="13" t="n"/>
      <c r="AJ31" s="716" t="n"/>
      <c r="AK31" s="13" t="inlineStr">
        <is>
          <t>F30</t>
        </is>
      </c>
      <c r="AL31" s="13" t="inlineStr">
        <is>
          <t>F20</t>
        </is>
      </c>
      <c r="AM31" s="13" t="n"/>
      <c r="AN31" s="13" t="n"/>
      <c r="AO31" s="13" t="n"/>
      <c r="AP31" s="13" t="n"/>
      <c r="AQ31" s="13" t="n"/>
      <c r="AR31" s="13" t="n"/>
      <c r="AS31" s="13" t="n"/>
      <c r="AT31" s="13" t="n"/>
      <c r="AU31" s="13" t="n"/>
      <c r="AV31" s="13" t="n"/>
      <c r="AW31" s="13" t="n"/>
      <c r="AX31" s="13" t="n"/>
      <c r="AY31" s="13" t="n"/>
    </row>
    <row r="32" hidden="1" customFormat="1" s="13">
      <c r="A32" s="13" t="n"/>
      <c r="B32" s="880" t="inlineStr">
        <is>
          <t>LC</t>
        </is>
      </c>
      <c r="C32" s="1103" t="n"/>
      <c r="D32" s="1103" t="n"/>
      <c r="E32" s="13" t="n"/>
      <c r="F32" s="13" t="n"/>
      <c r="G32" s="13" t="n"/>
      <c r="H32" s="13" t="n"/>
      <c r="I32" s="13" t="n"/>
      <c r="J32" s="13" t="n"/>
      <c r="K32" s="13" t="n"/>
      <c r="L32" s="13" t="n"/>
      <c r="M32" s="13" t="n"/>
      <c r="N32" s="13" t="n"/>
      <c r="O32" s="13" t="n"/>
      <c r="P32" s="13" t="n"/>
      <c r="Q32" s="13" t="n"/>
      <c r="R32" s="13" t="n"/>
      <c r="S32" s="13" t="n"/>
      <c r="T32" s="13" t="n"/>
      <c r="U32" s="13" t="n"/>
      <c r="V32" s="13" t="n"/>
      <c r="W32" s="13" t="n"/>
      <c r="X32" s="171" t="n"/>
      <c r="Y32" s="13" t="n"/>
      <c r="Z32" s="13" t="n"/>
      <c r="AA32" s="13" t="n"/>
      <c r="AB32" s="13" t="n"/>
      <c r="AC32" s="13" t="n"/>
      <c r="AD32" s="13" t="n"/>
      <c r="AE32" s="13" t="n"/>
      <c r="AF32" s="13" t="n"/>
      <c r="AG32" s="13" t="n"/>
      <c r="AH32" s="13" t="n"/>
      <c r="AI32" s="13" t="n"/>
      <c r="AJ32" s="716" t="n"/>
      <c r="AK32" s="13" t="n"/>
      <c r="AL32" s="13" t="n"/>
      <c r="AM32" s="13" t="n"/>
      <c r="AN32" s="13" t="n"/>
      <c r="AO32" s="13" t="n"/>
      <c r="AP32" s="13" t="n"/>
      <c r="AQ32" s="13" t="n"/>
      <c r="AR32" s="13" t="n"/>
      <c r="AS32" s="13" t="n"/>
      <c r="AT32" s="13" t="n"/>
      <c r="AU32" s="13" t="n"/>
      <c r="AV32" s="13" t="n"/>
      <c r="AW32" s="13" t="n"/>
      <c r="AX32" s="13" t="n"/>
      <c r="AY32" s="13" t="n"/>
    </row>
    <row r="33" hidden="1" customFormat="1" s="13">
      <c r="A33" s="13" t="n"/>
      <c r="B33" s="880" t="inlineStr">
        <is>
          <t>CNY</t>
        </is>
      </c>
      <c r="C33" s="1103" t="n"/>
      <c r="D33" s="1103" t="n"/>
      <c r="E33" s="13" t="n"/>
      <c r="F33" s="13" t="n"/>
      <c r="G33" s="13" t="n"/>
      <c r="H33" s="13" t="n"/>
      <c r="I33" s="13" t="n"/>
      <c r="J33" s="13" t="n"/>
      <c r="K33" s="13" t="n"/>
      <c r="L33" s="13" t="n"/>
      <c r="M33" s="13" t="n"/>
      <c r="N33" s="13" t="n"/>
      <c r="O33" s="13" t="n"/>
      <c r="P33" s="13" t="n"/>
      <c r="Q33" s="13" t="n"/>
      <c r="R33" s="13" t="n"/>
      <c r="S33" s="13" t="n"/>
      <c r="T33" s="13" t="n"/>
      <c r="U33" s="13" t="n"/>
      <c r="V33" s="13" t="n"/>
      <c r="W33" s="13" t="n"/>
      <c r="X33" s="171" t="n"/>
      <c r="Y33" s="13" t="n"/>
      <c r="Z33" s="13" t="n"/>
      <c r="AA33" s="13" t="n"/>
      <c r="AB33" s="13" t="n"/>
      <c r="AC33" s="13" t="n"/>
      <c r="AD33" s="13" t="n"/>
      <c r="AE33" s="13" t="n"/>
      <c r="AF33" s="13" t="n"/>
      <c r="AG33" s="13" t="n"/>
      <c r="AH33" s="13" t="n"/>
      <c r="AI33" s="13" t="n"/>
      <c r="AJ33" s="716" t="n"/>
      <c r="AK33" s="13" t="n"/>
      <c r="AL33" s="13" t="n"/>
      <c r="AM33" s="13" t="n"/>
      <c r="AN33" s="13" t="n"/>
      <c r="AO33" s="13" t="n"/>
      <c r="AP33" s="13" t="n"/>
      <c r="AQ33" s="13" t="n"/>
      <c r="AR33" s="13" t="n"/>
      <c r="AS33" s="13" t="n"/>
      <c r="AT33" s="13" t="n"/>
      <c r="AU33" s="13" t="n"/>
      <c r="AV33" s="13" t="n"/>
      <c r="AW33" s="13" t="n"/>
      <c r="AX33" s="13" t="n"/>
      <c r="AY33" s="13" t="n"/>
    </row>
    <row r="34" hidden="1" ht="10.5" customFormat="1" customHeight="1" s="13">
      <c r="A34" s="13" t="n"/>
      <c r="B34" s="1103" t="n"/>
      <c r="C34" s="1103" t="n"/>
      <c r="D34" s="1103" t="n"/>
      <c r="E34" s="13" t="n"/>
      <c r="F34" s="13" t="n"/>
      <c r="G34" s="13" t="n"/>
      <c r="H34" s="13" t="n"/>
      <c r="I34" s="13" t="n"/>
      <c r="J34" s="13" t="n"/>
      <c r="K34" s="13" t="n"/>
      <c r="L34" s="13" t="n"/>
      <c r="M34" s="13" t="n"/>
      <c r="N34" s="13" t="n"/>
      <c r="O34" s="13" t="n"/>
      <c r="P34" s="13" t="n"/>
      <c r="Q34" s="13" t="n"/>
      <c r="R34" s="13" t="n"/>
      <c r="S34" s="13" t="n"/>
      <c r="T34" s="13" t="n"/>
      <c r="U34" s="13" t="n"/>
      <c r="V34" s="13" t="n"/>
      <c r="W34" s="13" t="n"/>
      <c r="X34" s="171" t="n"/>
      <c r="Y34" s="13" t="n"/>
      <c r="Z34" s="13" t="n"/>
      <c r="AA34" s="13" t="n"/>
      <c r="AB34" s="13" t="n"/>
      <c r="AC34" s="13" t="n"/>
      <c r="AD34" s="13" t="n"/>
      <c r="AE34" s="13" t="n"/>
      <c r="AF34" s="13" t="n"/>
      <c r="AG34" s="13" t="n"/>
      <c r="AH34" s="13" t="n"/>
      <c r="AI34" s="13" t="n"/>
      <c r="AJ34" s="716" t="n"/>
      <c r="AK34" s="13" t="n"/>
      <c r="AL34" s="13" t="n"/>
      <c r="AM34" s="13" t="n"/>
      <c r="AN34" s="13" t="n"/>
      <c r="AO34" s="13" t="n"/>
      <c r="AP34" s="13" t="n"/>
      <c r="AQ34" s="13" t="n"/>
      <c r="AR34" s="13" t="n"/>
      <c r="AS34" s="13" t="n"/>
      <c r="AT34" s="13" t="n"/>
      <c r="AU34" s="13" t="n"/>
      <c r="AV34" s="13" t="n"/>
      <c r="AW34" s="13" t="n"/>
      <c r="AX34" s="13" t="n"/>
      <c r="AY34" s="13" t="n"/>
    </row>
    <row r="35" ht="32.25" customHeight="1" s="1181">
      <c r="A35" s="384" t="n"/>
      <c r="B35" s="880" t="inlineStr">
        <is>
          <t>单体、合并存数</t>
        </is>
      </c>
      <c r="C35" s="384" t="n"/>
      <c r="D35" s="384" t="n"/>
      <c r="E35" s="384" t="n"/>
      <c r="F35" s="384" t="n"/>
      <c r="G35" s="384" t="n"/>
      <c r="H35" s="384" t="n"/>
      <c r="I35" s="384" t="n"/>
      <c r="J35" s="384" t="n"/>
      <c r="K35" s="384" t="n"/>
      <c r="L35" s="384" t="n"/>
      <c r="M35" s="384" t="n"/>
      <c r="N35" s="384" t="n"/>
      <c r="O35" s="384" t="n"/>
      <c r="P35" s="384" t="n"/>
      <c r="Q35" s="384" t="n"/>
      <c r="R35" s="384" t="n"/>
      <c r="S35" s="32" t="n"/>
      <c r="T35" s="384" t="n"/>
      <c r="U35" s="384" t="n"/>
      <c r="V35" s="384" t="n"/>
      <c r="W35" s="384" t="n"/>
      <c r="X35" s="38" t="n"/>
      <c r="Y35" s="384" t="n"/>
      <c r="Z35" s="891" t="inlineStr">
        <is>
          <t>主要财务指标评价表</t>
        </is>
      </c>
      <c r="AC35" s="384" t="n"/>
      <c r="AD35" s="384" t="n"/>
      <c r="AE35" s="384" t="n"/>
      <c r="AF35" s="384" t="n"/>
      <c r="AG35" s="905" t="n"/>
      <c r="AH35" s="905" t="n"/>
      <c r="AI35" s="905" t="n"/>
      <c r="AJ35" s="905" t="n"/>
      <c r="AK35" s="919" t="inlineStr">
        <is>
          <t>利润表</t>
        </is>
      </c>
      <c r="AL35" s="1183" t="n"/>
      <c r="AM35" s="201" t="n"/>
      <c r="AN35" s="384" t="n"/>
      <c r="AO35" s="384" t="n"/>
      <c r="AP35" s="384" t="n"/>
      <c r="AQ35" s="905" t="n"/>
      <c r="AR35" s="905" t="n"/>
      <c r="AS35" s="919" t="inlineStr">
        <is>
          <t>资产负债表</t>
        </is>
      </c>
      <c r="AT35" s="1182" t="n"/>
      <c r="AU35" s="1183" t="n"/>
      <c r="AV35" s="384" t="n"/>
      <c r="AW35" s="384" t="n"/>
      <c r="AX35" s="384" t="n"/>
      <c r="AY35" s="384" t="n"/>
    </row>
    <row r="36" ht="15.2" customFormat="1" customHeight="1" s="716">
      <c r="A36" s="716" t="n"/>
      <c r="B36" s="716" t="inlineStr">
        <is>
          <t>I_DUMMY</t>
        </is>
      </c>
      <c r="C36" s="716" t="n"/>
      <c r="D36" s="716" t="n"/>
      <c r="E36" s="716" t="n"/>
      <c r="F36" s="716" t="n"/>
      <c r="G36" s="716" t="n"/>
      <c r="H36" s="716" t="n"/>
      <c r="I36" s="716" t="n"/>
      <c r="J36" s="716" t="n"/>
      <c r="K36" s="716" t="n"/>
      <c r="L36" s="716" t="n"/>
      <c r="M36" s="716" t="n"/>
      <c r="N36" s="716" t="n"/>
      <c r="O36" s="716" t="n"/>
      <c r="P36" s="716" t="n"/>
      <c r="Q36" s="716" t="n"/>
      <c r="R36" s="716" t="n"/>
      <c r="S36" s="462" t="n"/>
      <c r="T36" s="716" t="n"/>
      <c r="U36" s="716" t="n"/>
      <c r="V36" s="716" t="n"/>
      <c r="W36" s="716" t="n"/>
      <c r="X36" s="190">
        <f>"编制单位："&amp;(IF(C6="E_ALL",D11,D6))</f>
        <v/>
      </c>
      <c r="Y36" s="716" t="n"/>
      <c r="Z36" s="203" t="n"/>
      <c r="AA36" s="716" t="n"/>
      <c r="AB36" s="716" t="n"/>
      <c r="AC36" s="716" t="n"/>
      <c r="AD36" s="716" t="n"/>
      <c r="AE36" s="716" t="n"/>
      <c r="AF36" s="716" t="n"/>
      <c r="AG36" s="920" t="n"/>
      <c r="AH36" s="920" t="n"/>
      <c r="AI36" s="907">
        <f>IF(_epmOfflineCondition_,"编制单位：内蒙古京能苏尼特风力发电有限公司（内蒙古分公司）","编制单位："&amp;EPMMemberDesc($D$6))</f>
        <v/>
      </c>
      <c r="AJ36" s="920" t="n"/>
      <c r="AK36" s="920" t="n"/>
      <c r="AL36" s="920" t="n"/>
      <c r="AM36" s="716" t="n"/>
      <c r="AN36" s="716" t="n"/>
      <c r="AO36" s="716" t="n"/>
      <c r="AP36" s="716" t="n"/>
      <c r="AQ36" s="920" t="n"/>
      <c r="AR36" s="920" t="n"/>
      <c r="AS36" s="934">
        <f>IF(_epmOfflineCondition_,"编制单位：内蒙古京能苏尼特风力发电有限公司（内蒙古分公司）","编制单位："&amp;EPMMemberDesc($D$6))</f>
        <v/>
      </c>
      <c r="AT36" s="935" t="n"/>
      <c r="AU36" s="935" t="n"/>
      <c r="AV36" s="716" t="n"/>
      <c r="AW36" s="716" t="n"/>
      <c r="AX36" s="716" t="n"/>
      <c r="AY36" s="716" t="n"/>
    </row>
    <row r="37" ht="17.55" customFormat="1" customHeight="1" s="716">
      <c r="A37" s="716" t="n"/>
      <c r="B37" s="716" t="inlineStr">
        <is>
          <t>ZP_DUMMY</t>
        </is>
      </c>
      <c r="C37" s="716" t="n"/>
      <c r="D37" s="716" t="n"/>
      <c r="E37" s="716" t="n"/>
      <c r="F37" s="716" t="n"/>
      <c r="G37" s="716" t="n"/>
      <c r="H37" s="716" t="n"/>
      <c r="I37" s="716" t="n"/>
      <c r="J37" s="716" t="n"/>
      <c r="K37" s="716" t="n"/>
      <c r="L37" s="384" t="n"/>
      <c r="M37" s="384" t="n"/>
      <c r="N37" s="384" t="n"/>
      <c r="O37" s="716" t="n"/>
      <c r="P37" s="716" t="n"/>
      <c r="Q37" s="716" t="n"/>
      <c r="R37" s="716" t="n"/>
      <c r="S37" s="462" t="n"/>
      <c r="T37" s="716" t="n"/>
      <c r="U37" s="716" t="n"/>
      <c r="V37" s="716" t="n"/>
      <c r="W37" s="716" t="n"/>
      <c r="X37" s="190">
        <f>"编制月份："&amp;$I$3&amp;"年"&amp;$I$8&amp;"月"</f>
        <v/>
      </c>
      <c r="Y37" s="434" t="inlineStr">
        <is>
          <t>币种：</t>
        </is>
      </c>
      <c r="Z37" s="434" t="inlineStr">
        <is>
          <t>LC</t>
        </is>
      </c>
      <c r="AA37" s="116" t="inlineStr">
        <is>
          <t>非外币单体：LC。外币单体：LC或CNY。合并层：上下文C_Scope选择对应的合并范围，C_Entity选择E_ALL，币种选CNY</t>
        </is>
      </c>
      <c r="AB37" s="716" t="n"/>
      <c r="AC37" s="716" t="n"/>
      <c r="AD37" s="716" t="n"/>
      <c r="AE37" s="716" t="n"/>
      <c r="AF37" s="716" t="n"/>
      <c r="AG37" s="920" t="n"/>
      <c r="AH37" s="920" t="n"/>
      <c r="AI37" s="907">
        <f>"编制月份："&amp;$I$3&amp;"年"&amp;$I$8&amp;"月"</f>
        <v/>
      </c>
      <c r="AJ37" s="920" t="n"/>
      <c r="AK37" s="920" t="n"/>
      <c r="AL37" s="920" t="n"/>
      <c r="AM37" s="716" t="n"/>
      <c r="AN37" s="716" t="n"/>
      <c r="AO37" s="716" t="n"/>
      <c r="AP37" s="716" t="n"/>
      <c r="AQ37" s="920" t="n"/>
      <c r="AR37" s="920" t="n"/>
      <c r="AS37" s="934">
        <f>"编制月份："&amp;$I$3&amp;"年"&amp;$I$8&amp;"月"</f>
        <v/>
      </c>
      <c r="AT37" s="1272" t="inlineStr">
        <is>
          <t>本年</t>
        </is>
      </c>
      <c r="AU37" s="1183" t="n"/>
      <c r="AV37" s="716" t="n"/>
      <c r="AW37" s="716" t="n"/>
      <c r="AX37" s="716" t="n"/>
      <c r="AY37" s="716" t="n"/>
    </row>
    <row r="38" ht="10.5" customFormat="1" customHeight="1" s="716">
      <c r="A38" s="716" t="n"/>
      <c r="B38" s="716" t="inlineStr">
        <is>
          <t>ZI_DUMMY</t>
        </is>
      </c>
      <c r="C38" s="716" t="n"/>
      <c r="D38" s="716" t="n"/>
      <c r="E38" s="716" t="n"/>
      <c r="F38" s="716" t="n"/>
      <c r="G38" s="716" t="n"/>
      <c r="H38" s="716" t="n"/>
      <c r="I38" s="716" t="n"/>
      <c r="J38" s="716" t="n"/>
      <c r="K38" s="716" t="n"/>
      <c r="L38" s="384" t="n"/>
      <c r="M38" s="384" t="n"/>
      <c r="N38" s="384" t="n"/>
      <c r="O38" s="716" t="n"/>
      <c r="P38" s="716" t="n"/>
      <c r="Q38" s="716" t="n"/>
      <c r="R38" s="716" t="n"/>
      <c r="S38" s="462" t="n"/>
      <c r="T38" s="716" t="n"/>
      <c r="U38" s="716" t="n"/>
      <c r="V38" s="716" t="n"/>
      <c r="W38" s="716" t="n"/>
      <c r="X38" s="1273" t="inlineStr">
        <is>
          <t>项目</t>
        </is>
      </c>
      <c r="Y38" s="1274" t="inlineStr">
        <is>
          <t>行次</t>
        </is>
      </c>
      <c r="Z38" s="1274" t="inlineStr">
        <is>
          <t>本期</t>
        </is>
      </c>
      <c r="AA38" s="1274" t="inlineStr">
        <is>
          <t>上年同期</t>
        </is>
      </c>
      <c r="AB38" s="1274" t="inlineStr">
        <is>
          <t>增减</t>
        </is>
      </c>
      <c r="AC38" s="1275" t="inlineStr">
        <is>
          <t>指标解释</t>
        </is>
      </c>
      <c r="AD38" s="716" t="n"/>
      <c r="AE38" s="716" t="n"/>
      <c r="AF38" s="716" t="n"/>
      <c r="AG38" s="920" t="n"/>
      <c r="AH38" s="920" t="n"/>
      <c r="AI38" s="908" t="inlineStr">
        <is>
          <t>项        目</t>
        </is>
      </c>
      <c r="AJ38" s="908" t="inlineStr">
        <is>
          <t>行次</t>
        </is>
      </c>
      <c r="AK38" s="908" t="inlineStr">
        <is>
          <t>本年累计数</t>
        </is>
      </c>
      <c r="AL38" s="908" t="inlineStr">
        <is>
          <t>上年同期累计数</t>
        </is>
      </c>
      <c r="AM38" s="716" t="n"/>
      <c r="AN38" s="716" t="n"/>
      <c r="AO38" s="716" t="n"/>
      <c r="AP38" s="716" t="n"/>
      <c r="AQ38" s="924" t="n"/>
      <c r="AR38" s="924" t="n"/>
      <c r="AS38" s="924" t="n"/>
      <c r="AT38" s="924" t="n"/>
      <c r="AU38" s="924" t="n"/>
      <c r="AV38" s="716" t="n"/>
      <c r="AW38" s="716" t="n"/>
      <c r="AX38" s="716" t="n"/>
      <c r="AY38" s="716" t="n"/>
    </row>
    <row r="39" ht="16.5" customFormat="1" customHeight="1" s="716">
      <c r="A39" s="716" t="n"/>
      <c r="B39" s="716" t="inlineStr">
        <is>
          <t>ZM_DUMMY</t>
        </is>
      </c>
      <c r="C39" s="716" t="n"/>
      <c r="D39" s="716" t="n"/>
      <c r="E39" s="716" t="n"/>
      <c r="F39" s="716" t="n"/>
      <c r="G39" s="716" t="n"/>
      <c r="H39" s="716" t="n"/>
      <c r="I39" s="716" t="n"/>
      <c r="J39" s="716" t="n"/>
      <c r="K39" s="716" t="n"/>
      <c r="L39" s="384" t="n"/>
      <c r="M39" s="384" t="n"/>
      <c r="N39" s="384" t="n"/>
      <c r="O39" s="384" t="n"/>
      <c r="P39" s="384" t="n"/>
      <c r="Q39" s="384" t="n"/>
      <c r="R39" s="32" t="n"/>
      <c r="S39" s="384" t="n"/>
      <c r="T39" s="384" t="n"/>
      <c r="U39" s="384" t="n"/>
      <c r="V39" s="384" t="n"/>
      <c r="W39" s="716" t="n"/>
      <c r="X39" s="1276" t="n"/>
      <c r="Y39" s="1184" t="n"/>
      <c r="Z39" s="1184" t="n"/>
      <c r="AA39" s="1184" t="n"/>
      <c r="AB39" s="1184" t="n"/>
      <c r="AC39" s="1277" t="n"/>
      <c r="AD39" s="716" t="n"/>
      <c r="AE39" s="716" t="n"/>
      <c r="AF39" s="716" t="n"/>
      <c r="AG39" s="920" t="n"/>
      <c r="AH39" s="920" t="n"/>
      <c r="AI39" s="1184" t="n"/>
      <c r="AJ39" s="1184" t="n"/>
      <c r="AK39" s="1184" t="n"/>
      <c r="AL39" s="1184" t="n"/>
      <c r="AM39" s="716" t="n"/>
      <c r="AN39" s="716" t="n"/>
      <c r="AO39" s="716" t="n"/>
      <c r="AP39" s="716" t="n"/>
      <c r="AQ39" s="925" t="n"/>
      <c r="AR39" s="926" t="n"/>
      <c r="AS39" s="938" t="inlineStr">
        <is>
          <t>项目</t>
        </is>
      </c>
      <c r="AT39" s="938" t="inlineStr">
        <is>
          <t>期末余额</t>
        </is>
      </c>
      <c r="AU39" s="939" t="inlineStr">
        <is>
          <t>期初余额</t>
        </is>
      </c>
      <c r="AV39" s="938" t="inlineStr">
        <is>
          <t>期末余额</t>
        </is>
      </c>
      <c r="AW39" s="939" t="inlineStr">
        <is>
          <t>期初余额</t>
        </is>
      </c>
      <c r="AX39" s="716" t="n"/>
      <c r="AY39" s="716" t="n"/>
    </row>
    <row r="40" hidden="1" customFormat="1" s="716">
      <c r="A40" s="716" t="n"/>
      <c r="B40" s="716" t="inlineStr">
        <is>
          <t>D1151</t>
        </is>
      </c>
      <c r="C40" s="716" t="n"/>
      <c r="D40" s="716" t="n"/>
      <c r="E40" s="716" t="n"/>
      <c r="F40" s="384" t="n"/>
      <c r="G40" s="716" t="n"/>
      <c r="H40" s="716" t="n"/>
      <c r="I40" s="716" t="n"/>
      <c r="J40" s="716" t="n"/>
      <c r="K40" s="716" t="n"/>
      <c r="L40" s="384" t="n"/>
      <c r="M40" s="384" t="n"/>
      <c r="N40" s="384" t="n"/>
      <c r="O40" s="384" t="n"/>
      <c r="P40" s="384" t="n"/>
      <c r="Q40" s="384" t="n"/>
      <c r="R40" s="32" t="n"/>
      <c r="S40" s="384" t="n"/>
      <c r="T40" s="384" t="n"/>
      <c r="U40" s="384" t="n"/>
      <c r="V40" s="384" t="n"/>
      <c r="W40" s="716" t="n"/>
      <c r="X40" s="270" t="inlineStr">
        <is>
          <t>measures</t>
        </is>
      </c>
      <c r="Y40" s="296" t="n"/>
      <c r="Z40" s="296">
        <f>IF(_epmOfflineCondition_,"YTD",EPMOlapMemberO(Z$27,"[MEASURES].[].[YTD]","YTD - Year To Date","","000"))</f>
        <v/>
      </c>
      <c r="AA40" s="296">
        <f>IF(_epmOfflineCondition_,"YTD",EPMOlapMemberO(AA$27,"[MEASURES].[].[YTD]","YTD - Year To Date","","000"))</f>
        <v/>
      </c>
      <c r="AB40" s="296">
        <f>IF(_epmOfflineCondition_,"",EPMOlapMemberO(AB$27,"[MEASURES].[].[YTD]","YTD - Year To Date","","000"))</f>
        <v/>
      </c>
      <c r="AC40" s="899" t="n"/>
      <c r="AD40" s="716" t="n"/>
      <c r="AE40" s="716" t="n"/>
      <c r="AF40" s="716" t="n"/>
      <c r="AG40" s="920" t="n"/>
      <c r="AH40" s="920" t="n"/>
      <c r="AI40" s="920" t="n"/>
      <c r="AJ40" s="920" t="n"/>
      <c r="AK40" s="920">
        <f>IF(_epmOfflineCondition_,"C1001",EPMOlapMemberO(AK25,"[C_CATEGORY].[PARENTH1].[C1001]","C1001 - 实际数/决算数","","001"))</f>
        <v/>
      </c>
      <c r="AL40" s="920">
        <f>IF(_epmOfflineCondition_,"C1001",EPMOlapMemberO(AL25,"[C_CATEGORY].[PARENTH1].[C1001]","C1001 - 实际数/决算数","","001"))</f>
        <v/>
      </c>
      <c r="AM40" s="716" t="n"/>
      <c r="AN40" s="716" t="n"/>
      <c r="AO40" s="716" t="n"/>
      <c r="AP40" s="716" t="n"/>
      <c r="AQ40" s="927" t="n"/>
      <c r="AR40" s="920" t="n"/>
      <c r="AS40" s="920" t="n"/>
      <c r="AT40" s="920">
        <f>IF(_epmOfflineCondition_,"C1001",EPMOlapMemberO(AT25,"[C_CATEGORY].[PARENTH1].[C1001]","C1001 - 实际数/决算数","","002"))</f>
        <v/>
      </c>
      <c r="AU40" s="940">
        <f>IF(_epmOfflineCondition_,"C1001",EPMOlapMemberO(AU25,"[C_CATEGORY].[PARENTH1].[C1001]","C1001 - 实际数/决算数","","002"))</f>
        <v/>
      </c>
      <c r="AV40" s="940">
        <f>IF(_epmOfflineCondition_,"C1001",EPMOlapMemberO(AV25,"[C_CATEGORY].[PARENTH1].[C1001]","C1001 - 实际数/决算数","","002"))</f>
        <v/>
      </c>
      <c r="AW40" s="940">
        <f>IF(_epmOfflineCondition_,"C1001",EPMOlapMemberO(AW25,"[C_CATEGORY].[PARENTH1].[C1001]","C1001 - 实际数/决算数","","002"))</f>
        <v/>
      </c>
      <c r="AX40" s="716" t="n"/>
      <c r="AY40" s="716" t="n"/>
    </row>
    <row r="41" hidden="1" ht="14.25" customFormat="1" customHeight="1" s="24">
      <c r="A41" s="716" t="n"/>
      <c r="B41" s="716">
        <f>IF(_epmOfflineCondition_,"E_DUMMY",EPMMemberProperty(,C26,"GHC"))</f>
        <v/>
      </c>
      <c r="C41" s="716" t="n"/>
      <c r="D41" s="716" t="n"/>
      <c r="E41" s="716" t="n"/>
      <c r="F41" s="384" t="n"/>
      <c r="G41" s="716" t="n"/>
      <c r="H41" s="716" t="n"/>
      <c r="I41" s="716" t="n"/>
      <c r="J41" s="716" t="n"/>
      <c r="K41" s="716" t="n"/>
      <c r="L41" s="384" t="n"/>
      <c r="M41" s="384" t="n"/>
      <c r="N41" s="384" t="n"/>
      <c r="O41" s="384" t="n"/>
      <c r="P41" s="384" t="n"/>
      <c r="Q41" s="384" t="n"/>
      <c r="R41" s="32" t="n"/>
      <c r="S41" s="384" t="n"/>
      <c r="T41" s="384" t="n"/>
      <c r="U41" s="384" t="n"/>
      <c r="V41" s="384" t="n"/>
      <c r="W41" s="24" t="n"/>
      <c r="X41" s="270" t="inlineStr">
        <is>
          <t>time</t>
        </is>
      </c>
      <c r="Y41" s="894" t="n"/>
      <c r="Z41" s="894">
        <f>IF(_epmOfflineCondition_,"2025.03",EPMOlapMemberO(Z$26,"[C_TIME].[PARENTH1].[2025.03]","2025.03 - 2025.03","","000"))</f>
        <v/>
      </c>
      <c r="AA41" s="894">
        <f>IF(_epmOfflineCondition_,"2024.03",EPMOlapMemberO(AA$26,"[C_TIME].[PARENTH1].[2024.03]","2024.03 - 2024.03","","000"))</f>
        <v/>
      </c>
      <c r="AB41" s="894">
        <f>IF(_epmOfflineCondition_,"",EPMOlapMemberO(AB$26,"[C_TIME].[PARENTH1].[2022.06]","2022.06 - 2022.06","","000"))</f>
        <v/>
      </c>
      <c r="AC41" s="900" t="n"/>
      <c r="AD41" s="24" t="n"/>
      <c r="AE41" s="24" t="n"/>
      <c r="AF41" s="24" t="n"/>
      <c r="AG41" s="920" t="n"/>
      <c r="AH41" s="920" t="n"/>
      <c r="AI41" s="921" t="n"/>
      <c r="AJ41" s="921" t="n"/>
      <c r="AK41" s="921">
        <f>IF(_epmOfflineCondition_,"2025.03",EPMOlapMemberO(AK26,"[C_TIME].[PARENTH1].[2025.03]","2025.03 - 2025.03","","001"))</f>
        <v/>
      </c>
      <c r="AL41" s="921">
        <f>IF(_epmOfflineCondition_,"2024.03",EPMOlapMemberO(AL26,"[C_TIME].[PARENTH1].[2024.03]","2024.03 - 2024.03","","001"))</f>
        <v/>
      </c>
      <c r="AM41" s="24" t="n"/>
      <c r="AN41" s="24" t="n"/>
      <c r="AO41" s="24" t="n"/>
      <c r="AP41" s="24" t="n"/>
      <c r="AQ41" s="928" t="n"/>
      <c r="AR41" s="921" t="n"/>
      <c r="AS41" s="921" t="n"/>
      <c r="AT41" s="941">
        <f>IF(_epmOfflineCondition_,"2025.03",EPMOlapMemberO(AT26,"[C_TIME].[PARENTH1].[2025.03]","2025.03 - 2025.03","","002"))</f>
        <v/>
      </c>
      <c r="AU41" s="942">
        <f>IF(_epmOfflineCondition_,"2025.03",EPMOlapMemberO(AU26,"[C_TIME].[PARENTH1].[2025.03]","2025.03 - 2025.03","","002"))</f>
        <v/>
      </c>
      <c r="AV41" s="942">
        <f>IF(_epmOfflineCondition_,"2024.03",EPMOlapMemberO(AV26,"[C_TIME].[PARENTH1].[2024.03]","2024.03 - 2024.03","","002"))</f>
        <v/>
      </c>
      <c r="AW41" s="942">
        <f>IF(_epmOfflineCondition_,"2024.03",EPMOlapMemberO(AW26,"[C_TIME].[PARENTH1].[2024.03]","2024.03 - 2024.03","","002"))</f>
        <v/>
      </c>
      <c r="AX41" s="24" t="n"/>
      <c r="AY41" s="24" t="n"/>
    </row>
    <row r="42" hidden="1" ht="14.25" customFormat="1" customHeight="1" s="716">
      <c r="A42" s="716" t="n"/>
      <c r="B42" s="716" t="n"/>
      <c r="C42" s="716" t="n"/>
      <c r="D42" s="716" t="n"/>
      <c r="E42" s="716" t="n"/>
      <c r="F42" s="384" t="n"/>
      <c r="G42" s="716" t="n"/>
      <c r="H42" s="716" t="n"/>
      <c r="I42" s="716" t="n"/>
      <c r="J42" s="716" t="n"/>
      <c r="K42" s="716" t="n"/>
      <c r="L42" s="384" t="n"/>
      <c r="M42" s="384" t="n"/>
      <c r="N42" s="384" t="n"/>
      <c r="O42" s="384" t="n"/>
      <c r="P42" s="384" t="n"/>
      <c r="Q42" s="384" t="n"/>
      <c r="R42" s="32" t="n"/>
      <c r="S42" s="384" t="n"/>
      <c r="T42" s="384" t="n"/>
      <c r="U42" s="384" t="n"/>
      <c r="V42" s="384" t="n"/>
      <c r="W42" s="716" t="n"/>
      <c r="X42" s="270" t="inlineStr">
        <is>
          <t>category</t>
        </is>
      </c>
      <c r="Y42" s="296" t="n"/>
      <c r="Z42" s="296">
        <f>IF(_epmOfflineCondition_,"C1001",EPMOlapMemberO(Z$25,"[C_CATEGORY].[PARENTH1].[C1001]","C1001 - 实际数/决算数","","000"))</f>
        <v/>
      </c>
      <c r="AA42" s="296">
        <f>IF(_epmOfflineCondition_,"C1001",EPMOlapMemberO(AA$25,"[C_CATEGORY].[PARENTH1].[C1001]","C1001 - 实际数/决算数","","000"))</f>
        <v/>
      </c>
      <c r="AB42" s="296">
        <f>IF(_epmOfflineCondition_,"",EPMOlapMemberO(AB$25,"[C_CATEGORY].[PARENTH1].[C1001]","C1001 - 实际数/决算数","","000"))</f>
        <v/>
      </c>
      <c r="AC42" s="899" t="n"/>
      <c r="AD42" s="716" t="n"/>
      <c r="AE42" s="716" t="n"/>
      <c r="AF42" s="716" t="n"/>
      <c r="AG42" s="920" t="n"/>
      <c r="AH42" s="920" t="n"/>
      <c r="AI42" s="920" t="n"/>
      <c r="AJ42" s="920" t="n"/>
      <c r="AK42" s="920">
        <f>IF(_epmOfflineCondition_,"DLC",EPMOlapMemberO(AK27,"[C_AUDITTRAIL].[PARENTH1].[DLC]","DLC - 单体报表","","001"))</f>
        <v/>
      </c>
      <c r="AL42" s="920">
        <f>IF(_epmOfflineCondition_,"DLC",EPMOlapMemberO(AL27,"[C_AUDITTRAIL].[PARENTH1].[DLC]","DLC - 单体报表","","001"))</f>
        <v/>
      </c>
      <c r="AM42" s="716" t="n"/>
      <c r="AN42" s="716" t="n"/>
      <c r="AO42" s="716" t="n"/>
      <c r="AP42" s="716" t="n"/>
      <c r="AQ42" s="927" t="n"/>
      <c r="AR42" s="920" t="n"/>
      <c r="AS42" s="920" t="n"/>
      <c r="AT42" s="920">
        <f>IF(_epmOfflineCondition_,"DLC",EPMOlapMemberO(AT27,"[C_AUDITTRAIL].[PARENTH1].[DLC]","DLC - 单体报表","","002"))</f>
        <v/>
      </c>
      <c r="AU42" s="940">
        <f>IF(_epmOfflineCondition_,"DLC",EPMOlapMemberO(AU27,"[C_AUDITTRAIL].[PARENTH1].[DLC]","DLC - 单体报表","","002"))</f>
        <v/>
      </c>
      <c r="AV42" s="940">
        <f>IF(_epmOfflineCondition_,"DLC",EPMOlapMemberO(AV27,"[C_AUDITTRAIL].[PARENTH1].[DLC]","DLC - 单体报表","","002"))</f>
        <v/>
      </c>
      <c r="AW42" s="940">
        <f>IF(_epmOfflineCondition_,"DLC",EPMOlapMemberO(AW27,"[C_AUDITTRAIL].[PARENTH1].[DLC]","DLC - 单体报表","","002"))</f>
        <v/>
      </c>
      <c r="AX42" s="716" t="n"/>
      <c r="AY42" s="716" t="n"/>
    </row>
    <row r="43" hidden="1" ht="13.5" customFormat="1" customHeight="1" s="716">
      <c r="A43" s="716" t="n"/>
      <c r="B43" s="716" t="n"/>
      <c r="C43" s="716" t="n"/>
      <c r="D43" s="716" t="n"/>
      <c r="E43" s="716" t="n"/>
      <c r="F43" s="716" t="n"/>
      <c r="G43" s="716" t="n"/>
      <c r="H43" s="716" t="n"/>
      <c r="I43" s="716" t="n"/>
      <c r="J43" s="716" t="n"/>
      <c r="K43" s="716" t="n"/>
      <c r="L43" s="384" t="n"/>
      <c r="M43" s="384" t="n"/>
      <c r="N43" s="384" t="n"/>
      <c r="O43" s="384" t="n"/>
      <c r="P43" s="384" t="n"/>
      <c r="Q43" s="384" t="n"/>
      <c r="R43" s="32" t="n"/>
      <c r="S43" s="384" t="n"/>
      <c r="T43" s="384" t="n"/>
      <c r="U43" s="384" t="n"/>
      <c r="V43" s="384" t="n"/>
      <c r="W43" s="716" t="n"/>
      <c r="X43" s="270" t="inlineStr">
        <is>
          <t>FLow</t>
        </is>
      </c>
      <c r="Y43" s="296" t="n"/>
      <c r="Z43" s="296">
        <f>IF(_epmOfflineCondition_,"F20",EPMOlapMemberO(Z$28,"[C_FLOW].[PARENTH1].[F20]","F20 - 本期增加","","000"))</f>
        <v/>
      </c>
      <c r="AA43" s="296">
        <f>IF(_epmOfflineCondition_,"F20",EPMOlapMemberO(AA$28,"[C_FLOW].[PARENTH1].[F20]","F20 - 本期增加","","000"))</f>
        <v/>
      </c>
      <c r="AB43" s="296">
        <f>IF(_epmOfflineCondition_,"",EPMOlapMemberO(AB$28,"[C_FLOW].[PARENTH1].[F20]","F20 - 本期增加","","000"))</f>
        <v/>
      </c>
      <c r="AC43" s="899" t="n"/>
      <c r="AD43" s="716" t="n"/>
      <c r="AE43" s="716" t="n"/>
      <c r="AF43" s="716" t="n"/>
      <c r="AG43" s="920" t="n"/>
      <c r="AH43" s="920" t="n"/>
      <c r="AI43" s="920" t="n"/>
      <c r="AJ43" s="920" t="n"/>
      <c r="AK43" s="920">
        <f>IF(_epmOfflineCondition_,"FMOV_OP",EPMOlapMemberO(AK28,"[C_FLOW].[PARENTH4].[FMOV_OP]","FMOV_OP - 本期变动_经营","","001"))</f>
        <v/>
      </c>
      <c r="AL43" s="920">
        <f>IF(_epmOfflineCondition_,"FMOV_OP",EPMOlapMemberO(AL28,"[C_FLOW].[PARENTH4].[FMOV_OP]","FMOV_OP - 本期变动_经营","","001"))</f>
        <v/>
      </c>
      <c r="AM43" s="716" t="n"/>
      <c r="AN43" s="716" t="n"/>
      <c r="AO43" s="716" t="n"/>
      <c r="AP43" s="716" t="n"/>
      <c r="AQ43" s="927" t="n"/>
      <c r="AR43" s="920" t="n"/>
      <c r="AS43" s="920" t="n"/>
      <c r="AT43" s="920">
        <f>IF(_epmOfflineCondition_,"FEND",EPMOlapMemberO(AT28,"[C_FLOW].[PARENTH1].[FEND]","FEND - 期末金额","","002"))</f>
        <v/>
      </c>
      <c r="AU43" s="940">
        <f>IF(_epmOfflineCondition_,"F00T",EPMOlapMemberO(AU28,"[C_FLOW].[PARENTH1].[F00T]","F00T - 期初金额","","002"))</f>
        <v/>
      </c>
      <c r="AV43" s="940">
        <f>IF(_epmOfflineCondition_,"FEND",EPMOlapMemberO(AV28,"[C_FLOW].[PARENTH1].[FEND]","FEND - 期末金额","","002"))</f>
        <v/>
      </c>
      <c r="AW43" s="940">
        <f>IF(_epmOfflineCondition_,"F00T",EPMOlapMemberO(AW28,"[C_FLOW].[PARENTH1].[F00T]","F00T - 期初金额","","002"))</f>
        <v/>
      </c>
      <c r="AX43" s="716" t="n"/>
      <c r="AY43" s="716" t="n"/>
    </row>
    <row r="44" hidden="1" ht="13.5" customFormat="1" customHeight="1" s="716">
      <c r="A44" s="716" t="n"/>
      <c r="B44" s="716" t="n"/>
      <c r="C44" s="716" t="n"/>
      <c r="D44" s="716" t="n"/>
      <c r="E44" s="716" t="n"/>
      <c r="F44" s="716" t="n"/>
      <c r="G44" s="716" t="n"/>
      <c r="H44" s="716" t="n"/>
      <c r="I44" s="716" t="n"/>
      <c r="J44" s="716" t="n"/>
      <c r="K44" s="716" t="n"/>
      <c r="L44" s="384" t="n"/>
      <c r="M44" s="384" t="n"/>
      <c r="N44" s="384" t="n"/>
      <c r="O44" s="716" t="n"/>
      <c r="P44" s="716" t="n"/>
      <c r="Q44" s="716" t="n"/>
      <c r="R44" s="716" t="n"/>
      <c r="S44" s="462" t="n"/>
      <c r="T44" s="716" t="n"/>
      <c r="U44" s="716" t="n"/>
      <c r="V44" s="716" t="n"/>
      <c r="W44" s="716" t="n"/>
      <c r="X44" s="270" t="inlineStr">
        <is>
          <t>misk</t>
        </is>
      </c>
      <c r="Y44" s="296" t="n"/>
      <c r="Z44" s="296">
        <f>IF(_epmOfflineCondition_,"ZM_ALL",EPMOlapMemberO(Z$29,"[C_MISK].[PARENTH1].[ZM_ALL]","ZM_ALL - ALL","","000"))</f>
        <v/>
      </c>
      <c r="AA44" s="296">
        <f>IF(_epmOfflineCondition_,"ZM_ALL",EPMOlapMemberO(AA$29,"[C_MISK].[PARENTH1].[ZM_ALL]","ZM_ALL - ALL","","000"))</f>
        <v/>
      </c>
      <c r="AB44" s="296">
        <f>IF(_epmOfflineCondition_,"",EPMOlapMemberO(AB$29,"[C_MISK].[PARENTH1].[ZM_DUMMY]","ZM_DUMMY - 综合无关","","000"))</f>
        <v/>
      </c>
      <c r="AC44" s="899" t="n"/>
      <c r="AD44" s="716" t="n"/>
      <c r="AE44" s="716" t="n"/>
      <c r="AF44" s="716" t="n"/>
      <c r="AG44" s="920" t="n"/>
      <c r="AH44" s="920" t="n"/>
      <c r="AI44" s="920" t="n"/>
      <c r="AJ44" s="920" t="n"/>
      <c r="AK44" s="920">
        <f>IF(_epmOfflineCondition_,"ZM_ALL",EPMOlapMemberO(AK29,"[C_MISK].[PARENTH1].[ZM_ALL]","ZM_ALL - ALL","","001"))</f>
        <v/>
      </c>
      <c r="AL44" s="920">
        <f>IF(_epmOfflineCondition_,"ZM_ALL",EPMOlapMemberO(AL29,"[C_MISK].[PARENTH1].[ZM_ALL]","ZM_ALL - ALL","","001"))</f>
        <v/>
      </c>
      <c r="AM44" s="716" t="n"/>
      <c r="AN44" s="716" t="n"/>
      <c r="AO44" s="716" t="n"/>
      <c r="AP44" s="716" t="n"/>
      <c r="AQ44" s="927" t="n"/>
      <c r="AR44" s="920" t="n"/>
      <c r="AS44" s="920" t="n"/>
      <c r="AT44" s="920">
        <f>IF(_epmOfflineCondition_,"ZM_ALL",EPMOlapMemberO(AT29,"[C_MISK].[PARENTH1].[ZM_ALL]","ZM_ALL - ALL","","002"))</f>
        <v/>
      </c>
      <c r="AU44" s="940">
        <f>IF(_epmOfflineCondition_,"ZM_ALL",EPMOlapMemberO(AU29,"[C_MISK].[PARENTH1].[ZM_ALL]","ZM_ALL - ALL","","002"))</f>
        <v/>
      </c>
      <c r="AV44" s="940">
        <f>IF(_epmOfflineCondition_,"ZM_ALL",EPMOlapMemberO(AV29,"[C_MISK].[PARENTH1].[ZM_ALL]","ZM_ALL - ALL","","002"))</f>
        <v/>
      </c>
      <c r="AW44" s="940">
        <f>IF(_epmOfflineCondition_,"ZM_ALL",EPMOlapMemberO(AW29,"[C_MISK].[PARENTH1].[ZM_ALL]","ZM_ALL - ALL","","002"))</f>
        <v/>
      </c>
      <c r="AX44" s="716" t="n"/>
      <c r="AY44" s="716" t="n"/>
    </row>
    <row r="45" ht="13.5" customFormat="1" customHeight="1" s="716">
      <c r="A45" s="716" t="n"/>
      <c r="B45" s="716" t="n"/>
      <c r="C45" s="716" t="n"/>
      <c r="D45" s="716" t="n"/>
      <c r="E45" s="716" t="n"/>
      <c r="F45" s="716" t="n"/>
      <c r="G45" s="716" t="n"/>
      <c r="H45" s="716" t="n"/>
      <c r="I45" s="716" t="n"/>
      <c r="J45" s="716" t="n"/>
      <c r="K45" s="716" t="n"/>
      <c r="L45" s="384" t="n"/>
      <c r="M45" s="384" t="n"/>
      <c r="N45" s="384" t="n"/>
      <c r="O45" s="716" t="n"/>
      <c r="P45" s="716" t="n"/>
      <c r="Q45" s="716" t="n"/>
      <c r="R45" s="716" t="n"/>
      <c r="S45" s="462" t="n"/>
      <c r="T45" s="716" t="n"/>
      <c r="U45" s="889" t="n"/>
      <c r="V45" s="889" t="n"/>
      <c r="W45" s="716" t="n"/>
      <c r="X45" s="888" t="inlineStr">
        <is>
          <t>一、盈利能力指标</t>
        </is>
      </c>
      <c r="Y45" s="895" t="inlineStr"/>
      <c r="Z45" s="1278" t="inlineStr">
        <is>
          <t>——</t>
        </is>
      </c>
      <c r="AA45" s="1278" t="inlineStr">
        <is>
          <t>——</t>
        </is>
      </c>
      <c r="AB45" s="1278" t="inlineStr">
        <is>
          <t>——</t>
        </is>
      </c>
      <c r="AC45" s="901" t="inlineStr">
        <is>
          <t>——</t>
        </is>
      </c>
      <c r="AD45" s="889" t="n"/>
      <c r="AE45" s="889" t="n"/>
      <c r="AF45" s="889" t="n"/>
      <c r="AG45" s="910" t="n"/>
      <c r="AH45" s="920" t="n"/>
      <c r="AI45" s="920" t="n"/>
      <c r="AJ45" s="920" t="n"/>
      <c r="AK45" s="920">
        <f>IF(_epmOfflineCondition_,"YTD",EPMOlapMemberO(AK30,"[MEASURES].[].[YTD]","YTD - Year To Date","","001"))</f>
        <v/>
      </c>
      <c r="AL45" s="920">
        <f>IF(_epmOfflineCondition_,"YTD",EPMOlapMemberO(AL30,"[MEASURES].[].[YTD]","YTD - Year To Date","","001"))</f>
        <v/>
      </c>
      <c r="AM45" s="716" t="n"/>
      <c r="AN45" s="716" t="n"/>
      <c r="AO45" s="716" t="n"/>
      <c r="AP45" s="716" t="n"/>
      <c r="AQ45" s="927" t="n"/>
      <c r="AR45" s="920" t="n"/>
      <c r="AS45" s="920" t="n"/>
      <c r="AT45" s="920">
        <f>IF(_epmOfflineCondition_,"YTD",EPMOlapMemberO(AT30,"[MEASURES].[].[YTD]","YTD - Year To Date","","002"))</f>
        <v/>
      </c>
      <c r="AU45" s="940">
        <f>IF(_epmOfflineCondition_,"YTD",EPMOlapMemberO(AU30,"[MEASURES].[].[YTD]","YTD - Year To Date","","002"))</f>
        <v/>
      </c>
      <c r="AV45" s="940">
        <f>IF(_epmOfflineCondition_,"YTD",EPMOlapMemberO(AV30,"[MEASURES].[].[YTD]","YTD - Year To Date","","002"))</f>
        <v/>
      </c>
      <c r="AW45" s="940">
        <f>IF(_epmOfflineCondition_,"YTD",EPMOlapMemberO(AW30,"[MEASURES].[].[YTD]","YTD - Year To Date","","002"))</f>
        <v/>
      </c>
      <c r="AX45" s="716" t="n"/>
      <c r="AY45" s="716" t="n"/>
    </row>
    <row r="46" ht="16.5" customFormat="1" customHeight="1" s="716">
      <c r="A46" s="716" t="n"/>
      <c r="B46" s="716" t="n"/>
      <c r="C46" s="716" t="n"/>
      <c r="D46" s="716" t="n"/>
      <c r="E46" s="716" t="n"/>
      <c r="F46" s="716" t="n"/>
      <c r="G46" s="716" t="n"/>
      <c r="H46" s="716" t="n"/>
      <c r="I46" s="716" t="n"/>
      <c r="J46" s="716" t="n"/>
      <c r="K46" s="716" t="n"/>
      <c r="L46" s="384" t="n"/>
      <c r="M46" s="384" t="n"/>
      <c r="N46" s="384" t="n"/>
      <c r="O46" s="716" t="n"/>
      <c r="P46" s="716" t="n"/>
      <c r="Q46" s="716" t="n"/>
      <c r="R46" s="384">
        <f>IF(_epmOfflineCondition_,0,IF($C$26&lt;&gt;"G_DUMMY",EPMSaveData($Z46,,$U46,$Z$25,$Z$26,$Z$27,$Z$28,$B$36,$B$37,$B$38,$B$39,$B$40,$B$41,$C$26,$C$22),EPMSaveData($Z46,,$U46,$Z$25,$Z$26,$Z$27,$Z$28,$B$36,$B$37,$B$38,$B$39,$B$40,$C$21,$C$26,$C$22)))</f>
        <v/>
      </c>
      <c r="S46" s="462">
        <f>IF(_epmOfflineCondition_,"1、净资产收益率（含少数股东损益）（%）",EPMMemberDesc(U46))</f>
        <v/>
      </c>
      <c r="T46" s="716" t="n"/>
      <c r="U46" s="889" t="inlineStr">
        <is>
          <t>A0050101</t>
        </is>
      </c>
      <c r="V46" s="889">
        <f>IF(_epmOfflineCondition_,"A0050101",EPMOlapMemberO(U46,"[C_ACCOUNT].[PARENTH1].[A0050101]","A0050101 - 1、净资产收益率（含少数股东损益）（%）","","000"))</f>
        <v/>
      </c>
      <c r="W46" s="462" t="n"/>
      <c r="X46" s="890" t="inlineStr">
        <is>
          <t>1、净资产收益率（含少数股东损益）（%）</t>
        </is>
      </c>
      <c r="Y46" s="895" t="inlineStr"/>
      <c r="Z46" s="1279">
        <f>IFERROR(AK81*2/(AT152+AU152)*100,"")</f>
        <v/>
      </c>
      <c r="AA46" s="1279">
        <f>IFERROR(AL81*2/(AV152+AW152)*100,"")</f>
        <v/>
      </c>
      <c r="AB46" s="1279">
        <f>IFERROR(Z46-AA46,"")</f>
        <v/>
      </c>
      <c r="AC46" s="902" t="inlineStr">
        <is>
          <t>净利润*2÷（期初所有者权益+期末所有者权益）*100%</t>
        </is>
      </c>
      <c r="AD46" s="1199" t="n"/>
      <c r="AE46" s="716" t="n"/>
      <c r="AF46" s="716" t="n"/>
      <c r="AG46" s="920" t="inlineStr">
        <is>
          <t>A00201</t>
        </is>
      </c>
      <c r="AH46" s="911">
        <f>IF(_epmOfflineCondition_,"A00201",EPMOlapMemberO(AG46,"[C_ACCOUNT].[PARENTH1].[A00201]","A00201 - 一、营业总收入","","001"))</f>
        <v/>
      </c>
      <c r="AI46" s="912" t="inlineStr">
        <is>
          <t>一、营业总收入</t>
        </is>
      </c>
      <c r="AJ46" s="1280">
        <f>ROW()-45</f>
        <v/>
      </c>
      <c r="AK46" s="1281" t="inlineStr"/>
      <c r="AL46" s="1281" t="inlineStr"/>
      <c r="AM46" s="716" t="n"/>
      <c r="AN46" s="716" t="n"/>
      <c r="AO46" s="716" t="n"/>
      <c r="AP46" s="716" t="n"/>
      <c r="AQ46" s="927" t="inlineStr">
        <is>
          <t>A0010199</t>
        </is>
      </c>
      <c r="AR46" s="921">
        <f>IF(_epmOfflineCondition_,"A0010199",EPMOlapMemberO(AQ46,"[C_ACCOUNT].[PARENTH1].[A0010199]","A0010199 - 流动资产：","","002"))</f>
        <v/>
      </c>
      <c r="AS46" s="920">
        <f>IF(_epmOfflineCondition_,"流动资产：",EPMMemberDesc(AR46))</f>
        <v/>
      </c>
      <c r="AT46" s="1282" t="n"/>
      <c r="AU46" s="1283" t="n"/>
      <c r="AV46" s="489" t="n"/>
      <c r="AW46" s="489" t="n"/>
      <c r="AX46" s="716" t="n"/>
      <c r="AY46" s="716" t="n"/>
    </row>
    <row r="47" ht="16.5" customFormat="1" customHeight="1" s="716">
      <c r="A47" s="716" t="n"/>
      <c r="B47" s="716" t="n"/>
      <c r="C47" s="716" t="n"/>
      <c r="D47" s="716" t="n"/>
      <c r="E47" s="716" t="n"/>
      <c r="F47" s="716" t="n"/>
      <c r="G47" s="716" t="n"/>
      <c r="H47" s="716" t="n"/>
      <c r="I47" s="716" t="n"/>
      <c r="J47" s="716" t="n"/>
      <c r="K47" s="716" t="n"/>
      <c r="L47" s="716" t="n"/>
      <c r="M47" s="716" t="n"/>
      <c r="N47" s="716" t="n"/>
      <c r="O47" s="716" t="n"/>
      <c r="P47" s="716" t="n"/>
      <c r="Q47" s="716" t="n"/>
      <c r="R47" s="384">
        <f>IF(_epmOfflineCondition_,0,IF($C$26&lt;&gt;"G_DUMMY",EPMSaveData($Z47,,$U47,$Z$25,$Z$26,$Z$27,$Z$28,$B$36,$B$37,$B$38,$B$39,$B$40,$B$41,$C$26,$C$22),EPMSaveData($Z47,,$U47,$Z$25,$Z$26,$Z$27,$Z$28,$B$36,$B$37,$B$38,$B$39,$B$40,$C$21,$C$26,$C$22)))</f>
        <v/>
      </c>
      <c r="S47" s="462">
        <f>IF(_epmOfflineCondition_,"2、净资产收益率（不含少数股东损益）（%）",EPMMemberDesc(U47))</f>
        <v/>
      </c>
      <c r="T47" s="716" t="n"/>
      <c r="U47" s="889" t="inlineStr">
        <is>
          <t>A0050102</t>
        </is>
      </c>
      <c r="V47" s="889">
        <f>IF(_epmOfflineCondition_,"A0050102",EPMOlapMemberO(U47,"[C_ACCOUNT].[PARENTH1].[A0050102]","A0050102 - 2、净资产收益率（不含少数股东损益）（%）","","000"))</f>
        <v/>
      </c>
      <c r="W47" s="462" t="n"/>
      <c r="X47" s="890" t="inlineStr">
        <is>
          <t>2、净资产收益率（不含少数股东损益）（%）</t>
        </is>
      </c>
      <c r="Y47" s="895" t="inlineStr"/>
      <c r="Z47" s="1279">
        <f>IFERROR(AK82*2/(AT150+AU150)*100,"")</f>
        <v/>
      </c>
      <c r="AA47" s="1279">
        <f>IFERROR(AL82*2/(AV150+AW150)*100,"")</f>
        <v/>
      </c>
      <c r="AB47" s="1279">
        <f>IFERROR(Z47-AA47,"")</f>
        <v/>
      </c>
      <c r="AC47" s="902" t="inlineStr">
        <is>
          <t>归属于母公司所有者的净利润*2÷（期初归属母公司所有者权益合计+期末归属母公司所有者权益合计）*100%</t>
        </is>
      </c>
      <c r="AD47" s="1199" t="n"/>
      <c r="AE47" s="716" t="n"/>
      <c r="AF47" s="716" t="n"/>
      <c r="AG47" s="920" t="inlineStr">
        <is>
          <t>A0020101</t>
        </is>
      </c>
      <c r="AH47" s="914">
        <f>IF(_epmOfflineCondition_,"A0020101",EPMOlapMemberO(AG47,"[C_ACCOUNT].[PARENTH1].[A0020101]","A0020101 -    其中：营业收入","","001"))</f>
        <v/>
      </c>
      <c r="AI47" s="915" t="inlineStr">
        <is>
          <t xml:space="preserve"> 其中：营业收入</t>
        </is>
      </c>
      <c r="AJ47" s="1280">
        <f>ROW()-45</f>
        <v/>
      </c>
      <c r="AK47" s="1281" t="inlineStr"/>
      <c r="AL47" s="1281" t="inlineStr"/>
      <c r="AM47" s="716" t="n"/>
      <c r="AN47" s="716" t="n"/>
      <c r="AO47" s="716" t="n"/>
      <c r="AP47" s="716" t="n"/>
      <c r="AQ47" s="927" t="inlineStr">
        <is>
          <t>A001010101</t>
        </is>
      </c>
      <c r="AR47" s="962">
        <f>IF(_epmOfflineCondition_,"A001010101",EPMOlapMemberO(AQ47,"[C_ACCOUNT].[PARENTH1].[A001010101]","A001010101 -   货币资金","","002"))</f>
        <v/>
      </c>
      <c r="AS47" s="920">
        <f>IF(_epmOfflineCondition_,"  货币资金",EPMMemberDesc(AR47))</f>
        <v/>
      </c>
      <c r="AT47" s="1282" t="inlineStr"/>
      <c r="AU47" s="1283" t="inlineStr"/>
      <c r="AV47" s="1282" t="inlineStr"/>
      <c r="AW47" s="1283" t="inlineStr"/>
      <c r="AX47" s="716" t="n"/>
      <c r="AY47" s="716" t="n"/>
    </row>
    <row r="48" ht="16.5" customFormat="1" customHeight="1" s="716">
      <c r="A48" s="716" t="n"/>
      <c r="B48" s="716" t="n"/>
      <c r="C48" s="716" t="n"/>
      <c r="D48" s="716" t="n"/>
      <c r="E48" s="716" t="n"/>
      <c r="F48" s="384" t="n"/>
      <c r="G48" s="716" t="n"/>
      <c r="H48" s="716" t="n"/>
      <c r="I48" s="716" t="n"/>
      <c r="J48" s="716" t="n"/>
      <c r="K48" s="716" t="n"/>
      <c r="L48" s="716" t="n"/>
      <c r="M48" s="716" t="n"/>
      <c r="N48" s="716" t="n"/>
      <c r="O48" s="716" t="n"/>
      <c r="P48" s="716" t="n"/>
      <c r="Q48" s="716" t="n"/>
      <c r="R48" s="384">
        <f>IF(_epmOfflineCondition_,0,IF($C$26&lt;&gt;"G_DUMMY",EPMSaveData($Z48,,$U48,$Z$25,$Z$26,$Z$27,$Z$28,$B$36,$B$37,$B$38,$B$39,$B$40,$B$41,$C$26,$C$22),EPMSaveData($Z48,,$U48,$Z$25,$Z$26,$Z$27,$Z$28,$B$36,$B$37,$B$38,$B$39,$B$40,$C$21,$C$26,$C$22)))</f>
        <v/>
      </c>
      <c r="S48" s="462">
        <f>IF(_epmOfflineCondition_,"3、总资产报酬率（%）",EPMMemberDesc(U48))</f>
        <v/>
      </c>
      <c r="T48" s="716" t="n"/>
      <c r="U48" s="889" t="inlineStr">
        <is>
          <t>A0050103</t>
        </is>
      </c>
      <c r="V48" s="889">
        <f>IF(_epmOfflineCondition_,"A0050103",EPMOlapMemberO(U48,"[C_ACCOUNT].[PARENTH1].[A0050103]","A0050103 - 3、总资产报酬率（%）","","000"))</f>
        <v/>
      </c>
      <c r="W48" s="462" t="n"/>
      <c r="X48" s="890" t="inlineStr">
        <is>
          <t>3、总资产报酬率（%）</t>
        </is>
      </c>
      <c r="Y48" s="895" t="inlineStr"/>
      <c r="Z48" s="1279">
        <f>IFERROR((AK79+AK59)*2/(AT93+AU93)*100,"")</f>
        <v/>
      </c>
      <c r="AA48" s="1279">
        <f>IFERROR((AL79+AL59)*2/(AV93+AW93)*100,"")</f>
        <v/>
      </c>
      <c r="AB48" s="1279">
        <f>IFERROR(Z48-AA48,"")</f>
        <v/>
      </c>
      <c r="AC48" s="902" t="inlineStr">
        <is>
          <t>（【利润表】利润总额+ 其中：利息费用）*2÷【资产负债表】（年初资产总额+年末资产总额） *100%</t>
        </is>
      </c>
      <c r="AD48" s="1199" t="n"/>
      <c r="AE48" s="716" t="n"/>
      <c r="AF48" s="716" t="n"/>
      <c r="AG48" s="920" t="inlineStr">
        <is>
          <t>A0020102</t>
        </is>
      </c>
      <c r="AH48" s="914">
        <f>IF(_epmOfflineCondition_,"A0020102",EPMOlapMemberO(AG48,"[C_ACCOUNT].[PARENTH1].[A0020102]","A0020102 -         # 利息收入","","001"))</f>
        <v/>
      </c>
      <c r="AI48" s="915" t="inlineStr">
        <is>
          <t xml:space="preserve"> △利息收入</t>
        </is>
      </c>
      <c r="AJ48" s="1280">
        <f>ROW()-45</f>
        <v/>
      </c>
      <c r="AK48" s="1281" t="n"/>
      <c r="AL48" s="1281" t="n"/>
      <c r="AM48" s="716" t="n"/>
      <c r="AN48" s="716" t="n"/>
      <c r="AO48" s="716" t="n"/>
      <c r="AP48" s="716" t="n"/>
      <c r="AQ48" s="927" t="inlineStr">
        <is>
          <t>A001010102</t>
        </is>
      </c>
      <c r="AR48" s="962">
        <f>IF(_epmOfflineCondition_,"A001010102",EPMOlapMemberO(AQ48,"[C_ACCOUNT].[PARENTH1].[A001010102]","A001010102 -   # 结算备付金","","002"))</f>
        <v/>
      </c>
      <c r="AS48" s="920">
        <f>IF(_epmOfflineCondition_,"  # 结算备付金",EPMMemberDesc(AR48))</f>
        <v/>
      </c>
      <c r="AT48" s="1282" t="n"/>
      <c r="AU48" s="1283" t="n"/>
      <c r="AV48" s="489" t="n"/>
      <c r="AW48" s="489" t="n"/>
      <c r="AX48" s="716" t="n"/>
      <c r="AY48" s="716" t="n"/>
    </row>
    <row r="49" ht="16.5" customFormat="1" customHeight="1" s="716">
      <c r="A49" s="716" t="n"/>
      <c r="B49" s="716" t="n"/>
      <c r="C49" s="716" t="n"/>
      <c r="D49" s="716" t="n"/>
      <c r="E49" s="716" t="n"/>
      <c r="F49" s="384" t="n"/>
      <c r="G49" s="716" t="n"/>
      <c r="H49" s="716" t="n"/>
      <c r="I49" s="716" t="n"/>
      <c r="J49" s="716" t="n"/>
      <c r="K49" s="716" t="n"/>
      <c r="L49" s="716" t="n"/>
      <c r="M49" s="716" t="n"/>
      <c r="N49" s="716" t="n"/>
      <c r="O49" s="716" t="n"/>
      <c r="P49" s="716" t="n"/>
      <c r="Q49" s="716" t="n"/>
      <c r="R49" s="384">
        <f>IF(_epmOfflineCondition_,0,IF($C$26&lt;&gt;"G_DUMMY",EPMSaveData($Z49,,$U49,$Z$25,$Z$26,$Z$27,$Z$28,$B$36,$B$37,$B$38,$B$39,$B$40,$B$41,$C$26,$C$22),EPMSaveData($Z49,,$U49,$Z$25,$Z$26,$Z$27,$Z$28,$B$36,$B$37,$B$38,$B$39,$B$40,$C$21,$C$26,$C$22)))</f>
        <v/>
      </c>
      <c r="S49" s="462">
        <f>IF(_epmOfflineCondition_,"4、营业利润率（%）",EPMMemberDesc(U49))</f>
        <v/>
      </c>
      <c r="T49" s="716" t="n"/>
      <c r="U49" s="889" t="inlineStr">
        <is>
          <t>A0050104</t>
        </is>
      </c>
      <c r="V49" s="889">
        <f>IF(_epmOfflineCondition_,"A0050104",EPMOlapMemberO(U49,"[C_ACCOUNT].[PARENTH1].[A0050104]","A0050104 - 4、营业利润率（%）","","000"))</f>
        <v/>
      </c>
      <c r="W49" s="462" t="n"/>
      <c r="X49" s="890" t="inlineStr">
        <is>
          <t>4、营业利润率（%）</t>
        </is>
      </c>
      <c r="Y49" s="895" t="inlineStr"/>
      <c r="Z49" s="1279">
        <f>IFERROR(AK73/AK46*100,"")</f>
        <v/>
      </c>
      <c r="AA49" s="1279">
        <f>IFERROR(AL73/AL46*100,"")</f>
        <v/>
      </c>
      <c r="AB49" s="1279">
        <f>IFERROR(Z49-AA49,"")</f>
        <v/>
      </c>
      <c r="AC49" s="902" t="inlineStr">
        <is>
          <t>【利润表】营业利润÷营业总收入*100%</t>
        </is>
      </c>
      <c r="AD49" s="1199" t="n"/>
      <c r="AE49" s="716" t="n"/>
      <c r="AF49" s="716" t="n"/>
      <c r="AG49" s="920" t="inlineStr">
        <is>
          <t>A0020103</t>
        </is>
      </c>
      <c r="AH49" s="914">
        <f>IF(_epmOfflineCondition_,"A0020103",EPMOlapMemberO(AG49,"[C_ACCOUNT].[PARENTH1].[A0020103]","A0020103 -         # 手续费及佣金收入","","001"))</f>
        <v/>
      </c>
      <c r="AI49" s="916" t="inlineStr">
        <is>
          <t xml:space="preserve"> △手续费及佣金收入</t>
        </is>
      </c>
      <c r="AJ49" s="1280">
        <f>ROW()-45</f>
        <v/>
      </c>
      <c r="AK49" s="1281" t="n"/>
      <c r="AL49" s="1281" t="n"/>
      <c r="AM49" s="716" t="n"/>
      <c r="AN49" s="716" t="n"/>
      <c r="AO49" s="716" t="n"/>
      <c r="AP49" s="716" t="n"/>
      <c r="AQ49" s="927" t="inlineStr">
        <is>
          <t>A001010103</t>
        </is>
      </c>
      <c r="AR49" s="962">
        <f>IF(_epmOfflineCondition_,"A001010103",EPMOlapMemberO(AQ49,"[C_ACCOUNT].[PARENTH1].[A001010103]","A001010103 -   # 拆出资金","","002"))</f>
        <v/>
      </c>
      <c r="AS49" s="920">
        <f>IF(_epmOfflineCondition_,"  # 拆出资金",EPMMemberDesc(AR49))</f>
        <v/>
      </c>
      <c r="AT49" s="1282" t="n"/>
      <c r="AU49" s="1283" t="n"/>
      <c r="AV49" s="489" t="n"/>
      <c r="AW49" s="489" t="n"/>
      <c r="AX49" s="716" t="n"/>
      <c r="AY49" s="716" t="n"/>
    </row>
    <row r="50" ht="16.5" customFormat="1" customHeight="1" s="716">
      <c r="A50" s="716" t="n"/>
      <c r="B50" s="716" t="n"/>
      <c r="C50" s="716" t="n"/>
      <c r="D50" s="716" t="n"/>
      <c r="E50" s="716" t="n"/>
      <c r="F50" s="384" t="n"/>
      <c r="G50" s="716" t="n"/>
      <c r="H50" s="716" t="n"/>
      <c r="I50" s="716" t="n"/>
      <c r="J50" s="716" t="n"/>
      <c r="K50" s="716" t="n"/>
      <c r="L50" s="716" t="n"/>
      <c r="M50" s="716" t="n"/>
      <c r="N50" s="716" t="n"/>
      <c r="O50" s="716" t="n"/>
      <c r="P50" s="716" t="n"/>
      <c r="Q50" s="716" t="n"/>
      <c r="R50" s="384">
        <f>IF(_epmOfflineCondition_,0,IF($C$26&lt;&gt;"G_DUMMY",EPMSaveData($Z50,,$U50,$Z$25,$Z$26,$Z$27,$Z$28,$B$36,$B$37,$B$38,$B$39,$B$40,$B$41,$C$26,$C$22),EPMSaveData($Z50,,$U50,$Z$25,$Z$26,$Z$27,$Z$28,$B$36,$B$37,$B$38,$B$39,$B$40,$C$21,$C$26,$C$22)))</f>
        <v/>
      </c>
      <c r="S50" s="462">
        <f>IF(_epmOfflineCondition_,"5、成本费用利润率（%）",EPMMemberDesc(U50))</f>
        <v/>
      </c>
      <c r="T50" s="716" t="n"/>
      <c r="U50" s="889" t="inlineStr">
        <is>
          <t>A0050105</t>
        </is>
      </c>
      <c r="V50" s="889">
        <f>IF(_epmOfflineCondition_,"A0050105",EPMOlapMemberO(U50,"[C_ACCOUNT].[PARENTH1].[A0050105]","A0050105 - 5、成本费用利润率（%）","","000"))</f>
        <v/>
      </c>
      <c r="W50" s="462" t="n"/>
      <c r="X50" s="890" t="inlineStr">
        <is>
          <t>5、成本费用利润率（%）</t>
        </is>
      </c>
      <c r="Y50" s="895" t="inlineStr"/>
      <c r="Z50" s="1279">
        <f>IFERROR(AK79/AK50*100,"")</f>
        <v/>
      </c>
      <c r="AA50" s="1279">
        <f>IFERROR(AL79/AL50*100,"")</f>
        <v/>
      </c>
      <c r="AB50" s="1279">
        <f>IFERROR(Z50-AA50,"")</f>
        <v/>
      </c>
      <c r="AC50" s="902" t="inlineStr">
        <is>
          <t>【利润表】利润总额÷营业总成本*100%</t>
        </is>
      </c>
      <c r="AD50" s="1199" t="n"/>
      <c r="AE50" s="716" t="n"/>
      <c r="AF50" s="716" t="n"/>
      <c r="AG50" s="920" t="inlineStr">
        <is>
          <t>A00202</t>
        </is>
      </c>
      <c r="AH50" s="911">
        <f>IF(_epmOfflineCondition_,"A00202",EPMOlapMemberO(AG50,"[C_ACCOUNT].[PARENTH1].[A00202]","A00202 - 二、营业总成本","","001"))</f>
        <v/>
      </c>
      <c r="AI50" s="912" t="inlineStr">
        <is>
          <t>二、营业总成本</t>
        </is>
      </c>
      <c r="AJ50" s="1280">
        <f>ROW()-45</f>
        <v/>
      </c>
      <c r="AK50" s="1281" t="inlineStr"/>
      <c r="AL50" s="1281" t="inlineStr"/>
      <c r="AM50" s="716" t="n"/>
      <c r="AN50" s="716" t="n"/>
      <c r="AO50" s="716" t="n"/>
      <c r="AP50" s="716" t="n"/>
      <c r="AQ50" s="927" t="inlineStr">
        <is>
          <t>A001010104</t>
        </is>
      </c>
      <c r="AR50" s="962">
        <f>IF(_epmOfflineCondition_,"A001010104",EPMOlapMemberO(AQ50,"[C_ACCOUNT].[PARENTH1].[A001010104]","A001010104 -   交易性金融资产","","002"))</f>
        <v/>
      </c>
      <c r="AS50" s="920">
        <f>IF(_epmOfflineCondition_,"  交易性金融资产",EPMMemberDesc(AR50))</f>
        <v/>
      </c>
      <c r="AT50" s="1282" t="n"/>
      <c r="AU50" s="1283" t="n"/>
      <c r="AV50" s="489" t="n"/>
      <c r="AW50" s="489" t="n"/>
      <c r="AX50" s="716" t="n"/>
      <c r="AY50" s="716" t="n"/>
    </row>
    <row r="51" ht="16.5" customFormat="1" customHeight="1" s="716">
      <c r="A51" s="716" t="n"/>
      <c r="B51" s="716" t="n"/>
      <c r="C51" s="716" t="n"/>
      <c r="D51" s="716" t="n"/>
      <c r="E51" s="716" t="n"/>
      <c r="F51" s="384" t="n"/>
      <c r="G51" s="716" t="n"/>
      <c r="H51" s="716" t="n"/>
      <c r="I51" s="716" t="n"/>
      <c r="J51" s="716" t="n"/>
      <c r="K51" s="716" t="n"/>
      <c r="L51" s="716" t="n"/>
      <c r="M51" s="716" t="n"/>
      <c r="N51" s="716" t="n"/>
      <c r="O51" s="716" t="n"/>
      <c r="P51" s="716" t="n"/>
      <c r="Q51" s="716" t="n"/>
      <c r="R51" s="384">
        <f>IF(_epmOfflineCondition_,0,IF($C$26&lt;&gt;"G_DUMMY",EPMSaveData($Z51,,$U51,$Z$25,$Z$26,$Z$27,$Z$28,$B$36,$B$37,$B$38,$B$39,$B$40,$B$41,$C$26,$C$22),EPMSaveData($Z51,,$U51,$Z$25,$Z$26,$Z$27,$Z$28,$B$36,$B$37,$B$38,$B$39,$B$40,$C$21,$C$26,$C$22)))</f>
        <v/>
      </c>
      <c r="S51" s="462">
        <f>IF(_epmOfflineCondition_,"6、盈利现金保障倍数",EPMMemberDesc(U51))</f>
        <v/>
      </c>
      <c r="T51" s="716" t="n"/>
      <c r="U51" s="889" t="inlineStr">
        <is>
          <t>A0050106</t>
        </is>
      </c>
      <c r="V51" s="889">
        <f>IF(_epmOfflineCondition_,"A0050106",EPMOlapMemberO(U51,"[C_ACCOUNT].[PARENTH1].[A0050106]","A0050106 - 6、盈利现金保障倍数","","000"))</f>
        <v/>
      </c>
      <c r="W51" s="462" t="n"/>
      <c r="X51" s="890" t="inlineStr">
        <is>
          <t>6、盈利现金保障倍数</t>
        </is>
      </c>
      <c r="Y51" s="895" t="inlineStr"/>
      <c r="Z51" s="1279">
        <f>IFERROR(AK124/AK81,"")</f>
        <v/>
      </c>
      <c r="AA51" s="1279">
        <f>IFERROR(AL124/AL81,"")</f>
        <v/>
      </c>
      <c r="AB51" s="1279">
        <f>IFERROR(Z51-AA51,"")</f>
        <v/>
      </c>
      <c r="AC51" s="902" t="inlineStr">
        <is>
          <t>经营活动现金流量净额÷净利润</t>
        </is>
      </c>
      <c r="AD51" s="1199" t="n"/>
      <c r="AE51" s="716" t="n"/>
      <c r="AF51" s="716" t="n"/>
      <c r="AG51" s="920" t="inlineStr">
        <is>
          <t>A0020201</t>
        </is>
      </c>
      <c r="AH51" s="914">
        <f>IF(_epmOfflineCondition_,"A0020201",EPMOlapMemberO(AG51,"[C_ACCOUNT].[PARENTH1].[A0020201]","A0020201 -    其中：营业成本","","001"))</f>
        <v/>
      </c>
      <c r="AI51" s="915" t="inlineStr">
        <is>
          <t xml:space="preserve">    其中：营业成本</t>
        </is>
      </c>
      <c r="AJ51" s="1280">
        <f>ROW()-45</f>
        <v/>
      </c>
      <c r="AK51" s="1281" t="inlineStr"/>
      <c r="AL51" s="1281" t="n"/>
      <c r="AM51" s="716" t="n"/>
      <c r="AN51" s="716" t="n"/>
      <c r="AO51" s="716" t="n"/>
      <c r="AP51" s="716" t="n"/>
      <c r="AQ51" s="927" t="inlineStr">
        <is>
          <t>A001010106</t>
        </is>
      </c>
      <c r="AR51" s="962">
        <f>IF(_epmOfflineCondition_,"A001010106",EPMOlapMemberO(AQ51,"[C_ACCOUNT].[PARENTH1].[A001010106]","A001010106 -   应收票据","","002"))</f>
        <v/>
      </c>
      <c r="AS51" s="920">
        <f>IF(_epmOfflineCondition_,"  应收票据",EPMMemberDesc(AR51))</f>
        <v/>
      </c>
      <c r="AT51" s="1282" t="n"/>
      <c r="AU51" s="1283" t="n"/>
      <c r="AV51" s="489" t="n"/>
      <c r="AW51" s="489" t="n"/>
      <c r="AX51" s="716" t="n"/>
      <c r="AY51" s="716" t="n"/>
    </row>
    <row r="52" ht="16.5" customFormat="1" customHeight="1" s="716">
      <c r="A52" s="716" t="n"/>
      <c r="B52" s="716" t="n"/>
      <c r="C52" s="716" t="n"/>
      <c r="D52" s="716" t="n"/>
      <c r="E52" s="716" t="n"/>
      <c r="F52" s="384" t="n"/>
      <c r="G52" s="716" t="n"/>
      <c r="H52" s="716" t="n"/>
      <c r="I52" s="716" t="n"/>
      <c r="J52" s="716" t="n"/>
      <c r="K52" s="716" t="n"/>
      <c r="L52" s="716" t="n"/>
      <c r="M52" s="716" t="n"/>
      <c r="N52" s="716" t="n"/>
      <c r="O52" s="716" t="n"/>
      <c r="P52" s="716" t="n"/>
      <c r="Q52" s="716" t="n"/>
      <c r="R52" s="384">
        <f>IF(_epmOfflineCondition_,0,IF($C$26&lt;&gt;"G_DUMMY",EPMSaveData($Z52,,$U52,$Z$25,$Z$26,$Z$27,$Z$28,$B$36,$B$37,$B$38,$B$39,$B$40,$B$41,$C$26,$C$22),EPMSaveData($Z52,,$U52,$Z$25,$Z$26,$Z$27,$Z$28,$B$36,$B$37,$B$38,$B$39,$B$40,$C$21,$C$26,$C$22)))</f>
        <v/>
      </c>
      <c r="S52" s="462">
        <f>IF(_epmOfflineCondition_,"7、营业现金回笼率（%）",EPMMemberDesc(U52))</f>
        <v/>
      </c>
      <c r="T52" s="716" t="n"/>
      <c r="U52" s="889" t="inlineStr">
        <is>
          <t>A0050107</t>
        </is>
      </c>
      <c r="V52" s="889">
        <f>IF(_epmOfflineCondition_,"A0050107",EPMOlapMemberO(U52,"[C_ACCOUNT].[PARENTH1].[A0050107]","A0050107 - 7、营业现金回笼率（%）","","000"))</f>
        <v/>
      </c>
      <c r="W52" s="462" t="n"/>
      <c r="X52" s="890" t="inlineStr">
        <is>
          <t>7、营业现金回笼率（%）</t>
        </is>
      </c>
      <c r="Y52" s="895" t="inlineStr"/>
      <c r="Z52" s="1279">
        <f>IFERROR(AK125/AK46*100,"")</f>
        <v/>
      </c>
      <c r="AA52" s="1279">
        <f>IFERROR(AL125/AL46*100,"")</f>
        <v/>
      </c>
      <c r="AB52" s="1279">
        <f>IFERROR(Z52-AA52,"")</f>
        <v/>
      </c>
      <c r="AC52" s="902" t="inlineStr">
        <is>
          <t>经营活动现金流入小计÷营业总收入</t>
        </is>
      </c>
      <c r="AD52" s="1199" t="n"/>
      <c r="AE52" s="716" t="n"/>
      <c r="AF52" s="716" t="n"/>
      <c r="AG52" s="920" t="inlineStr">
        <is>
          <t>A0020202</t>
        </is>
      </c>
      <c r="AH52" s="914">
        <f>IF(_epmOfflineCondition_,"A0020202",EPMOlapMemberO(AG52,"[C_ACCOUNT].[PARENTH1].[A0020202]","A0020202 -         # 利息支出","","001"))</f>
        <v/>
      </c>
      <c r="AI52" s="915" t="inlineStr">
        <is>
          <t xml:space="preserve"> △利息支出</t>
        </is>
      </c>
      <c r="AJ52" s="1280">
        <f>ROW()-45</f>
        <v/>
      </c>
      <c r="AK52" s="1281" t="n"/>
      <c r="AL52" s="1281" t="n"/>
      <c r="AM52" s="716" t="n"/>
      <c r="AN52" s="716" t="n"/>
      <c r="AO52" s="716" t="n"/>
      <c r="AP52" s="716" t="n"/>
      <c r="AQ52" s="927" t="inlineStr">
        <is>
          <t>A001010107</t>
        </is>
      </c>
      <c r="AR52" s="962">
        <f>IF(_epmOfflineCondition_,"A001010107",EPMOlapMemberO(AQ52,"[C_ACCOUNT].[PARENTH1].[A001010107]","A001010107 -   应收账款","","002"))</f>
        <v/>
      </c>
      <c r="AS52" s="920">
        <f>IF(_epmOfflineCondition_,"  应收账款",EPMMemberDesc(AR52))</f>
        <v/>
      </c>
      <c r="AT52" s="1282" t="inlineStr"/>
      <c r="AU52" s="1283" t="inlineStr"/>
      <c r="AV52" s="489" t="inlineStr"/>
      <c r="AW52" s="489" t="n"/>
      <c r="AX52" s="716" t="n"/>
      <c r="AY52" s="716" t="n"/>
    </row>
    <row r="53" ht="16.5" customFormat="1" customHeight="1" s="716">
      <c r="A53" s="716" t="n"/>
      <c r="B53" s="716" t="n"/>
      <c r="C53" s="716" t="n"/>
      <c r="D53" s="716" t="n"/>
      <c r="E53" s="716" t="n"/>
      <c r="F53" s="384" t="n"/>
      <c r="G53" s="716" t="n"/>
      <c r="H53" s="716" t="n"/>
      <c r="I53" s="716" t="n"/>
      <c r="J53" s="716" t="n"/>
      <c r="K53" s="716" t="n"/>
      <c r="L53" s="716" t="n"/>
      <c r="M53" s="716" t="n"/>
      <c r="N53" s="716" t="n"/>
      <c r="O53" s="716" t="n"/>
      <c r="P53" s="716" t="n"/>
      <c r="Q53" s="716" t="n"/>
      <c r="R53" s="384">
        <f>IF(_epmOfflineCondition_,0,IF($C$26&lt;&gt;"G_DUMMY",EPMSaveData($Z53,,$U53,$Z$25,$Z$26,$Z$27,$Z$28,$B$36,$B$37,$B$38,$B$39,$B$40,$B$41,$C$26,$C$22),EPMSaveData($Z53,,$U53,$Z$25,$Z$26,$Z$27,$Z$28,$B$36,$B$37,$B$38,$B$39,$B$40,$C$21,$C$26,$C$22)))</f>
        <v/>
      </c>
      <c r="S53" s="462">
        <f>IF(_epmOfflineCondition_,"8、人工成本占主营业务收入比率（%）",EPMMemberDesc(U53))</f>
        <v/>
      </c>
      <c r="T53" s="716" t="n"/>
      <c r="U53" s="889" t="inlineStr">
        <is>
          <t>A0050108</t>
        </is>
      </c>
      <c r="V53" s="889">
        <f>IF(_epmOfflineCondition_,"A0050108",EPMOlapMemberO(U53,"[C_ACCOUNT].[PARENTH1].[A0050108]","A0050108 - 8、人工成本占主营业务收入比率（%）","","000"))</f>
        <v/>
      </c>
      <c r="W53" s="462" t="n"/>
      <c r="X53" s="890" t="inlineStr">
        <is>
          <t>8、人工成本占主营业务收入比率（%）</t>
        </is>
      </c>
      <c r="Y53" s="895" t="inlineStr"/>
      <c r="Z53" s="1279">
        <f>IFERROR(AJ130/AK115*100,"")</f>
        <v/>
      </c>
      <c r="AA53" s="1279">
        <f>IFERROR(AK130/AL115*100,"")</f>
        <v/>
      </c>
      <c r="AB53" s="1279">
        <f>IFERROR(Z53-AA53,"")</f>
        <v/>
      </c>
      <c r="AC53" s="902" t="inlineStr">
        <is>
          <t>【人工成本表】从业人员人工成本总额÷【利润表】主营业务收入</t>
        </is>
      </c>
      <c r="AD53" s="1199" t="n"/>
      <c r="AE53" s="716" t="n"/>
      <c r="AF53" s="716" t="n"/>
      <c r="AG53" s="920" t="inlineStr">
        <is>
          <t>A0020203</t>
        </is>
      </c>
      <c r="AH53" s="914">
        <f>IF(_epmOfflineCondition_,"A0020203",EPMOlapMemberO(AG53,"[C_ACCOUNT].[PARENTH1].[A0020203]","A0020203 -         # 手续费及佣金支出","","001"))</f>
        <v/>
      </c>
      <c r="AI53" s="916" t="inlineStr">
        <is>
          <t xml:space="preserve"> △手续费及佣金支出</t>
        </is>
      </c>
      <c r="AJ53" s="1280">
        <f>ROW()-45</f>
        <v/>
      </c>
      <c r="AK53" s="1281" t="n"/>
      <c r="AL53" s="1281" t="n"/>
      <c r="AM53" s="716" t="n"/>
      <c r="AN53" s="716" t="n"/>
      <c r="AO53" s="716" t="n"/>
      <c r="AP53" s="716" t="n"/>
      <c r="AQ53" s="927" t="inlineStr">
        <is>
          <t>A001010108</t>
        </is>
      </c>
      <c r="AR53" s="962">
        <f>IF(_epmOfflineCondition_,"A001010108",EPMOlapMemberO(AQ53,"[C_ACCOUNT].[PARENTH1].[A001010108]","A001010108 -   预付款项","","002"))</f>
        <v/>
      </c>
      <c r="AS53" s="920">
        <f>IF(_epmOfflineCondition_,"  预付款项",EPMMemberDesc(AR53))</f>
        <v/>
      </c>
      <c r="AT53" s="1282" t="inlineStr"/>
      <c r="AU53" s="1283" t="inlineStr"/>
      <c r="AV53" s="489" t="inlineStr"/>
      <c r="AW53" s="489" t="inlineStr"/>
      <c r="AX53" s="716" t="n"/>
      <c r="AY53" s="716" t="n"/>
    </row>
    <row r="54" ht="16.5" customFormat="1" customHeight="1" s="716">
      <c r="A54" s="716" t="n"/>
      <c r="B54" s="716" t="n"/>
      <c r="C54" s="716" t="n"/>
      <c r="D54" s="716" t="n"/>
      <c r="E54" s="716" t="n"/>
      <c r="F54" s="384" t="n"/>
      <c r="G54" s="716" t="n"/>
      <c r="H54" s="716" t="n"/>
      <c r="I54" s="716" t="n"/>
      <c r="J54" s="716" t="n"/>
      <c r="K54" s="716" t="n"/>
      <c r="L54" s="716" t="n"/>
      <c r="M54" s="716" t="n"/>
      <c r="N54" s="716" t="n"/>
      <c r="O54" s="716" t="n"/>
      <c r="P54" s="716" t="n"/>
      <c r="Q54" s="716" t="n"/>
      <c r="R54" s="384">
        <f>IF(_epmOfflineCondition_,0,IF($C$26&lt;&gt;"G_DUMMY",EPMSaveData($Z54,,$U54,$Z$25,$Z$26,$Z$27,$Z$28,$B$36,$B$37,$B$38,$B$39,$B$40,$B$41,$C$26,$C$22),EPMSaveData($Z54,,$U54,$Z$25,$Z$26,$Z$27,$Z$28,$B$36,$B$37,$B$38,$B$39,$B$40,$C$21,$C$26,$C$22)))</f>
        <v/>
      </c>
      <c r="S54" s="462">
        <f>IF(_epmOfflineCondition_,"9、人工成本利润率（%）",EPMMemberDesc(U54))</f>
        <v/>
      </c>
      <c r="T54" s="716" t="n"/>
      <c r="U54" s="889" t="inlineStr">
        <is>
          <t>A0050109</t>
        </is>
      </c>
      <c r="V54" s="889">
        <f>IF(_epmOfflineCondition_,"A0050109",EPMOlapMemberO(U54,"[C_ACCOUNT].[PARENTH1].[A0050109]","A0050109 - 9、人工成本利润率（%）","","000"))</f>
        <v/>
      </c>
      <c r="W54" s="462" t="n"/>
      <c r="X54" s="890" t="inlineStr">
        <is>
          <t>9、人工成本利润率（%）</t>
        </is>
      </c>
      <c r="Y54" s="895" t="inlineStr"/>
      <c r="Z54" s="1279">
        <f>IFERROR(AK79/AJ130*100,"")</f>
        <v/>
      </c>
      <c r="AA54" s="1279">
        <f>IFERROR(AL79/AK130*100,"")</f>
        <v/>
      </c>
      <c r="AB54" s="1279">
        <f>IFERROR(Z54-AA54,"")</f>
        <v/>
      </c>
      <c r="AC54" s="902" t="inlineStr">
        <is>
          <t>【利润表】利润总额÷【人工成本表中】从业人员人工成本总额</t>
        </is>
      </c>
      <c r="AD54" s="1199" t="n"/>
      <c r="AE54" s="716" t="n"/>
      <c r="AF54" s="716" t="n"/>
      <c r="AG54" s="920" t="inlineStr">
        <is>
          <t>A0020204</t>
        </is>
      </c>
      <c r="AH54" s="914">
        <f>IF(_epmOfflineCondition_,"A0020204",EPMOlapMemberO(AG54,"[C_ACCOUNT].[PARENTH1].[A0020204]","A0020204 - 　　    税金及附加","","001"))</f>
        <v/>
      </c>
      <c r="AI54" s="915" t="inlineStr">
        <is>
          <t xml:space="preserve">            税金及附加</t>
        </is>
      </c>
      <c r="AJ54" s="1280">
        <f>ROW()-45</f>
        <v/>
      </c>
      <c r="AK54" s="1281" t="inlineStr"/>
      <c r="AL54" s="1281" t="inlineStr"/>
      <c r="AM54" s="716" t="n"/>
      <c r="AN54" s="716" t="n"/>
      <c r="AO54" s="716" t="n"/>
      <c r="AP54" s="716" t="n"/>
      <c r="AQ54" s="927" t="inlineStr">
        <is>
          <t>A001010109</t>
        </is>
      </c>
      <c r="AR54" s="962">
        <f>IF(_epmOfflineCondition_,"A001010109",EPMOlapMemberO(AQ54,"[C_ACCOUNT].[PARENTH1].[A001010109]","A001010109 -   应收利息","","002"))</f>
        <v/>
      </c>
      <c r="AS54" s="920">
        <f>IF(_epmOfflineCondition_,"  应收利息",EPMMemberDesc(AR54))</f>
        <v/>
      </c>
      <c r="AT54" s="1282" t="n"/>
      <c r="AU54" s="1283" t="n"/>
      <c r="AV54" s="489" t="n"/>
      <c r="AW54" s="489" t="n"/>
      <c r="AX54" s="716" t="n"/>
      <c r="AY54" s="716" t="n"/>
    </row>
    <row r="55" ht="16.5" customFormat="1" customHeight="1" s="716">
      <c r="A55" s="716" t="n"/>
      <c r="B55" s="716" t="n"/>
      <c r="C55" s="716" t="n"/>
      <c r="D55" s="716" t="n"/>
      <c r="E55" s="716" t="n"/>
      <c r="F55" s="384" t="n"/>
      <c r="G55" s="716" t="n"/>
      <c r="H55" s="716" t="n"/>
      <c r="I55" s="716" t="n"/>
      <c r="J55" s="716" t="n"/>
      <c r="K55" s="716" t="n"/>
      <c r="L55" s="716" t="n"/>
      <c r="M55" s="716" t="n"/>
      <c r="N55" s="716" t="n"/>
      <c r="O55" s="716" t="n"/>
      <c r="P55" s="716" t="n"/>
      <c r="Q55" s="716" t="n"/>
      <c r="R55" s="384">
        <f>IF(_epmOfflineCondition_,0,IF($C$26&lt;&gt;"G_DUMMY",EPMSaveData($Z55,,$U55,$Z$25,$Z$26,$Z$27,$Z$28,$B$36,$B$37,$B$38,$B$39,$B$40,$B$41,$C$26,$C$22),EPMSaveData($Z55,,$U55,$Z$25,$Z$26,$Z$27,$Z$28,$B$36,$B$37,$B$38,$B$39,$B$40,$C$21,$C$26,$C$22)))</f>
        <v/>
      </c>
      <c r="S55" s="462">
        <f>IF(_epmOfflineCondition_,"10、成本费用总额占营业总收入的比率（%）",EPMMemberDesc(U55))</f>
        <v/>
      </c>
      <c r="T55" s="716" t="n"/>
      <c r="U55" s="889" t="inlineStr">
        <is>
          <t>A0050110</t>
        </is>
      </c>
      <c r="V55" s="889">
        <f>IF(_epmOfflineCondition_,"A0050110",EPMOlapMemberO(U55,"[C_ACCOUNT].[PARENTH1].[A0050110]","A0050110 - 10、成本费用总额占营业总收入的比率（%）","","000"))</f>
        <v/>
      </c>
      <c r="W55" s="462" t="n"/>
      <c r="X55" s="890" t="inlineStr">
        <is>
          <t>10、成本费用总额占营业总收入的比率（%）</t>
        </is>
      </c>
      <c r="Y55" s="895" t="inlineStr"/>
      <c r="Z55" s="1279">
        <f>IF($C$31="北京热力","",IFERROR(AK50/AK46*100,""))</f>
        <v/>
      </c>
      <c r="AA55" s="1279">
        <f>IF($C$31="北京热力","",IFERROR(AL50/AL46*100,""))</f>
        <v/>
      </c>
      <c r="AB55" s="1279">
        <f>IFERROR(Z55-AA55,"")</f>
        <v/>
      </c>
      <c r="AC55" s="902" t="inlineStr">
        <is>
          <t>【利润表】营业总成本÷营业总收入</t>
        </is>
      </c>
      <c r="AD55" s="1199" t="n"/>
      <c r="AE55" s="716" t="n"/>
      <c r="AF55" s="716" t="n"/>
      <c r="AG55" s="920" t="inlineStr">
        <is>
          <t>A0020205</t>
        </is>
      </c>
      <c r="AH55" s="914">
        <f>IF(_epmOfflineCondition_,"A0020205",EPMOlapMemberO(AG55,"[C_ACCOUNT].[PARENTH1].[A0020205]","A0020205 -            销售费用","","001"))</f>
        <v/>
      </c>
      <c r="AI55" s="915" t="inlineStr">
        <is>
          <t xml:space="preserve">            销售费用</t>
        </is>
      </c>
      <c r="AJ55" s="1280">
        <f>ROW()-45</f>
        <v/>
      </c>
      <c r="AK55" s="1281" t="n"/>
      <c r="AL55" s="1281" t="n"/>
      <c r="AM55" s="716" t="n"/>
      <c r="AN55" s="716" t="n"/>
      <c r="AO55" s="716" t="n"/>
      <c r="AP55" s="716" t="n"/>
      <c r="AQ55" s="927" t="inlineStr">
        <is>
          <t>A001010110</t>
        </is>
      </c>
      <c r="AR55" s="960">
        <f>IF(_epmOfflineCondition_,"A001010110",EPMOlapMemberO(AQ55,"[C_ACCOUNT].[PARENTH1].[A001010110]","A001010110 -   应收股利","","002"))</f>
        <v/>
      </c>
      <c r="AS55" s="920">
        <f>IF(_epmOfflineCondition_,"  应收股利",EPMMemberDesc(AR55))</f>
        <v/>
      </c>
      <c r="AT55" s="1282" t="n"/>
      <c r="AU55" s="1283" t="n"/>
      <c r="AV55" s="489" t="n"/>
      <c r="AW55" s="489" t="n"/>
      <c r="AX55" s="716" t="n"/>
      <c r="AY55" s="716" t="n"/>
    </row>
    <row r="56" ht="15.95" customFormat="1" customHeight="1" s="716">
      <c r="A56" s="716" t="n"/>
      <c r="B56" s="716" t="n"/>
      <c r="C56" s="716" t="n"/>
      <c r="D56" s="716" t="n"/>
      <c r="E56" s="716" t="n"/>
      <c r="F56" s="384" t="n"/>
      <c r="G56" s="716" t="n"/>
      <c r="H56" s="716" t="n"/>
      <c r="I56" s="716" t="n"/>
      <c r="J56" s="716" t="n"/>
      <c r="K56" s="716" t="n"/>
      <c r="L56" s="716" t="n"/>
      <c r="M56" s="716" t="n"/>
      <c r="N56" s="716" t="n"/>
      <c r="O56" s="716" t="n"/>
      <c r="P56" s="716" t="n"/>
      <c r="Q56" s="716" t="n"/>
      <c r="R56" s="384">
        <f>IF(_epmOfflineCondition_,0,IF($C$26&lt;&gt;"G_DUMMY",EPMSaveData($Z56,,$U56,$Z$25,$Z$26,$Z$27,$Z$28,$B$36,$B$37,$B$38,$B$39,$B$40,$B$41,$C$26,$C$22),EPMSaveData($Z56,,$U56,$Z$25,$Z$26,$Z$27,$Z$28,$B$36,$B$37,$B$38,$B$39,$B$40,$C$21,$C$26,$C$22)))</f>
        <v/>
      </c>
      <c r="S56" s="462">
        <f>IF(_epmOfflineCondition_,"11、成本费用总额占营业收入（含补贴）比重（%）（热力用）",EPMMemberDesc(U56))</f>
        <v/>
      </c>
      <c r="T56" s="716" t="n"/>
      <c r="U56" s="889" t="inlineStr">
        <is>
          <t>A0050111</t>
        </is>
      </c>
      <c r="V56" s="889">
        <f>IF(_epmOfflineCondition_,"A0050111",EPMOlapMemberO(U56,"[C_ACCOUNT].[PARENTH1].[A0050111]","A0050111 - 11、成本费用总额占营业收入（含补贴）比重（%）（热力用）","","000"))</f>
        <v/>
      </c>
      <c r="W56" s="462" t="n"/>
      <c r="X56" s="890" t="inlineStr">
        <is>
          <t>11、成本费用总额占营业收入（含补贴）比重（%）（热力用）</t>
        </is>
      </c>
      <c r="Y56" s="895" t="inlineStr"/>
      <c r="Z56" s="1279">
        <f>IF(OR($C$31="北京热力",$C$31="京能热力"),IFERROR((AK51+AK54+AK55+AK56+AK57+AK58)/(AK46+AK63)*100,""),"")</f>
        <v/>
      </c>
      <c r="AA56" s="1279">
        <f>IF(OR($C$31="北京热力",$C$31="京能热力"),IFERROR((AL51+AL54+AL55+AL56+AL57+AL58)/(AL46+AL63)*100,""),"")</f>
        <v/>
      </c>
      <c r="AB56" s="1279">
        <f>IFERROR(Z56-AA56,"")</f>
        <v/>
      </c>
      <c r="AC56" s="902" t="inlineStr">
        <is>
          <t>（营业成本+税金及附加+销售费用+管理费用+研发费用+财务费用）÷(营业总收入+其他收益）</t>
        </is>
      </c>
      <c r="AD56" s="1199" t="n"/>
      <c r="AE56" s="716" t="n"/>
      <c r="AF56" s="716" t="n"/>
      <c r="AG56" s="920" t="inlineStr">
        <is>
          <t>A0020206</t>
        </is>
      </c>
      <c r="AH56" s="914">
        <f>IF(_epmOfflineCondition_,"A0020206",EPMOlapMemberO(AG56,"[C_ACCOUNT].[PARENTH1].[A0020206]","A0020206 - 　　    管理费用","","001"))</f>
        <v/>
      </c>
      <c r="AI56" s="915" t="inlineStr">
        <is>
          <t xml:space="preserve">            管理费用</t>
        </is>
      </c>
      <c r="AJ56" s="1280">
        <f>ROW()-45</f>
        <v/>
      </c>
      <c r="AK56" s="1281" t="n"/>
      <c r="AL56" s="1281" t="n"/>
      <c r="AM56" s="716" t="n"/>
      <c r="AN56" s="716" t="n"/>
      <c r="AO56" s="716" t="n"/>
      <c r="AP56" s="716" t="n"/>
      <c r="AQ56" s="927" t="inlineStr">
        <is>
          <t>A001010111</t>
        </is>
      </c>
      <c r="AR56" s="960">
        <f>IF(_epmOfflineCondition_,"A001010111",EPMOlapMemberO(AQ56,"[C_ACCOUNT].[PARENTH1].[A001010111]","A001010111 -   其他应收款","","002"))</f>
        <v/>
      </c>
      <c r="AS56" s="920">
        <f>IF(_epmOfflineCondition_,"  其他应收款",EPMMemberDesc(AR56))</f>
        <v/>
      </c>
      <c r="AT56" s="1282" t="n"/>
      <c r="AU56" s="1283" t="n"/>
      <c r="AV56" s="489" t="n"/>
      <c r="AW56" s="489" t="n"/>
      <c r="AX56" s="716" t="n"/>
      <c r="AY56" s="716" t="n"/>
    </row>
    <row r="57" ht="15.95" customFormat="1" customHeight="1" s="716">
      <c r="A57" s="716" t="n"/>
      <c r="B57" s="716" t="n"/>
      <c r="C57" s="716" t="n"/>
      <c r="D57" s="716" t="n"/>
      <c r="E57" s="716" t="n"/>
      <c r="F57" s="384" t="n"/>
      <c r="G57" s="716" t="n"/>
      <c r="H57" s="716" t="n"/>
      <c r="I57" s="716" t="n"/>
      <c r="J57" s="716" t="n"/>
      <c r="K57" s="716" t="n"/>
      <c r="L57" s="716" t="n"/>
      <c r="M57" s="716" t="n"/>
      <c r="N57" s="716" t="n"/>
      <c r="O57" s="716" t="n"/>
      <c r="P57" s="716" t="n"/>
      <c r="Q57" s="716" t="n"/>
      <c r="R57" s="384">
        <f>IF(_epmOfflineCondition_,0,IF($C$26&lt;&gt;"G_DUMMY",EPMSaveData($Z57,,$U57,$Z$25,$Z$26,$Z$27,$Z$28,$B$36,$B$37,$B$38,$B$39,$B$40,$B$41,$C$26,$C$22),EPMSaveData($Z57,,$U57,$Z$25,$Z$26,$Z$27,$Z$28,$B$36,$B$37,$B$38,$B$39,$B$40,$C$21,$C$26,$C$22)))</f>
        <v/>
      </c>
      <c r="S57" s="462">
        <f>IF(_epmOfflineCondition_,"12、毛利率（%）",EPMMemberDesc(U57))</f>
        <v/>
      </c>
      <c r="T57" s="716" t="n"/>
      <c r="U57" s="889" t="inlineStr">
        <is>
          <t>A0050112</t>
        </is>
      </c>
      <c r="V57" s="889">
        <f>IF(_epmOfflineCondition_,"A0050112",EPMOlapMemberO(U57,"[C_ACCOUNT].[PARENTH1].[A0050112]","A0050112 - 12、毛利率（%）","","000"))</f>
        <v/>
      </c>
      <c r="W57" s="462" t="n"/>
      <c r="X57" s="890" t="inlineStr">
        <is>
          <t>12、毛利率（%）</t>
        </is>
      </c>
      <c r="Y57" s="895" t="inlineStr"/>
      <c r="Z57" s="1279">
        <f>IFERROR((AK46-AK51-AK52-AK53)/AK46*100,"")</f>
        <v/>
      </c>
      <c r="AA57" s="1279">
        <f>IFERROR((AL46-AL51-AL52-AL53)/AL46*100,"")</f>
        <v/>
      </c>
      <c r="AB57" s="1279">
        <f>IFERROR(Z57-AA57,"")</f>
        <v/>
      </c>
      <c r="AC57" s="902" t="inlineStr">
        <is>
          <t>（营业总收入-营业成本-金融企业营业成本）/营业总收入×100%</t>
        </is>
      </c>
      <c r="AD57" s="1199" t="n"/>
      <c r="AE57" s="716" t="n"/>
      <c r="AF57" s="716" t="n"/>
      <c r="AG57" s="920" t="inlineStr">
        <is>
          <t>A0020207</t>
        </is>
      </c>
      <c r="AH57" s="914">
        <f>IF(_epmOfflineCondition_,"A0020207",EPMOlapMemberO(AG57,"[C_ACCOUNT].[PARENTH1].[A0020207]","A0020207 -            研发费用","","001"))</f>
        <v/>
      </c>
      <c r="AI57" s="915" t="inlineStr">
        <is>
          <t xml:space="preserve">            研发费用</t>
        </is>
      </c>
      <c r="AJ57" s="1280">
        <f>ROW()-45</f>
        <v/>
      </c>
      <c r="AK57" s="1284" t="n"/>
      <c r="AL57" s="1284" t="n"/>
      <c r="AM57" s="384" t="n"/>
      <c r="AN57" s="384" t="n"/>
      <c r="AO57" s="384" t="n"/>
      <c r="AP57" s="384" t="n"/>
      <c r="AQ57" s="927" t="inlineStr">
        <is>
          <t>A001010112</t>
        </is>
      </c>
      <c r="AR57" s="962">
        <f>IF(_epmOfflineCondition_,"A001010112",EPMOlapMemberO(AQ57,"[C_ACCOUNT].[PARENTH1].[A001010112]","A001010112 -   # 买入返售金融资产","","002"))</f>
        <v/>
      </c>
      <c r="AS57" s="920">
        <f>IF(_epmOfflineCondition_,"  # 买入返售金融资产",EPMMemberDesc(AR57))</f>
        <v/>
      </c>
      <c r="AT57" s="1285" t="n"/>
      <c r="AU57" s="1286" t="n"/>
      <c r="AV57" s="155" t="n"/>
      <c r="AW57" s="155" t="n"/>
      <c r="AX57" s="716" t="n"/>
      <c r="AY57" s="716" t="n"/>
    </row>
    <row r="58" ht="15.95" customFormat="1" customHeight="1" s="716">
      <c r="A58" s="716" t="n"/>
      <c r="B58" s="716" t="n"/>
      <c r="C58" s="716" t="n"/>
      <c r="D58" s="716" t="n"/>
      <c r="E58" s="716" t="n"/>
      <c r="F58" s="384" t="n"/>
      <c r="G58" s="716" t="n"/>
      <c r="H58" s="716" t="n"/>
      <c r="I58" s="716" t="n"/>
      <c r="J58" s="716" t="n"/>
      <c r="K58" s="716" t="n"/>
      <c r="L58" s="716" t="n"/>
      <c r="M58" s="716" t="n"/>
      <c r="N58" s="716" t="n"/>
      <c r="O58" s="716" t="n"/>
      <c r="P58" s="716" t="n"/>
      <c r="Q58" s="716" t="n"/>
      <c r="R58" s="384">
        <f>IF(_epmOfflineCondition_,0,IF($C$26&lt;&gt;"G_DUMMY",EPMSaveData($Z58,,$U58,$Z$25,$Z$26,$Z$27,$Z$28,$B$36,$B$37,$B$38,$B$39,$B$40,$B$41,$C$26,$C$22),EPMSaveData($Z58,,$U58,$Z$25,$Z$26,$Z$27,$Z$28,$B$36,$B$37,$B$38,$B$39,$B$40,$C$21,$C$26,$C$22)))</f>
        <v/>
      </c>
      <c r="S58" s="462">
        <f>IF(_epmOfflineCondition_,"13、职工薪酬利润率（%）",EPMMemberDesc(U58))</f>
        <v/>
      </c>
      <c r="T58" s="716" t="n"/>
      <c r="U58" s="889" t="inlineStr">
        <is>
          <t>A0050113</t>
        </is>
      </c>
      <c r="V58" s="889">
        <f>IF(_epmOfflineCondition_,"A0050113",EPMOlapMemberO(U58,"[C_ACCOUNT].[PARENTH1].[A0050113]","A0050113 - 13、职工薪酬利润率（%）","","000"))</f>
        <v/>
      </c>
      <c r="W58" s="462" t="n"/>
      <c r="X58" s="890" t="inlineStr">
        <is>
          <t>13、职工薪酬利润率（%）</t>
        </is>
      </c>
      <c r="Y58" s="895" t="inlineStr"/>
      <c r="Z58" s="1279">
        <f>IFERROR(AK79/AJ144*100,"")</f>
        <v/>
      </c>
      <c r="AA58" s="1279">
        <f>IFERROR(AL79/AK144*100,"")</f>
        <v/>
      </c>
      <c r="AB58" s="1279">
        <f>IFERROR(Z58-AA58,"")</f>
        <v/>
      </c>
      <c r="AC58" s="902" t="inlineStr">
        <is>
          <t>【利润表】利润总额÷【企业财务快报（国资委）】职工薪酬（不含劳务派遣费用）</t>
        </is>
      </c>
      <c r="AD58" s="1199" t="n"/>
      <c r="AE58" s="716" t="n"/>
      <c r="AF58" s="716" t="n"/>
      <c r="AG58" s="920" t="inlineStr">
        <is>
          <t>A0020208</t>
        </is>
      </c>
      <c r="AH58" s="914">
        <f>IF(_epmOfflineCondition_,"A0020208",EPMOlapMemberO(AG58,"[C_ACCOUNT].[PARENTH1].[A0020208]","A0020208 - 　　    财务费用","","001"))</f>
        <v/>
      </c>
      <c r="AI58" s="915" t="inlineStr">
        <is>
          <t xml:space="preserve">            财务费用</t>
        </is>
      </c>
      <c r="AJ58" s="1280">
        <f>ROW()-45</f>
        <v/>
      </c>
      <c r="AK58" s="1284" t="inlineStr"/>
      <c r="AL58" s="1284" t="n"/>
      <c r="AM58" s="384" t="n"/>
      <c r="AN58" s="384" t="n"/>
      <c r="AO58" s="384" t="n"/>
      <c r="AP58" s="384" t="n"/>
      <c r="AQ58" s="927" t="inlineStr">
        <is>
          <t>A001010113</t>
        </is>
      </c>
      <c r="AR58" s="962">
        <f>IF(_epmOfflineCondition_,"A001010113",EPMOlapMemberO(AQ58,"[C_ACCOUNT].[PARENTH1].[A001010113]","A001010113 -   存货","","002"))</f>
        <v/>
      </c>
      <c r="AS58" s="920">
        <f>IF(_epmOfflineCondition_,"  存货",EPMMemberDesc(AR58))</f>
        <v/>
      </c>
      <c r="AT58" s="1285" t="n"/>
      <c r="AU58" s="1286" t="n"/>
      <c r="AV58" s="155" t="n"/>
      <c r="AW58" s="155" t="n"/>
      <c r="AX58" s="716" t="n"/>
      <c r="AY58" s="716" t="n"/>
    </row>
    <row r="59" ht="15.95" customFormat="1" customHeight="1" s="716">
      <c r="A59" s="716" t="n"/>
      <c r="B59" s="716" t="n"/>
      <c r="C59" s="716" t="n"/>
      <c r="D59" s="716" t="n"/>
      <c r="E59" s="716" t="n"/>
      <c r="F59" s="384" t="n"/>
      <c r="G59" s="716" t="n"/>
      <c r="H59" s="716" t="n"/>
      <c r="I59" s="716" t="n"/>
      <c r="J59" s="716" t="n"/>
      <c r="K59" s="716" t="n"/>
      <c r="L59" s="716" t="n"/>
      <c r="M59" s="716" t="n"/>
      <c r="N59" s="716" t="n"/>
      <c r="O59" s="716" t="n"/>
      <c r="P59" s="716" t="n"/>
      <c r="Q59" s="716" t="n"/>
      <c r="R59" s="384">
        <f>IF(_epmOfflineCondition_,0,IF($C$26&lt;&gt;"G_DUMMY",EPMSaveData($Z59,,$U59,$Z$25,$Z$26,$Z$27,$Z$28,$B$36,$B$37,$B$38,$B$39,$B$40,$B$41,$C$26,$C$22),EPMSaveData($Z59,,$U59,$Z$25,$Z$26,$Z$27,$Z$28,$B$36,$B$37,$B$38,$B$39,$B$40,$C$21,$C$26,$C$22)))</f>
        <v/>
      </c>
      <c r="S59" s="462">
        <f>IF(_epmOfflineCondition_,"14、百元营业收入支付的成本费用（元）",EPMMemberDesc(U59))</f>
        <v/>
      </c>
      <c r="T59" s="716" t="n"/>
      <c r="U59" s="889" t="inlineStr">
        <is>
          <t>A0050114</t>
        </is>
      </c>
      <c r="V59" s="889">
        <f>IF(_epmOfflineCondition_,"A0050114",EPMOlapMemberO(U59,"[C_ACCOUNT].[PARENTH1].[A0050114]","A0050114 - 14、百元营业收入支付的成本费用（元）","","000"))</f>
        <v/>
      </c>
      <c r="W59" s="462" t="n"/>
      <c r="X59" s="890" t="inlineStr">
        <is>
          <t>14、百元营业收入支付的成本费用（元）</t>
        </is>
      </c>
      <c r="Y59" s="895" t="inlineStr"/>
      <c r="Z59" s="1279">
        <f>IFERROR(AK50/AK46*100,"")</f>
        <v/>
      </c>
      <c r="AA59" s="1279">
        <f>IFERROR(AL50/AL46*100,"")</f>
        <v/>
      </c>
      <c r="AB59" s="1279">
        <f>IFERROR(Z59-AA59,"")</f>
        <v/>
      </c>
      <c r="AC59" s="902" t="inlineStr">
        <is>
          <t>【利润表】营业总成本÷营业总收入*100</t>
        </is>
      </c>
      <c r="AD59" s="1199" t="n"/>
      <c r="AE59" s="716" t="n"/>
      <c r="AF59" s="716" t="n"/>
      <c r="AG59" s="920" t="inlineStr">
        <is>
          <t>A660302</t>
        </is>
      </c>
      <c r="AH59" s="917">
        <f>IF(_epmOfflineCondition_,"A660302",EPMOlapMemberO(AG59,"[C_ACCOUNT].[PARENTH1].[A660302]","A660302 - 财务费用-利息费用","","001"))</f>
        <v/>
      </c>
      <c r="AI59" s="915" t="inlineStr">
        <is>
          <t xml:space="preserve">                      其中：利息支出</t>
        </is>
      </c>
      <c r="AJ59" s="1280">
        <f>ROW()-45</f>
        <v/>
      </c>
      <c r="AK59" s="1284" t="inlineStr"/>
      <c r="AL59" s="1284" t="n"/>
      <c r="AM59" s="384" t="n"/>
      <c r="AN59" s="384" t="n"/>
      <c r="AO59" s="384" t="n"/>
      <c r="AP59" s="384" t="n"/>
      <c r="AQ59" s="927" t="inlineStr">
        <is>
          <t>A00101011301</t>
        </is>
      </c>
      <c r="AR59" s="960">
        <f>IF(_epmOfflineCondition_,"A00101011301",EPMOlapMemberO(AQ59,"[C_ACCOUNT].[PARENTH1].[A00101011301]","A00101011301 -      其中：原材料","","002"))</f>
        <v/>
      </c>
      <c r="AS59" s="920">
        <f>IF(_epmOfflineCondition_,"     其中：原材料",EPMMemberDesc(AR59))</f>
        <v/>
      </c>
      <c r="AT59" s="1285" t="n"/>
      <c r="AU59" s="1286" t="n"/>
      <c r="AV59" s="155" t="n"/>
      <c r="AW59" s="155" t="n"/>
      <c r="AX59" s="716" t="n"/>
      <c r="AY59" s="716" t="n"/>
    </row>
    <row r="60">
      <c r="A60" s="384" t="n"/>
      <c r="B60" s="384" t="n"/>
      <c r="C60" s="384" t="n"/>
      <c r="D60" s="384" t="n"/>
      <c r="E60" s="384" t="n"/>
      <c r="F60" s="384" t="n"/>
      <c r="G60" s="384" t="n"/>
      <c r="H60" s="384" t="n"/>
      <c r="I60" s="384" t="n"/>
      <c r="J60" s="384" t="n"/>
      <c r="K60" s="384" t="n"/>
      <c r="L60" s="384" t="n"/>
      <c r="M60" s="384" t="n"/>
      <c r="N60" s="384" t="n"/>
      <c r="O60" s="384" t="n"/>
      <c r="P60" s="384" t="n"/>
      <c r="Q60" s="384" t="n"/>
      <c r="R60" s="384" t="n"/>
      <c r="S60" s="462" t="n"/>
      <c r="T60" s="384" t="n"/>
      <c r="U60" s="889" t="n"/>
      <c r="V60" s="889" t="n"/>
      <c r="W60" s="384" t="n"/>
      <c r="X60" s="888" t="inlineStr">
        <is>
          <t>二、资产质量指标</t>
        </is>
      </c>
      <c r="Y60" s="895" t="inlineStr"/>
      <c r="Z60" s="1279" t="inlineStr">
        <is>
          <t>——</t>
        </is>
      </c>
      <c r="AA60" s="1279" t="inlineStr">
        <is>
          <t>——</t>
        </is>
      </c>
      <c r="AB60" s="1279" t="inlineStr">
        <is>
          <t>——</t>
        </is>
      </c>
      <c r="AC60" s="903" t="inlineStr">
        <is>
          <t>——</t>
        </is>
      </c>
      <c r="AD60" s="1199" t="n"/>
      <c r="AE60" s="716" t="n"/>
      <c r="AF60" s="716" t="n"/>
      <c r="AG60" s="920" t="inlineStr">
        <is>
          <t>A660301</t>
        </is>
      </c>
      <c r="AH60" s="917">
        <f>IF(_epmOfflineCondition_,"A660301",EPMOlapMemberO(AG60,"[C_ACCOUNT].[PARENTH1].[A660301]","A660301 - 财务费用-利息收入","","001"))</f>
        <v/>
      </c>
      <c r="AI60" s="915" t="inlineStr">
        <is>
          <t xml:space="preserve">                             利息收入</t>
        </is>
      </c>
      <c r="AJ60" s="1280">
        <f>ROW()-45</f>
        <v/>
      </c>
      <c r="AK60" s="1284" t="inlineStr"/>
      <c r="AL60" s="1284" t="n"/>
      <c r="AM60" s="384" t="n"/>
      <c r="AN60" s="384" t="n"/>
      <c r="AO60" s="384" t="n"/>
      <c r="AP60" s="384" t="n"/>
      <c r="AQ60" s="927" t="inlineStr">
        <is>
          <t>A00101011303</t>
        </is>
      </c>
      <c r="AR60" s="960">
        <f>IF(_epmOfflineCondition_,"A00101011303",EPMOlapMemberO(AQ60,"[C_ACCOUNT].[PARENTH1].[A00101011303]","A00101011303 -                库存商品（产成品）","","002"))</f>
        <v/>
      </c>
      <c r="AS60" s="920">
        <f>IF(_epmOfflineCondition_,"               库存商品（产成品）",EPMMemberDesc(AR60))</f>
        <v/>
      </c>
      <c r="AT60" s="1285" t="n"/>
      <c r="AU60" s="1286" t="n"/>
      <c r="AV60" s="155" t="n"/>
      <c r="AW60" s="155" t="n"/>
      <c r="AX60" s="384" t="n"/>
      <c r="AY60" s="384" t="n"/>
    </row>
    <row r="61">
      <c r="A61" s="384" t="n"/>
      <c r="B61" s="384" t="n"/>
      <c r="C61" s="384" t="n"/>
      <c r="D61" s="384" t="n"/>
      <c r="E61" s="384" t="n"/>
      <c r="F61" s="384" t="n"/>
      <c r="G61" s="384" t="n"/>
      <c r="H61" s="384" t="n"/>
      <c r="I61" s="384" t="n"/>
      <c r="J61" s="384" t="n"/>
      <c r="K61" s="384" t="n"/>
      <c r="L61" s="384" t="n"/>
      <c r="M61" s="384" t="n"/>
      <c r="N61" s="384" t="n"/>
      <c r="O61" s="384" t="n"/>
      <c r="P61" s="384" t="n"/>
      <c r="Q61" s="384" t="n"/>
      <c r="R61" s="384">
        <f>IF(_epmOfflineCondition_,0,IF($C$26&lt;&gt;"G_DUMMY",EPMSaveData($Z61,,$U61,$Z$25,$Z$26,$Z$27,$Z$28,$B$36,$B$37,$B$38,$B$39,$B$40,$B$41,$C$26,$C$22),EPMSaveData($Z61,,$U61,$Z$25,$Z$26,$Z$27,$Z$28,$B$36,$B$37,$B$38,$B$39,$B$40,$C$21,$C$26,$C$22)))</f>
        <v/>
      </c>
      <c r="S61" s="462">
        <f>IF(_epmOfflineCondition_,"1、总资产周转率（次）",EPMMemberDesc(U61))</f>
        <v/>
      </c>
      <c r="T61" s="384" t="n"/>
      <c r="U61" s="889" t="inlineStr">
        <is>
          <t>A0050201</t>
        </is>
      </c>
      <c r="V61" s="889">
        <f>IF(_epmOfflineCondition_,"A0050201",EPMOlapMemberO(U61,"[C_ACCOUNT].[PARENTH1].[A0050201]","A0050201 - 1、总资产周转率（次）","","000"))</f>
        <v/>
      </c>
      <c r="W61" s="384" t="n"/>
      <c r="X61" s="890" t="inlineStr">
        <is>
          <t>1、总资产周转率（次）</t>
        </is>
      </c>
      <c r="Y61" s="895" t="inlineStr"/>
      <c r="Z61" s="1279">
        <f>IFERROR(AK46*2/(AT93+AU93),"")</f>
        <v/>
      </c>
      <c r="AA61" s="1279">
        <f>IFERROR(AL46*2/(AU93+AV93),"")</f>
        <v/>
      </c>
      <c r="AB61" s="1279">
        <f>IFERROR(Z61-AA61,"")</f>
        <v/>
      </c>
      <c r="AC61" s="904" t="inlineStr">
        <is>
          <t>营业总收入*2÷（期初资产总计+期末资产总计)</t>
        </is>
      </c>
      <c r="AD61" s="1199" t="n"/>
      <c r="AE61" s="716" t="n"/>
      <c r="AF61" s="716" t="n"/>
      <c r="AG61" s="920" t="inlineStr">
        <is>
          <t>A6603030000</t>
        </is>
      </c>
      <c r="AH61" s="918">
        <f>IF(_epmOfflineCondition_,"A6603030000",EPMOlapMemberO(AG61,"[C_ACCOUNT].[PARENTH1].[A6603030000]","A6603030000 - 财务费用-汇兑损益","","001"))</f>
        <v/>
      </c>
      <c r="AI61" s="915" t="inlineStr">
        <is>
          <t xml:space="preserve">                             汇兑净损失（净收益以“－”号填列）</t>
        </is>
      </c>
      <c r="AJ61" s="1280">
        <f>ROW()-45</f>
        <v/>
      </c>
      <c r="AK61" s="1284" t="n"/>
      <c r="AL61" s="1284" t="n"/>
      <c r="AM61" s="384" t="n"/>
      <c r="AN61" s="384" t="n"/>
      <c r="AO61" s="384" t="n"/>
      <c r="AP61" s="384" t="n"/>
      <c r="AQ61" s="927" t="inlineStr">
        <is>
          <t>A001010114</t>
        </is>
      </c>
      <c r="AR61" s="962">
        <f>IF(_epmOfflineCondition_,"A001010114",EPMOlapMemberO(AQ61,"[C_ACCOUNT].[PARENTH1].[A001010114]","A001010114 -   合同资产","","002"))</f>
        <v/>
      </c>
      <c r="AS61" s="920">
        <f>IF(_epmOfflineCondition_,"  合同资产",EPMMemberDesc(AR61))</f>
        <v/>
      </c>
      <c r="AT61" s="1285" t="n"/>
      <c r="AU61" s="1286" t="n"/>
      <c r="AV61" s="155" t="n"/>
      <c r="AW61" s="155" t="n"/>
      <c r="AX61" s="384" t="n"/>
      <c r="AY61" s="384" t="n"/>
    </row>
    <row r="62">
      <c r="A62" s="384" t="n"/>
      <c r="B62" s="384" t="n"/>
      <c r="C62" s="384" t="n"/>
      <c r="D62" s="384" t="n"/>
      <c r="E62" s="384" t="n"/>
      <c r="F62" s="384" t="n"/>
      <c r="G62" s="384" t="n"/>
      <c r="H62" s="384" t="n"/>
      <c r="I62" s="384" t="n"/>
      <c r="J62" s="384" t="n"/>
      <c r="K62" s="384" t="n"/>
      <c r="L62" s="384" t="n"/>
      <c r="M62" s="384" t="n"/>
      <c r="N62" s="384" t="n"/>
      <c r="O62" s="384" t="n"/>
      <c r="P62" s="384" t="n"/>
      <c r="Q62" s="384" t="n"/>
      <c r="R62" s="384">
        <f>IF(_epmOfflineCondition_,0,IF($C$26&lt;&gt;"G_DUMMY",EPMSaveData($Z62,,$U62,$Z$25,$Z$26,$Z$27,$Z$28,$B$36,$B$37,$B$38,$B$39,$B$40,$B$41,$C$26,$C$22),EPMSaveData($Z62,,$U62,$Z$25,$Z$26,$Z$27,$Z$28,$B$36,$B$37,$B$38,$B$39,$B$40,$C$21,$C$26,$C$22)))</f>
        <v/>
      </c>
      <c r="S62" s="462">
        <f>IF(_epmOfflineCondition_,"2、流动资产周转率（次）",EPMMemberDesc(U62))</f>
        <v/>
      </c>
      <c r="T62" s="384" t="n"/>
      <c r="U62" s="889" t="inlineStr">
        <is>
          <t>A0050202</t>
        </is>
      </c>
      <c r="V62" s="889">
        <f>IF(_epmOfflineCondition_,"A0050202",EPMOlapMemberO(U62,"[C_ACCOUNT].[PARENTH1].[A0050202]","A0050202 - 2、流动资产周转率（次）","","000"))</f>
        <v/>
      </c>
      <c r="W62" s="384" t="n"/>
      <c r="X62" s="890" t="inlineStr">
        <is>
          <t>2、流动资产周转率（次）</t>
        </is>
      </c>
      <c r="Y62" s="895" t="inlineStr"/>
      <c r="Z62" s="1279">
        <f>IFERROR(AK46*2/(AT65+AU65),"")</f>
        <v/>
      </c>
      <c r="AA62" s="1279">
        <f>IFERROR(AL46*2/(AV65+AW65),"")</f>
        <v/>
      </c>
      <c r="AB62" s="1279">
        <f>IFERROR(Z62-AA62,"")</f>
        <v/>
      </c>
      <c r="AC62" s="904" t="inlineStr">
        <is>
          <t>营业总收入*2÷（期初流动资产小计+期末流动资产小计)</t>
        </is>
      </c>
      <c r="AD62" s="1199" t="n"/>
      <c r="AE62" s="716" t="n"/>
      <c r="AF62" s="716" t="n"/>
      <c r="AG62" s="920" t="inlineStr">
        <is>
          <t>A0020299</t>
        </is>
      </c>
      <c r="AH62" s="914">
        <f>IF(_epmOfflineCondition_,"A0020299",EPMOlapMemberO(AG62,"[C_ACCOUNT].[PARENTH1].[A0020299]","A0020299 - 其他","","001"))</f>
        <v/>
      </c>
      <c r="AI62" s="915" t="inlineStr">
        <is>
          <t xml:space="preserve">            其他</t>
        </is>
      </c>
      <c r="AJ62" s="1280">
        <f>ROW()-45</f>
        <v/>
      </c>
      <c r="AK62" s="1284" t="n"/>
      <c r="AL62" s="1284" t="n"/>
      <c r="AM62" s="384" t="n"/>
      <c r="AN62" s="384" t="n"/>
      <c r="AO62" s="384" t="n"/>
      <c r="AP62" s="384" t="n"/>
      <c r="AQ62" s="927" t="inlineStr">
        <is>
          <t>A001010115</t>
        </is>
      </c>
      <c r="AR62" s="962">
        <f>IF(_epmOfflineCondition_,"A001010115",EPMOlapMemberO(AQ62,"[C_ACCOUNT].[PARENTH1].[A001010115]","A001010115 -   持有待售资产","","002"))</f>
        <v/>
      </c>
      <c r="AS62" s="920">
        <f>IF(_epmOfflineCondition_,"  持有待售资产",EPMMemberDesc(AR62))</f>
        <v/>
      </c>
      <c r="AT62" s="1285" t="n"/>
      <c r="AU62" s="1286" t="n"/>
      <c r="AV62" s="155" t="n"/>
      <c r="AW62" s="155" t="n"/>
      <c r="AX62" s="384" t="n"/>
      <c r="AY62" s="384" t="n"/>
    </row>
    <row r="63">
      <c r="A63" s="384" t="n"/>
      <c r="B63" s="384" t="n"/>
      <c r="C63" s="384" t="n"/>
      <c r="D63" s="384" t="n"/>
      <c r="E63" s="384" t="n"/>
      <c r="F63" s="384" t="n"/>
      <c r="G63" s="384" t="n"/>
      <c r="H63" s="384" t="n"/>
      <c r="I63" s="384" t="n"/>
      <c r="J63" s="384" t="n"/>
      <c r="K63" s="384" t="n"/>
      <c r="L63" s="384" t="n"/>
      <c r="M63" s="384" t="n"/>
      <c r="N63" s="384" t="n"/>
      <c r="O63" s="384" t="n"/>
      <c r="P63" s="384" t="n"/>
      <c r="Q63" s="384" t="n"/>
      <c r="R63" s="384">
        <f>IF(_epmOfflineCondition_,0,IF($C$26&lt;&gt;"G_DUMMY",EPMSaveData($Z63,,$U63,$Z$25,$Z$26,$Z$27,$Z$28,$B$36,$B$37,$B$38,$B$39,$B$40,$B$41,$C$26,$C$22),EPMSaveData($Z63,,$U63,$Z$25,$Z$26,$Z$27,$Z$28,$B$36,$B$37,$B$38,$B$39,$B$40,$C$21,$C$26,$C$22)))</f>
        <v/>
      </c>
      <c r="S63" s="462">
        <f>IF(_epmOfflineCondition_,"3、存货周转率（次）",EPMMemberDesc(U63))</f>
        <v/>
      </c>
      <c r="T63" s="384" t="n"/>
      <c r="U63" s="889" t="inlineStr">
        <is>
          <t>A0050203</t>
        </is>
      </c>
      <c r="V63" s="889">
        <f>IF(_epmOfflineCondition_,"A0050203",EPMOlapMemberO(U63,"[C_ACCOUNT].[PARENTH1].[A0050203]","A0050203 - 3、存货周转率（次）","","000"))</f>
        <v/>
      </c>
      <c r="W63" s="384" t="n"/>
      <c r="X63" s="890" t="inlineStr">
        <is>
          <t>3、存货周转率（次）</t>
        </is>
      </c>
      <c r="Y63" s="895" t="inlineStr"/>
      <c r="Z63" s="1279">
        <f>IFERROR(AK51*2/(AT58+AU58),"")</f>
        <v/>
      </c>
      <c r="AA63" s="1279">
        <f>IFERROR(AL51*2/(AV58+AW58),"")</f>
        <v/>
      </c>
      <c r="AB63" s="1279">
        <f>IFERROR(Z63-AA63,"")</f>
        <v/>
      </c>
      <c r="AC63" s="904" t="inlineStr">
        <is>
          <t>营业成本*2÷（期初存货余额+期末存货余额)</t>
        </is>
      </c>
      <c r="AD63" s="1199" t="n"/>
      <c r="AE63" s="716" t="n"/>
      <c r="AF63" s="716" t="n"/>
      <c r="AG63" s="920" t="inlineStr">
        <is>
          <t>A0020211</t>
        </is>
      </c>
      <c r="AH63" s="911">
        <f>IF(_epmOfflineCondition_,"A0020211",EPMOlapMemberO(AG63,"[C_ACCOUNT].[PARENTH1].[A0020211]","A0020211 -     加：其他收益","","001"))</f>
        <v/>
      </c>
      <c r="AI63" s="915" t="inlineStr">
        <is>
          <t xml:space="preserve">   加：其他收益</t>
        </is>
      </c>
      <c r="AJ63" s="1280">
        <f>ROW()-45</f>
        <v/>
      </c>
      <c r="AK63" s="1284" t="n"/>
      <c r="AL63" s="1284" t="n"/>
      <c r="AM63" s="384" t="n"/>
      <c r="AN63" s="384" t="n"/>
      <c r="AO63" s="384" t="n"/>
      <c r="AP63" s="384" t="n"/>
      <c r="AQ63" s="927" t="inlineStr">
        <is>
          <t>A001010116</t>
        </is>
      </c>
      <c r="AR63" s="962">
        <f>IF(_epmOfflineCondition_,"A001010116",EPMOlapMemberO(AQ63,"[C_ACCOUNT].[PARENTH1].[A001010116]","A001010116 -   一年内到期的非流动资产","","002"))</f>
        <v/>
      </c>
      <c r="AS63" s="920">
        <f>IF(_epmOfflineCondition_,"  一年内到期的非流动资产",EPMMemberDesc(AR63))</f>
        <v/>
      </c>
      <c r="AT63" s="1285" t="n"/>
      <c r="AU63" s="1286" t="n"/>
      <c r="AV63" s="155" t="n"/>
      <c r="AW63" s="155" t="n"/>
      <c r="AX63" s="384" t="n"/>
      <c r="AY63" s="384" t="n"/>
    </row>
    <row r="64">
      <c r="A64" s="384" t="n"/>
      <c r="B64" s="384" t="n"/>
      <c r="C64" s="384" t="n"/>
      <c r="D64" s="384" t="n"/>
      <c r="E64" s="384" t="n"/>
      <c r="F64" s="384" t="n"/>
      <c r="G64" s="384" t="n"/>
      <c r="H64" s="384" t="n"/>
      <c r="I64" s="384" t="n"/>
      <c r="J64" s="384" t="n"/>
      <c r="K64" s="384" t="n"/>
      <c r="L64" s="384" t="n"/>
      <c r="M64" s="384" t="n"/>
      <c r="N64" s="384" t="n"/>
      <c r="O64" s="384" t="n"/>
      <c r="P64" s="384" t="n"/>
      <c r="Q64" s="384" t="n"/>
      <c r="R64" s="384">
        <f>IF(_epmOfflineCondition_,0,IF($C$26&lt;&gt;"G_DUMMY",EPMSaveData($Z64,,$U64,$Z$25,$Z$26,$Z$27,$Z$28,$B$36,$B$37,$B$38,$B$39,$B$40,$B$41,$C$26,$C$22),EPMSaveData($Z64,,$U64,$Z$25,$Z$26,$Z$27,$Z$28,$B$36,$B$37,$B$38,$B$39,$B$40,$C$21,$C$26,$C$22)))</f>
        <v/>
      </c>
      <c r="S64" s="462">
        <f>IF(_epmOfflineCondition_,"4、应收账款周转率（次）",EPMMemberDesc(U64))</f>
        <v/>
      </c>
      <c r="T64" s="384" t="n"/>
      <c r="U64" s="889" t="inlineStr">
        <is>
          <t>A0050204</t>
        </is>
      </c>
      <c r="V64" s="889">
        <f>IF(_epmOfflineCondition_,"A0050204",EPMOlapMemberO(U64,"[C_ACCOUNT].[PARENTH1].[A0050204]","A0050204 - 4、应收账款周转率（次）","","000"))</f>
        <v/>
      </c>
      <c r="W64" s="384" t="n"/>
      <c r="X64" s="890" t="inlineStr">
        <is>
          <t>4、应收账款周转率（次）</t>
        </is>
      </c>
      <c r="Y64" s="895" t="inlineStr"/>
      <c r="Z64" s="1279">
        <f>IFERROR(AK47*2/(AT52+AU52),"")</f>
        <v/>
      </c>
      <c r="AA64" s="1279">
        <f>IFERROR(AL47*2/(AV52+AW52),"")</f>
        <v/>
      </c>
      <c r="AB64" s="1279">
        <f>IFERROR(Z64-AA64,"")</f>
        <v/>
      </c>
      <c r="AC64" s="904" t="inlineStr">
        <is>
          <t>营业收入*2÷（期初应收账款余额+期末应收账款余额)</t>
        </is>
      </c>
      <c r="AD64" s="1199" t="n"/>
      <c r="AE64" s="716" t="n"/>
      <c r="AF64" s="716" t="n"/>
      <c r="AG64" s="920" t="inlineStr">
        <is>
          <t>A0020212</t>
        </is>
      </c>
      <c r="AH64" s="911">
        <f>IF(_epmOfflineCondition_,"A0020212",EPMOlapMemberO(AG64,"[C_ACCOUNT].[PARENTH1].[A0020212]","A0020212 - 　      投资收益（损失以“-""号填列）","","001"))</f>
        <v/>
      </c>
      <c r="AI64" s="915" t="inlineStr">
        <is>
          <t xml:space="preserve"> 投资收益（损失以“－”号填列）</t>
        </is>
      </c>
      <c r="AJ64" s="1280">
        <f>ROW()-45</f>
        <v/>
      </c>
      <c r="AK64" s="1284" t="n"/>
      <c r="AL64" s="1284" t="n"/>
      <c r="AM64" s="384" t="n"/>
      <c r="AN64" s="384" t="n"/>
      <c r="AO64" s="384" t="n"/>
      <c r="AP64" s="384" t="n"/>
      <c r="AQ64" s="927" t="inlineStr">
        <is>
          <t>A001010117</t>
        </is>
      </c>
      <c r="AR64" s="962">
        <f>IF(_epmOfflineCondition_,"A001010117",EPMOlapMemberO(AQ64,"[C_ACCOUNT].[PARENTH1].[A001010117]","A001010117 - 　其他流动资产","","002"))</f>
        <v/>
      </c>
      <c r="AS64" s="920">
        <f>IF(_epmOfflineCondition_,"　其他流动资产",EPMMemberDesc(AR64))</f>
        <v/>
      </c>
      <c r="AT64" s="1285" t="inlineStr"/>
      <c r="AU64" s="1286" t="inlineStr"/>
      <c r="AV64" s="155" t="inlineStr"/>
      <c r="AW64" s="155" t="inlineStr"/>
      <c r="AX64" s="384" t="n"/>
      <c r="AY64" s="384" t="n"/>
    </row>
    <row r="65">
      <c r="A65" s="384" t="n"/>
      <c r="B65" s="384" t="n"/>
      <c r="C65" s="384" t="n"/>
      <c r="D65" s="384" t="n"/>
      <c r="E65" s="384" t="n"/>
      <c r="F65" s="384" t="n"/>
      <c r="G65" s="384" t="n"/>
      <c r="H65" s="384" t="n"/>
      <c r="I65" s="384" t="n"/>
      <c r="J65" s="384" t="n"/>
      <c r="K65" s="384" t="n"/>
      <c r="L65" s="384" t="n"/>
      <c r="M65" s="384" t="n"/>
      <c r="N65" s="384" t="n"/>
      <c r="O65" s="384" t="n"/>
      <c r="P65" s="384" t="n"/>
      <c r="Q65" s="384" t="n"/>
      <c r="R65" s="384">
        <f>IF(_epmOfflineCondition_,0,IF($C$26&lt;&gt;"G_DUMMY",EPMSaveData($Z65,,$U65,$Z$25,$Z$26,$Z$27,$Z$28,$B$36,$B$37,$B$38,$B$39,$B$40,$B$41,$C$26,$C$22),EPMSaveData($Z65,,$U65,$Z$25,$Z$26,$Z$27,$Z$28,$B$36,$B$37,$B$38,$B$39,$B$40,$C$21,$C$26,$C$22)))</f>
        <v/>
      </c>
      <c r="S65" s="462">
        <f>IF(_epmOfflineCondition_,"5、资产现金回收率（%）",EPMMemberDesc(U65))</f>
        <v/>
      </c>
      <c r="T65" s="384" t="n"/>
      <c r="U65" s="889" t="inlineStr">
        <is>
          <t>A0050205</t>
        </is>
      </c>
      <c r="V65" s="889">
        <f>IF(_epmOfflineCondition_,"A0050205",EPMOlapMemberO(U65,"[C_ACCOUNT].[PARENTH1].[A0050205]","A0050205 - 5、资产现金回收率（%）","","000"))</f>
        <v/>
      </c>
      <c r="W65" s="384" t="n"/>
      <c r="X65" s="890" t="inlineStr">
        <is>
          <t>5、资产现金回收率（%）</t>
        </is>
      </c>
      <c r="Y65" s="895" t="inlineStr"/>
      <c r="Z65" s="1279">
        <f>IFERROR(AK124*2/(AT93+AU93)*100,"")</f>
        <v/>
      </c>
      <c r="AA65" s="1279">
        <f>IFERROR(AL124*2/(AV93+AW93)*100,"")</f>
        <v/>
      </c>
      <c r="AB65" s="1279">
        <f>IFERROR(Z65-AA65,"")</f>
        <v/>
      </c>
      <c r="AC65" s="902" t="inlineStr">
        <is>
          <t>经营活动产生的现金流量净额*2÷（期初资产总计+期末资产总计)</t>
        </is>
      </c>
      <c r="AD65" s="1199" t="n"/>
      <c r="AE65" s="716" t="n"/>
      <c r="AF65" s="716" t="n"/>
      <c r="AG65" s="920" t="inlineStr">
        <is>
          <t>A002021201</t>
        </is>
      </c>
      <c r="AH65" s="917">
        <f>IF(_epmOfflineCondition_,"A002021201",EPMOlapMemberO(AG65,"[C_ACCOUNT].[PARENTH1].[A002021201]","A002021201 -           其中：对联营企业和合营企业的投资收益","","001"))</f>
        <v/>
      </c>
      <c r="AI65" s="915" t="inlineStr">
        <is>
          <t xml:space="preserve">        其中：对联营企业和合营企业的投资收益</t>
        </is>
      </c>
      <c r="AJ65" s="1280">
        <f>ROW()-45</f>
        <v/>
      </c>
      <c r="AK65" s="1284" t="n"/>
      <c r="AL65" s="1284" t="n"/>
      <c r="AM65" s="384" t="n"/>
      <c r="AN65" s="384" t="n"/>
      <c r="AO65" s="384" t="n"/>
      <c r="AP65" s="384" t="n"/>
      <c r="AQ65" s="927" t="inlineStr">
        <is>
          <t>A0010101</t>
        </is>
      </c>
      <c r="AR65" s="967">
        <f>IF(_epmOfflineCondition_,"A0010101",EPMOlapMemberO(AQ65,"[C_ACCOUNT].[PARENTH1].[A0010101]","A0010101 - 　       流动资产合计","","002"))</f>
        <v/>
      </c>
      <c r="AS65" s="920">
        <f>IF(_epmOfflineCondition_,"　       流动资产合计",EPMMemberDesc(AR65))</f>
        <v/>
      </c>
      <c r="AT65" s="1285" t="inlineStr"/>
      <c r="AU65" s="1286" t="inlineStr"/>
      <c r="AV65" s="155" t="inlineStr"/>
      <c r="AW65" s="155" t="inlineStr"/>
      <c r="AX65" s="384" t="n"/>
      <c r="AY65" s="384" t="n"/>
    </row>
    <row r="66">
      <c r="A66" s="384" t="n"/>
      <c r="B66" s="384" t="n"/>
      <c r="C66" s="384" t="n"/>
      <c r="D66" s="384" t="n"/>
      <c r="E66" s="384" t="n"/>
      <c r="F66" s="384" t="n"/>
      <c r="G66" s="384" t="n"/>
      <c r="H66" s="384" t="n"/>
      <c r="I66" s="384" t="n"/>
      <c r="J66" s="384" t="n"/>
      <c r="K66" s="384" t="n"/>
      <c r="L66" s="384" t="n"/>
      <c r="M66" s="384" t="n"/>
      <c r="N66" s="384" t="n"/>
      <c r="O66" s="384" t="n"/>
      <c r="P66" s="384" t="n"/>
      <c r="Q66" s="384" t="n"/>
      <c r="R66" s="384">
        <f>IF(_epmOfflineCondition_,0,IF($C$26&lt;&gt;"G_DUMMY",EPMSaveData($Z66,,$U66,$Z$25,$Z$26,$Z$27,$Z$28,$B$36,$B$37,$B$38,$B$39,$B$40,$B$41,$C$26,$C$22),EPMSaveData($Z66,,$U66,$Z$25,$Z$26,$Z$27,$Z$28,$B$36,$B$37,$B$38,$B$39,$B$40,$C$21,$C$26,$C$22)))</f>
        <v/>
      </c>
      <c r="S66" s="462">
        <f>IF(_epmOfflineCondition_,"6、产权比率（%)",EPMMemberDesc(U66))</f>
        <v/>
      </c>
      <c r="T66" s="384" t="n"/>
      <c r="U66" s="889" t="inlineStr">
        <is>
          <t>A0050206</t>
        </is>
      </c>
      <c r="V66" s="889">
        <f>IF(_epmOfflineCondition_,"A0050206",EPMOlapMemberO(U66,"[C_ACCOUNT].[PARENTH1].[A0050206]","A0050206 - 6、产权比率（%)","","000"))</f>
        <v/>
      </c>
      <c r="W66" s="384" t="n"/>
      <c r="X66" s="890" t="inlineStr">
        <is>
          <t>6、产权比率（%)</t>
        </is>
      </c>
      <c r="Y66" s="895" t="inlineStr"/>
      <c r="Z66" s="1279">
        <f>IFERROR(AT135/AT152*100,"")</f>
        <v/>
      </c>
      <c r="AA66" s="1279">
        <f>IFERROR(AV135/AV152*100,"")</f>
        <v/>
      </c>
      <c r="AB66" s="1279">
        <f>IFERROR(Z66-AA66,"")</f>
        <v/>
      </c>
      <c r="AC66" s="902" t="inlineStr">
        <is>
          <t>负债合计÷所有者权益合计</t>
        </is>
      </c>
      <c r="AD66" s="1199" t="n"/>
      <c r="AE66" s="716" t="n"/>
      <c r="AF66" s="716" t="n"/>
      <c r="AG66" s="920" t="inlineStr">
        <is>
          <t>A002021202</t>
        </is>
      </c>
      <c r="AH66" s="914">
        <f>IF(_epmOfflineCondition_,"A002021202",EPMOlapMemberO(AG66,"[C_ACCOUNT].[PARENTH1].[A002021202]","A002021202 -                      以摊余成本计量的金融资产终止确认收益","","001"))</f>
        <v/>
      </c>
      <c r="AI66" s="915" t="inlineStr">
        <is>
          <t xml:space="preserve">   以摊余成本计量的金融资产终止确认收益</t>
        </is>
      </c>
      <c r="AJ66" s="1280">
        <f>ROW()-45</f>
        <v/>
      </c>
      <c r="AK66" s="1284" t="n"/>
      <c r="AL66" s="1284" t="n"/>
      <c r="AM66" s="384" t="n"/>
      <c r="AN66" s="384" t="n"/>
      <c r="AO66" s="384" t="n"/>
      <c r="AP66" s="384" t="n"/>
      <c r="AQ66" s="927" t="inlineStr">
        <is>
          <t>A0010299</t>
        </is>
      </c>
      <c r="AR66" s="921">
        <f>IF(_epmOfflineCondition_,"A0010299",EPMOlapMemberO(AQ66,"[C_ACCOUNT].[PARENTH1].[A0010299]","A0010299 - 非流动资产：","","002"))</f>
        <v/>
      </c>
      <c r="AS66" s="920">
        <f>IF(_epmOfflineCondition_,"非流动资产：",EPMMemberDesc(AR66))</f>
        <v/>
      </c>
      <c r="AT66" s="1285" t="n"/>
      <c r="AU66" s="1286" t="n"/>
      <c r="AV66" s="155" t="n"/>
      <c r="AW66" s="155" t="n"/>
      <c r="AX66" s="384" t="n"/>
      <c r="AY66" s="384" t="n"/>
    </row>
    <row r="67">
      <c r="A67" s="384" t="n"/>
      <c r="B67" s="384" t="n"/>
      <c r="C67" s="384" t="n"/>
      <c r="D67" s="384" t="n"/>
      <c r="E67" s="384" t="n"/>
      <c r="F67" s="384" t="n"/>
      <c r="G67" s="384" t="n"/>
      <c r="H67" s="384" t="n"/>
      <c r="I67" s="384" t="n"/>
      <c r="J67" s="384" t="n"/>
      <c r="K67" s="384" t="n"/>
      <c r="L67" s="384" t="n"/>
      <c r="M67" s="384" t="n"/>
      <c r="N67" s="384" t="n"/>
      <c r="O67" s="384" t="n"/>
      <c r="P67" s="384" t="n"/>
      <c r="Q67" s="384" t="n"/>
      <c r="R67" s="384">
        <f>IF(_epmOfflineCondition_,0,IF($C$26&lt;&gt;"G_DUMMY",EPMSaveData($Z67,,$U67,$Z$25,$Z$26,$Z$27,$Z$28,$B$36,$B$37,$B$38,$B$39,$B$40,$B$41,$C$26,$C$22),EPMSaveData($Z67,,$U67,$Z$25,$Z$26,$Z$27,$Z$28,$B$36,$B$37,$B$38,$B$39,$B$40,$C$21,$C$26,$C$22)))</f>
        <v/>
      </c>
      <c r="S67" s="462">
        <f>IF(_epmOfflineCondition_,"7、应收账款增长率（%）",EPMMemberDesc(U67))</f>
        <v/>
      </c>
      <c r="T67" s="384" t="n"/>
      <c r="U67" s="889" t="inlineStr">
        <is>
          <t>A0050207</t>
        </is>
      </c>
      <c r="V67" s="889">
        <f>IF(_epmOfflineCondition_,"A0050207",EPMOlapMemberO(U67,"[C_ACCOUNT].[PARENTH1].[A0050207]","A0050207 - 7、应收账款增长率（%）","","000"))</f>
        <v/>
      </c>
      <c r="W67" s="384" t="n"/>
      <c r="X67" s="890" t="inlineStr">
        <is>
          <t>7、应收账款增长率（%）</t>
        </is>
      </c>
      <c r="Y67" s="895" t="inlineStr"/>
      <c r="Z67" s="1279">
        <f>IFERROR((AT52-AU52)/AU52*100,"")</f>
        <v/>
      </c>
      <c r="AA67" s="1279">
        <f>IFERROR((AV52-AW52)/AW52*100,"")</f>
        <v/>
      </c>
      <c r="AB67" s="1279">
        <f>IFERROR(Z67-AA67,"")</f>
        <v/>
      </c>
      <c r="AC67" s="904" t="inlineStr">
        <is>
          <t>（应收账款期末余额-应收账款期初余额)÷应收账款期初余额</t>
        </is>
      </c>
      <c r="AD67" s="1199" t="n"/>
      <c r="AE67" s="716" t="n"/>
      <c r="AF67" s="716" t="n"/>
      <c r="AG67" s="920" t="inlineStr">
        <is>
          <t>A0020213</t>
        </is>
      </c>
      <c r="AH67" s="911">
        <f>IF(_epmOfflineCondition_,"A0020213",EPMOlapMemberO(AG67,"[C_ACCOUNT].[PARENTH1].[A0020213]","A0020213 - 　      # 汇兑收益（损失以“-""号填列）","","001"))</f>
        <v/>
      </c>
      <c r="AI67" s="916" t="inlineStr">
        <is>
          <t xml:space="preserve">   △汇兑收益（损失以“-”号填列）</t>
        </is>
      </c>
      <c r="AJ67" s="1280">
        <f>ROW()-45</f>
        <v/>
      </c>
      <c r="AK67" s="1284" t="n"/>
      <c r="AL67" s="1284" t="n"/>
      <c r="AM67" s="384" t="n"/>
      <c r="AN67" s="384" t="n"/>
      <c r="AO67" s="384" t="n"/>
      <c r="AP67" s="384" t="n"/>
      <c r="AQ67" s="927" t="inlineStr">
        <is>
          <t>A001010201</t>
        </is>
      </c>
      <c r="AR67" s="962">
        <f>IF(_epmOfflineCondition_,"A001010201",EPMOlapMemberO(AQ67,"[C_ACCOUNT].[PARENTH1].[A001010201]","A001010201 -   # 发放贷款及垫款","","002"))</f>
        <v/>
      </c>
      <c r="AS67" s="920">
        <f>IF(_epmOfflineCondition_,"  # 发放贷款及垫款",EPMMemberDesc(AR67))</f>
        <v/>
      </c>
      <c r="AT67" s="1285" t="n"/>
      <c r="AU67" s="1286" t="n"/>
      <c r="AV67" s="155" t="n"/>
      <c r="AW67" s="155" t="n"/>
      <c r="AX67" s="384" t="n"/>
      <c r="AY67" s="384" t="n"/>
    </row>
    <row r="68">
      <c r="A68" s="384" t="n"/>
      <c r="B68" s="384" t="n"/>
      <c r="C68" s="384" t="n"/>
      <c r="D68" s="384" t="n"/>
      <c r="E68" s="384" t="n"/>
      <c r="F68" s="384" t="n"/>
      <c r="G68" s="384" t="n"/>
      <c r="H68" s="384" t="n"/>
      <c r="I68" s="384" t="n"/>
      <c r="J68" s="384" t="n"/>
      <c r="K68" s="384" t="n"/>
      <c r="L68" s="384" t="n"/>
      <c r="M68" s="384" t="n"/>
      <c r="N68" s="384" t="n"/>
      <c r="O68" s="384" t="n"/>
      <c r="P68" s="384" t="n"/>
      <c r="Q68" s="384" t="n"/>
      <c r="R68" s="384">
        <f>IF(_epmOfflineCondition_,0,IF($C$26&lt;&gt;"G_DUMMY",EPMSaveData($Z68,,$U68,$Z$25,$Z$26,$Z$27,$Z$28,$B$36,$B$37,$B$38,$B$39,$B$40,$B$41,$C$26,$C$22),EPMSaveData($Z68,,$U68,$Z$25,$Z$26,$Z$27,$Z$28,$B$36,$B$37,$B$38,$B$39,$B$40,$C$21,$C$26,$C$22)))</f>
        <v/>
      </c>
      <c r="S68" s="462">
        <f>IF(_epmOfflineCondition_,"8、存货增长率（%）",EPMMemberDesc(U68))</f>
        <v/>
      </c>
      <c r="T68" s="384" t="n"/>
      <c r="U68" s="889" t="inlineStr">
        <is>
          <t>A0050208</t>
        </is>
      </c>
      <c r="V68" s="889">
        <f>IF(_epmOfflineCondition_,"A0050208",EPMOlapMemberO(U68,"[C_ACCOUNT].[PARENTH1].[A0050208]","A0050208 - 8、存货增长率（%）","","000"))</f>
        <v/>
      </c>
      <c r="W68" s="384" t="n"/>
      <c r="X68" s="890" t="inlineStr">
        <is>
          <t>8、存货增长率（%）</t>
        </is>
      </c>
      <c r="Y68" s="895" t="inlineStr"/>
      <c r="Z68" s="1279">
        <f>IFERROR((AT58-AU58)/AU58*100,"")</f>
        <v/>
      </c>
      <c r="AA68" s="1279">
        <f>IFERROR((AV58-AW58)/AW58*100,"")</f>
        <v/>
      </c>
      <c r="AB68" s="1279">
        <f>IFERROR(Z68-AA68,"")</f>
        <v/>
      </c>
      <c r="AC68" s="902" t="inlineStr">
        <is>
          <t>(存货期末余额-存货期初余额)÷存货期初余额</t>
        </is>
      </c>
      <c r="AD68" s="1199" t="n"/>
      <c r="AE68" s="716" t="n"/>
      <c r="AF68" s="716" t="n"/>
      <c r="AG68" s="920" t="inlineStr">
        <is>
          <t>A0020214</t>
        </is>
      </c>
      <c r="AH68" s="911">
        <f>IF(_epmOfflineCondition_,"A0020214",EPMOlapMemberO(AG68,"[C_ACCOUNT].[PARENTH1].[A0020214]","A0020214 -         净敞口套期收益（损失以“-""号填列）","","001"))</f>
        <v/>
      </c>
      <c r="AI68" s="915" t="inlineStr">
        <is>
          <t xml:space="preserve"> 净敞口套期收益（损失以“-”号填列）</t>
        </is>
      </c>
      <c r="AJ68" s="1280">
        <f>ROW()-45</f>
        <v/>
      </c>
      <c r="AK68" s="1284" t="n"/>
      <c r="AL68" s="1284" t="n"/>
      <c r="AM68" s="384" t="n"/>
      <c r="AN68" s="384" t="n"/>
      <c r="AO68" s="384" t="n"/>
      <c r="AP68" s="384" t="n"/>
      <c r="AQ68" s="927" t="inlineStr">
        <is>
          <t>A001010202</t>
        </is>
      </c>
      <c r="AR68" s="962">
        <f>IF(_epmOfflineCondition_,"A001010202",EPMOlapMemberO(AQ68,"[C_ACCOUNT].[PARENTH1].[A001010202]","A001010202 -   其他债权投资","","002"))</f>
        <v/>
      </c>
      <c r="AS68" s="920">
        <f>IF(_epmOfflineCondition_,"  其他债权投资",EPMMemberDesc(AR68))</f>
        <v/>
      </c>
      <c r="AT68" s="1285" t="n"/>
      <c r="AU68" s="1286" t="n"/>
      <c r="AV68" s="155" t="n"/>
      <c r="AW68" s="155" t="n"/>
      <c r="AX68" s="384" t="n"/>
      <c r="AY68" s="384" t="n"/>
    </row>
    <row r="69">
      <c r="A69" s="384" t="n"/>
      <c r="B69" s="384" t="n"/>
      <c r="C69" s="384" t="n"/>
      <c r="D69" s="384" t="n"/>
      <c r="E69" s="384" t="n"/>
      <c r="F69" s="384" t="n"/>
      <c r="G69" s="384" t="n"/>
      <c r="H69" s="384" t="n"/>
      <c r="I69" s="384" t="n"/>
      <c r="J69" s="384" t="n"/>
      <c r="K69" s="384" t="n"/>
      <c r="L69" s="384" t="n"/>
      <c r="M69" s="384" t="n"/>
      <c r="N69" s="384" t="n"/>
      <c r="O69" s="384" t="n"/>
      <c r="P69" s="384" t="n"/>
      <c r="Q69" s="384" t="n"/>
      <c r="R69" s="384">
        <f>IF(_epmOfflineCondition_,0,IF($C$26&lt;&gt;"G_DUMMY",EPMSaveData($Z69,,$U69,$Z$25,$Z$26,$Z$27,$Z$28,$B$36,$B$37,$B$38,$B$39,$B$40,$B$41,$C$26,$C$22),EPMSaveData($Z69,,$U69,$Z$25,$Z$26,$Z$27,$Z$28,$B$36,$B$37,$B$38,$B$39,$B$40,$C$21,$C$26,$C$22)))</f>
        <v/>
      </c>
      <c r="S69" s="462">
        <f>IF(_epmOfflineCondition_,"9、两金增长率（%）",EPMMemberDesc(U69))</f>
        <v/>
      </c>
      <c r="T69" s="384" t="n"/>
      <c r="U69" s="889" t="inlineStr">
        <is>
          <t>A0050209</t>
        </is>
      </c>
      <c r="V69" s="889">
        <f>IF(_epmOfflineCondition_,"A0050209",EPMOlapMemberO(U69,"[C_ACCOUNT].[PARENTH1].[A0050209]","A0050209 - 9、两金增长率（%）","","000"))</f>
        <v/>
      </c>
      <c r="W69" s="384" t="n"/>
      <c r="X69" s="890" t="inlineStr">
        <is>
          <t>9、两金增长率（%）</t>
        </is>
      </c>
      <c r="Y69" s="895" t="inlineStr"/>
      <c r="Z69" s="1279">
        <f>IFERROR((AT52-AU52+AT58-AU58)/(AU52+AU58)*100,"")</f>
        <v/>
      </c>
      <c r="AA69" s="1279">
        <f>IFERROR((AV52-AW52+AV58-AW58)/(AW52+AW58)*100,"")</f>
        <v/>
      </c>
      <c r="AB69" s="1279">
        <f>IFERROR(Z69-AA69,"")</f>
        <v/>
      </c>
      <c r="AC69" s="904" t="inlineStr">
        <is>
          <t>（应收账款期末余额-应收账款期初余额+存货期末余额-存货期初余额）÷（应收账款期初余额+存货期初余额）*100%</t>
        </is>
      </c>
      <c r="AD69" s="1199" t="n"/>
      <c r="AE69" s="716" t="n"/>
      <c r="AF69" s="716" t="n"/>
      <c r="AG69" s="920" t="inlineStr">
        <is>
          <t>A0020215</t>
        </is>
      </c>
      <c r="AH69" s="911">
        <f>IF(_epmOfflineCondition_,"A0020215",EPMOlapMemberO(AG69,"[C_ACCOUNT].[PARENTH1].[A0020215]","A0020215 -         公允价值变动收益（损失以“-""号填列）","","001"))</f>
        <v/>
      </c>
      <c r="AI69" s="915" t="inlineStr">
        <is>
          <t xml:space="preserve"> 公允价值变动收益（损失以“-”号填列）</t>
        </is>
      </c>
      <c r="AJ69" s="1280">
        <f>ROW()-45</f>
        <v/>
      </c>
      <c r="AK69" s="1284" t="n"/>
      <c r="AL69" s="1284" t="n"/>
      <c r="AM69" s="384" t="n"/>
      <c r="AN69" s="384" t="n"/>
      <c r="AO69" s="384" t="n"/>
      <c r="AP69" s="384" t="n"/>
      <c r="AQ69" s="927" t="inlineStr">
        <is>
          <t>A001010203</t>
        </is>
      </c>
      <c r="AR69" s="962">
        <f>IF(_epmOfflineCondition_,"A001010203",EPMOlapMemberO(AQ69,"[C_ACCOUNT].[PARENTH1].[A001010203]","A001010203 -   债权投资","","002"))</f>
        <v/>
      </c>
      <c r="AS69" s="920">
        <f>IF(_epmOfflineCondition_,"  债权投资",EPMMemberDesc(AR69))</f>
        <v/>
      </c>
      <c r="AT69" s="1285" t="n"/>
      <c r="AU69" s="1286" t="n"/>
      <c r="AV69" s="155" t="n"/>
      <c r="AW69" s="155" t="n"/>
      <c r="AX69" s="384" t="n"/>
      <c r="AY69" s="384" t="n"/>
    </row>
    <row r="70">
      <c r="A70" s="384" t="n"/>
      <c r="B70" s="384" t="n"/>
      <c r="C70" s="384" t="n"/>
      <c r="D70" s="384" t="n"/>
      <c r="E70" s="384" t="n"/>
      <c r="F70" s="384" t="n"/>
      <c r="G70" s="384" t="n"/>
      <c r="H70" s="384" t="n"/>
      <c r="I70" s="384" t="n"/>
      <c r="J70" s="384" t="n"/>
      <c r="K70" s="384" t="n"/>
      <c r="L70" s="384" t="n"/>
      <c r="M70" s="384" t="n"/>
      <c r="N70" s="384" t="n"/>
      <c r="O70" s="384" t="n"/>
      <c r="P70" s="384" t="n"/>
      <c r="Q70" s="384" t="n"/>
      <c r="R70" s="384">
        <f>IF(_epmOfflineCondition_,0,IF($C$26&lt;&gt;"G_DUMMY",EPMSaveData($Z70,,$U70,$Z$25,$Z$26,$Z$27,$Z$28,$B$36,$B$37,$B$38,$B$39,$B$40,$B$41,$C$26,$C$22),EPMSaveData($Z70,,$U70,$Z$25,$Z$26,$Z$27,$Z$28,$B$36,$B$37,$B$38,$B$39,$B$40,$C$21,$C$26,$C$22)))</f>
        <v/>
      </c>
      <c r="S70" s="462">
        <f>IF(_epmOfflineCondition_,"10、两金占流动资产比例（%）",EPMMemberDesc(U70))</f>
        <v/>
      </c>
      <c r="T70" s="384" t="n"/>
      <c r="U70" s="889" t="inlineStr">
        <is>
          <t>A0050210</t>
        </is>
      </c>
      <c r="V70" s="889">
        <f>IF(_epmOfflineCondition_,"A0050210",EPMOlapMemberO(U70,"[C_ACCOUNT].[PARENTH1].[A0050210]","A0050210 - 10、两金占流动资产比例（%）","","000"))</f>
        <v/>
      </c>
      <c r="W70" s="384" t="n"/>
      <c r="X70" s="890" t="inlineStr">
        <is>
          <t>10、两金占流动资产比例（%）</t>
        </is>
      </c>
      <c r="Y70" s="895" t="inlineStr"/>
      <c r="Z70" s="1279">
        <f>IFERROR((AT52+AT58)/AT65*100,"")</f>
        <v/>
      </c>
      <c r="AA70" s="1279">
        <f>IFERROR((AV52+AV58)/AV65*100,"")</f>
        <v/>
      </c>
      <c r="AB70" s="1279">
        <f>IFERROR(Z70-AA70,"")</f>
        <v/>
      </c>
      <c r="AC70" s="904" t="inlineStr">
        <is>
          <t>（应收账款期末余额+存货期末余额）÷流动资产期末余额</t>
        </is>
      </c>
      <c r="AD70" s="1199" t="n"/>
      <c r="AE70" s="716" t="n"/>
      <c r="AF70" s="716" t="n"/>
      <c r="AG70" s="920" t="inlineStr">
        <is>
          <t>A0020210</t>
        </is>
      </c>
      <c r="AH70" s="911">
        <f>IF(_epmOfflineCondition_,"A0020210",EPMOlapMemberO(AG70,"[C_ACCOUNT].[PARENTH1].[A0020210]","A0020210 -         信用减值损失（损失以“-""号填列）","","001"))</f>
        <v/>
      </c>
      <c r="AI70" s="915" t="inlineStr">
        <is>
          <t xml:space="preserve"> 信用减值损失（损失以“－”号填列）</t>
        </is>
      </c>
      <c r="AJ70" s="1280">
        <f>ROW()-45</f>
        <v/>
      </c>
      <c r="AK70" s="1284" t="n"/>
      <c r="AL70" s="1284" t="n"/>
      <c r="AM70" s="384" t="n"/>
      <c r="AN70" s="384" t="n"/>
      <c r="AO70" s="384" t="n"/>
      <c r="AP70" s="384" t="n"/>
      <c r="AQ70" s="927" t="inlineStr">
        <is>
          <t>A001010204</t>
        </is>
      </c>
      <c r="AR70" s="962">
        <f>IF(_epmOfflineCondition_,"A001010204",EPMOlapMemberO(AQ70,"[C_ACCOUNT].[PARENTH1].[A001010204]","A001010204 -   长期应收款","","002"))</f>
        <v/>
      </c>
      <c r="AS70" s="920">
        <f>IF(_epmOfflineCondition_,"  长期应收款",EPMMemberDesc(AR70))</f>
        <v/>
      </c>
      <c r="AT70" s="1285" t="n"/>
      <c r="AU70" s="1286" t="n"/>
      <c r="AV70" s="155" t="n"/>
      <c r="AW70" s="155" t="n"/>
      <c r="AX70" s="384" t="n"/>
      <c r="AY70" s="384" t="n"/>
    </row>
    <row r="71">
      <c r="A71" s="384" t="n"/>
      <c r="B71" s="384" t="n"/>
      <c r="C71" s="384" t="n"/>
      <c r="D71" s="384" t="n"/>
      <c r="E71" s="384" t="n"/>
      <c r="F71" s="384" t="n"/>
      <c r="G71" s="384" t="n"/>
      <c r="H71" s="384" t="n"/>
      <c r="I71" s="384" t="n"/>
      <c r="J71" s="384" t="n"/>
      <c r="K71" s="384" t="n"/>
      <c r="L71" s="384" t="n"/>
      <c r="M71" s="384" t="n"/>
      <c r="N71" s="384" t="n"/>
      <c r="O71" s="384" t="n"/>
      <c r="P71" s="384" t="n"/>
      <c r="Q71" s="384" t="n"/>
      <c r="R71" s="384">
        <f>IF(_epmOfflineCondition_,0,IF($C$26&lt;&gt;"G_DUMMY",EPMSaveData($Z71,,$U71,$Z$25,$Z$26,$Z$27,$Z$28,$B$36,$B$37,$B$38,$B$39,$B$40,$B$41,$C$26,$C$22),EPMSaveData($Z71,,$U71,$Z$25,$Z$26,$Z$27,$Z$28,$B$36,$B$37,$B$38,$B$39,$B$40,$C$21,$C$26,$C$22)))</f>
        <v/>
      </c>
      <c r="S71" s="462" t="inlineStr">
        <is>
          <t>11、营业现金比率（%）</t>
        </is>
      </c>
      <c r="T71" s="384" t="n"/>
      <c r="U71" s="889" t="inlineStr">
        <is>
          <t>A0050211</t>
        </is>
      </c>
      <c r="V71" s="889">
        <f>IF(_epmOfflineCondition_,"A0050211",EPMOlapMemberO(U71,"[C_ACCOUNT].[PARENTH1].[A0050211]","A0050211 - 11、营业现金比率（%）","","000"))</f>
        <v/>
      </c>
      <c r="W71" s="384" t="n"/>
      <c r="X71" s="890" t="inlineStr">
        <is>
          <t>11、营业现金比率（%）</t>
        </is>
      </c>
      <c r="Y71" s="895" t="inlineStr"/>
      <c r="Z71" s="1279">
        <f>IFERROR(AK124/AK46*100,"")</f>
        <v/>
      </c>
      <c r="AA71" s="1279">
        <f>IFERROR(AL124/AL46*100,"")</f>
        <v/>
      </c>
      <c r="AB71" s="1279">
        <f>IFERROR(Z71-AA71,"")</f>
        <v/>
      </c>
      <c r="AC71" s="904" t="inlineStr">
        <is>
          <t>经营活动现金流量净额÷营业总收入*100%</t>
        </is>
      </c>
      <c r="AD71" s="1199" t="n"/>
      <c r="AE71" s="716" t="n"/>
      <c r="AF71" s="716" t="n"/>
      <c r="AG71" s="920" t="inlineStr">
        <is>
          <t>A0020209</t>
        </is>
      </c>
      <c r="AH71" s="911">
        <f>IF(_epmOfflineCondition_,"A0020209",EPMOlapMemberO(AG71,"[C_ACCOUNT].[PARENTH1].[A0020209]","A0020209 -         资产减值损失（损失以“-""号填列）","","001"))</f>
        <v/>
      </c>
      <c r="AI71" s="915" t="inlineStr">
        <is>
          <t xml:space="preserve"> 资产减值损失（损失以“－”号填列）</t>
        </is>
      </c>
      <c r="AJ71" s="1280">
        <f>ROW()-45</f>
        <v/>
      </c>
      <c r="AK71" s="1284" t="n"/>
      <c r="AL71" s="1284" t="n"/>
      <c r="AM71" s="384" t="n"/>
      <c r="AN71" s="384" t="n"/>
      <c r="AO71" s="384" t="n"/>
      <c r="AP71" s="384" t="n"/>
      <c r="AQ71" s="927" t="inlineStr">
        <is>
          <t>A001010205</t>
        </is>
      </c>
      <c r="AR71" s="962">
        <f>IF(_epmOfflineCondition_,"A001010205",EPMOlapMemberO(AQ71,"[C_ACCOUNT].[PARENTH1].[A001010205]","A001010205 -   长期股权投资","","002"))</f>
        <v/>
      </c>
      <c r="AS71" s="920">
        <f>IF(_epmOfflineCondition_,"  长期股权投资",EPMMemberDesc(AR71))</f>
        <v/>
      </c>
      <c r="AT71" s="1285" t="n"/>
      <c r="AU71" s="1286" t="n"/>
      <c r="AV71" s="155" t="n"/>
      <c r="AW71" s="155" t="n"/>
      <c r="AX71" s="384" t="n"/>
      <c r="AY71" s="384" t="n"/>
    </row>
    <row r="72">
      <c r="A72" s="384" t="n"/>
      <c r="B72" s="384" t="n"/>
      <c r="C72" s="384" t="n"/>
      <c r="D72" s="384" t="n"/>
      <c r="E72" s="384" t="n"/>
      <c r="F72" s="384" t="n"/>
      <c r="G72" s="384" t="n"/>
      <c r="H72" s="384" t="n"/>
      <c r="I72" s="384" t="n"/>
      <c r="J72" s="384" t="n"/>
      <c r="K72" s="384" t="n"/>
      <c r="L72" s="384" t="n"/>
      <c r="M72" s="384" t="n"/>
      <c r="N72" s="384" t="n"/>
      <c r="O72" s="384" t="n"/>
      <c r="P72" s="384" t="n"/>
      <c r="Q72" s="384" t="n"/>
      <c r="R72" s="384" t="n"/>
      <c r="S72" s="462" t="n"/>
      <c r="T72" s="384" t="n"/>
      <c r="U72" s="889" t="n"/>
      <c r="V72" s="889" t="n"/>
      <c r="W72" s="384" t="n"/>
      <c r="X72" s="888" t="inlineStr">
        <is>
          <t>三、债务风险指标</t>
        </is>
      </c>
      <c r="Y72" s="895" t="inlineStr"/>
      <c r="Z72" s="1279" t="inlineStr">
        <is>
          <t>——</t>
        </is>
      </c>
      <c r="AA72" s="1279" t="inlineStr">
        <is>
          <t>——</t>
        </is>
      </c>
      <c r="AB72" s="1279" t="inlineStr">
        <is>
          <t>——</t>
        </is>
      </c>
      <c r="AC72" s="903" t="inlineStr">
        <is>
          <t>——</t>
        </is>
      </c>
      <c r="AD72" s="1199" t="n"/>
      <c r="AE72" s="716" t="n"/>
      <c r="AF72" s="716" t="n"/>
      <c r="AG72" s="920" t="inlineStr">
        <is>
          <t>A0020216</t>
        </is>
      </c>
      <c r="AH72" s="911">
        <f>IF(_epmOfflineCondition_,"A0020216",EPMOlapMemberO(AG72,"[C_ACCOUNT].[PARENTH1].[A0020216]","A0020216 -         资产处置收益（损失以“-""号填列）","","001"))</f>
        <v/>
      </c>
      <c r="AI72" s="915" t="inlineStr">
        <is>
          <t xml:space="preserve"> 资产处置收益（损失以“-”号填列）</t>
        </is>
      </c>
      <c r="AJ72" s="1280">
        <f>ROW()-45</f>
        <v/>
      </c>
      <c r="AK72" s="1284" t="n"/>
      <c r="AL72" s="1284" t="n"/>
      <c r="AM72" s="384" t="n"/>
      <c r="AN72" s="384" t="n"/>
      <c r="AO72" s="384" t="n"/>
      <c r="AP72" s="384" t="n"/>
      <c r="AQ72" s="927" t="inlineStr">
        <is>
          <t>A001010206</t>
        </is>
      </c>
      <c r="AR72" s="962">
        <f>IF(_epmOfflineCondition_,"A001010206",EPMOlapMemberO(AQ72,"[C_ACCOUNT].[PARENTH1].[A001010206]","A001010206 -   其他权益工具投资","","002"))</f>
        <v/>
      </c>
      <c r="AS72" s="920">
        <f>IF(_epmOfflineCondition_,"  其他权益工具投资",EPMMemberDesc(AR72))</f>
        <v/>
      </c>
      <c r="AT72" s="1285" t="n"/>
      <c r="AU72" s="1286" t="n"/>
      <c r="AV72" s="155" t="n"/>
      <c r="AW72" s="155" t="n"/>
      <c r="AX72" s="384" t="n"/>
      <c r="AY72" s="384" t="n"/>
    </row>
    <row r="73">
      <c r="A73" s="384" t="n"/>
      <c r="B73" s="384" t="n"/>
      <c r="C73" s="384" t="n"/>
      <c r="D73" s="384" t="n"/>
      <c r="E73" s="384" t="n"/>
      <c r="F73" s="384" t="n"/>
      <c r="G73" s="384" t="n"/>
      <c r="H73" s="384" t="n"/>
      <c r="I73" s="384" t="n"/>
      <c r="J73" s="384" t="n"/>
      <c r="K73" s="384" t="n"/>
      <c r="L73" s="384" t="n"/>
      <c r="M73" s="384" t="n"/>
      <c r="N73" s="384" t="n"/>
      <c r="O73" s="384" t="n"/>
      <c r="P73" s="384" t="n"/>
      <c r="Q73" s="384" t="n"/>
      <c r="R73" s="384">
        <f>IF(_epmOfflineCondition_,0,IF($C$26&lt;&gt;"G_DUMMY",EPMSaveData($Z73,,$U73,$Z$25,$Z$26,$Z$27,$Z$28,$B$36,$B$37,$B$38,$B$39,$B$40,$B$41,$C$26,$C$22),EPMSaveData($Z73,,$U73,$Z$25,$Z$26,$Z$27,$Z$28,$B$36,$B$37,$B$38,$B$39,$B$40,$C$21,$C$26,$C$22)))</f>
        <v/>
      </c>
      <c r="S73" s="462">
        <f>IF(_epmOfflineCondition_,"1、资产负债率（%）",EPMMemberDesc(U73))</f>
        <v/>
      </c>
      <c r="T73" s="384" t="n"/>
      <c r="U73" s="889" t="inlineStr">
        <is>
          <t>A0050301</t>
        </is>
      </c>
      <c r="V73" s="889">
        <f>IF(_epmOfflineCondition_,"A0050301",EPMOlapMemberO(U73,"[C_ACCOUNT].[PARENTH1].[A0050301]","A0050301 - 1、资产负债率（%）","","000"))</f>
        <v/>
      </c>
      <c r="W73" s="384" t="n"/>
      <c r="X73" s="890" t="inlineStr">
        <is>
          <t>1、资产负债率（%）</t>
        </is>
      </c>
      <c r="Y73" s="895" t="inlineStr"/>
      <c r="Z73" s="1279">
        <f>IFERROR(AT135/AT93*100,"")</f>
        <v/>
      </c>
      <c r="AA73" s="1279">
        <f>IFERROR(AV135/AV93*100,"")</f>
        <v/>
      </c>
      <c r="AB73" s="1279">
        <f>IFERROR(Z73-AA73,"")</f>
        <v/>
      </c>
      <c r="AC73" s="902" t="inlineStr">
        <is>
          <t>负债总额÷资产总额*100%</t>
        </is>
      </c>
      <c r="AD73" s="1199" t="n"/>
      <c r="AE73" s="716" t="n"/>
      <c r="AF73" s="716" t="n"/>
      <c r="AG73" s="920" t="inlineStr">
        <is>
          <t>A00203</t>
        </is>
      </c>
      <c r="AH73" s="958">
        <f>IF(_epmOfflineCondition_,"A00203",EPMOlapMemberO(AG73,"[C_ACCOUNT].[PARENTH1].[A00203]","A00203 - 三、营业利润（亏损以“-""号填列）","","001"))</f>
        <v/>
      </c>
      <c r="AI73" s="912" t="inlineStr">
        <is>
          <t>三、营业利润（亏损以“-”号填列）</t>
        </is>
      </c>
      <c r="AJ73" s="1280">
        <f>ROW()-45</f>
        <v/>
      </c>
      <c r="AK73" s="1284" t="inlineStr"/>
      <c r="AL73" s="1284" t="inlineStr"/>
      <c r="AM73" s="384" t="n"/>
      <c r="AN73" s="384" t="n"/>
      <c r="AO73" s="384" t="n"/>
      <c r="AP73" s="384" t="n"/>
      <c r="AQ73" s="927" t="inlineStr">
        <is>
          <t>A001010207</t>
        </is>
      </c>
      <c r="AR73" s="960">
        <f>IF(_epmOfflineCondition_,"A001010207",EPMOlapMemberO(AQ73,"[C_ACCOUNT].[PARENTH1].[A001010207]","A001010207 -   其他非流动金融资产","","002"))</f>
        <v/>
      </c>
      <c r="AS73" s="920">
        <f>IF(_epmOfflineCondition_,"  其他非流动金融资产",EPMMemberDesc(AR73))</f>
        <v/>
      </c>
      <c r="AT73" s="1285" t="n"/>
      <c r="AU73" s="1286" t="n"/>
      <c r="AV73" s="155" t="n"/>
      <c r="AW73" s="155" t="n"/>
      <c r="AX73" s="384" t="n"/>
      <c r="AY73" s="384" t="n"/>
    </row>
    <row r="74">
      <c r="A74" s="384" t="n"/>
      <c r="B74" s="384" t="n"/>
      <c r="C74" s="384" t="n"/>
      <c r="D74" s="384" t="n"/>
      <c r="E74" s="384" t="n"/>
      <c r="F74" s="384" t="n"/>
      <c r="G74" s="384" t="n"/>
      <c r="H74" s="384" t="n"/>
      <c r="I74" s="384" t="n"/>
      <c r="J74" s="384" t="n"/>
      <c r="K74" s="384" t="n"/>
      <c r="L74" s="384" t="n"/>
      <c r="M74" s="384" t="n"/>
      <c r="N74" s="384" t="n"/>
      <c r="O74" s="384" t="n"/>
      <c r="P74" s="384" t="n"/>
      <c r="Q74" s="384" t="n"/>
      <c r="R74" s="384">
        <f>IF(_epmOfflineCondition_,0,IF($C$26&lt;&gt;"G_DUMMY",EPMSaveData($Z74,,$U74,$Z$25,$Z$26,$Z$27,$Z$28,$B$36,$B$37,$B$38,$B$39,$B$40,$B$41,$C$26,$C$22),EPMSaveData($Z74,,$U74,$Z$25,$Z$26,$Z$27,$Z$28,$B$36,$B$37,$B$38,$B$39,$B$40,$C$21,$C$26,$C$22)))</f>
        <v/>
      </c>
      <c r="S74" s="462">
        <f>IF(_epmOfflineCondition_,"2、已获利息倍数",EPMMemberDesc(U74))</f>
        <v/>
      </c>
      <c r="T74" s="384" t="n"/>
      <c r="U74" s="889" t="inlineStr">
        <is>
          <t>A0050302</t>
        </is>
      </c>
      <c r="V74" s="889">
        <f>IF(_epmOfflineCondition_,"A0050302",EPMOlapMemberO(U74,"[C_ACCOUNT].[PARENTH1].[A0050302]","A0050302 - 2、已获利息倍数","","000"))</f>
        <v/>
      </c>
      <c r="W74" s="384" t="n"/>
      <c r="X74" s="890" t="inlineStr">
        <is>
          <t>2、已获利息倍数</t>
        </is>
      </c>
      <c r="Y74" s="895" t="inlineStr"/>
      <c r="Z74" s="1279">
        <f>IFERROR((AK79+AK59)/AK59,"")</f>
        <v/>
      </c>
      <c r="AA74" s="1279">
        <f>IFERROR((AL79+AL59)/AL59,"")</f>
        <v/>
      </c>
      <c r="AB74" s="1279">
        <f>IFERROR(Z74-AA74,"")</f>
        <v/>
      </c>
      <c r="AC74" s="902" t="inlineStr">
        <is>
          <t>【利润表】（利润总额+其中：利息费用）÷其中：利息费用</t>
        </is>
      </c>
      <c r="AD74" s="1199" t="n"/>
      <c r="AE74" s="716" t="n"/>
      <c r="AF74" s="716" t="n"/>
      <c r="AG74" s="920" t="inlineStr">
        <is>
          <t>A0020301</t>
        </is>
      </c>
      <c r="AH74" s="958">
        <f>IF(_epmOfflineCondition_,"A0020301",EPMOlapMemberO(AG74,"[C_ACCOUNT].[PARENTH1].[A0020301]","A0020301 -     加：营业外收入","","001"))</f>
        <v/>
      </c>
      <c r="AI74" s="915" t="inlineStr">
        <is>
          <t xml:space="preserve">   加：营业外收入</t>
        </is>
      </c>
      <c r="AJ74" s="1280">
        <f>ROW()-45</f>
        <v/>
      </c>
      <c r="AK74" s="1284" t="n"/>
      <c r="AL74" s="1284" t="n"/>
      <c r="AM74" s="384" t="n"/>
      <c r="AN74" s="384" t="n"/>
      <c r="AO74" s="384" t="n"/>
      <c r="AP74" s="384" t="n"/>
      <c r="AQ74" s="927" t="inlineStr">
        <is>
          <t>A001010208</t>
        </is>
      </c>
      <c r="AR74" s="962">
        <f>IF(_epmOfflineCondition_,"A001010208",EPMOlapMemberO(AQ74,"[C_ACCOUNT].[PARENTH1].[A001010208]","A001010208 -   投资性房地产","","002"))</f>
        <v/>
      </c>
      <c r="AS74" s="920">
        <f>IF(_epmOfflineCondition_,"  投资性房地产",EPMMemberDesc(AR74))</f>
        <v/>
      </c>
      <c r="AT74" s="1285" t="n"/>
      <c r="AU74" s="1286" t="n"/>
      <c r="AV74" s="155" t="n"/>
      <c r="AW74" s="155" t="n"/>
      <c r="AX74" s="384" t="n"/>
      <c r="AY74" s="384" t="n"/>
    </row>
    <row r="75">
      <c r="A75" s="384" t="n"/>
      <c r="B75" s="384" t="n"/>
      <c r="C75" s="384" t="n"/>
      <c r="D75" s="384" t="n"/>
      <c r="E75" s="384" t="n"/>
      <c r="F75" s="384" t="n"/>
      <c r="G75" s="384" t="n"/>
      <c r="H75" s="384" t="n"/>
      <c r="I75" s="384" t="n"/>
      <c r="J75" s="384" t="n"/>
      <c r="K75" s="384" t="n"/>
      <c r="L75" s="384" t="n"/>
      <c r="M75" s="384" t="n"/>
      <c r="N75" s="384" t="n"/>
      <c r="O75" s="384" t="n"/>
      <c r="P75" s="384" t="n"/>
      <c r="Q75" s="384" t="n"/>
      <c r="R75" s="384">
        <f>IF(_epmOfflineCondition_,0,IF($C$26&lt;&gt;"G_DUMMY",EPMSaveData($Z75,,$U75,$Z$25,$Z$26,$Z$27,$Z$28,$B$36,$B$37,$B$38,$B$39,$B$40,$B$41,$C$26,$C$22),EPMSaveData($Z75,,$U75,$Z$25,$Z$26,$Z$27,$Z$28,$B$36,$B$37,$B$38,$B$39,$B$40,$C$21,$C$26,$C$22)))</f>
        <v/>
      </c>
      <c r="S75" s="462">
        <f>IF(_epmOfflineCondition_,"3、流动比率（%）",EPMMemberDesc(U75))</f>
        <v/>
      </c>
      <c r="T75" s="384" t="n"/>
      <c r="U75" s="889" t="inlineStr">
        <is>
          <t>A0050303</t>
        </is>
      </c>
      <c r="V75" s="889">
        <f>IF(_epmOfflineCondition_,"A0050303",EPMOlapMemberO(U75,"[C_ACCOUNT].[PARENTH1].[A0050303]","A0050303 - 3、流动比率（%）","","000"))</f>
        <v/>
      </c>
      <c r="W75" s="384" t="n"/>
      <c r="X75" s="890" t="inlineStr">
        <is>
          <t>3、流动比率</t>
        </is>
      </c>
      <c r="Y75" s="895" t="inlineStr"/>
      <c r="Z75" s="1279">
        <f>IFERROR(AT65/AT120,"")</f>
        <v/>
      </c>
      <c r="AA75" s="1279">
        <f>IFERROR(AV65/AV120,"")</f>
        <v/>
      </c>
      <c r="AB75" s="1279">
        <f>IFERROR(Z75-AA75,"")</f>
        <v/>
      </c>
      <c r="AC75" s="904" t="inlineStr">
        <is>
          <t>流动资产÷流动负债</t>
        </is>
      </c>
      <c r="AD75" s="1199" t="n"/>
      <c r="AE75" s="716" t="n"/>
      <c r="AF75" s="716" t="n"/>
      <c r="AG75" s="920" t="inlineStr">
        <is>
          <t>A630101</t>
        </is>
      </c>
      <c r="AH75" s="911">
        <f>IF(_epmOfflineCondition_,"A630101",EPMOlapMemberO(AG75,"[C_ACCOUNT].[PARENTH1].[A630101]","A630101 - 营业外收入-非流动资产报废损毁利得","","001"))</f>
        <v/>
      </c>
      <c r="AI75" s="915" t="inlineStr">
        <is>
          <t xml:space="preserve">          其中：非流动资产毁损报废利得</t>
        </is>
      </c>
      <c r="AJ75" s="1280">
        <f>ROW()-45</f>
        <v/>
      </c>
      <c r="AK75" s="1284" t="n"/>
      <c r="AL75" s="1284" t="n"/>
      <c r="AM75" s="384" t="n"/>
      <c r="AN75" s="384" t="n"/>
      <c r="AO75" s="384" t="n"/>
      <c r="AP75" s="384" t="n"/>
      <c r="AQ75" s="927" t="inlineStr">
        <is>
          <t>A001010209</t>
        </is>
      </c>
      <c r="AR75" s="975">
        <f>IF(_epmOfflineCondition_,"A001010209",EPMOlapMemberO(AQ75,"[C_ACCOUNT].[PARENTH1].[A001010209]","A001010209 -   固定资产原价","","002"))</f>
        <v/>
      </c>
      <c r="AS75" s="920">
        <f>IF(_epmOfflineCondition_,"  固定资产原价",EPMMemberDesc(AR75))</f>
        <v/>
      </c>
      <c r="AT75" s="1285" t="inlineStr"/>
      <c r="AU75" s="1286" t="inlineStr"/>
      <c r="AV75" s="155" t="inlineStr"/>
      <c r="AW75" s="155" t="inlineStr"/>
      <c r="AX75" s="384" t="n"/>
      <c r="AY75" s="384" t="n"/>
    </row>
    <row r="76">
      <c r="A76" s="384" t="n"/>
      <c r="B76" s="384" t="n"/>
      <c r="C76" s="384" t="n"/>
      <c r="D76" s="384" t="n"/>
      <c r="E76" s="384" t="n"/>
      <c r="F76" s="384" t="n"/>
      <c r="G76" s="384" t="n"/>
      <c r="H76" s="384" t="n"/>
      <c r="I76" s="384" t="n"/>
      <c r="J76" s="384" t="n"/>
      <c r="K76" s="384" t="n"/>
      <c r="L76" s="384" t="n"/>
      <c r="M76" s="384" t="n"/>
      <c r="N76" s="384" t="n"/>
      <c r="O76" s="384" t="n"/>
      <c r="P76" s="384" t="n"/>
      <c r="Q76" s="384" t="n"/>
      <c r="R76" s="384">
        <f>IF(_epmOfflineCondition_,0,IF($C$26&lt;&gt;"G_DUMMY",EPMSaveData($Z76,,$U76,$Z$25,$Z$26,$Z$27,$Z$28,$B$36,$B$37,$B$38,$B$39,$B$40,$B$41,$C$26,$C$22),EPMSaveData($Z76,,$U76,$Z$25,$Z$26,$Z$27,$Z$28,$B$36,$B$37,$B$38,$B$39,$B$40,$C$21,$C$26,$C$22)))</f>
        <v/>
      </c>
      <c r="S76" s="462">
        <f>IF(_epmOfflineCondition_,"4、速动比率（%）",EPMMemberDesc(U76))</f>
        <v/>
      </c>
      <c r="T76" s="384" t="n"/>
      <c r="U76" s="889" t="inlineStr">
        <is>
          <t>A0050304</t>
        </is>
      </c>
      <c r="V76" s="889">
        <f>IF(_epmOfflineCondition_,"A0050304",EPMOlapMemberO(U76,"[C_ACCOUNT].[PARENTH1].[A0050304]","A0050304 - 4、速动比率（%）","","000"))</f>
        <v/>
      </c>
      <c r="W76" s="384" t="n"/>
      <c r="X76" s="890" t="inlineStr">
        <is>
          <t>4、速动比率</t>
        </is>
      </c>
      <c r="Y76" s="895" t="inlineStr"/>
      <c r="Z76" s="1279">
        <f>IFERROR((AT65-AT58)/AT120,"")</f>
        <v/>
      </c>
      <c r="AA76" s="1279">
        <f>IFERROR((AV65-AV58)/AV120,"")</f>
        <v/>
      </c>
      <c r="AB76" s="1279">
        <f>IFERROR(Z76-AA76,"")</f>
        <v/>
      </c>
      <c r="AC76" s="904" t="inlineStr">
        <is>
          <t>（流动资产-存货）÷流动负债</t>
        </is>
      </c>
      <c r="AD76" s="1199" t="n"/>
      <c r="AE76" s="716" t="n"/>
      <c r="AF76" s="716" t="n"/>
      <c r="AG76" s="920" t="inlineStr">
        <is>
          <t>A6301040000</t>
        </is>
      </c>
      <c r="AH76" s="911">
        <f>IF(_epmOfflineCondition_,"A6301040000",EPMOlapMemberO(AG76,"[C_ACCOUNT].[PARENTH1].[A6301040000]","A6301040000 - 营业外收入-政府补助","","001"))</f>
        <v/>
      </c>
      <c r="AI76" s="915" t="inlineStr">
        <is>
          <t xml:space="preserve">                     政府补助</t>
        </is>
      </c>
      <c r="AJ76" s="1280">
        <f>ROW()-45</f>
        <v/>
      </c>
      <c r="AK76" s="1284" t="n"/>
      <c r="AL76" s="1284" t="n"/>
      <c r="AM76" s="384" t="n"/>
      <c r="AN76" s="384" t="n"/>
      <c r="AO76" s="384" t="n"/>
      <c r="AP76" s="384" t="n"/>
      <c r="AQ76" s="927" t="inlineStr">
        <is>
          <t>A001010210</t>
        </is>
      </c>
      <c r="AR76" s="975">
        <f>IF(_epmOfflineCondition_,"A001010210",EPMOlapMemberO(AQ76,"[C_ACCOUNT].[PARENTH1].[A001010210]","A001010210 -       减：累计折旧","","002"))</f>
        <v/>
      </c>
      <c r="AS76" s="920">
        <f>IF(_epmOfflineCondition_,"      减：累计折旧",EPMMemberDesc(AR76))</f>
        <v/>
      </c>
      <c r="AT76" s="1285" t="inlineStr"/>
      <c r="AU76" s="1286" t="inlineStr"/>
      <c r="AV76" s="155" t="inlineStr"/>
      <c r="AW76" s="155" t="inlineStr"/>
      <c r="AX76" s="384" t="n"/>
      <c r="AY76" s="384" t="n"/>
    </row>
    <row r="77">
      <c r="A77" s="384" t="n"/>
      <c r="B77" s="384" t="n"/>
      <c r="C77" s="384" t="n"/>
      <c r="D77" s="384" t="n"/>
      <c r="E77" s="384" t="n"/>
      <c r="F77" s="384" t="n"/>
      <c r="G77" s="384" t="n"/>
      <c r="H77" s="384" t="n"/>
      <c r="I77" s="384" t="n"/>
      <c r="J77" s="384" t="n"/>
      <c r="K77" s="384" t="n"/>
      <c r="L77" s="384" t="n"/>
      <c r="M77" s="384" t="n"/>
      <c r="N77" s="384" t="n"/>
      <c r="O77" s="384" t="n"/>
      <c r="P77" s="384" t="n"/>
      <c r="Q77" s="384" t="n"/>
      <c r="R77" s="384">
        <f>IF(_epmOfflineCondition_,0,IF($C$26&lt;&gt;"G_DUMMY",EPMSaveData($Z77,,$U77,$Z$25,$Z$26,$Z$27,$Z$28,$B$36,$B$37,$B$38,$B$39,$B$40,$B$41,$C$26,$C$22),EPMSaveData($Z77,,$U77,$Z$25,$Z$26,$Z$27,$Z$28,$B$36,$B$37,$B$38,$B$39,$B$40,$C$21,$C$26,$C$22)))</f>
        <v/>
      </c>
      <c r="S77" s="462">
        <f>IF(_epmOfflineCondition_,"5、现金流动负债比率（%）",EPMMemberDesc(U77))</f>
        <v/>
      </c>
      <c r="T77" s="384" t="n"/>
      <c r="U77" s="889" t="inlineStr">
        <is>
          <t>A0050305</t>
        </is>
      </c>
      <c r="V77" s="889">
        <f>IF(_epmOfflineCondition_,"A0050305",EPMOlapMemberO(U77,"[C_ACCOUNT].[PARENTH1].[A0050305]","A0050305 - 5、现金流动负债比率（%）","","000"))</f>
        <v/>
      </c>
      <c r="W77" s="384" t="n"/>
      <c r="X77" s="890" t="inlineStr">
        <is>
          <t>5、现金流动负债比率（%）</t>
        </is>
      </c>
      <c r="Y77" s="895" t="inlineStr"/>
      <c r="Z77" s="1279">
        <f>IFERROR(AK124/AT120*100,"")</f>
        <v/>
      </c>
      <c r="AA77" s="1279">
        <f>IFERROR(AL124/AU120*100,"")</f>
        <v/>
      </c>
      <c r="AB77" s="1279">
        <f>IFERROR(Z77-AA77,"")</f>
        <v/>
      </c>
      <c r="AC77" s="902" t="inlineStr">
        <is>
          <t>经营活动现金流量净额÷流动负债*100%</t>
        </is>
      </c>
      <c r="AD77" s="1199" t="n"/>
      <c r="AE77" s="716" t="n"/>
      <c r="AF77" s="716" t="n"/>
      <c r="AG77" s="920" t="inlineStr">
        <is>
          <t>A0020302</t>
        </is>
      </c>
      <c r="AH77" s="958">
        <f>IF(_epmOfflineCondition_,"A0020302",EPMOlapMemberO(AG77,"[C_ACCOUNT].[PARENTH1].[A0020302]","A0020302 - 　　减：营业外支出","","001"))</f>
        <v/>
      </c>
      <c r="AI77" s="915" t="inlineStr">
        <is>
          <t xml:space="preserve">　减：营业外支出</t>
        </is>
      </c>
      <c r="AJ77" s="1280">
        <f>ROW()-45</f>
        <v/>
      </c>
      <c r="AK77" s="1284" t="n"/>
      <c r="AL77" s="1284" t="n"/>
      <c r="AM77" s="384" t="n"/>
      <c r="AN77" s="384" t="n"/>
      <c r="AO77" s="384" t="n"/>
      <c r="AP77" s="384" t="n"/>
      <c r="AQ77" s="927" t="inlineStr">
        <is>
          <t>A001010211</t>
        </is>
      </c>
      <c r="AR77" s="960">
        <f>IF(_epmOfflineCondition_,"A001010211",EPMOlapMemberO(AQ77,"[C_ACCOUNT].[PARENTH1].[A001010211]","A001010211 -   固定资产净值","","002"))</f>
        <v/>
      </c>
      <c r="AS77" s="920">
        <f>IF(_epmOfflineCondition_,"  固定资产净值",EPMMemberDesc(AR77))</f>
        <v/>
      </c>
      <c r="AT77" s="1285" t="inlineStr"/>
      <c r="AU77" s="1286" t="inlineStr"/>
      <c r="AV77" s="155" t="inlineStr"/>
      <c r="AW77" s="155" t="inlineStr"/>
      <c r="AX77" s="384" t="n"/>
      <c r="AY77" s="384" t="n"/>
    </row>
    <row r="78">
      <c r="A78" s="384" t="n"/>
      <c r="B78" s="384" t="n"/>
      <c r="C78" s="384" t="n"/>
      <c r="D78" s="384" t="n"/>
      <c r="E78" s="384" t="n"/>
      <c r="F78" s="384" t="n"/>
      <c r="G78" s="384" t="n"/>
      <c r="H78" s="384" t="n"/>
      <c r="I78" s="384" t="n"/>
      <c r="J78" s="384" t="n"/>
      <c r="K78" s="384" t="n"/>
      <c r="L78" s="384" t="n"/>
      <c r="M78" s="384" t="n"/>
      <c r="N78" s="384" t="n"/>
      <c r="O78" s="384" t="n"/>
      <c r="P78" s="384" t="n"/>
      <c r="Q78" s="384" t="n"/>
      <c r="R78" s="384">
        <f>IF(_epmOfflineCondition_,0,IF($C$26&lt;&gt;"G_DUMMY",EPMSaveData($Z78,,$U78,$Z$25,$Z$26,$Z$27,$Z$28,$B$36,$B$37,$B$38,$B$39,$B$40,$B$41,$C$26,$C$22),EPMSaveData($Z78,,$U78,$Z$25,$Z$26,$Z$27,$Z$28,$B$36,$B$37,$B$38,$B$39,$B$40,$C$21,$C$26,$C$22)))</f>
        <v/>
      </c>
      <c r="S78" s="462">
        <f>IF(_epmOfflineCondition_,"6、短期借款占全部借款比率（%）",EPMMemberDesc(U78))</f>
        <v/>
      </c>
      <c r="T78" s="384" t="n"/>
      <c r="U78" s="889" t="inlineStr">
        <is>
          <t>A0050306</t>
        </is>
      </c>
      <c r="V78" s="889">
        <f>IF(_epmOfflineCondition_,"A0050306",EPMOlapMemberO(U78,"[C_ACCOUNT].[PARENTH1].[A0050306]","A0050306 - 6、短期借款占全部借款比率（%）","","000"))</f>
        <v/>
      </c>
      <c r="W78" s="384" t="n"/>
      <c r="X78" s="890" t="inlineStr">
        <is>
          <t>6、短期借款占全部借款比率（%）</t>
        </is>
      </c>
      <c r="Y78" s="895" t="inlineStr"/>
      <c r="Z78" s="1279">
        <f>IFERROR(AT95/(AT95+AT122+AT154)*100,"")</f>
        <v/>
      </c>
      <c r="AA78" s="1279">
        <f>IFERROR(AV95/(AV95+AV122+AV154)*100,"")</f>
        <v/>
      </c>
      <c r="AB78" s="1279">
        <f>IFERROR(Z78-AA78,"")</f>
        <v/>
      </c>
      <c r="AC78" s="952" t="inlineStr">
        <is>
          <t>短期借款÷（年末短期借款余额+年末长期借款余额+一年内到期的长期借款）*100%</t>
        </is>
      </c>
      <c r="AD78" s="1199" t="n"/>
      <c r="AE78" s="716" t="n"/>
      <c r="AF78" s="716" t="n"/>
      <c r="AG78" s="920" t="inlineStr">
        <is>
          <t>A671101</t>
        </is>
      </c>
      <c r="AH78" s="911">
        <f>IF(_epmOfflineCondition_,"A671101",EPMOlapMemberO(AG78,"[C_ACCOUNT].[PARENTH1].[A671101]","A671101 - 营业外支出-非流动资产报废损毁损失","","001"))</f>
        <v/>
      </c>
      <c r="AI78" s="915" t="inlineStr">
        <is>
          <t xml:space="preserve">          其中：非流动资产毁损报废损失</t>
        </is>
      </c>
      <c r="AJ78" s="1280">
        <f>ROW()-45</f>
        <v/>
      </c>
      <c r="AK78" s="1284" t="n"/>
      <c r="AL78" s="1284" t="n"/>
      <c r="AM78" s="384" t="n"/>
      <c r="AN78" s="384" t="n"/>
      <c r="AO78" s="384" t="n"/>
      <c r="AP78" s="384" t="n"/>
      <c r="AQ78" s="927" t="inlineStr">
        <is>
          <t>A001010212</t>
        </is>
      </c>
      <c r="AR78" s="960">
        <f>IF(_epmOfflineCondition_,"A001010212",EPMOlapMemberO(AQ78,"[C_ACCOUNT].[PARENTH1].[A001010212]","A001010212 -       减：固定资产减值准备","","002"))</f>
        <v/>
      </c>
      <c r="AS78" s="920">
        <f>IF(_epmOfflineCondition_,"      减：固定资产减值准备",EPMMemberDesc(AR78))</f>
        <v/>
      </c>
      <c r="AT78" s="1285" t="n"/>
      <c r="AU78" s="1286" t="n"/>
      <c r="AV78" s="155" t="n"/>
      <c r="AW78" s="155" t="n"/>
      <c r="AX78" s="384" t="n"/>
      <c r="AY78" s="384" t="n"/>
    </row>
    <row r="79">
      <c r="A79" s="384" t="n"/>
      <c r="B79" s="384" t="n"/>
      <c r="C79" s="384" t="n"/>
      <c r="D79" s="384" t="n"/>
      <c r="E79" s="384" t="n"/>
      <c r="F79" s="384" t="n"/>
      <c r="G79" s="384" t="n"/>
      <c r="H79" s="384" t="n"/>
      <c r="I79" s="384" t="n"/>
      <c r="J79" s="384" t="n"/>
      <c r="K79" s="384" t="n"/>
      <c r="L79" s="384" t="n"/>
      <c r="M79" s="384" t="n"/>
      <c r="N79" s="384" t="n"/>
      <c r="O79" s="384" t="n"/>
      <c r="P79" s="384" t="n"/>
      <c r="Q79" s="384" t="n"/>
      <c r="R79" s="384">
        <f>IF(_epmOfflineCondition_,0,IF($C$26&lt;&gt;"G_DUMMY",EPMSaveData($Z79,,$U79,$Z$25,$Z$26,$Z$27,$Z$28,$B$36,$B$37,$B$38,$B$39,$B$40,$B$41,$C$26,$C$22),EPMSaveData($Z79,,$U79,$Z$25,$Z$26,$Z$27,$Z$28,$B$36,$B$37,$B$38,$B$39,$B$40,$C$21,$C$26,$C$22)))</f>
        <v/>
      </c>
      <c r="S79" s="462">
        <f>IF(_epmOfflineCondition_,"7、带息负债比率（%）",EPMMemberDesc(U79))</f>
        <v/>
      </c>
      <c r="T79" s="384" t="n"/>
      <c r="U79" s="889" t="inlineStr">
        <is>
          <t>A0050307</t>
        </is>
      </c>
      <c r="V79" s="889">
        <f>IF(_epmOfflineCondition_,"A0050307",EPMOlapMemberO(U79,"[C_ACCOUNT].[PARENTH1].[A0050307]","A0050307 - 7、带息负债比率（%）","","000"))</f>
        <v/>
      </c>
      <c r="W79" s="384" t="n"/>
      <c r="X79" s="890" t="inlineStr">
        <is>
          <t>7、带息负债比率（%）</t>
        </is>
      </c>
      <c r="Y79" s="895" t="inlineStr"/>
      <c r="Z79" s="1279">
        <f>IFERROR(AJ141/AT135*100,"")</f>
        <v/>
      </c>
      <c r="AA79" s="1279">
        <f>IFERROR(AK141/AV135*100,"")</f>
        <v/>
      </c>
      <c r="AB79" s="1279">
        <f>IFERROR(Z79-AA79,"")</f>
        <v/>
      </c>
      <c r="AC79" s="902" t="inlineStr">
        <is>
          <t>【企业财务快报（国资委）】带息负债筹资年末余额÷负债</t>
        </is>
      </c>
      <c r="AD79" s="1199" t="n"/>
      <c r="AE79" s="716" t="n"/>
      <c r="AF79" s="716" t="n"/>
      <c r="AG79" s="920" t="inlineStr">
        <is>
          <t>A00204</t>
        </is>
      </c>
      <c r="AH79" s="975">
        <f>IF(_epmOfflineCondition_,"A00204",EPMOlapMemberO(AG79,"[C_ACCOUNT].[PARENTH1].[A00204]","A00204 - 四、利润总额（亏损总额以“-""号填列）","","001"))</f>
        <v/>
      </c>
      <c r="AI79" s="912" t="inlineStr">
        <is>
          <t>四、利润总额（亏损总额以“-”号填列）</t>
        </is>
      </c>
      <c r="AJ79" s="1280">
        <f>ROW()-45</f>
        <v/>
      </c>
      <c r="AK79" s="1284" t="inlineStr"/>
      <c r="AL79" s="1284" t="inlineStr"/>
      <c r="AM79" s="384" t="n"/>
      <c r="AN79" s="384" t="n"/>
      <c r="AO79" s="384" t="n"/>
      <c r="AP79" s="384" t="n"/>
      <c r="AQ79" s="927" t="inlineStr">
        <is>
          <t>A001010214</t>
        </is>
      </c>
      <c r="AR79" s="962">
        <f>IF(_epmOfflineCondition_,"A001010214",EPMOlapMemberO(AQ79,"[C_ACCOUNT].[PARENTH1].[A001010214]","A001010214 -   固定资产净额","","002"))</f>
        <v/>
      </c>
      <c r="AS79" s="920">
        <f>IF(_epmOfflineCondition_,"  固定资产净额",EPMMemberDesc(AR79))</f>
        <v/>
      </c>
      <c r="AT79" s="1285" t="inlineStr"/>
      <c r="AU79" s="1286" t="inlineStr"/>
      <c r="AV79" s="155" t="inlineStr"/>
      <c r="AW79" s="155" t="inlineStr"/>
      <c r="AX79" s="384" t="n"/>
      <c r="AY79" s="384" t="n"/>
    </row>
    <row r="80">
      <c r="A80" s="384" t="n"/>
      <c r="B80" s="384" t="n"/>
      <c r="C80" s="384" t="n"/>
      <c r="D80" s="384" t="n"/>
      <c r="E80" s="384" t="n"/>
      <c r="F80" s="384" t="n"/>
      <c r="G80" s="384" t="n"/>
      <c r="H80" s="384" t="n"/>
      <c r="I80" s="384" t="n"/>
      <c r="J80" s="384" t="n"/>
      <c r="K80" s="384" t="n"/>
      <c r="L80" s="384" t="n"/>
      <c r="M80" s="384" t="n"/>
      <c r="N80" s="384" t="n"/>
      <c r="O80" s="384" t="n"/>
      <c r="P80" s="384" t="n"/>
      <c r="Q80" s="384" t="n"/>
      <c r="R80" s="384" t="n"/>
      <c r="S80" s="462" t="n"/>
      <c r="T80" s="384" t="n"/>
      <c r="U80" s="889" t="n"/>
      <c r="V80" s="889" t="n"/>
      <c r="W80" s="384" t="n"/>
      <c r="X80" s="888" t="inlineStr">
        <is>
          <t>四、经营增长指标：</t>
        </is>
      </c>
      <c r="Y80" s="895" t="inlineStr"/>
      <c r="Z80" s="1279" t="inlineStr">
        <is>
          <t>——</t>
        </is>
      </c>
      <c r="AA80" s="1279" t="inlineStr">
        <is>
          <t>——</t>
        </is>
      </c>
      <c r="AB80" s="1279" t="inlineStr">
        <is>
          <t>——</t>
        </is>
      </c>
      <c r="AC80" s="903" t="inlineStr">
        <is>
          <t>——</t>
        </is>
      </c>
      <c r="AD80" s="1199" t="n"/>
      <c r="AE80" s="716" t="n"/>
      <c r="AF80" s="716" t="n"/>
      <c r="AG80" s="920" t="inlineStr">
        <is>
          <t>A0020401</t>
        </is>
      </c>
      <c r="AH80" s="975">
        <f>IF(_epmOfflineCondition_,"A0020401",EPMOlapMemberO(AG80,"[C_ACCOUNT].[PARENTH1].[A0020401]","A0020401 - 　　减：所得税费用","","001"))</f>
        <v/>
      </c>
      <c r="AI80" s="915" t="inlineStr">
        <is>
          <t xml:space="preserve">　减：所得税费用</t>
        </is>
      </c>
      <c r="AJ80" s="1280">
        <f>ROW()-45</f>
        <v/>
      </c>
      <c r="AK80" s="1284" t="n"/>
      <c r="AL80" s="1284" t="n"/>
      <c r="AM80" s="384" t="n"/>
      <c r="AN80" s="384" t="n"/>
      <c r="AO80" s="384" t="n"/>
      <c r="AP80" s="384" t="n"/>
      <c r="AQ80" s="927" t="inlineStr">
        <is>
          <t>A001010215</t>
        </is>
      </c>
      <c r="AR80" s="962">
        <f>IF(_epmOfflineCondition_,"A001010215",EPMOlapMemberO(AQ80,"[C_ACCOUNT].[PARENTH1].[A001010215]","A001010215 -   在建工程","","002"))</f>
        <v/>
      </c>
      <c r="AS80" s="920">
        <f>IF(_epmOfflineCondition_,"  在建工程",EPMMemberDesc(AR80))</f>
        <v/>
      </c>
      <c r="AT80" s="1285" t="inlineStr"/>
      <c r="AU80" s="1286" t="inlineStr"/>
      <c r="AV80" s="155" t="inlineStr"/>
      <c r="AW80" s="155" t="inlineStr"/>
      <c r="AX80" s="384" t="n"/>
      <c r="AY80" s="384" t="n"/>
    </row>
    <row r="81">
      <c r="A81" s="384" t="n"/>
      <c r="B81" s="384" t="n"/>
      <c r="C81" s="384" t="n"/>
      <c r="D81" s="384" t="n"/>
      <c r="E81" s="384" t="n"/>
      <c r="F81" s="384" t="n"/>
      <c r="G81" s="384" t="n"/>
      <c r="H81" s="384" t="n"/>
      <c r="I81" s="384" t="n"/>
      <c r="J81" s="384" t="n"/>
      <c r="K81" s="384" t="n"/>
      <c r="L81" s="384" t="n"/>
      <c r="M81" s="384" t="n"/>
      <c r="N81" s="384" t="n"/>
      <c r="O81" s="384" t="n"/>
      <c r="P81" s="384" t="n"/>
      <c r="Q81" s="384" t="n"/>
      <c r="R81" s="384">
        <f>IF(_epmOfflineCondition_,0,IF($C$26&lt;&gt;"G_DUMMY",EPMSaveData($Z81,,$U81,$Z$25,$Z$26,$Z$27,$Z$28,$B$36,$B$37,$B$38,$B$39,$B$40,$B$41,$C$26,$C$22),EPMSaveData($Z81,,$U81,$Z$25,$Z$26,$Z$27,$Z$28,$B$36,$B$37,$B$38,$B$39,$B$40,$C$21,$C$26,$C$22)))</f>
        <v/>
      </c>
      <c r="S81" s="462">
        <f>IF(_epmOfflineCondition_,"1、营业总收入增长率（%）",EPMMemberDesc(U81))</f>
        <v/>
      </c>
      <c r="T81" s="384" t="n"/>
      <c r="U81" s="889" t="inlineStr">
        <is>
          <t>A0050401</t>
        </is>
      </c>
      <c r="V81" s="889">
        <f>IF(_epmOfflineCondition_,"A0050401",EPMOlapMemberO(U81,"[C_ACCOUNT].[PARENTH1].[A0050401]","A0050401 - 1、营业总收入增长率（%）","","000"))</f>
        <v/>
      </c>
      <c r="W81" s="384" t="n"/>
      <c r="X81" s="890" t="inlineStr">
        <is>
          <t>1、营业总收入增长率（%）</t>
        </is>
      </c>
      <c r="Y81" s="895" t="inlineStr"/>
      <c r="Z81" s="1279">
        <f>IFERROR((AK46-AL46)/AL46*100,"")</f>
        <v/>
      </c>
      <c r="AA81" s="1279">
        <f>IFERROR((AL46-AM46)/AM46*100,"")</f>
        <v/>
      </c>
      <c r="AB81" s="1279">
        <f>IFERROR(Z81-AA81,"")</f>
        <v/>
      </c>
      <c r="AC81" s="902" t="inlineStr">
        <is>
          <t>【利润表中营业总收入】(本年累计-上年同期累计）÷上年同期累计*100%</t>
        </is>
      </c>
      <c r="AD81" s="1199" t="n"/>
      <c r="AE81" s="716" t="n"/>
      <c r="AF81" s="716" t="n"/>
      <c r="AG81" s="920" t="inlineStr">
        <is>
          <t>A00205</t>
        </is>
      </c>
      <c r="AH81" s="960">
        <f>IF(_epmOfflineCondition_,"A00205",EPMOlapMemberO(AG81,"[C_ACCOUNT].[PARENTH1].[A00205]","A00205 - 五、净利润（净亏损以“-""号填列）","","001"))</f>
        <v/>
      </c>
      <c r="AI81" s="912" t="inlineStr">
        <is>
          <t>五、净利润（净亏损以“-”号填列）</t>
        </is>
      </c>
      <c r="AJ81" s="1280">
        <f>ROW()-45</f>
        <v/>
      </c>
      <c r="AK81" s="1284" t="inlineStr"/>
      <c r="AL81" s="1284" t="inlineStr"/>
      <c r="AM81" s="384" t="n"/>
      <c r="AN81" s="384" t="n"/>
      <c r="AO81" s="384" t="n"/>
      <c r="AP81" s="384" t="n"/>
      <c r="AQ81" s="927" t="inlineStr">
        <is>
          <t>A001010216</t>
        </is>
      </c>
      <c r="AR81" s="962">
        <f>IF(_epmOfflineCondition_,"A001010216",EPMOlapMemberO(AQ81,"[C_ACCOUNT].[PARENTH1].[A001010216]","A001010216 -   工程物资","","002"))</f>
        <v/>
      </c>
      <c r="AS81" s="920">
        <f>IF(_epmOfflineCondition_,"  工程物资",EPMMemberDesc(AR81))</f>
        <v/>
      </c>
      <c r="AT81" s="1285" t="n"/>
      <c r="AU81" s="1286" t="n"/>
      <c r="AV81" s="155" t="n"/>
      <c r="AW81" s="155" t="n"/>
      <c r="AX81" s="384" t="n"/>
      <c r="AY81" s="384" t="n"/>
    </row>
    <row r="82">
      <c r="A82" s="384" t="n"/>
      <c r="B82" s="384" t="n"/>
      <c r="C82" s="384" t="n"/>
      <c r="D82" s="384" t="n"/>
      <c r="E82" s="384" t="n"/>
      <c r="F82" s="384" t="n"/>
      <c r="G82" s="384" t="n"/>
      <c r="H82" s="384" t="n"/>
      <c r="I82" s="384" t="n"/>
      <c r="J82" s="384" t="n"/>
      <c r="K82" s="384" t="n"/>
      <c r="L82" s="384" t="n"/>
      <c r="M82" s="384" t="n"/>
      <c r="N82" s="384" t="n"/>
      <c r="O82" s="384" t="n"/>
      <c r="P82" s="384" t="n"/>
      <c r="Q82" s="384" t="n"/>
      <c r="R82" s="384">
        <f>IF(_epmOfflineCondition_,0,IF($C$26&lt;&gt;"G_DUMMY",EPMSaveData($Z82,,$U82,$Z$25,$Z$26,$Z$27,$Z$28,$B$36,$B$37,$B$38,$B$39,$B$40,$B$41,$C$26,$C$22),EPMSaveData($Z82,,$U82,$Z$25,$Z$26,$Z$27,$Z$28,$B$36,$B$37,$B$38,$B$39,$B$40,$C$21,$C$26,$C$22)))</f>
        <v/>
      </c>
      <c r="S82" s="462">
        <f>IF(_epmOfflineCondition_,"2、主营业务收入增长率（%）",EPMMemberDesc(U82))</f>
        <v/>
      </c>
      <c r="T82" s="384" t="n"/>
      <c r="U82" s="889" t="inlineStr">
        <is>
          <t>A0050402</t>
        </is>
      </c>
      <c r="V82" s="889">
        <f>IF(_epmOfflineCondition_,"A0050402",EPMOlapMemberO(U82,"[C_ACCOUNT].[PARENTH1].[A0050402]","A0050402 - 2、主营业务收入增长率（%）","","000"))</f>
        <v/>
      </c>
      <c r="W82" s="384" t="n"/>
      <c r="X82" s="890" t="inlineStr">
        <is>
          <t>2、主营业务收入增长率（%）</t>
        </is>
      </c>
      <c r="Y82" s="895" t="inlineStr"/>
      <c r="Z82" s="1279">
        <f>IFERROR((AK115-AL115)/AL115*100,"")</f>
        <v/>
      </c>
      <c r="AA82" s="1279">
        <f>IFERROR((AL115-AM115)/AM115*100,"")</f>
        <v/>
      </c>
      <c r="AB82" s="1279">
        <f>IFERROR(Z82-AA82,"")</f>
        <v/>
      </c>
      <c r="AC82" s="902" t="inlineStr">
        <is>
          <t>【利润表中主营业务收入】(本年累计-上年同期累计）÷上年同期累计*100%</t>
        </is>
      </c>
      <c r="AD82" s="1199" t="n"/>
      <c r="AE82" s="716" t="n"/>
      <c r="AF82" s="716" t="n"/>
      <c r="AG82" s="961" t="inlineStr">
        <is>
          <t>A0020504</t>
        </is>
      </c>
      <c r="AH82" s="962">
        <f>IF(_epmOfflineCondition_,"A0020504",EPMOlapMemberO(AG82,"[C_ACCOUNT].[PARENTH1].[A0020504]","A0020504 - 　　归属于母公司所有者的净利润","","001"))</f>
        <v/>
      </c>
      <c r="AI82" s="915" t="inlineStr">
        <is>
          <t xml:space="preserve">       归属于母公司所有者的净利润</t>
        </is>
      </c>
      <c r="AJ82" s="1280">
        <f>ROW()-45</f>
        <v/>
      </c>
      <c r="AK82" s="1284" t="inlineStr"/>
      <c r="AL82" s="1284" t="inlineStr"/>
      <c r="AM82" s="384" t="n"/>
      <c r="AN82" s="384" t="n"/>
      <c r="AO82" s="384" t="n"/>
      <c r="AP82" s="384" t="n"/>
      <c r="AQ82" s="927" t="inlineStr">
        <is>
          <t>A1606000000</t>
        </is>
      </c>
      <c r="AR82" s="960">
        <f>IF(_epmOfflineCondition_,"A1606000000",EPMOlapMemberO(AQ82,"[C_ACCOUNT].[PARENTH1].[A1606000000]","A1606000000 - 固定资产清理","","002"))</f>
        <v/>
      </c>
      <c r="AS82" s="920">
        <f>IF(_epmOfflineCondition_,"固定资产清理",EPMMemberDesc(AR82))</f>
        <v/>
      </c>
      <c r="AT82" s="1285" t="n"/>
      <c r="AU82" s="1286" t="n"/>
      <c r="AV82" s="155" t="n"/>
      <c r="AW82" s="155" t="n"/>
      <c r="AX82" s="384" t="n"/>
      <c r="AY82" s="384" t="n"/>
    </row>
    <row r="83">
      <c r="A83" s="384" t="n"/>
      <c r="B83" s="384" t="n"/>
      <c r="C83" s="384" t="n"/>
      <c r="D83" s="384" t="n"/>
      <c r="E83" s="384" t="n"/>
      <c r="F83" s="384" t="n"/>
      <c r="G83" s="384" t="n"/>
      <c r="H83" s="384" t="n"/>
      <c r="I83" s="384" t="n"/>
      <c r="J83" s="384" t="n"/>
      <c r="K83" s="384" t="n"/>
      <c r="L83" s="384" t="n"/>
      <c r="M83" s="384" t="n"/>
      <c r="N83" s="384" t="n"/>
      <c r="O83" s="384" t="n"/>
      <c r="P83" s="384" t="n"/>
      <c r="Q83" s="384" t="n"/>
      <c r="R83" s="384">
        <f>IF(_epmOfflineCondition_,0,IF($C$26&lt;&gt;"G_DUMMY",EPMSaveData($Z83,,$U83,$Z$25,$Z$26,$Z$27,$Z$28,$B$36,$B$37,$B$38,$B$39,$B$40,$B$41,$C$26,$C$22),EPMSaveData($Z83,,$U83,$Z$25,$Z$26,$Z$27,$Z$28,$B$36,$B$37,$B$38,$B$39,$B$40,$C$21,$C$26,$C$22)))</f>
        <v/>
      </c>
      <c r="S83" s="462">
        <f>IF(_epmOfflineCondition_,"3、营业总成本增长率（%）",EPMMemberDesc(U83))</f>
        <v/>
      </c>
      <c r="T83" s="384" t="n"/>
      <c r="U83" s="889" t="inlineStr">
        <is>
          <t>A0050403</t>
        </is>
      </c>
      <c r="V83" s="889">
        <f>IF(_epmOfflineCondition_,"A0050403",EPMOlapMemberO(U83,"[C_ACCOUNT].[PARENTH1].[A0050403]","A0050403 - 3、营业总成本增长率（%）","","000"))</f>
        <v/>
      </c>
      <c r="W83" s="384" t="n"/>
      <c r="X83" s="890" t="inlineStr">
        <is>
          <t>3、营业总成本增长率（%）</t>
        </is>
      </c>
      <c r="Y83" s="895" t="inlineStr"/>
      <c r="Z83" s="1279">
        <f>IFERROR((AK50-AL50)/AL50*100,"")</f>
        <v/>
      </c>
      <c r="AA83" s="1279">
        <f>IFERROR((AL50-AM50)/AM50*100,"")</f>
        <v/>
      </c>
      <c r="AB83" s="1279">
        <f>IFERROR(Z83-AA83,"")</f>
        <v/>
      </c>
      <c r="AC83" s="902" t="inlineStr">
        <is>
          <t>【利润表中营业总成本】(本年累计-上年同期累计）÷上年同期累计*100%</t>
        </is>
      </c>
      <c r="AD83" s="1199" t="n"/>
      <c r="AE83" s="716" t="n"/>
      <c r="AF83" s="716" t="n"/>
      <c r="AG83" s="920" t="inlineStr">
        <is>
          <t>A0020503</t>
        </is>
      </c>
      <c r="AH83" s="975">
        <f>IF(_epmOfflineCondition_,"A0020503",EPMOlapMemberO(AG83,"[C_ACCOUNT].[PARENTH1].[A0020503]","A0020503 - 　　少数股东损益","","001"))</f>
        <v/>
      </c>
      <c r="AI83" s="915" t="inlineStr">
        <is>
          <t xml:space="preserve">       少数股东损益</t>
        </is>
      </c>
      <c r="AJ83" s="1280">
        <f>ROW()-45</f>
        <v/>
      </c>
      <c r="AK83" s="1284" t="n"/>
      <c r="AL83" s="1284" t="n"/>
      <c r="AM83" s="384" t="n"/>
      <c r="AN83" s="384" t="n"/>
      <c r="AO83" s="384" t="n"/>
      <c r="AP83" s="384" t="n"/>
      <c r="AQ83" s="927" t="inlineStr">
        <is>
          <t>A001010217</t>
        </is>
      </c>
      <c r="AR83" s="962">
        <f>IF(_epmOfflineCondition_,"A001010217",EPMOlapMemberO(AQ83,"[C_ACCOUNT].[PARENTH1].[A001010217]","A001010217 -   生产性生物资产","","002"))</f>
        <v/>
      </c>
      <c r="AS83" s="920">
        <f>IF(_epmOfflineCondition_,"  生产性生物资产",EPMMemberDesc(AR83))</f>
        <v/>
      </c>
      <c r="AT83" s="1285" t="n"/>
      <c r="AU83" s="1286" t="n"/>
      <c r="AV83" s="155" t="n"/>
      <c r="AW83" s="155" t="n"/>
      <c r="AX83" s="384" t="n"/>
      <c r="AY83" s="384" t="n"/>
    </row>
    <row r="84">
      <c r="A84" s="384" t="n"/>
      <c r="B84" s="384" t="n"/>
      <c r="C84" s="384" t="n"/>
      <c r="D84" s="384" t="n"/>
      <c r="E84" s="384" t="n"/>
      <c r="F84" s="384" t="n"/>
      <c r="G84" s="384" t="n"/>
      <c r="H84" s="384" t="n"/>
      <c r="I84" s="384" t="n"/>
      <c r="J84" s="384" t="n"/>
      <c r="K84" s="384" t="n"/>
      <c r="L84" s="384" t="n"/>
      <c r="M84" s="384" t="n"/>
      <c r="N84" s="384" t="n"/>
      <c r="O84" s="384" t="n"/>
      <c r="P84" s="384" t="n"/>
      <c r="Q84" s="384" t="n"/>
      <c r="R84" s="384">
        <f>IF(_epmOfflineCondition_,0,IF($C$26&lt;&gt;"G_DUMMY",EPMSaveData($Z84,,$U84,$Z$25,$Z$26,$Z$27,$Z$28,$B$36,$B$37,$B$38,$B$39,$B$40,$B$41,$C$26,$C$22),EPMSaveData($Z84,,$U84,$Z$25,$Z$26,$Z$27,$Z$28,$B$36,$B$37,$B$38,$B$39,$B$40,$C$21,$C$26,$C$22)))</f>
        <v/>
      </c>
      <c r="S84" s="462">
        <f>IF(_epmOfflineCondition_,"4、主营业务成本增长率（%）",EPMMemberDesc(U84))</f>
        <v/>
      </c>
      <c r="T84" s="384" t="n"/>
      <c r="U84" s="889" t="inlineStr">
        <is>
          <t>A0050404</t>
        </is>
      </c>
      <c r="V84" s="889">
        <f>IF(_epmOfflineCondition_,"A0050404",EPMOlapMemberO(U84,"[C_ACCOUNT].[PARENTH1].[A0050404]","A0050404 - 4、主营业务成本增长率（%）","","000"))</f>
        <v/>
      </c>
      <c r="W84" s="384" t="n"/>
      <c r="X84" s="890" t="inlineStr">
        <is>
          <t>4、主营业务成本增长率（%）</t>
        </is>
      </c>
      <c r="Y84" s="895" t="inlineStr"/>
      <c r="Z84" s="1279">
        <f>IFERROR((AK118-AL118)/AL118*100,"")</f>
        <v/>
      </c>
      <c r="AA84" s="1279">
        <f>IFERROR((AL118-AM118)/AM118*100,"")</f>
        <v/>
      </c>
      <c r="AB84" s="1279">
        <f>IFERROR(Z84-AA84,"")</f>
        <v/>
      </c>
      <c r="AC84" s="902" t="inlineStr">
        <is>
          <t>【利润表中主营业务成本】(本年累计-上年同期累计）÷上年同期累计*100%</t>
        </is>
      </c>
      <c r="AD84" s="1199" t="n"/>
      <c r="AE84" s="716" t="n"/>
      <c r="AF84" s="716" t="n"/>
      <c r="AG84" s="920" t="inlineStr">
        <is>
          <t>A0020501</t>
        </is>
      </c>
      <c r="AH84" s="963">
        <f>IF(_epmOfflineCondition_,"A0020501",EPMOlapMemberO(AG84,"[C_ACCOUNT].[PARENTH2].[A0020501]","A0020501 - 　　（一）持续经营净利润（净亏损以“－""号填列）","","001"))</f>
        <v/>
      </c>
      <c r="AI84" s="964" t="inlineStr">
        <is>
          <t>（一）持续经营净利润（净亏损以“-”号填列）</t>
        </is>
      </c>
      <c r="AJ84" s="1280">
        <f>ROW()-45</f>
        <v/>
      </c>
      <c r="AK84" s="1284" t="inlineStr"/>
      <c r="AL84" s="1284" t="inlineStr"/>
      <c r="AM84" s="384" t="n"/>
      <c r="AN84" s="384" t="n"/>
      <c r="AO84" s="384" t="n"/>
      <c r="AP84" s="384" t="n"/>
      <c r="AQ84" s="927" t="inlineStr">
        <is>
          <t>A001010218</t>
        </is>
      </c>
      <c r="AR84" s="962">
        <f>IF(_epmOfflineCondition_,"A001010218",EPMOlapMemberO(AQ84,"[C_ACCOUNT].[PARENTH1].[A001010218]","A001010218 -   油气资产","","002"))</f>
        <v/>
      </c>
      <c r="AS84" s="920">
        <f>IF(_epmOfflineCondition_,"  油气资产",EPMMemberDesc(AR84))</f>
        <v/>
      </c>
      <c r="AT84" s="1285" t="n"/>
      <c r="AU84" s="1286" t="n"/>
      <c r="AV84" s="155" t="n"/>
      <c r="AW84" s="155" t="n"/>
      <c r="AX84" s="384" t="n"/>
      <c r="AY84" s="384" t="n"/>
    </row>
    <row r="85">
      <c r="A85" s="384" t="n"/>
      <c r="B85" s="384" t="n"/>
      <c r="C85" s="384" t="n"/>
      <c r="D85" s="384" t="n"/>
      <c r="E85" s="384" t="n"/>
      <c r="F85" s="384" t="n"/>
      <c r="G85" s="384" t="n"/>
      <c r="H85" s="384" t="n"/>
      <c r="I85" s="384" t="n"/>
      <c r="J85" s="384" t="n"/>
      <c r="K85" s="384" t="n"/>
      <c r="L85" s="384" t="n"/>
      <c r="M85" s="384" t="n"/>
      <c r="N85" s="384" t="n"/>
      <c r="O85" s="384" t="n"/>
      <c r="P85" s="384" t="n"/>
      <c r="Q85" s="384" t="n"/>
      <c r="R85" s="384">
        <f>IF(_epmOfflineCondition_,0,IF($C$26&lt;&gt;"G_DUMMY",EPMSaveData($Z85,,$U85,$Z$25,$Z$26,$Z$27,$Z$28,$B$36,$B$37,$B$38,$B$39,$B$40,$B$41,$C$26,$C$22),EPMSaveData($Z85,,$U85,$Z$25,$Z$26,$Z$27,$Z$28,$B$36,$B$37,$B$38,$B$39,$B$40,$C$21,$C$26,$C$22)))</f>
        <v/>
      </c>
      <c r="S85" s="462">
        <f>IF(_epmOfflineCondition_,"5、主营业务利润率（%）",EPMMemberDesc(U85))</f>
        <v/>
      </c>
      <c r="T85" s="384" t="n"/>
      <c r="U85" s="889" t="inlineStr">
        <is>
          <t>A0050405</t>
        </is>
      </c>
      <c r="V85" s="889">
        <f>IF(_epmOfflineCondition_,"A0050405",EPMOlapMemberO(U85,"[C_ACCOUNT].[PARENTH1].[A0050405]","A0050405 - 5、主营业务利润率（%）","","000"))</f>
        <v/>
      </c>
      <c r="W85" s="384" t="n"/>
      <c r="X85" s="890" t="inlineStr">
        <is>
          <t>5、主营业务利润率（%）</t>
        </is>
      </c>
      <c r="Y85" s="895" t="inlineStr"/>
      <c r="Z85" s="1279">
        <f>IFERROR((AK115-AK118-AK54)/AK115*100,"")</f>
        <v/>
      </c>
      <c r="AA85" s="1279">
        <f>IFERROR((AL115-AL118-AL54)/AL115*100,"")</f>
        <v/>
      </c>
      <c r="AB85" s="1279">
        <f>IFERROR(Z85-AA85,"")</f>
        <v/>
      </c>
      <c r="AC85" s="904" t="inlineStr">
        <is>
          <t>【利润表】(主营业务收入-主营业务成本-税金及附加）÷主营业务收入*100%</t>
        </is>
      </c>
      <c r="AD85" s="1199" t="n"/>
      <c r="AE85" s="716" t="n"/>
      <c r="AF85" s="716" t="n"/>
      <c r="AG85" s="920" t="inlineStr">
        <is>
          <t>A0020502</t>
        </is>
      </c>
      <c r="AH85" s="962">
        <f>IF(_epmOfflineCondition_,"A0020502",EPMOlapMemberO(AG85,"[C_ACCOUNT].[PARENTH1].[A0020502]","A0020502 - 　　（二）终止经营净利润（净亏损以“－""号填列）","","001"))</f>
        <v/>
      </c>
      <c r="AI85" s="964" t="inlineStr">
        <is>
          <t>（二）终止经营净利润（净亏损以“-”号填列）</t>
        </is>
      </c>
      <c r="AJ85" s="1280">
        <f>ROW()-45</f>
        <v/>
      </c>
      <c r="AK85" s="1284" t="n"/>
      <c r="AL85" s="1284" t="n"/>
      <c r="AM85" s="384" t="n"/>
      <c r="AN85" s="384" t="n"/>
      <c r="AO85" s="384" t="n"/>
      <c r="AP85" s="384" t="n"/>
      <c r="AQ85" s="927" t="inlineStr">
        <is>
          <t>A001010219</t>
        </is>
      </c>
      <c r="AR85" s="962">
        <f>IF(_epmOfflineCondition_,"A001010219",EPMOlapMemberO(AQ85,"[C_ACCOUNT].[PARENTH1].[A001010219]","A001010219 -   使用权资产","","002"))</f>
        <v/>
      </c>
      <c r="AS85" s="920">
        <f>IF(_epmOfflineCondition_,"  使用权资产",EPMMemberDesc(AR85))</f>
        <v/>
      </c>
      <c r="AT85" s="1285" t="n"/>
      <c r="AU85" s="1286" t="n"/>
      <c r="AV85" s="155" t="n"/>
      <c r="AW85" s="155" t="n"/>
      <c r="AX85" s="384" t="n"/>
      <c r="AY85" s="384" t="n"/>
    </row>
    <row r="86" ht="18.75" customHeight="1" s="1181">
      <c r="A86" s="384" t="n"/>
      <c r="B86" s="384" t="n"/>
      <c r="C86" s="384" t="n"/>
      <c r="D86" s="384" t="n"/>
      <c r="E86" s="384" t="n"/>
      <c r="F86" s="384" t="n"/>
      <c r="G86" s="384" t="n"/>
      <c r="H86" s="384" t="n"/>
      <c r="I86" s="384" t="n"/>
      <c r="J86" s="384" t="n"/>
      <c r="K86" s="384" t="n"/>
      <c r="L86" s="384" t="n"/>
      <c r="M86" s="384" t="n"/>
      <c r="N86" s="384" t="n"/>
      <c r="O86" s="384" t="n"/>
      <c r="P86" s="384" t="n"/>
      <c r="Q86" s="384" t="n"/>
      <c r="R86" s="384">
        <f>IF(_epmOfflineCondition_,0,IF($C$26&lt;&gt;"G_DUMMY",EPMSaveData($Z86,,$U86,$Z$25,$Z$26,$Z$27,$Z$28,$B$36,$B$37,$B$38,$B$39,$B$40,$B$41,$C$26,$C$22),EPMSaveData($Z86,,$U86,$Z$25,$Z$26,$Z$27,$Z$28,$B$36,$B$37,$B$38,$B$39,$B$40,$C$21,$C$26,$C$22)))</f>
        <v/>
      </c>
      <c r="S86" s="462">
        <f>IF(_epmOfflineCondition_,"6、营业利润增长率（%）",EPMMemberDesc(U86))</f>
        <v/>
      </c>
      <c r="T86" s="384" t="n"/>
      <c r="U86" s="889" t="inlineStr">
        <is>
          <t>A0050406</t>
        </is>
      </c>
      <c r="V86" s="889">
        <f>IF(_epmOfflineCondition_,"A0050406",EPMOlapMemberO(U86,"[C_ACCOUNT].[PARENTH1].[A0050406]","A0050406 - 6、营业利润增长率（%）","","000"))</f>
        <v/>
      </c>
      <c r="W86" s="384" t="n"/>
      <c r="X86" s="890" t="inlineStr">
        <is>
          <t>6、营业利润增长率（%）</t>
        </is>
      </c>
      <c r="Y86" s="895" t="inlineStr"/>
      <c r="Z86" s="1279">
        <f>IFERROR((AK73-AL73)/AL73*100,"")</f>
        <v/>
      </c>
      <c r="AA86" s="1279">
        <f>IFERROR((AL73-AM73)/AM73*100,"")</f>
        <v/>
      </c>
      <c r="AB86" s="1279">
        <f>IFERROR(Z86-AA86,"")</f>
        <v/>
      </c>
      <c r="AC86" s="902" t="inlineStr">
        <is>
          <t>【利润表】营业利润(本年累计-上年同期累计）÷上年同期累计*100%</t>
        </is>
      </c>
      <c r="AD86" s="1199" t="n"/>
      <c r="AE86" s="716" t="n"/>
      <c r="AF86" s="636" t="n"/>
      <c r="AG86" s="920" t="n"/>
      <c r="AH86" s="967" t="n"/>
      <c r="AI86" s="966" t="inlineStr">
        <is>
          <t>六、其他综合收益的税后净额</t>
        </is>
      </c>
      <c r="AJ86" s="1280">
        <f>ROW()-45</f>
        <v/>
      </c>
      <c r="AK86" s="1284" t="n"/>
      <c r="AL86" s="1284" t="n"/>
      <c r="AM86" s="384" t="n"/>
      <c r="AN86" s="384" t="n"/>
      <c r="AO86" s="384" t="n"/>
      <c r="AP86" s="384" t="n"/>
      <c r="AQ86" s="927" t="inlineStr">
        <is>
          <t>A001010220</t>
        </is>
      </c>
      <c r="AR86" s="962">
        <f>IF(_epmOfflineCondition_,"A001010220",EPMOlapMemberO(AQ86,"[C_ACCOUNT].[PARENTH1].[A001010220]","A001010220 -   无形资产","","002"))</f>
        <v/>
      </c>
      <c r="AS86" s="920">
        <f>IF(_epmOfflineCondition_,"  无形资产",EPMMemberDesc(AR86))</f>
        <v/>
      </c>
      <c r="AT86" s="1285" t="inlineStr"/>
      <c r="AU86" s="1286" t="inlineStr"/>
      <c r="AV86" s="155" t="inlineStr"/>
      <c r="AW86" s="155" t="inlineStr"/>
      <c r="AX86" s="384" t="n"/>
      <c r="AY86" s="384" t="n"/>
    </row>
    <row r="87">
      <c r="A87" s="384" t="n"/>
      <c r="B87" s="384" t="n"/>
      <c r="C87" s="384" t="n"/>
      <c r="D87" s="384" t="n"/>
      <c r="E87" s="384" t="n"/>
      <c r="F87" s="384" t="n"/>
      <c r="G87" s="384" t="n"/>
      <c r="H87" s="384" t="n"/>
      <c r="I87" s="384" t="n"/>
      <c r="J87" s="384" t="n"/>
      <c r="K87" s="384" t="n"/>
      <c r="L87" s="384" t="n"/>
      <c r="M87" s="384" t="n"/>
      <c r="N87" s="384" t="n"/>
      <c r="O87" s="384" t="n"/>
      <c r="P87" s="384" t="n"/>
      <c r="Q87" s="384" t="n"/>
      <c r="R87" s="384">
        <f>IF(_epmOfflineCondition_,0,IF($C$26&lt;&gt;"G_DUMMY",EPMSaveData($Z87,,$U87,$Z$25,$Z$26,$Z$27,$Z$28,$B$36,$B$37,$B$38,$B$39,$B$40,$B$41,$C$26,$C$22),EPMSaveData($Z87,,$U87,$Z$25,$Z$26,$Z$27,$Z$28,$B$36,$B$37,$B$38,$B$39,$B$40,$C$21,$C$26,$C$22)))</f>
        <v/>
      </c>
      <c r="S87" s="462">
        <f>IF(_epmOfflineCondition_,"7、利润总额增长率",EPMMemberDesc(U87))</f>
        <v/>
      </c>
      <c r="T87" s="384" t="n"/>
      <c r="U87" s="889" t="inlineStr">
        <is>
          <t>A0050407</t>
        </is>
      </c>
      <c r="V87" s="889">
        <f>IF(_epmOfflineCondition_,"A0050407",EPMOlapMemberO(U87,"[C_ACCOUNT].[PARENTH1].[A0050407]","A0050407 - 7、利润总额增长率","","000"))</f>
        <v/>
      </c>
      <c r="W87" s="384" t="n"/>
      <c r="X87" s="890" t="inlineStr">
        <is>
          <t>7、利润总额增长率（%）</t>
        </is>
      </c>
      <c r="Y87" s="895" t="inlineStr"/>
      <c r="Z87" s="1279">
        <f>IFERROR((AK79-AL79)/AL79*100,"")</f>
        <v/>
      </c>
      <c r="AA87" s="1279">
        <f>IFERROR((AL79-AM79)/AM79*100,"")</f>
        <v/>
      </c>
      <c r="AB87" s="1279">
        <f>IFERROR(Z87-AA87,"")</f>
        <v/>
      </c>
      <c r="AC87" s="902" t="inlineStr">
        <is>
          <t>利润总额(本年累计-上年同期累计）÷上年同期累计*100%</t>
        </is>
      </c>
      <c r="AD87" s="1199" t="n"/>
      <c r="AE87" s="716" t="n"/>
      <c r="AF87" s="716" t="n"/>
      <c r="AG87" s="920" t="inlineStr">
        <is>
          <t>A0010305</t>
        </is>
      </c>
      <c r="AH87" s="975">
        <f>IF(_epmOfflineCondition_,"A0010305",EPMOlapMemberO(AG87,"[C_ACCOUNT].[PARENTH1].[A0010305]","A0010305 -   其他综合收益","","001"))</f>
        <v/>
      </c>
      <c r="AI87" s="966" t="inlineStr">
        <is>
          <t>归属于母公司所有者的其他综合收益的税后净额</t>
        </is>
      </c>
      <c r="AJ87" s="1280">
        <f>ROW()-45</f>
        <v/>
      </c>
      <c r="AK87" s="1284" t="n"/>
      <c r="AL87" s="1284" t="n"/>
      <c r="AM87" s="384" t="n"/>
      <c r="AN87" s="384" t="n"/>
      <c r="AO87" s="384" t="n"/>
      <c r="AP87" s="384" t="n"/>
      <c r="AQ87" s="927" t="inlineStr">
        <is>
          <t>A001010221</t>
        </is>
      </c>
      <c r="AR87" s="962">
        <f>IF(_epmOfflineCondition_,"A001010221",EPMOlapMemberO(AQ87,"[C_ACCOUNT].[PARENTH1].[A001010221]","A001010221 -   开发支出","","002"))</f>
        <v/>
      </c>
      <c r="AS87" s="920">
        <f>IF(_epmOfflineCondition_,"  开发支出",EPMMemberDesc(AR87))</f>
        <v/>
      </c>
      <c r="AT87" s="1285" t="n"/>
      <c r="AU87" s="1286" t="n"/>
      <c r="AV87" s="155" t="n"/>
      <c r="AW87" s="155" t="n"/>
      <c r="AX87" s="384" t="n"/>
      <c r="AY87" s="384" t="n"/>
    </row>
    <row r="88">
      <c r="A88" s="384" t="n"/>
      <c r="B88" s="384" t="n"/>
      <c r="C88" s="384" t="n"/>
      <c r="D88" s="384" t="n"/>
      <c r="E88" s="384" t="n"/>
      <c r="F88" s="384" t="n"/>
      <c r="G88" s="384" t="n"/>
      <c r="H88" s="384" t="n"/>
      <c r="I88" s="384" t="n"/>
      <c r="J88" s="384" t="n"/>
      <c r="K88" s="384" t="n"/>
      <c r="L88" s="384" t="n"/>
      <c r="M88" s="384" t="n"/>
      <c r="N88" s="384" t="n"/>
      <c r="O88" s="384" t="n"/>
      <c r="P88" s="384" t="n"/>
      <c r="Q88" s="384" t="n"/>
      <c r="R88" s="384">
        <f>IF(_epmOfflineCondition_,0,IF($C$26&lt;&gt;"G_DUMMY",EPMSaveData($Z88,,$U88,$Z$25,$Z$26,$Z$27,$Z$28,$B$36,$B$37,$B$38,$B$39,$B$40,$B$41,$C$26,$C$22),EPMSaveData($Z88,,$U88,$Z$25,$Z$26,$Z$27,$Z$28,$B$36,$B$37,$B$38,$B$39,$B$40,$C$21,$C$26,$C$22)))</f>
        <v/>
      </c>
      <c r="S88" s="462">
        <f>IF(_epmOfflineCondition_,"9、资本积累率（%）",EPMMemberDesc(U88))</f>
        <v/>
      </c>
      <c r="T88" s="384" t="n"/>
      <c r="U88" s="889" t="inlineStr">
        <is>
          <t>A0050409</t>
        </is>
      </c>
      <c r="V88" s="889">
        <f>IF(_epmOfflineCondition_,"A0050409",EPMOlapMemberO(U88,"[C_ACCOUNT].[PARENTH1].[A0050409]","A0050409 - 9、资本积累率（%）","","000"))</f>
        <v/>
      </c>
      <c r="W88" s="384" t="n"/>
      <c r="X88" s="947" t="inlineStr">
        <is>
          <t>8、资本积累率（%）</t>
        </is>
      </c>
      <c r="Y88" s="895" t="inlineStr"/>
      <c r="Z88" s="1279">
        <f>IFERROR((AT152-AU152)/AU152*100,"")</f>
        <v/>
      </c>
      <c r="AA88" s="1279">
        <f>IFERROR((AV152-AW152)/AW152*100,"")</f>
        <v/>
      </c>
      <c r="AB88" s="1279">
        <f>IFERROR(Z88-AA88,"")</f>
        <v/>
      </c>
      <c r="AC88" s="953" t="inlineStr">
        <is>
          <t>(所有者权益合计期末余额-所有者权益合计期初余额)÷所有者权益合计期初余额*100%</t>
        </is>
      </c>
      <c r="AD88" s="1199" t="n"/>
      <c r="AE88" s="716" t="n"/>
      <c r="AF88" s="716" t="n"/>
      <c r="AG88" s="920" t="inlineStr">
        <is>
          <t>A400401</t>
        </is>
      </c>
      <c r="AH88" s="958">
        <f>IF(_epmOfflineCondition_,"A400401",EPMOlapMemberO(AG88,"[C_ACCOUNT].[PARENTH1].[A400401]","A400401 - （一）不能重分类进损益的其他综合收益","","001"))</f>
        <v/>
      </c>
      <c r="AI88" s="964" t="inlineStr">
        <is>
          <t>（一）不能重分类进损益的其他综合收益</t>
        </is>
      </c>
      <c r="AJ88" s="1280">
        <f>ROW()-45</f>
        <v/>
      </c>
      <c r="AK88" s="1284" t="n"/>
      <c r="AL88" s="1284" t="n"/>
      <c r="AM88" s="384" t="n"/>
      <c r="AN88" s="384" t="n"/>
      <c r="AO88" s="384" t="n"/>
      <c r="AP88" s="384" t="n"/>
      <c r="AQ88" s="927" t="inlineStr">
        <is>
          <t>A001010222</t>
        </is>
      </c>
      <c r="AR88" s="962">
        <f>IF(_epmOfflineCondition_,"A001010222",EPMOlapMemberO(AQ88,"[C_ACCOUNT].[PARENTH1].[A001010222]","A001010222 -   商誉","","002"))</f>
        <v/>
      </c>
      <c r="AS88" s="920">
        <f>IF(_epmOfflineCondition_,"  商誉",EPMMemberDesc(AR88))</f>
        <v/>
      </c>
      <c r="AT88" s="1285" t="n"/>
      <c r="AU88" s="1286" t="n"/>
      <c r="AV88" s="155" t="n"/>
      <c r="AW88" s="155" t="n"/>
      <c r="AX88" s="384" t="n"/>
      <c r="AY88" s="384" t="n"/>
    </row>
    <row r="89">
      <c r="A89" s="384" t="n"/>
      <c r="B89" s="384" t="n"/>
      <c r="C89" s="384" t="n"/>
      <c r="D89" s="384" t="n"/>
      <c r="E89" s="384" t="n"/>
      <c r="F89" s="384" t="n"/>
      <c r="G89" s="384" t="n"/>
      <c r="H89" s="384" t="n"/>
      <c r="I89" s="384" t="n"/>
      <c r="J89" s="384" t="n"/>
      <c r="K89" s="384" t="n"/>
      <c r="L89" s="384" t="n"/>
      <c r="M89" s="384" t="n"/>
      <c r="N89" s="384" t="n"/>
      <c r="O89" s="384" t="n"/>
      <c r="P89" s="384" t="n"/>
      <c r="Q89" s="384" t="n"/>
      <c r="R89" s="384">
        <f>IF(_epmOfflineCondition_,0,IF($C$26&lt;&gt;"G_DUMMY",EPMSaveData($Z89,,$U89,$Z$25,$Z$26,$Z$27,$Z$28,$B$36,$B$37,$B$38,$B$39,$B$40,$B$41,$C$26,$C$22),EPMSaveData($Z89,,$U89,$Z$25,$Z$26,$Z$27,$Z$28,$B$36,$B$37,$B$38,$B$39,$B$40,$C$21,$C$26,$C$22)))</f>
        <v/>
      </c>
      <c r="S89" s="462">
        <f>IF(_epmOfflineCondition_,"10、资产增长率（%）",EPMMemberDesc(U89))</f>
        <v/>
      </c>
      <c r="T89" s="384" t="n"/>
      <c r="U89" s="889" t="inlineStr">
        <is>
          <t>A0050410</t>
        </is>
      </c>
      <c r="V89" s="889">
        <f>IF(_epmOfflineCondition_,"A0050410",EPMOlapMemberO(U89,"[C_ACCOUNT].[PARENTH1].[A0050410]","A0050410 - 10、资产增长率（%）","","000"))</f>
        <v/>
      </c>
      <c r="W89" s="384" t="n"/>
      <c r="X89" s="947" t="inlineStr">
        <is>
          <t>9、资产增长率（%）</t>
        </is>
      </c>
      <c r="Y89" s="895" t="inlineStr"/>
      <c r="Z89" s="1279">
        <f>IFERROR((AT93-AU93)/AU93*100,"")</f>
        <v/>
      </c>
      <c r="AA89" s="1279">
        <f>IFERROR((AV93-AW93)/AW93*100,"")</f>
        <v/>
      </c>
      <c r="AB89" s="1279">
        <f>IFERROR(Z89-AA89,"")</f>
        <v/>
      </c>
      <c r="AC89" s="953" t="inlineStr">
        <is>
          <t>（资产总计期末余额-资产总计期初余额）÷资产总计期初余额*100%</t>
        </is>
      </c>
      <c r="AD89" s="1199" t="n"/>
      <c r="AE89" s="716" t="n"/>
      <c r="AF89" s="716" t="n"/>
      <c r="AG89" s="920" t="inlineStr">
        <is>
          <t>A4004010100</t>
        </is>
      </c>
      <c r="AH89" s="911">
        <f>IF(_epmOfflineCondition_,"A4004010100",EPMOlapMemberO(AG89,"[C_ACCOUNT].[PARENTH1].[A4004010100]","A4004010100 -     其中：1.重新计量设定受益计划变动额","","001"))</f>
        <v/>
      </c>
      <c r="AI89" s="915" t="inlineStr">
        <is>
          <t xml:space="preserve">                 1.重新计量设定受益计划变动额</t>
        </is>
      </c>
      <c r="AJ89" s="1280">
        <f>ROW()-45</f>
        <v/>
      </c>
      <c r="AK89" s="1284" t="n"/>
      <c r="AL89" s="1284" t="n"/>
      <c r="AM89" s="384" t="n"/>
      <c r="AN89" s="384" t="n"/>
      <c r="AO89" s="384" t="n"/>
      <c r="AP89" s="384" t="n"/>
      <c r="AQ89" s="927" t="inlineStr">
        <is>
          <t>A001010223</t>
        </is>
      </c>
      <c r="AR89" s="962">
        <f>IF(_epmOfflineCondition_,"A001010223",EPMOlapMemberO(AQ89,"[C_ACCOUNT].[PARENTH1].[A001010223]","A001010223 -   长期待摊费用","","002"))</f>
        <v/>
      </c>
      <c r="AS89" s="920">
        <f>IF(_epmOfflineCondition_,"  长期待摊费用",EPMMemberDesc(AR89))</f>
        <v/>
      </c>
      <c r="AT89" s="1285" t="n"/>
      <c r="AU89" s="1286" t="n"/>
      <c r="AV89" s="155" t="n"/>
      <c r="AW89" s="155" t="n"/>
      <c r="AX89" s="384" t="n"/>
      <c r="AY89" s="384" t="n"/>
    </row>
    <row r="90">
      <c r="A90" s="384" t="n"/>
      <c r="B90" s="384" t="n"/>
      <c r="C90" s="384" t="n"/>
      <c r="D90" s="384" t="n"/>
      <c r="E90" s="384" t="n"/>
      <c r="F90" s="384" t="n"/>
      <c r="G90" s="384" t="n"/>
      <c r="H90" s="384" t="n"/>
      <c r="I90" s="384" t="n"/>
      <c r="J90" s="384" t="n"/>
      <c r="K90" s="384" t="n"/>
      <c r="L90" s="384" t="n"/>
      <c r="M90" s="384" t="n"/>
      <c r="N90" s="384" t="n"/>
      <c r="O90" s="384" t="n"/>
      <c r="P90" s="384" t="n"/>
      <c r="Q90" s="384" t="n"/>
      <c r="R90" s="384">
        <f>IF(_epmOfflineCondition_,0,IF($C$26&lt;&gt;"G_DUMMY",EPMSaveData($Z90,,$U90,$Z$25,$Z$26,$Z$27,$Z$28,$B$36,$B$37,$B$38,$B$39,$B$40,$B$41,$C$26,$C$22),EPMSaveData($Z90,,$U90,$Z$25,$Z$26,$Z$27,$Z$28,$B$36,$B$37,$B$38,$B$39,$B$40,$C$21,$C$26,$C$22)))</f>
        <v/>
      </c>
      <c r="S90" s="462">
        <f>IF(_epmOfflineCondition_,"11、资本收益率（%）",EPMMemberDesc(U90))</f>
        <v/>
      </c>
      <c r="T90" s="384" t="n"/>
      <c r="U90" s="889" t="inlineStr">
        <is>
          <t>A0050411</t>
        </is>
      </c>
      <c r="V90" s="889">
        <f>IF(_epmOfflineCondition_,"A0050411",EPMOlapMemberO(U90,"[C_ACCOUNT].[PARENTH1].[A0050411]","A0050411 - 11、资本收益率（%）","","000"))</f>
        <v/>
      </c>
      <c r="W90" s="384" t="n"/>
      <c r="X90" s="947" t="inlineStr">
        <is>
          <t>10、资本收益率（%）</t>
        </is>
      </c>
      <c r="Y90" s="895" t="inlineStr"/>
      <c r="Z90" s="1279">
        <f>IFERROR(AK81*2/(AT137+AU137+AT141+AU141)*100,"")</f>
        <v/>
      </c>
      <c r="AA90" s="1279">
        <f>IFERROR(AL81*2/(AV137+AW137+AV141+AW141)*100,"")</f>
        <v/>
      </c>
      <c r="AB90" s="1279">
        <f>IFERROR(Z90-AA90,"")</f>
        <v/>
      </c>
      <c r="AC90" s="953" t="inlineStr">
        <is>
          <t>【利润表】净利润*2÷（实收资本期初余额+实收资本期末余额）+资本公积期初余额+资本公积期末余额）×100%</t>
        </is>
      </c>
      <c r="AD90" s="1199" t="n"/>
      <c r="AE90" s="384" t="n"/>
      <c r="AF90" s="384" t="n"/>
      <c r="AG90" s="920" t="inlineStr">
        <is>
          <t>A4004010400</t>
        </is>
      </c>
      <c r="AH90" s="911">
        <f>IF(_epmOfflineCondition_,"A4004010400",EPMOlapMemberO(AG90,"[C_ACCOUNT].[PARENTH1].[A4004010400]","A4004010400 -             2.权益法下不能转损益的其他综合收益","","001"))</f>
        <v/>
      </c>
      <c r="AI90" s="915" t="inlineStr">
        <is>
          <t xml:space="preserve">                 2.权益法下不能转损益的其他综合收益</t>
        </is>
      </c>
      <c r="AJ90" s="1280">
        <f>ROW()-45</f>
        <v/>
      </c>
      <c r="AK90" s="1284" t="n"/>
      <c r="AL90" s="1284" t="n"/>
      <c r="AM90" s="384" t="n"/>
      <c r="AN90" s="384" t="n"/>
      <c r="AO90" s="384" t="n"/>
      <c r="AP90" s="384" t="n"/>
      <c r="AQ90" s="927" t="inlineStr">
        <is>
          <t>A001010224</t>
        </is>
      </c>
      <c r="AR90" s="962">
        <f>IF(_epmOfflineCondition_,"A001010224",EPMOlapMemberO(AQ90,"[C_ACCOUNT].[PARENTH1].[A001010224]","A001010224 -   递延所得税资产","","002"))</f>
        <v/>
      </c>
      <c r="AS90" s="920">
        <f>IF(_epmOfflineCondition_,"  递延所得税资产",EPMMemberDesc(AR90))</f>
        <v/>
      </c>
      <c r="AT90" s="1285" t="n"/>
      <c r="AU90" s="1286" t="n"/>
      <c r="AV90" s="155" t="n"/>
      <c r="AW90" s="155" t="n"/>
      <c r="AX90" s="384" t="n"/>
      <c r="AY90" s="384" t="n"/>
    </row>
    <row r="91">
      <c r="A91" s="384" t="n"/>
      <c r="B91" s="384" t="n"/>
      <c r="C91" s="384" t="n"/>
      <c r="D91" s="384" t="n"/>
      <c r="E91" s="384" t="n"/>
      <c r="F91" s="384" t="n"/>
      <c r="G91" s="384" t="n"/>
      <c r="H91" s="384" t="n"/>
      <c r="I91" s="384" t="n"/>
      <c r="J91" s="384" t="n"/>
      <c r="K91" s="384" t="n"/>
      <c r="L91" s="384" t="n"/>
      <c r="M91" s="384" t="n"/>
      <c r="N91" s="384" t="n"/>
      <c r="O91" s="384" t="n"/>
      <c r="P91" s="384" t="n"/>
      <c r="Q91" s="384" t="n"/>
      <c r="R91" s="384">
        <f>IF(_epmOfflineCondition_,0,IF($C$26&lt;&gt;"G_DUMMY",EPMSaveData(#REF!,,$U109,$Z$25,$Z$26,$Z$27,$Z$28,$B$36,$B$37,$B$38,$B$39,$B$40,$B$41,$C$26,$C$22),EPMSaveData(#REF!,,$U109,$Z$25,$Z$26,$Z$27,$Z$28,$B$36,$B$37,$B$38,$B$39,$B$40,$C$21,$C$26,$C$22)))</f>
        <v/>
      </c>
      <c r="S91" s="462">
        <f>IF(_epmOfflineCondition_,"13、固定资产增长率（%）",EPMMemberDesc(U91))</f>
        <v/>
      </c>
      <c r="T91" s="384" t="n"/>
      <c r="U91" s="889" t="inlineStr">
        <is>
          <t>A0050413</t>
        </is>
      </c>
      <c r="V91" s="889">
        <f>IF(_epmOfflineCondition_,"A0050413",EPMOlapMemberO(U91,"[C_ACCOUNT].[PARENTH1].[A0050413]","A0050413 - 13、固定资产增长率（%）","","000"))</f>
        <v/>
      </c>
      <c r="W91" s="384" t="n"/>
      <c r="X91" s="947" t="inlineStr">
        <is>
          <t>11、固定资产增长率（%）</t>
        </is>
      </c>
      <c r="Y91" s="895" t="inlineStr"/>
      <c r="Z91" s="1279">
        <f>IFERROR((AT75-AU75)/AU75*100,"")</f>
        <v/>
      </c>
      <c r="AA91" s="1279">
        <f>IFERROR((AV75-AW75)/AW75*100,"")</f>
        <v/>
      </c>
      <c r="AB91" s="1279">
        <f>IFERROR(Z91-AA91,"")</f>
        <v/>
      </c>
      <c r="AC91" s="953" t="inlineStr">
        <is>
          <t>【资产负债表】(固定资产原价期末余额-固定资产原价期初余额)÷固定资产原价期初余额</t>
        </is>
      </c>
      <c r="AD91" s="1199" t="n"/>
      <c r="AE91" s="716" t="n"/>
      <c r="AF91" s="716" t="n"/>
      <c r="AG91" s="920" t="inlineStr">
        <is>
          <t>A4004010200</t>
        </is>
      </c>
      <c r="AH91" s="911">
        <f>IF(_epmOfflineCondition_,"A4004010200",EPMOlapMemberO(AG91,"[C_ACCOUNT].[PARENTH1].[A4004010200]","A4004010200 -             3.其他权益工具投资公允价值变动","","001"))</f>
        <v/>
      </c>
      <c r="AI91" s="915" t="inlineStr">
        <is>
          <t xml:space="preserve">                 3.其他权益工具投资公允价值变动</t>
        </is>
      </c>
      <c r="AJ91" s="1280">
        <f>ROW()-45</f>
        <v/>
      </c>
      <c r="AK91" s="1284" t="n"/>
      <c r="AL91" s="1284" t="n"/>
      <c r="AM91" s="384" t="n"/>
      <c r="AN91" s="384" t="n"/>
      <c r="AO91" s="384" t="n"/>
      <c r="AP91" s="384" t="n"/>
      <c r="AQ91" s="927" t="inlineStr">
        <is>
          <t>A001010225</t>
        </is>
      </c>
      <c r="AR91" s="962">
        <f>IF(_epmOfflineCondition_,"A001010225",EPMOlapMemberO(AQ91,"[C_ACCOUNT].[PARENTH1].[A001010225]","A001010225 -   其他非流动资产","","002"))</f>
        <v/>
      </c>
      <c r="AS91" s="920">
        <f>IF(_epmOfflineCondition_,"  其他非流动资产",EPMMemberDesc(AR91))</f>
        <v/>
      </c>
      <c r="AT91" s="1287" t="inlineStr"/>
      <c r="AU91" s="1288" t="inlineStr"/>
      <c r="AV91" s="155" t="inlineStr"/>
      <c r="AW91" s="155" t="inlineStr"/>
      <c r="AX91" s="384" t="n"/>
      <c r="AY91" s="384" t="n"/>
    </row>
    <row r="92">
      <c r="A92" s="384" t="n"/>
      <c r="B92" s="384" t="n"/>
      <c r="C92" s="384" t="n"/>
      <c r="D92" s="384" t="n"/>
      <c r="E92" s="384" t="n"/>
      <c r="F92" s="384" t="n"/>
      <c r="G92" s="384" t="n"/>
      <c r="H92" s="384" t="n"/>
      <c r="I92" s="384" t="n"/>
      <c r="J92" s="384" t="n"/>
      <c r="K92" s="384" t="n"/>
      <c r="L92" s="384" t="n"/>
      <c r="M92" s="384" t="n"/>
      <c r="N92" s="384" t="n"/>
      <c r="O92" s="384" t="n"/>
      <c r="P92" s="384" t="n"/>
      <c r="Q92" s="384" t="n"/>
      <c r="R92" s="384">
        <f>IF(_epmOfflineCondition_,0,IF($C$26&lt;&gt;"G_DUMMY",EPMSaveData($Z91,,$U91,$Z$25,$Z$26,$Z$27,$Z$28,$B$36,$B$37,$B$38,$B$39,$B$40,$B$41,$C$26,$C$22),EPMSaveData($Z91,,$U91,$Z$25,$Z$26,$Z$27,$Z$28,$B$36,$B$37,$B$38,$B$39,$B$40,$C$21,$C$26,$C$22)))</f>
        <v/>
      </c>
      <c r="S92" s="462">
        <f>IF(_epmOfflineCondition_,"14、研发投入比率（%）",EPMMemberDesc(U92))</f>
        <v/>
      </c>
      <c r="T92" s="384" t="n"/>
      <c r="U92" s="889" t="inlineStr">
        <is>
          <t>A0050414</t>
        </is>
      </c>
      <c r="V92" s="889">
        <f>IF(_epmOfflineCondition_,"A0050414",EPMOlapMemberO(U92,"[C_ACCOUNT].[PARENTH1].[A0050414]","A0050414 - 14、研发投入比率（%）","","000"))</f>
        <v/>
      </c>
      <c r="W92" s="384" t="n"/>
      <c r="X92" s="947" t="inlineStr">
        <is>
          <t>12、研发(R&amp;D)经费投入强度（%）</t>
        </is>
      </c>
      <c r="Y92" s="895" t="inlineStr"/>
      <c r="Z92" s="1279">
        <f>IFERROR(AJ158/AK46*100,"")</f>
        <v/>
      </c>
      <c r="AA92" s="1279">
        <f>IFERROR(AK158/AL46*100,"")</f>
        <v/>
      </c>
      <c r="AB92" s="1279">
        <f>IFERROR(Z92-AA92,"")</f>
        <v/>
      </c>
      <c r="AC92" s="953" t="inlineStr">
        <is>
          <t>【财政快报】研发（R&amp;D）经费投入÷【利润表】营业总收入*100%</t>
        </is>
      </c>
      <c r="AD92" s="1199" t="n"/>
      <c r="AE92" s="716" t="n"/>
      <c r="AF92" s="462" t="n"/>
      <c r="AG92" s="920" t="inlineStr">
        <is>
          <t>A4004010300</t>
        </is>
      </c>
      <c r="AH92" s="911">
        <f>IF(_epmOfflineCondition_,"A4004010300",EPMOlapMemberO(AG92,"[C_ACCOUNT].[PARENTH1].[A4004010300]","A4004010300 -             4.企业自身信用风险公允价值变动","","001"))</f>
        <v/>
      </c>
      <c r="AI92" s="915" t="inlineStr">
        <is>
          <t xml:space="preserve">                 4.企业自身信用风险公允价值变动</t>
        </is>
      </c>
      <c r="AJ92" s="1280">
        <f>ROW()-45</f>
        <v/>
      </c>
      <c r="AK92" s="1284" t="n"/>
      <c r="AL92" s="1284" t="n"/>
      <c r="AM92" s="384" t="n"/>
      <c r="AN92" s="384" t="n"/>
      <c r="AO92" s="384" t="n"/>
      <c r="AP92" s="384" t="n"/>
      <c r="AQ92" s="927" t="inlineStr">
        <is>
          <t>A0010102</t>
        </is>
      </c>
      <c r="AR92" s="967">
        <f>IF(_epmOfflineCondition_,"A0010102",EPMOlapMemberO(AQ92,"[C_ACCOUNT].[PARENTH1].[A0010102]","A0010102 - 　       非流动资产合计","","002"))</f>
        <v/>
      </c>
      <c r="AS92" s="920">
        <f>IF(_epmOfflineCondition_,"　       非流动资产合计",EPMMemberDesc(AR92))</f>
        <v/>
      </c>
      <c r="AT92" s="1287" t="inlineStr"/>
      <c r="AU92" s="1288" t="inlineStr"/>
      <c r="AV92" s="155" t="inlineStr"/>
      <c r="AW92" s="155" t="inlineStr"/>
      <c r="AX92" s="384" t="n"/>
      <c r="AY92" s="384" t="n"/>
    </row>
    <row r="93" ht="31" customHeight="1" s="1181">
      <c r="A93" s="384" t="n"/>
      <c r="B93" s="384" t="n"/>
      <c r="C93" s="384" t="n"/>
      <c r="D93" s="384" t="n"/>
      <c r="E93" s="384" t="n"/>
      <c r="F93" s="384" t="n"/>
      <c r="G93" s="384" t="n"/>
      <c r="H93" s="384" t="n"/>
      <c r="I93" s="384" t="n"/>
      <c r="J93" s="384" t="n"/>
      <c r="K93" s="384" t="n"/>
      <c r="L93" s="384" t="n"/>
      <c r="M93" s="384" t="n"/>
      <c r="N93" s="384" t="n"/>
      <c r="O93" s="384" t="n"/>
      <c r="P93" s="384" t="n"/>
      <c r="Q93" s="384" t="n"/>
      <c r="R93" s="384">
        <f>IF(_epmOfflineCondition_,-2146826273,IF($C$26&lt;&gt;"G_DUMMY",EPMSaveData(#REF!,,#REF!,$Z$25,$Z$26,$Z$27,$Z$28,$B$36,$B$37,$B$38,$B$39,$B$40,$B$41,$C$26,$C$22),EPMSaveData(#REF!,,#REF!,$Z$25,$Z$26,$Z$27,$Z$28,$B$36,$B$37,$B$38,$B$39,$B$40,$C$21,$C$26,$C$22)))</f>
        <v/>
      </c>
      <c r="S93" s="462">
        <f>IF(_epmOfflineCondition_,"15、营业总收入增速（含补贴）（%）（热力用）",EPMMemberDesc(U93))</f>
        <v/>
      </c>
      <c r="T93" s="384" t="n"/>
      <c r="U93" s="889" t="inlineStr">
        <is>
          <t>A0050415</t>
        </is>
      </c>
      <c r="V93" s="889">
        <f>IF(_epmOfflineCondition_,"A0050415",EPMOlapMemberO(U93,"[C_ACCOUNT].[PARENTH1].[A0050415]","A0050415 - 15、营业总收入增速（含补贴）（%）（热力用）","","000"))</f>
        <v/>
      </c>
      <c r="W93" s="384" t="n"/>
      <c r="X93" s="947" t="inlineStr">
        <is>
          <t>13、营业总收入增速（含补贴）（%）（热力用）</t>
        </is>
      </c>
      <c r="Y93" s="895" t="inlineStr"/>
      <c r="Z93" s="1279">
        <f>IFERROR((AK46+AK63-AL46-AL63)/(AL46+AL63)*100,"")</f>
        <v/>
      </c>
      <c r="AA93" s="1279">
        <f>IFERROR((AL46+AL63-AM46-AM63)/(AM46+AM63)*100,"")</f>
        <v/>
      </c>
      <c r="AB93" s="1279">
        <f>IFERROR(Z93-AA93,"")</f>
        <v/>
      </c>
      <c r="AC93" s="954" t="inlineStr">
        <is>
          <t>（本年累计营业总收入-上年同期累计营业总收入+本年累计其他收益-上年同期累计其他收益）÷（上年同期累计营业总收入+上年同期累计其他收益）*100%</t>
        </is>
      </c>
      <c r="AD93" s="1199" t="n"/>
      <c r="AE93" s="716" t="n"/>
      <c r="AF93" s="462" t="n"/>
      <c r="AG93" s="920" t="inlineStr">
        <is>
          <t>A4004019900</t>
        </is>
      </c>
      <c r="AH93" s="911">
        <f>IF(_epmOfflineCondition_,"A4004019900",EPMOlapMemberO(AG93,"[C_ACCOUNT].[PARENTH1].[A4004019900]","A4004019900 -             5.其他","","001"))</f>
        <v/>
      </c>
      <c r="AI93" s="915" t="inlineStr">
        <is>
          <t xml:space="preserve">                 5.其他</t>
        </is>
      </c>
      <c r="AJ93" s="1280">
        <f>ROW()-45</f>
        <v/>
      </c>
      <c r="AK93" s="1284" t="n"/>
      <c r="AL93" s="1284" t="n"/>
      <c r="AM93" s="384" t="n"/>
      <c r="AN93" s="384" t="n"/>
      <c r="AO93" s="384" t="n"/>
      <c r="AP93" s="384" t="n"/>
      <c r="AQ93" s="976" t="inlineStr">
        <is>
          <t>A00101</t>
        </is>
      </c>
      <c r="AR93" s="977">
        <f>IF(_epmOfflineCondition_,"A00101",EPMOlapMemberO(AQ93,"[C_ACCOUNT].[PARENTH1].[A00101]","A00101 - 　        资产总计","","002"))</f>
        <v/>
      </c>
      <c r="AS93" s="981">
        <f>IF(_epmOfflineCondition_,"　        资产总计",EPMMemberDesc(AR93))</f>
        <v/>
      </c>
      <c r="AT93" s="1287" t="inlineStr"/>
      <c r="AU93" s="1288" t="inlineStr"/>
      <c r="AV93" s="155" t="inlineStr"/>
      <c r="AW93" s="155" t="inlineStr"/>
      <c r="AX93" s="384" t="n"/>
      <c r="AY93" s="384" t="n"/>
    </row>
    <row r="94" ht="23.45" customHeight="1" s="1181">
      <c r="A94" s="384" t="n"/>
      <c r="B94" s="384" t="n"/>
      <c r="C94" s="384" t="n"/>
      <c r="D94" s="384" t="n"/>
      <c r="E94" s="384" t="n"/>
      <c r="F94" s="384" t="n"/>
      <c r="G94" s="384" t="n"/>
      <c r="H94" s="384" t="n"/>
      <c r="I94" s="384" t="n"/>
      <c r="J94" s="384" t="n"/>
      <c r="K94" s="384" t="n"/>
      <c r="L94" s="384" t="n"/>
      <c r="M94" s="384" t="n"/>
      <c r="N94" s="384" t="n"/>
      <c r="O94" s="384" t="n"/>
      <c r="P94" s="384" t="n"/>
      <c r="Q94" s="384" t="n"/>
      <c r="R94" s="384">
        <f>IF(_epmOfflineCondition_,0,IF($C$26&lt;&gt;"G_DUMMY",EPMSaveData($Z93,,$U93,$Z$25,$Z$26,$Z$27,$Z$28,$B$36,$B$37,$B$38,$B$39,$B$40,$B$41,$C$26,$C$22),EPMSaveData($Z93,,$U93,$Z$25,$Z$26,$Z$27,$Z$28,$B$36,$B$37,$B$38,$B$39,$B$40,$C$21,$C$26,$C$22)))</f>
        <v/>
      </c>
      <c r="S94" s="462" t="n"/>
      <c r="T94" s="384" t="n"/>
      <c r="U94" s="384" t="n"/>
      <c r="V94" s="384" t="n"/>
      <c r="W94" s="384" t="n"/>
      <c r="X94" s="948" t="inlineStr">
        <is>
          <t>五、人均指标：</t>
        </is>
      </c>
      <c r="Y94" s="895" t="inlineStr"/>
      <c r="Z94" s="1279" t="n"/>
      <c r="AA94" s="1279" t="n"/>
      <c r="AB94" s="1279" t="n"/>
      <c r="AC94" s="903" t="inlineStr">
        <is>
          <t>——</t>
        </is>
      </c>
      <c r="AD94" s="1199" t="n"/>
      <c r="AE94" s="716" t="n"/>
      <c r="AF94" s="462" t="n"/>
      <c r="AG94" s="920" t="inlineStr">
        <is>
          <t>A400402</t>
        </is>
      </c>
      <c r="AH94" s="958">
        <f>IF(_epmOfflineCondition_,"A400402",EPMOlapMemberO(AG94,"[C_ACCOUNT].[PARENTH1].[A400402]","A400402 - （二）将重分类进损益的其他综合收益","","001"))</f>
        <v/>
      </c>
      <c r="AI94" s="964" t="inlineStr">
        <is>
          <t>（二）将重分类进损益的其他综合收益</t>
        </is>
      </c>
      <c r="AJ94" s="1280">
        <f>ROW()-45</f>
        <v/>
      </c>
      <c r="AK94" s="1284" t="n"/>
      <c r="AL94" s="1284" t="n"/>
      <c r="AM94" s="384" t="n"/>
      <c r="AN94" s="384" t="n"/>
      <c r="AO94" s="384" t="n"/>
      <c r="AP94" s="384" t="n"/>
      <c r="AQ94" s="976" t="inlineStr">
        <is>
          <t>A0010399</t>
        </is>
      </c>
      <c r="AR94" s="978">
        <f>IF(_epmOfflineCondition_,"A0010399",EPMOlapMemberO(AQ94,"[C_ACCOUNT].[PARENTH1].[A0010399]","A0010399 - 流动负债：","","002"))</f>
        <v/>
      </c>
      <c r="AS94" s="981">
        <f>IF(_epmOfflineCondition_,"流动负债：",EPMMemberDesc(AR94))</f>
        <v/>
      </c>
      <c r="AT94" s="1287" t="n"/>
      <c r="AU94" s="1288" t="n"/>
      <c r="AV94" s="155" t="n"/>
      <c r="AW94" s="155" t="n"/>
      <c r="AX94" s="384" t="n"/>
      <c r="AY94" s="384" t="n"/>
    </row>
    <row r="95" ht="21.6" customHeight="1" s="1181">
      <c r="A95" s="384" t="n"/>
      <c r="B95" s="384" t="n"/>
      <c r="C95" s="384" t="n"/>
      <c r="D95" s="384" t="n"/>
      <c r="E95" s="384" t="n"/>
      <c r="F95" s="384" t="n"/>
      <c r="G95" s="384" t="n"/>
      <c r="H95" s="384" t="n"/>
      <c r="I95" s="384" t="n"/>
      <c r="J95" s="384" t="n"/>
      <c r="K95" s="384" t="n"/>
      <c r="L95" s="384" t="n"/>
      <c r="M95" s="384" t="n"/>
      <c r="N95" s="384" t="n"/>
      <c r="O95" s="384" t="n"/>
      <c r="P95" s="384" t="n"/>
      <c r="Q95" s="384" t="n"/>
      <c r="R95" s="384">
        <f>IF(_epmOfflineCondition_,0,IF($C$26&lt;&gt;"G_DUMMY",EPMSaveData($Z95,,$U95,$Z$25,$Z$26,$Z$27,$Z$28,$B$36,$B$37,$B$38,$B$39,$B$40,$B$41,$C$26,$C$22),EPMSaveData($Z95,,$U95,$Z$25,$Z$26,$Z$27,$Z$28,$B$36,$B$37,$B$38,$B$39,$B$40,$C$21,$C$26,$C$22)))</f>
        <v/>
      </c>
      <c r="S95" s="462">
        <f>IF(_epmOfflineCondition_,"1、职工人均利润（元/人）",EPMMemberDesc(U95))</f>
        <v/>
      </c>
      <c r="T95" s="384" t="n"/>
      <c r="U95" s="889" t="inlineStr">
        <is>
          <t>A0050501</t>
        </is>
      </c>
      <c r="V95" s="889">
        <f>IF(_epmOfflineCondition_,"A0050501",EPMOlapMemberO(U95,"[C_ACCOUNT].[PARENTH1].[A0050501]","A0050501 - 1、职工人均利润（元/人）","","000"))</f>
        <v/>
      </c>
      <c r="W95" s="384" t="n"/>
      <c r="X95" s="949" t="inlineStr">
        <is>
          <t>1、人均利润（元/人）</t>
        </is>
      </c>
      <c r="Y95" s="895" t="inlineStr"/>
      <c r="Z95" s="1279">
        <f>IFERROR(AK79/AJ132,"")</f>
        <v/>
      </c>
      <c r="AA95" s="1279">
        <f>IFERROR(AL79/AK132,"")</f>
        <v/>
      </c>
      <c r="AB95" s="1279">
        <f>IFERROR(Z95-AA95,"")</f>
        <v/>
      </c>
      <c r="AC95" s="904" t="inlineStr">
        <is>
          <t>【利润表】利润总额÷【人工成本表中】全年平均从业人员人数</t>
        </is>
      </c>
      <c r="AD95" s="1199" t="n"/>
      <c r="AE95" s="716" t="n"/>
      <c r="AF95" s="462" t="n"/>
      <c r="AG95" s="920" t="inlineStr">
        <is>
          <t>A4004020500</t>
        </is>
      </c>
      <c r="AH95" s="911">
        <f>IF(_epmOfflineCondition_,"A4004020500",EPMOlapMemberO(AG95,"[C_ACCOUNT].[PARENTH1].[A4004020500]","A4004020500 -     其中：1.权益法下可转换的其他综合收益","","001"))</f>
        <v/>
      </c>
      <c r="AI95" s="964" t="inlineStr">
        <is>
          <t xml:space="preserve">                 1.权益法下可转换的其他综合收益</t>
        </is>
      </c>
      <c r="AJ95" s="1280">
        <f>ROW()-45</f>
        <v/>
      </c>
      <c r="AK95" s="1284" t="n"/>
      <c r="AL95" s="1284" t="n"/>
      <c r="AM95" s="384" t="n"/>
      <c r="AN95" s="384" t="n"/>
      <c r="AO95" s="384" t="n"/>
      <c r="AP95" s="384" t="n"/>
      <c r="AQ95" s="927" t="inlineStr">
        <is>
          <t>A001020101</t>
        </is>
      </c>
      <c r="AR95" s="960">
        <f>IF(_epmOfflineCondition_,"A001020101",EPMOlapMemberO(AQ95,"[C_ACCOUNT].[PARENTH1].[A001020101]","A001020101 -   短期借款","","002"))</f>
        <v/>
      </c>
      <c r="AS95" s="920">
        <f>IF(_epmOfflineCondition_,"  短期借款",EPMMemberDesc(AR95))</f>
        <v/>
      </c>
      <c r="AT95" s="1287" t="inlineStr"/>
      <c r="AU95" s="1288" t="inlineStr"/>
      <c r="AV95" s="155" t="inlineStr"/>
      <c r="AW95" s="155" t="inlineStr"/>
      <c r="AX95" s="384" t="n"/>
      <c r="AY95" s="384" t="n"/>
    </row>
    <row r="96">
      <c r="A96" s="384" t="n"/>
      <c r="B96" s="384" t="n"/>
      <c r="C96" s="384" t="n"/>
      <c r="D96" s="384" t="n"/>
      <c r="E96" s="384" t="n"/>
      <c r="F96" s="384" t="n"/>
      <c r="G96" s="384" t="n"/>
      <c r="H96" s="384" t="n"/>
      <c r="I96" s="384" t="n"/>
      <c r="J96" s="384" t="n"/>
      <c r="K96" s="384" t="n"/>
      <c r="L96" s="384" t="n"/>
      <c r="M96" s="384" t="n"/>
      <c r="N96" s="384" t="n"/>
      <c r="O96" s="384" t="n"/>
      <c r="P96" s="384" t="n"/>
      <c r="Q96" s="384" t="n"/>
      <c r="R96" s="384">
        <f>IF(_epmOfflineCondition_,0,IF($C$26&lt;&gt;"G_DUMMY",EPMSaveData($Z96,,$U96,$Z$25,$Z$26,$Z$27,$Z$28,$B$36,$B$37,$B$38,$B$39,$B$40,$B$41,$C$26,$C$22),EPMSaveData($Z96,,$U96,$Z$25,$Z$26,$Z$27,$Z$28,$B$36,$B$37,$B$38,$B$39,$B$40,$C$21,$C$26,$C$22)))</f>
        <v/>
      </c>
      <c r="S96" s="462">
        <f>IF(_epmOfflineCondition_,"2、人均职工工资（元/人）",EPMMemberDesc(U96))</f>
        <v/>
      </c>
      <c r="T96" s="384" t="n"/>
      <c r="U96" s="889" t="inlineStr">
        <is>
          <t>A0050502</t>
        </is>
      </c>
      <c r="V96" s="889">
        <f>IF(_epmOfflineCondition_,"A0050502",EPMOlapMemberO(U96,"[C_ACCOUNT].[PARENTH1].[A0050502]","A0050502 - 2、人均职工工资（元/人）","","000"))</f>
        <v/>
      </c>
      <c r="W96" s="384" t="n"/>
      <c r="X96" s="949" t="inlineStr">
        <is>
          <t>2、职工人均工资（元/人）</t>
        </is>
      </c>
      <c r="Y96" s="895" t="inlineStr"/>
      <c r="Z96" s="1279">
        <f>IFERROR(AJ133/AJ131,"")</f>
        <v/>
      </c>
      <c r="AA96" s="1279">
        <f>IFERROR(AK133/AK131,"")</f>
        <v/>
      </c>
      <c r="AB96" s="1279">
        <f>IFERROR(Z96-AA96,"")</f>
        <v/>
      </c>
      <c r="AC96" s="904" t="inlineStr">
        <is>
          <t>【人工成本表中】本年实际发放的职工工资总额÷【人工成本表中】全年平均职工人数</t>
        </is>
      </c>
      <c r="AD96" s="1199" t="n"/>
      <c r="AE96" s="716" t="n"/>
      <c r="AF96" s="462" t="n"/>
      <c r="AG96" s="920" t="inlineStr">
        <is>
          <t>A4004020200</t>
        </is>
      </c>
      <c r="AH96" s="911">
        <f>IF(_epmOfflineCondition_,"A4004020200",EPMOlapMemberO(AG96,"[C_ACCOUNT].[PARENTH1].[A4004020200]","A4004020200 -             2.其他债权投资公允价值","","001"))</f>
        <v/>
      </c>
      <c r="AI96" s="964" t="inlineStr">
        <is>
          <t xml:space="preserve">                 2.其他债权投资公允价值变动</t>
        </is>
      </c>
      <c r="AJ96" s="1280">
        <f>ROW()-45</f>
        <v/>
      </c>
      <c r="AK96" s="1284" t="n"/>
      <c r="AL96" s="1284" t="n"/>
      <c r="AM96" s="384" t="n"/>
      <c r="AN96" s="384" t="n"/>
      <c r="AO96" s="384" t="n"/>
      <c r="AP96" s="384" t="n"/>
      <c r="AQ96" s="927" t="inlineStr">
        <is>
          <t>A001020102</t>
        </is>
      </c>
      <c r="AR96" s="960">
        <f>IF(_epmOfflineCondition_,"A001020102",EPMOlapMemberO(AQ96,"[C_ACCOUNT].[PARENTH1].[A001020102]","A001020102 -   # 向中央银行借款","","002"))</f>
        <v/>
      </c>
      <c r="AS96" s="920">
        <f>IF(_epmOfflineCondition_,"  # 向中央银行借款",EPMMemberDesc(AR96))</f>
        <v/>
      </c>
      <c r="AT96" s="1287" t="n"/>
      <c r="AU96" s="1288" t="n"/>
      <c r="AV96" s="155" t="n"/>
      <c r="AW96" s="155" t="n"/>
      <c r="AX96" s="384" t="n"/>
      <c r="AY96" s="384" t="n"/>
    </row>
    <row r="97">
      <c r="A97" s="384" t="n"/>
      <c r="B97" s="384" t="n"/>
      <c r="C97" s="384" t="n"/>
      <c r="D97" s="384" t="n"/>
      <c r="E97" s="384" t="n"/>
      <c r="F97" s="384" t="n"/>
      <c r="G97" s="384" t="n"/>
      <c r="H97" s="384" t="n"/>
      <c r="I97" s="384" t="n"/>
      <c r="J97" s="384" t="n"/>
      <c r="K97" s="384" t="n"/>
      <c r="L97" s="384" t="n"/>
      <c r="M97" s="384" t="n"/>
      <c r="N97" s="384" t="n"/>
      <c r="O97" s="384" t="n"/>
      <c r="P97" s="384" t="n"/>
      <c r="Q97" s="384" t="n"/>
      <c r="R97" s="384">
        <f>IF(_epmOfflineCondition_,0,IF($C$26&lt;&gt;"G_DUMMY",EPMSaveData($Z97,,$U97,$Z$25,$Z$26,$Z$27,$Z$28,$B$36,$B$37,$B$38,$B$39,$B$40,$B$41,$C$26,$C$22),EPMSaveData($Z97,,$U97,$Z$25,$Z$26,$Z$27,$Z$28,$B$36,$B$37,$B$38,$B$39,$B$40,$C$21,$C$26,$C$22)))</f>
        <v/>
      </c>
      <c r="S97" s="462">
        <f>IF(_epmOfflineCondition_,"3、人均从业人员人工成本（元/人）",EPMMemberDesc(U97))</f>
        <v/>
      </c>
      <c r="T97" s="384" t="n"/>
      <c r="U97" s="889" t="inlineStr">
        <is>
          <t>A0050503</t>
        </is>
      </c>
      <c r="V97" s="889">
        <f>IF(_epmOfflineCondition_,"A0050503",EPMOlapMemberO(U97,"[C_ACCOUNT].[PARENTH1].[A0050503]","A0050503 - 3、人均从业人员人工成本（元/人）","","000"))</f>
        <v/>
      </c>
      <c r="W97" s="384" t="n"/>
      <c r="X97" s="950" t="inlineStr">
        <is>
          <t>3、人均从业人员人工成本（元/人）</t>
        </is>
      </c>
      <c r="Y97" s="895" t="inlineStr"/>
      <c r="Z97" s="1279">
        <f>IFERROR(AJ130/AJ132,"")</f>
        <v/>
      </c>
      <c r="AA97" s="1279">
        <f>IFERROR(AK130/AK132,"")</f>
        <v/>
      </c>
      <c r="AB97" s="1279">
        <f>IFERROR(Z97-AA97,"")</f>
        <v/>
      </c>
      <c r="AC97" s="902" t="inlineStr">
        <is>
          <t>【人工成本表】从业人员人工成本总额÷【人工成本表】全年平均从业人员人数</t>
        </is>
      </c>
      <c r="AD97" s="1199" t="n"/>
      <c r="AE97" s="716" t="n"/>
      <c r="AF97" s="462" t="n"/>
      <c r="AG97" s="920" t="n"/>
      <c r="AH97" s="921">
        <f>IF(_epmOfflineCondition_,"",EPMOlapMemberO(AG97,"[C_ACCOUNT].[PARENTH1].[A_ALL]","A_ALL - 所有科目","","001"))</f>
        <v/>
      </c>
      <c r="AI97" s="964" t="inlineStr">
        <is>
          <t xml:space="preserve">                 3.可供出售金融资产公允价值变动损益</t>
        </is>
      </c>
      <c r="AJ97" s="1280">
        <f>ROW()-45</f>
        <v/>
      </c>
      <c r="AK97" s="1284" t="inlineStr"/>
      <c r="AL97" s="1284" t="inlineStr"/>
      <c r="AM97" s="384" t="n"/>
      <c r="AN97" s="384" t="n"/>
      <c r="AO97" s="384" t="n"/>
      <c r="AP97" s="384" t="n"/>
      <c r="AQ97" s="927" t="inlineStr">
        <is>
          <t>A001020103</t>
        </is>
      </c>
      <c r="AR97" s="960">
        <f>IF(_epmOfflineCondition_,"A001020103",EPMOlapMemberO(AQ97,"[C_ACCOUNT].[PARENTH1].[A001020103]","A001020103 -   # 吸收存款及同业存放","","002"))</f>
        <v/>
      </c>
      <c r="AS97" s="920">
        <f>IF(_epmOfflineCondition_,"  # 吸收存款及同业存放",EPMMemberDesc(AR97))</f>
        <v/>
      </c>
      <c r="AT97" s="1287" t="n"/>
      <c r="AU97" s="1288" t="n"/>
      <c r="AV97" s="155" t="n"/>
      <c r="AW97" s="155" t="n"/>
      <c r="AX97" s="384" t="n"/>
      <c r="AY97" s="384" t="n"/>
    </row>
    <row r="98" ht="16.5" customHeight="1" s="1181">
      <c r="A98" s="384" t="n"/>
      <c r="B98" s="384" t="n"/>
      <c r="C98" s="384" t="n"/>
      <c r="D98" s="384" t="n"/>
      <c r="E98" s="384" t="n"/>
      <c r="F98" s="384" t="n"/>
      <c r="G98" s="384" t="n"/>
      <c r="H98" s="384" t="n"/>
      <c r="I98" s="384" t="n"/>
      <c r="J98" s="384" t="n"/>
      <c r="K98" s="384" t="n"/>
      <c r="L98" s="384" t="n"/>
      <c r="M98" s="384" t="n"/>
      <c r="N98" s="384" t="n"/>
      <c r="O98" s="384" t="n"/>
      <c r="P98" s="384" t="n"/>
      <c r="Q98" s="384" t="n"/>
      <c r="R98" s="384">
        <f>IF(_epmOfflineCondition_,0,IF($C$26&lt;&gt;"G_DUMMY",EPMSaveData($Z98,,$U98,$Z$25,$Z$26,$Z$27,$Z$28,$B$36,$B$37,$B$38,$B$39,$B$40,$B$41,$C$26,$C$22),EPMSaveData($Z98,,$U98,$Z$25,$Z$26,$Z$27,$Z$28,$B$36,$B$37,$B$38,$B$39,$B$40,$C$21,$C$26,$C$22)))</f>
        <v/>
      </c>
      <c r="S98" s="462">
        <f>IF(_epmOfflineCondition_,"4、薪酬贡献指数（%）",EPMMemberDesc(U98))</f>
        <v/>
      </c>
      <c r="T98" s="384" t="n"/>
      <c r="U98" s="889" t="inlineStr">
        <is>
          <t>A0050504</t>
        </is>
      </c>
      <c r="V98" s="889">
        <f>IF(_epmOfflineCondition_,"A0050504",EPMOlapMemberO(U98,"[C_ACCOUNT].[PARENTH1].[A0050504]","A0050504 - 4、薪酬贡献指数（%）","","000"))</f>
        <v/>
      </c>
      <c r="W98" s="384" t="n"/>
      <c r="X98" s="949" t="inlineStr">
        <is>
          <t>4、薪酬贡献指数</t>
        </is>
      </c>
      <c r="Y98" s="895" t="inlineStr"/>
      <c r="Z98" s="1279">
        <f>IFERROR(AK79/AJ130,"")</f>
        <v/>
      </c>
      <c r="AA98" s="1279">
        <f>IFERROR(AL79/AK130,"")</f>
        <v/>
      </c>
      <c r="AB98" s="1279">
        <f>IFERROR(Z98-AA98,"")</f>
        <v/>
      </c>
      <c r="AC98" s="955" t="inlineStr">
        <is>
          <t>人均创利÷人均薪酬=当年企业利润总额÷当年企业从业人员应付薪酬计提总额。其中，人均创利=当年企业利润总额÷当年企业平均从业人数，人均薪酬=当年企业从业人员应付薪酬计提总额÷当年企业平均从业人数。当年企业从业人员应付薪酬计提总额包括应付职工工资、职工福利、社会保险费、住房公积金、工会经费、职工教育经费、解除职工劳务关系补偿、非货币性福利、</t>
        </is>
      </c>
      <c r="AD98" s="1199" t="n"/>
      <c r="AE98" s="716" t="n"/>
      <c r="AF98" s="462" t="n"/>
      <c r="AG98" s="920" t="inlineStr">
        <is>
          <t>A4004020300</t>
        </is>
      </c>
      <c r="AH98" s="911">
        <f>IF(_epmOfflineCondition_,"A4004020300",EPMOlapMemberO(AG98,"[C_ACCOUNT].[PARENTH1].[A4004020300]","A4004020300 -             4.金融资产重分类计入其他综合收益的金额","","001"))</f>
        <v/>
      </c>
      <c r="AI98" s="964" t="inlineStr">
        <is>
          <t xml:space="preserve">                 4.金融资产重分类计入其他综合收益的金额</t>
        </is>
      </c>
      <c r="AJ98" s="1280">
        <f>ROW()-45</f>
        <v/>
      </c>
      <c r="AK98" s="1284" t="n"/>
      <c r="AL98" s="1284" t="n"/>
      <c r="AM98" s="384" t="n"/>
      <c r="AN98" s="384" t="n"/>
      <c r="AO98" s="384" t="n"/>
      <c r="AP98" s="384" t="n"/>
      <c r="AQ98" s="927" t="inlineStr">
        <is>
          <t>A001020104</t>
        </is>
      </c>
      <c r="AR98" s="960">
        <f>IF(_epmOfflineCondition_,"A001020104",EPMOlapMemberO(AQ98,"[C_ACCOUNT].[PARENTH1].[A001020104]","A001020104 -   # 拆入资金","","002"))</f>
        <v/>
      </c>
      <c r="AS98" s="920">
        <f>IF(_epmOfflineCondition_,"  # 拆入资金",EPMMemberDesc(AR98))</f>
        <v/>
      </c>
      <c r="AT98" s="1287" t="n"/>
      <c r="AU98" s="1288" t="n"/>
      <c r="AV98" s="155" t="n"/>
      <c r="AW98" s="155" t="n"/>
      <c r="AX98" s="384" t="n"/>
      <c r="AY98" s="384" t="n"/>
    </row>
    <row r="99" ht="31" customHeight="1" s="1181">
      <c r="A99" s="384" t="n"/>
      <c r="B99" s="384" t="n"/>
      <c r="C99" s="384" t="n"/>
      <c r="D99" s="384" t="n"/>
      <c r="E99" s="384" t="n"/>
      <c r="F99" s="384" t="n"/>
      <c r="G99" s="384" t="n"/>
      <c r="H99" s="384" t="n"/>
      <c r="I99" s="384" t="n"/>
      <c r="J99" s="384" t="n"/>
      <c r="K99" s="384" t="n"/>
      <c r="L99" s="384" t="n"/>
      <c r="M99" s="384" t="n"/>
      <c r="N99" s="384" t="n"/>
      <c r="O99" s="384" t="n"/>
      <c r="P99" s="384" t="n"/>
      <c r="Q99" s="384" t="n"/>
      <c r="R99" s="384">
        <f>IF(_epmOfflineCondition_,0,IF($C$26&lt;&gt;"G_DUMMY",EPMSaveData($Z99,,$U99,$Z$25,$Z$26,$Z$27,$Z$28,$B$36,$B$37,$B$38,$B$39,$B$40,$B$41,$C$26,$C$22),EPMSaveData($Z99,,$U99,$Z$25,$Z$26,$Z$27,$Z$28,$B$36,$B$37,$B$38,$B$39,$B$40,$C$21,$C$26,$C$22)))</f>
        <v/>
      </c>
      <c r="S99" s="462">
        <f>IF(_epmOfflineCondition_,"5、劳动生产总值",EPMMemberDesc(U99))</f>
        <v/>
      </c>
      <c r="T99" s="384" t="n"/>
      <c r="U99" s="889" t="inlineStr">
        <is>
          <t>A0050505</t>
        </is>
      </c>
      <c r="V99" s="889">
        <f>IF(_epmOfflineCondition_,"A0050505",EPMOlapMemberO(U99,"[C_ACCOUNT].[PARENTH1].[A0050505]","A0050505 - 5、劳动生产总值","","000"))</f>
        <v/>
      </c>
      <c r="W99" s="384" t="n"/>
      <c r="X99" s="950" t="inlineStr">
        <is>
          <t>5、劳动生产总值</t>
        </is>
      </c>
      <c r="Y99" s="895" t="inlineStr"/>
      <c r="Z99" s="1279">
        <f>AJ164+AJ165+AJ166-AJ167+AJ168+AJ169-AJ170</f>
        <v/>
      </c>
      <c r="AA99" s="1279">
        <f>AK164+AK165+AK166-AK167+AK168+AK169-AK170</f>
        <v/>
      </c>
      <c r="AB99" s="1279">
        <f>IFERROR(Z99-AA99,"")</f>
        <v/>
      </c>
      <c r="AC99" s="952" t="inlineStr">
        <is>
          <t>营业利润+其中：政府补助+职工薪酬（不含劳务派遣费用）+应交税费总额-应交所得税+计提的资产折旧额-公允价值变动收益。</t>
        </is>
      </c>
      <c r="AD99" s="1199" t="n"/>
      <c r="AE99" s="716" t="n"/>
      <c r="AF99" s="462" t="n"/>
      <c r="AG99" s="920" t="n"/>
      <c r="AH99" s="921">
        <f>IF(_epmOfflineCondition_,"",EPMOlapMemberO(AG99,"[C_ACCOUNT].[PARENTH1].[A_ALL]","A_ALL - 所有科目","","001"))</f>
        <v/>
      </c>
      <c r="AI99" s="964" t="inlineStr">
        <is>
          <t xml:space="preserve">                 5.持有至到期投资重分类为可供出售金融资产损益</t>
        </is>
      </c>
      <c r="AJ99" s="1280">
        <f>ROW()-45</f>
        <v/>
      </c>
      <c r="AK99" s="1284" t="inlineStr"/>
      <c r="AL99" s="1284" t="inlineStr"/>
      <c r="AM99" s="384" t="n"/>
      <c r="AN99" s="384" t="n"/>
      <c r="AO99" s="384" t="n"/>
      <c r="AP99" s="384" t="n"/>
      <c r="AQ99" s="927" t="inlineStr">
        <is>
          <t>A2101000000</t>
        </is>
      </c>
      <c r="AR99" s="975">
        <f>IF(_epmOfflineCondition_,"A2101000000",EPMOlapMemberO(AQ99,"[C_ACCOUNT].[PARENTH1].[A2101000000]","A2101000000 - 交易性金融负债","","002"))</f>
        <v/>
      </c>
      <c r="AS99" s="920">
        <f>IF(_epmOfflineCondition_,"交易性金融负债",EPMMemberDesc(AR99))</f>
        <v/>
      </c>
      <c r="AT99" s="1287" t="n"/>
      <c r="AU99" s="1288" t="n"/>
      <c r="AV99" s="155" t="n"/>
      <c r="AW99" s="155" t="n"/>
      <c r="AX99" s="384" t="n"/>
      <c r="AY99" s="384" t="n"/>
    </row>
    <row r="100">
      <c r="A100" s="384" t="n"/>
      <c r="B100" s="384" t="n"/>
      <c r="C100" s="384" t="n"/>
      <c r="D100" s="384" t="n"/>
      <c r="E100" s="384" t="n"/>
      <c r="F100" s="384" t="n"/>
      <c r="G100" s="384" t="n"/>
      <c r="H100" s="384" t="n"/>
      <c r="I100" s="384" t="n"/>
      <c r="J100" s="384" t="n"/>
      <c r="K100" s="384" t="n"/>
      <c r="L100" s="384" t="n"/>
      <c r="M100" s="384" t="n"/>
      <c r="N100" s="384" t="n"/>
      <c r="O100" s="384" t="n"/>
      <c r="P100" s="384" t="n"/>
      <c r="Q100" s="384" t="n"/>
      <c r="R100" s="384">
        <f>IF(_epmOfflineCondition_,0,IF($C$26&lt;&gt;"G_DUMMY",EPMSaveData($Z100,,$U100,$Z$25,$Z$26,$Z$27,$Z$28,$B$36,$B$37,$B$38,$B$39,$B$40,$B$41,$C$26,$C$22),EPMSaveData($Z100,,$U100,$Z$25,$Z$26,$Z$27,$Z$28,$B$36,$B$37,$B$38,$B$39,$B$40,$C$21,$C$26,$C$22)))</f>
        <v/>
      </c>
      <c r="S100" s="462">
        <f>IF(_epmOfflineCondition_,"6、全员劳动生产率（%）",EPMMemberDesc(U100))</f>
        <v/>
      </c>
      <c r="T100" s="384" t="n"/>
      <c r="U100" s="889" t="inlineStr">
        <is>
          <t>A0050506</t>
        </is>
      </c>
      <c r="V100" s="889">
        <f>IF(_epmOfflineCondition_,"A0050506",EPMOlapMemberO(U100,"[C_ACCOUNT].[PARENTH1].[A0050506]","A0050506 - 6、全员劳动生产率（%）","","000"))</f>
        <v/>
      </c>
      <c r="W100" s="384" t="n"/>
      <c r="X100" s="949" t="inlineStr">
        <is>
          <t>6、全员劳动生产率（元/人）</t>
        </is>
      </c>
      <c r="Y100" s="895" t="inlineStr"/>
      <c r="Z100" s="1279">
        <f>IFERROR(Z99/AJ132,"")</f>
        <v/>
      </c>
      <c r="AA100" s="1279">
        <f>IFERROR(AA99/AK132,"")</f>
        <v/>
      </c>
      <c r="AB100" s="1279">
        <f>IFERROR(Z100-AA100,"")</f>
        <v/>
      </c>
      <c r="AC100" s="955" t="inlineStr">
        <is>
          <t>劳动生产总值／【人工成本表】全年平均从业人员人数</t>
        </is>
      </c>
      <c r="AD100" s="1199" t="n"/>
      <c r="AE100" s="716" t="n"/>
      <c r="AF100" s="462" t="n"/>
      <c r="AG100" s="920" t="inlineStr">
        <is>
          <t>A4004020700</t>
        </is>
      </c>
      <c r="AH100" s="911">
        <f>IF(_epmOfflineCondition_,"A4004020700",EPMOlapMemberO(AG100,"[C_ACCOUNT].[PARENTH1].[A4004020700]","A4004020700 -             6.其他债权投资信用减值准备","","001"))</f>
        <v/>
      </c>
      <c r="AI100" s="964" t="inlineStr">
        <is>
          <t xml:space="preserve">                 6.其他债权投资信用减值准备</t>
        </is>
      </c>
      <c r="AJ100" s="1280">
        <f>ROW()-45</f>
        <v/>
      </c>
      <c r="AK100" s="1284" t="n"/>
      <c r="AL100" s="1284" t="n"/>
      <c r="AM100" s="384" t="n"/>
      <c r="AN100" s="384" t="n"/>
      <c r="AO100" s="384" t="n"/>
      <c r="AP100" s="384" t="n"/>
      <c r="AQ100" s="927" t="inlineStr">
        <is>
          <t>A001020106</t>
        </is>
      </c>
      <c r="AR100" s="960">
        <f>IF(_epmOfflineCondition_,"A001020106",EPMOlapMemberO(AQ100,"[C_ACCOUNT].[PARENTH1].[A001020106]","A001020106 -    衍生金融负债","","002"))</f>
        <v/>
      </c>
      <c r="AS100" s="920">
        <f>IF(_epmOfflineCondition_,"   衍生金融负债",EPMMemberDesc(AR100))</f>
        <v/>
      </c>
      <c r="AT100" s="1287" t="n"/>
      <c r="AU100" s="1288" t="n"/>
      <c r="AV100" s="155" t="n"/>
      <c r="AW100" s="155" t="n"/>
      <c r="AX100" s="384" t="n"/>
      <c r="AY100" s="384" t="n"/>
    </row>
    <row r="101" ht="21.95" customHeight="1" s="1181">
      <c r="A101" s="384" t="n"/>
      <c r="B101" s="384" t="n"/>
      <c r="C101" s="384" t="n"/>
      <c r="D101" s="384" t="n"/>
      <c r="E101" s="384" t="n"/>
      <c r="F101" s="384" t="n"/>
      <c r="G101" s="384" t="n"/>
      <c r="H101" s="384" t="n"/>
      <c r="I101" s="384" t="n"/>
      <c r="J101" s="384" t="n"/>
      <c r="K101" s="384" t="n"/>
      <c r="L101" s="384" t="n"/>
      <c r="M101" s="384" t="n"/>
      <c r="N101" s="384" t="n"/>
      <c r="O101" s="384" t="n"/>
      <c r="P101" s="384" t="n"/>
      <c r="Q101" s="384" t="n"/>
      <c r="R101" s="384">
        <f>IF(_epmOfflineCondition_,0,IF($C$26&lt;&gt;"G_DUMMY",EPMSaveData($Z101,,$U101,$Z$25,$Z$26,$Z$27,$Z$28,$B$36,$B$37,$B$38,$B$39,$B$40,$B$41,$C$26,$C$22),EPMSaveData($Z101,,$U101,$Z$25,$Z$26,$Z$27,$Z$28,$B$36,$B$37,$B$38,$B$39,$B$40,$C$21,$C$26,$C$22)))</f>
        <v/>
      </c>
      <c r="S101" s="462">
        <f>IF(_epmOfflineCondition_,"7、人均资产（元/人）",EPMMemberDesc(U101))</f>
        <v/>
      </c>
      <c r="T101" s="384" t="n"/>
      <c r="U101" s="889" t="inlineStr">
        <is>
          <t>A0050507</t>
        </is>
      </c>
      <c r="V101" s="889">
        <f>IF(_epmOfflineCondition_,"A0050507",EPMOlapMemberO(U101,"[C_ACCOUNT].[PARENTH1].[A0050507]","A0050507 - 7、人均资产（元/人）","","000"))</f>
        <v/>
      </c>
      <c r="W101" s="384" t="n"/>
      <c r="X101" s="951" t="inlineStr">
        <is>
          <t>7、人均资产（元/人）</t>
        </is>
      </c>
      <c r="Y101" s="895" t="inlineStr"/>
      <c r="Z101" s="1279">
        <f>IFERROR(AT93/AJ132,"")</f>
        <v/>
      </c>
      <c r="AA101" s="1279">
        <f>IFERROR(AV93/AK132,"")</f>
        <v/>
      </c>
      <c r="AB101" s="1279">
        <f>IFERROR(Z101-AA101,"")</f>
        <v/>
      </c>
      <c r="AC101" s="1289" t="inlineStr">
        <is>
          <t>期末资产总额/从业人员人数</t>
        </is>
      </c>
      <c r="AD101" s="1199" t="n"/>
      <c r="AE101" s="716" t="n"/>
      <c r="AF101" s="462" t="n"/>
      <c r="AG101" s="920" t="inlineStr">
        <is>
          <t>A4004020400</t>
        </is>
      </c>
      <c r="AH101" s="911">
        <f>IF(_epmOfflineCondition_,"A4004020400",EPMOlapMemberO(AG101,"[C_ACCOUNT].[PARENTH1].[A4004020400]","A4004020400 -             7.现金流量套期损益的有效部分","","001"))</f>
        <v/>
      </c>
      <c r="AI101" s="964" t="inlineStr">
        <is>
          <t xml:space="preserve">                 7.现金流量套期损益的有效部分</t>
        </is>
      </c>
      <c r="AJ101" s="1280">
        <f>ROW()-45</f>
        <v/>
      </c>
      <c r="AK101" s="1284" t="n"/>
      <c r="AL101" s="1284" t="n"/>
      <c r="AM101" s="384" t="n"/>
      <c r="AN101" s="384" t="n"/>
      <c r="AO101" s="384" t="n"/>
      <c r="AP101" s="384" t="n"/>
      <c r="AQ101" s="927" t="inlineStr">
        <is>
          <t>A001020107</t>
        </is>
      </c>
      <c r="AR101" s="960">
        <f>IF(_epmOfflineCondition_,"A001020107",EPMOlapMemberO(AQ101,"[C_ACCOUNT].[PARENTH1].[A001020107]","A001020107 -    应付票据","","002"))</f>
        <v/>
      </c>
      <c r="AS101" s="920">
        <f>IF(_epmOfflineCondition_,"   应付票据",EPMMemberDesc(AR101))</f>
        <v/>
      </c>
      <c r="AT101" s="1287" t="n"/>
      <c r="AU101" s="1288" t="n"/>
      <c r="AV101" s="155" t="n"/>
      <c r="AW101" s="155" t="n"/>
      <c r="AX101" s="384" t="n"/>
      <c r="AY101" s="384" t="n"/>
    </row>
    <row r="102">
      <c r="A102" s="384" t="n"/>
      <c r="B102" s="384" t="n"/>
      <c r="C102" s="384" t="n"/>
      <c r="D102" s="384" t="n"/>
      <c r="E102" s="384" t="n"/>
      <c r="F102" s="384" t="n"/>
      <c r="G102" s="384" t="n"/>
      <c r="H102" s="384" t="n"/>
      <c r="I102" s="384" t="n"/>
      <c r="J102" s="384" t="n"/>
      <c r="K102" s="384" t="n"/>
      <c r="L102" s="384" t="n"/>
      <c r="M102" s="384" t="n"/>
      <c r="N102" s="384" t="n"/>
      <c r="O102" s="384" t="n"/>
      <c r="P102" s="384" t="n"/>
      <c r="Q102" s="384" t="n"/>
      <c r="R102" s="384">
        <f>IF(_epmOfflineCondition_,0,IF($C$26&lt;&gt;"G_DUMMY",EPMSaveData($Z102,,$U102,$Z$25,$Z$26,$Z$27,$Z$28,$B$36,$B$37,$B$38,$B$39,$B$40,$B$41,$C$26,$C$22),EPMSaveData($Z102,,$U102,$Z$25,$Z$26,$Z$27,$Z$28,$B$36,$B$37,$B$38,$B$39,$B$40,$C$21,$C$26,$C$22)))</f>
        <v/>
      </c>
      <c r="S102" s="462">
        <f>IF(_epmOfflineCondition_,"8、人均净利润（元/人）",EPMMemberDesc(U102))</f>
        <v/>
      </c>
      <c r="T102" s="384" t="n"/>
      <c r="U102" s="889" t="inlineStr">
        <is>
          <t>A0050508</t>
        </is>
      </c>
      <c r="V102" s="889">
        <f>IF(_epmOfflineCondition_,"A0050508",EPMOlapMemberO(U102,"[C_ACCOUNT].[PARENTH1].[A0050508]","A0050508 - 8、人均净利润（元/人）","","000"))</f>
        <v/>
      </c>
      <c r="W102" s="384" t="n"/>
      <c r="X102" s="951" t="inlineStr">
        <is>
          <t>8、人均净利润（元/人）</t>
        </is>
      </c>
      <c r="Y102" s="895" t="inlineStr"/>
      <c r="Z102" s="1279">
        <f>IFERROR(AK81/AJ132,"")</f>
        <v/>
      </c>
      <c r="AA102" s="1279">
        <f>IFERROR(AL81/AK132,"")</f>
        <v/>
      </c>
      <c r="AB102" s="1279">
        <f>IFERROR(Z102-AA102,"")</f>
        <v/>
      </c>
      <c r="AC102" s="1289" t="inlineStr">
        <is>
          <t>【利润表】净利润÷【人工成本表中】全年平均从业人员人数</t>
        </is>
      </c>
      <c r="AD102" s="1199" t="n"/>
      <c r="AE102" s="716" t="n"/>
      <c r="AF102" s="462" t="n"/>
      <c r="AG102" s="920" t="inlineStr">
        <is>
          <t>A00103051</t>
        </is>
      </c>
      <c r="AH102" s="911">
        <f>IF(_epmOfflineCondition_,"A00103051",EPMOlapMemberO(AG102,"[C_ACCOUNT].[PARENTH1].[A00103051]","A00103051 -             8.外币财务报表折算差额","","001"))</f>
        <v/>
      </c>
      <c r="AI102" s="964" t="inlineStr">
        <is>
          <t xml:space="preserve">                 8.外币财务报表折算差额</t>
        </is>
      </c>
      <c r="AJ102" s="1280">
        <f>ROW()-45</f>
        <v/>
      </c>
      <c r="AK102" s="1284" t="n"/>
      <c r="AL102" s="1284" t="n"/>
      <c r="AM102" s="384" t="n"/>
      <c r="AN102" s="384" t="n"/>
      <c r="AO102" s="384" t="n"/>
      <c r="AP102" s="384" t="n"/>
      <c r="AQ102" s="927" t="inlineStr">
        <is>
          <t>A001020108</t>
        </is>
      </c>
      <c r="AR102" s="960">
        <f>IF(_epmOfflineCondition_,"A001020108",EPMOlapMemberO(AQ102,"[C_ACCOUNT].[PARENTH1].[A001020108]","A001020108 -    应付账款","","002"))</f>
        <v/>
      </c>
      <c r="AS102" s="920">
        <f>IF(_epmOfflineCondition_,"   应付账款",EPMMemberDesc(AR102))</f>
        <v/>
      </c>
      <c r="AT102" s="1287" t="inlineStr"/>
      <c r="AU102" s="1288" t="inlineStr"/>
      <c r="AV102" s="155" t="inlineStr"/>
      <c r="AW102" s="155" t="inlineStr"/>
      <c r="AX102" s="384" t="n"/>
      <c r="AY102" s="384" t="n"/>
    </row>
    <row r="103">
      <c r="A103" s="384" t="n"/>
      <c r="B103" s="384" t="n"/>
      <c r="C103" s="384" t="n"/>
      <c r="D103" s="384" t="n"/>
      <c r="E103" s="384" t="n"/>
      <c r="F103" s="384" t="n"/>
      <c r="G103" s="384" t="n"/>
      <c r="H103" s="384" t="n"/>
      <c r="I103" s="384" t="n"/>
      <c r="J103" s="384" t="n"/>
      <c r="K103" s="384" t="n"/>
      <c r="L103" s="384" t="n"/>
      <c r="M103" s="384" t="n"/>
      <c r="N103" s="384" t="n"/>
      <c r="O103" s="384" t="n"/>
      <c r="P103" s="384" t="n"/>
      <c r="Q103" s="384" t="n"/>
      <c r="R103" s="384">
        <f>IF(_epmOfflineCondition_,0,IF($C$26&lt;&gt;"G_DUMMY",EPMSaveData($Z103,,$U103,$Z$25,$Z$26,$Z$27,$Z$28,$B$36,$B$37,$B$38,$B$39,$B$40,$B$41,$C$26,$C$22),EPMSaveData($Z103,,$U103,$Z$25,$Z$26,$Z$27,$Z$28,$B$36,$B$37,$B$38,$B$39,$B$40,$C$21,$C$26,$C$22)))</f>
        <v/>
      </c>
      <c r="S103" s="462">
        <f>IF(_epmOfflineCondition_,"9、人均职工薪酬（元/人）",EPMMemberDesc(U103))</f>
        <v/>
      </c>
      <c r="T103" s="384" t="n"/>
      <c r="U103" s="889" t="inlineStr">
        <is>
          <t>A0050509</t>
        </is>
      </c>
      <c r="V103" s="889">
        <f>IF(_epmOfflineCondition_,"A0050509",EPMOlapMemberO(U103,"[C_ACCOUNT].[PARENTH1].[A0050509]","A0050509 - 9、人均职工薪酬（元/人）","","000"))</f>
        <v/>
      </c>
      <c r="W103" s="384" t="n"/>
      <c r="X103" s="890" t="inlineStr">
        <is>
          <t>9、人均职工薪酬（元/人）</t>
        </is>
      </c>
      <c r="Y103" s="895" t="inlineStr"/>
      <c r="Z103" s="1279">
        <f>IFERROR(AT95/AJ134,"")</f>
        <v/>
      </c>
      <c r="AA103" s="1279">
        <f>IFERROR(AV95/AK134,"")</f>
        <v/>
      </c>
      <c r="AB103" s="1279">
        <f>IFERROR(Z103-AA103,"")</f>
        <v/>
      </c>
      <c r="AC103" s="1289" t="inlineStr">
        <is>
          <t>（本年实际发放职工薪酬总额-本年支付的劳务派遣金额）/本年平均职工人数</t>
        </is>
      </c>
      <c r="AD103" s="1199" t="n"/>
      <c r="AE103" s="716" t="n"/>
      <c r="AF103" s="716" t="n"/>
      <c r="AG103" s="920" t="inlineStr">
        <is>
          <t>A4004029999</t>
        </is>
      </c>
      <c r="AH103" s="911">
        <f>IF(_epmOfflineCondition_,"A4004029999",EPMOlapMemberO(AG103,"[C_ACCOUNT].[PARENTH1].[A4004029999]","A4004029999 -             9.其他","","001"))</f>
        <v/>
      </c>
      <c r="AI103" s="964" t="inlineStr">
        <is>
          <t xml:space="preserve">                 9.其他</t>
        </is>
      </c>
      <c r="AJ103" s="1280">
        <f>ROW()-45</f>
        <v/>
      </c>
      <c r="AK103" s="1284" t="n"/>
      <c r="AL103" s="1284" t="n"/>
      <c r="AM103" s="384" t="n"/>
      <c r="AN103" s="384" t="n"/>
      <c r="AO103" s="384" t="n"/>
      <c r="AP103" s="384" t="n"/>
      <c r="AQ103" s="927" t="inlineStr">
        <is>
          <t>A001020109</t>
        </is>
      </c>
      <c r="AR103" s="960">
        <f>IF(_epmOfflineCondition_,"A001020109",EPMOlapMemberO(AQ103,"[C_ACCOUNT].[PARENTH1].[A001020109]","A001020109 -    预收款项","","002"))</f>
        <v/>
      </c>
      <c r="AS103" s="920">
        <f>IF(_epmOfflineCondition_,"   预收款项",EPMMemberDesc(AR103))</f>
        <v/>
      </c>
      <c r="AT103" s="1287" t="n"/>
      <c r="AU103" s="1288" t="n"/>
      <c r="AV103" s="155" t="n"/>
      <c r="AW103" s="155" t="n"/>
      <c r="AX103" s="384" t="n"/>
      <c r="AY103" s="384" t="n"/>
    </row>
    <row r="104">
      <c r="A104" s="384" t="n"/>
      <c r="B104" s="384" t="n"/>
      <c r="C104" s="384" t="n"/>
      <c r="D104" s="384" t="n"/>
      <c r="E104" s="384" t="n"/>
      <c r="F104" s="384" t="n"/>
      <c r="G104" s="384" t="n"/>
      <c r="H104" s="384" t="n"/>
      <c r="I104" s="384" t="n"/>
      <c r="J104" s="384" t="n"/>
      <c r="K104" s="384" t="n"/>
      <c r="L104" s="384" t="n"/>
      <c r="M104" s="384" t="n"/>
      <c r="N104" s="384" t="n"/>
      <c r="O104" s="384" t="n"/>
      <c r="P104" s="384" t="n"/>
      <c r="Q104" s="384" t="n"/>
      <c r="R104" s="384">
        <f>IF(_epmOfflineCondition_,0,IF($C$26&lt;&gt;"G_DUMMY",EPMSaveData($Z104,,$U104,$Z$25,$Z$26,$Z$27,$Z$28,$B$36,$B$37,$B$38,$B$39,$B$40,$B$41,$C$26,$C$22),EPMSaveData($Z104,,$U104,$Z$25,$Z$26,$Z$27,$Z$28,$B$36,$B$37,$B$38,$B$39,$B$40,$C$21,$C$26,$C$22)))</f>
        <v/>
      </c>
      <c r="S104" s="462">
        <f>IF(_epmOfflineCondition_,"10、人均上交税费（元/人）",EPMMemberDesc(U104))</f>
        <v/>
      </c>
      <c r="T104" s="384" t="n"/>
      <c r="U104" s="889" t="inlineStr">
        <is>
          <t>A0050510</t>
        </is>
      </c>
      <c r="V104" s="889">
        <f>IF(_epmOfflineCondition_,"A0050510",EPMOlapMemberO(U104,"[C_ACCOUNT].[PARENTH1].[A0050510]","A0050510 - 10、人均上交税费（元/人）","","000"))</f>
        <v/>
      </c>
      <c r="W104" s="384" t="n"/>
      <c r="X104" s="951" t="inlineStr">
        <is>
          <t>10、人均上交税费（元/人）</t>
        </is>
      </c>
      <c r="Y104" s="895" t="inlineStr"/>
      <c r="Z104" s="1279">
        <f>IFERROR(AJ143/AJ132,"")</f>
        <v/>
      </c>
      <c r="AA104" s="1279">
        <f>IFERROR(AK143/AK132,"")</f>
        <v/>
      </c>
      <c r="AB104" s="1279">
        <f>IFERROR(Z104-AA104,"")</f>
        <v/>
      </c>
      <c r="AC104" s="1289" t="inlineStr">
        <is>
          <t>【企业财务快报（国资委）】本年已交税费总额/本年平均从业人员人数</t>
        </is>
      </c>
      <c r="AD104" s="716" t="n"/>
      <c r="AE104" s="716" t="n"/>
      <c r="AF104" s="462" t="n"/>
      <c r="AG104" s="920" t="inlineStr">
        <is>
          <t>A0020602</t>
        </is>
      </c>
      <c r="AH104" s="962">
        <f>IF(_epmOfflineCondition_,"A0020602",EPMOlapMemberO(AG104,"[C_ACCOUNT].[PARENTH1].[A0020602]","A0020602 - *归属于少数股东的其他综合收益的税后净额","","001"))</f>
        <v/>
      </c>
      <c r="AI104" s="966" t="inlineStr">
        <is>
          <t>*归属于少数股东的其他综合收益的税后净额</t>
        </is>
      </c>
      <c r="AJ104" s="1280">
        <f>ROW()-45</f>
        <v/>
      </c>
      <c r="AK104" s="1284" t="n"/>
      <c r="AL104" s="1284" t="n"/>
      <c r="AM104" s="384" t="n"/>
      <c r="AN104" s="384" t="n"/>
      <c r="AO104" s="384" t="n"/>
      <c r="AP104" s="384" t="n"/>
      <c r="AQ104" s="927" t="inlineStr">
        <is>
          <t>A001020110</t>
        </is>
      </c>
      <c r="AR104" s="960">
        <f>IF(_epmOfflineCondition_,"A001020110",EPMOlapMemberO(AQ104,"[C_ACCOUNT].[PARENTH1].[A001020110]","A001020110 -    合同负债","","002"))</f>
        <v/>
      </c>
      <c r="AS104" s="920">
        <f>IF(_epmOfflineCondition_,"   合同负债",EPMMemberDesc(AR104))</f>
        <v/>
      </c>
      <c r="AT104" s="1284" t="n"/>
      <c r="AU104" s="1290" t="n"/>
      <c r="AV104" s="155" t="n"/>
      <c r="AW104" s="155" t="n"/>
      <c r="AX104" s="384" t="n"/>
      <c r="AY104" s="384" t="n"/>
    </row>
    <row r="105">
      <c r="A105" s="384" t="n"/>
      <c r="B105" s="384" t="n"/>
      <c r="C105" s="384" t="n"/>
      <c r="D105" s="384" t="n"/>
      <c r="E105" s="384" t="n"/>
      <c r="F105" s="384" t="n"/>
      <c r="G105" s="384" t="n"/>
      <c r="H105" s="384" t="n"/>
      <c r="I105" s="384" t="n"/>
      <c r="J105" s="384" t="n"/>
      <c r="K105" s="384" t="n"/>
      <c r="L105" s="384" t="n"/>
      <c r="M105" s="384" t="n"/>
      <c r="N105" s="384" t="n"/>
      <c r="O105" s="384" t="n"/>
      <c r="P105" s="384" t="n"/>
      <c r="Q105" s="384" t="n"/>
      <c r="R105" s="384" t="n"/>
      <c r="S105" s="32" t="n"/>
      <c r="T105" s="384" t="n"/>
      <c r="U105" s="384" t="n"/>
      <c r="V105" s="384" t="n"/>
      <c r="W105" s="384" t="n"/>
      <c r="X105" s="888" t="inlineStr">
        <is>
          <t>六、其他指标</t>
        </is>
      </c>
      <c r="Y105" s="895" t="inlineStr"/>
      <c r="Z105" s="1279" t="n"/>
      <c r="AA105" s="1279" t="n"/>
      <c r="AB105" s="1279" t="n"/>
      <c r="AC105" s="903" t="n"/>
      <c r="AD105" s="716" t="n"/>
      <c r="AE105" s="716" t="n"/>
      <c r="AF105" s="462" t="n"/>
      <c r="AG105" s="920" t="inlineStr">
        <is>
          <t>A00207</t>
        </is>
      </c>
      <c r="AH105" s="963">
        <f>IF(_epmOfflineCondition_,"A00207",EPMOlapMemberO(AG105,"[C_ACCOUNT].[PARENTH3].[A00207]","A00207 - 七、综合收益总额","","001"))</f>
        <v/>
      </c>
      <c r="AI105" s="912" t="inlineStr">
        <is>
          <t>七、综合收益总额</t>
        </is>
      </c>
      <c r="AJ105" s="1280">
        <f>ROW()-45</f>
        <v/>
      </c>
      <c r="AK105" s="1284" t="inlineStr"/>
      <c r="AL105" s="1284" t="inlineStr"/>
      <c r="AM105" s="384" t="n"/>
      <c r="AN105" s="384" t="n"/>
      <c r="AO105" s="384" t="n"/>
      <c r="AP105" s="384" t="n"/>
      <c r="AQ105" s="927" t="inlineStr">
        <is>
          <t>A001020111</t>
        </is>
      </c>
      <c r="AR105" s="960">
        <f>IF(_epmOfflineCondition_,"A001020111",EPMOlapMemberO(AQ105,"[C_ACCOUNT].[PARENTH1].[A001020111]","A001020111 -   # 卖出回购金融资产款","","002"))</f>
        <v/>
      </c>
      <c r="AS105" s="920">
        <f>IF(_epmOfflineCondition_,"  # 卖出回购金融资产款",EPMMemberDesc(AR105))</f>
        <v/>
      </c>
      <c r="AT105" s="1284" t="n"/>
      <c r="AU105" s="1290" t="n"/>
      <c r="AV105" s="155" t="n"/>
      <c r="AW105" s="155" t="n"/>
      <c r="AX105" s="384" t="n"/>
      <c r="AY105" s="384" t="n"/>
    </row>
    <row r="106">
      <c r="A106" s="384" t="n"/>
      <c r="B106" s="384" t="n"/>
      <c r="C106" s="384" t="n"/>
      <c r="D106" s="384" t="n"/>
      <c r="E106" s="384" t="n"/>
      <c r="F106" s="384" t="n"/>
      <c r="G106" s="384" t="n"/>
      <c r="H106" s="384" t="n"/>
      <c r="I106" s="384" t="n"/>
      <c r="J106" s="384" t="n"/>
      <c r="K106" s="384" t="n"/>
      <c r="L106" s="384" t="n"/>
      <c r="M106" s="384" t="n"/>
      <c r="N106" s="384" t="n"/>
      <c r="O106" s="384" t="n"/>
      <c r="P106" s="384" t="n"/>
      <c r="Q106" s="384" t="n"/>
      <c r="R106" s="384">
        <f>IF(_epmOfflineCondition_,0,IF($C$26&lt;&gt;"G_DUMMY",EPMSaveData($Z106,,$U106,$Z$25,$Z$26,$Z$27,$Z$28,$B$36,$B$37,$B$38,$B$39,$B$40,$B$41,$C$26,$C$22),EPMSaveData($Z106,,$U106,$Z$25,$Z$26,$Z$27,$Z$28,$B$36,$B$37,$B$38,$B$39,$B$40,$C$21,$C$26,$C$22)))</f>
        <v/>
      </c>
      <c r="S106" s="462">
        <f>IF(_epmOfflineCondition_,"1、长期股权投资占净资产比率（%）",EPMMemberDesc(U106))</f>
        <v/>
      </c>
      <c r="T106" s="384" t="n"/>
      <c r="U106" s="384" t="inlineStr">
        <is>
          <t>A0050601</t>
        </is>
      </c>
      <c r="V106" s="889">
        <f>IF(_epmOfflineCondition_,"A0050601",EPMOlapMemberO(U106,"[C_ACCOUNT].[PARENTH1].[A0050601]","A0050601 - 1、长期股权投资占净资产比率（%）","","000"))</f>
        <v/>
      </c>
      <c r="W106" s="384" t="n"/>
      <c r="X106" s="890" t="inlineStr">
        <is>
          <t>1、长期股权投资占净资产比率（%）</t>
        </is>
      </c>
      <c r="Y106" s="895" t="inlineStr"/>
      <c r="Z106" s="1279">
        <f>IFERROR(AT71/AT152*100,"")</f>
        <v/>
      </c>
      <c r="AA106" s="1279">
        <f>IFERROR(AU71/AU152*100,"")</f>
        <v/>
      </c>
      <c r="AB106" s="1279">
        <f>IFERROR(Z106-AA106,"")</f>
        <v/>
      </c>
      <c r="AC106" s="902" t="inlineStr">
        <is>
          <t>期末长期股权投资余额/期末所有者权益合计*100%</t>
        </is>
      </c>
      <c r="AD106" s="716" t="n"/>
      <c r="AE106" s="716" t="n"/>
      <c r="AF106" s="462" t="n"/>
      <c r="AG106" s="920" t="inlineStr">
        <is>
          <t>A0020701</t>
        </is>
      </c>
      <c r="AH106" s="967">
        <f>IF(_epmOfflineCondition_,"A0020701",EPMOlapMemberO(AG106,"[C_ACCOUNT].[PARENTH1].[A0020701]","A0020701 -     归属于母公司所有者的综合收益总额","","001"))</f>
        <v/>
      </c>
      <c r="AI106" s="915" t="inlineStr">
        <is>
          <t xml:space="preserve">    归属于母公司所有者的综合收益总额</t>
        </is>
      </c>
      <c r="AJ106" s="1280">
        <f>ROW()-45</f>
        <v/>
      </c>
      <c r="AK106" s="1284" t="inlineStr"/>
      <c r="AL106" s="1284" t="inlineStr"/>
      <c r="AM106" s="384" t="n"/>
      <c r="AN106" s="384" t="n"/>
      <c r="AO106" s="384" t="n"/>
      <c r="AP106" s="384" t="n"/>
      <c r="AQ106" s="927" t="inlineStr">
        <is>
          <t>A001020112</t>
        </is>
      </c>
      <c r="AR106" s="960">
        <f>IF(_epmOfflineCondition_,"A001020112",EPMOlapMemberO(AQ106,"[C_ACCOUNT].[PARENTH1].[A001020112]","A001020112 -   # 应付手续费及佣金","","002"))</f>
        <v/>
      </c>
      <c r="AS106" s="920">
        <f>IF(_epmOfflineCondition_,"  # 应付手续费及佣金",EPMMemberDesc(AR106))</f>
        <v/>
      </c>
      <c r="AT106" s="1284" t="n"/>
      <c r="AU106" s="1290" t="n"/>
      <c r="AV106" s="155" t="n"/>
      <c r="AW106" s="155" t="n"/>
      <c r="AX106" s="384" t="n"/>
      <c r="AY106" s="384" t="n"/>
    </row>
    <row r="107">
      <c r="A107" s="384" t="n"/>
      <c r="B107" s="384" t="n"/>
      <c r="C107" s="384" t="n"/>
      <c r="D107" s="384" t="n"/>
      <c r="E107" s="384" t="n"/>
      <c r="F107" s="384" t="n"/>
      <c r="G107" s="384" t="n"/>
      <c r="H107" s="384" t="n"/>
      <c r="I107" s="384" t="n"/>
      <c r="J107" s="384" t="n"/>
      <c r="K107" s="384" t="n"/>
      <c r="L107" s="384" t="n"/>
      <c r="M107" s="384" t="n"/>
      <c r="N107" s="384" t="n"/>
      <c r="O107" s="384" t="n"/>
      <c r="P107" s="384" t="n"/>
      <c r="Q107" s="384" t="n"/>
      <c r="R107" s="384">
        <f>IF(_epmOfflineCondition_,0,IF($C$26&lt;&gt;"G_DUMMY",EPMSaveData($Z107,,$U107,$Z$25,$Z$26,$Z$27,$Z$28,$B$36,$B$37,$B$38,$B$39,$B$40,$B$41,$C$26,$C$22),EPMSaveData($Z107,,$U107,$Z$25,$Z$26,$Z$27,$Z$28,$B$36,$B$37,$B$38,$B$39,$B$40,$C$21,$C$26,$C$22)))</f>
        <v/>
      </c>
      <c r="S107" s="462">
        <f>IF(_epmOfflineCondition_,"11、固定资产投资占营业总收入的比率（%）",EPMMemberDesc(U107))</f>
        <v/>
      </c>
      <c r="T107" s="384" t="n"/>
      <c r="U107" s="384" t="inlineStr">
        <is>
          <t>A0050412</t>
        </is>
      </c>
      <c r="V107" s="889">
        <f>IF(_epmOfflineCondition_,"A0050412",EPMOlapMemberO(U107,"[C_ACCOUNT].[PARENTH1].[A0050412]","A0050412 - 11、固定资产投资占营业总收入的比率（%）","","000"))</f>
        <v/>
      </c>
      <c r="W107" s="384" t="n"/>
      <c r="X107" s="890" t="inlineStr">
        <is>
          <t>2、固定资产投资占营业总收入的比率（%）</t>
        </is>
      </c>
      <c r="Y107" s="895" t="inlineStr"/>
      <c r="Z107" s="1279">
        <f>IFERROR(AJ142/AK46*100,"")</f>
        <v/>
      </c>
      <c r="AA107" s="1279">
        <f>IFERROR(AK142/AL46*100,"")</f>
        <v/>
      </c>
      <c r="AB107" s="1279">
        <f>IFERROR(Z107-AA107,"")</f>
        <v/>
      </c>
      <c r="AC107" s="902" t="inlineStr">
        <is>
          <t>【企业财务快报（国资委）】固定资产投资额÷营业总收入*100%</t>
        </is>
      </c>
      <c r="AD107" s="716" t="n"/>
      <c r="AE107" s="716" t="n"/>
      <c r="AF107" s="462" t="n"/>
      <c r="AG107" s="920" t="inlineStr">
        <is>
          <t>A0020702</t>
        </is>
      </c>
      <c r="AH107" s="963">
        <f>IF(_epmOfflineCondition_,"A0020702",EPMOlapMemberO(AG107,"[C_ACCOUNT].[PARENTH2].[A0020702]","A0020702 -    *归属于少数股东的综合收益总额","","001"))</f>
        <v/>
      </c>
      <c r="AI107" s="915" t="inlineStr">
        <is>
          <t xml:space="preserve">   *归属于少数股东的综合收益总额</t>
        </is>
      </c>
      <c r="AJ107" s="1280">
        <f>ROW()-45</f>
        <v/>
      </c>
      <c r="AK107" s="1284" t="n"/>
      <c r="AL107" s="1284" t="n"/>
      <c r="AM107" s="384" t="n"/>
      <c r="AN107" s="384" t="n"/>
      <c r="AO107" s="384" t="n"/>
      <c r="AP107" s="384" t="n"/>
      <c r="AQ107" s="927" t="inlineStr">
        <is>
          <t>A001020113</t>
        </is>
      </c>
      <c r="AR107" s="960">
        <f>IF(_epmOfflineCondition_,"A001020113",EPMOlapMemberO(AQ107,"[C_ACCOUNT].[PARENTH1].[A001020113]","A001020113 - 　应付职工薪酬","","002"))</f>
        <v/>
      </c>
      <c r="AS107" s="920">
        <f>IF(_epmOfflineCondition_,"　应付职工薪酬",EPMMemberDesc(AR107))</f>
        <v/>
      </c>
      <c r="AT107" s="1284" t="inlineStr"/>
      <c r="AU107" s="1290" t="inlineStr"/>
      <c r="AV107" s="155" t="inlineStr"/>
      <c r="AW107" s="155" t="inlineStr"/>
      <c r="AX107" s="384" t="n"/>
      <c r="AY107" s="384" t="n"/>
    </row>
    <row r="108">
      <c r="A108" s="384" t="n"/>
      <c r="B108" s="384" t="n"/>
      <c r="C108" s="384" t="n"/>
      <c r="D108" s="384" t="n"/>
      <c r="E108" s="384" t="n"/>
      <c r="F108" s="384" t="n"/>
      <c r="G108" s="384" t="n"/>
      <c r="H108" s="384" t="n"/>
      <c r="I108" s="384" t="n"/>
      <c r="J108" s="384" t="n"/>
      <c r="K108" s="384" t="n"/>
      <c r="L108" s="384" t="n"/>
      <c r="M108" s="384" t="n"/>
      <c r="N108" s="384" t="n"/>
      <c r="O108" s="384" t="n"/>
      <c r="P108" s="384" t="n"/>
      <c r="Q108" s="384" t="n"/>
      <c r="R108" s="384">
        <f>IF(_epmOfflineCondition_,0,IF($C$26&lt;&gt;"G_DUMMY",EPMSaveData($Z108,,$U108,$Z$25,$Z$26,$Z$27,$Z$28,$B$36,$B$37,$B$38,$B$39,$B$40,$B$41,$C$26,$C$22),EPMSaveData($Z108,,$U108,$Z$25,$Z$26,$Z$27,$Z$28,$B$36,$B$37,$B$38,$B$39,$B$40,$C$21,$C$26,$C$22)))</f>
        <v/>
      </c>
      <c r="S108" s="462">
        <f>IF(_epmOfflineCondition_,"3、职工薪酬占成本费用总额的比率（%）",EPMMemberDesc(U108))</f>
        <v/>
      </c>
      <c r="T108" s="384" t="n"/>
      <c r="U108" s="384" t="inlineStr">
        <is>
          <t>A0050603</t>
        </is>
      </c>
      <c r="V108" s="889">
        <f>IF(_epmOfflineCondition_,"A0050603",EPMOlapMemberO(U108,"[C_ACCOUNT].[PARENTH1].[A0050603]","A0050603 - 3、职工薪酬占成本费用总额的比率（%）","","000"))</f>
        <v/>
      </c>
      <c r="W108" s="384" t="n"/>
      <c r="X108" s="890" t="inlineStr">
        <is>
          <t>3、职工薪酬占成本费用总额的比率（%）</t>
        </is>
      </c>
      <c r="Y108" s="895" t="inlineStr"/>
      <c r="Z108" s="1279">
        <f>IFERROR(AJ144/AK50*100,"")</f>
        <v/>
      </c>
      <c r="AA108" s="1279">
        <f>IFERROR(AK144/AL50*100,"")</f>
        <v/>
      </c>
      <c r="AB108" s="1279">
        <f>IFERROR(Z108-AA108,"")</f>
        <v/>
      </c>
      <c r="AC108" s="902" t="inlineStr">
        <is>
          <t>【企业财务快报（国资委）】职工薪酬（不含劳务派遣费用）/成本费用总额*100%</t>
        </is>
      </c>
      <c r="AD108" s="716" t="n"/>
      <c r="AE108" s="716" t="n"/>
      <c r="AF108" s="716" t="n"/>
      <c r="AG108" s="920" t="inlineStr">
        <is>
          <t>A00208</t>
        </is>
      </c>
      <c r="AH108" s="967">
        <f>IF(_epmOfflineCondition_,"A00208",EPMOlapMemberO(AG108,"[C_ACCOUNT].[PARENTH1].[A00208]","A00208 - 八、应上交国家利润（国家股利）","","001"))</f>
        <v/>
      </c>
      <c r="AI108" s="912" t="inlineStr">
        <is>
          <t>八、每股收益：</t>
        </is>
      </c>
      <c r="AJ108" s="1280">
        <f>ROW()-45</f>
        <v/>
      </c>
      <c r="AK108" s="1284" t="n"/>
      <c r="AL108" s="1284" t="n"/>
      <c r="AM108" s="384" t="n"/>
      <c r="AN108" s="384" t="n"/>
      <c r="AO108" s="384" t="n"/>
      <c r="AP108" s="384" t="n"/>
      <c r="AQ108" s="927" t="inlineStr">
        <is>
          <t>A00102011301</t>
        </is>
      </c>
      <c r="AR108" s="975">
        <f>IF(_epmOfflineCondition_,"A00102011301",EPMOlapMemberO(AQ108,"[C_ACCOUNT].[PARENTH1].[A00102011301]","A00102011301 -       其中：应付工资","","002"))</f>
        <v/>
      </c>
      <c r="AS108" s="920">
        <f>IF(_epmOfflineCondition_,"      其中：应付工资",EPMMemberDesc(AR108))</f>
        <v/>
      </c>
      <c r="AT108" s="1284" t="inlineStr"/>
      <c r="AU108" s="1290" t="n"/>
      <c r="AV108" s="155" t="inlineStr"/>
      <c r="AW108" s="155" t="n"/>
      <c r="AX108" s="384" t="n"/>
      <c r="AY108" s="384" t="n"/>
    </row>
    <row r="109">
      <c r="A109" s="384" t="n"/>
      <c r="B109" s="384" t="n"/>
      <c r="C109" s="384" t="n"/>
      <c r="D109" s="384" t="n"/>
      <c r="E109" s="384" t="n"/>
      <c r="F109" s="384" t="n"/>
      <c r="G109" s="384" t="n"/>
      <c r="H109" s="384" t="n"/>
      <c r="I109" s="384" t="n"/>
      <c r="J109" s="384" t="n"/>
      <c r="K109" s="384" t="n"/>
      <c r="L109" s="384" t="n"/>
      <c r="M109" s="384" t="n"/>
      <c r="N109" s="384" t="n"/>
      <c r="O109" s="384" t="n"/>
      <c r="P109" s="384" t="n"/>
      <c r="Q109" s="384" t="n"/>
      <c r="R109" s="384">
        <f>IF(_epmOfflineCondition_,0,IF($C$26&lt;&gt;"G_DUMMY",EPMSaveData($Z109,,$U109,$Z$25,$Z$26,$Z$27,$Z$28,$B$36,$B$37,$B$38,$B$39,$B$40,$B$41,$C$26,$C$22),EPMSaveData($Z109,,$U109,$Z$25,$Z$26,$Z$27,$Z$28,$B$36,$B$37,$B$38,$B$39,$B$40,$C$21,$C$26,$C$22)))</f>
        <v/>
      </c>
      <c r="S109" s="462">
        <f>IF(_epmOfflineCondition_,"4、职工薪酬占营业总收入的比率（%）",EPMMemberDesc(U109))</f>
        <v/>
      </c>
      <c r="T109" s="384" t="n"/>
      <c r="U109" s="384" t="inlineStr">
        <is>
          <t>A0050604</t>
        </is>
      </c>
      <c r="V109" s="889">
        <f>IF(_epmOfflineCondition_,"A0050604",EPMOlapMemberO(U109,"[C_ACCOUNT].[PARENTH1].[A0050604]","A0050604 - 4、职工薪酬占营业总收入的比率（%）","","000"))</f>
        <v/>
      </c>
      <c r="W109" s="384" t="n"/>
      <c r="X109" s="890" t="inlineStr">
        <is>
          <t>4、职工薪酬占营业总收入的比率（%）</t>
        </is>
      </c>
      <c r="Y109" s="895" t="inlineStr"/>
      <c r="Z109" s="1279">
        <f>IFERROR(AJ144/AK46*100,"")</f>
        <v/>
      </c>
      <c r="AA109" s="1279">
        <f>IFERROR(AK144/AK46*100,"")</f>
        <v/>
      </c>
      <c r="AB109" s="1279">
        <f>IFERROR(Z109-AA109,"")</f>
        <v/>
      </c>
      <c r="AC109" s="957" t="inlineStr">
        <is>
          <t>【企业财务快报（国资委）】职工薪酬（不含劳务派遣费用）/营业总收入*100%</t>
        </is>
      </c>
      <c r="AD109" s="716" t="n"/>
      <c r="AE109" s="716" t="n"/>
      <c r="AF109" s="716" t="n"/>
      <c r="AG109" s="920" t="inlineStr">
        <is>
          <t>A0020801</t>
        </is>
      </c>
      <c r="AH109" s="962">
        <f>IF(_epmOfflineCondition_,"A0020801",EPMOlapMemberO(AG109,"[C_ACCOUNT].[PARENTH1].[A0020801]","A0020801 -    （一）基本每股收益","","001"))</f>
        <v/>
      </c>
      <c r="AI109" s="964" t="inlineStr">
        <is>
          <t>（一）基本每股收益</t>
        </is>
      </c>
      <c r="AJ109" s="1280">
        <f>ROW()-45</f>
        <v/>
      </c>
      <c r="AK109" s="1284" t="n"/>
      <c r="AL109" s="1284" t="n"/>
      <c r="AM109" s="384" t="n"/>
      <c r="AN109" s="384" t="n"/>
      <c r="AO109" s="384" t="n"/>
      <c r="AP109" s="384" t="n"/>
      <c r="AQ109" s="927" t="inlineStr">
        <is>
          <t>A00102011302</t>
        </is>
      </c>
      <c r="AR109" s="975">
        <f>IF(_epmOfflineCondition_,"A00102011302",EPMOlapMemberO(AQ109,"[C_ACCOUNT].[PARENTH1].[A00102011302]","A00102011302 -                  应付福利费","","002"))</f>
        <v/>
      </c>
      <c r="AS109" s="920">
        <f>IF(_epmOfflineCondition_,"                 应付福利费",EPMMemberDesc(AR109))</f>
        <v/>
      </c>
      <c r="AT109" s="1284" t="inlineStr"/>
      <c r="AU109" s="1290" t="n"/>
      <c r="AV109" s="155" t="inlineStr"/>
      <c r="AW109" s="155" t="n"/>
      <c r="AX109" s="384" t="n"/>
      <c r="AY109" s="384" t="n"/>
    </row>
    <row r="110">
      <c r="A110" s="384" t="n"/>
      <c r="B110" s="384" t="n"/>
      <c r="C110" s="384" t="n"/>
      <c r="D110" s="384" t="n"/>
      <c r="E110" s="384" t="n"/>
      <c r="F110" s="384" t="n"/>
      <c r="G110" s="384" t="n"/>
      <c r="H110" s="384" t="n"/>
      <c r="I110" s="384" t="n"/>
      <c r="J110" s="384" t="n"/>
      <c r="K110" s="384" t="n"/>
      <c r="L110" s="384" t="n"/>
      <c r="M110" s="384" t="n"/>
      <c r="N110" s="384" t="n"/>
      <c r="O110" s="384" t="n"/>
      <c r="P110" s="384" t="n"/>
      <c r="Q110" s="384" t="n"/>
      <c r="R110" s="384">
        <f>IF(_epmOfflineCondition_,0,IF($C$26&lt;&gt;"G_DUMMY",EPMSaveData($Z110,,$U110,$Z$25,$Z$26,$Z$27,$Z$28,$B$36,$B$37,$B$38,$B$39,$B$40,$B$41,$C$26,$C$22),EPMSaveData($Z110,,$U110,$Z$25,$Z$26,$Z$27,$Z$28,$B$36,$B$37,$B$38,$B$39,$B$40,$C$21,$C$26,$C$22)))</f>
        <v/>
      </c>
      <c r="S110" s="462">
        <f>IF(_epmOfflineCondition_,"5.百元营业收入支付的职工薪酬（元）",EPMMemberDesc(U110))</f>
        <v/>
      </c>
      <c r="T110" s="384" t="n"/>
      <c r="U110" s="384" t="inlineStr">
        <is>
          <t>A0050605</t>
        </is>
      </c>
      <c r="V110" s="889">
        <f>IF(_epmOfflineCondition_,"A0050605",EPMOlapMemberO(U110,"[C_ACCOUNT].[PARENTH1].[A0050605]","A0050605 - 5.百元营业收入支付的职工薪酬（元）","","000"))</f>
        <v/>
      </c>
      <c r="W110" s="384" t="n"/>
      <c r="X110" s="890" t="inlineStr">
        <is>
          <t>5.百元营业收入支付的职工薪酬（元）</t>
        </is>
      </c>
      <c r="Y110" s="895" t="inlineStr"/>
      <c r="Z110" s="1279">
        <f>IFERROR(AJ144/AK46*100,"")</f>
        <v/>
      </c>
      <c r="AA110" s="1279">
        <f>IFERROR(AK144/AL46*100,"")</f>
        <v/>
      </c>
      <c r="AB110" s="1279">
        <f>IFERROR(Z110-AA110,"")</f>
        <v/>
      </c>
      <c r="AC110" s="902" t="inlineStr">
        <is>
          <t>【企业财务快报（国资委）】职工薪酬（不含劳务派遣费用）÷营业总收入*100</t>
        </is>
      </c>
      <c r="AD110" s="716" t="n"/>
      <c r="AE110" s="716" t="n"/>
      <c r="AF110" s="716" t="n"/>
      <c r="AG110" s="920" t="inlineStr">
        <is>
          <t>A0020802</t>
        </is>
      </c>
      <c r="AH110" s="962">
        <f>IF(_epmOfflineCondition_,"A0020802",EPMOlapMemberO(AG110,"[C_ACCOUNT].[PARENTH1].[A0020802]","A0020802 -    （二）稀释每股收益","","001"))</f>
        <v/>
      </c>
      <c r="AI110" s="964" t="inlineStr">
        <is>
          <t>（二）稀释每股收益</t>
        </is>
      </c>
      <c r="AJ110" s="1280">
        <f>ROW()-45</f>
        <v/>
      </c>
      <c r="AK110" s="1284" t="n"/>
      <c r="AL110" s="1284" t="n"/>
      <c r="AM110" s="384" t="n"/>
      <c r="AN110" s="384" t="n"/>
      <c r="AO110" s="384" t="n"/>
      <c r="AP110" s="384" t="n"/>
      <c r="AQ110" s="927" t="inlineStr">
        <is>
          <t>A001020114</t>
        </is>
      </c>
      <c r="AR110" s="960">
        <f>IF(_epmOfflineCondition_,"A001020114",EPMOlapMemberO(AQ110,"[C_ACCOUNT].[PARENTH1].[A001020114]","A001020114 - 　应交税费","","002"))</f>
        <v/>
      </c>
      <c r="AS110" s="920">
        <f>IF(_epmOfflineCondition_,"　应交税费",EPMMemberDesc(AR110))</f>
        <v/>
      </c>
      <c r="AT110" s="1284" t="inlineStr"/>
      <c r="AU110" s="1290" t="inlineStr"/>
      <c r="AV110" s="155" t="inlineStr"/>
      <c r="AW110" s="155" t="inlineStr"/>
      <c r="AX110" s="384" t="n"/>
      <c r="AY110" s="384" t="n"/>
    </row>
    <row r="111">
      <c r="A111" s="384" t="n"/>
      <c r="B111" s="384" t="n"/>
      <c r="C111" s="384" t="n"/>
      <c r="D111" s="384" t="n"/>
      <c r="E111" s="384" t="n"/>
      <c r="F111" s="384" t="n"/>
      <c r="G111" s="384" t="n"/>
      <c r="H111" s="384" t="n"/>
      <c r="I111" s="384" t="n"/>
      <c r="J111" s="384" t="n"/>
      <c r="K111" s="384" t="n"/>
      <c r="L111" s="384" t="n"/>
      <c r="M111" s="384" t="n"/>
      <c r="N111" s="384" t="n"/>
      <c r="O111" s="384" t="n"/>
      <c r="P111" s="384" t="n"/>
      <c r="Q111" s="384" t="n"/>
      <c r="R111" s="384">
        <f>IF(_epmOfflineCondition_,0,IF($C$26&lt;&gt;"G_DUMMY",EPMSaveData($Z111,,$U111,$Z$25,$Z$26,$Z$27,$Z$28,$B$36,$B$37,$B$38,$B$39,$B$40,$B$41,$C$26,$C$22),EPMSaveData($Z111,,$U111,$Z$25,$Z$26,$Z$27,$Z$28,$B$36,$B$37,$B$38,$B$39,$B$40,$C$21,$C$26,$C$22)))</f>
        <v/>
      </c>
      <c r="S111" s="462">
        <f>IF(_epmOfflineCondition_,"6.百元营业收入支付的税费（元）",EPMMemberDesc(U111))</f>
        <v/>
      </c>
      <c r="T111" s="384" t="n"/>
      <c r="U111" s="384" t="inlineStr">
        <is>
          <t>A0050606</t>
        </is>
      </c>
      <c r="V111" s="889">
        <f>IF(_epmOfflineCondition_,"A0050606",EPMOlapMemberO(U111,"[C_ACCOUNT].[PARENTH1].[A0050606]","A0050606 - 6.百元营业收入支付的税费（元）","","000"))</f>
        <v/>
      </c>
      <c r="W111" s="384" t="n"/>
      <c r="X111" s="890" t="inlineStr">
        <is>
          <t>6.百元营业收入支付的税费（元）</t>
        </is>
      </c>
      <c r="Y111" s="895" t="inlineStr"/>
      <c r="Z111" s="1279">
        <f>IFERROR(AJ143/AK46*100,"")</f>
        <v/>
      </c>
      <c r="AA111" s="1279">
        <f>IFERROR(AK143/AL46*100,"")</f>
        <v/>
      </c>
      <c r="AB111" s="1279">
        <f>IFERROR(Z111-AA111,"")</f>
        <v/>
      </c>
      <c r="AC111" s="902" t="inlineStr">
        <is>
          <t>【企业财务快报（国资委）】本年已交税费总额÷营业总收入*100</t>
        </is>
      </c>
      <c r="AD111" s="716" t="n"/>
      <c r="AE111" s="716" t="n"/>
      <c r="AF111" s="716" t="n"/>
      <c r="AG111" s="920" t="n"/>
      <c r="AH111" s="905" t="n"/>
      <c r="AI111" s="968" t="inlineStr">
        <is>
          <t>注：表中带*科目为合并会计报表专用；带△科目为金融类企业专用；带#科目为外商投资企业专用</t>
        </is>
      </c>
      <c r="AJ111" s="1280" t="n"/>
      <c r="AK111" s="1284" t="n"/>
      <c r="AL111" s="1284" t="n"/>
      <c r="AM111" s="384" t="n"/>
      <c r="AN111" s="384" t="n"/>
      <c r="AO111" s="384" t="n"/>
      <c r="AP111" s="384" t="n"/>
      <c r="AQ111" s="927" t="inlineStr">
        <is>
          <t>A00102011401</t>
        </is>
      </c>
      <c r="AR111" s="975">
        <f>IF(_epmOfflineCondition_,"A00102011401",EPMOlapMemberO(AQ111,"[C_ACCOUNT].[PARENTH1].[A00102011401]","A00102011401 -       其中：应交税金","","002"))</f>
        <v/>
      </c>
      <c r="AS111" s="920">
        <f>IF(_epmOfflineCondition_,"      其中：应交税金",EPMMemberDesc(AR111))</f>
        <v/>
      </c>
      <c r="AT111" s="1284" t="inlineStr"/>
      <c r="AU111" s="1290" t="inlineStr"/>
      <c r="AV111" s="155" t="inlineStr"/>
      <c r="AW111" s="155" t="inlineStr"/>
      <c r="AX111" s="384" t="n"/>
      <c r="AY111" s="384" t="n"/>
    </row>
    <row r="112">
      <c r="A112" s="384" t="n"/>
      <c r="B112" s="384" t="n"/>
      <c r="C112" s="384" t="n"/>
      <c r="D112" s="384" t="n"/>
      <c r="E112" s="384" t="n"/>
      <c r="F112" s="384" t="n"/>
      <c r="G112" s="384" t="n"/>
      <c r="H112" s="384" t="n"/>
      <c r="I112" s="384" t="n"/>
      <c r="J112" s="384" t="n"/>
      <c r="K112" s="384" t="n"/>
      <c r="L112" s="384" t="n"/>
      <c r="M112" s="384" t="n"/>
      <c r="N112" s="384" t="n"/>
      <c r="O112" s="384" t="n"/>
      <c r="P112" s="384" t="n"/>
      <c r="Q112" s="384" t="n"/>
      <c r="R112" s="384">
        <f>IF(_epmOfflineCondition_,0,IF($C$26&lt;&gt;"G_DUMMY",EPMSaveData($Z112,,$U112,$Z$25,$Z$26,$Z$27,$Z$28,$B$36,$B$37,$B$38,$B$39,$B$40,$B$41,$C$26,$C$22),EPMSaveData($Z112,,$U112,$Z$25,$Z$26,$Z$27,$Z$28,$B$36,$B$37,$B$38,$B$39,$B$40,$C$21,$C$26,$C$22)))</f>
        <v/>
      </c>
      <c r="S112" s="462">
        <f>IF(_epmOfflineCondition_,"7.产销率(工业企业)（%）",EPMMemberDesc(U112))</f>
        <v/>
      </c>
      <c r="T112" s="384" t="n"/>
      <c r="U112" s="384" t="inlineStr">
        <is>
          <t>A0050607</t>
        </is>
      </c>
      <c r="V112" s="889">
        <f>IF(_epmOfflineCondition_,"A0050607",EPMOlapMemberO(U112,"[C_ACCOUNT].[PARENTH1].[A0050607]","A0050607 - 7.产销率(工业企业)（%）","","000"))</f>
        <v/>
      </c>
      <c r="W112" s="384" t="n"/>
      <c r="X112" s="890" t="inlineStr">
        <is>
          <t>7.产销率(工业企业)（%）</t>
        </is>
      </c>
      <c r="Y112" s="895" t="inlineStr"/>
      <c r="Z112" s="1279">
        <f>IFERROR(AJ145/AJ146*100,"")</f>
        <v/>
      </c>
      <c r="AA112" s="1279">
        <f>IFERROR(AK145/AK146*100,"")</f>
        <v/>
      </c>
      <c r="AB112" s="1279">
        <f>IFERROR(Z112-AA112,"")</f>
        <v/>
      </c>
      <c r="AC112" s="902" t="inlineStr">
        <is>
          <t>【企业财务快报（国资委）】工业销售产值/工业总产值*100%</t>
        </is>
      </c>
      <c r="AD112" s="716" t="n"/>
      <c r="AE112" s="716" t="n"/>
      <c r="AF112" s="716" t="n"/>
      <c r="AG112" s="905" t="n"/>
      <c r="AH112" s="905" t="n"/>
      <c r="AI112" s="969" t="inlineStr">
        <is>
          <t>补充资料：</t>
        </is>
      </c>
      <c r="AJ112" s="968" t="n"/>
      <c r="AK112" s="1284" t="n"/>
      <c r="AL112" s="1284" t="n"/>
      <c r="AM112" s="384" t="n"/>
      <c r="AN112" s="384" t="n"/>
      <c r="AO112" s="384" t="n"/>
      <c r="AP112" s="384" t="n"/>
      <c r="AQ112" s="927" t="inlineStr">
        <is>
          <t>A001020115</t>
        </is>
      </c>
      <c r="AR112" s="960">
        <f>IF(_epmOfflineCondition_,"A001020115",EPMOlapMemberO(AQ112,"[C_ACCOUNT].[PARENTH1].[A001020115]","A001020115 -     应付利息","","002"))</f>
        <v/>
      </c>
      <c r="AS112" s="920">
        <f>IF(_epmOfflineCondition_,"    应付利息",EPMMemberDesc(AR112))</f>
        <v/>
      </c>
      <c r="AT112" s="1284" t="n"/>
      <c r="AU112" s="1290" t="n"/>
      <c r="AV112" s="155" t="n"/>
      <c r="AW112" s="155" t="n"/>
      <c r="AX112" s="384" t="n"/>
      <c r="AY112" s="384" t="n"/>
    </row>
    <row r="113">
      <c r="A113" s="384" t="n"/>
      <c r="B113" s="384" t="n"/>
      <c r="C113" s="384" t="n"/>
      <c r="D113" s="384" t="n"/>
      <c r="E113" s="384" t="n"/>
      <c r="F113" s="384" t="n"/>
      <c r="G113" s="384" t="n"/>
      <c r="H113" s="384" t="n"/>
      <c r="I113" s="384" t="n"/>
      <c r="J113" s="384" t="n"/>
      <c r="K113" s="384" t="n"/>
      <c r="L113" s="384" t="n"/>
      <c r="M113" s="384" t="n"/>
      <c r="N113" s="384" t="n"/>
      <c r="O113" s="384" t="n"/>
      <c r="P113" s="384" t="n"/>
      <c r="Q113" s="384" t="n"/>
      <c r="R113" s="384" t="n"/>
      <c r="S113" s="32" t="n"/>
      <c r="T113" s="384" t="n"/>
      <c r="U113" s="384" t="n"/>
      <c r="V113" s="384" t="n"/>
      <c r="W113" s="384" t="n"/>
      <c r="X113" s="38" t="n"/>
      <c r="Y113" s="384" t="n"/>
      <c r="Z113" s="384" t="n"/>
      <c r="AA113" s="384" t="n"/>
      <c r="AB113" s="384" t="n"/>
      <c r="AC113" s="384" t="n"/>
      <c r="AD113" s="384" t="n"/>
      <c r="AE113" s="384" t="n"/>
      <c r="AF113" s="716" t="n"/>
      <c r="AG113" s="905" t="n"/>
      <c r="AH113" s="905" t="n"/>
      <c r="AI113" s="908" t="inlineStr">
        <is>
          <t>项           目</t>
        </is>
      </c>
      <c r="AJ113" s="1280">
        <f>"-"</f>
        <v/>
      </c>
      <c r="AK113" s="1284" t="n"/>
      <c r="AL113" s="1284" t="n"/>
      <c r="AM113" s="384" t="n"/>
      <c r="AN113" s="384" t="n"/>
      <c r="AO113" s="384" t="n"/>
      <c r="AP113" s="384" t="n"/>
      <c r="AQ113" s="927" t="inlineStr">
        <is>
          <t>A001020116</t>
        </is>
      </c>
      <c r="AR113" s="960">
        <f>IF(_epmOfflineCondition_,"A001020116",EPMOlapMemberO(AQ113,"[C_ACCOUNT].[PARENTH1].[A001020116]","A001020116 -     应付股利","","002"))</f>
        <v/>
      </c>
      <c r="AS113" s="920">
        <f>IF(_epmOfflineCondition_,"    应付股利",EPMMemberDesc(AR113))</f>
        <v/>
      </c>
      <c r="AT113" s="1284" t="n"/>
      <c r="AU113" s="1290" t="n"/>
      <c r="AV113" s="155" t="n"/>
      <c r="AW113" s="155" t="n"/>
      <c r="AX113" s="384" t="n"/>
      <c r="AY113" s="384" t="n"/>
    </row>
    <row r="114">
      <c r="A114" s="384" t="n"/>
      <c r="B114" s="384" t="n"/>
      <c r="C114" s="384" t="n"/>
      <c r="D114" s="384" t="n"/>
      <c r="E114" s="384" t="n"/>
      <c r="F114" s="384" t="n"/>
      <c r="G114" s="384" t="n"/>
      <c r="H114" s="384" t="n"/>
      <c r="I114" s="384" t="n"/>
      <c r="J114" s="384" t="n"/>
      <c r="K114" s="384" t="n"/>
      <c r="L114" s="384" t="n"/>
      <c r="M114" s="384" t="n"/>
      <c r="N114" s="384" t="n"/>
      <c r="O114" s="384" t="n"/>
      <c r="P114" s="384" t="n"/>
      <c r="Q114" s="384" t="n"/>
      <c r="R114" s="384" t="n"/>
      <c r="S114" s="32" t="n"/>
      <c r="T114" s="384" t="n"/>
      <c r="U114" s="384" t="n"/>
      <c r="V114" s="384" t="n"/>
      <c r="W114" s="384" t="n"/>
      <c r="X114" s="38" t="n"/>
      <c r="Y114" s="384" t="n"/>
      <c r="Z114" s="384" t="n"/>
      <c r="AA114" s="384" t="n"/>
      <c r="AB114" s="384" t="n"/>
      <c r="AC114" s="384" t="n"/>
      <c r="AD114" s="384" t="n"/>
      <c r="AE114" s="384" t="n"/>
      <c r="AF114" s="716" t="n"/>
      <c r="AG114" s="920" t="inlineStr">
        <is>
          <t>A0020101</t>
        </is>
      </c>
      <c r="AH114" s="914">
        <f>IF(_epmOfflineCondition_,"A0020101",EPMOlapMemberO(AG114,"[C_ACCOUNT].[PARENTH1].[A0020101]","A0020101 -    其中：营业收入","","001"))</f>
        <v/>
      </c>
      <c r="AI114" s="966" t="inlineStr">
        <is>
          <t>一、营业收入</t>
        </is>
      </c>
      <c r="AJ114" s="1280">
        <f>ROW()-48</f>
        <v/>
      </c>
      <c r="AK114" s="1284" t="inlineStr"/>
      <c r="AL114" s="1284" t="inlineStr"/>
      <c r="AM114" s="384" t="n"/>
      <c r="AN114" s="384" t="n"/>
      <c r="AO114" s="384" t="n"/>
      <c r="AP114" s="384" t="n"/>
      <c r="AQ114" s="927" t="inlineStr">
        <is>
          <t>A001020117</t>
        </is>
      </c>
      <c r="AR114" s="960">
        <f>IF(_epmOfflineCondition_,"A001020117",EPMOlapMemberO(AQ114,"[C_ACCOUNT].[PARENTH1].[A001020117]","A001020117 -     其他应付款","","002"))</f>
        <v/>
      </c>
      <c r="AS114" s="920">
        <f>IF(_epmOfflineCondition_,"    其他应付款",EPMMemberDesc(AR114))</f>
        <v/>
      </c>
      <c r="AT114" s="1284" t="inlineStr"/>
      <c r="AU114" s="1290" t="n"/>
      <c r="AV114" s="155" t="inlineStr"/>
      <c r="AW114" s="155" t="n"/>
      <c r="AX114" s="384" t="n"/>
      <c r="AY114" s="384" t="n"/>
    </row>
    <row r="115">
      <c r="A115" s="384" t="n"/>
      <c r="B115" s="384" t="n"/>
      <c r="C115" s="384" t="n"/>
      <c r="D115" s="384" t="n"/>
      <c r="E115" s="384" t="n"/>
      <c r="F115" s="384" t="n"/>
      <c r="G115" s="384" t="n"/>
      <c r="H115" s="384" t="n"/>
      <c r="I115" s="384" t="n"/>
      <c r="J115" s="384" t="n"/>
      <c r="K115" s="384" t="n"/>
      <c r="L115" s="384" t="n"/>
      <c r="M115" s="384" t="n"/>
      <c r="N115" s="384" t="n"/>
      <c r="O115" s="384" t="n"/>
      <c r="P115" s="384" t="n"/>
      <c r="Q115" s="384" t="n"/>
      <c r="R115" s="384" t="n"/>
      <c r="S115" s="32" t="n"/>
      <c r="T115" s="384" t="n"/>
      <c r="U115" s="384" t="n"/>
      <c r="V115" s="384" t="n"/>
      <c r="W115" s="384" t="n"/>
      <c r="X115" s="38" t="n"/>
      <c r="Y115" s="384" t="n"/>
      <c r="Z115" s="384" t="n"/>
      <c r="AA115" s="384" t="n"/>
      <c r="AB115" s="384" t="n"/>
      <c r="AC115" s="384" t="n"/>
      <c r="AD115" s="384" t="n"/>
      <c r="AE115" s="384" t="n"/>
      <c r="AF115" s="384" t="n"/>
      <c r="AG115" s="920" t="inlineStr">
        <is>
          <t>A6001</t>
        </is>
      </c>
      <c r="AH115" s="917">
        <f>IF(_epmOfflineCondition_,"A6001",EPMOlapMemberO(AG115,"[C_ACCOUNT].[PARENTH1].[A6001]","A6001 - 主营业务收入","","001"))</f>
        <v/>
      </c>
      <c r="AI115" s="915" t="inlineStr">
        <is>
          <t>主营业务收入</t>
        </is>
      </c>
      <c r="AJ115" s="1280">
        <f>ROW()-48</f>
        <v/>
      </c>
      <c r="AK115" s="1284" t="inlineStr"/>
      <c r="AL115" s="1284" t="inlineStr"/>
      <c r="AM115" s="384" t="n"/>
      <c r="AN115" s="384" t="n"/>
      <c r="AO115" s="384" t="n"/>
      <c r="AP115" s="384" t="n"/>
      <c r="AQ115" s="927" t="inlineStr">
        <is>
          <t>A001020118</t>
        </is>
      </c>
      <c r="AR115" s="960">
        <f>IF(_epmOfflineCondition_,"A001020118",EPMOlapMemberO(AQ115,"[C_ACCOUNT].[PARENTH1].[A001020118]","A001020118 -    # 代理买卖证券款","","002"))</f>
        <v/>
      </c>
      <c r="AS115" s="920">
        <f>IF(_epmOfflineCondition_,"   # 代理买卖证券款",EPMMemberDesc(AR115))</f>
        <v/>
      </c>
      <c r="AT115" s="1284" t="n"/>
      <c r="AU115" s="1290" t="n"/>
      <c r="AV115" s="155" t="n"/>
      <c r="AW115" s="155" t="n"/>
      <c r="AX115" s="384" t="n"/>
      <c r="AY115" s="384" t="n"/>
    </row>
    <row r="116">
      <c r="A116" s="384" t="n"/>
      <c r="B116" s="384" t="n"/>
      <c r="C116" s="384" t="n"/>
      <c r="D116" s="384" t="n"/>
      <c r="E116" s="384" t="n"/>
      <c r="F116" s="384" t="n"/>
      <c r="G116" s="384" t="n"/>
      <c r="H116" s="384" t="n"/>
      <c r="I116" s="384" t="n"/>
      <c r="J116" s="384" t="n"/>
      <c r="K116" s="384" t="n"/>
      <c r="L116" s="384" t="n"/>
      <c r="M116" s="384" t="n"/>
      <c r="N116" s="384" t="n"/>
      <c r="O116" s="384" t="n"/>
      <c r="P116" s="384" t="n"/>
      <c r="Q116" s="384" t="n"/>
      <c r="R116" s="384" t="n"/>
      <c r="S116" s="32" t="n"/>
      <c r="T116" s="384" t="n"/>
      <c r="U116" s="384" t="n"/>
      <c r="V116" s="384" t="n"/>
      <c r="W116" s="384" t="n"/>
      <c r="X116" s="38" t="n"/>
      <c r="Y116" s="384" t="n"/>
      <c r="Z116" s="384" t="n"/>
      <c r="AA116" s="384" t="n"/>
      <c r="AB116" s="384" t="n"/>
      <c r="AC116" s="384" t="n"/>
      <c r="AD116" s="384" t="n"/>
      <c r="AE116" s="384" t="n"/>
      <c r="AF116" s="384" t="n"/>
      <c r="AG116" s="920" t="inlineStr">
        <is>
          <t>A6051</t>
        </is>
      </c>
      <c r="AH116" s="917">
        <f>IF(_epmOfflineCondition_,"A6051",EPMOlapMemberO(AG116,"[C_ACCOUNT].[PARENTH1].[A6051]","A6051 - 其他业务收入","","001"))</f>
        <v/>
      </c>
      <c r="AI116" s="915" t="inlineStr">
        <is>
          <t>其他业务收入</t>
        </is>
      </c>
      <c r="AJ116" s="1280">
        <f>ROW()-48</f>
        <v/>
      </c>
      <c r="AK116" s="1284" t="n"/>
      <c r="AL116" s="1284" t="n"/>
      <c r="AM116" s="384" t="n"/>
      <c r="AN116" s="384" t="n"/>
      <c r="AO116" s="384" t="n"/>
      <c r="AP116" s="384" t="n"/>
      <c r="AQ116" s="927" t="inlineStr">
        <is>
          <t>A001020119</t>
        </is>
      </c>
      <c r="AR116" s="960">
        <f>IF(_epmOfflineCondition_,"A001020119",EPMOlapMemberO(AQ116,"[C_ACCOUNT].[PARENTH1].[A001020119]","A001020119 -    # 代理承销证券款","","002"))</f>
        <v/>
      </c>
      <c r="AS116" s="920">
        <f>IF(_epmOfflineCondition_,"   # 代理承销证券款",EPMMemberDesc(AR116))</f>
        <v/>
      </c>
      <c r="AT116" s="1284" t="n"/>
      <c r="AU116" s="1290" t="n"/>
      <c r="AV116" s="155" t="n"/>
      <c r="AW116" s="155" t="n"/>
      <c r="AX116" s="384" t="n"/>
      <c r="AY116" s="384" t="n"/>
    </row>
    <row r="117">
      <c r="A117" s="384" t="n"/>
      <c r="B117" s="384" t="n"/>
      <c r="C117" s="384" t="n"/>
      <c r="D117" s="384" t="n"/>
      <c r="E117" s="384" t="n"/>
      <c r="F117" s="384" t="n"/>
      <c r="G117" s="384" t="n"/>
      <c r="H117" s="384" t="n"/>
      <c r="I117" s="384" t="n"/>
      <c r="J117" s="384" t="n"/>
      <c r="K117" s="384" t="n"/>
      <c r="L117" s="384" t="n"/>
      <c r="M117" s="384" t="n"/>
      <c r="N117" s="384" t="n"/>
      <c r="O117" s="384" t="n"/>
      <c r="P117" s="384" t="n"/>
      <c r="Q117" s="384" t="n"/>
      <c r="R117" s="384" t="n"/>
      <c r="S117" s="32" t="n"/>
      <c r="T117" s="384" t="n"/>
      <c r="U117" s="384" t="n"/>
      <c r="V117" s="384" t="n"/>
      <c r="W117" s="384" t="n"/>
      <c r="X117" s="38" t="n"/>
      <c r="Y117" s="384" t="n"/>
      <c r="Z117" s="384" t="n"/>
      <c r="AA117" s="384" t="n"/>
      <c r="AB117" s="384" t="n"/>
      <c r="AC117" s="384" t="n"/>
      <c r="AD117" s="384" t="n"/>
      <c r="AE117" s="384" t="n"/>
      <c r="AF117" s="384" t="n"/>
      <c r="AG117" s="920" t="inlineStr">
        <is>
          <t>A0020201</t>
        </is>
      </c>
      <c r="AH117" s="914">
        <f>IF(_epmOfflineCondition_,"A0020201",EPMOlapMemberO(AG117,"[C_ACCOUNT].[PARENTH1].[A0020201]","A0020201 -    其中：营业成本","","001"))</f>
        <v/>
      </c>
      <c r="AI117" s="966" t="inlineStr">
        <is>
          <t>二、营业成本</t>
        </is>
      </c>
      <c r="AJ117" s="1280">
        <f>ROW()-48</f>
        <v/>
      </c>
      <c r="AK117" s="1284" t="inlineStr"/>
      <c r="AL117" s="1284" t="n"/>
      <c r="AM117" s="384" t="n"/>
      <c r="AN117" s="384" t="n"/>
      <c r="AO117" s="384" t="n"/>
      <c r="AP117" s="384" t="n"/>
      <c r="AQ117" s="927" t="inlineStr">
        <is>
          <t>A001020120</t>
        </is>
      </c>
      <c r="AR117" s="960">
        <f>IF(_epmOfflineCondition_,"A001020120",EPMOlapMemberO(AQ117,"[C_ACCOUNT].[PARENTH1].[A001020120]","A001020120 -     持有待售负债","","002"))</f>
        <v/>
      </c>
      <c r="AS117" s="920">
        <f>IF(_epmOfflineCondition_,"    持有待售负债",EPMMemberDesc(AR117))</f>
        <v/>
      </c>
      <c r="AT117" s="1284" t="n"/>
      <c r="AU117" s="1290" t="n"/>
      <c r="AV117" s="155" t="n"/>
      <c r="AW117" s="155" t="n"/>
      <c r="AX117" s="384" t="n"/>
      <c r="AY117" s="384" t="n"/>
    </row>
    <row r="118">
      <c r="A118" s="384" t="n"/>
      <c r="B118" s="384" t="n"/>
      <c r="C118" s="384" t="n"/>
      <c r="D118" s="384" t="n"/>
      <c r="E118" s="384" t="n"/>
      <c r="F118" s="384" t="n"/>
      <c r="G118" s="384" t="n"/>
      <c r="H118" s="384" t="n"/>
      <c r="I118" s="384" t="n"/>
      <c r="J118" s="384" t="n"/>
      <c r="K118" s="384" t="n"/>
      <c r="L118" s="384" t="n"/>
      <c r="M118" s="384" t="n"/>
      <c r="N118" s="384" t="n"/>
      <c r="O118" s="384" t="n"/>
      <c r="P118" s="384" t="n"/>
      <c r="Q118" s="384" t="n"/>
      <c r="R118" s="384" t="n"/>
      <c r="S118" s="32" t="n"/>
      <c r="T118" s="384" t="n"/>
      <c r="U118" s="384" t="n"/>
      <c r="V118" s="384" t="n"/>
      <c r="W118" s="384" t="n"/>
      <c r="X118" s="38" t="n"/>
      <c r="Y118" s="384" t="n"/>
      <c r="Z118" s="384" t="n"/>
      <c r="AA118" s="384" t="n"/>
      <c r="AB118" s="384" t="n"/>
      <c r="AC118" s="384" t="n"/>
      <c r="AD118" s="384" t="n"/>
      <c r="AE118" s="384" t="n"/>
      <c r="AF118" s="384" t="n"/>
      <c r="AG118" s="920" t="inlineStr">
        <is>
          <t>A6401</t>
        </is>
      </c>
      <c r="AH118" s="917">
        <f>IF(_epmOfflineCondition_,"A6401",EPMOlapMemberO(AG118,"[C_ACCOUNT].[PARENTH1].[A6401]","A6401 - 主营业务成本","","001"))</f>
        <v/>
      </c>
      <c r="AI118" s="915" t="inlineStr">
        <is>
          <t>主营业务成本</t>
        </is>
      </c>
      <c r="AJ118" s="1280">
        <f>ROW()-48</f>
        <v/>
      </c>
      <c r="AK118" s="1284" t="inlineStr"/>
      <c r="AL118" s="1284" t="n"/>
      <c r="AM118" s="384" t="n"/>
      <c r="AN118" s="384" t="n"/>
      <c r="AO118" s="384" t="n"/>
      <c r="AP118" s="384" t="n"/>
      <c r="AQ118" s="927" t="inlineStr">
        <is>
          <t>A001020121</t>
        </is>
      </c>
      <c r="AR118" s="960">
        <f>IF(_epmOfflineCondition_,"A001020121",EPMOlapMemberO(AQ118,"[C_ACCOUNT].[PARENTH1].[A001020121]","A001020121 -     一年内到期的非流动负债","","002"))</f>
        <v/>
      </c>
      <c r="AS118" s="920">
        <f>IF(_epmOfflineCondition_,"    一年内到期的非流动负债",EPMMemberDesc(AR118))</f>
        <v/>
      </c>
      <c r="AT118" s="1284" t="inlineStr"/>
      <c r="AU118" s="1290" t="inlineStr"/>
      <c r="AV118" s="155" t="inlineStr"/>
      <c r="AW118" s="155" t="inlineStr"/>
      <c r="AX118" s="384" t="n"/>
      <c r="AY118" s="384" t="n"/>
    </row>
    <row r="119">
      <c r="A119" s="384" t="n"/>
      <c r="B119" s="384" t="n"/>
      <c r="C119" s="384" t="n"/>
      <c r="D119" s="384" t="n"/>
      <c r="E119" s="384" t="n"/>
      <c r="F119" s="384" t="n"/>
      <c r="G119" s="384" t="n"/>
      <c r="H119" s="384" t="n"/>
      <c r="I119" s="384" t="n"/>
      <c r="J119" s="384" t="n"/>
      <c r="K119" s="384" t="n"/>
      <c r="L119" s="384" t="n"/>
      <c r="M119" s="384" t="n"/>
      <c r="N119" s="384" t="n"/>
      <c r="O119" s="384" t="n"/>
      <c r="P119" s="384" t="n"/>
      <c r="Q119" s="384" t="n"/>
      <c r="R119" s="384" t="n"/>
      <c r="S119" s="32" t="n"/>
      <c r="T119" s="384" t="n"/>
      <c r="U119" s="384" t="n"/>
      <c r="V119" s="384" t="n"/>
      <c r="W119" s="384" t="n"/>
      <c r="X119" s="38" t="n"/>
      <c r="Y119" s="384" t="n"/>
      <c r="Z119" s="384" t="n"/>
      <c r="AA119" s="384" t="n"/>
      <c r="AB119" s="384" t="n"/>
      <c r="AC119" s="384" t="n"/>
      <c r="AD119" s="384" t="n"/>
      <c r="AE119" s="384" t="n"/>
      <c r="AF119" s="384" t="n"/>
      <c r="AG119" s="920" t="inlineStr">
        <is>
          <t>A6402</t>
        </is>
      </c>
      <c r="AH119" s="917">
        <f>IF(_epmOfflineCondition_,"A6402",EPMOlapMemberO(AG119,"[C_ACCOUNT].[PARENTH1].[A6402]","A6402 - 其他业务成本","","001"))</f>
        <v/>
      </c>
      <c r="AI119" s="915" t="inlineStr">
        <is>
          <t>其他业务成本</t>
        </is>
      </c>
      <c r="AJ119" s="1280">
        <f>ROW()-48</f>
        <v/>
      </c>
      <c r="AK119" s="1284" t="n"/>
      <c r="AL119" s="1284" t="n"/>
      <c r="AM119" s="384" t="n"/>
      <c r="AN119" s="384" t="n"/>
      <c r="AO119" s="384" t="n"/>
      <c r="AP119" s="384" t="n"/>
      <c r="AQ119" s="927" t="inlineStr">
        <is>
          <t>A001020122</t>
        </is>
      </c>
      <c r="AR119" s="960">
        <f>IF(_epmOfflineCondition_,"A001020122",EPMOlapMemberO(AQ119,"[C_ACCOUNT].[PARENTH1].[A001020122]","A001020122 -    其他流动负债","","002"))</f>
        <v/>
      </c>
      <c r="AS119" s="920">
        <f>IF(_epmOfflineCondition_,"   其他流动负债",EPMMemberDesc(AR119))</f>
        <v/>
      </c>
      <c r="AT119" s="1284" t="n"/>
      <c r="AU119" s="1290" t="n"/>
      <c r="AV119" s="155" t="n"/>
      <c r="AW119" s="155" t="n"/>
      <c r="AX119" s="384" t="n"/>
      <c r="AY119" s="384" t="n"/>
    </row>
    <row r="120">
      <c r="A120" s="384" t="n"/>
      <c r="B120" s="384" t="n"/>
      <c r="C120" s="384" t="n"/>
      <c r="D120" s="384" t="n"/>
      <c r="E120" s="384" t="n"/>
      <c r="F120" s="384" t="n"/>
      <c r="G120" s="384" t="n"/>
      <c r="H120" s="384" t="n"/>
      <c r="I120" s="384" t="n"/>
      <c r="J120" s="384" t="n"/>
      <c r="K120" s="384" t="n"/>
      <c r="L120" s="384" t="n"/>
      <c r="M120" s="384" t="n"/>
      <c r="N120" s="384" t="n"/>
      <c r="O120" s="384" t="n"/>
      <c r="P120" s="384" t="n"/>
      <c r="Q120" s="384" t="n"/>
      <c r="R120" s="384" t="n"/>
      <c r="S120" s="32" t="n"/>
      <c r="T120" s="384" t="n"/>
      <c r="U120" s="384" t="n"/>
      <c r="V120" s="384" t="n"/>
      <c r="W120" s="384" t="n"/>
      <c r="X120" s="38" t="n"/>
      <c r="Y120" s="384" t="n"/>
      <c r="Z120" s="384" t="n"/>
      <c r="AA120" s="384" t="n"/>
      <c r="AB120" s="384" t="n"/>
      <c r="AC120" s="384" t="n"/>
      <c r="AD120" s="384" t="n"/>
      <c r="AE120" s="384" t="n"/>
      <c r="AF120" s="384" t="n"/>
      <c r="AG120" s="905" t="n"/>
      <c r="AH120" s="905" t="n"/>
      <c r="AI120" s="905" t="n"/>
      <c r="AJ120" s="905" t="n"/>
      <c r="AK120" s="973" t="n"/>
      <c r="AL120" s="973" t="n"/>
      <c r="AM120" s="384" t="n"/>
      <c r="AN120" s="384" t="n"/>
      <c r="AO120" s="384" t="n"/>
      <c r="AP120" s="384" t="n"/>
      <c r="AQ120" s="927" t="inlineStr">
        <is>
          <t>A0010201</t>
        </is>
      </c>
      <c r="AR120" s="962">
        <f>IF(_epmOfflineCondition_,"A0010201",EPMOlapMemberO(AQ120,"[C_ACCOUNT].[PARENTH1].[A0010201]","A0010201 - 　       流动负债合计","","002"))</f>
        <v/>
      </c>
      <c r="AS120" s="920">
        <f>IF(_epmOfflineCondition_,"　       流动负债合计",EPMMemberDesc(AR120))</f>
        <v/>
      </c>
      <c r="AT120" s="1284" t="inlineStr"/>
      <c r="AU120" s="1290" t="inlineStr"/>
      <c r="AV120" s="155" t="inlineStr"/>
      <c r="AW120" s="155" t="inlineStr"/>
      <c r="AX120" s="384" t="n"/>
      <c r="AY120" s="384" t="n"/>
    </row>
    <row r="121">
      <c r="A121" s="384" t="n"/>
      <c r="B121" s="384" t="n"/>
      <c r="C121" s="384" t="n"/>
      <c r="D121" s="384" t="n"/>
      <c r="E121" s="384" t="n"/>
      <c r="F121" s="384" t="n"/>
      <c r="G121" s="384" t="n"/>
      <c r="H121" s="384" t="n"/>
      <c r="I121" s="384" t="n"/>
      <c r="J121" s="384" t="n"/>
      <c r="K121" s="384" t="n"/>
      <c r="L121" s="384" t="n"/>
      <c r="M121" s="384" t="n"/>
      <c r="N121" s="384" t="n"/>
      <c r="O121" s="384" t="n"/>
      <c r="P121" s="384" t="n"/>
      <c r="Q121" s="384" t="n"/>
      <c r="R121" s="384" t="n"/>
      <c r="S121" s="32" t="n"/>
      <c r="T121" s="384" t="n"/>
      <c r="U121" s="384" t="n"/>
      <c r="V121" s="384" t="n"/>
      <c r="W121" s="384" t="n"/>
      <c r="X121" s="38" t="n"/>
      <c r="Y121" s="384" t="n"/>
      <c r="Z121" s="384" t="n"/>
      <c r="AA121" s="384" t="n"/>
      <c r="AB121" s="384" t="n"/>
      <c r="AC121" s="384" t="n"/>
      <c r="AD121" s="384" t="n"/>
      <c r="AE121" s="384" t="n"/>
      <c r="AF121" s="384" t="n"/>
      <c r="AG121" s="905" t="n"/>
      <c r="AH121" s="905" t="n"/>
      <c r="AI121" s="905" t="n"/>
      <c r="AJ121" s="905" t="n"/>
      <c r="AK121" s="973" t="n"/>
      <c r="AL121" s="973" t="n"/>
      <c r="AM121" s="384" t="n"/>
      <c r="AN121" s="384" t="n"/>
      <c r="AO121" s="384" t="n"/>
      <c r="AP121" s="384" t="n"/>
      <c r="AQ121" s="927" t="inlineStr">
        <is>
          <t>A0010499</t>
        </is>
      </c>
      <c r="AR121" s="921">
        <f>IF(_epmOfflineCondition_,"A0010499",EPMOlapMemberO(AQ121,"[C_ACCOUNT].[PARENTH1].[A0010499]","A0010499 - 非流动负债：","","002"))</f>
        <v/>
      </c>
      <c r="AS121" s="920">
        <f>IF(_epmOfflineCondition_,"非流动负债：",EPMMemberDesc(AR121))</f>
        <v/>
      </c>
      <c r="AT121" s="1284" t="n"/>
      <c r="AU121" s="1290" t="n"/>
      <c r="AV121" s="155" t="n"/>
      <c r="AW121" s="155" t="n"/>
      <c r="AX121" s="384" t="n"/>
      <c r="AY121" s="384" t="n"/>
    </row>
    <row r="122" ht="28.8" customHeight="1" s="1181">
      <c r="A122" s="384" t="n"/>
      <c r="B122" s="384" t="n"/>
      <c r="C122" s="384" t="n"/>
      <c r="D122" s="384" t="n"/>
      <c r="E122" s="384" t="n"/>
      <c r="F122" s="384" t="n"/>
      <c r="G122" s="384" t="n"/>
      <c r="H122" s="384" t="n"/>
      <c r="I122" s="384" t="n"/>
      <c r="J122" s="384" t="n"/>
      <c r="K122" s="384" t="n"/>
      <c r="L122" s="384" t="n"/>
      <c r="M122" s="384" t="n"/>
      <c r="N122" s="384" t="n"/>
      <c r="O122" s="384" t="n"/>
      <c r="P122" s="384" t="n"/>
      <c r="Q122" s="384" t="n"/>
      <c r="R122" s="384" t="n"/>
      <c r="S122" s="32" t="n"/>
      <c r="T122" s="384" t="n"/>
      <c r="U122" s="384" t="n"/>
      <c r="V122" s="384" t="n"/>
      <c r="W122" s="384" t="n"/>
      <c r="X122" s="38" t="n"/>
      <c r="Y122" s="384" t="n"/>
      <c r="Z122" s="384" t="n"/>
      <c r="AA122" s="384" t="n"/>
      <c r="AB122" s="384" t="n"/>
      <c r="AC122" s="384" t="n"/>
      <c r="AD122" s="384" t="n"/>
      <c r="AE122" s="384" t="n"/>
      <c r="AF122" s="384" t="n"/>
      <c r="AG122" s="905" t="n"/>
      <c r="AH122" s="905" t="n"/>
      <c r="AI122" s="905" t="n"/>
      <c r="AJ122" s="970" t="inlineStr">
        <is>
          <t>现金流量表</t>
        </is>
      </c>
      <c r="AK122" s="974" t="n"/>
      <c r="AL122" s="974" t="n"/>
      <c r="AM122" s="384" t="n"/>
      <c r="AN122" s="384" t="n"/>
      <c r="AO122" s="384" t="n"/>
      <c r="AP122" s="384" t="n"/>
      <c r="AQ122" s="927" t="inlineStr">
        <is>
          <t>A001020201</t>
        </is>
      </c>
      <c r="AR122" s="960">
        <f>IF(_epmOfflineCondition_,"A001020201",EPMOlapMemberO(AQ122,"[C_ACCOUNT].[PARENTH1].[A001020201]","A001020201 -   长期借款","","002"))</f>
        <v/>
      </c>
      <c r="AS122" s="920">
        <f>IF(_epmOfflineCondition_,"  长期借款",EPMMemberDesc(AR122))</f>
        <v/>
      </c>
      <c r="AT122" s="1284" t="inlineStr"/>
      <c r="AU122" s="1290" t="inlineStr"/>
      <c r="AV122" s="155" t="inlineStr"/>
      <c r="AW122" s="155" t="inlineStr"/>
      <c r="AX122" s="384" t="n"/>
      <c r="AY122" s="384" t="n"/>
    </row>
    <row r="123">
      <c r="A123" s="384" t="n"/>
      <c r="B123" s="384" t="n"/>
      <c r="C123" s="384" t="n"/>
      <c r="D123" s="384" t="n"/>
      <c r="E123" s="384" t="n"/>
      <c r="F123" s="384" t="n"/>
      <c r="G123" s="384" t="n"/>
      <c r="H123" s="384" t="n"/>
      <c r="I123" s="384" t="n"/>
      <c r="J123" s="384" t="n"/>
      <c r="K123" s="384" t="n"/>
      <c r="L123" s="384" t="n"/>
      <c r="M123" s="384" t="n"/>
      <c r="N123" s="384" t="n"/>
      <c r="O123" s="384" t="n"/>
      <c r="P123" s="384" t="n"/>
      <c r="Q123" s="384" t="n"/>
      <c r="R123" s="384" t="n"/>
      <c r="S123" s="32" t="n"/>
      <c r="T123" s="384" t="n"/>
      <c r="U123" s="384" t="n"/>
      <c r="V123" s="384" t="n"/>
      <c r="W123" s="384" t="n"/>
      <c r="X123" s="38" t="n"/>
      <c r="Y123" s="384" t="n"/>
      <c r="Z123" s="384" t="n"/>
      <c r="AA123" s="384" t="n"/>
      <c r="AB123" s="384" t="n"/>
      <c r="AC123" s="384" t="n"/>
      <c r="AD123" s="384" t="n"/>
      <c r="AE123" s="384" t="n"/>
      <c r="AF123" s="384" t="n"/>
      <c r="AG123" s="905" t="n"/>
      <c r="AH123" s="905" t="n"/>
      <c r="AI123" s="905" t="n"/>
      <c r="AJ123" s="905" t="n"/>
      <c r="AK123" s="973" t="n"/>
      <c r="AL123" s="973" t="n"/>
      <c r="AM123" s="384" t="n"/>
      <c r="AN123" s="384" t="n"/>
      <c r="AO123" s="384" t="n"/>
      <c r="AP123" s="384" t="n"/>
      <c r="AQ123" s="927" t="inlineStr">
        <is>
          <t>A001020202</t>
        </is>
      </c>
      <c r="AR123" s="960">
        <f>IF(_epmOfflineCondition_,"A001020202",EPMOlapMemberO(AQ123,"[C_ACCOUNT].[PARENTH1].[A001020202]","A001020202 -   应付债券","","002"))</f>
        <v/>
      </c>
      <c r="AS123" s="920">
        <f>IF(_epmOfflineCondition_,"  应付债券",EPMMemberDesc(AR123))</f>
        <v/>
      </c>
      <c r="AT123" s="1284" t="n"/>
      <c r="AU123" s="1290" t="n"/>
      <c r="AV123" s="155" t="n"/>
      <c r="AW123" s="155" t="n"/>
      <c r="AX123" s="384" t="n"/>
      <c r="AY123" s="384" t="n"/>
    </row>
    <row r="124">
      <c r="A124" s="384" t="n"/>
      <c r="B124" s="384" t="n"/>
      <c r="C124" s="384" t="n"/>
      <c r="D124" s="384" t="n"/>
      <c r="E124" s="384" t="n"/>
      <c r="F124" s="384" t="n"/>
      <c r="G124" s="384" t="n"/>
      <c r="H124" s="384" t="n"/>
      <c r="I124" s="384" t="n"/>
      <c r="J124" s="384" t="n"/>
      <c r="K124" s="384" t="n"/>
      <c r="L124" s="384" t="n"/>
      <c r="M124" s="384" t="n"/>
      <c r="N124" s="384" t="n"/>
      <c r="O124" s="384" t="n"/>
      <c r="P124" s="384" t="n"/>
      <c r="Q124" s="384" t="n"/>
      <c r="R124" s="384" t="n"/>
      <c r="S124" s="32" t="n"/>
      <c r="T124" s="384" t="n"/>
      <c r="U124" s="384" t="n"/>
      <c r="V124" s="384" t="n"/>
      <c r="W124" s="384" t="n"/>
      <c r="X124" s="38" t="n"/>
      <c r="Y124" s="384" t="n"/>
      <c r="Z124" s="384" t="n"/>
      <c r="AA124" s="384" t="n"/>
      <c r="AB124" s="384" t="n"/>
      <c r="AC124" s="384" t="n"/>
      <c r="AD124" s="384" t="n"/>
      <c r="AE124" s="384" t="n"/>
      <c r="AF124" s="384" t="n"/>
      <c r="AG124" s="920" t="inlineStr">
        <is>
          <t>A0030120</t>
        </is>
      </c>
      <c r="AH124" s="960">
        <f>IF(_epmOfflineCondition_,"A0030120",EPMOlapMemberO(AG124,"[C_ACCOUNT].[PARENTH1].[A0030120]","A0030120 -               经营活动产生的现金流量净额","","001"))</f>
        <v/>
      </c>
      <c r="AI124" s="915" t="inlineStr">
        <is>
          <t>经营活动现金流量净额</t>
        </is>
      </c>
      <c r="AJ124" s="1280" t="n"/>
      <c r="AK124" s="1284" t="inlineStr"/>
      <c r="AL124" s="1284" t="n"/>
      <c r="AM124" s="384" t="n"/>
      <c r="AN124" s="384" t="n"/>
      <c r="AO124" s="384" t="n"/>
      <c r="AP124" s="384" t="n"/>
      <c r="AQ124" s="927" t="inlineStr">
        <is>
          <t>A00102020201</t>
        </is>
      </c>
      <c r="AR124" s="975">
        <f>IF(_epmOfflineCondition_,"A00102020201",EPMOlapMemberO(AQ124,"[C_ACCOUNT].[PARENTH1].[A00102020201]","A00102020201 -       其中：优先股","","002"))</f>
        <v/>
      </c>
      <c r="AS124" s="920">
        <f>IF(_epmOfflineCondition_,"      其中：优先股",EPMMemberDesc(AR124))</f>
        <v/>
      </c>
      <c r="AT124" s="1284" t="n"/>
      <c r="AU124" s="1290" t="n"/>
      <c r="AV124" s="155" t="n"/>
      <c r="AW124" s="155" t="n"/>
      <c r="AX124" s="384" t="n"/>
      <c r="AY124" s="384" t="n"/>
    </row>
    <row r="125">
      <c r="A125" s="384" t="n"/>
      <c r="B125" s="384" t="n"/>
      <c r="C125" s="384" t="n"/>
      <c r="D125" s="384" t="n"/>
      <c r="E125" s="384" t="n"/>
      <c r="F125" s="384" t="n"/>
      <c r="G125" s="384" t="n"/>
      <c r="H125" s="384" t="n"/>
      <c r="I125" s="384" t="n"/>
      <c r="J125" s="384" t="n"/>
      <c r="K125" s="384" t="n"/>
      <c r="L125" s="384" t="n"/>
      <c r="M125" s="384" t="n"/>
      <c r="N125" s="384" t="n"/>
      <c r="O125" s="384" t="n"/>
      <c r="P125" s="384" t="n"/>
      <c r="Q125" s="384" t="n"/>
      <c r="R125" s="384" t="n"/>
      <c r="S125" s="32" t="n"/>
      <c r="T125" s="384" t="n"/>
      <c r="U125" s="384" t="n"/>
      <c r="V125" s="384" t="n"/>
      <c r="W125" s="384" t="n"/>
      <c r="X125" s="38" t="n"/>
      <c r="Y125" s="384" t="n"/>
      <c r="Z125" s="384" t="n"/>
      <c r="AA125" s="384" t="n"/>
      <c r="AB125" s="384" t="n"/>
      <c r="AC125" s="384" t="n"/>
      <c r="AD125" s="384" t="n"/>
      <c r="AE125" s="384" t="n"/>
      <c r="AF125" s="384" t="n"/>
      <c r="AG125" s="920" t="inlineStr">
        <is>
          <t>A0030111</t>
        </is>
      </c>
      <c r="AH125" s="975">
        <f>IF(_epmOfflineCondition_,"A0030111",EPMOlapMemberO(AG125,"[C_ACCOUNT].[PARENTH1].[A0030111]","A0030111 -        经营活动现金流入小计","","001"))</f>
        <v/>
      </c>
      <c r="AI125" s="915" t="inlineStr">
        <is>
          <t>经营活动现金流入小计</t>
        </is>
      </c>
      <c r="AJ125" s="1280" t="n"/>
      <c r="AK125" s="1284" t="inlineStr"/>
      <c r="AL125" s="1284" t="n"/>
      <c r="AM125" s="384" t="n"/>
      <c r="AN125" s="384" t="n"/>
      <c r="AO125" s="384" t="n"/>
      <c r="AP125" s="384" t="n"/>
      <c r="AQ125" s="927" t="inlineStr">
        <is>
          <t>A00102020202</t>
        </is>
      </c>
      <c r="AR125" s="975">
        <f>IF(_epmOfflineCondition_,"A00102020202",EPMOlapMemberO(AQ125,"[C_ACCOUNT].[PARENTH1].[A00102020202]","A00102020202 -                  永续债","","002"))</f>
        <v/>
      </c>
      <c r="AS125" s="920">
        <f>IF(_epmOfflineCondition_,"                 永续债",EPMMemberDesc(AR125))</f>
        <v/>
      </c>
      <c r="AT125" s="1284" t="n"/>
      <c r="AU125" s="1290" t="n"/>
      <c r="AV125" s="155" t="n"/>
      <c r="AW125" s="155" t="n"/>
      <c r="AX125" s="384" t="n"/>
      <c r="AY125" s="384" t="n"/>
    </row>
    <row r="126">
      <c r="A126" s="384" t="n"/>
      <c r="B126" s="384" t="n"/>
      <c r="C126" s="384" t="n"/>
      <c r="D126" s="384" t="n"/>
      <c r="E126" s="384" t="n"/>
      <c r="F126" s="384" t="n"/>
      <c r="G126" s="384" t="n"/>
      <c r="H126" s="384" t="n"/>
      <c r="I126" s="384" t="n"/>
      <c r="J126" s="384" t="n"/>
      <c r="K126" s="384" t="n"/>
      <c r="L126" s="384" t="n"/>
      <c r="M126" s="384" t="n"/>
      <c r="N126" s="384" t="n"/>
      <c r="O126" s="384" t="n"/>
      <c r="P126" s="384" t="n"/>
      <c r="Q126" s="384" t="n"/>
      <c r="R126" s="384" t="n"/>
      <c r="S126" s="32" t="n"/>
      <c r="T126" s="384" t="n"/>
      <c r="U126" s="384" t="n"/>
      <c r="V126" s="384" t="n"/>
      <c r="W126" s="384" t="n"/>
      <c r="X126" s="38" t="n"/>
      <c r="Y126" s="384" t="n"/>
      <c r="Z126" s="384" t="n"/>
      <c r="AA126" s="384" t="n"/>
      <c r="AB126" s="384" t="n"/>
      <c r="AC126" s="384" t="n"/>
      <c r="AD126" s="384" t="n"/>
      <c r="AE126" s="384" t="n"/>
      <c r="AF126" s="384" t="n"/>
      <c r="AG126" s="905" t="n"/>
      <c r="AH126" s="905" t="n"/>
      <c r="AI126" s="905" t="n"/>
      <c r="AJ126" s="905" t="n"/>
      <c r="AK126" s="905" t="n"/>
      <c r="AL126" s="905" t="n"/>
      <c r="AM126" s="384" t="n"/>
      <c r="AN126" s="384" t="n"/>
      <c r="AO126" s="384" t="n"/>
      <c r="AP126" s="384" t="n"/>
      <c r="AQ126" s="927" t="inlineStr">
        <is>
          <t>A001020203</t>
        </is>
      </c>
      <c r="AR126" s="960">
        <f>IF(_epmOfflineCondition_,"A001020203",EPMOlapMemberO(AQ126,"[C_ACCOUNT].[PARENTH1].[A001020203]","A001020203 -   租赁负债","","002"))</f>
        <v/>
      </c>
      <c r="AS126" s="920">
        <f>IF(_epmOfflineCondition_,"  租赁负债",EPMMemberDesc(AR126))</f>
        <v/>
      </c>
      <c r="AT126" s="1284" t="n"/>
      <c r="AU126" s="1290" t="n"/>
      <c r="AV126" s="155" t="n"/>
      <c r="AW126" s="155" t="n"/>
      <c r="AX126" s="384" t="n"/>
      <c r="AY126" s="384" t="n"/>
    </row>
    <row r="127">
      <c r="A127" s="384" t="n"/>
      <c r="B127" s="384" t="n"/>
      <c r="C127" s="384" t="n"/>
      <c r="D127" s="384" t="n"/>
      <c r="E127" s="384" t="n"/>
      <c r="F127" s="384" t="n"/>
      <c r="G127" s="384" t="n"/>
      <c r="H127" s="384" t="n"/>
      <c r="I127" s="384" t="n"/>
      <c r="J127" s="384" t="n"/>
      <c r="K127" s="384" t="n"/>
      <c r="L127" s="384" t="n"/>
      <c r="M127" s="384" t="n"/>
      <c r="N127" s="384" t="n"/>
      <c r="O127" s="384" t="n"/>
      <c r="P127" s="384" t="n"/>
      <c r="Q127" s="384" t="n"/>
      <c r="R127" s="384" t="n"/>
      <c r="S127" s="32" t="n"/>
      <c r="T127" s="384" t="n"/>
      <c r="U127" s="384" t="n"/>
      <c r="V127" s="384" t="n"/>
      <c r="W127" s="384" t="n"/>
      <c r="X127" s="38" t="n"/>
      <c r="Y127" s="384" t="n"/>
      <c r="Z127" s="384" t="n"/>
      <c r="AA127" s="384" t="n"/>
      <c r="AB127" s="384" t="n"/>
      <c r="AC127" s="384" t="n"/>
      <c r="AD127" s="384" t="n"/>
      <c r="AE127" s="384" t="n"/>
      <c r="AF127" s="384" t="n"/>
      <c r="AG127" s="905" t="n"/>
      <c r="AH127" s="905" t="n"/>
      <c r="AI127" s="905" t="n"/>
      <c r="AJ127" s="905" t="n"/>
      <c r="AK127" s="905" t="n"/>
      <c r="AL127" s="905" t="n"/>
      <c r="AM127" s="384" t="n"/>
      <c r="AN127" s="384" t="n"/>
      <c r="AO127" s="384" t="n"/>
      <c r="AP127" s="384" t="n"/>
      <c r="AQ127" s="927" t="inlineStr">
        <is>
          <t>A001020204</t>
        </is>
      </c>
      <c r="AR127" s="960">
        <f>IF(_epmOfflineCondition_,"A001020204",EPMOlapMemberO(AQ127,"[C_ACCOUNT].[PARENTH1].[A001020204]","A001020204 -   长期应付款","","002"))</f>
        <v/>
      </c>
      <c r="AS127" s="920">
        <f>IF(_epmOfflineCondition_,"  长期应付款",EPMMemberDesc(AR127))</f>
        <v/>
      </c>
      <c r="AT127" s="1284" t="inlineStr"/>
      <c r="AU127" s="1290" t="inlineStr"/>
      <c r="AV127" s="155" t="inlineStr"/>
      <c r="AW127" s="155" t="inlineStr"/>
      <c r="AX127" s="384" t="n"/>
      <c r="AY127" s="384" t="n"/>
    </row>
    <row r="128" ht="28.8" customHeight="1" s="1181">
      <c r="A128" s="384" t="n"/>
      <c r="B128" s="384" t="n"/>
      <c r="C128" s="384" t="n"/>
      <c r="D128" s="384" t="n"/>
      <c r="E128" s="384" t="n"/>
      <c r="F128" s="384" t="n"/>
      <c r="G128" s="384" t="n"/>
      <c r="H128" s="384" t="n"/>
      <c r="I128" s="384" t="n"/>
      <c r="J128" s="384" t="n"/>
      <c r="K128" s="384" t="n"/>
      <c r="L128" s="384" t="n"/>
      <c r="M128" s="384" t="n"/>
      <c r="N128" s="384" t="n"/>
      <c r="O128" s="384" t="n"/>
      <c r="P128" s="384" t="n"/>
      <c r="Q128" s="384" t="n"/>
      <c r="R128" s="384" t="n"/>
      <c r="S128" s="32" t="n"/>
      <c r="T128" s="384" t="n"/>
      <c r="U128" s="384" t="n"/>
      <c r="V128" s="384" t="n"/>
      <c r="W128" s="384" t="n"/>
      <c r="X128" s="38" t="n"/>
      <c r="Y128" s="384" t="n"/>
      <c r="Z128" s="384" t="n"/>
      <c r="AA128" s="384" t="n"/>
      <c r="AB128" s="384" t="n"/>
      <c r="AC128" s="384" t="n"/>
      <c r="AD128" s="384" t="n"/>
      <c r="AE128" s="384" t="n"/>
      <c r="AF128" s="384" t="n"/>
      <c r="AG128" s="905" t="n"/>
      <c r="AH128" s="970" t="inlineStr">
        <is>
          <t>人工成本表</t>
        </is>
      </c>
      <c r="AI128" s="1183" t="n"/>
      <c r="AJ128" s="905" t="inlineStr">
        <is>
          <t>本年累计</t>
        </is>
      </c>
      <c r="AK128" s="905" t="inlineStr">
        <is>
          <t>上年同期</t>
        </is>
      </c>
      <c r="AL128" s="905" t="n"/>
      <c r="AM128" s="384" t="n"/>
      <c r="AN128" s="384" t="n"/>
      <c r="AO128" s="384" t="n"/>
      <c r="AP128" s="384" t="n"/>
      <c r="AQ128" s="927" t="inlineStr">
        <is>
          <t>A001020205</t>
        </is>
      </c>
      <c r="AR128" s="960">
        <f>IF(_epmOfflineCondition_,"A001020205",EPMOlapMemberO(AQ128,"[C_ACCOUNT].[PARENTH1].[A001020205]","A001020205 -   长期应付职工薪酬","","002"))</f>
        <v/>
      </c>
      <c r="AS128" s="920">
        <f>IF(_epmOfflineCondition_,"  长期应付职工薪酬",EPMMemberDesc(AR128))</f>
        <v/>
      </c>
      <c r="AT128" s="1284" t="n"/>
      <c r="AU128" s="1290" t="n"/>
      <c r="AV128" s="155" t="n"/>
      <c r="AW128" s="155" t="n"/>
      <c r="AX128" s="384" t="n"/>
      <c r="AY128" s="384" t="n"/>
    </row>
    <row r="129">
      <c r="A129" s="384" t="n"/>
      <c r="B129" s="384" t="n"/>
      <c r="C129" s="384" t="n"/>
      <c r="D129" s="384" t="n"/>
      <c r="E129" s="384" t="n"/>
      <c r="F129" s="384" t="n"/>
      <c r="G129" s="384" t="n"/>
      <c r="H129" s="384" t="n"/>
      <c r="I129" s="384" t="n"/>
      <c r="J129" s="384" t="n"/>
      <c r="K129" s="384" t="n"/>
      <c r="L129" s="384" t="n"/>
      <c r="M129" s="384" t="n"/>
      <c r="N129" s="384" t="n"/>
      <c r="O129" s="384" t="n"/>
      <c r="P129" s="384" t="n"/>
      <c r="Q129" s="384" t="n"/>
      <c r="R129" s="384" t="n"/>
      <c r="S129" s="32" t="n"/>
      <c r="T129" s="384" t="n"/>
      <c r="U129" s="384" t="n"/>
      <c r="V129" s="384" t="n"/>
      <c r="W129" s="384" t="n"/>
      <c r="X129" s="38" t="n"/>
      <c r="Y129" s="384" t="n"/>
      <c r="Z129" s="384" t="n"/>
      <c r="AA129" s="384" t="n"/>
      <c r="AB129" s="384" t="n"/>
      <c r="AC129" s="384" t="n"/>
      <c r="AD129" s="384" t="n"/>
      <c r="AE129" s="384" t="n"/>
      <c r="AF129" s="384" t="n"/>
      <c r="AG129" s="905" t="n"/>
      <c r="AH129" s="905" t="n"/>
      <c r="AI129" s="905" t="n"/>
      <c r="AJ129" s="905" t="inlineStr">
        <is>
          <t>DALL</t>
        </is>
      </c>
      <c r="AK129" s="905" t="inlineStr">
        <is>
          <t>F20</t>
        </is>
      </c>
      <c r="AL129" s="905" t="inlineStr">
        <is>
          <t>F30</t>
        </is>
      </c>
      <c r="AM129" s="384" t="n"/>
      <c r="AN129" s="384" t="n"/>
      <c r="AO129" s="384" t="n"/>
      <c r="AP129" s="384" t="n"/>
      <c r="AQ129" s="927" t="inlineStr">
        <is>
          <t>A001020206</t>
        </is>
      </c>
      <c r="AR129" s="960">
        <f>IF(_epmOfflineCondition_,"A001020206",EPMOlapMemberO(AQ129,"[C_ACCOUNT].[PARENTH1].[A001020206]","A001020206 -   专项应付款","","002"))</f>
        <v/>
      </c>
      <c r="AS129" s="920">
        <f>IF(_epmOfflineCondition_,"  专项应付款",EPMMemberDesc(AR129))</f>
        <v/>
      </c>
      <c r="AT129" s="1284" t="n"/>
      <c r="AU129" s="1290" t="n"/>
      <c r="AV129" s="155" t="n"/>
      <c r="AW129" s="155" t="n"/>
      <c r="AX129" s="384" t="n"/>
      <c r="AY129" s="384" t="n"/>
    </row>
    <row r="130">
      <c r="A130" s="384" t="n"/>
      <c r="B130" s="384" t="n"/>
      <c r="C130" s="384" t="n"/>
      <c r="D130" s="384" t="n"/>
      <c r="E130" s="384" t="n"/>
      <c r="F130" s="384" t="n"/>
      <c r="G130" s="384" t="n"/>
      <c r="H130" s="384" t="n"/>
      <c r="I130" s="384" t="n"/>
      <c r="J130" s="384" t="n"/>
      <c r="K130" s="384" t="n"/>
      <c r="L130" s="384" t="n"/>
      <c r="M130" s="384" t="n"/>
      <c r="N130" s="384" t="n"/>
      <c r="O130" s="384" t="n"/>
      <c r="P130" s="384" t="n"/>
      <c r="Q130" s="384" t="n"/>
      <c r="R130" s="384" t="n"/>
      <c r="S130" s="32" t="n"/>
      <c r="T130" s="384" t="n"/>
      <c r="U130" s="384" t="n"/>
      <c r="V130" s="384" t="n"/>
      <c r="W130" s="384" t="n"/>
      <c r="X130" s="38" t="n"/>
      <c r="Y130" s="384" t="n"/>
      <c r="Z130" s="384" t="n"/>
      <c r="AA130" s="384" t="n"/>
      <c r="AB130" s="384" t="n"/>
      <c r="AC130" s="384" t="n"/>
      <c r="AD130" s="384" t="n"/>
      <c r="AE130" s="384" t="n"/>
      <c r="AF130" s="384" t="n"/>
      <c r="AG130" s="905" t="n"/>
      <c r="AH130" s="905" t="inlineStr">
        <is>
          <t>A00702</t>
        </is>
      </c>
      <c r="AI130" s="905" t="inlineStr">
        <is>
          <t>从业人员人工成本总额</t>
        </is>
      </c>
      <c r="AJ130" s="1291">
        <f>IF(_epmOfflineCondition_,0,ABS(EPMRetrieveData(,AH130,$AK$25,$AK$26,$AK$29,$C$21,$C$22,$C$25,$C$26,$C$27,$C$28,$C$29,$AJ$129,$AK$129)))</f>
        <v/>
      </c>
      <c r="AK130" s="1291">
        <f>IF(_epmOfflineCondition_,1077264.95,ABS(EPMRetrieveData(,AH130,$AK$25,$AL$26,$AK$29,$C$21,$C$22,$C$25,$C$26,$C$27,$C$28,$C$29,$AJ$129,$AK$129)))</f>
        <v/>
      </c>
      <c r="AL130" s="905" t="n"/>
      <c r="AM130" s="384" t="n"/>
      <c r="AN130" s="384" t="n"/>
      <c r="AO130" s="384" t="n"/>
      <c r="AP130" s="384" t="n"/>
      <c r="AQ130" s="927" t="inlineStr">
        <is>
          <t>A001020207</t>
        </is>
      </c>
      <c r="AR130" s="960">
        <f>IF(_epmOfflineCondition_,"A001020207",EPMOlapMemberO(AQ130,"[C_ACCOUNT].[PARENTH1].[A001020207]","A001020207 -   预计负债","","002"))</f>
        <v/>
      </c>
      <c r="AS130" s="920">
        <f>IF(_epmOfflineCondition_,"  预计负债",EPMMemberDesc(AR130))</f>
        <v/>
      </c>
      <c r="AT130" s="1284" t="n"/>
      <c r="AU130" s="1290" t="n"/>
      <c r="AV130" s="155" t="n"/>
      <c r="AW130" s="155" t="n"/>
      <c r="AX130" s="384" t="n"/>
      <c r="AY130" s="384" t="n"/>
    </row>
    <row r="131">
      <c r="A131" s="384" t="n"/>
      <c r="B131" s="384" t="n"/>
      <c r="C131" s="384" t="n"/>
      <c r="D131" s="384" t="n"/>
      <c r="E131" s="384" t="n"/>
      <c r="F131" s="384" t="n"/>
      <c r="G131" s="384" t="n"/>
      <c r="H131" s="384" t="n"/>
      <c r="I131" s="384" t="n"/>
      <c r="J131" s="384" t="n"/>
      <c r="K131" s="384" t="n"/>
      <c r="L131" s="384" t="n"/>
      <c r="M131" s="384" t="n"/>
      <c r="N131" s="384" t="n"/>
      <c r="O131" s="384" t="n"/>
      <c r="P131" s="384" t="n"/>
      <c r="Q131" s="384" t="n"/>
      <c r="R131" s="384" t="n"/>
      <c r="S131" s="32" t="n"/>
      <c r="T131" s="384" t="n"/>
      <c r="U131" s="384" t="n"/>
      <c r="V131" s="384" t="n"/>
      <c r="W131" s="384" t="n"/>
      <c r="X131" s="38" t="n"/>
      <c r="Y131" s="384" t="n"/>
      <c r="Z131" s="384" t="n"/>
      <c r="AA131" s="384" t="n"/>
      <c r="AB131" s="384" t="n"/>
      <c r="AC131" s="384" t="n"/>
      <c r="AD131" s="384" t="n"/>
      <c r="AE131" s="384" t="n"/>
      <c r="AF131" s="384" t="n"/>
      <c r="AG131" s="905" t="n"/>
      <c r="AH131" s="986" t="inlineStr">
        <is>
          <t>A0070702</t>
        </is>
      </c>
      <c r="AI131" s="905" t="inlineStr">
        <is>
          <t>全年平均职工人数</t>
        </is>
      </c>
      <c r="AJ131" s="1291">
        <f>IF(_epmOfflineCondition_,21,EPMRetrieveData(,AH131,$AK$25,$AK$26,$AK$29,$C$21,$C$22,$C$25,$C$26,$C$27,$C$28,$C$29,$AJ$129,$AK$129))</f>
        <v/>
      </c>
      <c r="AK131" s="1291">
        <f>IF(_epmOfflineCondition_,12,ABS(EPMRetrieveData(,AH131,$AK$25,$AL$26,$AK$29,$C$21,$C$22,$C$25,$C$26,$C$27,$C$28,$C$29,$AJ$129,$AK$129)))</f>
        <v/>
      </c>
      <c r="AL131" s="905" t="n"/>
      <c r="AM131" s="384" t="n"/>
      <c r="AN131" s="384" t="n"/>
      <c r="AO131" s="384" t="n"/>
      <c r="AP131" s="384" t="n"/>
      <c r="AQ131" s="927" t="inlineStr">
        <is>
          <t>A001020208</t>
        </is>
      </c>
      <c r="AR131" s="960">
        <f>IF(_epmOfflineCondition_,"A001020208",EPMOlapMemberO(AQ131,"[C_ACCOUNT].[PARENTH1].[A001020208]","A001020208 -   递延收益","","002"))</f>
        <v/>
      </c>
      <c r="AS131" s="920">
        <f>IF(_epmOfflineCondition_,"  递延收益",EPMMemberDesc(AR131))</f>
        <v/>
      </c>
      <c r="AT131" s="1284" t="n"/>
      <c r="AU131" s="1290" t="n"/>
      <c r="AV131" s="155" t="n"/>
      <c r="AW131" s="155" t="n"/>
      <c r="AX131" s="384" t="n"/>
      <c r="AY131" s="384" t="n"/>
    </row>
    <row r="132">
      <c r="A132" s="384" t="n"/>
      <c r="B132" s="384" t="n"/>
      <c r="C132" s="384" t="n"/>
      <c r="D132" s="384" t="n"/>
      <c r="E132" s="384" t="n"/>
      <c r="F132" s="384" t="n"/>
      <c r="G132" s="384" t="n"/>
      <c r="H132" s="384" t="n"/>
      <c r="I132" s="384" t="n"/>
      <c r="J132" s="384" t="n"/>
      <c r="K132" s="384" t="n"/>
      <c r="L132" s="384" t="n"/>
      <c r="M132" s="384" t="n"/>
      <c r="N132" s="384" t="n"/>
      <c r="O132" s="384" t="n"/>
      <c r="P132" s="384" t="n"/>
      <c r="Q132" s="384" t="n"/>
      <c r="R132" s="384" t="n"/>
      <c r="S132" s="32" t="n"/>
      <c r="T132" s="384" t="n"/>
      <c r="U132" s="384" t="n"/>
      <c r="V132" s="384" t="n"/>
      <c r="W132" s="384" t="n"/>
      <c r="X132" s="38" t="n"/>
      <c r="Y132" s="384" t="n"/>
      <c r="Z132" s="384" t="n"/>
      <c r="AA132" s="384" t="n"/>
      <c r="AB132" s="384" t="n"/>
      <c r="AC132" s="384" t="n"/>
      <c r="AD132" s="384" t="n"/>
      <c r="AE132" s="384" t="n"/>
      <c r="AF132" s="384" t="n"/>
      <c r="AG132" s="905" t="n"/>
      <c r="AH132" s="986" t="inlineStr">
        <is>
          <t>A0070701</t>
        </is>
      </c>
      <c r="AI132" s="905" t="inlineStr">
        <is>
          <t>全年平均从业人员人数</t>
        </is>
      </c>
      <c r="AJ132" s="1291">
        <f>IF(_epmOfflineCondition_,21,EPMRetrieveData(,AH132,$AK$25,$AK$26,$AK$29,$C$21,$C$22,$C$25,$C$26,$C$27,$C$28,$C$29,$AJ$129,$AK$129))</f>
        <v/>
      </c>
      <c r="AK132" s="1291">
        <f>IF(_epmOfflineCondition_,12,ABS(EPMRetrieveData(,AH132,$AK$25,$AL$26,$AK$29,$C$21,$C$22,$C$25,$C$26,$C$27,$C$28,$C$29,$AJ$129,$AK$129)))</f>
        <v/>
      </c>
      <c r="AL132" s="905" t="n"/>
      <c r="AM132" s="384" t="n"/>
      <c r="AN132" s="384" t="n"/>
      <c r="AO132" s="384" t="n"/>
      <c r="AP132" s="384" t="n"/>
      <c r="AQ132" s="927" t="inlineStr">
        <is>
          <t>A001020209</t>
        </is>
      </c>
      <c r="AR132" s="960">
        <f>IF(_epmOfflineCondition_,"A001020209",EPMOlapMemberO(AQ132,"[C_ACCOUNT].[PARENTH1].[A001020209]","A001020209 -   递延所得税负债","","002"))</f>
        <v/>
      </c>
      <c r="AS132" s="920">
        <f>IF(_epmOfflineCondition_,"  递延所得税负债",EPMMemberDesc(AR132))</f>
        <v/>
      </c>
      <c r="AT132" s="1284" t="n"/>
      <c r="AU132" s="1290" t="n"/>
      <c r="AV132" s="155" t="n"/>
      <c r="AW132" s="155" t="n"/>
      <c r="AX132" s="384" t="n"/>
      <c r="AY132" s="384" t="n"/>
    </row>
    <row r="133">
      <c r="A133" s="384" t="n"/>
      <c r="B133" s="384" t="n"/>
      <c r="C133" s="384" t="n"/>
      <c r="D133" s="384" t="n"/>
      <c r="E133" s="384" t="n"/>
      <c r="F133" s="384" t="n"/>
      <c r="G133" s="384" t="n"/>
      <c r="H133" s="384" t="n"/>
      <c r="I133" s="384" t="n"/>
      <c r="J133" s="384" t="n"/>
      <c r="K133" s="384" t="n"/>
      <c r="L133" s="384" t="n"/>
      <c r="M133" s="384" t="n"/>
      <c r="N133" s="384" t="n"/>
      <c r="O133" s="384" t="n"/>
      <c r="P133" s="384" t="n"/>
      <c r="Q133" s="384" t="n"/>
      <c r="R133" s="384" t="n"/>
      <c r="S133" s="32" t="n"/>
      <c r="T133" s="384" t="n"/>
      <c r="U133" s="384" t="n"/>
      <c r="V133" s="384" t="n"/>
      <c r="W133" s="384" t="n"/>
      <c r="X133" s="38" t="n"/>
      <c r="Y133" s="384" t="n"/>
      <c r="Z133" s="384" t="n"/>
      <c r="AA133" s="384" t="n"/>
      <c r="AB133" s="384" t="n"/>
      <c r="AC133" s="384" t="n"/>
      <c r="AD133" s="384" t="n"/>
      <c r="AE133" s="384" t="n"/>
      <c r="AF133" s="384" t="n"/>
      <c r="AG133" s="905" t="n"/>
      <c r="AH133" s="986" t="inlineStr">
        <is>
          <t>A0070301</t>
        </is>
      </c>
      <c r="AI133" s="905">
        <f>IF(_epmOfflineCondition_,"人工成本明细-应发工资总额",EPMMemberDesc(AH133))</f>
        <v/>
      </c>
      <c r="AJ133" s="1291">
        <f>IF(_epmOfflineCondition_,1108035.55,ABS(EPMRetrieveData(,AH133,$AK$25,$AK$26,$AK$29,$C$21,$C$22,$C$25,$C$26,$C$27,$C$28,$C$29,$AJ$129,$AL$129)))</f>
        <v/>
      </c>
      <c r="AK133" s="1291">
        <f>IF(_epmOfflineCondition_,531563.5,ABS(EPMRetrieveData(,AH133,$AK$25,$AL$26,$AK$29,$C$21,$C$22,$C$25,$C$26,$C$27,$C$28,$C$29,$AJ$129,$AL$129)))</f>
        <v/>
      </c>
      <c r="AL133" s="905" t="n"/>
      <c r="AM133" s="384" t="n"/>
      <c r="AN133" s="384" t="n"/>
      <c r="AO133" s="384" t="n"/>
      <c r="AP133" s="384" t="n"/>
      <c r="AQ133" s="927" t="inlineStr">
        <is>
          <t>A001020210</t>
        </is>
      </c>
      <c r="AR133" s="960">
        <f>IF(_epmOfflineCondition_,"A001020210",EPMOlapMemberO(AQ133,"[C_ACCOUNT].[PARENTH1].[A001020210]","A001020210 - 　其他非流动负债","","002"))</f>
        <v/>
      </c>
      <c r="AS133" s="920">
        <f>IF(_epmOfflineCondition_,"　其他非流动负债",EPMMemberDesc(AR133))</f>
        <v/>
      </c>
      <c r="AT133" s="1284" t="n"/>
      <c r="AU133" s="1290" t="n"/>
      <c r="AV133" s="155" t="n"/>
      <c r="AW133" s="155" t="n"/>
      <c r="AX133" s="384" t="n"/>
      <c r="AY133" s="384" t="n"/>
    </row>
    <row r="134">
      <c r="A134" s="384" t="n"/>
      <c r="B134" s="384" t="n"/>
      <c r="C134" s="384" t="n"/>
      <c r="D134" s="384" t="n"/>
      <c r="E134" s="384" t="n"/>
      <c r="F134" s="384" t="n"/>
      <c r="G134" s="384" t="n"/>
      <c r="H134" s="384" t="n"/>
      <c r="I134" s="384" t="n"/>
      <c r="J134" s="384" t="n"/>
      <c r="K134" s="384" t="n"/>
      <c r="L134" s="384" t="n"/>
      <c r="M134" s="384" t="n"/>
      <c r="N134" s="384" t="n"/>
      <c r="O134" s="384" t="n"/>
      <c r="P134" s="384" t="n"/>
      <c r="Q134" s="384" t="n"/>
      <c r="R134" s="384" t="n"/>
      <c r="S134" s="32" t="n"/>
      <c r="T134" s="384" t="n"/>
      <c r="U134" s="384" t="n"/>
      <c r="V134" s="384" t="n"/>
      <c r="W134" s="384" t="n"/>
      <c r="X134" s="38" t="n"/>
      <c r="Y134" s="384" t="n"/>
      <c r="Z134" s="384" t="n"/>
      <c r="AA134" s="384" t="n"/>
      <c r="AB134" s="384" t="n"/>
      <c r="AC134" s="384" t="n"/>
      <c r="AD134" s="384" t="n"/>
      <c r="AE134" s="384" t="n"/>
      <c r="AF134" s="384" t="n"/>
      <c r="AG134" s="905" t="n"/>
      <c r="AH134" s="905" t="inlineStr">
        <is>
          <t>A00701</t>
        </is>
      </c>
      <c r="AI134" s="905" t="inlineStr">
        <is>
          <t>企业人工成本总额（含劳务派遣费用）</t>
        </is>
      </c>
      <c r="AJ134" s="1291">
        <f>IF(_epmOfflineCondition_,0,EPMRetrieveData(,AH134,$AK$25,$AK$26,$AK$29,$C$21,$C$22,$C$25,$C$26,$C$27,$C$28,$C$29,$AJ$129,$AK$129))</f>
        <v/>
      </c>
      <c r="AK134" s="1291">
        <f>IF(_epmOfflineCondition_,1077264.95,ABS(EPMRetrieveData(,AH134,$AK$25,$AL$26,$AK$29,$C$21,$C$22,$C$25,$C$26,$C$27,$C$28,$C$29,$AJ$129,$AK$129)))</f>
        <v/>
      </c>
      <c r="AL134" s="905" t="n"/>
      <c r="AM134" s="384" t="n"/>
      <c r="AN134" s="384" t="n"/>
      <c r="AO134" s="384" t="n"/>
      <c r="AP134" s="384" t="n"/>
      <c r="AQ134" s="927" t="inlineStr">
        <is>
          <t>A0010202</t>
        </is>
      </c>
      <c r="AR134" s="962">
        <f>IF(_epmOfflineCondition_,"A0010202",EPMOlapMemberO(AQ134,"[C_ACCOUNT].[PARENTH1].[A0010202]","A0010202 - 　       非流动负债合计","","002"))</f>
        <v/>
      </c>
      <c r="AS134" s="920">
        <f>IF(_epmOfflineCondition_,"　       非流动负债合计",EPMMemberDesc(AR134))</f>
        <v/>
      </c>
      <c r="AT134" s="1284" t="inlineStr"/>
      <c r="AU134" s="1290" t="inlineStr"/>
      <c r="AV134" s="155" t="inlineStr"/>
      <c r="AW134" s="155" t="inlineStr"/>
      <c r="AX134" s="384" t="n"/>
      <c r="AY134" s="384" t="n"/>
    </row>
    <row r="135" ht="28.8" customHeight="1" s="1181">
      <c r="A135" s="384" t="n"/>
      <c r="B135" s="384" t="n"/>
      <c r="C135" s="384" t="n"/>
      <c r="D135" s="384" t="n"/>
      <c r="E135" s="384" t="n"/>
      <c r="F135" s="384" t="n"/>
      <c r="G135" s="384" t="n"/>
      <c r="H135" s="384" t="n"/>
      <c r="I135" s="384" t="n"/>
      <c r="J135" s="384" t="n"/>
      <c r="K135" s="384" t="n"/>
      <c r="L135" s="384" t="n"/>
      <c r="M135" s="384" t="n"/>
      <c r="N135" s="384" t="n"/>
      <c r="O135" s="384" t="n"/>
      <c r="P135" s="384" t="n"/>
      <c r="Q135" s="384" t="n"/>
      <c r="R135" s="384" t="n"/>
      <c r="S135" s="32" t="n"/>
      <c r="T135" s="384" t="n"/>
      <c r="U135" s="384" t="n"/>
      <c r="V135" s="384" t="n"/>
      <c r="W135" s="384" t="n"/>
      <c r="X135" s="38" t="n"/>
      <c r="Y135" s="384" t="n"/>
      <c r="Z135" s="384" t="n"/>
      <c r="AA135" s="384" t="n"/>
      <c r="AB135" s="384" t="n"/>
      <c r="AC135" s="384" t="n"/>
      <c r="AD135" s="384" t="n"/>
      <c r="AE135" s="384" t="n"/>
      <c r="AF135" s="384" t="n"/>
      <c r="AG135" s="905" t="n"/>
      <c r="AH135" s="970" t="inlineStr">
        <is>
          <t>担保明细表</t>
        </is>
      </c>
      <c r="AI135" s="1182" t="n"/>
      <c r="AJ135" s="1183" t="n"/>
      <c r="AK135" s="905" t="n"/>
      <c r="AL135" s="905" t="n"/>
      <c r="AM135" s="384" t="n"/>
      <c r="AN135" s="384" t="n"/>
      <c r="AO135" s="384" t="n"/>
      <c r="AP135" s="384" t="n"/>
      <c r="AQ135" s="927" t="inlineStr">
        <is>
          <t>A00102</t>
        </is>
      </c>
      <c r="AR135" s="967">
        <f>IF(_epmOfflineCondition_,"A00102",EPMOlapMemberO(AQ135,"[C_ACCOUNT].[PARENTH1].[A00102]","A00102 - 　       负债合计","","002"))</f>
        <v/>
      </c>
      <c r="AS135" s="920">
        <f>IF(_epmOfflineCondition_,"　       负债合计",EPMMemberDesc(AR135))</f>
        <v/>
      </c>
      <c r="AT135" s="1284" t="inlineStr"/>
      <c r="AU135" s="1290" t="inlineStr"/>
      <c r="AV135" s="155" t="inlineStr"/>
      <c r="AW135" s="155" t="inlineStr"/>
      <c r="AX135" s="384" t="n"/>
      <c r="AY135" s="384" t="n"/>
    </row>
    <row r="136">
      <c r="A136" s="384" t="n"/>
      <c r="B136" s="384" t="n"/>
      <c r="C136" s="384" t="n"/>
      <c r="D136" s="384" t="n"/>
      <c r="E136" s="384" t="n"/>
      <c r="F136" s="384" t="n"/>
      <c r="G136" s="384" t="n"/>
      <c r="H136" s="384" t="n"/>
      <c r="I136" s="384" t="n"/>
      <c r="J136" s="384" t="n"/>
      <c r="K136" s="384" t="n"/>
      <c r="L136" s="384" t="n"/>
      <c r="M136" s="384" t="n"/>
      <c r="N136" s="384" t="n"/>
      <c r="O136" s="384" t="n"/>
      <c r="P136" s="384" t="n"/>
      <c r="Q136" s="384" t="n"/>
      <c r="R136" s="384" t="n"/>
      <c r="S136" s="32" t="n"/>
      <c r="T136" s="384" t="n"/>
      <c r="U136" s="384" t="n"/>
      <c r="V136" s="384" t="n"/>
      <c r="W136" s="384" t="n"/>
      <c r="X136" s="38" t="n"/>
      <c r="Y136" s="384" t="n"/>
      <c r="Z136" s="384" t="n"/>
      <c r="AA136" s="384" t="n"/>
      <c r="AB136" s="384" t="n"/>
      <c r="AC136" s="384" t="n"/>
      <c r="AD136" s="384" t="n"/>
      <c r="AE136" s="384" t="n"/>
      <c r="AF136" s="384" t="n"/>
      <c r="AG136" s="905" t="n"/>
      <c r="AH136" s="905" t="n"/>
      <c r="AI136" s="905" t="n"/>
      <c r="AJ136" s="905" t="inlineStr">
        <is>
          <t>DLC_BK</t>
        </is>
      </c>
      <c r="AK136" s="905" t="inlineStr">
        <is>
          <t>ZM01722</t>
        </is>
      </c>
      <c r="AL136" s="905" t="n"/>
      <c r="AM136" s="384" t="n"/>
      <c r="AN136" s="384" t="n"/>
      <c r="AO136" s="384" t="n"/>
      <c r="AP136" s="384" t="n"/>
      <c r="AQ136" s="927" t="inlineStr">
        <is>
          <t>A0010599</t>
        </is>
      </c>
      <c r="AR136" s="921">
        <f>IF(_epmOfflineCondition_,"A0010599",EPMOlapMemberO(AQ136,"[C_ACCOUNT].[PARENTH1].[A0010599]","A0010599 - 所有者权益（或股东权益）：","","002"))</f>
        <v/>
      </c>
      <c r="AS136" s="920">
        <f>IF(_epmOfflineCondition_,"所有者权益（或股东权益）：",EPMMemberDesc(AR136))</f>
        <v/>
      </c>
      <c r="AT136" s="1284" t="n"/>
      <c r="AU136" s="1290" t="n"/>
      <c r="AV136" s="155" t="n"/>
      <c r="AW136" s="155" t="n"/>
      <c r="AX136" s="384" t="n"/>
      <c r="AY136" s="384" t="n"/>
    </row>
    <row r="137">
      <c r="A137" s="384" t="n"/>
      <c r="B137" s="384" t="n"/>
      <c r="C137" s="384" t="n"/>
      <c r="D137" s="384" t="n"/>
      <c r="E137" s="384" t="n"/>
      <c r="F137" s="384" t="n"/>
      <c r="G137" s="384" t="n"/>
      <c r="H137" s="384" t="n"/>
      <c r="I137" s="384" t="n"/>
      <c r="J137" s="384" t="n"/>
      <c r="K137" s="384" t="n"/>
      <c r="L137" s="384" t="n"/>
      <c r="M137" s="384" t="n"/>
      <c r="N137" s="384" t="n"/>
      <c r="O137" s="384" t="n"/>
      <c r="P137" s="384" t="n"/>
      <c r="Q137" s="384" t="n"/>
      <c r="R137" s="384" t="n"/>
      <c r="S137" s="32" t="n"/>
      <c r="T137" s="384" t="n"/>
      <c r="U137" s="384" t="n"/>
      <c r="V137" s="384" t="n"/>
      <c r="W137" s="384" t="n"/>
      <c r="X137" s="38" t="n"/>
      <c r="Y137" s="384" t="n"/>
      <c r="Z137" s="384" t="n"/>
      <c r="AA137" s="384" t="n"/>
      <c r="AB137" s="384" t="n"/>
      <c r="AC137" s="384" t="n"/>
      <c r="AD137" s="384" t="n"/>
      <c r="AE137" s="384" t="n"/>
      <c r="AF137" s="384" t="n"/>
      <c r="AG137" s="905" t="n"/>
      <c r="AH137" s="905" t="inlineStr">
        <is>
          <t>A065</t>
        </is>
      </c>
      <c r="AI137" s="905" t="inlineStr">
        <is>
          <t>担保期末金额合计</t>
        </is>
      </c>
      <c r="AJ137" s="1291">
        <f>IF(_epmOfflineCondition_,0,EPMRetrieveData(,AH137,$AK$25,$AK$26,$AK$29,$C$21,$C$22,$C$25,$C$26,$C$27,$C$28,$C$29,$AJ$136,$AK$136))</f>
        <v/>
      </c>
      <c r="AK137" s="905" t="n"/>
      <c r="AL137" s="905" t="n"/>
      <c r="AM137" s="384" t="n"/>
      <c r="AN137" s="384" t="n"/>
      <c r="AO137" s="384" t="n"/>
      <c r="AP137" s="384" t="n"/>
      <c r="AQ137" s="927" t="inlineStr">
        <is>
          <t>A0010301</t>
        </is>
      </c>
      <c r="AR137" s="960">
        <f>IF(_epmOfflineCondition_,"A0010301",EPMOlapMemberO(AQ137,"[C_ACCOUNT].[PARENTH1].[A0010301]","A0010301 -   实收资本（或股本）","","002"))</f>
        <v/>
      </c>
      <c r="AS137" s="920">
        <f>IF(_epmOfflineCondition_,"  实收资本（或股本）",EPMMemberDesc(AR137))</f>
        <v/>
      </c>
      <c r="AT137" s="1284" t="inlineStr"/>
      <c r="AU137" s="1290" t="inlineStr"/>
      <c r="AV137" s="155" t="inlineStr"/>
      <c r="AW137" s="155" t="inlineStr"/>
      <c r="AX137" s="384" t="n"/>
      <c r="AY137" s="384" t="n"/>
    </row>
    <row r="138">
      <c r="A138" s="384" t="n"/>
      <c r="B138" s="384" t="n"/>
      <c r="C138" s="384" t="n"/>
      <c r="D138" s="384" t="n"/>
      <c r="E138" s="384" t="n"/>
      <c r="F138" s="384" t="n"/>
      <c r="G138" s="384" t="n"/>
      <c r="H138" s="384" t="n"/>
      <c r="I138" s="384" t="n"/>
      <c r="J138" s="384" t="n"/>
      <c r="K138" s="384" t="n"/>
      <c r="L138" s="384" t="n"/>
      <c r="M138" s="384" t="n"/>
      <c r="N138" s="384" t="n"/>
      <c r="O138" s="384" t="n"/>
      <c r="P138" s="384" t="n"/>
      <c r="Q138" s="384" t="n"/>
      <c r="R138" s="384" t="n"/>
      <c r="S138" s="32" t="n"/>
      <c r="T138" s="384" t="n"/>
      <c r="U138" s="384" t="n"/>
      <c r="V138" s="384" t="n"/>
      <c r="W138" s="384" t="n"/>
      <c r="X138" s="38" t="n"/>
      <c r="Y138" s="384" t="n"/>
      <c r="Z138" s="384" t="n"/>
      <c r="AA138" s="384" t="n"/>
      <c r="AB138" s="384" t="n"/>
      <c r="AC138" s="384" t="n"/>
      <c r="AD138" s="384" t="n"/>
      <c r="AE138" s="384" t="n"/>
      <c r="AF138" s="384" t="n"/>
      <c r="AG138" s="905" t="n"/>
      <c r="AH138" s="384" t="n"/>
      <c r="AI138" s="384" t="n"/>
      <c r="AJ138" s="384" t="n"/>
      <c r="AK138" s="384" t="n"/>
      <c r="AL138" s="384" t="n"/>
      <c r="AM138" s="384" t="n"/>
      <c r="AN138" s="384" t="n"/>
      <c r="AO138" s="384" t="n"/>
      <c r="AP138" s="384" t="n"/>
      <c r="AQ138" s="927" t="inlineStr">
        <is>
          <t>A0010302</t>
        </is>
      </c>
      <c r="AR138" s="960">
        <f>IF(_epmOfflineCondition_,"A0010302",EPMOlapMemberO(AQ138,"[C_ACCOUNT].[PARENTH1].[A0010302]","A0010302 -   其他权益工具","","002"))</f>
        <v/>
      </c>
      <c r="AS138" s="920">
        <f>IF(_epmOfflineCondition_,"  其他权益工具",EPMMemberDesc(AR138))</f>
        <v/>
      </c>
      <c r="AT138" s="1284" t="n"/>
      <c r="AU138" s="1290" t="n"/>
      <c r="AV138" s="155" t="n"/>
      <c r="AW138" s="155" t="n"/>
      <c r="AX138" s="384" t="n"/>
      <c r="AY138" s="384" t="n"/>
    </row>
    <row r="139" ht="28.8" customHeight="1" s="1181">
      <c r="A139" s="384" t="n"/>
      <c r="B139" s="384" t="n"/>
      <c r="C139" s="384" t="n"/>
      <c r="D139" s="384" t="n"/>
      <c r="E139" s="384" t="n"/>
      <c r="F139" s="384" t="n"/>
      <c r="G139" s="384" t="n"/>
      <c r="H139" s="384" t="n"/>
      <c r="I139" s="384" t="n"/>
      <c r="J139" s="384" t="n"/>
      <c r="K139" s="384" t="n"/>
      <c r="L139" s="384" t="n"/>
      <c r="M139" s="384" t="n"/>
      <c r="N139" s="384" t="n"/>
      <c r="O139" s="384" t="n"/>
      <c r="P139" s="384" t="n"/>
      <c r="Q139" s="384" t="n"/>
      <c r="R139" s="384" t="n"/>
      <c r="S139" s="32" t="n"/>
      <c r="T139" s="384" t="n"/>
      <c r="U139" s="384" t="n"/>
      <c r="V139" s="384" t="n"/>
      <c r="W139" s="384" t="n"/>
      <c r="X139" s="38" t="n"/>
      <c r="Y139" s="384" t="n"/>
      <c r="Z139" s="384" t="n"/>
      <c r="AA139" s="384" t="n"/>
      <c r="AB139" s="384" t="n"/>
      <c r="AC139" s="384" t="n"/>
      <c r="AD139" s="384" t="n"/>
      <c r="AE139" s="384" t="n"/>
      <c r="AF139" s="384" t="n"/>
      <c r="AG139" s="905" t="n"/>
      <c r="AH139" s="970" t="inlineStr">
        <is>
          <t>企业财务快报（国资委）</t>
        </is>
      </c>
      <c r="AI139" s="1182" t="n"/>
      <c r="AJ139" s="1183" t="n"/>
      <c r="AK139" s="905" t="n"/>
      <c r="AL139" s="905" t="n"/>
      <c r="AM139" s="384" t="n"/>
      <c r="AN139" s="384" t="n"/>
      <c r="AO139" s="384" t="n"/>
      <c r="AP139" s="384" t="n"/>
      <c r="AQ139" s="927" t="inlineStr">
        <is>
          <t>A001030201</t>
        </is>
      </c>
      <c r="AR139" s="975">
        <f>IF(_epmOfflineCondition_,"A001030201",EPMOlapMemberO(AQ139,"[C_ACCOUNT].[PARENTH1].[A001030201]","A001030201 -       其中：优先股","","002"))</f>
        <v/>
      </c>
      <c r="AS139" s="920">
        <f>IF(_epmOfflineCondition_,"      其中：优先股",EPMMemberDesc(AR139))</f>
        <v/>
      </c>
      <c r="AT139" s="1284" t="n"/>
      <c r="AU139" s="1290" t="n"/>
      <c r="AV139" s="155" t="n"/>
      <c r="AW139" s="155" t="n"/>
      <c r="AX139" s="384" t="n"/>
      <c r="AY139" s="384" t="n"/>
    </row>
    <row r="140">
      <c r="A140" s="384" t="n"/>
      <c r="B140" s="384" t="n"/>
      <c r="C140" s="384" t="n"/>
      <c r="D140" s="384" t="n"/>
      <c r="E140" s="384" t="n"/>
      <c r="F140" s="384" t="n"/>
      <c r="G140" s="384" t="n"/>
      <c r="H140" s="384" t="n"/>
      <c r="I140" s="384" t="n"/>
      <c r="J140" s="384" t="n"/>
      <c r="K140" s="384" t="n"/>
      <c r="L140" s="384" t="n"/>
      <c r="M140" s="384" t="n"/>
      <c r="N140" s="384" t="n"/>
      <c r="O140" s="384" t="n"/>
      <c r="P140" s="384" t="n"/>
      <c r="Q140" s="384" t="n"/>
      <c r="R140" s="384" t="n"/>
      <c r="S140" s="32" t="n"/>
      <c r="T140" s="384" t="n"/>
      <c r="U140" s="384" t="n"/>
      <c r="V140" s="384" t="n"/>
      <c r="W140" s="384" t="n"/>
      <c r="X140" s="38" t="n"/>
      <c r="Y140" s="384" t="n"/>
      <c r="Z140" s="384" t="n"/>
      <c r="AA140" s="384" t="n"/>
      <c r="AB140" s="384" t="n"/>
      <c r="AC140" s="384" t="n"/>
      <c r="AD140" s="384" t="n"/>
      <c r="AE140" s="384" t="n"/>
      <c r="AF140" s="384" t="n"/>
      <c r="AG140" s="384" t="n"/>
      <c r="AH140" s="905" t="n"/>
      <c r="AI140" s="905" t="n"/>
      <c r="AJ140" s="905" t="inlineStr">
        <is>
          <t>DALL</t>
        </is>
      </c>
      <c r="AK140" s="905" t="inlineStr">
        <is>
          <t>FEND</t>
        </is>
      </c>
      <c r="AL140" s="905" t="n"/>
      <c r="AM140" s="384" t="n"/>
      <c r="AN140" s="384" t="n"/>
      <c r="AO140" s="384" t="n"/>
      <c r="AP140" s="384" t="n"/>
      <c r="AQ140" s="927" t="inlineStr">
        <is>
          <t>A001030202</t>
        </is>
      </c>
      <c r="AR140" s="975">
        <f>IF(_epmOfflineCondition_,"A001030202",EPMOlapMemberO(AQ140,"[C_ACCOUNT].[PARENTH1].[A001030202]","A001030202 -                  永续债","","002"))</f>
        <v/>
      </c>
      <c r="AS140" s="920">
        <f>IF(_epmOfflineCondition_,"                 永续债",EPMMemberDesc(AR140))</f>
        <v/>
      </c>
      <c r="AT140" s="1284" t="n"/>
      <c r="AU140" s="1290" t="n"/>
      <c r="AV140" s="155" t="n"/>
      <c r="AW140" s="155" t="n"/>
      <c r="AX140" s="384" t="n"/>
      <c r="AY140" s="384" t="n"/>
    </row>
    <row r="141">
      <c r="A141" s="384" t="n"/>
      <c r="B141" s="384" t="n"/>
      <c r="C141" s="384" t="n"/>
      <c r="D141" s="384" t="n"/>
      <c r="E141" s="384" t="n"/>
      <c r="F141" s="384" t="n"/>
      <c r="G141" s="384" t="n"/>
      <c r="H141" s="384" t="n"/>
      <c r="I141" s="384" t="n"/>
      <c r="J141" s="384" t="n"/>
      <c r="K141" s="384" t="n"/>
      <c r="L141" s="384" t="n"/>
      <c r="M141" s="384" t="n"/>
      <c r="N141" s="384" t="n"/>
      <c r="O141" s="384" t="n"/>
      <c r="P141" s="384" t="n"/>
      <c r="Q141" s="384" t="n"/>
      <c r="R141" s="384" t="n"/>
      <c r="S141" s="32" t="n"/>
      <c r="T141" s="384" t="n"/>
      <c r="U141" s="384" t="n"/>
      <c r="V141" s="384" t="n"/>
      <c r="W141" s="384" t="n"/>
      <c r="X141" s="38" t="n"/>
      <c r="Y141" s="384" t="n"/>
      <c r="Z141" s="384" t="n"/>
      <c r="AA141" s="384" t="n"/>
      <c r="AB141" s="384" t="n"/>
      <c r="AC141" s="384" t="n"/>
      <c r="AD141" s="384" t="n"/>
      <c r="AE141" s="384" t="n"/>
      <c r="AF141" s="384" t="n"/>
      <c r="AG141" s="905" t="n"/>
      <c r="AH141" s="905" t="inlineStr">
        <is>
          <t>A09603</t>
        </is>
      </c>
      <c r="AI141" s="905" t="inlineStr">
        <is>
          <t>带息负债总额</t>
        </is>
      </c>
      <c r="AJ141" s="1291">
        <f>IF(_epmOfflineCondition_,1460000000,EPMRetrieveData(,AH141,$AK$25,$AK$26,$AK$45,$C$21,$C$22,$C$25,$C$26,$C$27,$C$28,$C$29,$AJ$140,$AK$140))</f>
        <v/>
      </c>
      <c r="AK141" s="1291">
        <f>IF(_epmOfflineCondition_,1470000000,EPMRetrieveData(,AH141,$AK$25,$AL$26,$AK$45,$C$21,$C$22,$C$25,$C$26,$C$27,$C$28,$C$29,$AJ$140,$AK$140))</f>
        <v/>
      </c>
      <c r="AL141" s="905" t="n"/>
      <c r="AM141" s="384" t="n"/>
      <c r="AN141" s="384" t="n"/>
      <c r="AO141" s="384" t="n"/>
      <c r="AP141" s="384" t="n"/>
      <c r="AQ141" s="927" t="inlineStr">
        <is>
          <t>A0010303</t>
        </is>
      </c>
      <c r="AR141" s="960">
        <f>IF(_epmOfflineCondition_,"A0010303",EPMOlapMemberO(AQ141,"[C_ACCOUNT].[PARENTH1].[A0010303]","A0010303 -   资本公积","","002"))</f>
        <v/>
      </c>
      <c r="AS141" s="920">
        <f>IF(_epmOfflineCondition_,"  资本公积",EPMMemberDesc(AR141))</f>
        <v/>
      </c>
      <c r="AT141" s="1284" t="n"/>
      <c r="AU141" s="1290" t="n"/>
      <c r="AV141" s="155" t="n"/>
      <c r="AW141" s="155" t="n"/>
      <c r="AX141" s="384" t="n"/>
      <c r="AY141" s="384" t="n"/>
    </row>
    <row r="142">
      <c r="A142" s="384" t="n"/>
      <c r="B142" s="384" t="n"/>
      <c r="C142" s="384" t="n"/>
      <c r="D142" s="384" t="n"/>
      <c r="E142" s="384" t="n"/>
      <c r="F142" s="384" t="n"/>
      <c r="G142" s="384" t="n"/>
      <c r="H142" s="384" t="n"/>
      <c r="I142" s="384" t="n"/>
      <c r="J142" s="384" t="n"/>
      <c r="K142" s="384" t="n"/>
      <c r="L142" s="384" t="n"/>
      <c r="M142" s="384" t="n"/>
      <c r="N142" s="384" t="n"/>
      <c r="O142" s="384" t="n"/>
      <c r="P142" s="384" t="n"/>
      <c r="Q142" s="384" t="n"/>
      <c r="R142" s="384" t="n"/>
      <c r="S142" s="32" t="n"/>
      <c r="T142" s="384" t="n"/>
      <c r="U142" s="384" t="n"/>
      <c r="V142" s="384" t="n"/>
      <c r="W142" s="384" t="n"/>
      <c r="X142" s="38" t="n"/>
      <c r="Y142" s="384" t="n"/>
      <c r="Z142" s="384" t="n"/>
      <c r="AA142" s="384" t="n"/>
      <c r="AB142" s="384" t="n"/>
      <c r="AC142" s="384" t="n"/>
      <c r="AD142" s="384" t="n"/>
      <c r="AE142" s="384" t="n"/>
      <c r="AF142" s="384" t="n"/>
      <c r="AG142" s="905" t="n"/>
      <c r="AH142" s="905" t="inlineStr">
        <is>
          <t>A07810</t>
        </is>
      </c>
      <c r="AI142" s="905" t="inlineStr">
        <is>
          <t>固定资产投资额</t>
        </is>
      </c>
      <c r="AJ142" s="1291">
        <f>IF(_epmOfflineCondition_,5191158.38,EPMRetrieveData(,AH142,$AK$25,$AK$26,$AK$29,$C$21,$C$22,$C$25,$C$26,$C$27,$C$28,$C$29,$AJ$140,$AK$140))</f>
        <v/>
      </c>
      <c r="AK142" s="1291">
        <f>IF(_epmOfflineCondition_,11351633.12,EPMRetrieveData(,AH142,$AK$25,$AL$26,$AK$45,$C$21,$C$22,$C$25,$C$26,$C$27,$C$28,$C$29,$AJ$140,$AK$140))</f>
        <v/>
      </c>
      <c r="AL142" s="905" t="n"/>
      <c r="AM142" s="384" t="n"/>
      <c r="AN142" s="384" t="n"/>
      <c r="AO142" s="384" t="n"/>
      <c r="AP142" s="384" t="n"/>
      <c r="AQ142" s="927" t="inlineStr">
        <is>
          <t>A0010304</t>
        </is>
      </c>
      <c r="AR142" s="960">
        <f>IF(_epmOfflineCondition_,"A0010304",EPMOlapMemberO(AQ142,"[C_ACCOUNT].[PARENTH1].[A0010304]","A0010304 -   减：库存股","","002"))</f>
        <v/>
      </c>
      <c r="AS142" s="920">
        <f>IF(_epmOfflineCondition_,"  减：库存股",EPMMemberDesc(AR142))</f>
        <v/>
      </c>
      <c r="AT142" s="1284" t="n"/>
      <c r="AU142" s="1290" t="n"/>
      <c r="AV142" s="155" t="n"/>
      <c r="AW142" s="155" t="n"/>
      <c r="AX142" s="384" t="n"/>
      <c r="AY142" s="384" t="n"/>
    </row>
    <row r="143">
      <c r="A143" s="384" t="n"/>
      <c r="B143" s="384" t="n"/>
      <c r="C143" s="384" t="n"/>
      <c r="D143" s="384" t="n"/>
      <c r="E143" s="384" t="n"/>
      <c r="F143" s="384" t="n"/>
      <c r="G143" s="384" t="n"/>
      <c r="H143" s="384" t="n"/>
      <c r="I143" s="384" t="n"/>
      <c r="J143" s="384" t="n"/>
      <c r="K143" s="384" t="n"/>
      <c r="L143" s="384" t="n"/>
      <c r="M143" s="384" t="n"/>
      <c r="N143" s="384" t="n"/>
      <c r="O143" s="384" t="n"/>
      <c r="P143" s="384" t="n"/>
      <c r="Q143" s="384" t="n"/>
      <c r="R143" s="384" t="n"/>
      <c r="S143" s="32" t="n"/>
      <c r="T143" s="384" t="n"/>
      <c r="U143" s="384" t="n"/>
      <c r="V143" s="384" t="n"/>
      <c r="W143" s="384" t="n"/>
      <c r="X143" s="38" t="n"/>
      <c r="Y143" s="384" t="n"/>
      <c r="Z143" s="384" t="n"/>
      <c r="AA143" s="384" t="n"/>
      <c r="AB143" s="384" t="n"/>
      <c r="AC143" s="384" t="n"/>
      <c r="AD143" s="384" t="n"/>
      <c r="AE143" s="384" t="n"/>
      <c r="AF143" s="384" t="n"/>
      <c r="AG143" s="905" t="n"/>
      <c r="AH143" s="905" t="inlineStr">
        <is>
          <t>A08401</t>
        </is>
      </c>
      <c r="AI143" s="905" t="inlineStr">
        <is>
          <t xml:space="preserve"> 已交税费总额</t>
        </is>
      </c>
      <c r="AJ143" s="1291">
        <f>IF(_epmOfflineCondition_,17238.62,EPMRetrieveData(,AH143,$AK$25,$AK$26,$AK$45,$C$21,$C$22,$C$25,$C$26,$C$27,$C$28,$C$29,$AJ$140,$AK$31)*-1)</f>
        <v/>
      </c>
      <c r="AK143" s="1291">
        <f>IF(_epmOfflineCondition_,83572.6,EPMRetrieveData(,AH143,$AK$25,$AL$26,$AK$45,$C$21,$C$22,$C$25,$C$26,$C$27,$C$28,$C$29,$AJ$140,$AK$31)*-1)</f>
        <v/>
      </c>
      <c r="AL143" s="987" t="n"/>
      <c r="AM143" s="384" t="n"/>
      <c r="AN143" s="384" t="n"/>
      <c r="AO143" s="384" t="n"/>
      <c r="AP143" s="384" t="n"/>
      <c r="AQ143" s="927" t="inlineStr">
        <is>
          <t>A0010305</t>
        </is>
      </c>
      <c r="AR143" s="960">
        <f>IF(_epmOfflineCondition_,"A0010305",EPMOlapMemberO(AQ143,"[C_ACCOUNT].[PARENTH1].[A0010305]","A0010305 -   其他综合收益","","002"))</f>
        <v/>
      </c>
      <c r="AS143" s="920">
        <f>IF(_epmOfflineCondition_,"  其他综合收益",EPMMemberDesc(AR143))</f>
        <v/>
      </c>
      <c r="AT143" s="1284" t="n"/>
      <c r="AU143" s="1290" t="n"/>
      <c r="AV143" s="155" t="n"/>
      <c r="AW143" s="155" t="n"/>
      <c r="AX143" s="384" t="n"/>
      <c r="AY143" s="384" t="n"/>
    </row>
    <row r="144">
      <c r="A144" s="384" t="n"/>
      <c r="B144" s="384" t="n"/>
      <c r="C144" s="384" t="n"/>
      <c r="D144" s="384" t="n"/>
      <c r="E144" s="384" t="n"/>
      <c r="F144" s="384" t="n"/>
      <c r="G144" s="384" t="n"/>
      <c r="H144" s="384" t="n"/>
      <c r="I144" s="384" t="n"/>
      <c r="J144" s="384" t="n"/>
      <c r="K144" s="384" t="n"/>
      <c r="L144" s="384" t="n"/>
      <c r="M144" s="384" t="n"/>
      <c r="N144" s="384" t="n"/>
      <c r="O144" s="384" t="n"/>
      <c r="P144" s="384" t="n"/>
      <c r="Q144" s="384" t="n"/>
      <c r="R144" s="384" t="n"/>
      <c r="S144" s="32" t="n"/>
      <c r="T144" s="384" t="n"/>
      <c r="U144" s="384" t="n"/>
      <c r="V144" s="384" t="n"/>
      <c r="W144" s="384" t="n"/>
      <c r="X144" s="38" t="n"/>
      <c r="Y144" s="384" t="n"/>
      <c r="Z144" s="384" t="n"/>
      <c r="AA144" s="384" t="n"/>
      <c r="AB144" s="384" t="n"/>
      <c r="AC144" s="384" t="n"/>
      <c r="AD144" s="384" t="n"/>
      <c r="AE144" s="384" t="n"/>
      <c r="AF144" s="384" t="n"/>
      <c r="AG144" s="905" t="n"/>
      <c r="AH144" s="905" t="inlineStr">
        <is>
          <t>A00703</t>
        </is>
      </c>
      <c r="AI144" s="905" t="inlineStr">
        <is>
          <t>职工薪酬（不含劳务派遣费用）</t>
        </is>
      </c>
      <c r="AJ144" s="1291">
        <f>IF(_epmOfflineCondition_,3096227.54,EPMRetrieveData(,AH144,$AK$25,$AK$26,$AK$45,$C$21,$C$22,$C$25,$C$26,$C$27,$C$28,$C$29,$AJ$140,$AL$31))</f>
        <v/>
      </c>
      <c r="AK144" s="1291">
        <f>SUM(AQ160:AQ173)</f>
        <v/>
      </c>
      <c r="AL144" s="987" t="n"/>
      <c r="AM144" s="384" t="n"/>
      <c r="AN144" s="384" t="n"/>
      <c r="AO144" s="384" t="n"/>
      <c r="AP144" s="384" t="n"/>
      <c r="AQ144" s="927" t="inlineStr">
        <is>
          <t>A0010306</t>
        </is>
      </c>
      <c r="AR144" s="960">
        <f>IF(_epmOfflineCondition_,"A0010306",EPMOlapMemberO(AQ144,"[C_ACCOUNT].[PARENTH1].[A0010306]","A0010306 -   专项储备","","002"))</f>
        <v/>
      </c>
      <c r="AS144" s="920">
        <f>IF(_epmOfflineCondition_,"  专项储备",EPMMemberDesc(AR144))</f>
        <v/>
      </c>
      <c r="AT144" s="1284" t="inlineStr"/>
      <c r="AU144" s="1290" t="inlineStr"/>
      <c r="AV144" s="155" t="n"/>
      <c r="AW144" s="155" t="n"/>
      <c r="AX144" s="384" t="n"/>
      <c r="AY144" s="384" t="n"/>
    </row>
    <row r="145">
      <c r="A145" s="384" t="n"/>
      <c r="B145" s="384" t="n"/>
      <c r="C145" s="384" t="n"/>
      <c r="D145" s="384" t="n"/>
      <c r="E145" s="384" t="n"/>
      <c r="F145" s="384" t="n"/>
      <c r="G145" s="384" t="n"/>
      <c r="H145" s="384" t="n"/>
      <c r="I145" s="384" t="n"/>
      <c r="J145" s="384" t="n"/>
      <c r="K145" s="384" t="n"/>
      <c r="L145" s="384" t="n"/>
      <c r="M145" s="384" t="n"/>
      <c r="N145" s="384" t="n"/>
      <c r="O145" s="384" t="n"/>
      <c r="P145" s="384" t="n"/>
      <c r="Q145" s="384" t="n"/>
      <c r="R145" s="384" t="n"/>
      <c r="S145" s="32" t="n"/>
      <c r="T145" s="384" t="n"/>
      <c r="U145" s="384" t="n"/>
      <c r="V145" s="384" t="n"/>
      <c r="W145" s="384" t="n"/>
      <c r="X145" s="38" t="n"/>
      <c r="Y145" s="384" t="n"/>
      <c r="Z145" s="384" t="n"/>
      <c r="AA145" s="384" t="n"/>
      <c r="AB145" s="384" t="n"/>
      <c r="AC145" s="384" t="n"/>
      <c r="AD145" s="384" t="n"/>
      <c r="AE145" s="384" t="n"/>
      <c r="AF145" s="384" t="n"/>
      <c r="AG145" s="905" t="n"/>
      <c r="AH145" s="905" t="inlineStr">
        <is>
          <t>A07803</t>
        </is>
      </c>
      <c r="AI145" s="905" t="inlineStr">
        <is>
          <t xml:space="preserve"> 工业销售产值</t>
        </is>
      </c>
      <c r="AJ145" s="1291">
        <f>IF(_epmOfflineCondition_,94272738.5,EPMRetrieveData(,AH145,$AK$25,$AK$26,$AK$45,$C$21,$C$22,$C$25,$C$26,$C$27,$C$28,$C$29,$AJ$140,$AK$140))</f>
        <v/>
      </c>
      <c r="AK145" s="1291">
        <f>IF(_epmOfflineCondition_,23180467.01,EPMRetrieveData(,AH145,$AK$25,$AL$26,$AK$45,$C$21,$C$22,$C$25,$C$26,$C$27,$C$28,$C$29,$AJ$140,$AK$140))</f>
        <v/>
      </c>
      <c r="AL145" s="987" t="n"/>
      <c r="AM145" s="384" t="n"/>
      <c r="AN145" s="384" t="n"/>
      <c r="AO145" s="384" t="n"/>
      <c r="AP145" s="384" t="n"/>
      <c r="AQ145" s="927" t="inlineStr">
        <is>
          <t>A0010307</t>
        </is>
      </c>
      <c r="AR145" s="960">
        <f>IF(_epmOfflineCondition_,"A0010307",EPMOlapMemberO(AQ145,"[C_ACCOUNT].[PARENTH1].[A0010307]","A0010307 -   盈余公积","","002"))</f>
        <v/>
      </c>
      <c r="AS145" s="920">
        <f>IF(_epmOfflineCondition_,"  盈余公积",EPMMemberDesc(AR145))</f>
        <v/>
      </c>
      <c r="AT145" s="1284" t="n"/>
      <c r="AU145" s="1290" t="n"/>
      <c r="AV145" s="155" t="n"/>
      <c r="AW145" s="155" t="n"/>
      <c r="AX145" s="384" t="n"/>
      <c r="AY145" s="384" t="n"/>
    </row>
    <row r="146">
      <c r="A146" s="384" t="n"/>
      <c r="B146" s="384" t="n"/>
      <c r="C146" s="384" t="n"/>
      <c r="D146" s="384" t="n"/>
      <c r="E146" s="384" t="n"/>
      <c r="F146" s="384" t="n"/>
      <c r="G146" s="384" t="n"/>
      <c r="H146" s="384" t="n"/>
      <c r="I146" s="384" t="n"/>
      <c r="J146" s="384" t="n"/>
      <c r="K146" s="384" t="n"/>
      <c r="L146" s="384" t="n"/>
      <c r="M146" s="384" t="n"/>
      <c r="N146" s="384" t="n"/>
      <c r="O146" s="384" t="n"/>
      <c r="P146" s="384" t="n"/>
      <c r="Q146" s="384" t="n"/>
      <c r="R146" s="384" t="n"/>
      <c r="S146" s="32" t="n"/>
      <c r="T146" s="384" t="n"/>
      <c r="U146" s="384" t="n"/>
      <c r="V146" s="384" t="n"/>
      <c r="W146" s="384" t="n"/>
      <c r="X146" s="38" t="n"/>
      <c r="Y146" s="384" t="n"/>
      <c r="Z146" s="384" t="n"/>
      <c r="AA146" s="384" t="n"/>
      <c r="AB146" s="384" t="n"/>
      <c r="AC146" s="384" t="n"/>
      <c r="AD146" s="384" t="n"/>
      <c r="AE146" s="384" t="n"/>
      <c r="AF146" s="384" t="n"/>
      <c r="AG146" s="905" t="n"/>
      <c r="AH146" s="905" t="inlineStr">
        <is>
          <t>A07802</t>
        </is>
      </c>
      <c r="AI146" s="905" t="inlineStr">
        <is>
          <t>工业总产值</t>
        </is>
      </c>
      <c r="AJ146" s="1291">
        <f>IF(_epmOfflineCondition_,95074562.3406478,EPMRetrieveData(,AH146,$AK$25,$AK$26,$AK$45,$C$21,$C$22,$C$25,$C$26,$C$27,$C$28,$C$29,$AJ$140,$AK$140))</f>
        <v/>
      </c>
      <c r="AK146" s="1291">
        <f>IF(_epmOfflineCondition_,23326219.0929426,EPMRetrieveData(,AH146,$AK$25,$AL$26,$AK$45,$C$21,$C$22,$C$25,$C$26,$C$27,$C$28,$C$29,$AJ$140,$AK$140))</f>
        <v/>
      </c>
      <c r="AL146" s="987" t="n"/>
      <c r="AM146" s="384" t="n"/>
      <c r="AN146" s="384" t="n"/>
      <c r="AO146" s="384" t="n"/>
      <c r="AP146" s="384" t="n"/>
      <c r="AQ146" s="927" t="inlineStr">
        <is>
          <t>A001030701</t>
        </is>
      </c>
      <c r="AR146" s="975">
        <f>IF(_epmOfflineCondition_,"A001030701",EPMOlapMemberO(AQ146,"[C_ACCOUNT].[PARENTH1].[A001030701]","A001030701 -       其中：法定公积金","","002"))</f>
        <v/>
      </c>
      <c r="AS146" s="920">
        <f>IF(_epmOfflineCondition_,"      其中：法定公积金",EPMMemberDesc(AR146))</f>
        <v/>
      </c>
      <c r="AT146" s="1284" t="n"/>
      <c r="AU146" s="1290" t="n"/>
      <c r="AV146" s="155" t="n"/>
      <c r="AW146" s="155" t="n"/>
      <c r="AX146" s="384" t="n"/>
      <c r="AY146" s="384" t="n"/>
    </row>
    <row r="147">
      <c r="A147" s="384" t="n"/>
      <c r="B147" s="384" t="n"/>
      <c r="C147" s="384" t="n"/>
      <c r="D147" s="384" t="n"/>
      <c r="E147" s="384" t="n"/>
      <c r="F147" s="384" t="n"/>
      <c r="G147" s="384" t="n"/>
      <c r="H147" s="384" t="n"/>
      <c r="I147" s="384" t="n"/>
      <c r="J147" s="384" t="n"/>
      <c r="K147" s="384" t="n"/>
      <c r="L147" s="384" t="n"/>
      <c r="M147" s="384" t="n"/>
      <c r="N147" s="384" t="n"/>
      <c r="O147" s="384" t="n"/>
      <c r="P147" s="384" t="n"/>
      <c r="Q147" s="384" t="n"/>
      <c r="R147" s="384" t="n"/>
      <c r="S147" s="32" t="n"/>
      <c r="T147" s="384" t="n"/>
      <c r="U147" s="384" t="n"/>
      <c r="V147" s="384" t="n"/>
      <c r="W147" s="384" t="n"/>
      <c r="X147" s="38" t="n"/>
      <c r="Y147" s="384" t="n"/>
      <c r="Z147" s="384" t="n"/>
      <c r="AA147" s="384" t="n"/>
      <c r="AB147" s="384" t="n"/>
      <c r="AC147" s="384" t="n"/>
      <c r="AD147" s="384" t="n"/>
      <c r="AE147" s="384" t="n"/>
      <c r="AF147" s="384" t="n"/>
      <c r="AG147" s="987" t="n"/>
      <c r="AH147" s="384" t="n"/>
      <c r="AI147" s="384" t="n"/>
      <c r="AJ147" s="384" t="n"/>
      <c r="AK147" s="384" t="n"/>
      <c r="AL147" s="384" t="n"/>
      <c r="AM147" s="384" t="n"/>
      <c r="AN147" s="384" t="n"/>
      <c r="AO147" s="384" t="n"/>
      <c r="AP147" s="384" t="n"/>
      <c r="AQ147" s="927" t="inlineStr">
        <is>
          <t>A001030702</t>
        </is>
      </c>
      <c r="AR147" s="975">
        <f>IF(_epmOfflineCondition_,"A001030702",EPMOlapMemberO(AQ147,"[C_ACCOUNT].[PARENTH1].[A001030702]","A001030702 -                  任意公积金","","002"))</f>
        <v/>
      </c>
      <c r="AS147" s="920">
        <f>IF(_epmOfflineCondition_,"                 任意公积金",EPMMemberDesc(AR147))</f>
        <v/>
      </c>
      <c r="AT147" s="1284" t="n"/>
      <c r="AU147" s="1290" t="n"/>
      <c r="AV147" s="155" t="n"/>
      <c r="AW147" s="155" t="n"/>
      <c r="AX147" s="384" t="n"/>
      <c r="AY147" s="384" t="n"/>
    </row>
    <row r="148" ht="28.8" customHeight="1" s="1181">
      <c r="A148" s="384" t="n"/>
      <c r="B148" s="384" t="n"/>
      <c r="C148" s="384" t="n"/>
      <c r="D148" s="384" t="n"/>
      <c r="E148" s="384" t="n"/>
      <c r="F148" s="384" t="n"/>
      <c r="G148" s="384" t="n"/>
      <c r="H148" s="384" t="n"/>
      <c r="I148" s="384" t="n"/>
      <c r="J148" s="384" t="n"/>
      <c r="K148" s="384" t="n"/>
      <c r="L148" s="384" t="n"/>
      <c r="M148" s="384" t="n"/>
      <c r="N148" s="384" t="n"/>
      <c r="O148" s="384" t="n"/>
      <c r="P148" s="384" t="n"/>
      <c r="Q148" s="384" t="n"/>
      <c r="R148" s="384" t="n"/>
      <c r="S148" s="32" t="n"/>
      <c r="T148" s="384" t="n"/>
      <c r="U148" s="384" t="n"/>
      <c r="V148" s="384" t="n"/>
      <c r="W148" s="384" t="n"/>
      <c r="X148" s="38" t="n"/>
      <c r="Y148" s="384" t="n"/>
      <c r="Z148" s="384" t="n"/>
      <c r="AA148" s="384" t="n"/>
      <c r="AB148" s="384" t="n"/>
      <c r="AC148" s="384" t="n"/>
      <c r="AD148" s="384" t="n"/>
      <c r="AE148" s="384" t="n"/>
      <c r="AF148" s="384" t="n"/>
      <c r="AG148" s="384" t="n"/>
      <c r="AH148" s="970" t="inlineStr">
        <is>
          <t>应交款项表</t>
        </is>
      </c>
      <c r="AI148" s="1183" t="n"/>
      <c r="AJ148" s="905" t="inlineStr">
        <is>
          <t>本年累计</t>
        </is>
      </c>
      <c r="AK148" s="905" t="inlineStr">
        <is>
          <t>上年同期</t>
        </is>
      </c>
      <c r="AL148" s="905" t="n"/>
      <c r="AM148" s="384" t="n"/>
      <c r="AN148" s="384" t="n"/>
      <c r="AO148" s="384" t="n"/>
      <c r="AP148" s="384" t="n"/>
      <c r="AQ148" s="927" t="inlineStr">
        <is>
          <t>A0010308</t>
        </is>
      </c>
      <c r="AR148" s="960">
        <f>IF(_epmOfflineCondition_,"A0010308",EPMOlapMemberO(AQ148,"[C_ACCOUNT].[PARENTH1].[A0010308]","A0010308 - 　# 一般风险准备","","002"))</f>
        <v/>
      </c>
      <c r="AS148" s="920">
        <f>IF(_epmOfflineCondition_,"　# 一般风险准备",EPMMemberDesc(AR148))</f>
        <v/>
      </c>
      <c r="AT148" s="1284" t="n"/>
      <c r="AU148" s="1290" t="n"/>
      <c r="AV148" s="155" t="n"/>
      <c r="AW148" s="155" t="n"/>
      <c r="AX148" s="384" t="n"/>
      <c r="AY148" s="384" t="n"/>
    </row>
    <row r="149">
      <c r="A149" s="384" t="n"/>
      <c r="B149" s="384" t="n"/>
      <c r="C149" s="384" t="n"/>
      <c r="D149" s="384" t="n"/>
      <c r="E149" s="384" t="n"/>
      <c r="F149" s="384" t="n"/>
      <c r="G149" s="384" t="n"/>
      <c r="H149" s="384" t="n"/>
      <c r="I149" s="384" t="n"/>
      <c r="J149" s="384" t="n"/>
      <c r="K149" s="384" t="n"/>
      <c r="L149" s="384" t="n"/>
      <c r="M149" s="384" t="n"/>
      <c r="N149" s="384" t="n"/>
      <c r="O149" s="384" t="n"/>
      <c r="P149" s="384" t="n"/>
      <c r="Q149" s="384" t="n"/>
      <c r="R149" s="384" t="n"/>
      <c r="S149" s="32" t="n"/>
      <c r="T149" s="384" t="n"/>
      <c r="U149" s="384" t="n"/>
      <c r="V149" s="384" t="n"/>
      <c r="W149" s="384" t="n"/>
      <c r="X149" s="38" t="n"/>
      <c r="Y149" s="384" t="n"/>
      <c r="Z149" s="384" t="n"/>
      <c r="AA149" s="384" t="n"/>
      <c r="AB149" s="384" t="n"/>
      <c r="AC149" s="384" t="n"/>
      <c r="AD149" s="384" t="n"/>
      <c r="AE149" s="384" t="n"/>
      <c r="AF149" s="384" t="n"/>
      <c r="AG149" s="905" t="n"/>
      <c r="AH149" s="905" t="n"/>
      <c r="AI149" s="905" t="n"/>
      <c r="AJ149" s="905" t="inlineStr">
        <is>
          <t>DALL</t>
        </is>
      </c>
      <c r="AK149" s="905" t="inlineStr">
        <is>
          <t>F20</t>
        </is>
      </c>
      <c r="AL149" s="905" t="inlineStr">
        <is>
          <t>D1110</t>
        </is>
      </c>
      <c r="AM149" s="384" t="n"/>
      <c r="AN149" s="384" t="n"/>
      <c r="AO149" s="384" t="n"/>
      <c r="AP149" s="384" t="n"/>
      <c r="AQ149" s="927" t="inlineStr">
        <is>
          <t>A0010309</t>
        </is>
      </c>
      <c r="AR149" s="960">
        <f>IF(_epmOfflineCondition_,"A0010309",EPMOlapMemberO(AQ149,"[C_ACCOUNT].[PARENTH1].[A0010309]","A0010309 - 　未分配利润","","002"))</f>
        <v/>
      </c>
      <c r="AS149" s="920">
        <f>IF(_epmOfflineCondition_,"　未分配利润",EPMMemberDesc(AR149))</f>
        <v/>
      </c>
      <c r="AT149" s="1284" t="inlineStr"/>
      <c r="AU149" s="1290" t="inlineStr"/>
      <c r="AV149" s="155" t="inlineStr"/>
      <c r="AW149" s="155" t="n"/>
      <c r="AX149" s="384" t="n"/>
      <c r="AY149" s="384" t="n"/>
    </row>
    <row r="150">
      <c r="A150" s="384" t="n"/>
      <c r="B150" s="384" t="n"/>
      <c r="C150" s="384" t="n"/>
      <c r="D150" s="384" t="n"/>
      <c r="E150" s="384" t="n"/>
      <c r="F150" s="384" t="n"/>
      <c r="G150" s="384" t="n"/>
      <c r="H150" s="384" t="n"/>
      <c r="I150" s="384" t="n"/>
      <c r="J150" s="384" t="n"/>
      <c r="K150" s="384" t="n"/>
      <c r="L150" s="384" t="n"/>
      <c r="M150" s="384" t="n"/>
      <c r="N150" s="384" t="n"/>
      <c r="O150" s="384" t="n"/>
      <c r="P150" s="384" t="n"/>
      <c r="Q150" s="384" t="n"/>
      <c r="R150" s="384" t="n"/>
      <c r="S150" s="32" t="n"/>
      <c r="T150" s="384" t="n"/>
      <c r="U150" s="384" t="n"/>
      <c r="V150" s="384" t="n"/>
      <c r="W150" s="384" t="n"/>
      <c r="X150" s="38" t="n"/>
      <c r="Y150" s="384" t="n"/>
      <c r="Z150" s="384" t="n"/>
      <c r="AA150" s="384" t="n"/>
      <c r="AB150" s="384" t="n"/>
      <c r="AC150" s="384" t="n"/>
      <c r="AD150" s="384" t="n"/>
      <c r="AE150" s="384" t="n"/>
      <c r="AF150" s="384" t="n"/>
      <c r="AG150" s="905" t="n"/>
      <c r="AH150" s="905" t="inlineStr">
        <is>
          <t>A08401</t>
        </is>
      </c>
      <c r="AI150" s="905">
        <f>IF(_epmOfflineCondition_,"应交款项明细-应交税费",EPMMemberDesc(AH150))</f>
        <v/>
      </c>
      <c r="AJ150" s="1292">
        <f>IF(_epmOfflineCondition_,1815785.99,EPMRetrieveData(,AH150,$AK$25,$AK$26,$AK$29,$C$21,$C$22,$C$25,$C$26,$C$27,$C$28,$C$29,"DLC",$AK$149)+EPMRetrieveData(,AG151,$AK$25,$AK$26,$AK$29,$C$21,$C$22,$C$25,$C$26,$C$27,$C$28,$C$29,"DLC",$AK$149)*2)</f>
        <v/>
      </c>
      <c r="AK150" s="1291">
        <f>IF(_epmOfflineCondition_,60166.68,EPMRetrieveData(,AH150,$AK$25,$AL$26,$AK$29,$C$21,$C$22,$C$25,$C$26,$C$27,$C$28,$C$29,$AJ$149,$AK$149))</f>
        <v/>
      </c>
      <c r="AL150" s="905" t="n"/>
      <c r="AM150" s="384" t="n"/>
      <c r="AN150" s="384" t="n"/>
      <c r="AO150" s="384" t="n"/>
      <c r="AP150" s="384" t="n"/>
      <c r="AQ150" s="927" t="inlineStr">
        <is>
          <t>A0010310</t>
        </is>
      </c>
      <c r="AR150" s="962">
        <f>IF(_epmOfflineCondition_,"A0010310",EPMOlapMemberO(AQ150,"[C_ACCOUNT].[PARENTH1].[A0010310]","A0010310 - 　归属于母公司所有者权益合计","","002"))</f>
        <v/>
      </c>
      <c r="AS150" s="920">
        <f>IF(_epmOfflineCondition_,"　归属于母公司所有者权益合计",EPMMemberDesc(AR150))</f>
        <v/>
      </c>
      <c r="AT150" s="1284" t="inlineStr"/>
      <c r="AU150" s="1290" t="inlineStr"/>
      <c r="AV150" s="155" t="inlineStr"/>
      <c r="AW150" s="155" t="inlineStr"/>
      <c r="AX150" s="384" t="n"/>
      <c r="AY150" s="384" t="n"/>
    </row>
    <row r="151">
      <c r="A151" s="384" t="n"/>
      <c r="B151" s="384" t="n"/>
      <c r="C151" s="384" t="n"/>
      <c r="D151" s="384" t="n"/>
      <c r="E151" s="384" t="n"/>
      <c r="F151" s="384" t="n"/>
      <c r="G151" s="384" t="n"/>
      <c r="H151" s="384" t="n"/>
      <c r="I151" s="384" t="n"/>
      <c r="J151" s="384" t="n"/>
      <c r="K151" s="384" t="n"/>
      <c r="L151" s="384" t="n"/>
      <c r="M151" s="384" t="n"/>
      <c r="N151" s="384" t="n"/>
      <c r="O151" s="384" t="n"/>
      <c r="P151" s="384" t="n"/>
      <c r="Q151" s="384" t="n"/>
      <c r="R151" s="384" t="n"/>
      <c r="S151" s="32" t="n"/>
      <c r="T151" s="384" t="n"/>
      <c r="U151" s="384" t="n"/>
      <c r="V151" s="384" t="n"/>
      <c r="W151" s="384" t="n"/>
      <c r="X151" s="38" t="n"/>
      <c r="Y151" s="384" t="n"/>
      <c r="Z151" s="384" t="n"/>
      <c r="AA151" s="384" t="n"/>
      <c r="AB151" s="384" t="n"/>
      <c r="AC151" s="384" t="n"/>
      <c r="AD151" s="384" t="n"/>
      <c r="AE151" s="384" t="n"/>
      <c r="AF151" s="384" t="n"/>
      <c r="AG151" s="905" t="inlineStr">
        <is>
          <t>A0840101</t>
        </is>
      </c>
      <c r="AH151" s="905" t="inlineStr">
        <is>
          <t>A0840109</t>
        </is>
      </c>
      <c r="AI151" s="905">
        <f>IF(_epmOfflineCondition_,"应交款项明细-企业所得税",EPMMemberDesc(AH151))</f>
        <v/>
      </c>
      <c r="AJ151" s="1291">
        <f>IF(_epmOfflineCondition_,0,EPMRetrieveData(,AH151,$AK$25,$AK$26,$AK$29,$C$21,$C$22,$C$25,$C$26,$C$27,$C$28,$C$29,$AJ$149,$AK$149))</f>
        <v/>
      </c>
      <c r="AK151" s="1291">
        <f>IF(_epmOfflineCondition_,0,EPMRetrieveData(,AH151,$AK$25,$AL$26,$AK$29,$C$21,$C$22,$C$25,$C$26,$C$27,$C$28,$C$29,$AJ$149,$AK$149))</f>
        <v/>
      </c>
      <c r="AL151" s="905" t="n"/>
      <c r="AM151" s="384" t="n"/>
      <c r="AN151" s="384" t="n"/>
      <c r="AO151" s="384" t="n"/>
      <c r="AP151" s="384" t="n"/>
      <c r="AQ151" s="927" t="inlineStr">
        <is>
          <t>A0010311</t>
        </is>
      </c>
      <c r="AR151" s="962">
        <f>IF(_epmOfflineCondition_,"A0010311",EPMOlapMemberO(AQ151,"[C_ACCOUNT].[PARENTH1].[A0010311]","A0010311 - 　少数股东权益","","002"))</f>
        <v/>
      </c>
      <c r="AS151" s="920">
        <f>IF(_epmOfflineCondition_,"　少数股东权益",EPMMemberDesc(AR151))</f>
        <v/>
      </c>
      <c r="AT151" s="1284" t="n"/>
      <c r="AU151" s="1290" t="n"/>
      <c r="AV151" s="155" t="n"/>
      <c r="AW151" s="155" t="n"/>
      <c r="AX151" s="384" t="n"/>
      <c r="AY151" s="384" t="n"/>
    </row>
    <row r="152">
      <c r="A152" s="384" t="n"/>
      <c r="B152" s="384" t="n"/>
      <c r="C152" s="384" t="n"/>
      <c r="D152" s="384" t="n"/>
      <c r="E152" s="384" t="n"/>
      <c r="F152" s="384" t="n"/>
      <c r="G152" s="384" t="n"/>
      <c r="H152" s="384" t="n"/>
      <c r="I152" s="384" t="n"/>
      <c r="J152" s="384" t="n"/>
      <c r="K152" s="384" t="n"/>
      <c r="L152" s="384" t="n"/>
      <c r="M152" s="384" t="n"/>
      <c r="N152" s="384" t="n"/>
      <c r="O152" s="384" t="n"/>
      <c r="P152" s="384" t="n"/>
      <c r="Q152" s="384" t="n"/>
      <c r="R152" s="384" t="n"/>
      <c r="S152" s="32" t="n"/>
      <c r="T152" s="384" t="n"/>
      <c r="U152" s="384" t="n"/>
      <c r="V152" s="384" t="n"/>
      <c r="W152" s="384" t="n"/>
      <c r="X152" s="38" t="n"/>
      <c r="Y152" s="384" t="n"/>
      <c r="Z152" s="384" t="n"/>
      <c r="AA152" s="384" t="n"/>
      <c r="AB152" s="384" t="n"/>
      <c r="AC152" s="384" t="n"/>
      <c r="AD152" s="384" t="n"/>
      <c r="AE152" s="384" t="n"/>
      <c r="AF152" s="384" t="n"/>
      <c r="AG152" s="905" t="n"/>
      <c r="AH152" s="905" t="inlineStr">
        <is>
          <t>A08401</t>
        </is>
      </c>
      <c r="AI152" s="905">
        <f>IF(_epmOfflineCondition_,"应交款项明细-应交税费",EPMMemberDesc(AH152))</f>
        <v/>
      </c>
      <c r="AJ152" s="1291">
        <f>IF(_epmOfflineCondition_,0,-EPMRetrieveData(,AH152,$AK$25,$AK$26,$AK$29,$C$21,$C$22,$C$25,$C$26,$C$27,$C$28,$C$29,$AL$149,$AK$149))</f>
        <v/>
      </c>
      <c r="AK152" s="1291">
        <f>IF(_epmOfflineCondition_,0,-EPMRetrieveData(,AH152,$AK$25,$AL$26,$AK$29,$C$21,$C$22,$C$25,$C$26,$C$27,$C$28,$C$29,$AL$149,$AK$149))</f>
        <v/>
      </c>
      <c r="AL152" s="905" t="n"/>
      <c r="AM152" s="384" t="n"/>
      <c r="AN152" s="384" t="n"/>
      <c r="AO152" s="384" t="n"/>
      <c r="AP152" s="384" t="n"/>
      <c r="AQ152" s="927" t="inlineStr">
        <is>
          <t>A00103</t>
        </is>
      </c>
      <c r="AR152" s="967">
        <f>IF(_epmOfflineCondition_,"A00103",EPMOlapMemberO(AQ152,"[C_ACCOUNT].[PARENTH1].[A00103]","A00103 -         所有者权益合计","","002"))</f>
        <v/>
      </c>
      <c r="AS152" s="920">
        <f>IF(_epmOfflineCondition_,"        所有者权益合计",EPMMemberDesc(AR152))</f>
        <v/>
      </c>
      <c r="AT152" s="1284" t="inlineStr"/>
      <c r="AU152" s="1290" t="inlineStr"/>
      <c r="AV152" s="155" t="inlineStr"/>
      <c r="AW152" s="155" t="inlineStr"/>
      <c r="AX152" s="384" t="n"/>
      <c r="AY152" s="384" t="n"/>
    </row>
    <row r="153" ht="17.55" customHeight="1" s="1181">
      <c r="A153" s="384" t="n"/>
      <c r="B153" s="384" t="n"/>
      <c r="C153" s="384" t="n"/>
      <c r="D153" s="384" t="n"/>
      <c r="E153" s="384" t="n"/>
      <c r="F153" s="384" t="n"/>
      <c r="G153" s="384" t="n"/>
      <c r="H153" s="384" t="n"/>
      <c r="I153" s="384" t="n"/>
      <c r="J153" s="384" t="n"/>
      <c r="K153" s="384" t="n"/>
      <c r="L153" s="384" t="n"/>
      <c r="M153" s="384" t="n"/>
      <c r="N153" s="384" t="n"/>
      <c r="O153" s="384" t="n"/>
      <c r="P153" s="384" t="n"/>
      <c r="Q153" s="384" t="n"/>
      <c r="R153" s="384" t="n"/>
      <c r="S153" s="32" t="n"/>
      <c r="T153" s="384" t="n"/>
      <c r="U153" s="384" t="n"/>
      <c r="V153" s="384" t="n"/>
      <c r="W153" s="384" t="n"/>
      <c r="X153" s="38" t="n"/>
      <c r="Y153" s="384" t="n"/>
      <c r="Z153" s="384" t="n"/>
      <c r="AA153" s="384" t="n"/>
      <c r="AB153" s="384" t="n"/>
      <c r="AC153" s="384" t="n"/>
      <c r="AD153" s="384" t="n"/>
      <c r="AE153" s="384" t="n"/>
      <c r="AF153" s="384" t="n"/>
      <c r="AG153" s="905" t="n"/>
      <c r="AH153" s="989" t="inlineStr">
        <is>
          <t>应交税费最终结果</t>
        </is>
      </c>
      <c r="AI153" s="905" t="n"/>
      <c r="AJ153" s="1292">
        <f>AJ150</f>
        <v/>
      </c>
      <c r="AK153" s="1291">
        <f>AK150+AK152*2</f>
        <v/>
      </c>
      <c r="AL153" s="905" t="n"/>
      <c r="AM153" s="384" t="n"/>
      <c r="AN153" s="384" t="n"/>
      <c r="AO153" s="384" t="n"/>
      <c r="AP153" s="384" t="n"/>
      <c r="AQ153" s="990" t="inlineStr">
        <is>
          <t>A00104</t>
        </is>
      </c>
      <c r="AR153" s="991">
        <f>IF(_epmOfflineCondition_,"A00104",EPMOlapMemberO(AQ153,"[C_ACCOUNT].[PARENTH1].[A00104]","A00104 - 负债和所有者权益总计","","002"))</f>
        <v/>
      </c>
      <c r="AS153" s="993">
        <f>IF(_epmOfflineCondition_,"负债和所有者权益总计",EPMMemberDesc(AR153))</f>
        <v/>
      </c>
      <c r="AT153" s="1293" t="inlineStr"/>
      <c r="AU153" s="1294" t="inlineStr"/>
      <c r="AV153" s="155" t="inlineStr"/>
      <c r="AW153" s="155" t="inlineStr"/>
      <c r="AX153" s="384" t="n"/>
      <c r="AY153" s="384" t="n"/>
    </row>
    <row r="154">
      <c r="A154" s="384" t="n"/>
      <c r="B154" s="384" t="n"/>
      <c r="C154" s="384" t="n"/>
      <c r="D154" s="384" t="n"/>
      <c r="E154" s="384" t="n"/>
      <c r="F154" s="384" t="n"/>
      <c r="G154" s="384" t="n"/>
      <c r="H154" s="384" t="n"/>
      <c r="I154" s="384" t="n"/>
      <c r="J154" s="384" t="n"/>
      <c r="K154" s="384" t="n"/>
      <c r="L154" s="384" t="n"/>
      <c r="M154" s="384" t="n"/>
      <c r="N154" s="384" t="n"/>
      <c r="O154" s="384" t="n"/>
      <c r="P154" s="384" t="n"/>
      <c r="Q154" s="384" t="n"/>
      <c r="R154" s="384" t="n"/>
      <c r="S154" s="32" t="n"/>
      <c r="T154" s="384" t="n"/>
      <c r="U154" s="384" t="n"/>
      <c r="V154" s="384" t="n"/>
      <c r="W154" s="384" t="n"/>
      <c r="X154" s="38" t="n"/>
      <c r="Y154" s="384" t="n"/>
      <c r="Z154" s="384" t="n"/>
      <c r="AA154" s="384" t="n"/>
      <c r="AB154" s="384" t="n"/>
      <c r="AC154" s="384" t="n"/>
      <c r="AD154" s="384" t="n"/>
      <c r="AE154" s="384" t="n"/>
      <c r="AF154" s="384" t="n"/>
      <c r="AG154" s="905" t="n"/>
      <c r="AH154" s="384" t="n"/>
      <c r="AI154" s="384" t="n"/>
      <c r="AJ154" s="384" t="n"/>
      <c r="AK154" s="384" t="n"/>
      <c r="AL154" s="384" t="n"/>
      <c r="AM154" s="384" t="n"/>
      <c r="AN154" s="384" t="n"/>
      <c r="AO154" s="384" t="n"/>
      <c r="AP154" s="384" t="n"/>
      <c r="AQ154" s="935" t="inlineStr">
        <is>
          <t>V_A001020121</t>
        </is>
      </c>
      <c r="AR154" s="992">
        <f>IF(_epmOfflineCondition_,"V_A001020121",EPMOlapMemberO(AQ154,"[C_ACCOUNT].[PARENTH1].[V_A001020121]","V_A001020121 - 一年内到期的非流动负债","","002"))</f>
        <v/>
      </c>
      <c r="AS154" s="935">
        <f>IF(_epmOfflineCondition_,"一年内到期的非流动负债",EPMMemberDesc(AR154))</f>
        <v/>
      </c>
      <c r="AT154" s="1295">
        <f>AT93-AT153</f>
        <v/>
      </c>
      <c r="AU154" s="1295">
        <f>AU93-AU153</f>
        <v/>
      </c>
      <c r="AV154" s="1295">
        <f>AV93-AV153</f>
        <v/>
      </c>
      <c r="AW154" s="1295">
        <f>AW93-AW153</f>
        <v/>
      </c>
      <c r="AX154" s="384" t="n"/>
      <c r="AY154" s="384" t="n"/>
    </row>
    <row r="155" ht="28.8" customHeight="1" s="1181">
      <c r="A155" s="384" t="n"/>
      <c r="B155" s="384" t="n"/>
      <c r="C155" s="384" t="n"/>
      <c r="D155" s="384" t="n"/>
      <c r="E155" s="384" t="n"/>
      <c r="F155" s="384" t="n"/>
      <c r="G155" s="384" t="n"/>
      <c r="H155" s="384" t="n"/>
      <c r="I155" s="384" t="n"/>
      <c r="J155" s="384" t="n"/>
      <c r="K155" s="384" t="n"/>
      <c r="L155" s="384" t="n"/>
      <c r="M155" s="384" t="n"/>
      <c r="N155" s="384" t="n"/>
      <c r="O155" s="384" t="n"/>
      <c r="P155" s="384" t="n"/>
      <c r="Q155" s="384" t="n"/>
      <c r="R155" s="384" t="n"/>
      <c r="S155" s="32" t="n"/>
      <c r="T155" s="384" t="n"/>
      <c r="U155" s="384" t="n"/>
      <c r="V155" s="384" t="n"/>
      <c r="W155" s="384" t="n"/>
      <c r="X155" s="38" t="n"/>
      <c r="Y155" s="384" t="n"/>
      <c r="Z155" s="384" t="n"/>
      <c r="AA155" s="384" t="n"/>
      <c r="AB155" s="384" t="n"/>
      <c r="AC155" s="384" t="n"/>
      <c r="AD155" s="384" t="n"/>
      <c r="AE155" s="384" t="n"/>
      <c r="AF155" s="384" t="n"/>
      <c r="AG155" s="384" t="n"/>
      <c r="AH155" s="970" t="inlineStr">
        <is>
          <t>企业财务快报（财政局）</t>
        </is>
      </c>
      <c r="AI155" s="1183" t="n"/>
      <c r="AJ155" s="905" t="inlineStr">
        <is>
          <t>本年累计</t>
        </is>
      </c>
      <c r="AK155" s="905" t="inlineStr">
        <is>
          <t>上年同期</t>
        </is>
      </c>
      <c r="AL155" s="905" t="n"/>
      <c r="AM155" s="384" t="n"/>
      <c r="AN155" s="384" t="n"/>
      <c r="AO155" s="384" t="n"/>
      <c r="AP155" s="384" t="n"/>
      <c r="AQ155" s="384" t="n"/>
      <c r="AR155" s="384" t="n"/>
      <c r="AS155" s="384" t="n"/>
      <c r="AT155" s="384" t="n"/>
      <c r="AU155" s="384" t="n"/>
      <c r="AV155" s="384" t="n"/>
      <c r="AW155" s="384" t="n"/>
      <c r="AX155" s="384" t="n"/>
      <c r="AY155" s="384" t="n"/>
    </row>
    <row r="156">
      <c r="A156" s="384" t="n"/>
      <c r="B156" s="384" t="n"/>
      <c r="C156" s="384" t="n"/>
      <c r="D156" s="384" t="n"/>
      <c r="E156" s="384" t="n"/>
      <c r="F156" s="384" t="n"/>
      <c r="G156" s="384" t="n"/>
      <c r="H156" s="384" t="n"/>
      <c r="I156" s="384" t="n"/>
      <c r="J156" s="384" t="n"/>
      <c r="K156" s="384" t="n"/>
      <c r="L156" s="384" t="n"/>
      <c r="M156" s="384" t="n"/>
      <c r="N156" s="384" t="n"/>
      <c r="O156" s="384" t="n"/>
      <c r="P156" s="384" t="n"/>
      <c r="Q156" s="384" t="n"/>
      <c r="R156" s="384" t="n"/>
      <c r="S156" s="32" t="n"/>
      <c r="T156" s="384" t="n"/>
      <c r="U156" s="384" t="n"/>
      <c r="V156" s="384" t="n"/>
      <c r="W156" s="384" t="n"/>
      <c r="X156" s="38" t="n"/>
      <c r="Y156" s="384" t="n"/>
      <c r="Z156" s="384" t="n"/>
      <c r="AA156" s="384" t="n"/>
      <c r="AB156" s="384" t="n"/>
      <c r="AC156" s="384" t="n"/>
      <c r="AD156" s="384" t="n"/>
      <c r="AE156" s="384" t="n"/>
      <c r="AF156" s="384" t="n"/>
      <c r="AG156" s="905" t="n"/>
      <c r="AH156" s="905" t="n"/>
      <c r="AI156" s="905" t="n"/>
      <c r="AJ156" s="905" t="inlineStr">
        <is>
          <t>DALL</t>
        </is>
      </c>
      <c r="AK156" s="905" t="inlineStr">
        <is>
          <t>FEND</t>
        </is>
      </c>
      <c r="AL156" s="905" t="n"/>
      <c r="AM156" s="384" t="n"/>
      <c r="AN156" s="384" t="n"/>
      <c r="AO156" s="384" t="n"/>
      <c r="AP156" s="384" t="n"/>
      <c r="AQ156" s="384" t="n"/>
      <c r="AR156" s="384" t="n"/>
      <c r="AS156" s="384" t="n"/>
      <c r="AT156" s="384" t="n"/>
      <c r="AU156" s="384" t="n"/>
      <c r="AV156" s="384" t="n"/>
      <c r="AW156" s="384" t="n"/>
      <c r="AX156" s="384" t="n"/>
      <c r="AY156" s="384" t="n"/>
    </row>
    <row r="157">
      <c r="A157" s="384" t="n"/>
      <c r="B157" s="384" t="n"/>
      <c r="C157" s="384" t="n"/>
      <c r="D157" s="384" t="n"/>
      <c r="E157" s="384" t="n"/>
      <c r="F157" s="384" t="n"/>
      <c r="G157" s="384" t="n"/>
      <c r="H157" s="384" t="n"/>
      <c r="I157" s="384" t="n"/>
      <c r="J157" s="384" t="n"/>
      <c r="K157" s="384" t="n"/>
      <c r="L157" s="384" t="n"/>
      <c r="M157" s="384" t="n"/>
      <c r="N157" s="384" t="n"/>
      <c r="O157" s="384" t="n"/>
      <c r="P157" s="384" t="n"/>
      <c r="Q157" s="384" t="n"/>
      <c r="R157" s="384" t="n"/>
      <c r="S157" s="32" t="n"/>
      <c r="T157" s="384" t="n"/>
      <c r="U157" s="384" t="n"/>
      <c r="V157" s="384" t="n"/>
      <c r="W157" s="384" t="n"/>
      <c r="X157" s="38" t="n"/>
      <c r="Y157" s="384" t="n"/>
      <c r="Z157" s="384" t="n"/>
      <c r="AA157" s="384" t="n"/>
      <c r="AB157" s="384" t="n"/>
      <c r="AC157" s="384" t="n"/>
      <c r="AD157" s="384" t="n"/>
      <c r="AE157" s="384" t="n"/>
      <c r="AF157" s="384" t="n"/>
      <c r="AG157" s="905" t="n"/>
      <c r="AH157" s="905" t="inlineStr">
        <is>
          <t>A07801</t>
        </is>
      </c>
      <c r="AI157" s="905">
        <f>IF(_epmOfflineCondition_,"33.劳动生产总值",EPMMemberDesc(AH157))</f>
        <v/>
      </c>
      <c r="AJ157" s="1291">
        <f>IF(_epmOfflineCondition_,0,EPMRetrieveData(,AH157,$AK$25,$AK$26,$AK$45,$C$21,$C$22,$C$25,$C$26,$C$27,$C$28,$C$29,$AJ$156,$AK$156))</f>
        <v/>
      </c>
      <c r="AK157" s="1291">
        <f>IF(_epmOfflineCondition_,0,EPMRetrieveData(,AH157,$AK$25,$AL$26,$AK$45,$C$21,$C$22,$C$25,$C$26,$C$27,$C$28,$C$29,$AJ$156,$AK$156))</f>
        <v/>
      </c>
      <c r="AL157" s="905" t="n"/>
      <c r="AM157" s="384" t="n"/>
      <c r="AN157" s="384" t="n"/>
      <c r="AO157" s="384" t="n"/>
      <c r="AP157" s="384" t="n"/>
      <c r="AQ157" s="384" t="n"/>
      <c r="AR157" s="384" t="n"/>
      <c r="AS157" s="384" t="n"/>
      <c r="AT157" s="384" t="n"/>
      <c r="AU157" s="384" t="n"/>
      <c r="AV157" s="384" t="n"/>
      <c r="AW157" s="384" t="n"/>
      <c r="AX157" s="384" t="n"/>
      <c r="AY157" s="384" t="n"/>
    </row>
    <row r="158">
      <c r="A158" s="384" t="n"/>
      <c r="B158" s="384" t="n"/>
      <c r="C158" s="384" t="n"/>
      <c r="D158" s="384" t="n"/>
      <c r="E158" s="384" t="n"/>
      <c r="F158" s="384" t="n"/>
      <c r="G158" s="384" t="n"/>
      <c r="H158" s="384" t="n"/>
      <c r="I158" s="384" t="n"/>
      <c r="J158" s="384" t="n"/>
      <c r="K158" s="384" t="n"/>
      <c r="L158" s="384" t="n"/>
      <c r="M158" s="384" t="n"/>
      <c r="N158" s="384" t="n"/>
      <c r="O158" s="384" t="n"/>
      <c r="P158" s="384" t="n"/>
      <c r="Q158" s="384" t="n"/>
      <c r="R158" s="384" t="n"/>
      <c r="S158" s="32" t="n"/>
      <c r="T158" s="384" t="n"/>
      <c r="U158" s="384" t="n"/>
      <c r="V158" s="384" t="n"/>
      <c r="W158" s="384" t="n"/>
      <c r="X158" s="38" t="n"/>
      <c r="Y158" s="384" t="n"/>
      <c r="Z158" s="384" t="n"/>
      <c r="AA158" s="384" t="n"/>
      <c r="AB158" s="384" t="n"/>
      <c r="AC158" s="384" t="n"/>
      <c r="AD158" s="384" t="n"/>
      <c r="AE158" s="384" t="n"/>
      <c r="AF158" s="384" t="n"/>
      <c r="AG158" s="905" t="n"/>
      <c r="AH158" s="905" t="inlineStr">
        <is>
          <t>A07807</t>
        </is>
      </c>
      <c r="AI158" s="905">
        <f>IF(_epmOfflineCondition_,"38.研发（R&amp;D）经费投入",EPMMemberDesc(AH158))</f>
        <v/>
      </c>
      <c r="AJ158" s="1291">
        <f>IF(_epmOfflineCondition_,0,EPMRetrieveData(,AH158,$AK$25,$AK$26,$AK$45,$C$21,$C$22,$C$25,$C$26,$C$27,$C$28,$C$29,$AJ$156,$AK$156))</f>
        <v/>
      </c>
      <c r="AK158" s="1291">
        <f>IF(_epmOfflineCondition_,0,EPMRetrieveData(,AH158,$AK$25,$AL$26,$AK$45,$C$21,$C$22,$C$25,$C$26,$C$27,$C$28,$C$29,$AJ$156,$AK$156))</f>
        <v/>
      </c>
      <c r="AL158" s="905" t="n"/>
      <c r="AM158" s="384" t="n"/>
      <c r="AN158" s="384" t="n"/>
      <c r="AO158" s="384" t="n"/>
      <c r="AP158" s="384" t="n"/>
      <c r="AQ158" s="384" t="n"/>
      <c r="AR158" s="384" t="inlineStr">
        <is>
          <t>DLC</t>
        </is>
      </c>
      <c r="AS158" s="384" t="n"/>
      <c r="AT158" s="384" t="n"/>
      <c r="AU158" s="384" t="n"/>
      <c r="AV158" s="384" t="n"/>
      <c r="AW158" s="384" t="n"/>
      <c r="AX158" s="384" t="n"/>
      <c r="AY158" s="384" t="n"/>
    </row>
    <row r="159">
      <c r="A159" s="384" t="n"/>
      <c r="B159" s="384" t="n"/>
      <c r="C159" s="384" t="n"/>
      <c r="D159" s="384" t="n"/>
      <c r="E159" s="384" t="n"/>
      <c r="F159" s="384" t="n"/>
      <c r="G159" s="384" t="n"/>
      <c r="H159" s="384" t="n"/>
      <c r="I159" s="384" t="n"/>
      <c r="J159" s="384" t="n"/>
      <c r="K159" s="384" t="n"/>
      <c r="L159" s="384" t="n"/>
      <c r="M159" s="384" t="n"/>
      <c r="N159" s="384" t="n"/>
      <c r="O159" s="384" t="n"/>
      <c r="P159" s="384" t="n"/>
      <c r="Q159" s="384" t="n"/>
      <c r="R159" s="384" t="n"/>
      <c r="S159" s="32" t="n"/>
      <c r="T159" s="384" t="n"/>
      <c r="U159" s="384" t="n"/>
      <c r="V159" s="384" t="n"/>
      <c r="W159" s="384" t="n"/>
      <c r="X159" s="38" t="n"/>
      <c r="Y159" s="384" t="n"/>
      <c r="Z159" s="384" t="n"/>
      <c r="AA159" s="384" t="n"/>
      <c r="AB159" s="384" t="n"/>
      <c r="AC159" s="384" t="n"/>
      <c r="AD159" s="384" t="n"/>
      <c r="AE159" s="384" t="n"/>
      <c r="AF159" s="384" t="n"/>
      <c r="AG159" s="905" t="n"/>
      <c r="AH159" s="384" t="n"/>
      <c r="AI159" s="384" t="n"/>
      <c r="AJ159" s="384" t="n"/>
      <c r="AK159" s="384" t="n"/>
      <c r="AL159" s="384" t="n"/>
      <c r="AM159" s="384" t="n"/>
      <c r="AN159" s="384" t="n"/>
      <c r="AO159" s="384" t="n"/>
      <c r="AP159" s="384" t="n"/>
      <c r="AQ159" s="716" t="inlineStr">
        <is>
          <t>上年同期</t>
        </is>
      </c>
      <c r="AR159" s="716" t="inlineStr">
        <is>
          <t>本年</t>
        </is>
      </c>
      <c r="AS159" s="716" t="n"/>
      <c r="AT159" s="716" t="n"/>
      <c r="AU159" s="384" t="n"/>
      <c r="AV159" s="384" t="n"/>
      <c r="AW159" s="384" t="n"/>
      <c r="AX159" s="384" t="n"/>
      <c r="AY159" s="384" t="n"/>
    </row>
    <row r="160" ht="28.8" customHeight="1" s="1181">
      <c r="A160" s="384" t="n"/>
      <c r="B160" s="384" t="n"/>
      <c r="C160" s="384" t="n"/>
      <c r="D160" s="384" t="n"/>
      <c r="E160" s="384" t="n"/>
      <c r="F160" s="384" t="n"/>
      <c r="G160" s="384" t="n"/>
      <c r="H160" s="384" t="n"/>
      <c r="I160" s="384" t="n"/>
      <c r="J160" s="384" t="n"/>
      <c r="K160" s="384" t="n"/>
      <c r="L160" s="384" t="n"/>
      <c r="M160" s="384" t="n"/>
      <c r="N160" s="384" t="n"/>
      <c r="O160" s="384" t="n"/>
      <c r="P160" s="384" t="n"/>
      <c r="Q160" s="384" t="n"/>
      <c r="R160" s="384" t="n"/>
      <c r="S160" s="32" t="n"/>
      <c r="T160" s="384" t="n"/>
      <c r="U160" s="384" t="n"/>
      <c r="V160" s="384" t="n"/>
      <c r="W160" s="384" t="n"/>
      <c r="X160" s="38" t="n"/>
      <c r="Y160" s="384" t="n"/>
      <c r="Z160" s="384" t="n"/>
      <c r="AA160" s="384" t="n"/>
      <c r="AB160" s="384" t="n"/>
      <c r="AC160" s="384" t="n"/>
      <c r="AD160" s="384" t="n"/>
      <c r="AE160" s="384" t="n"/>
      <c r="AF160" s="384" t="n"/>
      <c r="AG160" s="384" t="n"/>
      <c r="AH160" s="970" t="inlineStr">
        <is>
          <t>劳动生产总值计算</t>
        </is>
      </c>
      <c r="AI160" s="1183" t="n"/>
      <c r="AJ160" s="905" t="inlineStr">
        <is>
          <t>本年累计</t>
        </is>
      </c>
      <c r="AK160" s="905" t="inlineStr">
        <is>
          <t>上年同期</t>
        </is>
      </c>
      <c r="AL160" s="905" t="n"/>
      <c r="AM160" s="384" t="n"/>
      <c r="AN160" s="384" t="n"/>
      <c r="AO160" s="384" t="n"/>
      <c r="AP160" s="384" t="n"/>
      <c r="AQ160" s="1192">
        <f>IF(_epmOfflineCondition_,531563.5,EPMRetrieveData(,C6,C10,C11,C12,C13,C14,AT27,AL31,AS160,D22,AV26))</f>
        <v/>
      </c>
      <c r="AR160" s="1192">
        <f>IF(_epmOfflineCondition_,1108035.55,EPMRetrieveData(,C6,C10,C11,C12,C13,C14,AT27,AL31,AS160,D22,AU26))</f>
        <v/>
      </c>
      <c r="AS160" s="716" t="inlineStr">
        <is>
          <t>A0070301</t>
        </is>
      </c>
      <c r="AT160" s="716">
        <f>IF(_epmOfflineCondition_,"人工成本明细-应发工资总额",EPMMemberDesc(AS160))</f>
        <v/>
      </c>
      <c r="AU160" s="384" t="n"/>
      <c r="AV160" s="384" t="n"/>
      <c r="AW160" s="384" t="n"/>
      <c r="AX160" s="384" t="n"/>
      <c r="AY160" s="384" t="n"/>
    </row>
    <row r="161">
      <c r="A161" s="384" t="n"/>
      <c r="B161" s="384" t="n"/>
      <c r="C161" s="384" t="n"/>
      <c r="D161" s="384" t="n"/>
      <c r="E161" s="384" t="n"/>
      <c r="F161" s="384" t="n"/>
      <c r="G161" s="384" t="n"/>
      <c r="H161" s="384" t="n"/>
      <c r="I161" s="384" t="n"/>
      <c r="J161" s="384" t="n"/>
      <c r="K161" s="384" t="n"/>
      <c r="L161" s="384" t="n"/>
      <c r="M161" s="384" t="n"/>
      <c r="N161" s="384" t="n"/>
      <c r="O161" s="384" t="n"/>
      <c r="P161" s="384" t="n"/>
      <c r="Q161" s="384" t="n"/>
      <c r="R161" s="384" t="n"/>
      <c r="S161" s="32" t="n"/>
      <c r="T161" s="384" t="n"/>
      <c r="U161" s="384" t="n"/>
      <c r="V161" s="384" t="n"/>
      <c r="W161" s="384" t="n"/>
      <c r="X161" s="38" t="n"/>
      <c r="Y161" s="384" t="n"/>
      <c r="Z161" s="384" t="n"/>
      <c r="AA161" s="384" t="n"/>
      <c r="AB161" s="384" t="n"/>
      <c r="AC161" s="384" t="n"/>
      <c r="AD161" s="384" t="n"/>
      <c r="AE161" s="384" t="n"/>
      <c r="AF161" s="384" t="n"/>
      <c r="AG161" s="905" t="n"/>
      <c r="AH161" s="905" t="n"/>
      <c r="AI161" s="905" t="n"/>
      <c r="AJ161" s="905" t="n"/>
      <c r="AK161" s="905" t="n"/>
      <c r="AL161" s="905" t="n"/>
      <c r="AM161" s="384" t="n"/>
      <c r="AN161" s="384" t="n"/>
      <c r="AO161" s="384" t="n"/>
      <c r="AP161" s="384" t="n"/>
      <c r="AQ161" s="1192">
        <f>IF(_epmOfflineCondition_,206230,EPMRetrieveData(,C6,C10,C11,C12,C13,C14,AT27,AL31,AS161,D22,AV26))</f>
        <v/>
      </c>
      <c r="AR161" s="1192">
        <f>IF(_epmOfflineCondition_,427068.27,EPMRetrieveData(,C6,C10,C11,C12,C13,C14,AT27,AL31,AS161,D22,AU26))</f>
        <v/>
      </c>
      <c r="AS161" s="716" t="inlineStr">
        <is>
          <t>A0070302</t>
        </is>
      </c>
      <c r="AT161" s="716">
        <f>IF(_epmOfflineCondition_,"人工成本明细-社会保险费用",EPMMemberDesc(AS161))</f>
        <v/>
      </c>
      <c r="AU161" s="384" t="n"/>
      <c r="AV161" s="384" t="n"/>
      <c r="AW161" s="384" t="n"/>
      <c r="AX161" s="384" t="n"/>
      <c r="AY161" s="384" t="n"/>
    </row>
    <row r="162" ht="14.1" customHeight="1" s="1181">
      <c r="A162" s="384" t="n"/>
      <c r="B162" s="384" t="n"/>
      <c r="C162" s="384" t="n"/>
      <c r="D162" s="384" t="n"/>
      <c r="E162" s="384" t="n"/>
      <c r="F162" s="384" t="n"/>
      <c r="G162" s="384" t="n"/>
      <c r="H162" s="384" t="n"/>
      <c r="I162" s="384" t="n"/>
      <c r="J162" s="384" t="n"/>
      <c r="K162" s="384" t="n"/>
      <c r="L162" s="384" t="n"/>
      <c r="M162" s="384" t="n"/>
      <c r="N162" s="384" t="n"/>
      <c r="O162" s="384" t="n"/>
      <c r="P162" s="384" t="n"/>
      <c r="Q162" s="384" t="n"/>
      <c r="R162" s="384" t="n"/>
      <c r="S162" s="32" t="n"/>
      <c r="T162" s="384" t="n"/>
      <c r="U162" s="384" t="n"/>
      <c r="V162" s="384" t="n"/>
      <c r="W162" s="384" t="n"/>
      <c r="X162" s="38" t="n"/>
      <c r="Y162" s="384" t="n"/>
      <c r="Z162" s="384" t="n"/>
      <c r="AA162" s="384" t="n"/>
      <c r="AB162" s="384" t="n"/>
      <c r="AC162" s="384" t="n"/>
      <c r="AD162" s="384" t="n"/>
      <c r="AE162" s="384" t="n"/>
      <c r="AF162" s="384" t="n"/>
      <c r="AG162" s="905" t="n"/>
      <c r="AH162" s="905" t="n"/>
      <c r="AI162" s="905" t="n"/>
      <c r="AJ162" s="905" t="inlineStr">
        <is>
          <t>Periodic</t>
        </is>
      </c>
      <c r="AK162" s="905" t="inlineStr">
        <is>
          <t>YTD</t>
        </is>
      </c>
      <c r="AL162" s="905" t="n"/>
      <c r="AM162" s="384" t="n"/>
      <c r="AN162" s="384" t="n"/>
      <c r="AO162" s="384" t="n"/>
      <c r="AP162" s="384" t="n"/>
      <c r="AQ162" s="1192">
        <f>IF(_epmOfflineCondition_,0,EPMRetrieveData(,C6,C10,C11,C12,C13,C14,AT27,AL31,AS162,D22,AV26))</f>
        <v/>
      </c>
      <c r="AR162" s="1192">
        <f>IF(_epmOfflineCondition_,0,EPMRetrieveData(,C6,C10,C11,C12,C13,C14,AT27,AL31,AS162,D22,AU26))</f>
        <v/>
      </c>
      <c r="AS162" s="716" t="inlineStr">
        <is>
          <t>A0070303</t>
        </is>
      </c>
      <c r="AT162" s="716">
        <f>IF(_epmOfflineCondition_,"人工成本明细-商业保险费用",EPMMemberDesc(AS162))</f>
        <v/>
      </c>
      <c r="AU162" s="384" t="n"/>
      <c r="AV162" s="384" t="n"/>
      <c r="AW162" s="384" t="n"/>
      <c r="AX162" s="384" t="n"/>
      <c r="AY162" s="384" t="n"/>
    </row>
    <row r="163">
      <c r="A163" s="384" t="n"/>
      <c r="B163" s="384" t="n"/>
      <c r="C163" s="384" t="n"/>
      <c r="D163" s="384" t="n"/>
      <c r="E163" s="384" t="n"/>
      <c r="F163" s="384" t="n"/>
      <c r="G163" s="384" t="n"/>
      <c r="H163" s="384" t="n"/>
      <c r="I163" s="384" t="n"/>
      <c r="J163" s="384" t="n"/>
      <c r="K163" s="384" t="n"/>
      <c r="L163" s="384" t="n"/>
      <c r="M163" s="384" t="n"/>
      <c r="N163" s="384" t="n"/>
      <c r="O163" s="384" t="n"/>
      <c r="P163" s="384" t="n"/>
      <c r="Q163" s="384" t="n"/>
      <c r="R163" s="384" t="n"/>
      <c r="S163" s="32" t="n"/>
      <c r="T163" s="384" t="n"/>
      <c r="U163" s="384" t="n"/>
      <c r="V163" s="384" t="n"/>
      <c r="W163" s="384" t="n"/>
      <c r="X163" s="38" t="n"/>
      <c r="Y163" s="384" t="n"/>
      <c r="Z163" s="384" t="n"/>
      <c r="AA163" s="384" t="n"/>
      <c r="AB163" s="384" t="n"/>
      <c r="AC163" s="384" t="n"/>
      <c r="AD163" s="384" t="n"/>
      <c r="AE163" s="384" t="n"/>
      <c r="AF163" s="384" t="n"/>
      <c r="AG163" s="905" t="n"/>
      <c r="AH163" s="905" t="n"/>
      <c r="AI163" s="905" t="n"/>
      <c r="AJ163" s="905" t="inlineStr">
        <is>
          <t>DALL</t>
        </is>
      </c>
      <c r="AK163" s="905" t="inlineStr">
        <is>
          <t>FEND</t>
        </is>
      </c>
      <c r="AL163" s="905" t="n"/>
      <c r="AM163" s="384" t="n"/>
      <c r="AN163" s="384" t="n"/>
      <c r="AO163" s="384" t="n"/>
      <c r="AP163" s="384" t="n"/>
      <c r="AQ163" s="1192">
        <f>IF(_epmOfflineCondition_,248103.86,EPMRetrieveData(,C6,C10,C11,C12,C13,C14,AT27,AL31,AS163,D22,AV26))</f>
        <v/>
      </c>
      <c r="AR163" s="1192">
        <f>IF(_epmOfflineCondition_,81855.46,EPMRetrieveData(,C6,C10,C11,C12,C13,C14,AT27,AL31,AS163,D22,AU26))</f>
        <v/>
      </c>
      <c r="AS163" s="716" t="inlineStr">
        <is>
          <t>A0070304P</t>
        </is>
      </c>
      <c r="AT163" s="716">
        <f>IF(_epmOfflineCondition_,"人工成本明细-福利费用",EPMMemberDesc(AS163))</f>
        <v/>
      </c>
      <c r="AU163" s="384" t="n"/>
      <c r="AV163" s="384" t="n"/>
      <c r="AW163" s="384" t="n"/>
      <c r="AX163" s="384" t="n"/>
      <c r="AY163" s="384" t="n"/>
    </row>
    <row r="164">
      <c r="A164" s="384" t="n"/>
      <c r="B164" s="384" t="n"/>
      <c r="C164" s="384" t="n"/>
      <c r="D164" s="384" t="n"/>
      <c r="E164" s="384" t="n"/>
      <c r="F164" s="384" t="n"/>
      <c r="G164" s="384" t="n"/>
      <c r="H164" s="384" t="n"/>
      <c r="I164" s="384" t="n"/>
      <c r="J164" s="384" t="n"/>
      <c r="K164" s="384" t="n"/>
      <c r="L164" s="384" t="n"/>
      <c r="M164" s="384" t="n"/>
      <c r="N164" s="384" t="n"/>
      <c r="O164" s="384" t="n"/>
      <c r="P164" s="384" t="n"/>
      <c r="Q164" s="384" t="n"/>
      <c r="R164" s="384" t="n"/>
      <c r="S164" s="32" t="n"/>
      <c r="T164" s="384" t="n"/>
      <c r="U164" s="384" t="n"/>
      <c r="V164" s="384" t="n"/>
      <c r="W164" s="384" t="n"/>
      <c r="X164" s="38" t="n"/>
      <c r="Y164" s="384" t="n"/>
      <c r="Z164" s="384" t="n"/>
      <c r="AA164" s="384" t="n"/>
      <c r="AB164" s="384" t="n"/>
      <c r="AC164" s="384" t="n"/>
      <c r="AD164" s="384" t="n"/>
      <c r="AE164" s="384" t="n"/>
      <c r="AF164" s="384" t="n"/>
      <c r="AG164" s="905" t="n"/>
      <c r="AH164" s="905" t="n"/>
      <c r="AI164" s="905" t="inlineStr">
        <is>
          <t>14. 营业利润（亏损以“－”号填列）</t>
        </is>
      </c>
      <c r="AJ164" s="1291">
        <f>AK73</f>
        <v/>
      </c>
      <c r="AK164" s="1291">
        <f>AL73</f>
        <v/>
      </c>
      <c r="AL164" s="905" t="n"/>
      <c r="AM164" s="384" t="n"/>
      <c r="AN164" s="384" t="n"/>
      <c r="AO164" s="384" t="n"/>
      <c r="AP164" s="384" t="n"/>
      <c r="AQ164" s="1192">
        <f>IF(_epmOfflineCondition_,3268.32,EPMRetrieveData(,C6,C10,C11,C12,C13,C14,AT27,AL31,AS164,D22,AV26))</f>
        <v/>
      </c>
      <c r="AR164" s="1192">
        <f>IF(_epmOfflineCondition_,4259.54,EPMRetrieveData(,C6,C10,C11,C12,C13,C14,AT27,AL31,AS164,D22,AU26))</f>
        <v/>
      </c>
      <c r="AS164" s="716" t="inlineStr">
        <is>
          <t>A0070305</t>
        </is>
      </c>
      <c r="AT164" s="716">
        <f>IF(_epmOfflineCondition_,"人工成本明细-教育培训经费",EPMMemberDesc(AS164))</f>
        <v/>
      </c>
      <c r="AU164" s="384" t="n"/>
      <c r="AV164" s="384" t="n"/>
      <c r="AW164" s="384" t="n"/>
      <c r="AX164" s="384" t="n"/>
      <c r="AY164" s="384" t="n"/>
    </row>
    <row r="165">
      <c r="A165" s="384" t="n"/>
      <c r="B165" s="384" t="n"/>
      <c r="C165" s="384" t="n"/>
      <c r="D165" s="384" t="n"/>
      <c r="E165" s="384" t="n"/>
      <c r="F165" s="384" t="n"/>
      <c r="G165" s="384" t="n"/>
      <c r="H165" s="384" t="n"/>
      <c r="I165" s="384" t="n"/>
      <c r="J165" s="384" t="n"/>
      <c r="K165" s="384" t="n"/>
      <c r="L165" s="384" t="n"/>
      <c r="M165" s="384" t="n"/>
      <c r="N165" s="384" t="n"/>
      <c r="O165" s="384" t="n"/>
      <c r="P165" s="384" t="n"/>
      <c r="Q165" s="384" t="n"/>
      <c r="R165" s="384" t="n"/>
      <c r="S165" s="32" t="n"/>
      <c r="T165" s="384" t="n"/>
      <c r="U165" s="384" t="n"/>
      <c r="V165" s="384" t="n"/>
      <c r="W165" s="384" t="n"/>
      <c r="X165" s="38" t="n"/>
      <c r="Y165" s="384" t="n"/>
      <c r="Z165" s="384" t="n"/>
      <c r="AA165" s="384" t="n"/>
      <c r="AB165" s="384" t="n"/>
      <c r="AC165" s="384" t="n"/>
      <c r="AD165" s="384" t="n"/>
      <c r="AE165" s="384" t="n"/>
      <c r="AF165" s="384" t="n"/>
      <c r="AG165" s="905" t="n"/>
      <c r="AH165" s="905" t="n"/>
      <c r="AI165" s="905" t="inlineStr">
        <is>
          <t xml:space="preserve">   其中：政府补助</t>
        </is>
      </c>
      <c r="AJ165" s="1291">
        <f>AK76</f>
        <v/>
      </c>
      <c r="AK165" s="1291">
        <f>AL76</f>
        <v/>
      </c>
      <c r="AL165" s="905" t="n"/>
      <c r="AM165" s="384" t="n"/>
      <c r="AN165" s="384" t="n"/>
      <c r="AO165" s="384" t="n"/>
      <c r="AP165" s="384" t="n"/>
      <c r="AQ165" s="1192">
        <f>IF(_epmOfflineCondition_,10631.27,EPMRetrieveData(,C6,C10,C11,C12,C13,C14,AT27,AL31,AS165,D22,AV26))</f>
        <v/>
      </c>
      <c r="AR165" s="1192">
        <f>IF(_epmOfflineCondition_,22160.71,EPMRetrieveData(,C6,C10,C11,C12,C13,C14,AT27,AL31,AS165,D22,AU26))</f>
        <v/>
      </c>
      <c r="AS165" s="716" t="inlineStr">
        <is>
          <t>A0070306</t>
        </is>
      </c>
      <c r="AT165" s="716">
        <f>IF(_epmOfflineCondition_,"人工成本明细-工会经费",EPMMemberDesc(AS165))</f>
        <v/>
      </c>
      <c r="AU165" s="384" t="n"/>
      <c r="AV165" s="384" t="n"/>
      <c r="AW165" s="384" t="n"/>
      <c r="AX165" s="384" t="n"/>
      <c r="AY165" s="384" t="n"/>
    </row>
    <row r="166">
      <c r="A166" s="384" t="n"/>
      <c r="B166" s="384" t="n"/>
      <c r="C166" s="384" t="n"/>
      <c r="D166" s="384" t="n"/>
      <c r="E166" s="384" t="n"/>
      <c r="F166" s="384" t="n"/>
      <c r="G166" s="384" t="n"/>
      <c r="H166" s="384" t="n"/>
      <c r="I166" s="384" t="n"/>
      <c r="J166" s="384" t="n"/>
      <c r="K166" s="384" t="n"/>
      <c r="L166" s="384" t="n"/>
      <c r="M166" s="384" t="n"/>
      <c r="N166" s="384" t="n"/>
      <c r="O166" s="384" t="n"/>
      <c r="P166" s="384" t="n"/>
      <c r="Q166" s="384" t="n"/>
      <c r="R166" s="384" t="n"/>
      <c r="S166" s="32" t="n"/>
      <c r="T166" s="384" t="n"/>
      <c r="U166" s="384" t="n"/>
      <c r="V166" s="384" t="n"/>
      <c r="W166" s="384" t="n"/>
      <c r="X166" s="38" t="n"/>
      <c r="Y166" s="384" t="n"/>
      <c r="Z166" s="384" t="n"/>
      <c r="AA166" s="384" t="n"/>
      <c r="AB166" s="384" t="n"/>
      <c r="AC166" s="384" t="n"/>
      <c r="AD166" s="384" t="n"/>
      <c r="AE166" s="384" t="n"/>
      <c r="AF166" s="384" t="n"/>
      <c r="AG166" s="905" t="n"/>
      <c r="AH166" s="905" t="n"/>
      <c r="AI166" s="905" t="inlineStr">
        <is>
          <t>26. 应交税费总额</t>
        </is>
      </c>
      <c r="AJ166" s="1291">
        <f>AJ153</f>
        <v/>
      </c>
      <c r="AK166" s="1291">
        <f>AK153</f>
        <v/>
      </c>
      <c r="AL166" s="905" t="n"/>
      <c r="AM166" s="384" t="n"/>
      <c r="AN166" s="384" t="n"/>
      <c r="AO166" s="384" t="n"/>
      <c r="AP166" s="384" t="n"/>
      <c r="AQ166" s="1192">
        <f>IF(_epmOfflineCondition_,0,EPMRetrieveData(,C6,C10,C11,C12,C13,C14,AT27,AL31,AS166,D22,AV26))</f>
        <v/>
      </c>
      <c r="AR166" s="1192">
        <f>IF(_epmOfflineCondition_,925.17,EPMRetrieveData(,C6,C10,C11,C12,C13,C14,AT27,AL31,AS166,D22,AU26))</f>
        <v/>
      </c>
      <c r="AS166" s="716" t="inlineStr">
        <is>
          <t>A0070307</t>
        </is>
      </c>
      <c r="AT166" s="716">
        <f>IF(_epmOfflineCondition_,"人工成本明细-劳动保护费",EPMMemberDesc(AS166))</f>
        <v/>
      </c>
      <c r="AU166" s="384" t="n"/>
      <c r="AV166" s="384" t="n"/>
      <c r="AW166" s="384" t="n"/>
      <c r="AX166" s="384" t="n"/>
      <c r="AY166" s="384" t="n"/>
    </row>
    <row r="167">
      <c r="A167" s="384" t="n"/>
      <c r="B167" s="384" t="n"/>
      <c r="C167" s="384" t="n"/>
      <c r="D167" s="384" t="n"/>
      <c r="E167" s="384" t="n"/>
      <c r="F167" s="384" t="n"/>
      <c r="G167" s="384" t="n"/>
      <c r="H167" s="384" t="n"/>
      <c r="I167" s="384" t="n"/>
      <c r="J167" s="384" t="n"/>
      <c r="K167" s="384" t="n"/>
      <c r="L167" s="384" t="n"/>
      <c r="M167" s="384" t="n"/>
      <c r="N167" s="384" t="n"/>
      <c r="O167" s="384" t="n"/>
      <c r="P167" s="384" t="n"/>
      <c r="Q167" s="384" t="n"/>
      <c r="R167" s="384" t="n"/>
      <c r="S167" s="32" t="n"/>
      <c r="T167" s="384" t="n"/>
      <c r="U167" s="384" t="n"/>
      <c r="V167" s="384" t="n"/>
      <c r="W167" s="384" t="n"/>
      <c r="X167" s="38" t="n"/>
      <c r="Y167" s="384" t="n"/>
      <c r="Z167" s="384" t="n"/>
      <c r="AA167" s="384" t="n"/>
      <c r="AB167" s="384" t="n"/>
      <c r="AC167" s="384" t="n"/>
      <c r="AD167" s="384" t="n"/>
      <c r="AE167" s="384" t="n"/>
      <c r="AF167" s="384" t="n"/>
      <c r="AG167" s="905" t="n"/>
      <c r="AH167" s="905" t="n"/>
      <c r="AI167" s="905" t="inlineStr">
        <is>
          <t xml:space="preserve">           应交所得税</t>
        </is>
      </c>
      <c r="AJ167" s="1291">
        <f>AJ151</f>
        <v/>
      </c>
      <c r="AK167" s="1291">
        <f>AK151</f>
        <v/>
      </c>
      <c r="AL167" s="905" t="n"/>
      <c r="AM167" s="384" t="n"/>
      <c r="AN167" s="384" t="n"/>
      <c r="AO167" s="384" t="n"/>
      <c r="AP167" s="384" t="n"/>
      <c r="AQ167" s="1192">
        <f>IF(_epmOfflineCondition_,0,EPMRetrieveData(,C6,C10,C11,C12,C13,C14,AT27,AL31,AS167,D22,AV26))</f>
        <v/>
      </c>
      <c r="AR167" s="1192">
        <f>IF(_epmOfflineCondition_,0,EPMRetrieveData(,C6,C10,C11,C12,C13,C14,AT27,AL31,AS167,D22,AU26))</f>
        <v/>
      </c>
      <c r="AS167" s="716" t="inlineStr">
        <is>
          <t>A0070311</t>
        </is>
      </c>
      <c r="AT167" s="716">
        <f>IF(_epmOfflineCondition_,"人工成本明细-辞退福利",EPMMemberDesc(AS167))</f>
        <v/>
      </c>
      <c r="AU167" s="384" t="n"/>
      <c r="AV167" s="384" t="n"/>
      <c r="AW167" s="384" t="n"/>
      <c r="AX167" s="384" t="n"/>
      <c r="AY167" s="384" t="n"/>
    </row>
    <row r="168">
      <c r="A168" s="384" t="n"/>
      <c r="B168" s="384" t="n"/>
      <c r="C168" s="384" t="n"/>
      <c r="D168" s="384" t="n"/>
      <c r="E168" s="384" t="n"/>
      <c r="F168" s="384" t="n"/>
      <c r="G168" s="384" t="n"/>
      <c r="H168" s="384" t="n"/>
      <c r="I168" s="384" t="n"/>
      <c r="J168" s="384" t="n"/>
      <c r="K168" s="384" t="n"/>
      <c r="L168" s="384" t="n"/>
      <c r="M168" s="384" t="n"/>
      <c r="N168" s="384" t="n"/>
      <c r="O168" s="384" t="n"/>
      <c r="P168" s="384" t="n"/>
      <c r="Q168" s="384" t="n"/>
      <c r="R168" s="384" t="n"/>
      <c r="S168" s="32" t="n"/>
      <c r="T168" s="384" t="n"/>
      <c r="U168" s="384" t="n"/>
      <c r="V168" s="384" t="n"/>
      <c r="W168" s="384" t="n"/>
      <c r="X168" s="38" t="n"/>
      <c r="Y168" s="384" t="n"/>
      <c r="Z168" s="384" t="n"/>
      <c r="AA168" s="384" t="n"/>
      <c r="AB168" s="384" t="n"/>
      <c r="AC168" s="384" t="n"/>
      <c r="AD168" s="384" t="n"/>
      <c r="AE168" s="384" t="n"/>
      <c r="AF168" s="384" t="n"/>
      <c r="AG168" s="905" t="n"/>
      <c r="AH168" s="905" t="n"/>
      <c r="AI168" s="905" t="inlineStr">
        <is>
          <t>28. 职工薪酬（不含劳务派遣费用）</t>
        </is>
      </c>
      <c r="AJ168" s="1291">
        <f>AJ186</f>
        <v/>
      </c>
      <c r="AK168" s="1291">
        <f>AK186</f>
        <v/>
      </c>
      <c r="AL168" s="905" t="n"/>
      <c r="AM168" s="384" t="n"/>
      <c r="AN168" s="384" t="n"/>
      <c r="AO168" s="384" t="n"/>
      <c r="AP168" s="384" t="n"/>
      <c r="AQ168" s="1192">
        <f>IF(_epmOfflineCondition_,0,EPMRetrieveData(,C6,C10,C11,C12,C13,C14,AT27,AL31,AS168,D22,AV26))</f>
        <v/>
      </c>
      <c r="AR168" s="1192">
        <f>IF(_epmOfflineCondition_,0,EPMRetrieveData(,C6,C10,C11,C12,C13,C14,AT27,AL31,AS168,D22,AU26))</f>
        <v/>
      </c>
      <c r="AS168" s="716" t="inlineStr">
        <is>
          <t>A0070310</t>
        </is>
      </c>
      <c r="AT168" s="716">
        <f>IF(_epmOfflineCondition_,"人工成本明细-技术奖酬金及业务设计奖",EPMMemberDesc(AS168))</f>
        <v/>
      </c>
      <c r="AU168" s="384" t="n"/>
      <c r="AV168" s="384" t="n"/>
      <c r="AW168" s="384" t="n"/>
      <c r="AX168" s="384" t="n"/>
      <c r="AY168" s="384" t="n"/>
    </row>
    <row r="169">
      <c r="A169" s="384" t="n"/>
      <c r="B169" s="384" t="n"/>
      <c r="C169" s="384" t="n"/>
      <c r="D169" s="384" t="n"/>
      <c r="E169" s="384" t="n"/>
      <c r="F169" s="384" t="n"/>
      <c r="G169" s="384" t="n"/>
      <c r="H169" s="384" t="n"/>
      <c r="I169" s="384" t="n"/>
      <c r="J169" s="384" t="n"/>
      <c r="K169" s="384" t="n"/>
      <c r="L169" s="384" t="n"/>
      <c r="M169" s="384" t="n"/>
      <c r="N169" s="384" t="n"/>
      <c r="O169" s="384" t="n"/>
      <c r="P169" s="384" t="n"/>
      <c r="Q169" s="384" t="n"/>
      <c r="R169" s="384" t="n"/>
      <c r="S169" s="32" t="n"/>
      <c r="T169" s="384" t="n"/>
      <c r="U169" s="384" t="n"/>
      <c r="V169" s="384" t="n"/>
      <c r="W169" s="384" t="n"/>
      <c r="X169" s="38" t="n"/>
      <c r="Y169" s="384" t="n"/>
      <c r="Z169" s="384" t="n"/>
      <c r="AA169" s="384" t="n"/>
      <c r="AB169" s="384" t="n"/>
      <c r="AC169" s="384" t="n"/>
      <c r="AD169" s="384" t="n"/>
      <c r="AE169" s="384" t="n"/>
      <c r="AF169" s="384" t="n"/>
      <c r="AG169" s="905" t="n"/>
      <c r="AH169" s="905" t="inlineStr">
        <is>
          <t>A07813</t>
        </is>
      </c>
      <c r="AI169" s="905" t="inlineStr">
        <is>
          <t>32. 计提折旧额</t>
        </is>
      </c>
      <c r="AJ169" s="1291">
        <f>IF(_epmOfflineCondition_,21250671.92,EPMRetrieveData(,$AH169,$AK$26,$AK$45,$C$21,$C$22,$C$25,$C$26,$C$27,$C$28,$C$29,$AJ$163,$AK$163))</f>
        <v/>
      </c>
      <c r="AK169" s="1291">
        <f>IF(_epmOfflineCondition_,0,EPMRetrieveData(,$AH169,$AL$26,$AK$45,$C$21,$C$22,$C$25,$C$26,$C$27,$C$28,$C$29,$AJ$163,$AK$163))</f>
        <v/>
      </c>
      <c r="AL169" s="905" t="n"/>
      <c r="AM169" s="384" t="n"/>
      <c r="AN169" s="384" t="n"/>
      <c r="AO169" s="384" t="n"/>
      <c r="AP169" s="384" t="n"/>
      <c r="AQ169" s="1192">
        <f>IF(_epmOfflineCondition_,0,EPMRetrieveData(,C6,C10,C11,C12,C13,C14,AT27,AL31,AS169,D22,AV26))</f>
        <v/>
      </c>
      <c r="AR169" s="1192">
        <f>IF(_epmOfflineCondition_,0,EPMRetrieveData(,C6,C10,C11,C12,C13,C14,AT27,AL31,AS169,D22,AU26))</f>
        <v/>
      </c>
      <c r="AS169" s="716" t="inlineStr">
        <is>
          <t>A0070313</t>
        </is>
      </c>
      <c r="AT169" s="716">
        <f>IF(_epmOfflineCondition_,"人工成本明细-非货币性福利",EPMMemberDesc(AS169))</f>
        <v/>
      </c>
      <c r="AU169" s="384" t="n"/>
      <c r="AV169" s="384" t="n"/>
      <c r="AW169" s="384" t="n"/>
      <c r="AX169" s="384" t="n"/>
      <c r="AY169" s="384" t="n"/>
    </row>
    <row r="170">
      <c r="A170" s="384" t="n"/>
      <c r="B170" s="384" t="n"/>
      <c r="C170" s="384" t="n"/>
      <c r="D170" s="384" t="n"/>
      <c r="E170" s="384" t="n"/>
      <c r="F170" s="384" t="n"/>
      <c r="G170" s="384" t="n"/>
      <c r="H170" s="384" t="n"/>
      <c r="I170" s="384" t="n"/>
      <c r="J170" s="384" t="n"/>
      <c r="K170" s="384" t="n"/>
      <c r="L170" s="384" t="n"/>
      <c r="M170" s="384" t="n"/>
      <c r="N170" s="384" t="n"/>
      <c r="O170" s="384" t="n"/>
      <c r="P170" s="384" t="n"/>
      <c r="Q170" s="384" t="n"/>
      <c r="R170" s="384" t="n"/>
      <c r="S170" s="32" t="n"/>
      <c r="T170" s="384" t="n"/>
      <c r="U170" s="384" t="n"/>
      <c r="V170" s="384" t="n"/>
      <c r="W170" s="384" t="n"/>
      <c r="X170" s="38" t="n"/>
      <c r="Y170" s="384" t="n"/>
      <c r="Z170" s="384" t="n"/>
      <c r="AA170" s="384" t="n"/>
      <c r="AB170" s="384" t="n"/>
      <c r="AC170" s="384" t="n"/>
      <c r="AD170" s="384" t="n"/>
      <c r="AE170" s="384" t="n"/>
      <c r="AF170" s="384" t="n"/>
      <c r="AG170" s="905" t="n"/>
      <c r="AH170" s="384" t="inlineStr">
        <is>
          <t>A0020215</t>
        </is>
      </c>
      <c r="AI170" s="384" t="inlineStr">
        <is>
          <t>公允价值变动收益</t>
        </is>
      </c>
      <c r="AJ170" s="1291">
        <f>IF(_epmOfflineCondition_,0,EPMRetrieveData(,$AH170,$AK$26,$AK$45,$C$21,$C$22,$C$25,$C$26,$C$27,$C$28,$C$29,$AJ$163,$AK$163))</f>
        <v/>
      </c>
      <c r="AK170" s="1291">
        <f>IF(_epmOfflineCondition_,0,EPMRetrieveData(,$AH170,$AL$26,$AK$45,$C$21,$C$22,$C$25,$C$26,$C$27,$C$28,$C$29,$AJ$163,$AK$163))</f>
        <v/>
      </c>
      <c r="AL170" s="384" t="n"/>
      <c r="AM170" s="384" t="n"/>
      <c r="AN170" s="384" t="n"/>
      <c r="AO170" s="384" t="n"/>
      <c r="AP170" s="384" t="n"/>
      <c r="AQ170" s="1192">
        <f>IF(_epmOfflineCondition_,0,EPMRetrieveData(,C6,C10,C11,C12,C13,C14,AT27,AL31,AS170,D22,AV26))</f>
        <v/>
      </c>
      <c r="AR170" s="1192">
        <f>IF(_epmOfflineCondition_,0,EPMRetrieveData(,C6,C10,C11,C12,C13,C14,AT27,AL31,AS170,D22,AU26))</f>
        <v/>
      </c>
      <c r="AS170" s="716" t="inlineStr">
        <is>
          <t>A0070312</t>
        </is>
      </c>
      <c r="AT170" s="716">
        <f>IF(_epmOfflineCondition_,"人工成本明细-股份支付",EPMMemberDesc(AS170))</f>
        <v/>
      </c>
      <c r="AU170" s="384" t="n"/>
      <c r="AV170" s="384" t="n"/>
      <c r="AW170" s="384" t="n"/>
      <c r="AX170" s="384" t="n"/>
      <c r="AY170" s="384" t="n"/>
    </row>
    <row r="171" ht="28.8" customHeight="1" s="1181">
      <c r="A171" s="384" t="n"/>
      <c r="B171" s="384" t="n"/>
      <c r="C171" s="384" t="n"/>
      <c r="D171" s="384" t="n"/>
      <c r="E171" s="384" t="n"/>
      <c r="F171" s="384" t="n"/>
      <c r="G171" s="384" t="n"/>
      <c r="H171" s="384" t="n"/>
      <c r="I171" s="384" t="n"/>
      <c r="J171" s="384" t="n"/>
      <c r="K171" s="384" t="n"/>
      <c r="L171" s="384" t="n"/>
      <c r="M171" s="384" t="n"/>
      <c r="N171" s="384" t="n"/>
      <c r="O171" s="384" t="n"/>
      <c r="P171" s="384" t="n"/>
      <c r="Q171" s="384" t="n"/>
      <c r="R171" s="384" t="n"/>
      <c r="S171" s="32" t="n"/>
      <c r="T171" s="384" t="n"/>
      <c r="U171" s="384" t="n"/>
      <c r="V171" s="384" t="n"/>
      <c r="W171" s="384" t="n"/>
      <c r="X171" s="38" t="n"/>
      <c r="Y171" s="384" t="n"/>
      <c r="Z171" s="384" t="n"/>
      <c r="AA171" s="384" t="n"/>
      <c r="AB171" s="384" t="n"/>
      <c r="AC171" s="384" t="n"/>
      <c r="AD171" s="384" t="n"/>
      <c r="AE171" s="384" t="n"/>
      <c r="AF171" s="384" t="n"/>
      <c r="AG171" s="384" t="n"/>
      <c r="AH171" s="970" t="inlineStr">
        <is>
          <t>人工成本表</t>
        </is>
      </c>
      <c r="AI171" s="1183" t="n"/>
      <c r="AJ171" s="1291" t="inlineStr">
        <is>
          <t>本年累计-计提</t>
        </is>
      </c>
      <c r="AK171" s="1291" t="inlineStr">
        <is>
          <t>上年同期-计提</t>
        </is>
      </c>
      <c r="AL171" s="905" t="n"/>
      <c r="AM171" s="384" t="n"/>
      <c r="AN171" s="384" t="n"/>
      <c r="AO171" s="384" t="n"/>
      <c r="AP171" s="384" t="n"/>
      <c r="AQ171" s="1192">
        <f>IF(_epmOfflineCondition_,0,EPMRetrieveData(,C6,C10,C11,C12,C13,C14,AT27,AL31,AS171,D22,AV26))</f>
        <v/>
      </c>
      <c r="AR171" s="1192">
        <f>IF(_epmOfflineCondition_,1315152.84,EPMRetrieveData(,C6,C10,C11,C12,C13,C14,AT27,AL31,AS171,D22,AU26))</f>
        <v/>
      </c>
      <c r="AS171" s="716" t="inlineStr">
        <is>
          <t>A0070314</t>
        </is>
      </c>
      <c r="AT171" s="716">
        <f>IF(_epmOfflineCondition_,"人工成本明细-其他人工成本",EPMMemberDesc(AS171))</f>
        <v/>
      </c>
      <c r="AU171" s="384" t="n"/>
      <c r="AV171" s="384" t="n"/>
      <c r="AW171" s="384" t="n"/>
      <c r="AX171" s="384" t="n"/>
      <c r="AY171" s="384" t="n"/>
    </row>
    <row r="172">
      <c r="A172" s="384" t="n"/>
      <c r="B172" s="384" t="n"/>
      <c r="C172" s="384" t="n"/>
      <c r="D172" s="384" t="n"/>
      <c r="E172" s="384" t="n"/>
      <c r="F172" s="384" t="n"/>
      <c r="G172" s="384" t="n"/>
      <c r="H172" s="384" t="n"/>
      <c r="I172" s="384" t="n"/>
      <c r="J172" s="384" t="n"/>
      <c r="K172" s="384" t="n"/>
      <c r="L172" s="384" t="n"/>
      <c r="M172" s="384" t="n"/>
      <c r="N172" s="384" t="n"/>
      <c r="O172" s="384" t="n"/>
      <c r="P172" s="384" t="n"/>
      <c r="Q172" s="384" t="n"/>
      <c r="R172" s="384" t="n"/>
      <c r="S172" s="32" t="n"/>
      <c r="T172" s="384" t="n"/>
      <c r="U172" s="384" t="n"/>
      <c r="V172" s="384" t="n"/>
      <c r="W172" s="384" t="n"/>
      <c r="X172" s="38" t="n"/>
      <c r="Y172" s="384" t="n"/>
      <c r="Z172" s="384" t="n"/>
      <c r="AA172" s="384" t="n"/>
      <c r="AB172" s="384" t="n"/>
      <c r="AC172" s="384" t="n"/>
      <c r="AD172" s="384" t="n"/>
      <c r="AE172" s="384" t="n"/>
      <c r="AF172" s="384" t="n"/>
      <c r="AG172" s="905" t="n"/>
      <c r="AH172" s="905" t="inlineStr">
        <is>
          <t>A0070301</t>
        </is>
      </c>
      <c r="AI172" s="905">
        <f>IF(_epmOfflineCondition_,"人工成本明细-应发工资总额",EPMMemberDesc(AH172))</f>
        <v/>
      </c>
      <c r="AJ172" s="1291">
        <f>IF(_epmOfflineCondition_,1108035.55,EPMRetrieveData(,,$D$21,$D$22,$D$25,$D$26,$D$27,$D$28,$AK$162,$AK$26,$AA$42,$AA$43,$AA$44,AH172,AJ163))</f>
        <v/>
      </c>
      <c r="AK172" s="1291">
        <f>IF(_epmOfflineCondition_,531563.5,EPMRetrieveData(,,$D$21,$D$22,$D$25,$D$26,$D$27,$D$28,$AK$162,$AL$26,$AA$42,$AA$43,"DALL",AH172))</f>
        <v/>
      </c>
      <c r="AL172" s="905" t="n"/>
      <c r="AM172" s="384" t="n"/>
      <c r="AN172" s="384" t="n"/>
      <c r="AO172" s="384" t="n"/>
      <c r="AP172" s="384" t="n"/>
      <c r="AQ172" s="1192">
        <f>IF(_epmOfflineCondition_,77468,EPMRetrieveData(,C6,C10,C11,C12,C13,C14,AT27,AL31,AS172,D22,AV26))</f>
        <v/>
      </c>
      <c r="AR172" s="1192">
        <f>IF(_epmOfflineCondition_,136770,EPMRetrieveData(,C6,C10,C11,C12,C13,C14,AT27,AL31,AS172,D22,AU26))</f>
        <v/>
      </c>
      <c r="AS172" s="716" t="inlineStr">
        <is>
          <t>A0070308</t>
        </is>
      </c>
      <c r="AT172" s="716">
        <f>IF(_epmOfflineCondition_,"人工成本明细-其中：住房公积金",EPMMemberDesc(AS172))</f>
        <v/>
      </c>
      <c r="AU172" s="384" t="n"/>
      <c r="AV172" s="384" t="n"/>
      <c r="AW172" s="384" t="n"/>
      <c r="AX172" s="384" t="n"/>
      <c r="AY172" s="384" t="n"/>
    </row>
    <row r="173">
      <c r="A173" s="384" t="n"/>
      <c r="B173" s="384" t="n"/>
      <c r="C173" s="384" t="n"/>
      <c r="D173" s="384" t="n"/>
      <c r="E173" s="384" t="n"/>
      <c r="F173" s="384" t="n"/>
      <c r="G173" s="384" t="n"/>
      <c r="H173" s="384" t="n"/>
      <c r="I173" s="384" t="n"/>
      <c r="J173" s="384" t="n"/>
      <c r="K173" s="384" t="n"/>
      <c r="L173" s="384" t="n"/>
      <c r="M173" s="384" t="n"/>
      <c r="N173" s="384" t="n"/>
      <c r="O173" s="384" t="n"/>
      <c r="P173" s="384" t="n"/>
      <c r="Q173" s="384" t="n"/>
      <c r="R173" s="384" t="n"/>
      <c r="S173" s="32" t="n"/>
      <c r="T173" s="384" t="n"/>
      <c r="U173" s="384" t="n"/>
      <c r="V173" s="384" t="n"/>
      <c r="W173" s="384" t="n"/>
      <c r="X173" s="38" t="n"/>
      <c r="Y173" s="384" t="n"/>
      <c r="Z173" s="384" t="n"/>
      <c r="AA173" s="384" t="n"/>
      <c r="AB173" s="384" t="n"/>
      <c r="AC173" s="384" t="n"/>
      <c r="AD173" s="384" t="n"/>
      <c r="AE173" s="384" t="n"/>
      <c r="AF173" s="384" t="n"/>
      <c r="AG173" s="905" t="n"/>
      <c r="AH173" s="905" t="inlineStr">
        <is>
          <t>A0070302</t>
        </is>
      </c>
      <c r="AI173" s="905">
        <f>IF(_epmOfflineCondition_,"人工成本明细-社会保险费用",EPMMemberDesc(AH173))</f>
        <v/>
      </c>
      <c r="AJ173" s="1291">
        <f>IF(_epmOfflineCondition_,427068.27,EPMRetrieveData(,,$D$21,$D$22,$D$25,$D$26,$D$27,$D$28,$AK$162,$AK$26,$AA$42,$AA$43,$AA$44,AH173,AJ163))</f>
        <v/>
      </c>
      <c r="AK173" s="1291">
        <f>IF(_epmOfflineCondition_,206230,EPMRetrieveData(,,$D$21,$D$22,$D$25,$D$26,$D$27,$D$28,$AK$162,$AL$26,$AA$42,$AA$43,"DALL",AH173))</f>
        <v/>
      </c>
      <c r="AL173" s="905" t="n"/>
      <c r="AM173" s="384" t="n"/>
      <c r="AN173" s="384" t="n"/>
      <c r="AO173" s="384" t="n"/>
      <c r="AP173" s="384" t="n"/>
      <c r="AQ173" s="1192">
        <f>IF(_epmOfflineCondition_,0,EPMRetrieveData(,C6,C10,C11,C12,C13,C14,AT27,AL31,AS173,D22,AV26))</f>
        <v/>
      </c>
      <c r="AR173" s="1192">
        <f>IF(_epmOfflineCondition_,0,EPMRetrieveData(,C6,C10,C11,C12,C13,C14,AT27,AL31,AS173,D22,AU26))</f>
        <v/>
      </c>
      <c r="AS173" s="716" t="inlineStr">
        <is>
          <t>A0070309</t>
        </is>
      </c>
      <c r="AT173" s="716">
        <f>IF(_epmOfflineCondition_,"人工成本明细-其中：住房补贴",EPMMemberDesc(AS173))</f>
        <v/>
      </c>
      <c r="AU173" s="384" t="n"/>
      <c r="AV173" s="384" t="n"/>
      <c r="AW173" s="384" t="n"/>
      <c r="AX173" s="384" t="n"/>
      <c r="AY173" s="384" t="n"/>
    </row>
    <row r="174">
      <c r="A174" s="384" t="n"/>
      <c r="B174" s="384" t="n"/>
      <c r="C174" s="384" t="n"/>
      <c r="D174" s="384" t="n"/>
      <c r="E174" s="384" t="n"/>
      <c r="F174" s="384" t="n"/>
      <c r="G174" s="384" t="n"/>
      <c r="H174" s="384" t="n"/>
      <c r="I174" s="384" t="n"/>
      <c r="J174" s="384" t="n"/>
      <c r="K174" s="384" t="n"/>
      <c r="L174" s="384" t="n"/>
      <c r="M174" s="384" t="n"/>
      <c r="N174" s="384" t="n"/>
      <c r="O174" s="384" t="n"/>
      <c r="P174" s="384" t="n"/>
      <c r="Q174" s="384" t="n"/>
      <c r="R174" s="384" t="n"/>
      <c r="S174" s="32" t="n"/>
      <c r="T174" s="384" t="n"/>
      <c r="U174" s="384" t="n"/>
      <c r="V174" s="384" t="n"/>
      <c r="W174" s="384" t="n"/>
      <c r="X174" s="38" t="n"/>
      <c r="Y174" s="384" t="n"/>
      <c r="Z174" s="384" t="n"/>
      <c r="AA174" s="384" t="n"/>
      <c r="AB174" s="384" t="n"/>
      <c r="AC174" s="384" t="n"/>
      <c r="AD174" s="384" t="n"/>
      <c r="AE174" s="384" t="n"/>
      <c r="AF174" s="384" t="n"/>
      <c r="AG174" s="905" t="n"/>
      <c r="AH174" s="905" t="inlineStr">
        <is>
          <t>A0070303</t>
        </is>
      </c>
      <c r="AI174" s="905">
        <f>IF(_epmOfflineCondition_,"人工成本明细-商业保险费用",EPMMemberDesc(AH174))</f>
        <v/>
      </c>
      <c r="AJ174" s="1291">
        <f>IF(_epmOfflineCondition_,0,EPMRetrieveData(,,$D$21,$D$22,$D$25,$D$26,$D$27,$D$28,$AK$162,$AK$26,$AA$42,$AA$43,$AA$44,AH174,AJ163))</f>
        <v/>
      </c>
      <c r="AK174" s="1291">
        <f>IF(_epmOfflineCondition_,0,EPMRetrieveData(,,$D$21,$D$22,$D$25,$D$26,$D$27,$D$28,$AK$162,$AL$26,$AA$42,$AA$43,"DALL",AH174))</f>
        <v/>
      </c>
      <c r="AL174" s="905" t="n"/>
      <c r="AM174" s="384" t="n"/>
      <c r="AN174" s="384" t="n"/>
      <c r="AO174" s="384" t="n"/>
      <c r="AP174" s="384" t="n"/>
      <c r="AQ174" s="384" t="n"/>
      <c r="AR174" s="384" t="n"/>
      <c r="AS174" s="384" t="n"/>
      <c r="AT174" s="384" t="n"/>
      <c r="AU174" s="384" t="n"/>
      <c r="AV174" s="384" t="n"/>
      <c r="AW174" s="384" t="n"/>
      <c r="AX174" s="384" t="n"/>
      <c r="AY174" s="384" t="n"/>
    </row>
    <row r="175">
      <c r="A175" s="384" t="n"/>
      <c r="B175" s="384" t="n"/>
      <c r="C175" s="384" t="n"/>
      <c r="D175" s="384" t="n"/>
      <c r="E175" s="384" t="n"/>
      <c r="F175" s="384" t="n"/>
      <c r="G175" s="384" t="n"/>
      <c r="H175" s="384" t="n"/>
      <c r="I175" s="384" t="n"/>
      <c r="J175" s="384" t="n"/>
      <c r="K175" s="384" t="n"/>
      <c r="L175" s="384" t="n"/>
      <c r="M175" s="384" t="n"/>
      <c r="N175" s="384" t="n"/>
      <c r="O175" s="384" t="n"/>
      <c r="P175" s="384" t="n"/>
      <c r="Q175" s="384" t="n"/>
      <c r="R175" s="384" t="n"/>
      <c r="S175" s="32" t="n"/>
      <c r="T175" s="384" t="n"/>
      <c r="U175" s="384" t="n"/>
      <c r="V175" s="384" t="n"/>
      <c r="W175" s="384" t="n"/>
      <c r="X175" s="38" t="n"/>
      <c r="Y175" s="384" t="n"/>
      <c r="Z175" s="384" t="n"/>
      <c r="AA175" s="384" t="n"/>
      <c r="AB175" s="384" t="n"/>
      <c r="AC175" s="384" t="n"/>
      <c r="AD175" s="384" t="n"/>
      <c r="AE175" s="384" t="n"/>
      <c r="AF175" s="384" t="n"/>
      <c r="AG175" s="905" t="n"/>
      <c r="AH175" s="905" t="inlineStr">
        <is>
          <t>A0070304P</t>
        </is>
      </c>
      <c r="AI175" s="905">
        <f>IF(_epmOfflineCondition_,"人工成本明细-福利费用",EPMMemberDesc(AH175))</f>
        <v/>
      </c>
      <c r="AJ175" s="1292">
        <f>IF(_epmOfflineCondition_,81855.46,EPMRetrieveData(,,$D$21,$D$22,$D$25,$D$26,$D$27,$D$28,$AK$162,$AK$26,$AA$42,$AA$43,$AA$44,AH175,"DLC"))</f>
        <v/>
      </c>
      <c r="AK175" s="1291">
        <f>IF(_epmOfflineCondition_,248103.86,EPMRetrieveData(,,$D$21,$D$22,$D$25,$D$26,$D$27,$D$28,$AK$162,$AL$26,$AA$42,$AA$43,"DALL",AH175))</f>
        <v/>
      </c>
      <c r="AL175" s="905" t="n"/>
      <c r="AM175" s="384" t="n"/>
      <c r="AN175" s="384" t="n"/>
      <c r="AO175" s="384" t="n"/>
      <c r="AP175" s="384" t="n"/>
      <c r="AQ175" s="384" t="n"/>
      <c r="AR175" s="384" t="n"/>
      <c r="AS175" s="384" t="n"/>
      <c r="AT175" s="384" t="n"/>
      <c r="AU175" s="384" t="n"/>
      <c r="AV175" s="384" t="n"/>
      <c r="AW175" s="384" t="n"/>
      <c r="AX175" s="384" t="n"/>
      <c r="AY175" s="384" t="n"/>
    </row>
    <row r="176">
      <c r="A176" s="384" t="n"/>
      <c r="B176" s="384" t="n"/>
      <c r="C176" s="384" t="n"/>
      <c r="D176" s="384" t="n"/>
      <c r="E176" s="384" t="n"/>
      <c r="F176" s="384" t="n"/>
      <c r="G176" s="384" t="n"/>
      <c r="H176" s="384" t="n"/>
      <c r="I176" s="384" t="n"/>
      <c r="J176" s="384" t="n"/>
      <c r="K176" s="384" t="n"/>
      <c r="L176" s="384" t="n"/>
      <c r="M176" s="384" t="n"/>
      <c r="N176" s="384" t="n"/>
      <c r="O176" s="384" t="n"/>
      <c r="P176" s="384" t="n"/>
      <c r="Q176" s="384" t="n"/>
      <c r="R176" s="384" t="n"/>
      <c r="S176" s="32" t="n"/>
      <c r="T176" s="384" t="n"/>
      <c r="U176" s="384" t="n"/>
      <c r="V176" s="384" t="n"/>
      <c r="W176" s="384" t="n"/>
      <c r="X176" s="38" t="n"/>
      <c r="Y176" s="384" t="n"/>
      <c r="Z176" s="384" t="n"/>
      <c r="AA176" s="384" t="n"/>
      <c r="AB176" s="384" t="n"/>
      <c r="AC176" s="384" t="n"/>
      <c r="AD176" s="384" t="n"/>
      <c r="AE176" s="384" t="n"/>
      <c r="AF176" s="384" t="n"/>
      <c r="AG176" s="905" t="n"/>
      <c r="AH176" s="905" t="inlineStr">
        <is>
          <t>A0070305</t>
        </is>
      </c>
      <c r="AI176" s="905">
        <f>IF(_epmOfflineCondition_,"人工成本明细-教育培训经费",EPMMemberDesc(AH176))</f>
        <v/>
      </c>
      <c r="AJ176" s="1291">
        <f>IF(_epmOfflineCondition_,4259.54,EPMRetrieveData(,,$D$21,$D$22,$D$25,$D$26,$D$27,$D$28,$AK$162,$AK$26,$AA$42,$AA$43,$AA$44,AH176,AJ163))</f>
        <v/>
      </c>
      <c r="AK176" s="1291">
        <f>IF(_epmOfflineCondition_,3268.32,EPMRetrieveData(,,$D$21,$D$22,$D$25,$D$26,$D$27,$D$28,$AK$162,$AL$26,$AA$42,$AA$43,"DALL",AH176))</f>
        <v/>
      </c>
      <c r="AL176" s="905" t="n"/>
      <c r="AM176" s="384" t="n"/>
      <c r="AN176" s="384" t="n"/>
      <c r="AO176" s="384" t="n"/>
      <c r="AP176" s="384" t="n"/>
      <c r="AQ176" s="384" t="n"/>
      <c r="AR176" s="384" t="n"/>
      <c r="AS176" s="384" t="n"/>
      <c r="AT176" s="384" t="n"/>
      <c r="AU176" s="384" t="n"/>
      <c r="AV176" s="384" t="n"/>
      <c r="AW176" s="384" t="n"/>
      <c r="AX176" s="384" t="n"/>
      <c r="AY176" s="384" t="n"/>
    </row>
    <row r="177">
      <c r="A177" s="384" t="n"/>
      <c r="B177" s="384" t="n"/>
      <c r="C177" s="384" t="n"/>
      <c r="D177" s="384" t="n"/>
      <c r="E177" s="384" t="n"/>
      <c r="F177" s="384" t="n"/>
      <c r="G177" s="384" t="n"/>
      <c r="H177" s="384" t="n"/>
      <c r="I177" s="384" t="n"/>
      <c r="J177" s="384" t="n"/>
      <c r="K177" s="384" t="n"/>
      <c r="L177" s="384" t="n"/>
      <c r="M177" s="384" t="n"/>
      <c r="N177" s="384" t="n"/>
      <c r="O177" s="384" t="n"/>
      <c r="P177" s="384" t="n"/>
      <c r="Q177" s="384" t="n"/>
      <c r="R177" s="384" t="n"/>
      <c r="S177" s="32" t="n"/>
      <c r="T177" s="384" t="n"/>
      <c r="U177" s="384" t="n"/>
      <c r="V177" s="384" t="n"/>
      <c r="W177" s="384" t="n"/>
      <c r="X177" s="38" t="n"/>
      <c r="Y177" s="384" t="n"/>
      <c r="Z177" s="384" t="n"/>
      <c r="AA177" s="384" t="n"/>
      <c r="AB177" s="384" t="n"/>
      <c r="AC177" s="384" t="n"/>
      <c r="AD177" s="384" t="n"/>
      <c r="AE177" s="384" t="n"/>
      <c r="AF177" s="384" t="n"/>
      <c r="AG177" s="905" t="n"/>
      <c r="AH177" s="905" t="inlineStr">
        <is>
          <t>A0070306</t>
        </is>
      </c>
      <c r="AI177" s="905">
        <f>IF(_epmOfflineCondition_,"人工成本明细-工会经费",EPMMemberDesc(AH177))</f>
        <v/>
      </c>
      <c r="AJ177" s="1291">
        <f>IF(_epmOfflineCondition_,22160.71,EPMRetrieveData(,,$D$21,$D$22,$D$25,$D$26,$D$27,$D$28,$AK$162,$AK$26,$AA$42,$AA$43,$AA$44,AH177,AJ163))</f>
        <v/>
      </c>
      <c r="AK177" s="1291">
        <f>IF(_epmOfflineCondition_,10631.27,EPMRetrieveData(,,$D$21,$D$22,$D$25,$D$26,$D$27,$D$28,$AK$162,$AL$26,$AA$42,$AA$43,"DALL",AH177))</f>
        <v/>
      </c>
      <c r="AL177" s="905" t="n"/>
      <c r="AM177" s="384" t="n"/>
      <c r="AN177" s="384" t="n"/>
      <c r="AO177" s="384" t="n"/>
      <c r="AP177" s="384" t="n"/>
      <c r="AQ177" s="384" t="n"/>
      <c r="AR177" s="384" t="n"/>
      <c r="AS177" s="384" t="n"/>
      <c r="AT177" s="384" t="n"/>
      <c r="AU177" s="384" t="n"/>
      <c r="AV177" s="384" t="n"/>
      <c r="AW177" s="384" t="n"/>
      <c r="AX177" s="384" t="n"/>
      <c r="AY177" s="384" t="n"/>
    </row>
    <row r="178">
      <c r="A178" s="384" t="n"/>
      <c r="B178" s="384" t="n"/>
      <c r="C178" s="384" t="n"/>
      <c r="D178" s="384" t="n"/>
      <c r="E178" s="384" t="n"/>
      <c r="F178" s="384" t="n"/>
      <c r="G178" s="384" t="n"/>
      <c r="H178" s="384" t="n"/>
      <c r="I178" s="384" t="n"/>
      <c r="J178" s="384" t="n"/>
      <c r="K178" s="384" t="n"/>
      <c r="L178" s="384" t="n"/>
      <c r="M178" s="384" t="n"/>
      <c r="N178" s="384" t="n"/>
      <c r="O178" s="384" t="n"/>
      <c r="P178" s="384" t="n"/>
      <c r="Q178" s="384" t="n"/>
      <c r="R178" s="384" t="n"/>
      <c r="S178" s="32" t="n"/>
      <c r="T178" s="384" t="n"/>
      <c r="U178" s="384" t="n"/>
      <c r="V178" s="384" t="n"/>
      <c r="W178" s="384" t="n"/>
      <c r="X178" s="38" t="n"/>
      <c r="Y178" s="384" t="n"/>
      <c r="Z178" s="384" t="n"/>
      <c r="AA178" s="384" t="n"/>
      <c r="AB178" s="384" t="n"/>
      <c r="AC178" s="384" t="n"/>
      <c r="AD178" s="384" t="n"/>
      <c r="AE178" s="384" t="n"/>
      <c r="AF178" s="384" t="n"/>
      <c r="AG178" s="905" t="n"/>
      <c r="AH178" s="905" t="inlineStr">
        <is>
          <t>A0070307</t>
        </is>
      </c>
      <c r="AI178" s="905">
        <f>IF(_epmOfflineCondition_,"人工成本明细-劳动保护费",EPMMemberDesc(AH178))</f>
        <v/>
      </c>
      <c r="AJ178" s="1291">
        <f>IF(_epmOfflineCondition_,925.17,EPMRetrieveData(,,$D$21,$D$22,$D$25,$D$26,$D$27,$D$28,$AK$162,$AK$26,$AA$42,$AA$43,$AA$44,AH178,AJ163))</f>
        <v/>
      </c>
      <c r="AK178" s="1291">
        <f>IF(_epmOfflineCondition_,0,EPMRetrieveData(,,$D$21,$D$22,$D$25,$D$26,$D$27,$D$28,$AK$162,$AL$26,$AA$42,$AA$43,"DALL",AH178))</f>
        <v/>
      </c>
      <c r="AL178" s="905" t="n"/>
      <c r="AM178" s="384" t="n"/>
      <c r="AN178" s="384" t="n"/>
      <c r="AO178" s="384" t="n"/>
      <c r="AP178" s="384" t="n"/>
      <c r="AQ178" s="384" t="n"/>
      <c r="AR178" s="384" t="n"/>
      <c r="AS178" s="384" t="n"/>
      <c r="AT178" s="384" t="n"/>
      <c r="AU178" s="384" t="n"/>
      <c r="AV178" s="384" t="n"/>
      <c r="AW178" s="384" t="n"/>
      <c r="AX178" s="384" t="n"/>
      <c r="AY178" s="384" t="n"/>
    </row>
    <row r="179">
      <c r="A179" s="384" t="n"/>
      <c r="B179" s="384" t="n"/>
      <c r="C179" s="384" t="n"/>
      <c r="D179" s="384" t="n"/>
      <c r="E179" s="384" t="n"/>
      <c r="F179" s="384" t="n"/>
      <c r="G179" s="384" t="n"/>
      <c r="H179" s="384" t="n"/>
      <c r="I179" s="384" t="n"/>
      <c r="J179" s="384" t="n"/>
      <c r="K179" s="384" t="n"/>
      <c r="L179" s="384" t="n"/>
      <c r="M179" s="384" t="n"/>
      <c r="N179" s="384" t="n"/>
      <c r="O179" s="384" t="n"/>
      <c r="P179" s="384" t="n"/>
      <c r="Q179" s="384" t="n"/>
      <c r="R179" s="384" t="n"/>
      <c r="S179" s="32" t="n"/>
      <c r="T179" s="384" t="n"/>
      <c r="U179" s="384" t="n"/>
      <c r="V179" s="384" t="n"/>
      <c r="W179" s="384" t="n"/>
      <c r="X179" s="38" t="n"/>
      <c r="Y179" s="384" t="n"/>
      <c r="Z179" s="384" t="n"/>
      <c r="AA179" s="384" t="n"/>
      <c r="AB179" s="384" t="n"/>
      <c r="AC179" s="384" t="n"/>
      <c r="AD179" s="384" t="n"/>
      <c r="AE179" s="384" t="n"/>
      <c r="AF179" s="384" t="n"/>
      <c r="AG179" s="905" t="n"/>
      <c r="AH179" s="905" t="inlineStr">
        <is>
          <t>A0070311</t>
        </is>
      </c>
      <c r="AI179" s="905">
        <f>IF(_epmOfflineCondition_,"人工成本明细-辞退福利",EPMMemberDesc(AH179))</f>
        <v/>
      </c>
      <c r="AJ179" s="1291">
        <f>IF(_epmOfflineCondition_,0,EPMRetrieveData(,,$D$21,$D$22,$D$25,$D$26,$D$27,$D$28,$AK$162,$AK$26,$AA$42,$AA$43,$AA$44,AH179,AJ163))</f>
        <v/>
      </c>
      <c r="AK179" s="1291">
        <f>IF(_epmOfflineCondition_,0,EPMRetrieveData(,,$D$21,$D$22,$D$25,$D$26,$D$27,$D$28,$AK$162,$AL$26,$AA$42,$AA$43,"DALL",AH179))</f>
        <v/>
      </c>
      <c r="AL179" s="905" t="n"/>
      <c r="AM179" s="384" t="n"/>
      <c r="AN179" s="384" t="n"/>
      <c r="AO179" s="384" t="n"/>
      <c r="AP179" s="384" t="n"/>
      <c r="AQ179" s="384" t="n"/>
      <c r="AR179" s="384" t="n"/>
      <c r="AS179" s="384" t="n"/>
      <c r="AT179" s="384" t="n"/>
      <c r="AU179" s="384" t="n"/>
      <c r="AV179" s="384" t="n"/>
      <c r="AW179" s="384" t="n"/>
      <c r="AX179" s="384" t="n"/>
      <c r="AY179" s="384" t="n"/>
    </row>
    <row r="180">
      <c r="A180" s="384" t="n"/>
      <c r="B180" s="384" t="n"/>
      <c r="C180" s="384" t="n"/>
      <c r="D180" s="384" t="n"/>
      <c r="E180" s="384" t="n"/>
      <c r="F180" s="384" t="n"/>
      <c r="G180" s="384" t="n"/>
      <c r="H180" s="384" t="n"/>
      <c r="I180" s="384" t="n"/>
      <c r="J180" s="384" t="n"/>
      <c r="K180" s="384" t="n"/>
      <c r="L180" s="384" t="n"/>
      <c r="M180" s="384" t="n"/>
      <c r="N180" s="384" t="n"/>
      <c r="O180" s="384" t="n"/>
      <c r="P180" s="384" t="n"/>
      <c r="Q180" s="384" t="n"/>
      <c r="R180" s="384" t="n"/>
      <c r="S180" s="32" t="n"/>
      <c r="T180" s="384" t="n"/>
      <c r="U180" s="384" t="n"/>
      <c r="V180" s="384" t="n"/>
      <c r="W180" s="384" t="n"/>
      <c r="X180" s="38" t="n"/>
      <c r="Y180" s="384" t="n"/>
      <c r="Z180" s="384" t="n"/>
      <c r="AA180" s="384" t="n"/>
      <c r="AB180" s="384" t="n"/>
      <c r="AC180" s="384" t="n"/>
      <c r="AD180" s="384" t="n"/>
      <c r="AE180" s="384" t="n"/>
      <c r="AF180" s="384" t="n"/>
      <c r="AG180" s="905" t="n"/>
      <c r="AH180" s="905" t="inlineStr">
        <is>
          <t>A0070310</t>
        </is>
      </c>
      <c r="AI180" s="905">
        <f>IF(_epmOfflineCondition_,"人工成本明细-技术奖酬金及业务设计奖",EPMMemberDesc(AH180))</f>
        <v/>
      </c>
      <c r="AJ180" s="1291">
        <f>IF(_epmOfflineCondition_,0,EPMRetrieveData(,,$D$21,$D$22,$D$25,$D$26,$D$27,$D$28,$AK$162,$AK$26,$AA$42,$AA$43,$AA$44,AH180,AJ163))</f>
        <v/>
      </c>
      <c r="AK180" s="1291">
        <f>IF(_epmOfflineCondition_,0,EPMRetrieveData(,,$D$21,$D$22,$D$25,$D$26,$D$27,$D$28,$AK$162,$AL$26,$AA$42,$AA$43,"DALL",AH180))</f>
        <v/>
      </c>
      <c r="AL180" s="905" t="n"/>
      <c r="AM180" s="384" t="n"/>
      <c r="AN180" s="384" t="n"/>
      <c r="AO180" s="384" t="n"/>
      <c r="AP180" s="384" t="n"/>
      <c r="AQ180" s="384" t="n"/>
      <c r="AR180" s="384" t="n"/>
      <c r="AS180" s="384" t="n"/>
      <c r="AT180" s="384" t="n"/>
      <c r="AU180" s="384" t="n"/>
      <c r="AV180" s="384" t="n"/>
      <c r="AW180" s="384" t="n"/>
      <c r="AX180" s="384" t="n"/>
      <c r="AY180" s="384" t="n"/>
    </row>
    <row r="181">
      <c r="A181" s="384" t="n"/>
      <c r="B181" s="384" t="n"/>
      <c r="C181" s="384" t="n"/>
      <c r="D181" s="384" t="n"/>
      <c r="E181" s="384" t="n"/>
      <c r="F181" s="384" t="n"/>
      <c r="G181" s="384" t="n"/>
      <c r="H181" s="384" t="n"/>
      <c r="I181" s="384" t="n"/>
      <c r="J181" s="384" t="n"/>
      <c r="K181" s="384" t="n"/>
      <c r="L181" s="384" t="n"/>
      <c r="M181" s="384" t="n"/>
      <c r="N181" s="384" t="n"/>
      <c r="O181" s="384" t="n"/>
      <c r="P181" s="384" t="n"/>
      <c r="Q181" s="384" t="n"/>
      <c r="R181" s="384" t="n"/>
      <c r="S181" s="32" t="n"/>
      <c r="T181" s="384" t="n"/>
      <c r="U181" s="384" t="n"/>
      <c r="V181" s="384" t="n"/>
      <c r="W181" s="384" t="n"/>
      <c r="X181" s="38" t="n"/>
      <c r="Y181" s="384" t="n"/>
      <c r="Z181" s="384" t="n"/>
      <c r="AA181" s="384" t="n"/>
      <c r="AB181" s="384" t="n"/>
      <c r="AC181" s="384" t="n"/>
      <c r="AD181" s="384" t="n"/>
      <c r="AE181" s="384" t="n"/>
      <c r="AF181" s="384" t="n"/>
      <c r="AG181" s="905" t="n"/>
      <c r="AH181" s="905" t="inlineStr">
        <is>
          <t>A0070313</t>
        </is>
      </c>
      <c r="AI181" s="905">
        <f>IF(_epmOfflineCondition_,"人工成本明细-非货币性福利",EPMMemberDesc(AH181))</f>
        <v/>
      </c>
      <c r="AJ181" s="1291">
        <f>IF(_epmOfflineCondition_,0,EPMRetrieveData(,,$D$21,$D$22,$D$25,$D$26,$D$27,$D$28,$AK$162,$AK$26,$AA$42,$AA$43,$AA$44,AH181,AJ163))</f>
        <v/>
      </c>
      <c r="AK181" s="1291">
        <f>IF(_epmOfflineCondition_,0,EPMRetrieveData(,,$D$21,$D$22,$D$25,$D$26,$D$27,$D$28,$AK$162,$AL$26,$AA$42,$AA$43,"DALL",AH181))</f>
        <v/>
      </c>
      <c r="AL181" s="905" t="n"/>
      <c r="AM181" s="384" t="n"/>
      <c r="AN181" s="384" t="n"/>
      <c r="AO181" s="384" t="n"/>
      <c r="AP181" s="384" t="n"/>
      <c r="AQ181" s="384" t="n"/>
      <c r="AR181" s="384" t="n"/>
      <c r="AS181" s="384" t="n"/>
      <c r="AT181" s="384" t="n"/>
      <c r="AU181" s="384" t="n"/>
      <c r="AV181" s="384" t="n"/>
      <c r="AW181" s="384" t="n"/>
      <c r="AX181" s="384" t="n"/>
      <c r="AY181" s="384" t="n"/>
    </row>
    <row r="182">
      <c r="A182" s="384" t="n"/>
      <c r="B182" s="384" t="n"/>
      <c r="C182" s="384" t="n"/>
      <c r="D182" s="384" t="n"/>
      <c r="E182" s="384" t="n"/>
      <c r="F182" s="384" t="n"/>
      <c r="G182" s="384" t="n"/>
      <c r="H182" s="384" t="n"/>
      <c r="I182" s="384" t="n"/>
      <c r="J182" s="384" t="n"/>
      <c r="K182" s="384" t="n"/>
      <c r="L182" s="384" t="n"/>
      <c r="M182" s="384" t="n"/>
      <c r="N182" s="384" t="n"/>
      <c r="O182" s="384" t="n"/>
      <c r="P182" s="384" t="n"/>
      <c r="Q182" s="384" t="n"/>
      <c r="R182" s="384" t="n"/>
      <c r="S182" s="32" t="n"/>
      <c r="T182" s="384" t="n"/>
      <c r="U182" s="384" t="n"/>
      <c r="V182" s="384" t="n"/>
      <c r="W182" s="384" t="n"/>
      <c r="X182" s="38" t="n"/>
      <c r="Y182" s="384" t="n"/>
      <c r="Z182" s="384" t="n"/>
      <c r="AA182" s="384" t="n"/>
      <c r="AB182" s="384" t="n"/>
      <c r="AC182" s="384" t="n"/>
      <c r="AD182" s="384" t="n"/>
      <c r="AE182" s="384" t="n"/>
      <c r="AF182" s="384" t="n"/>
      <c r="AG182" s="905" t="n"/>
      <c r="AH182" s="905" t="inlineStr">
        <is>
          <t>A0070312</t>
        </is>
      </c>
      <c r="AI182" s="905">
        <f>IF(_epmOfflineCondition_,"人工成本明细-股份支付",EPMMemberDesc(AH182))</f>
        <v/>
      </c>
      <c r="AJ182" s="1291">
        <f>IF(_epmOfflineCondition_,0,EPMRetrieveData(,,$D$21,$D$22,$D$25,$D$26,$D$27,$D$28,$AK$162,$AK$26,$AA$42,$AA$43,$AA$44,AH182,AJ163))</f>
        <v/>
      </c>
      <c r="AK182" s="1291">
        <f>IF(_epmOfflineCondition_,0,EPMRetrieveData(,,$D$21,$D$22,$D$25,$D$26,$D$27,$D$28,$AK$162,$AL$26,$AA$42,$AA$43,"DALL",AH182))</f>
        <v/>
      </c>
      <c r="AL182" s="905" t="n"/>
      <c r="AM182" s="384" t="n"/>
      <c r="AN182" s="384" t="n"/>
      <c r="AO182" s="384" t="n"/>
      <c r="AP182" s="384" t="n"/>
      <c r="AQ182" s="384" t="n"/>
      <c r="AR182" s="384" t="n"/>
      <c r="AS182" s="384" t="n"/>
      <c r="AT182" s="384" t="n"/>
      <c r="AU182" s="384" t="n"/>
      <c r="AV182" s="384" t="n"/>
      <c r="AW182" s="384" t="n"/>
      <c r="AX182" s="384" t="n"/>
      <c r="AY182" s="384" t="n"/>
    </row>
    <row r="183">
      <c r="A183" s="384" t="n"/>
      <c r="B183" s="384" t="n"/>
      <c r="C183" s="384" t="n"/>
      <c r="D183" s="384" t="n"/>
      <c r="E183" s="384" t="n"/>
      <c r="F183" s="384" t="n"/>
      <c r="G183" s="384" t="n"/>
      <c r="H183" s="384" t="n"/>
      <c r="I183" s="384" t="n"/>
      <c r="J183" s="384" t="n"/>
      <c r="K183" s="384" t="n"/>
      <c r="L183" s="384" t="n"/>
      <c r="M183" s="384" t="n"/>
      <c r="N183" s="384" t="n"/>
      <c r="O183" s="384" t="n"/>
      <c r="P183" s="384" t="n"/>
      <c r="Q183" s="384" t="n"/>
      <c r="R183" s="384" t="n"/>
      <c r="S183" s="32" t="n"/>
      <c r="T183" s="384" t="n"/>
      <c r="U183" s="384" t="n"/>
      <c r="V183" s="384" t="n"/>
      <c r="W183" s="384" t="n"/>
      <c r="X183" s="38" t="n"/>
      <c r="Y183" s="384" t="n"/>
      <c r="Z183" s="384" t="n"/>
      <c r="AA183" s="384" t="n"/>
      <c r="AB183" s="384" t="n"/>
      <c r="AC183" s="384" t="n"/>
      <c r="AD183" s="384" t="n"/>
      <c r="AE183" s="384" t="n"/>
      <c r="AF183" s="384" t="n"/>
      <c r="AG183" s="905" t="n"/>
      <c r="AH183" s="905" t="inlineStr">
        <is>
          <t>A0070314</t>
        </is>
      </c>
      <c r="AI183" s="905">
        <f>IF(_epmOfflineCondition_,"人工成本明细-其他人工成本",EPMMemberDesc(AH183))</f>
        <v/>
      </c>
      <c r="AJ183" s="1291">
        <f>IF(_epmOfflineCondition_,1315152.84,EPMRetrieveData(,,$D$21,$D$22,$D$25,$D$26,$D$27,$D$28,$AK$162,$AK$26,$AA$42,$AA$43,$AA$44,AH183,AJ163))</f>
        <v/>
      </c>
      <c r="AK183" s="1291">
        <f>IF(_epmOfflineCondition_,0,EPMRetrieveData(,,$D$21,$D$22,$D$25,$D$26,$D$27,$D$28,$AK$162,$AL$26,$AA$42,$AA$43,"DALL",AH183))</f>
        <v/>
      </c>
      <c r="AL183" s="905" t="n"/>
      <c r="AM183" s="384" t="n"/>
      <c r="AN183" s="384" t="n"/>
      <c r="AO183" s="384" t="n"/>
      <c r="AP183" s="384" t="n"/>
      <c r="AQ183" s="384" t="n"/>
      <c r="AR183" s="384" t="n"/>
      <c r="AS183" s="384" t="n"/>
      <c r="AT183" s="384" t="n"/>
      <c r="AU183" s="384" t="n"/>
      <c r="AV183" s="384" t="n"/>
      <c r="AW183" s="384" t="n"/>
      <c r="AX183" s="384" t="n"/>
      <c r="AY183" s="384" t="n"/>
    </row>
    <row r="184">
      <c r="A184" s="384" t="n"/>
      <c r="B184" s="384" t="n"/>
      <c r="C184" s="384" t="n"/>
      <c r="D184" s="384" t="n"/>
      <c r="E184" s="384" t="n"/>
      <c r="F184" s="384" t="n"/>
      <c r="G184" s="384" t="n"/>
      <c r="H184" s="384" t="n"/>
      <c r="I184" s="384" t="n"/>
      <c r="J184" s="384" t="n"/>
      <c r="K184" s="384" t="n"/>
      <c r="L184" s="384" t="n"/>
      <c r="M184" s="384" t="n"/>
      <c r="N184" s="384" t="n"/>
      <c r="O184" s="384" t="n"/>
      <c r="P184" s="384" t="n"/>
      <c r="Q184" s="384" t="n"/>
      <c r="R184" s="384" t="n"/>
      <c r="S184" s="32" t="n"/>
      <c r="T184" s="384" t="n"/>
      <c r="U184" s="384" t="n"/>
      <c r="V184" s="384" t="n"/>
      <c r="W184" s="384" t="n"/>
      <c r="X184" s="38" t="n"/>
      <c r="Y184" s="384" t="n"/>
      <c r="Z184" s="384" t="n"/>
      <c r="AA184" s="384" t="n"/>
      <c r="AB184" s="384" t="n"/>
      <c r="AC184" s="384" t="n"/>
      <c r="AD184" s="384" t="n"/>
      <c r="AE184" s="384" t="n"/>
      <c r="AF184" s="384" t="n"/>
      <c r="AG184" s="905" t="n"/>
      <c r="AH184" s="905" t="inlineStr">
        <is>
          <t>A0070308</t>
        </is>
      </c>
      <c r="AI184" s="905">
        <f>IF(_epmOfflineCondition_,"人工成本明细-其中：住房公积金",EPMMemberDesc(AH184))</f>
        <v/>
      </c>
      <c r="AJ184" s="1291">
        <f>IF(_epmOfflineCondition_,136770,EPMRetrieveData(,,$D$21,$D$22,$D$25,$D$26,$D$27,$D$28,$AK$162,$AK$26,$AA$42,$AA$43,$AA$44,AH184,AJ163))</f>
        <v/>
      </c>
      <c r="AK184" s="1291">
        <f>IF(_epmOfflineCondition_,77468,EPMRetrieveData(,,$D$21,$D$22,$D$25,$D$26,$D$27,$D$28,$AK$162,$AL$26,$AA$42,$AA$43,"DALL",AH184))</f>
        <v/>
      </c>
      <c r="AL184" s="905" t="n"/>
      <c r="AM184" s="384" t="n"/>
      <c r="AN184" s="384" t="n"/>
      <c r="AO184" s="384" t="n"/>
      <c r="AP184" s="384" t="n"/>
      <c r="AQ184" s="384" t="n"/>
      <c r="AR184" s="384" t="n"/>
      <c r="AS184" s="384" t="n"/>
      <c r="AT184" s="384" t="n"/>
      <c r="AU184" s="384" t="n"/>
      <c r="AV184" s="384" t="n"/>
      <c r="AW184" s="384" t="n"/>
      <c r="AX184" s="384" t="n"/>
      <c r="AY184" s="384" t="n"/>
    </row>
    <row r="185">
      <c r="A185" s="384" t="n"/>
      <c r="B185" s="384" t="n"/>
      <c r="C185" s="384" t="n"/>
      <c r="D185" s="384" t="n"/>
      <c r="E185" s="384" t="n"/>
      <c r="F185" s="384" t="n"/>
      <c r="G185" s="384" t="n"/>
      <c r="H185" s="384" t="n"/>
      <c r="I185" s="384" t="n"/>
      <c r="J185" s="384" t="n"/>
      <c r="K185" s="384" t="n"/>
      <c r="L185" s="384" t="n"/>
      <c r="M185" s="384" t="n"/>
      <c r="N185" s="384" t="n"/>
      <c r="O185" s="384" t="n"/>
      <c r="P185" s="384" t="n"/>
      <c r="Q185" s="384" t="n"/>
      <c r="R185" s="384" t="n"/>
      <c r="S185" s="32" t="n"/>
      <c r="T185" s="384" t="n"/>
      <c r="U185" s="384" t="n"/>
      <c r="V185" s="384" t="n"/>
      <c r="W185" s="384" t="n"/>
      <c r="X185" s="38" t="n"/>
      <c r="Y185" s="384" t="n"/>
      <c r="Z185" s="384" t="n"/>
      <c r="AA185" s="384" t="n"/>
      <c r="AB185" s="384" t="n"/>
      <c r="AC185" s="384" t="n"/>
      <c r="AD185" s="384" t="n"/>
      <c r="AE185" s="384" t="n"/>
      <c r="AF185" s="384" t="n"/>
      <c r="AG185" s="905" t="n"/>
      <c r="AH185" s="905" t="inlineStr">
        <is>
          <t>A0070309</t>
        </is>
      </c>
      <c r="AI185" s="905">
        <f>IF(_epmOfflineCondition_,"人工成本明细-其中：住房补贴",EPMMemberDesc(AH185))</f>
        <v/>
      </c>
      <c r="AJ185" s="1291">
        <f>IF(_epmOfflineCondition_,0,EPMRetrieveData(,,$D$21,$D$22,$D$25,$D$26,$D$27,$D$28,$AK$162,$AK$26,$AA$42,$AA$43,$AA$44,AH185,AJ163))</f>
        <v/>
      </c>
      <c r="AK185" s="1291">
        <f>IF(_epmOfflineCondition_,0,EPMRetrieveData(,,$D$21,$D$22,$D$25,$D$26,$D$27,$D$28,$AK$162,$AL$26,$AA$42,$AA$43,"DALL",AH185))</f>
        <v/>
      </c>
      <c r="AL185" s="905" t="n"/>
      <c r="AM185" s="384" t="n"/>
      <c r="AN185" s="384" t="n"/>
      <c r="AO185" s="384" t="n"/>
      <c r="AP185" s="384" t="n"/>
      <c r="AQ185" s="384" t="n"/>
      <c r="AR185" s="384" t="n"/>
      <c r="AS185" s="384" t="n"/>
      <c r="AT185" s="384" t="n"/>
      <c r="AU185" s="384" t="n"/>
      <c r="AV185" s="384" t="n"/>
      <c r="AW185" s="384" t="n"/>
      <c r="AX185" s="384" t="n"/>
      <c r="AY185" s="384" t="n"/>
    </row>
    <row r="186">
      <c r="A186" s="384" t="n"/>
      <c r="B186" s="384" t="n"/>
      <c r="C186" s="384" t="n"/>
      <c r="D186" s="384" t="n"/>
      <c r="E186" s="384" t="n"/>
      <c r="F186" s="384" t="n"/>
      <c r="G186" s="384" t="n"/>
      <c r="H186" s="384" t="n"/>
      <c r="I186" s="384" t="n"/>
      <c r="J186" s="384" t="n"/>
      <c r="K186" s="384" t="n"/>
      <c r="L186" s="384" t="n"/>
      <c r="M186" s="384" t="n"/>
      <c r="N186" s="384" t="n"/>
      <c r="O186" s="384" t="n"/>
      <c r="P186" s="384" t="n"/>
      <c r="Q186" s="384" t="n"/>
      <c r="R186" s="384" t="n"/>
      <c r="S186" s="32" t="n"/>
      <c r="T186" s="384" t="n"/>
      <c r="U186" s="384" t="n"/>
      <c r="V186" s="384" t="n"/>
      <c r="W186" s="384" t="n"/>
      <c r="X186" s="38" t="n"/>
      <c r="Y186" s="384" t="n"/>
      <c r="Z186" s="384" t="n"/>
      <c r="AA186" s="384" t="n"/>
      <c r="AB186" s="384" t="n"/>
      <c r="AC186" s="384" t="n"/>
      <c r="AD186" s="384" t="n"/>
      <c r="AE186" s="384" t="n"/>
      <c r="AF186" s="384" t="n"/>
      <c r="AG186" s="905" t="n"/>
      <c r="AH186" s="905" t="n"/>
      <c r="AI186" s="905" t="inlineStr">
        <is>
          <t>合计</t>
        </is>
      </c>
      <c r="AJ186" s="1291">
        <f>SUM(AJ172:AJ185)</f>
        <v/>
      </c>
      <c r="AK186" s="1291">
        <f>SUM(AK172:AK185)</f>
        <v/>
      </c>
      <c r="AL186" s="905" t="n"/>
      <c r="AM186" s="384" t="n"/>
      <c r="AN186" s="384" t="n"/>
      <c r="AO186" s="384" t="n"/>
      <c r="AP186" s="384" t="n"/>
      <c r="AQ186" s="384" t="n"/>
      <c r="AR186" s="384" t="n"/>
      <c r="AS186" s="384" t="n"/>
      <c r="AT186" s="384" t="n"/>
      <c r="AU186" s="384" t="n"/>
      <c r="AV186" s="384" t="n"/>
      <c r="AW186" s="384" t="n"/>
      <c r="AX186" s="384" t="n"/>
      <c r="AY186" s="384" t="n"/>
    </row>
    <row r="187">
      <c r="A187" s="384" t="n"/>
      <c r="B187" s="384" t="n"/>
      <c r="C187" s="384" t="n"/>
      <c r="D187" s="384" t="n"/>
      <c r="E187" s="384" t="n"/>
      <c r="F187" s="384" t="n"/>
      <c r="G187" s="384" t="n"/>
      <c r="H187" s="384" t="n"/>
      <c r="I187" s="384" t="n"/>
      <c r="J187" s="384" t="n"/>
      <c r="K187" s="384" t="n"/>
      <c r="L187" s="384" t="n"/>
      <c r="M187" s="384" t="n"/>
      <c r="N187" s="384" t="n"/>
      <c r="O187" s="384" t="n"/>
      <c r="P187" s="384" t="n"/>
      <c r="Q187" s="384" t="n"/>
      <c r="R187" s="384" t="n"/>
      <c r="S187" s="32" t="n"/>
      <c r="T187" s="384" t="n"/>
      <c r="U187" s="384" t="n"/>
      <c r="V187" s="384" t="n"/>
      <c r="W187" s="384" t="n"/>
      <c r="X187" s="38" t="n"/>
      <c r="Y187" s="384" t="n"/>
      <c r="Z187" s="384" t="n"/>
      <c r="AA187" s="384" t="n"/>
      <c r="AB187" s="384" t="n"/>
      <c r="AC187" s="384" t="n"/>
      <c r="AD187" s="384" t="n"/>
      <c r="AE187" s="384" t="n"/>
      <c r="AF187" s="384" t="n"/>
      <c r="AG187" s="905" t="n"/>
      <c r="AH187" s="384" t="n"/>
      <c r="AI187" s="384" t="n"/>
      <c r="AJ187" s="384" t="n"/>
      <c r="AK187" s="384" t="n"/>
      <c r="AL187" s="384" t="n"/>
      <c r="AM187" s="384" t="n"/>
      <c r="AN187" s="384" t="n"/>
      <c r="AO187" s="384" t="n"/>
      <c r="AP187" s="384" t="n"/>
      <c r="AQ187" s="384" t="n"/>
      <c r="AR187" s="384" t="n"/>
      <c r="AS187" s="384" t="n"/>
      <c r="AT187" s="384" t="n"/>
      <c r="AU187" s="384" t="n"/>
      <c r="AV187" s="384" t="n"/>
      <c r="AW187" s="384" t="n"/>
      <c r="AX187" s="384" t="n"/>
      <c r="AY187" s="384" t="n"/>
    </row>
  </sheetData>
  <sheetProtection selectLockedCells="0" selectUnlockedCells="0" algorithmName="SHA-512" sheet="1" objects="0" insertRows="1" insertHyperlinks="1" autoFilter="1" scenarios="1" formatColumns="1" deleteColumns="1" insertColumns="1" pivotTables="1" deleteRows="1" formatCells="1" saltValue="fYwaRdJoA+EF3PfOy/FdBg==" formatRows="1" sort="1" spinCount="100000" hashValue="FuiAwOSHgGFvSdQYWKePWGAsDNE/U73JnVp4SCTADUG8+6PeKilb8VSrWwRkqUtWdnTPqvHXM6PvW8d2YLUUdA=="/>
  <mergeCells count="23">
    <mergeCell ref="H2:J2"/>
    <mergeCell ref="D16:G16"/>
    <mergeCell ref="Z35:AB35"/>
    <mergeCell ref="AK35:AL35"/>
    <mergeCell ref="AS35:AU35"/>
    <mergeCell ref="AT37:AU37"/>
    <mergeCell ref="AH128:AI128"/>
    <mergeCell ref="AH135:AJ135"/>
    <mergeCell ref="AH139:AJ139"/>
    <mergeCell ref="AH148:AI148"/>
    <mergeCell ref="AH155:AI155"/>
    <mergeCell ref="AH160:AI160"/>
    <mergeCell ref="AH171:AI171"/>
    <mergeCell ref="X38:X39"/>
    <mergeCell ref="Y38:Y39"/>
    <mergeCell ref="Z38:Z39"/>
    <mergeCell ref="AA38:AA39"/>
    <mergeCell ref="AB38:AB39"/>
    <mergeCell ref="AC38:AC39"/>
    <mergeCell ref="AI38:AI39"/>
    <mergeCell ref="AJ38:AJ39"/>
    <mergeCell ref="AK38:AK39"/>
    <mergeCell ref="AL38:AL39"/>
  </mergeCells>
  <dataValidations count="1">
    <dataValidation sqref="Z37" showErrorMessage="1" showInputMessage="1" allowBlank="1" type="list">
      <formula1>$B$32:$B$33</formula1>
    </dataValidation>
  </dataValidations>
  <pageMargins left="0.7" right="0.7" top="0.75" bottom="0.75" header="0.3" footer="0.3"/>
  <pageSetup orientation="portrait" paperSize="9"/>
</worksheet>
</file>

<file path=xl/worksheets/sheet11.xml><?xml version="1.0" encoding="utf-8"?>
<worksheet xmlns="http://schemas.openxmlformats.org/spreadsheetml/2006/main">
  <sheetPr codeName="Sheet21">
    <outlinePr summaryBelow="1" summaryRight="1"/>
    <pageSetUpPr/>
  </sheetPr>
  <dimension ref="A1:H851"/>
  <sheetViews>
    <sheetView topLeftCell="B1" zoomScale="90" zoomScaleNormal="90" workbookViewId="0">
      <selection activeCell="G11" sqref="G11"/>
    </sheetView>
  </sheetViews>
  <sheetFormatPr baseColWidth="8" defaultColWidth="8.375" defaultRowHeight="15.2"/>
  <cols>
    <col width="20" customWidth="1" style="462" min="1" max="1"/>
    <col width="6.125" customWidth="1" style="203" min="2" max="2"/>
    <col width="35.375" customWidth="1" style="716" min="3" max="3"/>
    <col width="16.375" customWidth="1" style="716" min="4" max="4"/>
    <col width="31.25" customWidth="1" style="716" min="5" max="5"/>
    <col width="8.375" customWidth="1" style="716" min="6" max="6"/>
    <col width="18.125" customWidth="1" style="716" min="7" max="7"/>
    <col width="11.625" customWidth="1" style="462" min="8" max="8"/>
    <col width="8.375" customWidth="1" style="716" min="9" max="16384"/>
  </cols>
  <sheetData>
    <row r="1" customFormat="1" s="760">
      <c r="A1" s="833" t="inlineStr">
        <is>
          <t>债权投资明细表-集团外-公司</t>
        </is>
      </c>
      <c r="B1" s="834" t="n"/>
      <c r="C1" s="835" t="n"/>
      <c r="D1" s="514" t="n"/>
      <c r="E1" s="835" t="n"/>
      <c r="F1" s="760" t="n"/>
      <c r="G1" s="762" t="inlineStr">
        <is>
          <t>取值</t>
        </is>
      </c>
      <c r="H1" s="1183" t="n"/>
    </row>
    <row r="2" customFormat="1" s="760">
      <c r="A2" s="764" t="inlineStr">
        <is>
          <t>Entity</t>
        </is>
      </c>
      <c r="B2" s="765" t="inlineStr">
        <is>
          <t>行号</t>
        </is>
      </c>
      <c r="C2" s="766" t="inlineStr">
        <is>
          <t>实体名称</t>
        </is>
      </c>
      <c r="D2" s="766" t="inlineStr">
        <is>
          <t>出资方编码</t>
        </is>
      </c>
      <c r="E2" s="766" t="inlineStr">
        <is>
          <t>出资方</t>
        </is>
      </c>
      <c r="F2" s="760" t="n"/>
      <c r="G2" s="768" t="inlineStr">
        <is>
          <t>Entity</t>
        </is>
      </c>
      <c r="H2" s="672">
        <f>#REF!</f>
        <v/>
      </c>
    </row>
    <row r="3">
      <c r="A3" s="672" t="inlineStr">
        <is>
          <t>E100000</t>
        </is>
      </c>
      <c r="B3" s="767">
        <f>ROW()</f>
        <v/>
      </c>
      <c r="C3" s="182">
        <f>IF(_epmOfflineCondition_,"北京能源集团有限责任公司",EPMMemberDesc(A3))</f>
        <v/>
      </c>
      <c r="D3" s="182" t="inlineStr">
        <is>
          <t>I_ES90000038</t>
        </is>
      </c>
      <c r="E3" s="182">
        <f>IF(_epmOfflineCondition_,"【停用】海南南洋公司",EPMMemberDesc(D3))</f>
        <v/>
      </c>
      <c r="F3" s="716" t="n"/>
      <c r="G3" s="768" t="inlineStr">
        <is>
          <t>集团外公司-行号</t>
        </is>
      </c>
      <c r="H3" s="672">
        <f>VLOOKUP($H$2,A1:B111,2,FALSE)</f>
        <v/>
      </c>
    </row>
    <row r="4">
      <c r="A4" s="672" t="inlineStr">
        <is>
          <t>E100000</t>
        </is>
      </c>
      <c r="B4" s="767">
        <f>ROW()</f>
        <v/>
      </c>
      <c r="C4" s="182">
        <f>IF(_epmOfflineCondition_,"北京能源集团有限责任公司",EPMMemberDesc(A4))</f>
        <v/>
      </c>
      <c r="D4" s="182" t="inlineStr">
        <is>
          <t>I_ES90000041</t>
        </is>
      </c>
      <c r="E4" s="182">
        <f>IF(_epmOfflineCondition_,"【停用】北京西洋参联合开发公司",EPMMemberDesc(D4))</f>
        <v/>
      </c>
      <c r="F4" s="716" t="n"/>
      <c r="G4" s="768" t="inlineStr">
        <is>
          <t>集团外个人-行号</t>
        </is>
      </c>
      <c r="H4" s="672" t="n"/>
    </row>
    <row r="5">
      <c r="A5" s="672" t="inlineStr">
        <is>
          <t>E100000G</t>
        </is>
      </c>
      <c r="B5" s="767">
        <f>ROW()</f>
        <v/>
      </c>
      <c r="C5" s="182">
        <f>IF(_epmOfflineCondition_,"北京能源集团有限责任公司（合并）",EPMMemberDesc(A5))</f>
        <v/>
      </c>
      <c r="D5" s="182" t="inlineStr">
        <is>
          <t>I_EC10000628</t>
        </is>
      </c>
      <c r="E5" s="182">
        <f>IF(_epmOfflineCondition_,"光大兴陇信托有限责任公司",EPMMemberDesc(D5))</f>
        <v/>
      </c>
      <c r="F5" s="716" t="n"/>
      <c r="G5" s="768" t="inlineStr">
        <is>
          <t>集团外其他-行号</t>
        </is>
      </c>
      <c r="H5" s="672" t="n"/>
    </row>
    <row r="6">
      <c r="A6" s="672" t="inlineStr">
        <is>
          <t>E100000G</t>
        </is>
      </c>
      <c r="B6" s="767">
        <f>ROW()</f>
        <v/>
      </c>
      <c r="C6" s="182">
        <f>IF(_epmOfflineCondition_,"北京能源集团有限责任公司（合并）",EPMMemberDesc(A6))</f>
        <v/>
      </c>
      <c r="D6" s="182" t="inlineStr">
        <is>
          <t>I_EC10072313</t>
        </is>
      </c>
      <c r="E6" s="182">
        <f>IF(_epmOfflineCondition_,"中铁信托有限责任公司",EPMMemberDesc(D6))</f>
        <v/>
      </c>
      <c r="F6" s="716" t="n"/>
      <c r="G6" s="768" t="inlineStr">
        <is>
          <t>集团内-行号</t>
        </is>
      </c>
      <c r="H6" s="672">
        <f>VLOOKUP($H$2,A112:B1818,2,FALSE)</f>
        <v/>
      </c>
    </row>
    <row r="7">
      <c r="A7" s="672" t="inlineStr">
        <is>
          <t>E100000G</t>
        </is>
      </c>
      <c r="B7" s="767">
        <f>ROW()</f>
        <v/>
      </c>
      <c r="C7" s="182">
        <f>IF(_epmOfflineCondition_,"北京能源集团有限责任公司（合并）",EPMMemberDesc(A7))</f>
        <v/>
      </c>
      <c r="D7" s="182" t="inlineStr">
        <is>
          <t>I_ES10000013</t>
        </is>
      </c>
      <c r="E7" s="182">
        <f>IF(_epmOfflineCondition_,"【停用】北京京能清洁能源电力股份有限公司",EPMMemberDesc(D7))</f>
        <v/>
      </c>
      <c r="F7" s="716" t="n"/>
      <c r="G7" s="716" t="n"/>
      <c r="H7" s="462" t="n"/>
    </row>
    <row r="8">
      <c r="A8" s="672" t="inlineStr">
        <is>
          <t>E100000G</t>
        </is>
      </c>
      <c r="B8" s="767">
        <f>ROW()</f>
        <v/>
      </c>
      <c r="C8" s="182">
        <f>IF(_epmOfflineCondition_,"北京能源集团有限责任公司（合并）",EPMMemberDesc(A8))</f>
        <v/>
      </c>
      <c r="D8" s="182" t="inlineStr">
        <is>
          <t>I_ES10000056</t>
        </is>
      </c>
      <c r="E8" s="182">
        <f>IF(_epmOfflineCondition_,"【停用】北京能源投资（集团）有限公司（本部）",EPMMemberDesc(D8))</f>
        <v/>
      </c>
      <c r="F8" s="716" t="n"/>
      <c r="G8" s="716" t="n"/>
      <c r="H8" s="462" t="n"/>
    </row>
    <row r="9">
      <c r="A9" s="672" t="inlineStr">
        <is>
          <t>E100000G</t>
        </is>
      </c>
      <c r="B9" s="767">
        <f>ROW()</f>
        <v/>
      </c>
      <c r="C9" s="182">
        <f>IF(_epmOfflineCondition_,"北京能源集团有限责任公司（合并）",EPMMemberDesc(A9))</f>
        <v/>
      </c>
      <c r="D9" s="182" t="inlineStr">
        <is>
          <t>I_ES10000176</t>
        </is>
      </c>
      <c r="E9" s="182">
        <f>IF(_epmOfflineCondition_,"【停用】北京京能电力股份有限公司（本部）",EPMMemberDesc(D9))</f>
        <v/>
      </c>
      <c r="F9" s="716" t="n"/>
      <c r="G9" s="716" t="n"/>
      <c r="H9" s="462" t="n"/>
    </row>
    <row r="10">
      <c r="A10" s="672" t="inlineStr">
        <is>
          <t>E100000G</t>
        </is>
      </c>
      <c r="B10" s="767">
        <f>ROW()</f>
        <v/>
      </c>
      <c r="C10" s="182">
        <f>IF(_epmOfflineCondition_,"北京能源集团有限责任公司（合并）",EPMMemberDesc(A10))</f>
        <v/>
      </c>
      <c r="D10" s="182" t="inlineStr">
        <is>
          <t>I_ES20038742</t>
        </is>
      </c>
      <c r="E10" s="182">
        <f>IF(_epmOfflineCondition_,"交通银行股份有限公司北京阜外支行",EPMMemberDesc(D10))</f>
        <v/>
      </c>
      <c r="F10" s="716" t="n"/>
      <c r="G10" s="716" t="n"/>
      <c r="H10" s="462" t="n"/>
    </row>
    <row r="11">
      <c r="A11" s="672" t="inlineStr">
        <is>
          <t>E100000G</t>
        </is>
      </c>
      <c r="B11" s="767">
        <f>ROW()</f>
        <v/>
      </c>
      <c r="C11" s="182">
        <f>IF(_epmOfflineCondition_,"北京能源集团有限责任公司（合并）",EPMMemberDesc(A11))</f>
        <v/>
      </c>
      <c r="D11" s="182" t="inlineStr">
        <is>
          <t>I_ES20039212</t>
        </is>
      </c>
      <c r="E11" s="182">
        <f>IF(_epmOfflineCondition_,"兴业银行股份有限公司",EPMMemberDesc(D11))</f>
        <v/>
      </c>
      <c r="F11" s="716" t="n"/>
      <c r="G11" s="716" t="n"/>
      <c r="H11" s="462" t="n"/>
    </row>
    <row r="12">
      <c r="A12" s="672" t="inlineStr">
        <is>
          <t>E100000G</t>
        </is>
      </c>
      <c r="B12" s="767">
        <f>ROW()</f>
        <v/>
      </c>
      <c r="C12" s="182">
        <f>IF(_epmOfflineCondition_,"北京能源集团有限责任公司（合并）",EPMMemberDesc(A12))</f>
        <v/>
      </c>
      <c r="D12" s="182" t="inlineStr">
        <is>
          <t>I_ES90000038</t>
        </is>
      </c>
      <c r="E12" s="182">
        <f>IF(_epmOfflineCondition_,"【停用】海南南洋公司",EPMMemberDesc(D12))</f>
        <v/>
      </c>
      <c r="F12" s="716" t="n"/>
      <c r="G12" s="716" t="n"/>
      <c r="H12" s="462" t="n"/>
    </row>
    <row r="13">
      <c r="A13" s="672" t="inlineStr">
        <is>
          <t>E100000G</t>
        </is>
      </c>
      <c r="B13" s="767">
        <f>ROW()</f>
        <v/>
      </c>
      <c r="C13" s="182">
        <f>IF(_epmOfflineCondition_,"北京能源集团有限责任公司（合并）",EPMMemberDesc(A13))</f>
        <v/>
      </c>
      <c r="D13" s="182" t="inlineStr">
        <is>
          <t>I_ES90000041</t>
        </is>
      </c>
      <c r="E13" s="182">
        <f>IF(_epmOfflineCondition_,"【停用】北京西洋参联合开发公司",EPMMemberDesc(D13))</f>
        <v/>
      </c>
      <c r="F13" s="716" t="n"/>
      <c r="G13" s="716" t="n"/>
      <c r="H13" s="462" t="n"/>
    </row>
    <row r="14">
      <c r="A14" s="672" t="inlineStr">
        <is>
          <t>E100000G</t>
        </is>
      </c>
      <c r="B14" s="767">
        <f>ROW()</f>
        <v/>
      </c>
      <c r="C14" s="182">
        <f>IF(_epmOfflineCondition_,"北京能源集团有限责任公司（合并）",EPMMemberDesc(A14))</f>
        <v/>
      </c>
      <c r="D14" s="182" t="inlineStr">
        <is>
          <t>I_ES90013188</t>
        </is>
      </c>
      <c r="E14" s="182">
        <f>IF(_epmOfflineCondition_,"【停用】兴业银行股份有限公司",EPMMemberDesc(D14))</f>
        <v/>
      </c>
      <c r="F14" s="716" t="n"/>
      <c r="G14" s="716" t="n"/>
      <c r="H14" s="462" t="n"/>
    </row>
    <row r="15">
      <c r="A15" s="672" t="inlineStr">
        <is>
          <t>E100000H</t>
        </is>
      </c>
      <c r="B15" s="767">
        <f>ROW()</f>
        <v/>
      </c>
      <c r="C15" s="182">
        <f>IF(_epmOfflineCondition_,"北京能源集团有限责任公司（母公司）",EPMMemberDesc(A15))</f>
        <v/>
      </c>
      <c r="D15" s="182" t="inlineStr">
        <is>
          <t>I_ES90000038</t>
        </is>
      </c>
      <c r="E15" s="182">
        <f>IF(_epmOfflineCondition_,"【停用】海南南洋公司",EPMMemberDesc(D15))</f>
        <v/>
      </c>
      <c r="F15" s="716" t="n"/>
      <c r="G15" s="716" t="n"/>
      <c r="H15" s="462" t="n"/>
    </row>
    <row r="16">
      <c r="A16" s="672" t="inlineStr">
        <is>
          <t>E100000H</t>
        </is>
      </c>
      <c r="B16" s="767">
        <f>ROW()</f>
        <v/>
      </c>
      <c r="C16" s="182">
        <f>IF(_epmOfflineCondition_,"北京能源集团有限责任公司（母公司）",EPMMemberDesc(A16))</f>
        <v/>
      </c>
      <c r="D16" s="182" t="inlineStr">
        <is>
          <t>I_ES90000041</t>
        </is>
      </c>
      <c r="E16" s="182">
        <f>IF(_epmOfflineCondition_,"【停用】北京西洋参联合开发公司",EPMMemberDesc(D16))</f>
        <v/>
      </c>
      <c r="F16" s="716" t="n"/>
      <c r="G16" s="716" t="n"/>
      <c r="H16" s="462" t="n"/>
    </row>
    <row r="17">
      <c r="A17" s="672" t="inlineStr">
        <is>
          <t>E100104</t>
        </is>
      </c>
      <c r="B17" s="767">
        <f>ROW()</f>
        <v/>
      </c>
      <c r="C17" s="182">
        <f>IF(_epmOfflineCondition_,"京能集团财务有限公司",EPMMemberDesc(A17))</f>
        <v/>
      </c>
      <c r="D17" s="182" t="inlineStr">
        <is>
          <t>I_ES10000013</t>
        </is>
      </c>
      <c r="E17" s="182">
        <f>IF(_epmOfflineCondition_,"【停用】北京京能清洁能源电力股份有限公司",EPMMemberDesc(D17))</f>
        <v/>
      </c>
      <c r="F17" s="716" t="n"/>
      <c r="G17" s="716" t="n"/>
      <c r="H17" s="462" t="n"/>
    </row>
    <row r="18">
      <c r="A18" s="672" t="inlineStr">
        <is>
          <t>E100104</t>
        </is>
      </c>
      <c r="B18" s="767">
        <f>ROW()</f>
        <v/>
      </c>
      <c r="C18" s="182">
        <f>IF(_epmOfflineCondition_,"京能集团财务有限公司",EPMMemberDesc(A18))</f>
        <v/>
      </c>
      <c r="D18" s="182" t="inlineStr">
        <is>
          <t>I_ES10000056</t>
        </is>
      </c>
      <c r="E18" s="182">
        <f>IF(_epmOfflineCondition_,"【停用】北京能源投资（集团）有限公司（本部）",EPMMemberDesc(D18))</f>
        <v/>
      </c>
      <c r="F18" s="716" t="n"/>
      <c r="G18" s="716" t="n"/>
      <c r="H18" s="462" t="n"/>
    </row>
    <row r="19">
      <c r="A19" s="672" t="inlineStr">
        <is>
          <t>E100104</t>
        </is>
      </c>
      <c r="B19" s="767">
        <f>ROW()</f>
        <v/>
      </c>
      <c r="C19" s="182">
        <f>IF(_epmOfflineCondition_,"京能集团财务有限公司",EPMMemberDesc(A19))</f>
        <v/>
      </c>
      <c r="D19" s="182" t="inlineStr">
        <is>
          <t>I_ES10000176</t>
        </is>
      </c>
      <c r="E19" s="182">
        <f>IF(_epmOfflineCondition_,"【停用】北京京能电力股份有限公司（本部）",EPMMemberDesc(D19))</f>
        <v/>
      </c>
      <c r="F19" s="716" t="n"/>
      <c r="G19" s="716" t="n"/>
      <c r="H19" s="462" t="n"/>
    </row>
    <row r="20">
      <c r="A20" s="672" t="inlineStr">
        <is>
          <t>E100104</t>
        </is>
      </c>
      <c r="B20" s="767">
        <f>ROW()</f>
        <v/>
      </c>
      <c r="C20" s="182">
        <f>IF(_epmOfflineCondition_,"京能集团财务有限公司",EPMMemberDesc(A20))</f>
        <v/>
      </c>
      <c r="D20" s="182" t="inlineStr">
        <is>
          <t>I_ES20038742</t>
        </is>
      </c>
      <c r="E20" s="182">
        <f>IF(_epmOfflineCondition_,"交通银行股份有限公司北京阜外支行",EPMMemberDesc(D20))</f>
        <v/>
      </c>
      <c r="F20" s="716" t="n"/>
      <c r="G20" s="716" t="n"/>
      <c r="H20" s="462" t="n"/>
    </row>
    <row r="21">
      <c r="A21" s="672" t="inlineStr">
        <is>
          <t>E100104</t>
        </is>
      </c>
      <c r="B21" s="767">
        <f>ROW()</f>
        <v/>
      </c>
      <c r="C21" s="182">
        <f>IF(_epmOfflineCondition_,"京能集团财务有限公司",EPMMemberDesc(A21))</f>
        <v/>
      </c>
      <c r="D21" s="182" t="inlineStr">
        <is>
          <t>I_ES20039212</t>
        </is>
      </c>
      <c r="E21" s="182">
        <f>IF(_epmOfflineCondition_,"兴业银行股份有限公司",EPMMemberDesc(D21))</f>
        <v/>
      </c>
      <c r="F21" s="716" t="n"/>
      <c r="G21" s="716" t="n"/>
      <c r="H21" s="462" t="n"/>
    </row>
    <row r="22">
      <c r="A22" s="672" t="inlineStr">
        <is>
          <t>E100104</t>
        </is>
      </c>
      <c r="B22" s="767">
        <f>ROW()</f>
        <v/>
      </c>
      <c r="C22" s="182">
        <f>IF(_epmOfflineCondition_,"京能集团财务有限公司",EPMMemberDesc(A22))</f>
        <v/>
      </c>
      <c r="D22" s="182" t="inlineStr">
        <is>
          <t>I_ES90013188</t>
        </is>
      </c>
      <c r="E22" s="182">
        <f>IF(_epmOfflineCondition_,"【停用】兴业银行股份有限公司",EPMMemberDesc(D22))</f>
        <v/>
      </c>
      <c r="F22" s="716" t="n"/>
      <c r="G22" s="716" t="n"/>
      <c r="H22" s="462" t="n"/>
    </row>
    <row r="23">
      <c r="A23" s="672" t="inlineStr">
        <is>
          <t>E100191G</t>
        </is>
      </c>
      <c r="B23" s="767">
        <f>ROW()</f>
        <v/>
      </c>
      <c r="C23" s="182">
        <f>IF(_epmOfflineCondition_,"北京乐多港发展有限公司（合并）",EPMMemberDesc(A23))</f>
        <v/>
      </c>
      <c r="D23" s="182" t="inlineStr">
        <is>
          <t>I_EC10000628</t>
        </is>
      </c>
      <c r="E23" s="182">
        <f>IF(_epmOfflineCondition_,"光大兴陇信托有限责任公司",EPMMemberDesc(D23))</f>
        <v/>
      </c>
      <c r="F23" s="716" t="n"/>
      <c r="G23" s="716" t="n"/>
      <c r="H23" s="462" t="n"/>
    </row>
    <row r="24">
      <c r="A24" s="672" t="inlineStr">
        <is>
          <t>E100268G</t>
        </is>
      </c>
      <c r="B24" s="767">
        <f>ROW()</f>
        <v/>
      </c>
      <c r="C24" s="182">
        <f>IF(_epmOfflineCondition_,"北京京煤集团有限责任公司（合并）",EPMMemberDesc(A24))</f>
        <v/>
      </c>
      <c r="D24" s="182" t="inlineStr">
        <is>
          <t>I_EC10000628</t>
        </is>
      </c>
      <c r="E24" s="182">
        <f>IF(_epmOfflineCondition_,"光大兴陇信托有限责任公司",EPMMemberDesc(D24))</f>
        <v/>
      </c>
      <c r="F24" s="716" t="n"/>
      <c r="G24" s="716" t="n"/>
      <c r="H24" s="462" t="n"/>
    </row>
    <row r="25">
      <c r="A25" s="672" t="inlineStr">
        <is>
          <t>E100268G</t>
        </is>
      </c>
      <c r="B25" s="767">
        <f>ROW()</f>
        <v/>
      </c>
      <c r="C25" s="182">
        <f>IF(_epmOfflineCondition_,"北京京煤集团有限责任公司（合并）",EPMMemberDesc(A25))</f>
        <v/>
      </c>
      <c r="D25" s="182" t="inlineStr">
        <is>
          <t>I_EC10072313</t>
        </is>
      </c>
      <c r="E25" s="182">
        <f>IF(_epmOfflineCondition_,"中铁信托有限责任公司",EPMMemberDesc(D25))</f>
        <v/>
      </c>
      <c r="F25" s="716" t="n"/>
      <c r="G25" s="716" t="n"/>
      <c r="H25" s="462" t="n"/>
    </row>
    <row r="26">
      <c r="A26" s="672" t="inlineStr">
        <is>
          <t>E100770</t>
        </is>
      </c>
      <c r="B26" s="767">
        <f>ROW()</f>
        <v/>
      </c>
      <c r="C26" s="182">
        <f>IF(_epmOfflineCondition_,"金泰壹号（天津）企业管理合伙企业（有限合伙）-（2024年12月注销）",EPMMemberDesc(A26))</f>
        <v/>
      </c>
      <c r="D26" s="182" t="inlineStr">
        <is>
          <t>I_EC10072313</t>
        </is>
      </c>
      <c r="E26" s="182">
        <f>IF(_epmOfflineCondition_,"中铁信托有限责任公司",EPMMemberDesc(D26))</f>
        <v/>
      </c>
      <c r="F26" s="716" t="n"/>
      <c r="G26" s="716" t="n"/>
      <c r="H26" s="462" t="n"/>
    </row>
    <row r="27">
      <c r="A27" s="672" t="inlineStr">
        <is>
          <t>E100810</t>
        </is>
      </c>
      <c r="B27" s="767">
        <f>ROW()</f>
        <v/>
      </c>
      <c r="C27" s="182">
        <f>IF(_epmOfflineCondition_,"乐多港光穗（天津）投资合伙企业（有限合伙）（2024年6月注销）",EPMMemberDesc(A27))</f>
        <v/>
      </c>
      <c r="D27" s="182" t="inlineStr">
        <is>
          <t>I_EC10000628</t>
        </is>
      </c>
      <c r="E27" s="182">
        <f>IF(_epmOfflineCondition_,"光大兴陇信托有限责任公司",EPMMemberDesc(D27))</f>
        <v/>
      </c>
      <c r="F27" s="716" t="n"/>
      <c r="G27" s="716" t="n"/>
      <c r="H27" s="462" t="n"/>
    </row>
    <row r="28">
      <c r="A28" s="672" t="inlineStr">
        <is>
          <t>E100353G</t>
        </is>
      </c>
      <c r="B28" s="767">
        <f>ROW()</f>
        <v/>
      </c>
      <c r="C28" s="182">
        <f>IF(_epmOfflineCondition_,"北京京能房产租赁经营有限责任公司（合并）",EPMMemberDesc(A28))</f>
        <v/>
      </c>
      <c r="D28" s="182" t="inlineStr">
        <is>
          <t>I_EC10072313</t>
        </is>
      </c>
      <c r="E28" s="182">
        <f>IF(_epmOfflineCondition_,"中铁信托有限责任公司",EPMMemberDesc(D28))</f>
        <v/>
      </c>
      <c r="F28" s="716" t="n"/>
      <c r="G28" s="716" t="n"/>
      <c r="H28" s="462" t="n"/>
    </row>
    <row r="29">
      <c r="A29" s="672" t="n"/>
      <c r="B29" s="767">
        <f>ROW()</f>
        <v/>
      </c>
      <c r="C29" s="182" t="n"/>
      <c r="D29" s="182" t="n"/>
      <c r="E29" s="182" t="n"/>
      <c r="F29" s="716" t="n"/>
      <c r="G29" s="716" t="n"/>
      <c r="H29" s="462" t="n"/>
    </row>
    <row r="30">
      <c r="A30" s="672" t="n"/>
      <c r="B30" s="767">
        <f>ROW()</f>
        <v/>
      </c>
      <c r="C30" s="182" t="n"/>
      <c r="D30" s="182" t="n"/>
      <c r="E30" s="182" t="n"/>
      <c r="F30" s="716" t="n"/>
      <c r="G30" s="716" t="n"/>
      <c r="H30" s="462" t="n"/>
    </row>
    <row r="31">
      <c r="A31" s="672" t="n"/>
      <c r="B31" s="767">
        <f>ROW()</f>
        <v/>
      </c>
      <c r="C31" s="182" t="n"/>
      <c r="D31" s="182" t="n"/>
      <c r="E31" s="182" t="n"/>
      <c r="F31" s="716" t="n"/>
      <c r="G31" s="716" t="n"/>
      <c r="H31" s="462" t="n"/>
    </row>
    <row r="32">
      <c r="A32" s="672" t="n"/>
      <c r="B32" s="767">
        <f>ROW()</f>
        <v/>
      </c>
      <c r="C32" s="182" t="n"/>
      <c r="D32" s="182" t="n"/>
      <c r="E32" s="182" t="n"/>
      <c r="F32" s="716" t="n"/>
      <c r="G32" s="716" t="n"/>
      <c r="H32" s="462" t="n"/>
    </row>
    <row r="33">
      <c r="A33" s="672" t="n"/>
      <c r="B33" s="767">
        <f>ROW()</f>
        <v/>
      </c>
      <c r="C33" s="182" t="n"/>
      <c r="D33" s="182" t="n"/>
      <c r="E33" s="182" t="n"/>
      <c r="F33" s="716" t="n"/>
      <c r="G33" s="716" t="n"/>
      <c r="H33" s="462" t="n"/>
    </row>
    <row r="34">
      <c r="A34" s="672" t="n"/>
      <c r="B34" s="767">
        <f>ROW()</f>
        <v/>
      </c>
      <c r="C34" s="182" t="n"/>
      <c r="D34" s="182" t="n"/>
      <c r="E34" s="182" t="n"/>
      <c r="F34" s="716" t="n"/>
      <c r="G34" s="716" t="n"/>
      <c r="H34" s="462" t="n"/>
    </row>
    <row r="35">
      <c r="A35" s="672" t="n"/>
      <c r="B35" s="767">
        <f>ROW()</f>
        <v/>
      </c>
      <c r="C35" s="182" t="n"/>
      <c r="D35" s="182" t="n"/>
      <c r="E35" s="182" t="n"/>
      <c r="F35" s="716" t="n"/>
      <c r="G35" s="716" t="n"/>
      <c r="H35" s="462" t="n"/>
    </row>
    <row r="36">
      <c r="A36" s="672" t="n"/>
      <c r="B36" s="767">
        <f>ROW()</f>
        <v/>
      </c>
      <c r="C36" s="182" t="n"/>
      <c r="D36" s="182" t="n"/>
      <c r="E36" s="182" t="n"/>
      <c r="F36" s="716" t="n"/>
      <c r="G36" s="716" t="n"/>
      <c r="H36" s="462" t="n"/>
    </row>
    <row r="37">
      <c r="A37" s="672" t="n"/>
      <c r="B37" s="767">
        <f>ROW()</f>
        <v/>
      </c>
      <c r="C37" s="182" t="n"/>
      <c r="D37" s="182" t="n"/>
      <c r="E37" s="182" t="n"/>
      <c r="F37" s="716" t="n"/>
      <c r="G37" s="716" t="n"/>
      <c r="H37" s="462" t="n"/>
    </row>
    <row r="38">
      <c r="A38" s="672" t="n"/>
      <c r="B38" s="767">
        <f>ROW()</f>
        <v/>
      </c>
      <c r="C38" s="182" t="n"/>
      <c r="D38" s="182" t="n"/>
      <c r="E38" s="182" t="n"/>
      <c r="F38" s="716" t="n"/>
      <c r="G38" s="716" t="n"/>
      <c r="H38" s="462" t="n"/>
    </row>
    <row r="39">
      <c r="A39" s="672" t="n"/>
      <c r="B39" s="767">
        <f>ROW()</f>
        <v/>
      </c>
      <c r="C39" s="182" t="n"/>
      <c r="D39" s="182" t="n"/>
      <c r="E39" s="182" t="n"/>
      <c r="F39" s="716" t="n"/>
      <c r="G39" s="716" t="n"/>
      <c r="H39" s="462" t="n"/>
    </row>
    <row r="40">
      <c r="A40" s="672" t="n"/>
      <c r="B40" s="767">
        <f>ROW()</f>
        <v/>
      </c>
      <c r="C40" s="182" t="n"/>
      <c r="D40" s="182" t="n"/>
      <c r="E40" s="182" t="n"/>
      <c r="F40" s="716" t="n"/>
      <c r="G40" s="716" t="n"/>
      <c r="H40" s="462" t="n"/>
    </row>
    <row r="41">
      <c r="A41" s="672" t="n"/>
      <c r="B41" s="767">
        <f>ROW()</f>
        <v/>
      </c>
      <c r="C41" s="182" t="n"/>
      <c r="D41" s="182" t="n"/>
      <c r="E41" s="182" t="n"/>
      <c r="F41" s="716" t="n"/>
      <c r="G41" s="716" t="n"/>
      <c r="H41" s="462" t="n"/>
    </row>
    <row r="42">
      <c r="A42" s="672" t="n"/>
      <c r="B42" s="767">
        <f>ROW()</f>
        <v/>
      </c>
      <c r="C42" s="182" t="n"/>
      <c r="D42" s="182" t="n"/>
      <c r="E42" s="182" t="n"/>
      <c r="F42" s="716" t="n"/>
      <c r="G42" s="716" t="n"/>
      <c r="H42" s="462" t="n"/>
    </row>
    <row r="43">
      <c r="A43" s="672" t="n"/>
      <c r="B43" s="767">
        <f>ROW()</f>
        <v/>
      </c>
      <c r="C43" s="182" t="n"/>
      <c r="D43" s="182" t="n"/>
      <c r="E43" s="182" t="n"/>
      <c r="F43" s="716" t="n"/>
      <c r="G43" s="716" t="n"/>
      <c r="H43" s="462" t="n"/>
    </row>
    <row r="44">
      <c r="A44" s="672" t="n"/>
      <c r="B44" s="767">
        <f>ROW()</f>
        <v/>
      </c>
      <c r="C44" s="182" t="n"/>
      <c r="D44" s="182" t="n"/>
      <c r="E44" s="182" t="n"/>
      <c r="F44" s="716" t="n"/>
      <c r="G44" s="716" t="n"/>
      <c r="H44" s="462" t="n"/>
    </row>
    <row r="45">
      <c r="A45" s="672" t="n"/>
      <c r="B45" s="767">
        <f>ROW()</f>
        <v/>
      </c>
      <c r="C45" s="182" t="n"/>
      <c r="D45" s="182" t="n"/>
      <c r="E45" s="182" t="n"/>
      <c r="F45" s="716" t="n"/>
      <c r="G45" s="716" t="n"/>
      <c r="H45" s="462" t="n"/>
    </row>
    <row r="46">
      <c r="A46" s="672" t="n"/>
      <c r="B46" s="767">
        <f>ROW()</f>
        <v/>
      </c>
      <c r="C46" s="182" t="n"/>
      <c r="D46" s="182" t="n"/>
      <c r="E46" s="182" t="n"/>
      <c r="F46" s="716" t="n"/>
      <c r="G46" s="716" t="n"/>
      <c r="H46" s="462" t="n"/>
    </row>
    <row r="47">
      <c r="A47" s="672" t="n"/>
      <c r="B47" s="767">
        <f>ROW()</f>
        <v/>
      </c>
      <c r="C47" s="182" t="n"/>
      <c r="D47" s="182" t="n"/>
      <c r="E47" s="182" t="n"/>
      <c r="F47" s="716" t="n"/>
      <c r="G47" s="716" t="n"/>
      <c r="H47" s="462" t="n"/>
    </row>
    <row r="48">
      <c r="A48" s="672" t="n"/>
      <c r="B48" s="767">
        <f>ROW()</f>
        <v/>
      </c>
      <c r="C48" s="182" t="n"/>
      <c r="D48" s="182" t="n"/>
      <c r="E48" s="182" t="n"/>
      <c r="F48" s="716" t="n"/>
      <c r="G48" s="716" t="n"/>
      <c r="H48" s="462" t="n"/>
    </row>
    <row r="49">
      <c r="A49" s="672" t="n"/>
      <c r="B49" s="767">
        <f>ROW()</f>
        <v/>
      </c>
      <c r="C49" s="182" t="n"/>
      <c r="D49" s="182" t="n"/>
      <c r="E49" s="182" t="n"/>
      <c r="F49" s="716" t="n"/>
      <c r="G49" s="716" t="n"/>
      <c r="H49" s="462" t="n"/>
    </row>
    <row r="50">
      <c r="A50" s="672" t="n"/>
      <c r="B50" s="767">
        <f>ROW()</f>
        <v/>
      </c>
      <c r="C50" s="182" t="n"/>
      <c r="D50" s="182" t="n"/>
      <c r="E50" s="182" t="n"/>
      <c r="F50" s="716" t="n"/>
      <c r="G50" s="716" t="n"/>
      <c r="H50" s="462" t="n"/>
    </row>
    <row r="51">
      <c r="A51" s="672" t="n"/>
      <c r="B51" s="767">
        <f>ROW()</f>
        <v/>
      </c>
      <c r="C51" s="182" t="n"/>
      <c r="D51" s="182" t="n"/>
      <c r="E51" s="182" t="n"/>
      <c r="F51" s="716" t="n"/>
      <c r="G51" s="716" t="n"/>
      <c r="H51" s="462" t="n"/>
    </row>
    <row r="52">
      <c r="A52" s="672" t="n"/>
      <c r="B52" s="767">
        <f>ROW()</f>
        <v/>
      </c>
      <c r="C52" s="182" t="n"/>
      <c r="D52" s="182" t="n"/>
      <c r="E52" s="182" t="n"/>
      <c r="F52" s="716" t="n"/>
      <c r="G52" s="716" t="n"/>
      <c r="H52" s="462" t="n"/>
    </row>
    <row r="53">
      <c r="A53" s="672" t="n"/>
      <c r="B53" s="767">
        <f>ROW()</f>
        <v/>
      </c>
      <c r="C53" s="182" t="n"/>
      <c r="D53" s="182" t="n"/>
      <c r="E53" s="182" t="n"/>
      <c r="F53" s="716" t="n"/>
      <c r="G53" s="716" t="n"/>
      <c r="H53" s="462" t="n"/>
    </row>
    <row r="54">
      <c r="A54" s="672" t="n"/>
      <c r="B54" s="767">
        <f>ROW()</f>
        <v/>
      </c>
      <c r="C54" s="182" t="n"/>
      <c r="D54" s="182" t="n"/>
      <c r="E54" s="182" t="n"/>
      <c r="F54" s="716" t="n"/>
      <c r="G54" s="716" t="n"/>
      <c r="H54" s="462" t="n"/>
    </row>
    <row r="55">
      <c r="A55" s="672" t="n"/>
      <c r="B55" s="767">
        <f>ROW()</f>
        <v/>
      </c>
      <c r="C55" s="182" t="n"/>
      <c r="D55" s="182" t="n"/>
      <c r="E55" s="182" t="n"/>
      <c r="F55" s="716" t="n"/>
      <c r="G55" s="716" t="n"/>
      <c r="H55" s="462" t="n"/>
    </row>
    <row r="56">
      <c r="A56" s="672" t="n"/>
      <c r="B56" s="767">
        <f>ROW()</f>
        <v/>
      </c>
      <c r="C56" s="182" t="n"/>
      <c r="D56" s="182" t="n"/>
      <c r="E56" s="182" t="n"/>
      <c r="F56" s="716" t="n"/>
      <c r="G56" s="716" t="n"/>
      <c r="H56" s="462" t="n"/>
    </row>
    <row r="57">
      <c r="A57" s="672" t="n"/>
      <c r="B57" s="767">
        <f>ROW()</f>
        <v/>
      </c>
      <c r="C57" s="182" t="n"/>
      <c r="D57" s="182" t="n"/>
      <c r="E57" s="182" t="n"/>
      <c r="F57" s="716" t="n"/>
      <c r="G57" s="716" t="n"/>
      <c r="H57" s="462" t="n"/>
    </row>
    <row r="58">
      <c r="A58" s="672" t="n"/>
      <c r="B58" s="767">
        <f>ROW()</f>
        <v/>
      </c>
      <c r="C58" s="182" t="n"/>
      <c r="D58" s="182" t="n"/>
      <c r="E58" s="182" t="n"/>
      <c r="F58" s="716" t="n"/>
      <c r="G58" s="716" t="n"/>
      <c r="H58" s="462" t="n"/>
    </row>
    <row r="59">
      <c r="A59" s="672" t="n"/>
      <c r="B59" s="767">
        <f>ROW()</f>
        <v/>
      </c>
      <c r="C59" s="182" t="n"/>
      <c r="D59" s="182" t="n"/>
      <c r="E59" s="182" t="n"/>
      <c r="F59" s="716" t="n"/>
      <c r="G59" s="716" t="n"/>
      <c r="H59" s="462" t="n"/>
    </row>
    <row r="60">
      <c r="A60" s="672" t="n"/>
      <c r="B60" s="767">
        <f>ROW()</f>
        <v/>
      </c>
      <c r="C60" s="182" t="n"/>
      <c r="D60" s="182" t="n"/>
      <c r="E60" s="182" t="n"/>
      <c r="F60" s="716" t="n"/>
      <c r="G60" s="716" t="n"/>
      <c r="H60" s="462" t="n"/>
    </row>
    <row r="61">
      <c r="A61" s="672" t="n"/>
      <c r="B61" s="767">
        <f>ROW()</f>
        <v/>
      </c>
      <c r="C61" s="182" t="n"/>
      <c r="D61" s="182" t="n"/>
      <c r="E61" s="182" t="n"/>
      <c r="F61" s="716" t="n"/>
      <c r="G61" s="716" t="n"/>
      <c r="H61" s="462" t="n"/>
    </row>
    <row r="62">
      <c r="A62" s="672" t="n"/>
      <c r="B62" s="767">
        <f>ROW()</f>
        <v/>
      </c>
      <c r="C62" s="182" t="n"/>
      <c r="D62" s="182" t="n"/>
      <c r="E62" s="182" t="n"/>
      <c r="F62" s="716" t="n"/>
      <c r="G62" s="716" t="n"/>
      <c r="H62" s="462" t="n"/>
    </row>
    <row r="63">
      <c r="A63" s="672" t="n"/>
      <c r="B63" s="767">
        <f>ROW()</f>
        <v/>
      </c>
      <c r="C63" s="182" t="n"/>
      <c r="D63" s="182" t="n"/>
      <c r="E63" s="182" t="n"/>
      <c r="F63" s="716" t="n"/>
      <c r="G63" s="716" t="n"/>
      <c r="H63" s="462" t="n"/>
    </row>
    <row r="64">
      <c r="A64" s="672" t="n"/>
      <c r="B64" s="767">
        <f>ROW()</f>
        <v/>
      </c>
      <c r="C64" s="182" t="n"/>
      <c r="D64" s="182" t="n"/>
      <c r="E64" s="182" t="n"/>
      <c r="F64" s="716" t="n"/>
      <c r="G64" s="716" t="n"/>
      <c r="H64" s="462" t="n"/>
    </row>
    <row r="65">
      <c r="A65" s="672" t="n"/>
      <c r="B65" s="767">
        <f>ROW()</f>
        <v/>
      </c>
      <c r="C65" s="182" t="n"/>
      <c r="D65" s="182" t="n"/>
      <c r="E65" s="182" t="n"/>
      <c r="F65" s="716" t="n"/>
      <c r="G65" s="716" t="n"/>
      <c r="H65" s="462" t="n"/>
    </row>
    <row r="66">
      <c r="A66" s="672" t="n"/>
      <c r="B66" s="767">
        <f>ROW()</f>
        <v/>
      </c>
      <c r="C66" s="182" t="n"/>
      <c r="D66" s="182" t="n"/>
      <c r="E66" s="182" t="n"/>
      <c r="F66" s="716" t="n"/>
      <c r="G66" s="716" t="n"/>
      <c r="H66" s="462" t="n"/>
    </row>
    <row r="67">
      <c r="A67" s="672" t="n"/>
      <c r="B67" s="767">
        <f>ROW()</f>
        <v/>
      </c>
      <c r="C67" s="182" t="n"/>
      <c r="D67" s="182" t="n"/>
      <c r="E67" s="182" t="n"/>
      <c r="F67" s="716" t="n"/>
      <c r="G67" s="716" t="n"/>
      <c r="H67" s="462" t="n"/>
    </row>
    <row r="68">
      <c r="A68" s="672" t="n"/>
      <c r="B68" s="767">
        <f>ROW()</f>
        <v/>
      </c>
      <c r="C68" s="182" t="n"/>
      <c r="D68" s="182" t="n"/>
      <c r="E68" s="182" t="n"/>
      <c r="F68" s="716" t="n"/>
      <c r="G68" s="716" t="n"/>
      <c r="H68" s="462" t="n"/>
    </row>
    <row r="69">
      <c r="A69" s="672" t="n"/>
      <c r="B69" s="767">
        <f>ROW()</f>
        <v/>
      </c>
      <c r="C69" s="182" t="n"/>
      <c r="D69" s="182" t="n"/>
      <c r="E69" s="182" t="n"/>
      <c r="F69" s="716" t="n"/>
      <c r="G69" s="716" t="n"/>
      <c r="H69" s="462" t="n"/>
    </row>
    <row r="70">
      <c r="A70" s="672" t="n"/>
      <c r="B70" s="767">
        <f>ROW()</f>
        <v/>
      </c>
      <c r="C70" s="182" t="n"/>
      <c r="D70" s="182" t="n"/>
      <c r="E70" s="182" t="n"/>
      <c r="F70" s="716" t="n"/>
      <c r="G70" s="716" t="n"/>
      <c r="H70" s="462" t="n"/>
    </row>
    <row r="71">
      <c r="A71" s="672" t="n"/>
      <c r="B71" s="767">
        <f>ROW()</f>
        <v/>
      </c>
      <c r="C71" s="182" t="n"/>
      <c r="D71" s="182" t="n"/>
      <c r="E71" s="182" t="n"/>
      <c r="F71" s="716" t="n"/>
      <c r="G71" s="716" t="n"/>
      <c r="H71" s="462" t="n"/>
    </row>
    <row r="72">
      <c r="A72" s="672" t="n"/>
      <c r="B72" s="767">
        <f>ROW()</f>
        <v/>
      </c>
      <c r="C72" s="182" t="n"/>
      <c r="D72" s="182" t="n"/>
      <c r="E72" s="182" t="n"/>
      <c r="F72" s="716" t="n"/>
      <c r="G72" s="716" t="n"/>
      <c r="H72" s="462" t="n"/>
    </row>
    <row r="73">
      <c r="A73" s="672" t="n"/>
      <c r="B73" s="767">
        <f>ROW()</f>
        <v/>
      </c>
      <c r="C73" s="182" t="n"/>
      <c r="D73" s="182" t="n"/>
      <c r="E73" s="182" t="n"/>
      <c r="F73" s="716" t="n"/>
      <c r="G73" s="716" t="n"/>
      <c r="H73" s="462" t="n"/>
    </row>
    <row r="74">
      <c r="A74" s="672" t="n"/>
      <c r="B74" s="767">
        <f>ROW()</f>
        <v/>
      </c>
      <c r="C74" s="182" t="n"/>
      <c r="D74" s="182" t="n"/>
      <c r="E74" s="182" t="n"/>
      <c r="F74" s="716" t="n"/>
      <c r="G74" s="716" t="n"/>
      <c r="H74" s="462" t="n"/>
    </row>
    <row r="75">
      <c r="A75" s="672" t="n"/>
      <c r="B75" s="767">
        <f>ROW()</f>
        <v/>
      </c>
      <c r="C75" s="182" t="n"/>
      <c r="D75" s="182" t="n"/>
      <c r="E75" s="182" t="n"/>
      <c r="F75" s="716" t="n"/>
      <c r="G75" s="716" t="n"/>
      <c r="H75" s="462" t="n"/>
    </row>
    <row r="76">
      <c r="A76" s="672" t="n"/>
      <c r="B76" s="767">
        <f>ROW()</f>
        <v/>
      </c>
      <c r="C76" s="182" t="n"/>
      <c r="D76" s="182" t="n"/>
      <c r="E76" s="182" t="n"/>
      <c r="F76" s="716" t="n"/>
      <c r="G76" s="716" t="n"/>
      <c r="H76" s="462" t="n"/>
    </row>
    <row r="77">
      <c r="A77" s="672" t="n"/>
      <c r="B77" s="767">
        <f>ROW()</f>
        <v/>
      </c>
      <c r="C77" s="182" t="n"/>
      <c r="D77" s="182" t="n"/>
      <c r="E77" s="182" t="n"/>
      <c r="F77" s="716" t="n"/>
      <c r="G77" s="716" t="n"/>
      <c r="H77" s="462" t="n"/>
    </row>
    <row r="78">
      <c r="A78" s="672" t="n"/>
      <c r="B78" s="767">
        <f>ROW()</f>
        <v/>
      </c>
      <c r="C78" s="182" t="n"/>
      <c r="D78" s="182" t="n"/>
      <c r="E78" s="182" t="n"/>
      <c r="F78" s="716" t="n"/>
      <c r="G78" s="716" t="n"/>
      <c r="H78" s="462" t="n"/>
    </row>
    <row r="79">
      <c r="A79" s="672" t="n"/>
      <c r="B79" s="767">
        <f>ROW()</f>
        <v/>
      </c>
      <c r="C79" s="182" t="n"/>
      <c r="D79" s="182" t="n"/>
      <c r="E79" s="182" t="n"/>
      <c r="F79" s="716" t="n"/>
      <c r="G79" s="716" t="n"/>
      <c r="H79" s="462" t="n"/>
    </row>
    <row r="80">
      <c r="A80" s="672" t="n"/>
      <c r="B80" s="767">
        <f>ROW()</f>
        <v/>
      </c>
      <c r="C80" s="182" t="n"/>
      <c r="D80" s="182" t="n"/>
      <c r="E80" s="182" t="n"/>
      <c r="F80" s="716" t="n"/>
      <c r="G80" s="716" t="n"/>
      <c r="H80" s="462" t="n"/>
    </row>
    <row r="81">
      <c r="A81" s="672" t="n"/>
      <c r="B81" s="767">
        <f>ROW()</f>
        <v/>
      </c>
      <c r="C81" s="716" t="n"/>
      <c r="D81" s="182" t="n"/>
      <c r="E81" s="182" t="n"/>
      <c r="F81" s="716" t="n"/>
      <c r="G81" s="716" t="n"/>
      <c r="H81" s="462" t="n"/>
    </row>
    <row r="82">
      <c r="A82" s="672" t="n"/>
      <c r="B82" s="767">
        <f>ROW()</f>
        <v/>
      </c>
      <c r="C82" s="716" t="n"/>
      <c r="D82" s="182" t="n"/>
      <c r="E82" s="182" t="n"/>
      <c r="F82" s="716" t="n"/>
      <c r="G82" s="716" t="n"/>
      <c r="H82" s="462" t="n"/>
    </row>
    <row r="83">
      <c r="A83" s="672" t="n"/>
      <c r="B83" s="767">
        <f>ROW()</f>
        <v/>
      </c>
      <c r="C83" s="182" t="n"/>
      <c r="D83" s="182" t="n"/>
      <c r="E83" s="182" t="n"/>
      <c r="F83" s="716" t="n"/>
      <c r="G83" s="716" t="n"/>
      <c r="H83" s="462" t="n"/>
    </row>
    <row r="84">
      <c r="A84" s="672" t="n"/>
      <c r="B84" s="767">
        <f>ROW()</f>
        <v/>
      </c>
      <c r="C84" s="182" t="n"/>
      <c r="D84" s="182" t="n"/>
      <c r="E84" s="182" t="n"/>
      <c r="F84" s="716" t="n"/>
      <c r="G84" s="716" t="n"/>
      <c r="H84" s="462" t="n"/>
    </row>
    <row r="85">
      <c r="A85" s="672" t="n"/>
      <c r="B85" s="767">
        <f>ROW()</f>
        <v/>
      </c>
      <c r="C85" s="182" t="n"/>
      <c r="D85" s="182" t="n"/>
      <c r="E85" s="182" t="n"/>
      <c r="F85" s="716" t="n"/>
      <c r="G85" s="716" t="n"/>
      <c r="H85" s="462" t="n"/>
    </row>
    <row r="86">
      <c r="A86" s="672" t="n"/>
      <c r="B86" s="767">
        <f>ROW()</f>
        <v/>
      </c>
      <c r="C86" s="182" t="n"/>
      <c r="D86" s="182" t="n"/>
      <c r="E86" s="182" t="n"/>
      <c r="F86" s="716" t="n"/>
      <c r="G86" s="716" t="n"/>
      <c r="H86" s="462" t="n"/>
    </row>
    <row r="87">
      <c r="A87" s="672" t="n"/>
      <c r="B87" s="767">
        <f>ROW()</f>
        <v/>
      </c>
      <c r="C87" s="182" t="n"/>
      <c r="D87" s="182" t="n"/>
      <c r="E87" s="182" t="n"/>
      <c r="F87" s="716" t="n"/>
      <c r="G87" s="716" t="n"/>
      <c r="H87" s="462" t="n"/>
    </row>
    <row r="88">
      <c r="A88" s="672" t="n"/>
      <c r="B88" s="767">
        <f>ROW()</f>
        <v/>
      </c>
      <c r="C88" s="182" t="n"/>
      <c r="D88" s="182" t="n"/>
      <c r="E88" s="182" t="n"/>
      <c r="F88" s="716" t="n"/>
      <c r="G88" s="716" t="n"/>
      <c r="H88" s="462" t="n"/>
    </row>
    <row r="89">
      <c r="A89" s="672" t="n"/>
      <c r="B89" s="767">
        <f>ROW()</f>
        <v/>
      </c>
      <c r="C89" s="182" t="n"/>
      <c r="D89" s="182" t="n"/>
      <c r="E89" s="182" t="n"/>
      <c r="F89" s="716" t="n"/>
      <c r="G89" s="716" t="n"/>
      <c r="H89" s="462" t="n"/>
    </row>
    <row r="90">
      <c r="A90" s="672" t="n"/>
      <c r="B90" s="767">
        <f>ROW()</f>
        <v/>
      </c>
      <c r="C90" s="182" t="n"/>
      <c r="D90" s="182" t="n"/>
      <c r="E90" s="182" t="n"/>
      <c r="F90" s="716" t="n"/>
      <c r="G90" s="716" t="n"/>
      <c r="H90" s="462" t="n"/>
    </row>
    <row r="91">
      <c r="A91" s="672" t="n"/>
      <c r="B91" s="767">
        <f>ROW()</f>
        <v/>
      </c>
      <c r="C91" s="182" t="n"/>
      <c r="D91" s="182" t="n"/>
      <c r="E91" s="182" t="n"/>
      <c r="F91" s="716" t="n"/>
      <c r="G91" s="716" t="n"/>
      <c r="H91" s="462" t="n"/>
    </row>
    <row r="92">
      <c r="A92" s="672" t="n"/>
      <c r="B92" s="767">
        <f>ROW()</f>
        <v/>
      </c>
      <c r="C92" s="182" t="n"/>
      <c r="D92" s="182" t="n"/>
      <c r="E92" s="182" t="n"/>
      <c r="F92" s="716" t="n"/>
      <c r="G92" s="716" t="n"/>
      <c r="H92" s="462" t="n"/>
    </row>
    <row r="93">
      <c r="A93" s="672" t="n"/>
      <c r="B93" s="767">
        <f>ROW()</f>
        <v/>
      </c>
      <c r="C93" s="182" t="n"/>
      <c r="D93" s="182" t="n"/>
      <c r="E93" s="182" t="n"/>
      <c r="F93" s="716" t="n"/>
      <c r="G93" s="716" t="n"/>
      <c r="H93" s="462" t="n"/>
    </row>
    <row r="94">
      <c r="A94" s="672" t="n"/>
      <c r="B94" s="767">
        <f>ROW()</f>
        <v/>
      </c>
      <c r="C94" s="182" t="n"/>
      <c r="D94" s="182" t="n"/>
      <c r="E94" s="182" t="n"/>
      <c r="F94" s="716" t="n"/>
      <c r="G94" s="716" t="n"/>
      <c r="H94" s="462" t="n"/>
    </row>
    <row r="95">
      <c r="A95" s="672" t="n"/>
      <c r="B95" s="767">
        <f>ROW()</f>
        <v/>
      </c>
      <c r="C95" s="182" t="n"/>
      <c r="D95" s="182" t="n"/>
      <c r="E95" s="182" t="n"/>
      <c r="F95" s="716" t="n"/>
      <c r="G95" s="716" t="n"/>
      <c r="H95" s="462" t="n"/>
    </row>
    <row r="96">
      <c r="A96" s="672" t="n"/>
      <c r="B96" s="767">
        <f>ROW()</f>
        <v/>
      </c>
      <c r="C96" s="182" t="n"/>
      <c r="D96" s="182" t="n"/>
      <c r="E96" s="182" t="n"/>
      <c r="F96" s="716" t="n"/>
      <c r="G96" s="716" t="n"/>
      <c r="H96" s="462" t="n"/>
    </row>
    <row r="97">
      <c r="A97" s="672" t="n"/>
      <c r="B97" s="767">
        <f>ROW()</f>
        <v/>
      </c>
      <c r="C97" s="182" t="n"/>
      <c r="D97" s="182" t="n"/>
      <c r="E97" s="182" t="n"/>
      <c r="F97" s="716" t="n"/>
      <c r="G97" s="716" t="n"/>
      <c r="H97" s="462" t="n"/>
    </row>
    <row r="98">
      <c r="A98" s="672" t="n"/>
      <c r="B98" s="767">
        <f>ROW()</f>
        <v/>
      </c>
      <c r="C98" s="182" t="n"/>
      <c r="D98" s="182" t="n"/>
      <c r="E98" s="182" t="n"/>
      <c r="F98" s="716" t="n"/>
      <c r="G98" s="716" t="n"/>
      <c r="H98" s="462" t="n"/>
    </row>
    <row r="99">
      <c r="A99" s="672" t="n"/>
      <c r="B99" s="767">
        <f>ROW()</f>
        <v/>
      </c>
      <c r="C99" s="182" t="n"/>
      <c r="D99" s="182" t="n"/>
      <c r="E99" s="182" t="n"/>
      <c r="F99" s="716" t="n"/>
      <c r="G99" s="716" t="n"/>
      <c r="H99" s="462" t="n"/>
    </row>
    <row r="100">
      <c r="A100" s="672" t="n"/>
      <c r="B100" s="767">
        <f>ROW()</f>
        <v/>
      </c>
      <c r="C100" s="182" t="n"/>
      <c r="D100" s="182" t="n"/>
      <c r="E100" s="182" t="n"/>
      <c r="F100" s="716" t="n"/>
      <c r="G100" s="716" t="n"/>
      <c r="H100" s="462" t="n"/>
    </row>
    <row r="101">
      <c r="A101" s="672" t="n"/>
      <c r="B101" s="767">
        <f>ROW()</f>
        <v/>
      </c>
      <c r="C101" s="182" t="n"/>
      <c r="D101" s="182" t="n"/>
      <c r="E101" s="182" t="n"/>
      <c r="F101" s="716" t="n"/>
      <c r="G101" s="716" t="n"/>
      <c r="H101" s="462" t="n"/>
    </row>
    <row r="102">
      <c r="A102" s="672" t="n"/>
      <c r="B102" s="767">
        <f>ROW()</f>
        <v/>
      </c>
      <c r="C102" s="182" t="n"/>
      <c r="D102" s="182" t="n"/>
      <c r="E102" s="182" t="n"/>
      <c r="F102" s="716" t="n"/>
      <c r="G102" s="716" t="n"/>
      <c r="H102" s="462" t="n"/>
    </row>
    <row r="103">
      <c r="A103" s="672" t="n"/>
      <c r="B103" s="767">
        <f>ROW()</f>
        <v/>
      </c>
      <c r="C103" s="182" t="n"/>
      <c r="D103" s="182" t="n"/>
      <c r="E103" s="182" t="n"/>
      <c r="F103" s="716" t="n"/>
      <c r="G103" s="716" t="n"/>
      <c r="H103" s="462" t="n"/>
    </row>
    <row r="104">
      <c r="A104" s="672" t="n"/>
      <c r="B104" s="767">
        <f>ROW()</f>
        <v/>
      </c>
      <c r="C104" s="182" t="n"/>
      <c r="D104" s="182" t="n"/>
      <c r="E104" s="182" t="n"/>
      <c r="F104" s="716" t="n"/>
      <c r="G104" s="716" t="n"/>
      <c r="H104" s="462" t="n"/>
    </row>
    <row r="105">
      <c r="A105" s="672" t="n"/>
      <c r="B105" s="767">
        <f>ROW()</f>
        <v/>
      </c>
      <c r="C105" s="182" t="n"/>
      <c r="D105" s="182" t="n"/>
      <c r="E105" s="182" t="n"/>
      <c r="F105" s="716" t="n"/>
      <c r="G105" s="716" t="n"/>
      <c r="H105" s="462" t="n"/>
    </row>
    <row r="106">
      <c r="A106" s="672" t="n"/>
      <c r="B106" s="767">
        <f>ROW()</f>
        <v/>
      </c>
      <c r="C106" s="182" t="n"/>
      <c r="D106" s="182" t="n"/>
      <c r="E106" s="182" t="n"/>
      <c r="F106" s="716" t="n"/>
      <c r="G106" s="716" t="n"/>
      <c r="H106" s="462" t="n"/>
    </row>
    <row r="107">
      <c r="A107" s="672" t="n"/>
      <c r="B107" s="767">
        <f>ROW()</f>
        <v/>
      </c>
      <c r="C107" s="182" t="n"/>
      <c r="D107" s="182" t="n"/>
      <c r="E107" s="182" t="n"/>
      <c r="F107" s="716" t="n"/>
      <c r="G107" s="716" t="n"/>
      <c r="H107" s="462" t="n"/>
    </row>
    <row r="108">
      <c r="A108" s="672" t="n"/>
      <c r="B108" s="767">
        <f>ROW()</f>
        <v/>
      </c>
      <c r="C108" s="182" t="n"/>
      <c r="D108" s="182" t="n"/>
      <c r="E108" s="182" t="n"/>
      <c r="F108" s="716" t="n"/>
      <c r="G108" s="716" t="n"/>
      <c r="H108" s="462" t="n"/>
    </row>
    <row r="109">
      <c r="A109" s="672" t="n"/>
      <c r="B109" s="767">
        <f>ROW()</f>
        <v/>
      </c>
      <c r="C109" s="182" t="n"/>
      <c r="D109" s="182" t="n"/>
      <c r="E109" s="182" t="n"/>
      <c r="F109" s="716" t="n"/>
      <c r="G109" s="716" t="n"/>
      <c r="H109" s="462" t="n"/>
    </row>
    <row r="110">
      <c r="A110" s="672" t="n"/>
      <c r="B110" s="767">
        <f>ROW()</f>
        <v/>
      </c>
      <c r="C110" s="182" t="n"/>
      <c r="D110" s="182" t="n"/>
      <c r="E110" s="182" t="n"/>
      <c r="F110" s="716" t="n"/>
      <c r="G110" s="716" t="n"/>
      <c r="H110" s="462" t="n"/>
    </row>
    <row r="111">
      <c r="A111" s="672" t="n"/>
      <c r="B111" s="767">
        <f>ROW()</f>
        <v/>
      </c>
      <c r="C111" s="182" t="n"/>
      <c r="D111" s="182" t="n"/>
      <c r="E111" s="182" t="n"/>
      <c r="F111" s="716" t="n"/>
      <c r="G111" s="716" t="n"/>
      <c r="H111" s="462" t="n"/>
    </row>
    <row r="112">
      <c r="A112" s="761" t="inlineStr">
        <is>
          <t>债券投资-集团内</t>
        </is>
      </c>
      <c r="B112" s="767">
        <f>ROW()</f>
        <v/>
      </c>
      <c r="C112" s="761" t="n"/>
      <c r="D112" s="27" t="n"/>
      <c r="E112" s="761" t="n"/>
      <c r="F112" s="716" t="n"/>
      <c r="G112" s="716" t="n"/>
      <c r="H112" s="462" t="n"/>
    </row>
    <row r="113">
      <c r="A113" s="672" t="inlineStr">
        <is>
          <t>E100000G</t>
        </is>
      </c>
      <c r="B113" s="767">
        <f>ROW()</f>
        <v/>
      </c>
      <c r="C113" s="182">
        <f>IF(_epmOfflineCondition_,"北京能源集团有限责任公司（合并）",EPMMemberDesc(A113))</f>
        <v/>
      </c>
      <c r="D113" s="672" t="inlineStr">
        <is>
          <t>I_E100000</t>
        </is>
      </c>
      <c r="E113" s="182">
        <f>IF(_epmOfflineCondition_,"北京能源集团有限责任公司",EPMMemberDesc(D113))</f>
        <v/>
      </c>
      <c r="F113" s="716" t="n"/>
      <c r="G113" s="716" t="n"/>
      <c r="H113" s="462" t="n"/>
    </row>
    <row r="114">
      <c r="A114" s="672" t="inlineStr">
        <is>
          <t>E100000G</t>
        </is>
      </c>
      <c r="B114" s="767">
        <f>ROW()</f>
        <v/>
      </c>
      <c r="C114" s="182">
        <f>IF(_epmOfflineCondition_,"北京能源集团有限责任公司（合并）",EPMMemberDesc(A114))</f>
        <v/>
      </c>
      <c r="D114" s="770" t="inlineStr">
        <is>
          <t>I_E100001</t>
        </is>
      </c>
      <c r="E114" s="182">
        <f>IF(_epmOfflineCondition_,"北京京能清洁能源电力股份有限公司",EPMMemberDesc(D114))</f>
        <v/>
      </c>
      <c r="F114" s="716" t="n"/>
      <c r="G114" s="716" t="n"/>
      <c r="H114" s="462" t="n"/>
    </row>
    <row r="115">
      <c r="A115" s="672" t="inlineStr">
        <is>
          <t>E100000G</t>
        </is>
      </c>
      <c r="B115" s="767">
        <f>ROW()</f>
        <v/>
      </c>
      <c r="C115" s="182">
        <f>IF(_epmOfflineCondition_,"北京能源集团有限责任公司（合并）",EPMMemberDesc(A115))</f>
        <v/>
      </c>
      <c r="D115" s="672" t="inlineStr">
        <is>
          <t>I_E100145</t>
        </is>
      </c>
      <c r="E115" s="182">
        <f>IF(_epmOfflineCondition_,"北京京能电力股份有限公司",EPMMemberDesc(D115))</f>
        <v/>
      </c>
      <c r="F115" s="716" t="n"/>
      <c r="G115" s="716" t="n"/>
      <c r="H115" s="462" t="n"/>
    </row>
    <row r="116">
      <c r="A116" s="672" t="inlineStr">
        <is>
          <t>E100000G</t>
        </is>
      </c>
      <c r="B116" s="767">
        <f>ROW()</f>
        <v/>
      </c>
      <c r="C116" s="182">
        <f>IF(_epmOfflineCondition_,"北京能源集团有限责任公司（合并）",EPMMemberDesc(A116))</f>
        <v/>
      </c>
      <c r="D116" s="672" t="inlineStr">
        <is>
          <t>I_E100353</t>
        </is>
      </c>
      <c r="E116" s="182">
        <f>IF(_epmOfflineCondition_,"北京京能房产租赁经营有限责任公司",EPMMemberDesc(D116))</f>
        <v/>
      </c>
      <c r="F116" s="716" t="n"/>
      <c r="G116" s="716" t="n"/>
      <c r="H116" s="462" t="n"/>
    </row>
    <row r="117">
      <c r="A117" s="672" t="inlineStr">
        <is>
          <t>E100104</t>
        </is>
      </c>
      <c r="B117" s="767">
        <f>ROW()</f>
        <v/>
      </c>
      <c r="C117" s="182">
        <f>IF(_epmOfflineCondition_,"京能集团财务有限公司",EPMMemberDesc(A117))</f>
        <v/>
      </c>
      <c r="D117" s="182" t="inlineStr">
        <is>
          <t>I_E100000</t>
        </is>
      </c>
      <c r="E117" s="182">
        <f>IF(_epmOfflineCondition_,"北京能源集团有限责任公司",EPMMemberDesc(D117))</f>
        <v/>
      </c>
      <c r="F117" s="716" t="n"/>
      <c r="G117" s="716" t="n"/>
      <c r="H117" s="462" t="n"/>
    </row>
    <row r="118">
      <c r="A118" s="672" t="inlineStr">
        <is>
          <t>E100104</t>
        </is>
      </c>
      <c r="B118" s="767">
        <f>ROW()</f>
        <v/>
      </c>
      <c r="C118" s="182">
        <f>IF(_epmOfflineCondition_,"京能集团财务有限公司",EPMMemberDesc(A118))</f>
        <v/>
      </c>
      <c r="D118" s="182" t="inlineStr">
        <is>
          <t>I_E100001</t>
        </is>
      </c>
      <c r="E118" s="182">
        <f>IF(_epmOfflineCondition_,"北京京能清洁能源电力股份有限公司",EPMMemberDesc(D118))</f>
        <v/>
      </c>
      <c r="F118" s="716" t="n"/>
      <c r="G118" s="716" t="n"/>
      <c r="H118" s="462" t="n"/>
    </row>
    <row r="119">
      <c r="A119" s="672" t="inlineStr">
        <is>
          <t>E100104</t>
        </is>
      </c>
      <c r="B119" s="767">
        <f>ROW()</f>
        <v/>
      </c>
      <c r="C119" s="182">
        <f>IF(_epmOfflineCondition_,"京能集团财务有限公司",EPMMemberDesc(A119))</f>
        <v/>
      </c>
      <c r="D119" s="182" t="inlineStr">
        <is>
          <t>I_E100145</t>
        </is>
      </c>
      <c r="E119" s="182">
        <f>IF(_epmOfflineCondition_,"北京京能电力股份有限公司",EPMMemberDesc(D119))</f>
        <v/>
      </c>
      <c r="F119" s="716" t="n"/>
      <c r="G119" s="716" t="n"/>
      <c r="H119" s="462" t="n"/>
    </row>
    <row r="120">
      <c r="A120" s="672" t="inlineStr">
        <is>
          <t>E100191G</t>
        </is>
      </c>
      <c r="B120" s="767">
        <f>ROW()</f>
        <v/>
      </c>
      <c r="C120" s="182">
        <f>IF(_epmOfflineCondition_,"北京乐多港发展有限公司（合并）",EPMMemberDesc(A120))</f>
        <v/>
      </c>
      <c r="D120" s="182" t="inlineStr">
        <is>
          <t>I_E100000</t>
        </is>
      </c>
      <c r="E120" s="182">
        <f>IF(_epmOfflineCondition_,"北京能源集团有限责任公司",EPMMemberDesc(D120))</f>
        <v/>
      </c>
      <c r="F120" s="716" t="n"/>
      <c r="G120" s="716" t="n"/>
      <c r="H120" s="462" t="n"/>
    </row>
    <row r="121">
      <c r="A121" s="672" t="inlineStr">
        <is>
          <t>E100268</t>
        </is>
      </c>
      <c r="B121" s="767">
        <f>ROW()</f>
        <v/>
      </c>
      <c r="C121" s="182">
        <f>IF(_epmOfflineCondition_,"北京京煤集团有限责任公司",EPMMemberDesc(A121))</f>
        <v/>
      </c>
      <c r="D121" s="182" t="inlineStr">
        <is>
          <t>I_E100353</t>
        </is>
      </c>
      <c r="E121" s="182">
        <f>IF(_epmOfflineCondition_,"北京京能房产租赁经营有限责任公司",EPMMemberDesc(D121))</f>
        <v/>
      </c>
      <c r="F121" s="716" t="n"/>
      <c r="G121" s="716" t="n"/>
      <c r="H121" s="462" t="n"/>
    </row>
    <row r="122">
      <c r="A122" s="672" t="inlineStr">
        <is>
          <t>E100268G</t>
        </is>
      </c>
      <c r="B122" s="767">
        <f>ROW()</f>
        <v/>
      </c>
      <c r="C122" s="182">
        <f>IF(_epmOfflineCondition_,"北京京煤集团有限责任公司（合并）",EPMMemberDesc(A122))</f>
        <v/>
      </c>
      <c r="D122" s="182" t="inlineStr">
        <is>
          <t>I_E100000</t>
        </is>
      </c>
      <c r="E122" s="182">
        <f>IF(_epmOfflineCondition_,"北京能源集团有限责任公司",EPMMemberDesc(D122))</f>
        <v/>
      </c>
      <c r="F122" s="716" t="n"/>
      <c r="G122" s="716" t="n"/>
      <c r="H122" s="462" t="n"/>
    </row>
    <row r="123">
      <c r="A123" s="672" t="inlineStr">
        <is>
          <t>E100268G</t>
        </is>
      </c>
      <c r="B123" s="767">
        <f>ROW()</f>
        <v/>
      </c>
      <c r="C123" s="182">
        <f>IF(_epmOfflineCondition_,"北京京煤集团有限责任公司（合并）",EPMMemberDesc(A123))</f>
        <v/>
      </c>
      <c r="D123" s="182" t="inlineStr">
        <is>
          <t>I_E100353</t>
        </is>
      </c>
      <c r="E123" s="182">
        <f>IF(_epmOfflineCondition_,"北京京能房产租赁经营有限责任公司",EPMMemberDesc(D123))</f>
        <v/>
      </c>
      <c r="F123" s="716" t="n"/>
      <c r="G123" s="716" t="n"/>
      <c r="H123" s="462" t="n"/>
    </row>
    <row r="124">
      <c r="A124" s="672" t="inlineStr">
        <is>
          <t>E100268H</t>
        </is>
      </c>
      <c r="B124" s="767">
        <f>ROW()</f>
        <v/>
      </c>
      <c r="C124" s="182">
        <f>IF(_epmOfflineCondition_,"北京京煤集团有限责任公司（母公司）",EPMMemberDesc(A124))</f>
        <v/>
      </c>
      <c r="D124" s="182" t="inlineStr">
        <is>
          <t>I_E100353</t>
        </is>
      </c>
      <c r="E124" s="182">
        <f>IF(_epmOfflineCondition_,"北京京能房产租赁经营有限责任公司",EPMMemberDesc(D124))</f>
        <v/>
      </c>
      <c r="F124" s="716" t="n"/>
      <c r="G124" s="716" t="n"/>
      <c r="H124" s="462" t="n"/>
    </row>
    <row r="125">
      <c r="A125" s="672" t="inlineStr">
        <is>
          <t>E100810</t>
        </is>
      </c>
      <c r="B125" s="767">
        <f>ROW()</f>
        <v/>
      </c>
      <c r="C125" s="182">
        <f>IF(_epmOfflineCondition_,"乐多港光穗（天津）投资合伙企业（有限合伙）（2024年6月注销）",EPMMemberDesc(A125))</f>
        <v/>
      </c>
      <c r="D125" s="182" t="inlineStr">
        <is>
          <t>I_E100000</t>
        </is>
      </c>
      <c r="E125" s="182">
        <f>IF(_epmOfflineCondition_,"北京能源集团有限责任公司",EPMMemberDesc(D125))</f>
        <v/>
      </c>
      <c r="F125" s="716" t="n"/>
      <c r="G125" s="716" t="n"/>
      <c r="H125" s="462" t="n"/>
    </row>
    <row r="126">
      <c r="A126" s="672" t="inlineStr">
        <is>
          <t>E100770</t>
        </is>
      </c>
      <c r="B126" s="767">
        <f>ROW()</f>
        <v/>
      </c>
      <c r="C126" s="182">
        <f>IF(_epmOfflineCondition_,"金泰壹号（天津）企业管理合伙企业（有限合伙）-（2024年12月注销）",EPMMemberDesc(A126))</f>
        <v/>
      </c>
      <c r="D126" s="182" t="inlineStr">
        <is>
          <t>I_E100000</t>
        </is>
      </c>
      <c r="E126" s="182">
        <f>IF(_epmOfflineCondition_,"北京能源集团有限责任公司",EPMMemberDesc(D126))</f>
        <v/>
      </c>
      <c r="F126" s="716" t="n"/>
      <c r="G126" s="716" t="n"/>
      <c r="H126" s="462" t="n"/>
    </row>
    <row r="127">
      <c r="A127" s="672" t="inlineStr">
        <is>
          <t>E100353G</t>
        </is>
      </c>
      <c r="B127" s="767">
        <f>ROW()</f>
        <v/>
      </c>
      <c r="C127" s="182">
        <f>IF(_epmOfflineCondition_,"北京京能房产租赁经营有限责任公司（合并）",EPMMemberDesc(A127))</f>
        <v/>
      </c>
      <c r="D127" s="182" t="inlineStr">
        <is>
          <t>I_E100000</t>
        </is>
      </c>
      <c r="E127" s="182">
        <f>IF(_epmOfflineCondition_,"北京能源集团有限责任公司",EPMMemberDesc(D127))</f>
        <v/>
      </c>
      <c r="F127" s="716" t="n"/>
      <c r="G127" s="716" t="n"/>
      <c r="H127" s="462" t="n"/>
    </row>
    <row r="128">
      <c r="A128" s="672" t="n"/>
      <c r="B128" s="767">
        <f>ROW()</f>
        <v/>
      </c>
      <c r="C128" s="182" t="n"/>
      <c r="D128" s="182" t="n"/>
      <c r="E128" s="182" t="n"/>
      <c r="F128" s="716" t="n"/>
      <c r="G128" s="716" t="n"/>
      <c r="H128" s="462" t="n"/>
    </row>
    <row r="129">
      <c r="A129" s="672" t="n"/>
      <c r="B129" s="767">
        <f>ROW()</f>
        <v/>
      </c>
      <c r="C129" s="182" t="n"/>
      <c r="D129" s="182" t="n"/>
      <c r="E129" s="182" t="n"/>
      <c r="F129" s="716" t="n"/>
      <c r="G129" s="716" t="n"/>
      <c r="H129" s="462" t="n"/>
    </row>
    <row r="130">
      <c r="A130" s="672" t="n"/>
      <c r="B130" s="767">
        <f>ROW()</f>
        <v/>
      </c>
      <c r="C130" s="182" t="n"/>
      <c r="D130" s="182" t="n"/>
      <c r="E130" s="182" t="n"/>
      <c r="F130" s="716" t="n"/>
      <c r="G130" s="716" t="n"/>
      <c r="H130" s="462" t="n"/>
    </row>
    <row r="131">
      <c r="A131" s="672" t="n"/>
      <c r="B131" s="767">
        <f>ROW()</f>
        <v/>
      </c>
      <c r="C131" s="182" t="n"/>
      <c r="D131" s="182" t="n"/>
      <c r="E131" s="182" t="n"/>
      <c r="F131" s="716" t="n"/>
      <c r="G131" s="716" t="n"/>
      <c r="H131" s="462" t="n"/>
    </row>
    <row r="132">
      <c r="A132" s="672" t="n"/>
      <c r="B132" s="767">
        <f>ROW()</f>
        <v/>
      </c>
      <c r="C132" s="182" t="n"/>
      <c r="D132" s="182" t="n"/>
      <c r="E132" s="182" t="n"/>
      <c r="F132" s="716" t="n"/>
      <c r="G132" s="716" t="n"/>
      <c r="H132" s="462" t="n"/>
    </row>
    <row r="133">
      <c r="A133" s="672" t="n"/>
      <c r="B133" s="767">
        <f>ROW()</f>
        <v/>
      </c>
      <c r="C133" s="182" t="n"/>
      <c r="D133" s="182" t="n"/>
      <c r="E133" s="182" t="n"/>
      <c r="F133" s="716" t="n"/>
      <c r="G133" s="716" t="n"/>
      <c r="H133" s="462" t="n"/>
    </row>
    <row r="134">
      <c r="A134" s="672" t="n"/>
      <c r="B134" s="767">
        <f>ROW()</f>
        <v/>
      </c>
      <c r="C134" s="182" t="n"/>
      <c r="D134" s="182" t="n"/>
      <c r="E134" s="182" t="n"/>
      <c r="F134" s="716" t="n"/>
      <c r="G134" s="716" t="n"/>
      <c r="H134" s="462" t="n"/>
    </row>
    <row r="135">
      <c r="A135" s="672" t="n"/>
      <c r="B135" s="767">
        <f>ROW()</f>
        <v/>
      </c>
      <c r="C135" s="182" t="n"/>
      <c r="D135" s="182" t="n"/>
      <c r="E135" s="182" t="n"/>
      <c r="F135" s="716" t="n"/>
      <c r="G135" s="716" t="n"/>
      <c r="H135" s="462" t="n"/>
    </row>
    <row r="136">
      <c r="A136" s="672" t="n"/>
      <c r="B136" s="767">
        <f>ROW()</f>
        <v/>
      </c>
      <c r="C136" s="182" t="n"/>
      <c r="D136" s="182" t="n"/>
      <c r="E136" s="182" t="n"/>
      <c r="F136" s="716" t="n"/>
      <c r="G136" s="716" t="n"/>
      <c r="H136" s="462" t="n"/>
    </row>
    <row r="137">
      <c r="A137" s="672" t="n"/>
      <c r="B137" s="767">
        <f>ROW()</f>
        <v/>
      </c>
      <c r="C137" s="182" t="n"/>
      <c r="D137" s="182" t="n"/>
      <c r="E137" s="182" t="n"/>
      <c r="F137" s="716" t="n"/>
      <c r="G137" s="716" t="n"/>
      <c r="H137" s="462" t="n"/>
    </row>
    <row r="138">
      <c r="A138" s="672" t="n"/>
      <c r="B138" s="767">
        <f>ROW()</f>
        <v/>
      </c>
      <c r="C138" s="182" t="n"/>
      <c r="D138" s="182" t="n"/>
      <c r="E138" s="182" t="n"/>
      <c r="F138" s="716" t="n"/>
      <c r="G138" s="716" t="n"/>
      <c r="H138" s="462" t="n"/>
    </row>
    <row r="139">
      <c r="A139" s="672" t="n"/>
      <c r="B139" s="767">
        <f>ROW()</f>
        <v/>
      </c>
      <c r="C139" s="182" t="n"/>
      <c r="D139" s="182" t="n"/>
      <c r="E139" s="182" t="n"/>
      <c r="F139" s="716" t="n"/>
      <c r="G139" s="716" t="n"/>
      <c r="H139" s="462" t="n"/>
    </row>
    <row r="140">
      <c r="A140" s="672" t="n"/>
      <c r="B140" s="767">
        <f>ROW()</f>
        <v/>
      </c>
      <c r="C140" s="182" t="n"/>
      <c r="D140" s="182" t="n"/>
      <c r="E140" s="182" t="n"/>
      <c r="F140" s="716" t="n"/>
      <c r="G140" s="716" t="n"/>
      <c r="H140" s="462" t="n"/>
    </row>
    <row r="141">
      <c r="A141" s="672" t="n"/>
      <c r="B141" s="767">
        <f>ROW()</f>
        <v/>
      </c>
      <c r="C141" s="182" t="n"/>
      <c r="D141" s="182" t="n"/>
      <c r="E141" s="182" t="n"/>
      <c r="F141" s="716" t="n"/>
      <c r="G141" s="716" t="n"/>
      <c r="H141" s="462" t="n"/>
    </row>
    <row r="142">
      <c r="A142" s="672" t="n"/>
      <c r="B142" s="767">
        <f>ROW()</f>
        <v/>
      </c>
      <c r="C142" s="182" t="n"/>
      <c r="D142" s="182" t="n"/>
      <c r="E142" s="182" t="n"/>
      <c r="F142" s="716" t="n"/>
      <c r="G142" s="716" t="n"/>
      <c r="H142" s="462" t="n"/>
    </row>
    <row r="143">
      <c r="A143" s="672" t="n"/>
      <c r="B143" s="767">
        <f>ROW()</f>
        <v/>
      </c>
      <c r="C143" s="182" t="n"/>
      <c r="D143" s="182" t="n"/>
      <c r="E143" s="182" t="n"/>
      <c r="F143" s="716" t="n"/>
      <c r="G143" s="716" t="n"/>
      <c r="H143" s="462" t="n"/>
    </row>
    <row r="144">
      <c r="A144" s="672" t="n"/>
      <c r="B144" s="767">
        <f>ROW()</f>
        <v/>
      </c>
      <c r="C144" s="182" t="n"/>
      <c r="D144" s="182" t="n"/>
      <c r="E144" s="182" t="n"/>
      <c r="F144" s="716" t="n"/>
      <c r="G144" s="716" t="n"/>
      <c r="H144" s="462" t="n"/>
    </row>
    <row r="145">
      <c r="A145" s="672" t="n"/>
      <c r="B145" s="767">
        <f>ROW()</f>
        <v/>
      </c>
      <c r="C145" s="182" t="n"/>
      <c r="D145" s="182" t="n"/>
      <c r="E145" s="182" t="n"/>
      <c r="F145" s="716" t="n"/>
      <c r="G145" s="716" t="n"/>
      <c r="H145" s="462" t="n"/>
    </row>
    <row r="146">
      <c r="A146" s="672" t="n"/>
      <c r="B146" s="767">
        <f>ROW()</f>
        <v/>
      </c>
      <c r="C146" s="182" t="n"/>
      <c r="D146" s="182" t="n"/>
      <c r="E146" s="182" t="n"/>
      <c r="F146" s="716" t="n"/>
      <c r="G146" s="716" t="n"/>
      <c r="H146" s="462" t="n"/>
    </row>
    <row r="147">
      <c r="A147" s="672" t="n"/>
      <c r="B147" s="767">
        <f>ROW()</f>
        <v/>
      </c>
      <c r="C147" s="182" t="n"/>
      <c r="D147" s="182" t="n"/>
      <c r="E147" s="182" t="n"/>
      <c r="F147" s="716" t="n"/>
      <c r="G147" s="716" t="n"/>
      <c r="H147" s="462" t="n"/>
    </row>
    <row r="148">
      <c r="A148" s="672" t="n"/>
      <c r="B148" s="767">
        <f>ROW()</f>
        <v/>
      </c>
      <c r="C148" s="182" t="n"/>
      <c r="D148" s="182" t="n"/>
      <c r="E148" s="182" t="n"/>
      <c r="F148" s="716" t="n"/>
      <c r="G148" s="716" t="n"/>
      <c r="H148" s="462" t="n"/>
    </row>
    <row r="149">
      <c r="A149" s="672" t="n"/>
      <c r="B149" s="767">
        <f>ROW()</f>
        <v/>
      </c>
      <c r="C149" s="182" t="n"/>
      <c r="D149" s="182" t="n"/>
      <c r="E149" s="182" t="n"/>
      <c r="F149" s="716" t="n"/>
      <c r="G149" s="716" t="n"/>
      <c r="H149" s="462" t="n"/>
    </row>
    <row r="150">
      <c r="A150" s="672" t="n"/>
      <c r="B150" s="767">
        <f>ROW()</f>
        <v/>
      </c>
      <c r="C150" s="182" t="n"/>
      <c r="D150" s="182" t="n"/>
      <c r="E150" s="182" t="n"/>
      <c r="F150" s="716" t="n"/>
      <c r="G150" s="716" t="n"/>
      <c r="H150" s="462" t="n"/>
    </row>
    <row r="151">
      <c r="A151" s="672" t="n"/>
      <c r="B151" s="767">
        <f>ROW()</f>
        <v/>
      </c>
      <c r="C151" s="182" t="n"/>
      <c r="D151" s="182" t="n"/>
      <c r="E151" s="182" t="n"/>
      <c r="F151" s="716" t="n"/>
      <c r="G151" s="716" t="n"/>
      <c r="H151" s="462" t="n"/>
    </row>
    <row r="152">
      <c r="A152" s="672" t="n"/>
      <c r="B152" s="767">
        <f>ROW()</f>
        <v/>
      </c>
      <c r="C152" s="182" t="n"/>
      <c r="D152" s="182" t="n"/>
      <c r="E152" s="182" t="n"/>
      <c r="F152" s="716" t="n"/>
      <c r="G152" s="716" t="n"/>
      <c r="H152" s="462" t="n"/>
    </row>
    <row r="153">
      <c r="A153" s="672" t="n"/>
      <c r="B153" s="767">
        <f>ROW()</f>
        <v/>
      </c>
      <c r="C153" s="182" t="n"/>
      <c r="D153" s="182" t="n"/>
      <c r="E153" s="182" t="n"/>
      <c r="F153" s="716" t="n"/>
      <c r="G153" s="716" t="n"/>
      <c r="H153" s="462" t="n"/>
    </row>
    <row r="154">
      <c r="A154" s="672" t="n"/>
      <c r="B154" s="767">
        <f>ROW()</f>
        <v/>
      </c>
      <c r="C154" s="182" t="n"/>
      <c r="D154" s="182" t="n"/>
      <c r="E154" s="182" t="n"/>
      <c r="F154" s="716" t="n"/>
      <c r="G154" s="716" t="n"/>
      <c r="H154" s="462" t="n"/>
    </row>
    <row r="155">
      <c r="A155" s="672" t="n"/>
      <c r="B155" s="767">
        <f>ROW()</f>
        <v/>
      </c>
      <c r="C155" s="182" t="n"/>
      <c r="D155" s="182" t="n"/>
      <c r="E155" s="182" t="n"/>
      <c r="F155" s="716" t="n"/>
      <c r="G155" s="716" t="n"/>
      <c r="H155" s="462" t="n"/>
    </row>
    <row r="156">
      <c r="A156" s="672" t="n"/>
      <c r="B156" s="767">
        <f>ROW()</f>
        <v/>
      </c>
      <c r="C156" s="182" t="n"/>
      <c r="D156" s="182" t="n"/>
      <c r="E156" s="182" t="n"/>
      <c r="F156" s="716" t="n"/>
      <c r="G156" s="716" t="n"/>
      <c r="H156" s="462" t="n"/>
    </row>
    <row r="157">
      <c r="A157" s="672" t="n"/>
      <c r="B157" s="767">
        <f>ROW()</f>
        <v/>
      </c>
      <c r="C157" s="182" t="n"/>
      <c r="D157" s="182" t="n"/>
      <c r="E157" s="182" t="n"/>
      <c r="F157" s="716" t="n"/>
      <c r="G157" s="716" t="n"/>
      <c r="H157" s="462" t="n"/>
    </row>
    <row r="158">
      <c r="A158" s="672" t="n"/>
      <c r="B158" s="767">
        <f>ROW()</f>
        <v/>
      </c>
      <c r="C158" s="182" t="n"/>
      <c r="D158" s="182" t="n"/>
      <c r="E158" s="182" t="n"/>
      <c r="F158" s="716" t="n"/>
      <c r="G158" s="716" t="n"/>
      <c r="H158" s="462" t="n"/>
    </row>
    <row r="159">
      <c r="A159" s="672" t="n"/>
      <c r="B159" s="767">
        <f>ROW()</f>
        <v/>
      </c>
      <c r="C159" s="182" t="n"/>
      <c r="D159" s="182" t="n"/>
      <c r="E159" s="182" t="n"/>
      <c r="F159" s="716" t="n"/>
      <c r="G159" s="716" t="n"/>
      <c r="H159" s="462" t="n"/>
    </row>
    <row r="160">
      <c r="A160" s="672" t="n"/>
      <c r="B160" s="767">
        <f>ROW()</f>
        <v/>
      </c>
      <c r="C160" s="182" t="n"/>
      <c r="D160" s="182" t="n"/>
      <c r="E160" s="182" t="n"/>
      <c r="F160" s="716" t="n"/>
      <c r="G160" s="716" t="n"/>
      <c r="H160" s="462" t="n"/>
    </row>
    <row r="161">
      <c r="A161" s="672" t="n"/>
      <c r="B161" s="767">
        <f>ROW()</f>
        <v/>
      </c>
      <c r="C161" s="182" t="n"/>
      <c r="D161" s="182" t="n"/>
      <c r="E161" s="182" t="n"/>
      <c r="F161" s="716" t="n"/>
      <c r="G161" s="716" t="n"/>
      <c r="H161" s="462" t="n"/>
    </row>
    <row r="162">
      <c r="A162" s="672" t="n"/>
      <c r="B162" s="767">
        <f>ROW()</f>
        <v/>
      </c>
      <c r="C162" s="182" t="n"/>
      <c r="D162" s="182" t="n"/>
      <c r="E162" s="182" t="n"/>
      <c r="F162" s="716" t="n"/>
      <c r="G162" s="716" t="n"/>
      <c r="H162" s="462" t="n"/>
    </row>
    <row r="163">
      <c r="A163" s="672" t="n"/>
      <c r="B163" s="767">
        <f>ROW()</f>
        <v/>
      </c>
      <c r="C163" s="182" t="n"/>
      <c r="D163" s="182" t="n"/>
      <c r="E163" s="182" t="n"/>
      <c r="F163" s="716" t="n"/>
      <c r="G163" s="716" t="n"/>
      <c r="H163" s="462" t="n"/>
    </row>
    <row r="164">
      <c r="A164" s="672" t="n"/>
      <c r="B164" s="767">
        <f>ROW()</f>
        <v/>
      </c>
      <c r="C164" s="182" t="n"/>
      <c r="D164" s="182" t="n"/>
      <c r="E164" s="182" t="n"/>
      <c r="F164" s="716" t="n"/>
      <c r="G164" s="716" t="n"/>
      <c r="H164" s="462" t="n"/>
    </row>
    <row r="165">
      <c r="A165" s="672" t="n"/>
      <c r="B165" s="767">
        <f>ROW()</f>
        <v/>
      </c>
      <c r="C165" s="182" t="n"/>
      <c r="D165" s="182" t="n"/>
      <c r="E165" s="182" t="n"/>
      <c r="F165" s="716" t="n"/>
      <c r="G165" s="716" t="n"/>
      <c r="H165" s="462" t="n"/>
    </row>
    <row r="166">
      <c r="A166" s="672" t="n"/>
      <c r="B166" s="767">
        <f>ROW()</f>
        <v/>
      </c>
      <c r="C166" s="182" t="n"/>
      <c r="D166" s="182" t="n"/>
      <c r="E166" s="182" t="n"/>
      <c r="F166" s="716" t="n"/>
      <c r="G166" s="716" t="n"/>
      <c r="H166" s="462" t="n"/>
    </row>
    <row r="167">
      <c r="A167" s="672" t="n"/>
      <c r="B167" s="767">
        <f>ROW()</f>
        <v/>
      </c>
      <c r="C167" s="182" t="n"/>
      <c r="D167" s="182" t="n"/>
      <c r="E167" s="182" t="n"/>
      <c r="F167" s="716" t="n"/>
      <c r="G167" s="716" t="n"/>
      <c r="H167" s="462" t="n"/>
    </row>
    <row r="168">
      <c r="A168" s="672" t="n"/>
      <c r="B168" s="767">
        <f>ROW()</f>
        <v/>
      </c>
      <c r="C168" s="182" t="n"/>
      <c r="D168" s="182" t="n"/>
      <c r="E168" s="182" t="n"/>
      <c r="F168" s="716" t="n"/>
      <c r="G168" s="716" t="n"/>
      <c r="H168" s="462" t="n"/>
    </row>
    <row r="169">
      <c r="A169" s="672" t="n"/>
      <c r="B169" s="767">
        <f>ROW()</f>
        <v/>
      </c>
      <c r="C169" s="182" t="n"/>
      <c r="D169" s="182" t="n"/>
      <c r="E169" s="182" t="n"/>
      <c r="F169" s="716" t="n"/>
      <c r="G169" s="716" t="n"/>
      <c r="H169" s="462" t="n"/>
    </row>
    <row r="170">
      <c r="A170" s="672" t="n"/>
      <c r="B170" s="767">
        <f>ROW()</f>
        <v/>
      </c>
      <c r="C170" s="182" t="n"/>
      <c r="D170" s="182" t="n"/>
      <c r="E170" s="182" t="n"/>
      <c r="F170" s="716" t="n"/>
      <c r="G170" s="716" t="n"/>
      <c r="H170" s="462" t="n"/>
    </row>
    <row r="171">
      <c r="A171" s="672" t="n"/>
      <c r="B171" s="767">
        <f>ROW()</f>
        <v/>
      </c>
      <c r="C171" s="182" t="n"/>
      <c r="D171" s="182" t="n"/>
      <c r="E171" s="182" t="n"/>
      <c r="F171" s="716" t="n"/>
      <c r="G171" s="716" t="n"/>
      <c r="H171" s="462" t="n"/>
    </row>
    <row r="172">
      <c r="A172" s="672" t="n"/>
      <c r="B172" s="767">
        <f>ROW()</f>
        <v/>
      </c>
      <c r="C172" s="182" t="n"/>
      <c r="D172" s="182" t="n"/>
      <c r="E172" s="182" t="n"/>
      <c r="F172" s="716" t="n"/>
      <c r="G172" s="716" t="n"/>
      <c r="H172" s="462" t="n"/>
    </row>
    <row r="173">
      <c r="A173" s="672" t="n"/>
      <c r="B173" s="767">
        <f>ROW()</f>
        <v/>
      </c>
      <c r="C173" s="182" t="n"/>
      <c r="D173" s="182" t="n"/>
      <c r="E173" s="182" t="n"/>
      <c r="F173" s="716" t="n"/>
      <c r="G173" s="716" t="n"/>
      <c r="H173" s="462" t="n"/>
    </row>
    <row r="174">
      <c r="A174" s="672" t="n"/>
      <c r="B174" s="767">
        <f>ROW()</f>
        <v/>
      </c>
      <c r="C174" s="182" t="n"/>
      <c r="D174" s="182" t="n"/>
      <c r="E174" s="182" t="n"/>
      <c r="F174" s="716" t="n"/>
      <c r="G174" s="716" t="n"/>
      <c r="H174" s="462" t="n"/>
    </row>
    <row r="175">
      <c r="A175" s="672" t="n"/>
      <c r="B175" s="767">
        <f>ROW()</f>
        <v/>
      </c>
      <c r="C175" s="182" t="n"/>
      <c r="D175" s="182" t="n"/>
      <c r="E175" s="182" t="n"/>
      <c r="F175" s="716" t="n"/>
      <c r="G175" s="716" t="n"/>
      <c r="H175" s="462" t="n"/>
    </row>
    <row r="176">
      <c r="A176" s="672" t="n"/>
      <c r="B176" s="767">
        <f>ROW()</f>
        <v/>
      </c>
      <c r="C176" s="182" t="n"/>
      <c r="D176" s="182" t="n"/>
      <c r="E176" s="182" t="n"/>
      <c r="F176" s="716" t="n"/>
      <c r="G176" s="716" t="n"/>
      <c r="H176" s="462" t="n"/>
    </row>
    <row r="177">
      <c r="A177" s="672" t="n"/>
      <c r="B177" s="767">
        <f>ROW()</f>
        <v/>
      </c>
      <c r="C177" s="182" t="n"/>
      <c r="D177" s="182" t="n"/>
      <c r="E177" s="182" t="n"/>
      <c r="F177" s="716" t="n"/>
      <c r="G177" s="716" t="n"/>
      <c r="H177" s="462" t="n"/>
    </row>
    <row r="178">
      <c r="A178" s="672" t="n"/>
      <c r="B178" s="767">
        <f>ROW()</f>
        <v/>
      </c>
      <c r="C178" s="182" t="n"/>
      <c r="D178" s="182" t="n"/>
      <c r="E178" s="182" t="n"/>
      <c r="F178" s="716" t="n"/>
      <c r="G178" s="716" t="n"/>
      <c r="H178" s="462" t="n"/>
    </row>
    <row r="179">
      <c r="A179" s="672" t="n"/>
      <c r="B179" s="767">
        <f>ROW()</f>
        <v/>
      </c>
      <c r="C179" s="182" t="n"/>
      <c r="D179" s="182" t="n"/>
      <c r="E179" s="182" t="n"/>
      <c r="F179" s="716" t="n"/>
      <c r="G179" s="716" t="n"/>
      <c r="H179" s="462" t="n"/>
    </row>
    <row r="180">
      <c r="A180" s="672" t="n"/>
      <c r="B180" s="767">
        <f>ROW()</f>
        <v/>
      </c>
      <c r="C180" s="182" t="n"/>
      <c r="D180" s="182" t="n"/>
      <c r="E180" s="182" t="n"/>
      <c r="F180" s="716" t="n"/>
      <c r="G180" s="716" t="n"/>
      <c r="H180" s="462" t="n"/>
    </row>
    <row r="181">
      <c r="A181" s="672" t="n"/>
      <c r="B181" s="767">
        <f>ROW()</f>
        <v/>
      </c>
      <c r="C181" s="182" t="n"/>
      <c r="D181" s="182" t="n"/>
      <c r="E181" s="182" t="n"/>
      <c r="F181" s="716" t="n"/>
      <c r="G181" s="716" t="n"/>
      <c r="H181" s="462" t="n"/>
    </row>
    <row r="182">
      <c r="A182" s="672" t="n"/>
      <c r="B182" s="767">
        <f>ROW()</f>
        <v/>
      </c>
      <c r="C182" s="182" t="n"/>
      <c r="D182" s="182" t="n"/>
      <c r="E182" s="182" t="n"/>
      <c r="F182" s="716" t="n"/>
      <c r="G182" s="716" t="n"/>
      <c r="H182" s="462" t="n"/>
    </row>
    <row r="183">
      <c r="A183" s="672" t="n"/>
      <c r="B183" s="767">
        <f>ROW()</f>
        <v/>
      </c>
      <c r="C183" s="182" t="n"/>
      <c r="D183" s="182" t="n"/>
      <c r="E183" s="182" t="n"/>
      <c r="F183" s="716" t="n"/>
      <c r="G183" s="716" t="n"/>
      <c r="H183" s="462" t="n"/>
    </row>
    <row r="184">
      <c r="A184" s="672" t="n"/>
      <c r="B184" s="767">
        <f>ROW()</f>
        <v/>
      </c>
      <c r="C184" s="182" t="n"/>
      <c r="D184" s="182" t="n"/>
      <c r="E184" s="182" t="n"/>
      <c r="F184" s="716" t="n"/>
      <c r="G184" s="716" t="n"/>
      <c r="H184" s="462" t="n"/>
    </row>
    <row r="185">
      <c r="A185" s="672" t="n"/>
      <c r="B185" s="767">
        <f>ROW()</f>
        <v/>
      </c>
      <c r="C185" s="182" t="n"/>
      <c r="D185" s="182" t="n"/>
      <c r="E185" s="182" t="n"/>
      <c r="F185" s="716" t="n"/>
      <c r="G185" s="716" t="n"/>
      <c r="H185" s="462" t="n"/>
    </row>
    <row r="186">
      <c r="A186" s="672" t="n"/>
      <c r="B186" s="767">
        <f>ROW()</f>
        <v/>
      </c>
      <c r="C186" s="182" t="n"/>
      <c r="D186" s="182" t="n"/>
      <c r="E186" s="182" t="n"/>
      <c r="F186" s="716" t="n"/>
      <c r="G186" s="716" t="n"/>
      <c r="H186" s="462" t="n"/>
    </row>
    <row r="187">
      <c r="A187" s="672" t="n"/>
      <c r="B187" s="767">
        <f>ROW()</f>
        <v/>
      </c>
      <c r="C187" s="182" t="n"/>
      <c r="D187" s="182" t="n"/>
      <c r="E187" s="182" t="n"/>
      <c r="F187" s="716" t="n"/>
      <c r="G187" s="716" t="n"/>
      <c r="H187" s="462" t="n"/>
    </row>
    <row r="188">
      <c r="A188" s="672" t="n"/>
      <c r="B188" s="767">
        <f>ROW()</f>
        <v/>
      </c>
      <c r="C188" s="182" t="n"/>
      <c r="D188" s="182" t="n"/>
      <c r="E188" s="182" t="n"/>
      <c r="F188" s="716" t="n"/>
      <c r="G188" s="716" t="n"/>
      <c r="H188" s="462" t="n"/>
    </row>
    <row r="189">
      <c r="A189" s="672" t="n"/>
      <c r="B189" s="767">
        <f>ROW()</f>
        <v/>
      </c>
      <c r="C189" s="182" t="n"/>
      <c r="D189" s="182" t="n"/>
      <c r="E189" s="182" t="n"/>
      <c r="F189" s="716" t="n"/>
      <c r="G189" s="716" t="n"/>
      <c r="H189" s="462" t="n"/>
    </row>
    <row r="190">
      <c r="A190" s="672" t="n"/>
      <c r="B190" s="767">
        <f>ROW()</f>
        <v/>
      </c>
      <c r="C190" s="182" t="n"/>
      <c r="D190" s="182" t="n"/>
      <c r="E190" s="182" t="n"/>
      <c r="F190" s="716" t="n"/>
      <c r="G190" s="716" t="n"/>
      <c r="H190" s="462" t="n"/>
    </row>
    <row r="191">
      <c r="A191" s="672" t="n"/>
      <c r="B191" s="767">
        <f>ROW()</f>
        <v/>
      </c>
      <c r="C191" s="182" t="n"/>
      <c r="D191" s="182" t="n"/>
      <c r="E191" s="182" t="n"/>
      <c r="F191" s="716" t="n"/>
      <c r="G191" s="716" t="n"/>
      <c r="H191" s="462" t="n"/>
    </row>
    <row r="192">
      <c r="A192" s="672" t="n"/>
      <c r="B192" s="767">
        <f>ROW()</f>
        <v/>
      </c>
      <c r="C192" s="182" t="n"/>
      <c r="D192" s="182" t="n"/>
      <c r="E192" s="182" t="n"/>
      <c r="F192" s="716" t="n"/>
      <c r="G192" s="716" t="n"/>
      <c r="H192" s="462" t="n"/>
    </row>
    <row r="193">
      <c r="A193" s="672" t="n"/>
      <c r="B193" s="767">
        <f>ROW()</f>
        <v/>
      </c>
      <c r="C193" s="182" t="n"/>
      <c r="D193" s="182" t="n"/>
      <c r="E193" s="182" t="n"/>
      <c r="F193" s="716" t="n"/>
      <c r="G193" s="716" t="n"/>
      <c r="H193" s="462" t="n"/>
    </row>
    <row r="194">
      <c r="A194" s="672" t="n"/>
      <c r="B194" s="767">
        <f>ROW()</f>
        <v/>
      </c>
      <c r="C194" s="182" t="n"/>
      <c r="D194" s="182" t="n"/>
      <c r="E194" s="182" t="n"/>
      <c r="F194" s="716" t="n"/>
      <c r="G194" s="716" t="n"/>
      <c r="H194" s="462" t="n"/>
    </row>
    <row r="195">
      <c r="A195" s="672" t="n"/>
      <c r="B195" s="767">
        <f>ROW()</f>
        <v/>
      </c>
      <c r="C195" s="182" t="n"/>
      <c r="D195" s="182" t="n"/>
      <c r="E195" s="182" t="n"/>
      <c r="F195" s="716" t="n"/>
      <c r="G195" s="716" t="n"/>
      <c r="H195" s="462" t="n"/>
    </row>
    <row r="196">
      <c r="A196" s="672" t="n"/>
      <c r="B196" s="767">
        <f>ROW()</f>
        <v/>
      </c>
      <c r="C196" s="182" t="n"/>
      <c r="D196" s="182" t="n"/>
      <c r="E196" s="182" t="n"/>
      <c r="F196" s="716" t="n"/>
      <c r="G196" s="716" t="n"/>
      <c r="H196" s="462" t="n"/>
    </row>
    <row r="197">
      <c r="A197" s="672" t="n"/>
      <c r="B197" s="767">
        <f>ROW()</f>
        <v/>
      </c>
      <c r="C197" s="182" t="n"/>
      <c r="D197" s="182" t="n"/>
      <c r="E197" s="182" t="n"/>
      <c r="F197" s="716" t="n"/>
      <c r="G197" s="716" t="n"/>
      <c r="H197" s="462" t="n"/>
    </row>
    <row r="198">
      <c r="A198" s="672" t="n"/>
      <c r="B198" s="767">
        <f>ROW()</f>
        <v/>
      </c>
      <c r="C198" s="182" t="n"/>
      <c r="D198" s="182" t="n"/>
      <c r="E198" s="182" t="n"/>
      <c r="F198" s="716" t="n"/>
      <c r="G198" s="716" t="n"/>
      <c r="H198" s="462" t="n"/>
    </row>
    <row r="199">
      <c r="A199" s="672" t="n"/>
      <c r="B199" s="767">
        <f>ROW()</f>
        <v/>
      </c>
      <c r="C199" s="182" t="n"/>
      <c r="D199" s="182" t="n"/>
      <c r="E199" s="182" t="n"/>
      <c r="F199" s="716" t="n"/>
      <c r="G199" s="716" t="n"/>
      <c r="H199" s="462" t="n"/>
    </row>
    <row r="200">
      <c r="A200" s="672" t="n"/>
      <c r="B200" s="767">
        <f>ROW()</f>
        <v/>
      </c>
      <c r="C200" s="182" t="n"/>
      <c r="D200" s="182" t="n"/>
      <c r="E200" s="182" t="n"/>
      <c r="F200" s="716" t="n"/>
      <c r="G200" s="716" t="n"/>
      <c r="H200" s="462" t="n"/>
    </row>
    <row r="201">
      <c r="A201" s="672" t="n"/>
      <c r="B201" s="767">
        <f>ROW()</f>
        <v/>
      </c>
      <c r="C201" s="182" t="n"/>
      <c r="D201" s="182" t="n"/>
      <c r="E201" s="182" t="n"/>
      <c r="F201" s="716" t="n"/>
      <c r="G201" s="716" t="n"/>
      <c r="H201" s="462" t="n"/>
    </row>
    <row r="202">
      <c r="A202" s="672" t="n"/>
      <c r="B202" s="767">
        <f>ROW()</f>
        <v/>
      </c>
      <c r="C202" s="182" t="n"/>
      <c r="D202" s="182" t="n"/>
      <c r="E202" s="182" t="n"/>
      <c r="F202" s="716" t="n"/>
      <c r="G202" s="716" t="n"/>
      <c r="H202" s="462" t="n"/>
    </row>
    <row r="203">
      <c r="A203" s="672" t="n"/>
      <c r="B203" s="767">
        <f>ROW()</f>
        <v/>
      </c>
      <c r="C203" s="182" t="n"/>
      <c r="D203" s="182" t="n"/>
      <c r="E203" s="182" t="n"/>
      <c r="F203" s="716" t="n"/>
      <c r="G203" s="716" t="n"/>
      <c r="H203" s="462" t="n"/>
    </row>
    <row r="204">
      <c r="A204" s="672" t="n"/>
      <c r="B204" s="767">
        <f>ROW()</f>
        <v/>
      </c>
      <c r="C204" s="182" t="n"/>
      <c r="D204" s="182" t="n"/>
      <c r="E204" s="182" t="n"/>
      <c r="F204" s="716" t="n"/>
      <c r="G204" s="716" t="n"/>
      <c r="H204" s="462" t="n"/>
    </row>
    <row r="205">
      <c r="A205" s="672" t="n"/>
      <c r="B205" s="767">
        <f>ROW()</f>
        <v/>
      </c>
      <c r="C205" s="182" t="n"/>
      <c r="D205" s="182" t="n"/>
      <c r="E205" s="182" t="n"/>
      <c r="F205" s="716" t="n"/>
      <c r="G205" s="716" t="n"/>
      <c r="H205" s="462" t="n"/>
    </row>
    <row r="206">
      <c r="A206" s="672" t="n"/>
      <c r="B206" s="767">
        <f>ROW()</f>
        <v/>
      </c>
      <c r="C206" s="182" t="n"/>
      <c r="D206" s="182" t="n"/>
      <c r="E206" s="182" t="n"/>
      <c r="F206" s="716" t="n"/>
      <c r="G206" s="716" t="n"/>
      <c r="H206" s="462" t="n"/>
    </row>
    <row r="207">
      <c r="A207" s="672" t="n"/>
      <c r="B207" s="767">
        <f>ROW()</f>
        <v/>
      </c>
      <c r="C207" s="182" t="n"/>
      <c r="D207" s="182" t="n"/>
      <c r="E207" s="182" t="n"/>
      <c r="F207" s="716" t="n"/>
      <c r="G207" s="716" t="n"/>
      <c r="H207" s="462" t="n"/>
    </row>
    <row r="208">
      <c r="A208" s="672" t="n"/>
      <c r="B208" s="767">
        <f>ROW()</f>
        <v/>
      </c>
      <c r="C208" s="182" t="n"/>
      <c r="D208" s="182" t="n"/>
      <c r="E208" s="182" t="n"/>
      <c r="F208" s="716" t="n"/>
      <c r="G208" s="716" t="n"/>
      <c r="H208" s="462" t="n"/>
    </row>
    <row r="209">
      <c r="A209" s="672" t="n"/>
      <c r="B209" s="767">
        <f>ROW()</f>
        <v/>
      </c>
      <c r="C209" s="182" t="n"/>
      <c r="D209" s="182" t="n"/>
      <c r="E209" s="182" t="n"/>
      <c r="F209" s="716" t="n"/>
      <c r="G209" s="716" t="n"/>
      <c r="H209" s="462" t="n"/>
    </row>
    <row r="210">
      <c r="A210" s="672" t="n"/>
      <c r="B210" s="767">
        <f>ROW()</f>
        <v/>
      </c>
      <c r="C210" s="182" t="n"/>
      <c r="D210" s="182" t="n"/>
      <c r="E210" s="182" t="n"/>
      <c r="F210" s="716" t="n"/>
      <c r="G210" s="716" t="n"/>
      <c r="H210" s="462" t="n"/>
    </row>
    <row r="211">
      <c r="A211" s="672" t="n"/>
      <c r="B211" s="767">
        <f>ROW()</f>
        <v/>
      </c>
      <c r="C211" s="182" t="n"/>
      <c r="D211" s="182" t="n"/>
      <c r="E211" s="182" t="n"/>
      <c r="F211" s="716" t="n"/>
      <c r="G211" s="716" t="n"/>
      <c r="H211" s="462" t="n"/>
    </row>
    <row r="212">
      <c r="A212" s="672" t="n"/>
      <c r="B212" s="767">
        <f>ROW()</f>
        <v/>
      </c>
      <c r="C212" s="182" t="n"/>
      <c r="D212" s="182" t="n"/>
      <c r="E212" s="182" t="n"/>
      <c r="F212" s="716" t="n"/>
      <c r="G212" s="716" t="n"/>
      <c r="H212" s="462" t="n"/>
    </row>
    <row r="213">
      <c r="A213" s="672" t="n"/>
      <c r="B213" s="767">
        <f>ROW()</f>
        <v/>
      </c>
      <c r="C213" s="182" t="n"/>
      <c r="D213" s="182" t="n"/>
      <c r="E213" s="182" t="n"/>
      <c r="F213" s="716" t="n"/>
      <c r="G213" s="716" t="n"/>
      <c r="H213" s="462" t="n"/>
    </row>
    <row r="214">
      <c r="A214" s="672" t="n"/>
      <c r="B214" s="767">
        <f>ROW()</f>
        <v/>
      </c>
      <c r="C214" s="182" t="n"/>
      <c r="D214" s="182" t="n"/>
      <c r="E214" s="182" t="n"/>
      <c r="F214" s="716" t="n"/>
      <c r="G214" s="716" t="n"/>
      <c r="H214" s="462" t="n"/>
    </row>
    <row r="215">
      <c r="A215" s="672" t="n"/>
      <c r="B215" s="767">
        <f>ROW()</f>
        <v/>
      </c>
      <c r="C215" s="182" t="n"/>
      <c r="D215" s="182" t="n"/>
      <c r="E215" s="182" t="n"/>
      <c r="F215" s="716" t="n"/>
      <c r="G215" s="716" t="n"/>
      <c r="H215" s="462" t="n"/>
    </row>
    <row r="216">
      <c r="A216" s="672" t="n"/>
      <c r="B216" s="767">
        <f>ROW()</f>
        <v/>
      </c>
      <c r="C216" s="182" t="n"/>
      <c r="D216" s="182" t="n"/>
      <c r="E216" s="182" t="n"/>
      <c r="F216" s="716" t="n"/>
      <c r="G216" s="716" t="n"/>
      <c r="H216" s="462" t="n"/>
    </row>
    <row r="217">
      <c r="A217" s="672" t="n"/>
      <c r="B217" s="767">
        <f>ROW()</f>
        <v/>
      </c>
      <c r="C217" s="182" t="n"/>
      <c r="D217" s="182" t="n"/>
      <c r="E217" s="182" t="n"/>
      <c r="F217" s="716" t="n"/>
      <c r="G217" s="716" t="n"/>
      <c r="H217" s="462" t="n"/>
    </row>
    <row r="218">
      <c r="A218" s="672" t="n"/>
      <c r="B218" s="767">
        <f>ROW()</f>
        <v/>
      </c>
      <c r="C218" s="182" t="n"/>
      <c r="D218" s="182" t="n"/>
      <c r="E218" s="182" t="n"/>
      <c r="F218" s="716" t="n"/>
      <c r="G218" s="716" t="n"/>
      <c r="H218" s="462" t="n"/>
    </row>
    <row r="219">
      <c r="A219" s="672" t="n"/>
      <c r="B219" s="767">
        <f>ROW()</f>
        <v/>
      </c>
      <c r="C219" s="182" t="n"/>
      <c r="D219" s="182" t="n"/>
      <c r="E219" s="182" t="n"/>
      <c r="F219" s="716" t="n"/>
      <c r="G219" s="716" t="n"/>
      <c r="H219" s="462" t="n"/>
    </row>
    <row r="220">
      <c r="A220" s="672" t="n"/>
      <c r="B220" s="767">
        <f>ROW()</f>
        <v/>
      </c>
      <c r="C220" s="182" t="n"/>
      <c r="D220" s="182" t="n"/>
      <c r="E220" s="182" t="n"/>
      <c r="F220" s="716" t="n"/>
      <c r="G220" s="716" t="n"/>
      <c r="H220" s="462" t="n"/>
    </row>
    <row r="221">
      <c r="A221" s="672" t="n"/>
      <c r="B221" s="767">
        <f>ROW()</f>
        <v/>
      </c>
      <c r="C221" s="182" t="n"/>
      <c r="D221" s="182" t="n"/>
      <c r="E221" s="182" t="n"/>
      <c r="F221" s="716" t="n"/>
      <c r="G221" s="716" t="n"/>
      <c r="H221" s="462" t="n"/>
    </row>
    <row r="222">
      <c r="A222" s="672" t="n"/>
      <c r="B222" s="767">
        <f>ROW()</f>
        <v/>
      </c>
      <c r="C222" s="182" t="n"/>
      <c r="D222" s="182" t="n"/>
      <c r="E222" s="182" t="n"/>
      <c r="F222" s="716" t="n"/>
      <c r="G222" s="716" t="n"/>
      <c r="H222" s="462" t="n"/>
    </row>
    <row r="223">
      <c r="A223" s="672" t="n"/>
      <c r="B223" s="767">
        <f>ROW()</f>
        <v/>
      </c>
      <c r="C223" s="182" t="n"/>
      <c r="D223" s="182" t="n"/>
      <c r="E223" s="182" t="n"/>
      <c r="F223" s="716" t="n"/>
      <c r="G223" s="716" t="n"/>
      <c r="H223" s="462" t="n"/>
    </row>
    <row r="224">
      <c r="A224" s="672" t="n"/>
      <c r="B224" s="767">
        <f>ROW()</f>
        <v/>
      </c>
      <c r="C224" s="182" t="n"/>
      <c r="D224" s="182" t="n"/>
      <c r="E224" s="182" t="n"/>
      <c r="F224" s="716" t="n"/>
      <c r="G224" s="716" t="n"/>
      <c r="H224" s="462" t="n"/>
    </row>
    <row r="225">
      <c r="A225" s="672" t="n"/>
      <c r="B225" s="767">
        <f>ROW()</f>
        <v/>
      </c>
      <c r="C225" s="182" t="n"/>
      <c r="D225" s="182" t="n"/>
      <c r="E225" s="182" t="n"/>
      <c r="F225" s="716" t="n"/>
      <c r="G225" s="716" t="n"/>
      <c r="H225" s="462" t="n"/>
    </row>
    <row r="226">
      <c r="A226" s="672" t="n"/>
      <c r="B226" s="767">
        <f>ROW()</f>
        <v/>
      </c>
      <c r="C226" s="182" t="n"/>
      <c r="D226" s="182" t="n"/>
      <c r="E226" s="182" t="n"/>
      <c r="F226" s="716" t="n"/>
      <c r="G226" s="716" t="n"/>
      <c r="H226" s="462" t="n"/>
    </row>
    <row r="227">
      <c r="A227" s="672" t="n"/>
      <c r="B227" s="767">
        <f>ROW()</f>
        <v/>
      </c>
      <c r="C227" s="182" t="n"/>
      <c r="D227" s="182" t="n"/>
      <c r="E227" s="182" t="n"/>
      <c r="F227" s="716" t="n"/>
      <c r="G227" s="716" t="n"/>
      <c r="H227" s="462" t="n"/>
    </row>
    <row r="228">
      <c r="A228" s="672" t="n"/>
      <c r="B228" s="767">
        <f>ROW()</f>
        <v/>
      </c>
      <c r="C228" s="182" t="n"/>
      <c r="D228" s="182" t="n"/>
      <c r="E228" s="182" t="n"/>
      <c r="F228" s="716" t="n"/>
      <c r="G228" s="716" t="n"/>
      <c r="H228" s="462" t="n"/>
    </row>
    <row r="229">
      <c r="A229" s="672" t="n"/>
      <c r="B229" s="767">
        <f>ROW()</f>
        <v/>
      </c>
      <c r="C229" s="182" t="n"/>
      <c r="D229" s="182" t="n"/>
      <c r="E229" s="182" t="n"/>
      <c r="F229" s="716" t="n"/>
      <c r="G229" s="716" t="n"/>
      <c r="H229" s="462" t="n"/>
    </row>
    <row r="230">
      <c r="A230" s="672" t="n"/>
      <c r="B230" s="767">
        <f>ROW()</f>
        <v/>
      </c>
      <c r="C230" s="182" t="n"/>
      <c r="D230" s="182" t="n"/>
      <c r="E230" s="182" t="n"/>
      <c r="F230" s="716" t="n"/>
      <c r="G230" s="716" t="n"/>
      <c r="H230" s="462" t="n"/>
    </row>
    <row r="231">
      <c r="A231" s="672" t="n"/>
      <c r="B231" s="767">
        <f>ROW()</f>
        <v/>
      </c>
      <c r="C231" s="182" t="n"/>
      <c r="D231" s="182" t="n"/>
      <c r="E231" s="182" t="n"/>
      <c r="F231" s="716" t="n"/>
      <c r="G231" s="716" t="n"/>
      <c r="H231" s="462" t="n"/>
    </row>
    <row r="232">
      <c r="A232" s="672" t="n"/>
      <c r="B232" s="767">
        <f>ROW()</f>
        <v/>
      </c>
      <c r="C232" s="182" t="n"/>
      <c r="D232" s="182" t="n"/>
      <c r="E232" s="182" t="n"/>
      <c r="F232" s="716" t="n"/>
      <c r="G232" s="716" t="n"/>
      <c r="H232" s="462" t="n"/>
    </row>
    <row r="233">
      <c r="A233" s="672" t="n"/>
      <c r="B233" s="767">
        <f>ROW()</f>
        <v/>
      </c>
      <c r="C233" s="182" t="n"/>
      <c r="D233" s="182" t="n"/>
      <c r="E233" s="182" t="n"/>
      <c r="F233" s="716" t="n"/>
      <c r="G233" s="716" t="n"/>
      <c r="H233" s="462" t="n"/>
    </row>
    <row r="234">
      <c r="A234" s="672" t="n"/>
      <c r="B234" s="767">
        <f>ROW()</f>
        <v/>
      </c>
      <c r="C234" s="182" t="n"/>
      <c r="D234" s="182" t="n"/>
      <c r="E234" s="182" t="n"/>
      <c r="F234" s="716" t="n"/>
      <c r="G234" s="716" t="n"/>
      <c r="H234" s="462" t="n"/>
    </row>
    <row r="235">
      <c r="A235" s="672" t="n"/>
      <c r="B235" s="767">
        <f>ROW()</f>
        <v/>
      </c>
      <c r="C235" s="182" t="n"/>
      <c r="D235" s="182" t="n"/>
      <c r="E235" s="182" t="n"/>
      <c r="F235" s="716" t="n"/>
      <c r="G235" s="716" t="n"/>
      <c r="H235" s="462" t="n"/>
    </row>
    <row r="236">
      <c r="A236" s="672" t="n"/>
      <c r="B236" s="767">
        <f>ROW()</f>
        <v/>
      </c>
      <c r="C236" s="182" t="n"/>
      <c r="D236" s="182" t="n"/>
      <c r="E236" s="182" t="n"/>
      <c r="F236" s="716" t="n"/>
      <c r="G236" s="716" t="n"/>
      <c r="H236" s="462" t="n"/>
    </row>
    <row r="237">
      <c r="A237" s="672" t="n"/>
      <c r="B237" s="767">
        <f>ROW()</f>
        <v/>
      </c>
      <c r="C237" s="182" t="n"/>
      <c r="D237" s="182" t="n"/>
      <c r="E237" s="182" t="n"/>
      <c r="F237" s="716" t="n"/>
      <c r="G237" s="716" t="n"/>
      <c r="H237" s="462" t="n"/>
    </row>
    <row r="238">
      <c r="A238" s="672" t="n"/>
      <c r="B238" s="767">
        <f>ROW()</f>
        <v/>
      </c>
      <c r="C238" s="182" t="n"/>
      <c r="D238" s="182" t="n"/>
      <c r="E238" s="182" t="n"/>
      <c r="F238" s="716" t="n"/>
      <c r="G238" s="716" t="n"/>
      <c r="H238" s="462" t="n"/>
    </row>
    <row r="239">
      <c r="A239" s="672" t="n"/>
      <c r="B239" s="767">
        <f>ROW()</f>
        <v/>
      </c>
      <c r="C239" s="182" t="n"/>
      <c r="D239" s="182" t="n"/>
      <c r="E239" s="182" t="n"/>
      <c r="F239" s="716" t="n"/>
      <c r="G239" s="716" t="n"/>
      <c r="H239" s="462" t="n"/>
    </row>
    <row r="240">
      <c r="A240" s="672" t="n"/>
      <c r="B240" s="767">
        <f>ROW()</f>
        <v/>
      </c>
      <c r="C240" s="182" t="n"/>
      <c r="D240" s="182" t="n"/>
      <c r="E240" s="182" t="n"/>
      <c r="F240" s="716" t="n"/>
      <c r="G240" s="716" t="n"/>
      <c r="H240" s="462" t="n"/>
    </row>
    <row r="241">
      <c r="A241" s="672" t="n"/>
      <c r="B241" s="767">
        <f>ROW()</f>
        <v/>
      </c>
      <c r="C241" s="182" t="n"/>
      <c r="D241" s="182" t="n"/>
      <c r="E241" s="182" t="n"/>
      <c r="F241" s="716" t="n"/>
      <c r="G241" s="716" t="n"/>
      <c r="H241" s="462" t="n"/>
    </row>
    <row r="242">
      <c r="A242" s="672" t="n"/>
      <c r="B242" s="767">
        <f>ROW()</f>
        <v/>
      </c>
      <c r="C242" s="182" t="n"/>
      <c r="D242" s="182" t="n"/>
      <c r="E242" s="182" t="n"/>
      <c r="F242" s="716" t="n"/>
      <c r="G242" s="716" t="n"/>
      <c r="H242" s="462" t="n"/>
    </row>
    <row r="243">
      <c r="A243" s="672" t="n"/>
      <c r="B243" s="767">
        <f>ROW()</f>
        <v/>
      </c>
      <c r="C243" s="182" t="n"/>
      <c r="D243" s="182" t="n"/>
      <c r="E243" s="182" t="n"/>
      <c r="F243" s="716" t="n"/>
      <c r="G243" s="716" t="n"/>
      <c r="H243" s="462" t="n"/>
    </row>
    <row r="244">
      <c r="A244" s="672" t="n"/>
      <c r="B244" s="767">
        <f>ROW()</f>
        <v/>
      </c>
      <c r="C244" s="182" t="n"/>
      <c r="D244" s="182" t="n"/>
      <c r="E244" s="182" t="n"/>
      <c r="F244" s="716" t="n"/>
      <c r="G244" s="716" t="n"/>
      <c r="H244" s="462" t="n"/>
    </row>
    <row r="245">
      <c r="A245" s="672" t="n"/>
      <c r="B245" s="767">
        <f>ROW()</f>
        <v/>
      </c>
      <c r="C245" s="182" t="n"/>
      <c r="D245" s="182" t="n"/>
      <c r="E245" s="182" t="n"/>
      <c r="F245" s="716" t="n"/>
      <c r="G245" s="716" t="n"/>
      <c r="H245" s="462" t="n"/>
    </row>
    <row r="246">
      <c r="A246" s="672" t="n"/>
      <c r="B246" s="767">
        <f>ROW()</f>
        <v/>
      </c>
      <c r="C246" s="182" t="n"/>
      <c r="D246" s="182" t="n"/>
      <c r="E246" s="182" t="n"/>
      <c r="F246" s="716" t="n"/>
      <c r="G246" s="716" t="n"/>
      <c r="H246" s="462" t="n"/>
    </row>
    <row r="247">
      <c r="A247" s="672" t="n"/>
      <c r="B247" s="767">
        <f>ROW()</f>
        <v/>
      </c>
      <c r="C247" s="182" t="n"/>
      <c r="D247" s="182" t="n"/>
      <c r="E247" s="182" t="n"/>
      <c r="F247" s="716" t="n"/>
      <c r="G247" s="716" t="n"/>
      <c r="H247" s="462" t="n"/>
    </row>
    <row r="248">
      <c r="A248" s="672" t="n"/>
      <c r="B248" s="767">
        <f>ROW()</f>
        <v/>
      </c>
      <c r="C248" s="182" t="n"/>
      <c r="D248" s="182" t="n"/>
      <c r="E248" s="182" t="n"/>
      <c r="F248" s="716" t="n"/>
      <c r="G248" s="716" t="n"/>
      <c r="H248" s="462" t="n"/>
    </row>
    <row r="249">
      <c r="A249" s="672" t="n"/>
      <c r="B249" s="767">
        <f>ROW()</f>
        <v/>
      </c>
      <c r="C249" s="182" t="n"/>
      <c r="D249" s="182" t="n"/>
      <c r="E249" s="182" t="n"/>
      <c r="F249" s="716" t="n"/>
      <c r="G249" s="716" t="n"/>
      <c r="H249" s="462" t="n"/>
    </row>
    <row r="250">
      <c r="A250" s="672" t="n"/>
      <c r="B250" s="767">
        <f>ROW()</f>
        <v/>
      </c>
      <c r="C250" s="182" t="n"/>
      <c r="D250" s="182" t="n"/>
      <c r="E250" s="182" t="n"/>
      <c r="F250" s="716" t="n"/>
      <c r="G250" s="716" t="n"/>
      <c r="H250" s="462" t="n"/>
    </row>
    <row r="251">
      <c r="A251" s="672" t="n"/>
      <c r="B251" s="767">
        <f>ROW()</f>
        <v/>
      </c>
      <c r="C251" s="182" t="n"/>
      <c r="D251" s="182" t="n"/>
      <c r="E251" s="182" t="n"/>
      <c r="F251" s="716" t="n"/>
      <c r="G251" s="716" t="n"/>
      <c r="H251" s="462" t="n"/>
    </row>
    <row r="252">
      <c r="A252" s="672" t="n"/>
      <c r="B252" s="767">
        <f>ROW()</f>
        <v/>
      </c>
      <c r="C252" s="182" t="n"/>
      <c r="D252" s="182" t="n"/>
      <c r="E252" s="182" t="n"/>
      <c r="F252" s="716" t="n"/>
      <c r="G252" s="716" t="n"/>
      <c r="H252" s="462" t="n"/>
    </row>
    <row r="253">
      <c r="A253" s="672" t="n"/>
      <c r="B253" s="767">
        <f>ROW()</f>
        <v/>
      </c>
      <c r="C253" s="182" t="n"/>
      <c r="D253" s="182" t="n"/>
      <c r="E253" s="182" t="n"/>
      <c r="F253" s="716" t="n"/>
      <c r="G253" s="716" t="n"/>
      <c r="H253" s="462" t="n"/>
    </row>
    <row r="254">
      <c r="A254" s="672" t="n"/>
      <c r="B254" s="767">
        <f>ROW()</f>
        <v/>
      </c>
      <c r="C254" s="182" t="n"/>
      <c r="D254" s="182" t="n"/>
      <c r="E254" s="182" t="n"/>
      <c r="F254" s="716" t="n"/>
      <c r="G254" s="716" t="n"/>
      <c r="H254" s="462" t="n"/>
    </row>
    <row r="255">
      <c r="A255" s="672" t="n"/>
      <c r="B255" s="767">
        <f>ROW()</f>
        <v/>
      </c>
      <c r="C255" s="182" t="n"/>
      <c r="D255" s="182" t="n"/>
      <c r="E255" s="182" t="n"/>
      <c r="F255" s="716" t="n"/>
      <c r="G255" s="716" t="n"/>
      <c r="H255" s="462" t="n"/>
    </row>
    <row r="256">
      <c r="A256" s="672" t="n"/>
      <c r="B256" s="767">
        <f>ROW()</f>
        <v/>
      </c>
      <c r="C256" s="182" t="n"/>
      <c r="D256" s="182" t="n"/>
      <c r="E256" s="182" t="n"/>
      <c r="F256" s="716" t="n"/>
      <c r="G256" s="716" t="n"/>
      <c r="H256" s="462" t="n"/>
    </row>
    <row r="257">
      <c r="A257" s="672" t="n"/>
      <c r="B257" s="767">
        <f>ROW()</f>
        <v/>
      </c>
      <c r="C257" s="182" t="n"/>
      <c r="D257" s="182" t="n"/>
      <c r="E257" s="182" t="n"/>
      <c r="F257" s="716" t="n"/>
      <c r="G257" s="716" t="n"/>
      <c r="H257" s="462" t="n"/>
    </row>
    <row r="258">
      <c r="A258" s="672" t="n"/>
      <c r="B258" s="767">
        <f>ROW()</f>
        <v/>
      </c>
      <c r="C258" s="182" t="n"/>
      <c r="D258" s="182" t="n"/>
      <c r="E258" s="182" t="n"/>
      <c r="F258" s="716" t="n"/>
      <c r="G258" s="716" t="n"/>
      <c r="H258" s="462" t="n"/>
    </row>
    <row r="259">
      <c r="A259" s="672" t="n"/>
      <c r="B259" s="767">
        <f>ROW()</f>
        <v/>
      </c>
      <c r="C259" s="182" t="n"/>
      <c r="D259" s="182" t="n"/>
      <c r="E259" s="182" t="n"/>
      <c r="F259" s="716" t="n"/>
      <c r="G259" s="716" t="n"/>
      <c r="H259" s="462" t="n"/>
    </row>
    <row r="260">
      <c r="A260" s="672" t="n"/>
      <c r="B260" s="767">
        <f>ROW()</f>
        <v/>
      </c>
      <c r="C260" s="182" t="n"/>
      <c r="D260" s="182" t="n"/>
      <c r="E260" s="182" t="n"/>
      <c r="F260" s="716" t="n"/>
      <c r="G260" s="716" t="n"/>
      <c r="H260" s="462" t="n"/>
    </row>
    <row r="261">
      <c r="A261" s="672" t="n"/>
      <c r="B261" s="767">
        <f>ROW()</f>
        <v/>
      </c>
      <c r="C261" s="182" t="n"/>
      <c r="D261" s="182" t="n"/>
      <c r="E261" s="182" t="n"/>
      <c r="F261" s="716" t="n"/>
      <c r="G261" s="716" t="n"/>
      <c r="H261" s="462" t="n"/>
    </row>
    <row r="262">
      <c r="A262" s="672" t="n"/>
      <c r="B262" s="767">
        <f>ROW()</f>
        <v/>
      </c>
      <c r="C262" s="182" t="n"/>
      <c r="D262" s="182" t="n"/>
      <c r="E262" s="182" t="n"/>
      <c r="F262" s="716" t="n"/>
      <c r="G262" s="716" t="n"/>
      <c r="H262" s="462" t="n"/>
    </row>
    <row r="263">
      <c r="A263" s="672" t="n"/>
      <c r="B263" s="767">
        <f>ROW()</f>
        <v/>
      </c>
      <c r="C263" s="182" t="n"/>
      <c r="D263" s="182" t="n"/>
      <c r="E263" s="182" t="n"/>
      <c r="F263" s="716" t="n"/>
      <c r="G263" s="716" t="n"/>
      <c r="H263" s="462" t="n"/>
    </row>
    <row r="264">
      <c r="A264" s="672" t="n"/>
      <c r="B264" s="767">
        <f>ROW()</f>
        <v/>
      </c>
      <c r="C264" s="182" t="n"/>
      <c r="D264" s="182" t="n"/>
      <c r="E264" s="182" t="n"/>
      <c r="F264" s="716" t="n"/>
      <c r="G264" s="716" t="n"/>
      <c r="H264" s="462" t="n"/>
    </row>
    <row r="265">
      <c r="A265" s="672" t="n"/>
      <c r="B265" s="767">
        <f>ROW()</f>
        <v/>
      </c>
      <c r="C265" s="182" t="n"/>
      <c r="D265" s="182" t="n"/>
      <c r="E265" s="182" t="n"/>
      <c r="F265" s="716" t="n"/>
      <c r="G265" s="716" t="n"/>
      <c r="H265" s="462" t="n"/>
    </row>
    <row r="266">
      <c r="A266" s="672" t="n"/>
      <c r="B266" s="767">
        <f>ROW()</f>
        <v/>
      </c>
      <c r="C266" s="182" t="n"/>
      <c r="D266" s="182" t="n"/>
      <c r="E266" s="182" t="n"/>
      <c r="F266" s="716" t="n"/>
      <c r="G266" s="716" t="n"/>
      <c r="H266" s="462" t="n"/>
    </row>
    <row r="267">
      <c r="A267" s="672" t="n"/>
      <c r="B267" s="767">
        <f>ROW()</f>
        <v/>
      </c>
      <c r="C267" s="182" t="n"/>
      <c r="D267" s="182" t="n"/>
      <c r="E267" s="182" t="n"/>
      <c r="F267" s="716" t="n"/>
      <c r="G267" s="716" t="n"/>
      <c r="H267" s="462" t="n"/>
    </row>
    <row r="268">
      <c r="A268" s="672" t="n"/>
      <c r="B268" s="767">
        <f>ROW()</f>
        <v/>
      </c>
      <c r="C268" s="182" t="n"/>
      <c r="D268" s="182" t="n"/>
      <c r="E268" s="182" t="n"/>
      <c r="F268" s="716" t="n"/>
      <c r="G268" s="716" t="n"/>
      <c r="H268" s="462" t="n"/>
    </row>
    <row r="269">
      <c r="A269" s="672" t="n"/>
      <c r="B269" s="767">
        <f>ROW()</f>
        <v/>
      </c>
      <c r="C269" s="182" t="n"/>
      <c r="D269" s="182" t="n"/>
      <c r="E269" s="182" t="n"/>
      <c r="F269" s="716" t="n"/>
      <c r="G269" s="716" t="n"/>
      <c r="H269" s="462" t="n"/>
    </row>
    <row r="270">
      <c r="A270" s="672" t="n"/>
      <c r="B270" s="767">
        <f>ROW()</f>
        <v/>
      </c>
      <c r="C270" s="182" t="n"/>
      <c r="D270" s="182" t="n"/>
      <c r="E270" s="182" t="n"/>
      <c r="F270" s="716" t="n"/>
      <c r="G270" s="716" t="n"/>
      <c r="H270" s="462" t="n"/>
    </row>
    <row r="271">
      <c r="A271" s="672" t="n"/>
      <c r="B271" s="767">
        <f>ROW()</f>
        <v/>
      </c>
      <c r="C271" s="182" t="n"/>
      <c r="D271" s="182" t="n"/>
      <c r="E271" s="182" t="n"/>
      <c r="F271" s="716" t="n"/>
      <c r="G271" s="716" t="n"/>
      <c r="H271" s="462" t="n"/>
    </row>
    <row r="272">
      <c r="A272" s="672" t="n"/>
      <c r="B272" s="767">
        <f>ROW()</f>
        <v/>
      </c>
      <c r="C272" s="182" t="n"/>
      <c r="D272" s="182" t="n"/>
      <c r="E272" s="182" t="n"/>
      <c r="F272" s="716" t="n"/>
      <c r="G272" s="716" t="n"/>
      <c r="H272" s="462" t="n"/>
    </row>
    <row r="273">
      <c r="A273" s="672" t="n"/>
      <c r="B273" s="767">
        <f>ROW()</f>
        <v/>
      </c>
      <c r="C273" s="182" t="n"/>
      <c r="D273" s="182" t="n"/>
      <c r="E273" s="182" t="n"/>
      <c r="F273" s="716" t="n"/>
      <c r="G273" s="716" t="n"/>
      <c r="H273" s="462" t="n"/>
    </row>
    <row r="274">
      <c r="A274" s="672" t="n"/>
      <c r="B274" s="767">
        <f>ROW()</f>
        <v/>
      </c>
      <c r="C274" s="182" t="n"/>
      <c r="D274" s="182" t="n"/>
      <c r="E274" s="182" t="n"/>
      <c r="F274" s="716" t="n"/>
      <c r="G274" s="716" t="n"/>
      <c r="H274" s="462" t="n"/>
    </row>
    <row r="275">
      <c r="A275" s="672" t="n"/>
      <c r="B275" s="767">
        <f>ROW()</f>
        <v/>
      </c>
      <c r="C275" s="182" t="n"/>
      <c r="D275" s="182" t="n"/>
      <c r="E275" s="182" t="n"/>
      <c r="F275" s="716" t="n"/>
      <c r="G275" s="716" t="n"/>
      <c r="H275" s="462" t="n"/>
    </row>
    <row r="276">
      <c r="A276" s="672" t="n"/>
      <c r="B276" s="767">
        <f>ROW()</f>
        <v/>
      </c>
      <c r="C276" s="182" t="n"/>
      <c r="D276" s="182" t="n"/>
      <c r="E276" s="182" t="n"/>
      <c r="F276" s="716" t="n"/>
      <c r="G276" s="716" t="n"/>
      <c r="H276" s="462" t="n"/>
    </row>
    <row r="277">
      <c r="A277" s="672" t="n"/>
      <c r="B277" s="767">
        <f>ROW()</f>
        <v/>
      </c>
      <c r="C277" s="182" t="n"/>
      <c r="D277" s="182" t="n"/>
      <c r="E277" s="182" t="n"/>
      <c r="F277" s="716" t="n"/>
      <c r="G277" s="716" t="n"/>
      <c r="H277" s="462" t="n"/>
    </row>
    <row r="278">
      <c r="A278" s="672" t="n"/>
      <c r="B278" s="767">
        <f>ROW()</f>
        <v/>
      </c>
      <c r="C278" s="182" t="n"/>
      <c r="D278" s="182" t="n"/>
      <c r="E278" s="182" t="n"/>
      <c r="F278" s="716" t="n"/>
      <c r="G278" s="716" t="n"/>
      <c r="H278" s="462" t="n"/>
    </row>
    <row r="279">
      <c r="A279" s="672" t="n"/>
      <c r="B279" s="767">
        <f>ROW()</f>
        <v/>
      </c>
      <c r="C279" s="182" t="n"/>
      <c r="D279" s="182" t="n"/>
      <c r="E279" s="182" t="n"/>
      <c r="F279" s="716" t="n"/>
      <c r="G279" s="716" t="n"/>
      <c r="H279" s="462" t="n"/>
    </row>
    <row r="280">
      <c r="A280" s="672" t="n"/>
      <c r="B280" s="767">
        <f>ROW()</f>
        <v/>
      </c>
      <c r="C280" s="182" t="n"/>
      <c r="D280" s="182" t="n"/>
      <c r="E280" s="182" t="n"/>
      <c r="F280" s="716" t="n"/>
      <c r="G280" s="716" t="n"/>
      <c r="H280" s="462" t="n"/>
    </row>
    <row r="281">
      <c r="A281" s="672" t="n"/>
      <c r="B281" s="767">
        <f>ROW()</f>
        <v/>
      </c>
      <c r="C281" s="182" t="n"/>
      <c r="D281" s="182" t="n"/>
      <c r="E281" s="182" t="n"/>
      <c r="F281" s="716" t="n"/>
      <c r="G281" s="716" t="n"/>
      <c r="H281" s="462" t="n"/>
    </row>
    <row r="282">
      <c r="A282" s="672" t="n"/>
      <c r="B282" s="767">
        <f>ROW()</f>
        <v/>
      </c>
      <c r="C282" s="182" t="n"/>
      <c r="D282" s="182" t="n"/>
      <c r="E282" s="182" t="n"/>
      <c r="F282" s="716" t="n"/>
      <c r="G282" s="716" t="n"/>
      <c r="H282" s="462" t="n"/>
    </row>
    <row r="283">
      <c r="A283" s="672" t="n"/>
      <c r="B283" s="767">
        <f>ROW()</f>
        <v/>
      </c>
      <c r="C283" s="182" t="n"/>
      <c r="D283" s="182" t="n"/>
      <c r="E283" s="182" t="n"/>
      <c r="F283" s="716" t="n"/>
      <c r="G283" s="716" t="n"/>
      <c r="H283" s="462" t="n"/>
    </row>
    <row r="284">
      <c r="A284" s="672" t="n"/>
      <c r="B284" s="767">
        <f>ROW()</f>
        <v/>
      </c>
      <c r="C284" s="182" t="n"/>
      <c r="D284" s="182" t="n"/>
      <c r="E284" s="182" t="n"/>
      <c r="F284" s="716" t="n"/>
      <c r="G284" s="716" t="n"/>
      <c r="H284" s="462" t="n"/>
    </row>
    <row r="285">
      <c r="A285" s="672" t="n"/>
      <c r="B285" s="767">
        <f>ROW()</f>
        <v/>
      </c>
      <c r="C285" s="182" t="n"/>
      <c r="D285" s="182" t="n"/>
      <c r="E285" s="182" t="n"/>
      <c r="F285" s="716" t="n"/>
      <c r="G285" s="716" t="n"/>
      <c r="H285" s="462" t="n"/>
    </row>
    <row r="286">
      <c r="A286" s="672" t="n"/>
      <c r="B286" s="767">
        <f>ROW()</f>
        <v/>
      </c>
      <c r="C286" s="182" t="n"/>
      <c r="D286" s="182" t="n"/>
      <c r="E286" s="182" t="n"/>
      <c r="F286" s="716" t="n"/>
      <c r="G286" s="716" t="n"/>
      <c r="H286" s="462" t="n"/>
    </row>
    <row r="287">
      <c r="A287" s="672" t="n"/>
      <c r="B287" s="767">
        <f>ROW()</f>
        <v/>
      </c>
      <c r="C287" s="182" t="n"/>
      <c r="D287" s="182" t="n"/>
      <c r="E287" s="182" t="n"/>
      <c r="F287" s="716" t="n"/>
      <c r="G287" s="716" t="n"/>
      <c r="H287" s="462" t="n"/>
    </row>
    <row r="288">
      <c r="A288" s="672" t="n"/>
      <c r="B288" s="767">
        <f>ROW()</f>
        <v/>
      </c>
      <c r="C288" s="182" t="n"/>
      <c r="D288" s="182" t="n"/>
      <c r="E288" s="182" t="n"/>
      <c r="F288" s="716" t="n"/>
      <c r="G288" s="716" t="n"/>
      <c r="H288" s="462" t="n"/>
    </row>
    <row r="289">
      <c r="A289" s="672" t="n"/>
      <c r="B289" s="767">
        <f>ROW()</f>
        <v/>
      </c>
      <c r="C289" s="182" t="n"/>
      <c r="D289" s="182" t="n"/>
      <c r="E289" s="182" t="n"/>
      <c r="F289" s="716" t="n"/>
      <c r="G289" s="716" t="n"/>
      <c r="H289" s="462" t="n"/>
    </row>
    <row r="290">
      <c r="A290" s="672" t="n"/>
      <c r="B290" s="767">
        <f>ROW()</f>
        <v/>
      </c>
      <c r="C290" s="182" t="n"/>
      <c r="D290" s="182" t="n"/>
      <c r="E290" s="182" t="n"/>
      <c r="F290" s="716" t="n"/>
      <c r="G290" s="716" t="n"/>
      <c r="H290" s="462" t="n"/>
    </row>
    <row r="291">
      <c r="A291" s="672" t="n"/>
      <c r="B291" s="767">
        <f>ROW()</f>
        <v/>
      </c>
      <c r="C291" s="182" t="n"/>
      <c r="D291" s="182" t="n"/>
      <c r="E291" s="182" t="n"/>
      <c r="F291" s="716" t="n"/>
      <c r="G291" s="716" t="n"/>
      <c r="H291" s="462" t="n"/>
    </row>
    <row r="292">
      <c r="A292" s="672" t="n"/>
      <c r="B292" s="767">
        <f>ROW()</f>
        <v/>
      </c>
      <c r="C292" s="182" t="n"/>
      <c r="D292" s="182" t="n"/>
      <c r="E292" s="182" t="n"/>
      <c r="F292" s="716" t="n"/>
      <c r="G292" s="716" t="n"/>
      <c r="H292" s="462" t="n"/>
    </row>
    <row r="293">
      <c r="A293" s="672" t="n"/>
      <c r="B293" s="767">
        <f>ROW()</f>
        <v/>
      </c>
      <c r="C293" s="182" t="n"/>
      <c r="D293" s="182" t="n"/>
      <c r="E293" s="182" t="n"/>
      <c r="F293" s="716" t="n"/>
      <c r="G293" s="716" t="n"/>
      <c r="H293" s="462" t="n"/>
    </row>
    <row r="294">
      <c r="A294" s="672" t="n"/>
      <c r="B294" s="767">
        <f>ROW()</f>
        <v/>
      </c>
      <c r="C294" s="182" t="n"/>
      <c r="D294" s="182" t="n"/>
      <c r="E294" s="182" t="n"/>
      <c r="F294" s="716" t="n"/>
      <c r="G294" s="716" t="n"/>
      <c r="H294" s="462" t="n"/>
    </row>
    <row r="295">
      <c r="A295" s="672" t="n"/>
      <c r="B295" s="767">
        <f>ROW()</f>
        <v/>
      </c>
      <c r="C295" s="182" t="n"/>
      <c r="D295" s="182" t="n"/>
      <c r="E295" s="182" t="n"/>
      <c r="F295" s="716" t="n"/>
      <c r="G295" s="716" t="n"/>
      <c r="H295" s="462" t="n"/>
    </row>
    <row r="296">
      <c r="A296" s="672" t="n"/>
      <c r="B296" s="767">
        <f>ROW()</f>
        <v/>
      </c>
      <c r="C296" s="182" t="n"/>
      <c r="D296" s="182" t="n"/>
      <c r="E296" s="182" t="n"/>
      <c r="F296" s="716" t="n"/>
      <c r="G296" s="716" t="n"/>
      <c r="H296" s="462" t="n"/>
    </row>
    <row r="297">
      <c r="A297" s="672" t="n"/>
      <c r="B297" s="767">
        <f>ROW()</f>
        <v/>
      </c>
      <c r="C297" s="182" t="n"/>
      <c r="D297" s="182" t="n"/>
      <c r="E297" s="182" t="n"/>
      <c r="F297" s="716" t="n"/>
      <c r="G297" s="716" t="n"/>
      <c r="H297" s="462" t="n"/>
    </row>
    <row r="298">
      <c r="A298" s="672" t="n"/>
      <c r="B298" s="767">
        <f>ROW()</f>
        <v/>
      </c>
      <c r="C298" s="182" t="n"/>
      <c r="D298" s="182" t="n"/>
      <c r="E298" s="182" t="n"/>
      <c r="F298" s="716" t="n"/>
      <c r="G298" s="716" t="n"/>
      <c r="H298" s="462" t="n"/>
    </row>
    <row r="299">
      <c r="A299" s="672" t="n"/>
      <c r="B299" s="767">
        <f>ROW()</f>
        <v/>
      </c>
      <c r="C299" s="182" t="n"/>
      <c r="D299" s="182" t="n"/>
      <c r="E299" s="182" t="n"/>
      <c r="F299" s="716" t="n"/>
      <c r="G299" s="716" t="n"/>
      <c r="H299" s="462" t="n"/>
    </row>
    <row r="300">
      <c r="A300" s="672" t="n"/>
      <c r="B300" s="767">
        <f>ROW()</f>
        <v/>
      </c>
      <c r="C300" s="182" t="n"/>
      <c r="D300" s="182" t="n"/>
      <c r="E300" s="182" t="n"/>
      <c r="F300" s="716" t="n"/>
      <c r="G300" s="716" t="n"/>
      <c r="H300" s="462" t="n"/>
    </row>
    <row r="301">
      <c r="A301" s="672" t="n"/>
      <c r="B301" s="767">
        <f>ROW()</f>
        <v/>
      </c>
      <c r="C301" s="182" t="n"/>
      <c r="D301" s="182" t="n"/>
      <c r="E301" s="182" t="n"/>
      <c r="F301" s="716" t="n"/>
      <c r="G301" s="716" t="n"/>
      <c r="H301" s="462" t="n"/>
    </row>
    <row r="302">
      <c r="A302" s="672" t="n"/>
      <c r="B302" s="767">
        <f>ROW()</f>
        <v/>
      </c>
      <c r="C302" s="182" t="n"/>
      <c r="D302" s="182" t="n"/>
      <c r="E302" s="182" t="n"/>
      <c r="F302" s="716" t="n"/>
      <c r="G302" s="716" t="n"/>
      <c r="H302" s="462" t="n"/>
    </row>
    <row r="303">
      <c r="A303" s="672" t="n"/>
      <c r="B303" s="767">
        <f>ROW()</f>
        <v/>
      </c>
      <c r="C303" s="182" t="n"/>
      <c r="D303" s="182" t="n"/>
      <c r="E303" s="182" t="n"/>
      <c r="F303" s="716" t="n"/>
      <c r="G303" s="716" t="n"/>
      <c r="H303" s="462" t="n"/>
    </row>
    <row r="304">
      <c r="A304" s="672" t="n"/>
      <c r="B304" s="767">
        <f>ROW()</f>
        <v/>
      </c>
      <c r="C304" s="182" t="n"/>
      <c r="D304" s="182" t="n"/>
      <c r="E304" s="182" t="n"/>
      <c r="F304" s="716" t="n"/>
      <c r="G304" s="716" t="n"/>
      <c r="H304" s="462" t="n"/>
    </row>
    <row r="305">
      <c r="A305" s="672" t="n"/>
      <c r="B305" s="767">
        <f>ROW()</f>
        <v/>
      </c>
      <c r="C305" s="182" t="n"/>
      <c r="D305" s="182" t="n"/>
      <c r="E305" s="182" t="n"/>
      <c r="F305" s="716" t="n"/>
      <c r="G305" s="716" t="n"/>
      <c r="H305" s="462" t="n"/>
    </row>
    <row r="306">
      <c r="A306" s="672" t="n"/>
      <c r="B306" s="767">
        <f>ROW()</f>
        <v/>
      </c>
      <c r="C306" s="182" t="n"/>
      <c r="D306" s="182" t="n"/>
      <c r="E306" s="182" t="n"/>
      <c r="F306" s="716" t="n"/>
      <c r="G306" s="716" t="n"/>
      <c r="H306" s="462" t="n"/>
    </row>
    <row r="307">
      <c r="A307" s="672" t="n"/>
      <c r="B307" s="767">
        <f>ROW()</f>
        <v/>
      </c>
      <c r="C307" s="182" t="n"/>
      <c r="D307" s="182" t="n"/>
      <c r="E307" s="182" t="n"/>
      <c r="F307" s="716" t="n"/>
      <c r="G307" s="716" t="n"/>
      <c r="H307" s="462" t="n"/>
    </row>
    <row r="308">
      <c r="A308" s="672" t="n"/>
      <c r="B308" s="767">
        <f>ROW()</f>
        <v/>
      </c>
      <c r="C308" s="182" t="n"/>
      <c r="D308" s="182" t="n"/>
      <c r="E308" s="182" t="n"/>
      <c r="F308" s="716" t="n"/>
      <c r="G308" s="716" t="n"/>
      <c r="H308" s="462" t="n"/>
    </row>
    <row r="309">
      <c r="A309" s="672" t="n"/>
      <c r="B309" s="767">
        <f>ROW()</f>
        <v/>
      </c>
      <c r="C309" s="182" t="n"/>
      <c r="D309" s="182" t="n"/>
      <c r="E309" s="182" t="n"/>
      <c r="F309" s="716" t="n"/>
      <c r="G309" s="716" t="n"/>
      <c r="H309" s="462" t="n"/>
    </row>
    <row r="310">
      <c r="A310" s="672" t="n"/>
      <c r="B310" s="767">
        <f>ROW()</f>
        <v/>
      </c>
      <c r="C310" s="182" t="n"/>
      <c r="D310" s="182" t="n"/>
      <c r="E310" s="182" t="n"/>
      <c r="F310" s="716" t="n"/>
      <c r="G310" s="716" t="n"/>
      <c r="H310" s="462" t="n"/>
    </row>
    <row r="311">
      <c r="A311" s="672" t="n"/>
      <c r="B311" s="767">
        <f>ROW()</f>
        <v/>
      </c>
      <c r="C311" s="182" t="n"/>
      <c r="D311" s="182" t="n"/>
      <c r="E311" s="182" t="n"/>
      <c r="F311" s="716" t="n"/>
      <c r="G311" s="716" t="n"/>
      <c r="H311" s="462" t="n"/>
    </row>
    <row r="312">
      <c r="A312" s="672" t="n"/>
      <c r="B312" s="767">
        <f>ROW()</f>
        <v/>
      </c>
      <c r="C312" s="182" t="n"/>
      <c r="D312" s="182" t="n"/>
      <c r="E312" s="182" t="n"/>
      <c r="F312" s="716" t="n"/>
      <c r="G312" s="716" t="n"/>
      <c r="H312" s="462" t="n"/>
    </row>
    <row r="313">
      <c r="A313" s="672" t="n"/>
      <c r="B313" s="767">
        <f>ROW()</f>
        <v/>
      </c>
      <c r="C313" s="182" t="n"/>
      <c r="D313" s="182" t="n"/>
      <c r="E313" s="182" t="n"/>
      <c r="F313" s="716" t="n"/>
      <c r="G313" s="716" t="n"/>
      <c r="H313" s="462" t="n"/>
    </row>
    <row r="314">
      <c r="A314" s="672" t="n"/>
      <c r="B314" s="767">
        <f>ROW()</f>
        <v/>
      </c>
      <c r="C314" s="182" t="n"/>
      <c r="D314" s="182" t="n"/>
      <c r="E314" s="182" t="n"/>
      <c r="F314" s="716" t="n"/>
      <c r="G314" s="716" t="n"/>
      <c r="H314" s="462" t="n"/>
    </row>
    <row r="315">
      <c r="A315" s="672" t="n"/>
      <c r="B315" s="767">
        <f>ROW()</f>
        <v/>
      </c>
      <c r="C315" s="182" t="n"/>
      <c r="D315" s="182" t="n"/>
      <c r="E315" s="182" t="n"/>
      <c r="F315" s="716" t="n"/>
      <c r="G315" s="716" t="n"/>
      <c r="H315" s="462" t="n"/>
    </row>
    <row r="316">
      <c r="A316" s="672" t="n"/>
      <c r="B316" s="767">
        <f>ROW()</f>
        <v/>
      </c>
      <c r="C316" s="182" t="n"/>
      <c r="D316" s="182" t="n"/>
      <c r="E316" s="182" t="n"/>
      <c r="F316" s="716" t="n"/>
      <c r="G316" s="716" t="n"/>
      <c r="H316" s="462" t="n"/>
    </row>
    <row r="317">
      <c r="A317" s="672" t="n"/>
      <c r="B317" s="767">
        <f>ROW()</f>
        <v/>
      </c>
      <c r="C317" s="182" t="n"/>
      <c r="D317" s="182" t="n"/>
      <c r="E317" s="182" t="n"/>
      <c r="F317" s="716" t="n"/>
      <c r="G317" s="716" t="n"/>
      <c r="H317" s="462" t="n"/>
    </row>
    <row r="318">
      <c r="A318" s="672" t="n"/>
      <c r="B318" s="767">
        <f>ROW()</f>
        <v/>
      </c>
      <c r="C318" s="182" t="n"/>
      <c r="D318" s="182" t="n"/>
      <c r="E318" s="182" t="n"/>
      <c r="F318" s="716" t="n"/>
      <c r="G318" s="716" t="n"/>
      <c r="H318" s="462" t="n"/>
    </row>
    <row r="319">
      <c r="A319" s="672" t="n"/>
      <c r="B319" s="767">
        <f>ROW()</f>
        <v/>
      </c>
      <c r="C319" s="182" t="n"/>
      <c r="D319" s="182" t="n"/>
      <c r="E319" s="182" t="n"/>
      <c r="F319" s="716" t="n"/>
      <c r="G319" s="716" t="n"/>
      <c r="H319" s="462" t="n"/>
    </row>
    <row r="320">
      <c r="A320" s="672" t="n"/>
      <c r="B320" s="767">
        <f>ROW()</f>
        <v/>
      </c>
      <c r="C320" s="182" t="n"/>
      <c r="D320" s="182" t="n"/>
      <c r="E320" s="182" t="n"/>
      <c r="F320" s="716" t="n"/>
      <c r="G320" s="716" t="n"/>
      <c r="H320" s="462" t="n"/>
    </row>
    <row r="321">
      <c r="A321" s="672" t="n"/>
      <c r="B321" s="767">
        <f>ROW()</f>
        <v/>
      </c>
      <c r="C321" s="182" t="n"/>
      <c r="D321" s="182" t="n"/>
      <c r="E321" s="182" t="n"/>
      <c r="F321" s="716" t="n"/>
      <c r="G321" s="716" t="n"/>
      <c r="H321" s="462" t="n"/>
    </row>
    <row r="322">
      <c r="A322" s="672" t="n"/>
      <c r="B322" s="767">
        <f>ROW()</f>
        <v/>
      </c>
      <c r="C322" s="182" t="n"/>
      <c r="D322" s="182" t="n"/>
      <c r="E322" s="182" t="n"/>
      <c r="F322" s="716" t="n"/>
      <c r="G322" s="716" t="n"/>
      <c r="H322" s="462" t="n"/>
    </row>
    <row r="323">
      <c r="A323" s="672" t="n"/>
      <c r="B323" s="767">
        <f>ROW()</f>
        <v/>
      </c>
      <c r="C323" s="182" t="n"/>
      <c r="D323" s="182" t="n"/>
      <c r="E323" s="182" t="n"/>
      <c r="F323" s="716" t="n"/>
      <c r="G323" s="716" t="n"/>
      <c r="H323" s="462" t="n"/>
    </row>
    <row r="324">
      <c r="A324" s="672" t="n"/>
      <c r="B324" s="767">
        <f>ROW()</f>
        <v/>
      </c>
      <c r="C324" s="182" t="n"/>
      <c r="D324" s="182" t="n"/>
      <c r="E324" s="182" t="n"/>
      <c r="F324" s="716" t="n"/>
      <c r="G324" s="716" t="n"/>
      <c r="H324" s="462" t="n"/>
    </row>
    <row r="325">
      <c r="A325" s="672" t="n"/>
      <c r="B325" s="767">
        <f>ROW()</f>
        <v/>
      </c>
      <c r="C325" s="182" t="n"/>
      <c r="D325" s="182" t="n"/>
      <c r="E325" s="182" t="n"/>
      <c r="F325" s="716" t="n"/>
      <c r="G325" s="716" t="n"/>
      <c r="H325" s="462" t="n"/>
    </row>
    <row r="326">
      <c r="A326" s="672" t="n"/>
      <c r="B326" s="767">
        <f>ROW()</f>
        <v/>
      </c>
      <c r="C326" s="182" t="n"/>
      <c r="D326" s="182" t="n"/>
      <c r="E326" s="182" t="n"/>
      <c r="F326" s="716" t="n"/>
      <c r="G326" s="716" t="n"/>
      <c r="H326" s="462" t="n"/>
    </row>
    <row r="327">
      <c r="A327" s="672" t="n"/>
      <c r="B327" s="767">
        <f>ROW()</f>
        <v/>
      </c>
      <c r="C327" s="182" t="n"/>
      <c r="D327" s="182" t="n"/>
      <c r="E327" s="182" t="n"/>
      <c r="F327" s="716" t="n"/>
      <c r="G327" s="716" t="n"/>
      <c r="H327" s="462" t="n"/>
    </row>
    <row r="328">
      <c r="A328" s="672" t="n"/>
      <c r="B328" s="767">
        <f>ROW()</f>
        <v/>
      </c>
      <c r="C328" s="182" t="n"/>
      <c r="D328" s="182" t="n"/>
      <c r="E328" s="182" t="n"/>
      <c r="F328" s="716" t="n"/>
      <c r="G328" s="716" t="n"/>
      <c r="H328" s="462" t="n"/>
    </row>
    <row r="329">
      <c r="A329" s="672" t="n"/>
      <c r="B329" s="767">
        <f>ROW()</f>
        <v/>
      </c>
      <c r="C329" s="182" t="n"/>
      <c r="D329" s="182" t="n"/>
      <c r="E329" s="182" t="n"/>
      <c r="F329" s="716" t="n"/>
      <c r="G329" s="716" t="n"/>
      <c r="H329" s="462" t="n"/>
    </row>
    <row r="330">
      <c r="A330" s="672" t="n"/>
      <c r="B330" s="767">
        <f>ROW()</f>
        <v/>
      </c>
      <c r="C330" s="182" t="n"/>
      <c r="D330" s="182" t="n"/>
      <c r="E330" s="182" t="n"/>
      <c r="F330" s="716" t="n"/>
      <c r="G330" s="716" t="n"/>
      <c r="H330" s="462" t="n"/>
    </row>
    <row r="331">
      <c r="A331" s="672" t="n"/>
      <c r="B331" s="767">
        <f>ROW()</f>
        <v/>
      </c>
      <c r="C331" s="182" t="n"/>
      <c r="D331" s="182" t="n"/>
      <c r="E331" s="182" t="n"/>
      <c r="F331" s="716" t="n"/>
      <c r="G331" s="716" t="n"/>
      <c r="H331" s="462" t="n"/>
    </row>
    <row r="332">
      <c r="A332" s="672" t="n"/>
      <c r="B332" s="767">
        <f>ROW()</f>
        <v/>
      </c>
      <c r="C332" s="182" t="n"/>
      <c r="D332" s="182" t="n"/>
      <c r="E332" s="182" t="n"/>
      <c r="F332" s="716" t="n"/>
      <c r="G332" s="716" t="n"/>
      <c r="H332" s="462" t="n"/>
    </row>
    <row r="333">
      <c r="A333" s="672" t="n"/>
      <c r="B333" s="767">
        <f>ROW()</f>
        <v/>
      </c>
      <c r="C333" s="182" t="n"/>
      <c r="D333" s="182" t="n"/>
      <c r="E333" s="182" t="n"/>
      <c r="F333" s="716" t="n"/>
      <c r="G333" s="716" t="n"/>
      <c r="H333" s="462" t="n"/>
    </row>
    <row r="334">
      <c r="A334" s="672" t="n"/>
      <c r="B334" s="767">
        <f>ROW()</f>
        <v/>
      </c>
      <c r="C334" s="182" t="n"/>
      <c r="D334" s="182" t="n"/>
      <c r="E334" s="182" t="n"/>
      <c r="F334" s="716" t="n"/>
      <c r="G334" s="716" t="n"/>
      <c r="H334" s="462" t="n"/>
    </row>
    <row r="335">
      <c r="A335" s="672" t="n"/>
      <c r="B335" s="767">
        <f>ROW()</f>
        <v/>
      </c>
      <c r="C335" s="182" t="n"/>
      <c r="D335" s="182" t="n"/>
      <c r="E335" s="182" t="n"/>
      <c r="F335" s="716" t="n"/>
      <c r="G335" s="716" t="n"/>
      <c r="H335" s="462" t="n"/>
    </row>
    <row r="336">
      <c r="A336" s="672" t="n"/>
      <c r="B336" s="767">
        <f>ROW()</f>
        <v/>
      </c>
      <c r="C336" s="182" t="n"/>
      <c r="D336" s="182" t="n"/>
      <c r="E336" s="182" t="n"/>
      <c r="F336" s="716" t="n"/>
      <c r="G336" s="716" t="n"/>
      <c r="H336" s="462" t="n"/>
    </row>
    <row r="337">
      <c r="A337" s="672" t="n"/>
      <c r="B337" s="767">
        <f>ROW()</f>
        <v/>
      </c>
      <c r="C337" s="182" t="n"/>
      <c r="D337" s="182" t="n"/>
      <c r="E337" s="182" t="n"/>
      <c r="F337" s="716" t="n"/>
      <c r="G337" s="716" t="n"/>
      <c r="H337" s="462" t="n"/>
    </row>
    <row r="338">
      <c r="A338" s="672" t="n"/>
      <c r="B338" s="767">
        <f>ROW()</f>
        <v/>
      </c>
      <c r="C338" s="182" t="n"/>
      <c r="D338" s="182" t="n"/>
      <c r="E338" s="182" t="n"/>
      <c r="F338" s="716" t="n"/>
      <c r="G338" s="716" t="n"/>
      <c r="H338" s="462" t="n"/>
    </row>
    <row r="339">
      <c r="A339" s="672" t="n"/>
      <c r="B339" s="767">
        <f>ROW()</f>
        <v/>
      </c>
      <c r="C339" s="182" t="n"/>
      <c r="D339" s="182" t="n"/>
      <c r="E339" s="182" t="n"/>
      <c r="F339" s="716" t="n"/>
      <c r="G339" s="716" t="n"/>
      <c r="H339" s="462" t="n"/>
    </row>
    <row r="340">
      <c r="A340" s="672" t="n"/>
      <c r="B340" s="767">
        <f>ROW()</f>
        <v/>
      </c>
      <c r="C340" s="182" t="n"/>
      <c r="D340" s="182" t="n"/>
      <c r="E340" s="182" t="n"/>
      <c r="F340" s="716" t="n"/>
      <c r="G340" s="716" t="n"/>
      <c r="H340" s="462" t="n"/>
    </row>
    <row r="341">
      <c r="A341" s="672" t="n"/>
      <c r="B341" s="767">
        <f>ROW()</f>
        <v/>
      </c>
      <c r="C341" s="182" t="n"/>
      <c r="D341" s="182" t="n"/>
      <c r="E341" s="182" t="n"/>
      <c r="F341" s="716" t="n"/>
      <c r="G341" s="716" t="n"/>
      <c r="H341" s="462" t="n"/>
    </row>
    <row r="342">
      <c r="A342" s="672" t="n"/>
      <c r="B342" s="767">
        <f>ROW()</f>
        <v/>
      </c>
      <c r="C342" s="182" t="n"/>
      <c r="D342" s="182" t="n"/>
      <c r="E342" s="182" t="n"/>
      <c r="F342" s="716" t="n"/>
      <c r="G342" s="716" t="n"/>
      <c r="H342" s="462" t="n"/>
    </row>
    <row r="343">
      <c r="A343" s="672" t="n"/>
      <c r="B343" s="767">
        <f>ROW()</f>
        <v/>
      </c>
      <c r="C343" s="182" t="n"/>
      <c r="D343" s="182" t="n"/>
      <c r="E343" s="182" t="n"/>
      <c r="F343" s="716" t="n"/>
      <c r="G343" s="716" t="n"/>
      <c r="H343" s="462" t="n"/>
    </row>
    <row r="344">
      <c r="A344" s="672" t="n"/>
      <c r="B344" s="767">
        <f>ROW()</f>
        <v/>
      </c>
      <c r="C344" s="182" t="n"/>
      <c r="D344" s="182" t="n"/>
      <c r="E344" s="182" t="n"/>
      <c r="F344" s="716" t="n"/>
      <c r="G344" s="716" t="n"/>
      <c r="H344" s="462" t="n"/>
    </row>
    <row r="345">
      <c r="A345" s="672" t="n"/>
      <c r="B345" s="767">
        <f>ROW()</f>
        <v/>
      </c>
      <c r="C345" s="182" t="n"/>
      <c r="D345" s="182" t="n"/>
      <c r="E345" s="182" t="n"/>
      <c r="F345" s="716" t="n"/>
      <c r="G345" s="716" t="n"/>
      <c r="H345" s="462" t="n"/>
    </row>
    <row r="346">
      <c r="A346" s="672" t="n"/>
      <c r="B346" s="767">
        <f>ROW()</f>
        <v/>
      </c>
      <c r="C346" s="182" t="n"/>
      <c r="D346" s="182" t="n"/>
      <c r="E346" s="182" t="n"/>
      <c r="F346" s="716" t="n"/>
      <c r="G346" s="716" t="n"/>
      <c r="H346" s="462" t="n"/>
    </row>
    <row r="347">
      <c r="A347" s="672" t="n"/>
      <c r="B347" s="767">
        <f>ROW()</f>
        <v/>
      </c>
      <c r="C347" s="182" t="n"/>
      <c r="D347" s="182" t="n"/>
      <c r="E347" s="182" t="n"/>
      <c r="F347" s="716" t="n"/>
      <c r="G347" s="716" t="n"/>
      <c r="H347" s="462" t="n"/>
    </row>
    <row r="348">
      <c r="A348" s="672" t="n"/>
      <c r="B348" s="767">
        <f>ROW()</f>
        <v/>
      </c>
      <c r="C348" s="182" t="n"/>
      <c r="D348" s="182" t="n"/>
      <c r="E348" s="182" t="n"/>
      <c r="F348" s="716" t="n"/>
      <c r="G348" s="716" t="n"/>
      <c r="H348" s="462" t="n"/>
    </row>
    <row r="349">
      <c r="A349" s="672" t="n"/>
      <c r="B349" s="767">
        <f>ROW()</f>
        <v/>
      </c>
      <c r="C349" s="182" t="n"/>
      <c r="D349" s="182" t="n"/>
      <c r="E349" s="182" t="n"/>
      <c r="F349" s="716" t="n"/>
      <c r="G349" s="716" t="n"/>
      <c r="H349" s="462" t="n"/>
    </row>
    <row r="350">
      <c r="A350" s="672" t="n"/>
      <c r="B350" s="767">
        <f>ROW()</f>
        <v/>
      </c>
      <c r="C350" s="182" t="n"/>
      <c r="D350" s="182" t="n"/>
      <c r="E350" s="182" t="n"/>
      <c r="F350" s="716" t="n"/>
      <c r="G350" s="716" t="n"/>
      <c r="H350" s="462" t="n"/>
    </row>
    <row r="351">
      <c r="A351" s="672" t="n"/>
      <c r="B351" s="767">
        <f>ROW()</f>
        <v/>
      </c>
      <c r="C351" s="182" t="n"/>
      <c r="D351" s="182" t="n"/>
      <c r="E351" s="182" t="n"/>
      <c r="F351" s="716" t="n"/>
      <c r="G351" s="716" t="n"/>
      <c r="H351" s="462" t="n"/>
    </row>
    <row r="352">
      <c r="A352" s="672" t="n"/>
      <c r="B352" s="767">
        <f>ROW()</f>
        <v/>
      </c>
      <c r="C352" s="182" t="n"/>
      <c r="D352" s="182" t="n"/>
      <c r="E352" s="182" t="n"/>
      <c r="F352" s="716" t="n"/>
      <c r="G352" s="716" t="n"/>
      <c r="H352" s="462" t="n"/>
    </row>
    <row r="353">
      <c r="A353" s="672" t="n"/>
      <c r="B353" s="767">
        <f>ROW()</f>
        <v/>
      </c>
      <c r="C353" s="182" t="n"/>
      <c r="D353" s="182" t="n"/>
      <c r="E353" s="182" t="n"/>
      <c r="F353" s="716" t="n"/>
      <c r="G353" s="716" t="n"/>
      <c r="H353" s="462" t="n"/>
    </row>
    <row r="354">
      <c r="A354" s="672" t="n"/>
      <c r="B354" s="767">
        <f>ROW()</f>
        <v/>
      </c>
      <c r="C354" s="182" t="n"/>
      <c r="D354" s="182" t="n"/>
      <c r="E354" s="182" t="n"/>
      <c r="F354" s="716" t="n"/>
      <c r="G354" s="716" t="n"/>
      <c r="H354" s="462" t="n"/>
    </row>
    <row r="355">
      <c r="A355" s="672" t="n"/>
      <c r="B355" s="767">
        <f>ROW()</f>
        <v/>
      </c>
      <c r="C355" s="182" t="n"/>
      <c r="D355" s="182" t="n"/>
      <c r="E355" s="182" t="n"/>
      <c r="F355" s="716" t="n"/>
      <c r="G355" s="716" t="n"/>
      <c r="H355" s="462" t="n"/>
    </row>
    <row r="356">
      <c r="A356" s="672" t="n"/>
      <c r="B356" s="767">
        <f>ROW()</f>
        <v/>
      </c>
      <c r="C356" s="182" t="n"/>
      <c r="D356" s="182" t="n"/>
      <c r="E356" s="182" t="n"/>
      <c r="F356" s="716" t="n"/>
      <c r="G356" s="716" t="n"/>
      <c r="H356" s="462" t="n"/>
    </row>
    <row r="357">
      <c r="A357" s="672" t="n"/>
      <c r="B357" s="767">
        <f>ROW()</f>
        <v/>
      </c>
      <c r="C357" s="182" t="n"/>
      <c r="D357" s="182" t="n"/>
      <c r="E357" s="182" t="n"/>
      <c r="F357" s="716" t="n"/>
      <c r="G357" s="716" t="n"/>
      <c r="H357" s="462" t="n"/>
    </row>
    <row r="358">
      <c r="A358" s="672" t="n"/>
      <c r="B358" s="767">
        <f>ROW()</f>
        <v/>
      </c>
      <c r="C358" s="182" t="n"/>
      <c r="D358" s="182" t="n"/>
      <c r="E358" s="182" t="n"/>
      <c r="F358" s="716" t="n"/>
      <c r="G358" s="716" t="n"/>
      <c r="H358" s="462" t="n"/>
    </row>
    <row r="359">
      <c r="A359" s="672" t="n"/>
      <c r="B359" s="767">
        <f>ROW()</f>
        <v/>
      </c>
      <c r="C359" s="182" t="n"/>
      <c r="D359" s="182" t="n"/>
      <c r="E359" s="182" t="n"/>
      <c r="F359" s="716" t="n"/>
      <c r="G359" s="716" t="n"/>
      <c r="H359" s="462" t="n"/>
    </row>
    <row r="360">
      <c r="A360" s="672" t="n"/>
      <c r="B360" s="767">
        <f>ROW()</f>
        <v/>
      </c>
      <c r="C360" s="182" t="n"/>
      <c r="D360" s="182" t="n"/>
      <c r="E360" s="182" t="n"/>
      <c r="F360" s="716" t="n"/>
      <c r="G360" s="716" t="n"/>
      <c r="H360" s="462" t="n"/>
    </row>
    <row r="361">
      <c r="A361" s="672" t="n"/>
      <c r="B361" s="767">
        <f>ROW()</f>
        <v/>
      </c>
      <c r="C361" s="182" t="n"/>
      <c r="D361" s="182" t="n"/>
      <c r="E361" s="182" t="n"/>
      <c r="F361" s="716" t="n"/>
      <c r="G361" s="716" t="n"/>
      <c r="H361" s="462" t="n"/>
    </row>
    <row r="362">
      <c r="A362" s="672" t="n"/>
      <c r="B362" s="767">
        <f>ROW()</f>
        <v/>
      </c>
      <c r="C362" s="182" t="n"/>
      <c r="D362" s="182" t="n"/>
      <c r="E362" s="182" t="n"/>
      <c r="F362" s="716" t="n"/>
      <c r="G362" s="716" t="n"/>
      <c r="H362" s="462" t="n"/>
    </row>
    <row r="363">
      <c r="A363" s="672" t="n"/>
      <c r="B363" s="767">
        <f>ROW()</f>
        <v/>
      </c>
      <c r="C363" s="182" t="n"/>
      <c r="D363" s="182" t="n"/>
      <c r="E363" s="182" t="n"/>
      <c r="F363" s="716" t="n"/>
      <c r="G363" s="716" t="n"/>
      <c r="H363" s="462" t="n"/>
    </row>
    <row r="364">
      <c r="A364" s="672" t="n"/>
      <c r="B364" s="767">
        <f>ROW()</f>
        <v/>
      </c>
      <c r="C364" s="182" t="n"/>
      <c r="D364" s="182" t="n"/>
      <c r="E364" s="182" t="n"/>
      <c r="F364" s="716" t="n"/>
      <c r="G364" s="716" t="n"/>
      <c r="H364" s="462" t="n"/>
    </row>
    <row r="365">
      <c r="A365" s="672" t="n"/>
      <c r="B365" s="767">
        <f>ROW()</f>
        <v/>
      </c>
      <c r="C365" s="182" t="n"/>
      <c r="D365" s="182" t="n"/>
      <c r="E365" s="182" t="n"/>
      <c r="F365" s="716" t="n"/>
      <c r="G365" s="716" t="n"/>
      <c r="H365" s="462" t="n"/>
    </row>
    <row r="366">
      <c r="A366" s="672" t="n"/>
      <c r="B366" s="767">
        <f>ROW()</f>
        <v/>
      </c>
      <c r="C366" s="182" t="n"/>
      <c r="D366" s="182" t="n"/>
      <c r="E366" s="182" t="n"/>
      <c r="F366" s="716" t="n"/>
      <c r="G366" s="716" t="n"/>
      <c r="H366" s="462" t="n"/>
    </row>
    <row r="367">
      <c r="A367" s="672" t="n"/>
      <c r="B367" s="767">
        <f>ROW()</f>
        <v/>
      </c>
      <c r="C367" s="182" t="n"/>
      <c r="D367" s="182" t="n"/>
      <c r="E367" s="182" t="n"/>
      <c r="F367" s="716" t="n"/>
      <c r="G367" s="716" t="n"/>
      <c r="H367" s="462" t="n"/>
    </row>
    <row r="368">
      <c r="A368" s="672" t="n"/>
      <c r="B368" s="767">
        <f>ROW()</f>
        <v/>
      </c>
      <c r="C368" s="182" t="n"/>
      <c r="D368" s="182" t="n"/>
      <c r="E368" s="182" t="n"/>
      <c r="F368" s="716" t="n"/>
      <c r="G368" s="716" t="n"/>
      <c r="H368" s="462" t="n"/>
    </row>
    <row r="369">
      <c r="A369" s="672" t="n"/>
      <c r="B369" s="767">
        <f>ROW()</f>
        <v/>
      </c>
      <c r="C369" s="182" t="n"/>
      <c r="D369" s="182" t="n"/>
      <c r="E369" s="182" t="n"/>
      <c r="F369" s="716" t="n"/>
      <c r="G369" s="716" t="n"/>
      <c r="H369" s="462" t="n"/>
    </row>
    <row r="370">
      <c r="A370" s="672" t="n"/>
      <c r="B370" s="767">
        <f>ROW()</f>
        <v/>
      </c>
      <c r="C370" s="182" t="n"/>
      <c r="D370" s="182" t="n"/>
      <c r="E370" s="182" t="n"/>
      <c r="F370" s="716" t="n"/>
      <c r="G370" s="716" t="n"/>
      <c r="H370" s="462" t="n"/>
    </row>
    <row r="371">
      <c r="A371" s="672" t="n"/>
      <c r="B371" s="767">
        <f>ROW()</f>
        <v/>
      </c>
      <c r="C371" s="182" t="n"/>
      <c r="D371" s="182" t="n"/>
      <c r="E371" s="182" t="n"/>
      <c r="F371" s="716" t="n"/>
      <c r="G371" s="716" t="n"/>
      <c r="H371" s="462" t="n"/>
    </row>
    <row r="372">
      <c r="A372" s="672" t="n"/>
      <c r="B372" s="767">
        <f>ROW()</f>
        <v/>
      </c>
      <c r="C372" s="182" t="n"/>
      <c r="D372" s="182" t="n"/>
      <c r="E372" s="182" t="n"/>
      <c r="F372" s="716" t="n"/>
      <c r="G372" s="716" t="n"/>
      <c r="H372" s="462" t="n"/>
    </row>
    <row r="373">
      <c r="A373" s="672" t="n"/>
      <c r="B373" s="767">
        <f>ROW()</f>
        <v/>
      </c>
      <c r="C373" s="182" t="n"/>
      <c r="D373" s="182" t="n"/>
      <c r="E373" s="182" t="n"/>
      <c r="F373" s="716" t="n"/>
      <c r="G373" s="716" t="n"/>
      <c r="H373" s="462" t="n"/>
    </row>
    <row r="374">
      <c r="A374" s="672" t="n"/>
      <c r="B374" s="767">
        <f>ROW()</f>
        <v/>
      </c>
      <c r="C374" s="182" t="n"/>
      <c r="D374" s="182" t="n"/>
      <c r="E374" s="182" t="n"/>
      <c r="F374" s="716" t="n"/>
      <c r="G374" s="716" t="n"/>
      <c r="H374" s="462" t="n"/>
    </row>
    <row r="375">
      <c r="A375" s="672" t="n"/>
      <c r="B375" s="767">
        <f>ROW()</f>
        <v/>
      </c>
      <c r="C375" s="182" t="n"/>
      <c r="D375" s="182" t="n"/>
      <c r="E375" s="182" t="n"/>
      <c r="F375" s="716" t="n"/>
      <c r="G375" s="716" t="n"/>
      <c r="H375" s="462" t="n"/>
    </row>
    <row r="376">
      <c r="A376" s="672" t="n"/>
      <c r="B376" s="767">
        <f>ROW()</f>
        <v/>
      </c>
      <c r="C376" s="182" t="n"/>
      <c r="D376" s="182" t="n"/>
      <c r="E376" s="182" t="n"/>
      <c r="F376" s="716" t="n"/>
      <c r="G376" s="716" t="n"/>
      <c r="H376" s="462" t="n"/>
    </row>
    <row r="377">
      <c r="A377" s="672" t="n"/>
      <c r="B377" s="767">
        <f>ROW()</f>
        <v/>
      </c>
      <c r="C377" s="182" t="n"/>
      <c r="D377" s="182" t="n"/>
      <c r="E377" s="182" t="n"/>
      <c r="F377" s="716" t="n"/>
      <c r="G377" s="716" t="n"/>
      <c r="H377" s="462" t="n"/>
    </row>
    <row r="378">
      <c r="A378" s="672" t="n"/>
      <c r="B378" s="767">
        <f>ROW()</f>
        <v/>
      </c>
      <c r="C378" s="182" t="n"/>
      <c r="D378" s="182" t="n"/>
      <c r="E378" s="182" t="n"/>
      <c r="F378" s="716" t="n"/>
      <c r="G378" s="716" t="n"/>
      <c r="H378" s="462" t="n"/>
    </row>
    <row r="379">
      <c r="A379" s="672" t="n"/>
      <c r="B379" s="767">
        <f>ROW()</f>
        <v/>
      </c>
      <c r="C379" s="182" t="n"/>
      <c r="D379" s="182" t="n"/>
      <c r="E379" s="182" t="n"/>
      <c r="F379" s="716" t="n"/>
      <c r="G379" s="716" t="n"/>
      <c r="H379" s="462" t="n"/>
    </row>
    <row r="380">
      <c r="A380" s="672" t="n"/>
      <c r="B380" s="767">
        <f>ROW()</f>
        <v/>
      </c>
      <c r="C380" s="182" t="n"/>
      <c r="D380" s="182" t="n"/>
      <c r="E380" s="182" t="n"/>
      <c r="F380" s="716" t="n"/>
      <c r="G380" s="716" t="n"/>
      <c r="H380" s="462" t="n"/>
    </row>
    <row r="381">
      <c r="A381" s="672" t="n"/>
      <c r="B381" s="767">
        <f>ROW()</f>
        <v/>
      </c>
      <c r="C381" s="182" t="n"/>
      <c r="D381" s="182" t="n"/>
      <c r="E381" s="182" t="n"/>
      <c r="F381" s="716" t="n"/>
      <c r="G381" s="716" t="n"/>
      <c r="H381" s="462" t="n"/>
    </row>
    <row r="382">
      <c r="A382" s="672" t="n"/>
      <c r="B382" s="767">
        <f>ROW()</f>
        <v/>
      </c>
      <c r="C382" s="182" t="n"/>
      <c r="D382" s="182" t="n"/>
      <c r="E382" s="182" t="n"/>
      <c r="F382" s="716" t="n"/>
      <c r="G382" s="716" t="n"/>
      <c r="H382" s="462" t="n"/>
    </row>
    <row r="383">
      <c r="A383" s="672" t="n"/>
      <c r="B383" s="767">
        <f>ROW()</f>
        <v/>
      </c>
      <c r="C383" s="182" t="n"/>
      <c r="D383" s="182" t="n"/>
      <c r="E383" s="182" t="n"/>
      <c r="F383" s="716" t="n"/>
      <c r="G383" s="716" t="n"/>
      <c r="H383" s="462" t="n"/>
    </row>
    <row r="384">
      <c r="A384" s="672" t="n"/>
      <c r="B384" s="767">
        <f>ROW()</f>
        <v/>
      </c>
      <c r="C384" s="182" t="n"/>
      <c r="D384" s="182" t="n"/>
      <c r="E384" s="182" t="n"/>
      <c r="F384" s="716" t="n"/>
      <c r="G384" s="716" t="n"/>
      <c r="H384" s="462" t="n"/>
    </row>
    <row r="385">
      <c r="A385" s="672" t="n"/>
      <c r="B385" s="767">
        <f>ROW()</f>
        <v/>
      </c>
      <c r="C385" s="182" t="n"/>
      <c r="D385" s="182" t="n"/>
      <c r="E385" s="182" t="n"/>
      <c r="F385" s="716" t="n"/>
      <c r="G385" s="716" t="n"/>
      <c r="H385" s="462" t="n"/>
    </row>
    <row r="386">
      <c r="A386" s="672" t="n"/>
      <c r="B386" s="767">
        <f>ROW()</f>
        <v/>
      </c>
      <c r="C386" s="182" t="n"/>
      <c r="D386" s="182" t="n"/>
      <c r="E386" s="182" t="n"/>
      <c r="F386" s="716" t="n"/>
      <c r="G386" s="716" t="n"/>
      <c r="H386" s="462" t="n"/>
    </row>
    <row r="387">
      <c r="A387" s="672" t="n"/>
      <c r="B387" s="767">
        <f>ROW()</f>
        <v/>
      </c>
      <c r="C387" s="182" t="n"/>
      <c r="D387" s="182" t="n"/>
      <c r="E387" s="182" t="n"/>
      <c r="F387" s="716" t="n"/>
      <c r="G387" s="716" t="n"/>
      <c r="H387" s="462" t="n"/>
    </row>
    <row r="388">
      <c r="A388" s="672" t="n"/>
      <c r="B388" s="767">
        <f>ROW()</f>
        <v/>
      </c>
      <c r="C388" s="182" t="n"/>
      <c r="D388" s="182" t="n"/>
      <c r="E388" s="182" t="n"/>
      <c r="F388" s="716" t="n"/>
      <c r="G388" s="716" t="n"/>
      <c r="H388" s="462" t="n"/>
    </row>
    <row r="389">
      <c r="A389" s="672" t="n"/>
      <c r="B389" s="767">
        <f>ROW()</f>
        <v/>
      </c>
      <c r="C389" s="182" t="n"/>
      <c r="D389" s="182" t="n"/>
      <c r="E389" s="182" t="n"/>
      <c r="F389" s="716" t="n"/>
      <c r="G389" s="716" t="n"/>
      <c r="H389" s="462" t="n"/>
    </row>
    <row r="390">
      <c r="A390" s="672" t="n"/>
      <c r="B390" s="767">
        <f>ROW()</f>
        <v/>
      </c>
      <c r="C390" s="182" t="n"/>
      <c r="D390" s="182" t="n"/>
      <c r="E390" s="182" t="n"/>
      <c r="F390" s="716" t="n"/>
      <c r="G390" s="716" t="n"/>
      <c r="H390" s="462" t="n"/>
    </row>
    <row r="391">
      <c r="A391" s="672" t="n"/>
      <c r="B391" s="767">
        <f>ROW()</f>
        <v/>
      </c>
      <c r="C391" s="182" t="n"/>
      <c r="D391" s="182" t="n"/>
      <c r="E391" s="182" t="n"/>
      <c r="F391" s="716" t="n"/>
      <c r="G391" s="716" t="n"/>
      <c r="H391" s="462" t="n"/>
    </row>
    <row r="392">
      <c r="A392" s="672" t="n"/>
      <c r="B392" s="767">
        <f>ROW()</f>
        <v/>
      </c>
      <c r="C392" s="182" t="n"/>
      <c r="D392" s="182" t="n"/>
      <c r="E392" s="182" t="n"/>
      <c r="F392" s="716" t="n"/>
      <c r="G392" s="716" t="n"/>
      <c r="H392" s="462" t="n"/>
    </row>
    <row r="393">
      <c r="A393" s="672" t="n"/>
      <c r="B393" s="767">
        <f>ROW()</f>
        <v/>
      </c>
      <c r="C393" s="182" t="n"/>
      <c r="D393" s="182" t="n"/>
      <c r="E393" s="182" t="n"/>
      <c r="F393" s="716" t="n"/>
      <c r="G393" s="716" t="n"/>
      <c r="H393" s="462" t="n"/>
    </row>
    <row r="394">
      <c r="A394" s="672" t="n"/>
      <c r="B394" s="767">
        <f>ROW()</f>
        <v/>
      </c>
      <c r="C394" s="182" t="n"/>
      <c r="D394" s="182" t="n"/>
      <c r="E394" s="182" t="n"/>
      <c r="F394" s="716" t="n"/>
      <c r="G394" s="716" t="n"/>
      <c r="H394" s="462" t="n"/>
    </row>
    <row r="395">
      <c r="A395" s="672" t="n"/>
      <c r="B395" s="767">
        <f>ROW()</f>
        <v/>
      </c>
      <c r="C395" s="182" t="n"/>
      <c r="D395" s="182" t="n"/>
      <c r="E395" s="182" t="n"/>
      <c r="F395" s="716" t="n"/>
      <c r="G395" s="716" t="n"/>
      <c r="H395" s="462" t="n"/>
    </row>
    <row r="396">
      <c r="A396" s="672" t="n"/>
      <c r="B396" s="767">
        <f>ROW()</f>
        <v/>
      </c>
      <c r="C396" s="182" t="n"/>
      <c r="D396" s="182" t="n"/>
      <c r="E396" s="182" t="n"/>
      <c r="F396" s="716" t="n"/>
      <c r="G396" s="716" t="n"/>
      <c r="H396" s="462" t="n"/>
    </row>
    <row r="397">
      <c r="A397" s="672" t="n"/>
      <c r="B397" s="767">
        <f>ROW()</f>
        <v/>
      </c>
      <c r="C397" s="182" t="n"/>
      <c r="D397" s="182" t="n"/>
      <c r="E397" s="182" t="n"/>
      <c r="F397" s="716" t="n"/>
      <c r="G397" s="716" t="n"/>
      <c r="H397" s="462" t="n"/>
    </row>
    <row r="398">
      <c r="A398" s="672" t="n"/>
      <c r="B398" s="767">
        <f>ROW()</f>
        <v/>
      </c>
      <c r="C398" s="182" t="n"/>
      <c r="D398" s="182" t="n"/>
      <c r="E398" s="182" t="n"/>
      <c r="F398" s="716" t="n"/>
      <c r="G398" s="716" t="n"/>
      <c r="H398" s="462" t="n"/>
    </row>
    <row r="399">
      <c r="A399" s="672" t="n"/>
      <c r="B399" s="767">
        <f>ROW()</f>
        <v/>
      </c>
      <c r="C399" s="182" t="n"/>
      <c r="D399" s="182" t="n"/>
      <c r="E399" s="182" t="n"/>
      <c r="F399" s="716" t="n"/>
      <c r="G399" s="716" t="n"/>
      <c r="H399" s="462" t="n"/>
    </row>
    <row r="400">
      <c r="A400" s="672" t="n"/>
      <c r="B400" s="767">
        <f>ROW()</f>
        <v/>
      </c>
      <c r="C400" s="182" t="n"/>
      <c r="D400" s="182" t="n"/>
      <c r="E400" s="182" t="n"/>
      <c r="F400" s="716" t="n"/>
      <c r="G400" s="716" t="n"/>
      <c r="H400" s="462" t="n"/>
    </row>
    <row r="401">
      <c r="A401" s="672" t="n"/>
      <c r="B401" s="767">
        <f>ROW()</f>
        <v/>
      </c>
      <c r="C401" s="182" t="n"/>
      <c r="D401" s="182" t="n"/>
      <c r="E401" s="182" t="n"/>
      <c r="F401" s="716" t="n"/>
      <c r="G401" s="716" t="n"/>
      <c r="H401" s="462" t="n"/>
    </row>
    <row r="402">
      <c r="A402" s="672" t="n"/>
      <c r="B402" s="767">
        <f>ROW()</f>
        <v/>
      </c>
      <c r="C402" s="182" t="n"/>
      <c r="D402" s="182" t="n"/>
      <c r="E402" s="182" t="n"/>
      <c r="F402" s="716" t="n"/>
      <c r="G402" s="716" t="n"/>
      <c r="H402" s="462" t="n"/>
    </row>
    <row r="403">
      <c r="A403" s="672" t="n"/>
      <c r="B403" s="767">
        <f>ROW()</f>
        <v/>
      </c>
      <c r="C403" s="182" t="n"/>
      <c r="D403" s="182" t="n"/>
      <c r="E403" s="182" t="n"/>
      <c r="F403" s="716" t="n"/>
      <c r="G403" s="716" t="n"/>
      <c r="H403" s="462" t="n"/>
    </row>
    <row r="404">
      <c r="A404" s="672" t="n"/>
      <c r="B404" s="767">
        <f>ROW()</f>
        <v/>
      </c>
      <c r="C404" s="182" t="n"/>
      <c r="D404" s="182" t="n"/>
      <c r="E404" s="182" t="n"/>
      <c r="F404" s="716" t="n"/>
      <c r="G404" s="716" t="n"/>
      <c r="H404" s="462" t="n"/>
    </row>
    <row r="405">
      <c r="A405" s="462" t="n"/>
      <c r="B405" s="767">
        <f>ROW()</f>
        <v/>
      </c>
      <c r="C405" s="716" t="n"/>
      <c r="D405" s="716" t="n"/>
      <c r="E405" s="716" t="n"/>
      <c r="F405" s="716" t="n"/>
      <c r="G405" s="716" t="n"/>
      <c r="H405" s="462" t="n"/>
    </row>
    <row r="406">
      <c r="A406" s="462" t="n"/>
      <c r="B406" s="767">
        <f>ROW()</f>
        <v/>
      </c>
      <c r="C406" s="716" t="n"/>
      <c r="D406" s="716" t="n"/>
      <c r="E406" s="716" t="n"/>
      <c r="F406" s="716" t="n"/>
      <c r="G406" s="716" t="n"/>
      <c r="H406" s="462" t="n"/>
    </row>
    <row r="407">
      <c r="A407" s="462" t="n"/>
      <c r="B407" s="767">
        <f>ROW()</f>
        <v/>
      </c>
      <c r="C407" s="716" t="n"/>
      <c r="D407" s="716" t="n"/>
      <c r="E407" s="716" t="n"/>
      <c r="F407" s="716" t="n"/>
      <c r="G407" s="716" t="n"/>
      <c r="H407" s="462" t="n"/>
    </row>
    <row r="408">
      <c r="A408" s="462" t="n"/>
      <c r="B408" s="767">
        <f>ROW()</f>
        <v/>
      </c>
      <c r="C408" s="716" t="n"/>
      <c r="D408" s="716" t="n"/>
      <c r="E408" s="716" t="n"/>
      <c r="F408" s="716" t="n"/>
      <c r="G408" s="716" t="n"/>
      <c r="H408" s="462" t="n"/>
    </row>
    <row r="409">
      <c r="A409" s="462" t="n"/>
      <c r="B409" s="767">
        <f>ROW()</f>
        <v/>
      </c>
      <c r="C409" s="716" t="n"/>
      <c r="D409" s="716" t="n"/>
      <c r="E409" s="716" t="n"/>
      <c r="F409" s="716" t="n"/>
      <c r="G409" s="716" t="n"/>
      <c r="H409" s="462" t="n"/>
    </row>
    <row r="410">
      <c r="A410" s="462" t="n"/>
      <c r="B410" s="767">
        <f>ROW()</f>
        <v/>
      </c>
      <c r="C410" s="716" t="n"/>
      <c r="D410" s="716" t="n"/>
      <c r="E410" s="716" t="n"/>
      <c r="F410" s="716" t="n"/>
      <c r="G410" s="716" t="n"/>
      <c r="H410" s="462" t="n"/>
    </row>
    <row r="411">
      <c r="A411" s="462" t="n"/>
      <c r="B411" s="767">
        <f>ROW()</f>
        <v/>
      </c>
      <c r="C411" s="716" t="n"/>
      <c r="D411" s="716" t="n"/>
      <c r="E411" s="716" t="n"/>
      <c r="F411" s="716" t="n"/>
      <c r="G411" s="716" t="n"/>
      <c r="H411" s="462" t="n"/>
    </row>
    <row r="412">
      <c r="A412" s="462" t="n"/>
      <c r="B412" s="767">
        <f>ROW()</f>
        <v/>
      </c>
      <c r="C412" s="716" t="n"/>
      <c r="D412" s="716" t="n"/>
      <c r="E412" s="716" t="n"/>
      <c r="F412" s="716" t="n"/>
      <c r="G412" s="716" t="n"/>
      <c r="H412" s="462" t="n"/>
    </row>
    <row r="413">
      <c r="A413" s="462" t="n"/>
      <c r="B413" s="767">
        <f>ROW()</f>
        <v/>
      </c>
      <c r="C413" s="716" t="n"/>
      <c r="D413" s="716" t="n"/>
      <c r="E413" s="716" t="n"/>
      <c r="F413" s="716" t="n"/>
      <c r="G413" s="716" t="n"/>
      <c r="H413" s="462" t="n"/>
    </row>
    <row r="414">
      <c r="A414" s="462" t="n"/>
      <c r="B414" s="767">
        <f>ROW()</f>
        <v/>
      </c>
      <c r="C414" s="716" t="n"/>
      <c r="D414" s="716" t="n"/>
      <c r="E414" s="716" t="n"/>
      <c r="F414" s="716" t="n"/>
      <c r="G414" s="716" t="n"/>
      <c r="H414" s="462" t="n"/>
    </row>
    <row r="415">
      <c r="A415" s="462" t="n"/>
      <c r="B415" s="767">
        <f>ROW()</f>
        <v/>
      </c>
      <c r="C415" s="716" t="n"/>
      <c r="D415" s="716" t="n"/>
      <c r="E415" s="716" t="n"/>
      <c r="F415" s="716" t="n"/>
      <c r="G415" s="716" t="n"/>
      <c r="H415" s="462" t="n"/>
    </row>
    <row r="416">
      <c r="A416" s="462" t="n"/>
      <c r="B416" s="767">
        <f>ROW()</f>
        <v/>
      </c>
      <c r="C416" s="716" t="n"/>
      <c r="D416" s="716" t="n"/>
      <c r="E416" s="716" t="n"/>
      <c r="F416" s="716" t="n"/>
      <c r="G416" s="716" t="n"/>
      <c r="H416" s="462" t="n"/>
    </row>
    <row r="417">
      <c r="A417" s="462" t="n"/>
      <c r="B417" s="767">
        <f>ROW()</f>
        <v/>
      </c>
      <c r="C417" s="716" t="n"/>
      <c r="D417" s="716" t="n"/>
      <c r="E417" s="716" t="n"/>
      <c r="F417" s="716" t="n"/>
      <c r="G417" s="716" t="n"/>
      <c r="H417" s="462" t="n"/>
    </row>
    <row r="418">
      <c r="A418" s="462" t="n"/>
      <c r="B418" s="767">
        <f>ROW()</f>
        <v/>
      </c>
      <c r="C418" s="716" t="n"/>
      <c r="D418" s="716" t="n"/>
      <c r="E418" s="716" t="n"/>
      <c r="F418" s="716" t="n"/>
      <c r="G418" s="716" t="n"/>
      <c r="H418" s="462" t="n"/>
    </row>
    <row r="419">
      <c r="A419" s="462" t="n"/>
      <c r="B419" s="767">
        <f>ROW()</f>
        <v/>
      </c>
      <c r="C419" s="716" t="n"/>
      <c r="D419" s="716" t="n"/>
      <c r="E419" s="716" t="n"/>
      <c r="F419" s="716" t="n"/>
      <c r="G419" s="716" t="n"/>
      <c r="H419" s="462" t="n"/>
    </row>
    <row r="420">
      <c r="A420" s="462" t="n"/>
      <c r="B420" s="767">
        <f>ROW()</f>
        <v/>
      </c>
      <c r="C420" s="716" t="n"/>
      <c r="D420" s="716" t="n"/>
      <c r="E420" s="716" t="n"/>
      <c r="F420" s="716" t="n"/>
      <c r="G420" s="716" t="n"/>
      <c r="H420" s="462" t="n"/>
    </row>
    <row r="421">
      <c r="A421" s="462" t="n"/>
      <c r="B421" s="767">
        <f>ROW()</f>
        <v/>
      </c>
      <c r="C421" s="716" t="n"/>
      <c r="D421" s="716" t="n"/>
      <c r="E421" s="716" t="n"/>
      <c r="F421" s="716" t="n"/>
      <c r="G421" s="716" t="n"/>
      <c r="H421" s="462" t="n"/>
    </row>
    <row r="422">
      <c r="A422" s="462" t="n"/>
      <c r="B422" s="767">
        <f>ROW()</f>
        <v/>
      </c>
      <c r="C422" s="716" t="n"/>
      <c r="D422" s="716" t="n"/>
      <c r="E422" s="716" t="n"/>
      <c r="F422" s="716" t="n"/>
      <c r="G422" s="716" t="n"/>
      <c r="H422" s="462" t="n"/>
    </row>
    <row r="423">
      <c r="A423" s="462" t="n"/>
      <c r="B423" s="767">
        <f>ROW()</f>
        <v/>
      </c>
      <c r="C423" s="716" t="n"/>
      <c r="D423" s="716" t="n"/>
      <c r="E423" s="716" t="n"/>
      <c r="F423" s="716" t="n"/>
      <c r="G423" s="716" t="n"/>
      <c r="H423" s="462" t="n"/>
    </row>
    <row r="424">
      <c r="A424" s="462" t="n"/>
      <c r="B424" s="767">
        <f>ROW()</f>
        <v/>
      </c>
      <c r="C424" s="716" t="n"/>
      <c r="D424" s="716" t="n"/>
      <c r="E424" s="716" t="n"/>
      <c r="F424" s="716" t="n"/>
      <c r="G424" s="716" t="n"/>
      <c r="H424" s="462" t="n"/>
    </row>
    <row r="425">
      <c r="A425" s="462" t="n"/>
      <c r="B425" s="767">
        <f>ROW()</f>
        <v/>
      </c>
      <c r="C425" s="716" t="n"/>
      <c r="D425" s="716" t="n"/>
      <c r="E425" s="716" t="n"/>
      <c r="F425" s="716" t="n"/>
      <c r="G425" s="716" t="n"/>
      <c r="H425" s="462" t="n"/>
    </row>
    <row r="426">
      <c r="A426" s="462" t="n"/>
      <c r="B426" s="767">
        <f>ROW()</f>
        <v/>
      </c>
      <c r="C426" s="716" t="n"/>
      <c r="D426" s="716" t="n"/>
      <c r="E426" s="716" t="n"/>
      <c r="F426" s="716" t="n"/>
      <c r="G426" s="716" t="n"/>
      <c r="H426" s="462" t="n"/>
    </row>
    <row r="427">
      <c r="A427" s="462" t="n"/>
      <c r="B427" s="767">
        <f>ROW()</f>
        <v/>
      </c>
      <c r="C427" s="716" t="n"/>
      <c r="D427" s="716" t="n"/>
      <c r="E427" s="716" t="n"/>
      <c r="F427" s="716" t="n"/>
      <c r="G427" s="716" t="n"/>
      <c r="H427" s="462" t="n"/>
    </row>
    <row r="428">
      <c r="A428" s="462" t="n"/>
      <c r="B428" s="767">
        <f>ROW()</f>
        <v/>
      </c>
      <c r="C428" s="716" t="n"/>
      <c r="D428" s="716" t="n"/>
      <c r="E428" s="716" t="n"/>
      <c r="F428" s="716" t="n"/>
      <c r="G428" s="716" t="n"/>
      <c r="H428" s="462" t="n"/>
    </row>
    <row r="429">
      <c r="A429" s="462" t="n"/>
      <c r="B429" s="767">
        <f>ROW()</f>
        <v/>
      </c>
      <c r="C429" s="716" t="n"/>
      <c r="D429" s="716" t="n"/>
      <c r="E429" s="716" t="n"/>
      <c r="F429" s="716" t="n"/>
      <c r="G429" s="716" t="n"/>
      <c r="H429" s="462" t="n"/>
    </row>
    <row r="430">
      <c r="A430" s="462" t="n"/>
      <c r="B430" s="767">
        <f>ROW()</f>
        <v/>
      </c>
      <c r="C430" s="716" t="n"/>
      <c r="D430" s="716" t="n"/>
      <c r="E430" s="716" t="n"/>
      <c r="F430" s="716" t="n"/>
      <c r="G430" s="716" t="n"/>
      <c r="H430" s="462" t="n"/>
    </row>
    <row r="431" ht="16.8" customHeight="1" s="1181">
      <c r="A431" s="462" t="n"/>
      <c r="B431" s="767">
        <f>ROW()</f>
        <v/>
      </c>
      <c r="C431" s="182" t="n"/>
      <c r="D431" s="384" t="n"/>
      <c r="E431" s="384" t="n"/>
      <c r="F431" s="716" t="n"/>
      <c r="G431" s="716" t="n"/>
      <c r="H431" s="462" t="n"/>
    </row>
    <row r="432">
      <c r="A432" s="462" t="n"/>
      <c r="B432" s="767">
        <f>ROW()</f>
        <v/>
      </c>
      <c r="C432" s="716" t="n"/>
      <c r="D432" s="716" t="n"/>
      <c r="E432" s="716" t="n"/>
      <c r="F432" s="716" t="n"/>
      <c r="G432" s="716" t="n"/>
      <c r="H432" s="462" t="n"/>
    </row>
    <row r="433">
      <c r="A433" s="462" t="n"/>
      <c r="B433" s="767">
        <f>ROW()</f>
        <v/>
      </c>
      <c r="C433" s="716" t="n"/>
      <c r="D433" s="716" t="n"/>
      <c r="E433" s="716" t="n"/>
      <c r="F433" s="716" t="n"/>
      <c r="G433" s="716" t="n"/>
      <c r="H433" s="462" t="n"/>
    </row>
    <row r="434">
      <c r="A434" s="462" t="n"/>
      <c r="B434" s="767">
        <f>ROW()</f>
        <v/>
      </c>
      <c r="C434" s="716" t="n"/>
      <c r="D434" s="716" t="n"/>
      <c r="E434" s="716" t="n"/>
      <c r="F434" s="716" t="n"/>
      <c r="G434" s="716" t="n"/>
      <c r="H434" s="462" t="n"/>
    </row>
    <row r="435">
      <c r="A435" s="462" t="n"/>
      <c r="B435" s="767">
        <f>ROW()</f>
        <v/>
      </c>
      <c r="C435" s="716" t="n"/>
      <c r="D435" s="716" t="n"/>
      <c r="E435" s="716" t="n"/>
      <c r="F435" s="716" t="n"/>
      <c r="G435" s="716" t="n"/>
      <c r="H435" s="462" t="n"/>
    </row>
    <row r="436">
      <c r="A436" s="462" t="n"/>
      <c r="B436" s="767">
        <f>ROW()</f>
        <v/>
      </c>
      <c r="C436" s="716" t="n"/>
      <c r="D436" s="716" t="n"/>
      <c r="E436" s="716" t="n"/>
      <c r="F436" s="716" t="n"/>
      <c r="G436" s="716" t="n"/>
      <c r="H436" s="462" t="n"/>
    </row>
    <row r="437">
      <c r="A437" s="462" t="n"/>
      <c r="B437" s="767">
        <f>ROW()</f>
        <v/>
      </c>
      <c r="C437" s="716" t="n"/>
      <c r="D437" s="716" t="n"/>
      <c r="E437" s="716" t="n"/>
      <c r="F437" s="716" t="n"/>
      <c r="G437" s="716" t="n"/>
      <c r="H437" s="462" t="n"/>
    </row>
    <row r="438">
      <c r="A438" s="462" t="n"/>
      <c r="B438" s="767">
        <f>ROW()</f>
        <v/>
      </c>
      <c r="C438" s="716" t="n"/>
      <c r="D438" s="716" t="n"/>
      <c r="E438" s="716" t="n"/>
      <c r="F438" s="716" t="n"/>
      <c r="G438" s="716" t="n"/>
      <c r="H438" s="462" t="n"/>
    </row>
    <row r="439">
      <c r="A439" s="462" t="n"/>
      <c r="B439" s="767">
        <f>ROW()</f>
        <v/>
      </c>
      <c r="C439" s="716" t="n"/>
      <c r="D439" s="716" t="n"/>
      <c r="E439" s="716" t="n"/>
      <c r="F439" s="716" t="n"/>
      <c r="G439" s="716" t="n"/>
      <c r="H439" s="462" t="n"/>
    </row>
    <row r="440">
      <c r="A440" s="462" t="n"/>
      <c r="B440" s="767">
        <f>ROW()</f>
        <v/>
      </c>
      <c r="C440" s="716" t="n"/>
      <c r="D440" s="716" t="n"/>
      <c r="E440" s="716" t="n"/>
      <c r="F440" s="716" t="n"/>
      <c r="G440" s="716" t="n"/>
      <c r="H440" s="462" t="n"/>
    </row>
    <row r="441">
      <c r="A441" s="462" t="n"/>
      <c r="B441" s="767">
        <f>ROW()</f>
        <v/>
      </c>
      <c r="C441" s="716" t="n"/>
      <c r="D441" s="716" t="n"/>
      <c r="E441" s="716" t="n"/>
      <c r="F441" s="716" t="n"/>
      <c r="G441" s="716" t="n"/>
      <c r="H441" s="462" t="n"/>
    </row>
    <row r="442">
      <c r="A442" s="462" t="n"/>
      <c r="B442" s="767">
        <f>ROW()</f>
        <v/>
      </c>
      <c r="C442" s="716" t="n"/>
      <c r="D442" s="716" t="n"/>
      <c r="E442" s="716" t="n"/>
      <c r="F442" s="716" t="n"/>
      <c r="G442" s="716" t="n"/>
      <c r="H442" s="462" t="n"/>
    </row>
    <row r="443">
      <c r="A443" s="462" t="n"/>
      <c r="B443" s="767">
        <f>ROW()</f>
        <v/>
      </c>
      <c r="C443" s="716" t="n"/>
      <c r="D443" s="716" t="n"/>
      <c r="E443" s="716" t="n"/>
      <c r="F443" s="716" t="n"/>
      <c r="G443" s="716" t="n"/>
      <c r="H443" s="462" t="n"/>
    </row>
    <row r="444">
      <c r="A444" s="462" t="n"/>
      <c r="B444" s="767">
        <f>ROW()</f>
        <v/>
      </c>
      <c r="C444" s="716" t="n"/>
      <c r="D444" s="716" t="n"/>
      <c r="E444" s="716" t="n"/>
      <c r="F444" s="716" t="n"/>
      <c r="G444" s="716" t="n"/>
      <c r="H444" s="462" t="n"/>
    </row>
    <row r="445">
      <c r="A445" s="462" t="n"/>
      <c r="B445" s="767">
        <f>ROW()</f>
        <v/>
      </c>
      <c r="C445" s="716" t="n"/>
      <c r="D445" s="716" t="n"/>
      <c r="E445" s="716" t="n"/>
      <c r="F445" s="716" t="n"/>
      <c r="G445" s="716" t="n"/>
      <c r="H445" s="462" t="n"/>
    </row>
    <row r="446">
      <c r="A446" s="462" t="n"/>
      <c r="B446" s="767">
        <f>ROW()</f>
        <v/>
      </c>
      <c r="C446" s="716" t="n"/>
      <c r="D446" s="716" t="n"/>
      <c r="E446" s="716" t="n"/>
      <c r="F446" s="716" t="n"/>
      <c r="G446" s="716" t="n"/>
      <c r="H446" s="462" t="n"/>
    </row>
    <row r="447">
      <c r="A447" s="462" t="n"/>
      <c r="B447" s="767">
        <f>ROW()</f>
        <v/>
      </c>
      <c r="C447" s="716" t="n"/>
      <c r="D447" s="716" t="n"/>
      <c r="E447" s="716" t="n"/>
      <c r="F447" s="716" t="n"/>
      <c r="G447" s="716" t="n"/>
      <c r="H447" s="462" t="n"/>
    </row>
    <row r="448">
      <c r="A448" s="462" t="n"/>
      <c r="B448" s="767">
        <f>ROW()</f>
        <v/>
      </c>
      <c r="C448" s="716" t="n"/>
      <c r="D448" s="716" t="n"/>
      <c r="E448" s="716" t="n"/>
      <c r="F448" s="716" t="n"/>
      <c r="G448" s="716" t="n"/>
      <c r="H448" s="462" t="n"/>
    </row>
    <row r="449">
      <c r="A449" s="462" t="n"/>
      <c r="B449" s="767">
        <f>ROW()</f>
        <v/>
      </c>
      <c r="C449" s="716" t="n"/>
      <c r="D449" s="716" t="n"/>
      <c r="E449" s="716" t="n"/>
      <c r="F449" s="716" t="n"/>
      <c r="G449" s="716" t="n"/>
      <c r="H449" s="462" t="n"/>
    </row>
    <row r="450">
      <c r="A450" s="462" t="n"/>
      <c r="B450" s="767">
        <f>ROW()</f>
        <v/>
      </c>
      <c r="C450" s="716" t="n"/>
      <c r="D450" s="716" t="n"/>
      <c r="E450" s="716" t="n"/>
      <c r="F450" s="716" t="n"/>
      <c r="G450" s="716" t="n"/>
      <c r="H450" s="462" t="n"/>
    </row>
    <row r="451">
      <c r="A451" s="462" t="n"/>
      <c r="B451" s="767">
        <f>ROW()</f>
        <v/>
      </c>
      <c r="C451" s="716" t="n"/>
      <c r="D451" s="716" t="n"/>
      <c r="E451" s="716" t="n"/>
      <c r="F451" s="716" t="n"/>
      <c r="G451" s="716" t="n"/>
      <c r="H451" s="462" t="n"/>
    </row>
    <row r="452">
      <c r="A452" s="462" t="n"/>
      <c r="B452" s="767">
        <f>ROW()</f>
        <v/>
      </c>
      <c r="C452" s="716" t="n"/>
      <c r="D452" s="716" t="n"/>
      <c r="E452" s="716" t="n"/>
      <c r="F452" s="716" t="n"/>
      <c r="G452" s="716" t="n"/>
      <c r="H452" s="462" t="n"/>
    </row>
    <row r="453">
      <c r="A453" s="462" t="n"/>
      <c r="B453" s="767">
        <f>ROW()</f>
        <v/>
      </c>
      <c r="C453" s="716" t="n"/>
      <c r="D453" s="716" t="n"/>
      <c r="E453" s="716" t="n"/>
      <c r="F453" s="716" t="n"/>
      <c r="G453" s="716" t="n"/>
      <c r="H453" s="462" t="n"/>
    </row>
    <row r="454">
      <c r="A454" s="462" t="n"/>
      <c r="B454" s="767">
        <f>ROW()</f>
        <v/>
      </c>
      <c r="C454" s="716" t="n"/>
      <c r="D454" s="716" t="n"/>
      <c r="E454" s="716" t="n"/>
      <c r="F454" s="716" t="n"/>
      <c r="G454" s="716" t="n"/>
      <c r="H454" s="462" t="n"/>
    </row>
    <row r="455">
      <c r="A455" s="462" t="n"/>
      <c r="B455" s="767">
        <f>ROW()</f>
        <v/>
      </c>
      <c r="C455" s="716" t="n"/>
      <c r="D455" s="716" t="n"/>
      <c r="E455" s="716" t="n"/>
      <c r="F455" s="716" t="n"/>
      <c r="G455" s="716" t="n"/>
      <c r="H455" s="462" t="n"/>
    </row>
    <row r="456">
      <c r="A456" s="462" t="n"/>
      <c r="B456" s="767">
        <f>ROW()</f>
        <v/>
      </c>
      <c r="C456" s="716" t="n"/>
      <c r="D456" s="716" t="n"/>
      <c r="E456" s="716" t="n"/>
      <c r="F456" s="716" t="n"/>
      <c r="G456" s="716" t="n"/>
      <c r="H456" s="462" t="n"/>
    </row>
    <row r="457">
      <c r="A457" s="462" t="n"/>
      <c r="B457" s="767">
        <f>ROW()</f>
        <v/>
      </c>
      <c r="C457" s="716" t="n"/>
      <c r="D457" s="716" t="n"/>
      <c r="E457" s="716" t="n"/>
      <c r="F457" s="716" t="n"/>
      <c r="G457" s="716" t="n"/>
      <c r="H457" s="462" t="n"/>
    </row>
    <row r="458">
      <c r="A458" s="462" t="n"/>
      <c r="B458" s="767">
        <f>ROW()</f>
        <v/>
      </c>
      <c r="C458" s="716" t="n"/>
      <c r="D458" s="716" t="n"/>
      <c r="E458" s="716" t="n"/>
      <c r="F458" s="716" t="n"/>
      <c r="G458" s="716" t="n"/>
      <c r="H458" s="462" t="n"/>
    </row>
    <row r="459">
      <c r="A459" s="462" t="n"/>
      <c r="B459" s="767">
        <f>ROW()</f>
        <v/>
      </c>
      <c r="C459" s="716" t="n"/>
      <c r="D459" s="716" t="n"/>
      <c r="E459" s="716" t="n"/>
      <c r="F459" s="716" t="n"/>
      <c r="G459" s="716" t="n"/>
      <c r="H459" s="462" t="n"/>
    </row>
    <row r="460">
      <c r="A460" s="462" t="n"/>
      <c r="B460" s="767">
        <f>ROW()</f>
        <v/>
      </c>
      <c r="C460" s="716" t="n"/>
      <c r="D460" s="716" t="n"/>
      <c r="E460" s="716" t="n"/>
      <c r="F460" s="716" t="n"/>
      <c r="G460" s="716" t="n"/>
      <c r="H460" s="462" t="n"/>
    </row>
    <row r="461">
      <c r="A461" s="462" t="n"/>
      <c r="B461" s="767">
        <f>ROW()</f>
        <v/>
      </c>
      <c r="C461" s="716" t="n"/>
      <c r="D461" s="716" t="n"/>
      <c r="E461" s="716" t="n"/>
      <c r="F461" s="716" t="n"/>
      <c r="G461" s="716" t="n"/>
      <c r="H461" s="462" t="n"/>
    </row>
    <row r="462">
      <c r="A462" s="462" t="n"/>
      <c r="B462" s="767">
        <f>ROW()</f>
        <v/>
      </c>
      <c r="C462" s="716" t="n"/>
      <c r="D462" s="716" t="n"/>
      <c r="E462" s="716" t="n"/>
      <c r="F462" s="716" t="n"/>
      <c r="G462" s="716" t="n"/>
      <c r="H462" s="462" t="n"/>
    </row>
    <row r="463">
      <c r="A463" s="462" t="n"/>
      <c r="B463" s="767">
        <f>ROW()</f>
        <v/>
      </c>
      <c r="C463" s="716" t="n"/>
      <c r="D463" s="716" t="n"/>
      <c r="E463" s="716" t="n"/>
      <c r="F463" s="716" t="n"/>
      <c r="G463" s="716" t="n"/>
      <c r="H463" s="462" t="n"/>
    </row>
    <row r="464">
      <c r="A464" s="462" t="n"/>
      <c r="B464" s="767">
        <f>ROW()</f>
        <v/>
      </c>
      <c r="C464" s="716" t="n"/>
      <c r="D464" s="716" t="n"/>
      <c r="E464" s="716" t="n"/>
      <c r="F464" s="716" t="n"/>
      <c r="G464" s="716" t="n"/>
      <c r="H464" s="462" t="n"/>
    </row>
    <row r="465">
      <c r="A465" s="462" t="n"/>
      <c r="B465" s="767">
        <f>ROW()</f>
        <v/>
      </c>
      <c r="C465" s="716" t="n"/>
      <c r="D465" s="716" t="n"/>
      <c r="E465" s="716" t="n"/>
      <c r="F465" s="716" t="n"/>
      <c r="G465" s="716" t="n"/>
      <c r="H465" s="462" t="n"/>
    </row>
    <row r="466">
      <c r="A466" s="462" t="n"/>
      <c r="B466" s="767">
        <f>ROW()</f>
        <v/>
      </c>
      <c r="C466" s="716" t="n"/>
      <c r="D466" s="716" t="n"/>
      <c r="E466" s="716" t="n"/>
      <c r="F466" s="716" t="n"/>
      <c r="G466" s="716" t="n"/>
      <c r="H466" s="462" t="n"/>
    </row>
    <row r="467">
      <c r="A467" s="462" t="n"/>
      <c r="B467" s="767">
        <f>ROW()</f>
        <v/>
      </c>
      <c r="C467" s="716" t="n"/>
      <c r="D467" s="716" t="n"/>
      <c r="E467" s="716" t="n"/>
      <c r="F467" s="716" t="n"/>
      <c r="G467" s="716" t="n"/>
      <c r="H467" s="462" t="n"/>
    </row>
    <row r="468">
      <c r="A468" s="462" t="n"/>
      <c r="B468" s="767">
        <f>ROW()</f>
        <v/>
      </c>
      <c r="C468" s="716" t="n"/>
      <c r="D468" s="716" t="n"/>
      <c r="E468" s="716" t="n"/>
      <c r="F468" s="716" t="n"/>
      <c r="G468" s="716" t="n"/>
      <c r="H468" s="462" t="n"/>
    </row>
    <row r="469">
      <c r="A469" s="462" t="n"/>
      <c r="B469" s="767">
        <f>ROW()</f>
        <v/>
      </c>
      <c r="C469" s="716" t="n"/>
      <c r="D469" s="716" t="n"/>
      <c r="E469" s="716" t="n"/>
      <c r="F469" s="716" t="n"/>
      <c r="G469" s="716" t="n"/>
      <c r="H469" s="462" t="n"/>
    </row>
    <row r="470">
      <c r="A470" s="462" t="n"/>
      <c r="B470" s="767">
        <f>ROW()</f>
        <v/>
      </c>
      <c r="C470" s="716" t="n"/>
      <c r="D470" s="716" t="n"/>
      <c r="E470" s="716" t="n"/>
      <c r="F470" s="716" t="n"/>
      <c r="G470" s="716" t="n"/>
      <c r="H470" s="462" t="n"/>
    </row>
    <row r="471">
      <c r="A471" s="462" t="n"/>
      <c r="B471" s="767">
        <f>ROW()</f>
        <v/>
      </c>
      <c r="C471" s="716" t="n"/>
      <c r="D471" s="716" t="n"/>
      <c r="E471" s="716" t="n"/>
      <c r="F471" s="716" t="n"/>
      <c r="G471" s="716" t="n"/>
      <c r="H471" s="462" t="n"/>
    </row>
    <row r="472">
      <c r="A472" s="462" t="n"/>
      <c r="B472" s="767">
        <f>ROW()</f>
        <v/>
      </c>
      <c r="C472" s="716" t="n"/>
      <c r="D472" s="716" t="n"/>
      <c r="E472" s="716" t="n"/>
      <c r="F472" s="716" t="n"/>
      <c r="G472" s="716" t="n"/>
      <c r="H472" s="462" t="n"/>
    </row>
    <row r="473">
      <c r="A473" s="462" t="n"/>
      <c r="B473" s="767">
        <f>ROW()</f>
        <v/>
      </c>
      <c r="C473" s="716" t="n"/>
      <c r="D473" s="716" t="n"/>
      <c r="E473" s="716" t="n"/>
      <c r="F473" s="716" t="n"/>
      <c r="G473" s="716" t="n"/>
      <c r="H473" s="462" t="n"/>
    </row>
    <row r="474">
      <c r="A474" s="462" t="n"/>
      <c r="B474" s="767">
        <f>ROW()</f>
        <v/>
      </c>
      <c r="C474" s="716" t="n"/>
      <c r="D474" s="716" t="n"/>
      <c r="E474" s="716" t="n"/>
      <c r="F474" s="716" t="n"/>
      <c r="G474" s="716" t="n"/>
      <c r="H474" s="462" t="n"/>
    </row>
    <row r="475">
      <c r="A475" s="462" t="n"/>
      <c r="B475" s="767">
        <f>ROW()</f>
        <v/>
      </c>
      <c r="C475" s="716" t="n"/>
      <c r="D475" s="716" t="n"/>
      <c r="E475" s="716" t="n"/>
      <c r="F475" s="716" t="n"/>
      <c r="G475" s="716" t="n"/>
      <c r="H475" s="462" t="n"/>
    </row>
    <row r="476">
      <c r="A476" s="462" t="n"/>
      <c r="B476" s="767">
        <f>ROW()</f>
        <v/>
      </c>
      <c r="C476" s="716" t="n"/>
      <c r="D476" s="716" t="n"/>
      <c r="E476" s="716" t="n"/>
      <c r="F476" s="716" t="n"/>
      <c r="G476" s="716" t="n"/>
      <c r="H476" s="462" t="n"/>
    </row>
    <row r="477">
      <c r="A477" s="462" t="n"/>
      <c r="B477" s="767">
        <f>ROW()</f>
        <v/>
      </c>
      <c r="C477" s="716" t="n"/>
      <c r="D477" s="716" t="n"/>
      <c r="E477" s="716" t="n"/>
      <c r="F477" s="716" t="n"/>
      <c r="G477" s="716" t="n"/>
      <c r="H477" s="462" t="n"/>
    </row>
    <row r="478">
      <c r="A478" s="462" t="n"/>
      <c r="B478" s="767">
        <f>ROW()</f>
        <v/>
      </c>
      <c r="C478" s="716" t="n"/>
      <c r="D478" s="716" t="n"/>
      <c r="E478" s="716" t="n"/>
      <c r="F478" s="716" t="n"/>
      <c r="G478" s="716" t="n"/>
      <c r="H478" s="462" t="n"/>
    </row>
    <row r="479">
      <c r="A479" s="462" t="n"/>
      <c r="B479" s="767">
        <f>ROW()</f>
        <v/>
      </c>
      <c r="C479" s="716" t="n"/>
      <c r="D479" s="716" t="n"/>
      <c r="E479" s="716" t="n"/>
      <c r="F479" s="716" t="n"/>
      <c r="G479" s="716" t="n"/>
      <c r="H479" s="462" t="n"/>
    </row>
    <row r="480">
      <c r="A480" s="462" t="n"/>
      <c r="B480" s="767">
        <f>ROW()</f>
        <v/>
      </c>
      <c r="C480" s="716" t="n"/>
      <c r="D480" s="716" t="n"/>
      <c r="E480" s="716" t="n"/>
      <c r="F480" s="716" t="n"/>
      <c r="G480" s="716" t="n"/>
      <c r="H480" s="462" t="n"/>
    </row>
    <row r="481">
      <c r="A481" s="462" t="n"/>
      <c r="B481" s="767">
        <f>ROW()</f>
        <v/>
      </c>
      <c r="C481" s="716" t="n"/>
      <c r="D481" s="716" t="n"/>
      <c r="E481" s="716" t="n"/>
      <c r="F481" s="716" t="n"/>
      <c r="G481" s="716" t="n"/>
      <c r="H481" s="462" t="n"/>
    </row>
    <row r="482">
      <c r="A482" s="462" t="n"/>
      <c r="B482" s="767">
        <f>ROW()</f>
        <v/>
      </c>
      <c r="C482" s="716" t="n"/>
      <c r="D482" s="716" t="n"/>
      <c r="E482" s="716" t="n"/>
      <c r="F482" s="716" t="n"/>
      <c r="G482" s="716" t="n"/>
      <c r="H482" s="462" t="n"/>
    </row>
    <row r="483">
      <c r="A483" s="462" t="n"/>
      <c r="B483" s="767">
        <f>ROW()</f>
        <v/>
      </c>
      <c r="C483" s="716" t="n"/>
      <c r="D483" s="716" t="n"/>
      <c r="E483" s="716" t="n"/>
      <c r="F483" s="716" t="n"/>
      <c r="G483" s="716" t="n"/>
      <c r="H483" s="462" t="n"/>
    </row>
    <row r="484">
      <c r="A484" s="462" t="n"/>
      <c r="B484" s="767">
        <f>ROW()</f>
        <v/>
      </c>
      <c r="C484" s="716" t="n"/>
      <c r="D484" s="716" t="n"/>
      <c r="E484" s="716" t="n"/>
      <c r="F484" s="716" t="n"/>
      <c r="G484" s="716" t="n"/>
      <c r="H484" s="462" t="n"/>
    </row>
    <row r="485">
      <c r="A485" s="462" t="n"/>
      <c r="B485" s="767">
        <f>ROW()</f>
        <v/>
      </c>
      <c r="C485" s="716" t="n"/>
      <c r="D485" s="716" t="n"/>
      <c r="E485" s="716" t="n"/>
      <c r="F485" s="716" t="n"/>
      <c r="G485" s="716" t="n"/>
      <c r="H485" s="462" t="n"/>
    </row>
    <row r="486">
      <c r="A486" s="462" t="n"/>
      <c r="B486" s="767">
        <f>ROW()</f>
        <v/>
      </c>
      <c r="C486" s="716" t="n"/>
      <c r="D486" s="716" t="n"/>
      <c r="E486" s="716" t="n"/>
      <c r="F486" s="716" t="n"/>
      <c r="G486" s="716" t="n"/>
      <c r="H486" s="462" t="n"/>
    </row>
    <row r="487">
      <c r="A487" s="462" t="n"/>
      <c r="B487" s="767">
        <f>ROW()</f>
        <v/>
      </c>
      <c r="C487" s="716" t="n"/>
      <c r="D487" s="716" t="n"/>
      <c r="E487" s="716" t="n"/>
      <c r="F487" s="716" t="n"/>
      <c r="G487" s="716" t="n"/>
      <c r="H487" s="462" t="n"/>
    </row>
    <row r="488">
      <c r="A488" s="462" t="n"/>
      <c r="B488" s="767">
        <f>ROW()</f>
        <v/>
      </c>
      <c r="C488" s="716" t="n"/>
      <c r="D488" s="716" t="n"/>
      <c r="E488" s="716" t="n"/>
      <c r="F488" s="716" t="n"/>
      <c r="G488" s="716" t="n"/>
      <c r="H488" s="462" t="n"/>
    </row>
    <row r="489">
      <c r="A489" s="462" t="n"/>
      <c r="B489" s="767">
        <f>ROW()</f>
        <v/>
      </c>
      <c r="C489" s="716" t="n"/>
      <c r="D489" s="716" t="n"/>
      <c r="E489" s="716" t="n"/>
      <c r="F489" s="716" t="n"/>
      <c r="G489" s="716" t="n"/>
      <c r="H489" s="462" t="n"/>
    </row>
    <row r="490">
      <c r="A490" s="462" t="n"/>
      <c r="B490" s="767">
        <f>ROW()</f>
        <v/>
      </c>
      <c r="C490" s="716" t="n"/>
      <c r="D490" s="716" t="n"/>
      <c r="E490" s="716" t="n"/>
      <c r="F490" s="716" t="n"/>
      <c r="G490" s="716" t="n"/>
      <c r="H490" s="462" t="n"/>
    </row>
    <row r="491">
      <c r="A491" s="462" t="n"/>
      <c r="B491" s="767">
        <f>ROW()</f>
        <v/>
      </c>
      <c r="C491" s="716" t="n"/>
      <c r="D491" s="716" t="n"/>
      <c r="E491" s="716" t="n"/>
      <c r="F491" s="716" t="n"/>
      <c r="G491" s="716" t="n"/>
      <c r="H491" s="462" t="n"/>
    </row>
    <row r="492">
      <c r="A492" s="462" t="n"/>
      <c r="B492" s="767">
        <f>ROW()</f>
        <v/>
      </c>
      <c r="C492" s="716" t="n"/>
      <c r="D492" s="716" t="n"/>
      <c r="E492" s="716" t="n"/>
      <c r="F492" s="716" t="n"/>
      <c r="G492" s="716" t="n"/>
      <c r="H492" s="462" t="n"/>
    </row>
    <row r="493">
      <c r="A493" s="462" t="n"/>
      <c r="B493" s="767">
        <f>ROW()</f>
        <v/>
      </c>
      <c r="C493" s="716" t="n"/>
      <c r="D493" s="716" t="n"/>
      <c r="E493" s="716" t="n"/>
      <c r="F493" s="716" t="n"/>
      <c r="G493" s="716" t="n"/>
      <c r="H493" s="462" t="n"/>
    </row>
    <row r="494">
      <c r="A494" s="462" t="n"/>
      <c r="B494" s="767">
        <f>ROW()</f>
        <v/>
      </c>
      <c r="C494" s="716" t="n"/>
      <c r="D494" s="716" t="n"/>
      <c r="E494" s="716" t="n"/>
      <c r="F494" s="716" t="n"/>
      <c r="G494" s="716" t="n"/>
      <c r="H494" s="462" t="n"/>
    </row>
    <row r="495">
      <c r="A495" s="462" t="n"/>
      <c r="B495" s="767">
        <f>ROW()</f>
        <v/>
      </c>
      <c r="C495" s="716" t="n"/>
      <c r="D495" s="716" t="n"/>
      <c r="E495" s="716" t="n"/>
      <c r="F495" s="716" t="n"/>
      <c r="G495" s="716" t="n"/>
      <c r="H495" s="462" t="n"/>
    </row>
    <row r="496">
      <c r="A496" s="462" t="n"/>
      <c r="B496" s="767">
        <f>ROW()</f>
        <v/>
      </c>
      <c r="C496" s="716" t="n"/>
      <c r="D496" s="716" t="n"/>
      <c r="E496" s="716" t="n"/>
      <c r="F496" s="716" t="n"/>
      <c r="G496" s="716" t="n"/>
      <c r="H496" s="462" t="n"/>
    </row>
    <row r="497">
      <c r="A497" s="462" t="n"/>
      <c r="B497" s="767">
        <f>ROW()</f>
        <v/>
      </c>
      <c r="C497" s="716" t="n"/>
      <c r="D497" s="716" t="n"/>
      <c r="E497" s="716" t="n"/>
      <c r="F497" s="716" t="n"/>
      <c r="G497" s="716" t="n"/>
      <c r="H497" s="462" t="n"/>
    </row>
    <row r="498">
      <c r="A498" s="462" t="n"/>
      <c r="B498" s="767">
        <f>ROW()</f>
        <v/>
      </c>
      <c r="C498" s="716" t="n"/>
      <c r="D498" s="716" t="n"/>
      <c r="E498" s="716" t="n"/>
      <c r="F498" s="716" t="n"/>
      <c r="G498" s="716" t="n"/>
      <c r="H498" s="462" t="n"/>
    </row>
    <row r="499">
      <c r="A499" s="462" t="n"/>
      <c r="B499" s="767">
        <f>ROW()</f>
        <v/>
      </c>
      <c r="C499" s="716" t="n"/>
      <c r="D499" s="716" t="n"/>
      <c r="E499" s="716" t="n"/>
      <c r="F499" s="716" t="n"/>
      <c r="G499" s="716" t="n"/>
      <c r="H499" s="462" t="n"/>
    </row>
    <row r="500">
      <c r="A500" s="462" t="n"/>
      <c r="B500" s="767">
        <f>ROW()</f>
        <v/>
      </c>
      <c r="C500" s="716" t="n"/>
      <c r="D500" s="716" t="n"/>
      <c r="E500" s="716" t="n"/>
      <c r="F500" s="716" t="n"/>
      <c r="G500" s="716" t="n"/>
      <c r="H500" s="462" t="n"/>
    </row>
    <row r="501">
      <c r="A501" s="462" t="n"/>
      <c r="B501" s="767">
        <f>ROW()</f>
        <v/>
      </c>
      <c r="C501" s="716" t="n"/>
      <c r="D501" s="716" t="n"/>
      <c r="E501" s="716" t="n"/>
      <c r="F501" s="716" t="n"/>
      <c r="G501" s="716" t="n"/>
      <c r="H501" s="462" t="n"/>
    </row>
    <row r="502">
      <c r="A502" s="462" t="n"/>
      <c r="B502" s="767">
        <f>ROW()</f>
        <v/>
      </c>
      <c r="C502" s="716" t="n"/>
      <c r="D502" s="716" t="n"/>
      <c r="E502" s="716" t="n"/>
      <c r="F502" s="716" t="n"/>
      <c r="G502" s="716" t="n"/>
      <c r="H502" s="462" t="n"/>
    </row>
    <row r="503">
      <c r="A503" s="462" t="n"/>
      <c r="B503" s="767">
        <f>ROW()</f>
        <v/>
      </c>
      <c r="C503" s="716" t="n"/>
      <c r="D503" s="716" t="n"/>
      <c r="E503" s="716" t="n"/>
      <c r="F503" s="716" t="n"/>
      <c r="G503" s="716" t="n"/>
      <c r="H503" s="716" t="n"/>
    </row>
    <row r="504">
      <c r="A504" s="462" t="n"/>
      <c r="B504" s="767">
        <f>ROW()</f>
        <v/>
      </c>
      <c r="C504" s="716" t="n"/>
      <c r="D504" s="716" t="n"/>
      <c r="E504" s="716" t="n"/>
      <c r="F504" s="716" t="n"/>
      <c r="G504" s="716" t="n"/>
      <c r="H504" s="462" t="n"/>
    </row>
    <row r="505">
      <c r="A505" s="462" t="n"/>
      <c r="B505" s="767">
        <f>ROW()</f>
        <v/>
      </c>
      <c r="C505" s="716" t="n"/>
      <c r="D505" s="716" t="n"/>
      <c r="E505" s="716" t="n"/>
      <c r="F505" s="716" t="n"/>
      <c r="G505" s="716" t="n"/>
      <c r="H505" s="462" t="n"/>
    </row>
    <row r="506">
      <c r="A506" s="462" t="n"/>
      <c r="B506" s="767">
        <f>ROW()</f>
        <v/>
      </c>
      <c r="C506" s="716" t="n"/>
      <c r="D506" s="716" t="n"/>
      <c r="E506" s="716" t="n"/>
      <c r="F506" s="716" t="n"/>
      <c r="G506" s="716" t="n"/>
      <c r="H506" s="462" t="n"/>
    </row>
    <row r="507">
      <c r="A507" s="462" t="n"/>
      <c r="B507" s="767">
        <f>ROW()</f>
        <v/>
      </c>
      <c r="C507" s="716" t="n"/>
      <c r="D507" s="716" t="n"/>
      <c r="E507" s="716" t="n"/>
      <c r="F507" s="716" t="n"/>
      <c r="G507" s="716" t="n"/>
      <c r="H507" s="462" t="n"/>
    </row>
    <row r="508">
      <c r="A508" s="462" t="n"/>
      <c r="B508" s="767">
        <f>ROW()</f>
        <v/>
      </c>
      <c r="C508" s="716" t="n"/>
      <c r="D508" s="716" t="n"/>
      <c r="E508" s="716" t="n"/>
      <c r="F508" s="716" t="n"/>
      <c r="G508" s="716" t="n"/>
      <c r="H508" s="462" t="n"/>
    </row>
    <row r="509">
      <c r="A509" s="462" t="n"/>
      <c r="B509" s="767">
        <f>ROW()</f>
        <v/>
      </c>
      <c r="C509" s="716" t="n"/>
      <c r="D509" s="716" t="n"/>
      <c r="E509" s="716" t="n"/>
      <c r="F509" s="716" t="n"/>
      <c r="G509" s="716" t="n"/>
      <c r="H509" s="462" t="n"/>
    </row>
    <row r="510">
      <c r="A510" s="462" t="n"/>
      <c r="B510" s="767">
        <f>ROW()</f>
        <v/>
      </c>
      <c r="C510" s="716" t="n"/>
      <c r="D510" s="716" t="n"/>
      <c r="E510" s="716" t="n"/>
      <c r="F510" s="716" t="n"/>
      <c r="G510" s="716" t="n"/>
      <c r="H510" s="462" t="n"/>
    </row>
    <row r="511">
      <c r="A511" s="462" t="n"/>
      <c r="B511" s="767">
        <f>ROW()</f>
        <v/>
      </c>
      <c r="C511" s="716" t="n"/>
      <c r="D511" s="716" t="n"/>
      <c r="E511" s="716" t="n"/>
      <c r="F511" s="716" t="n"/>
      <c r="G511" s="716" t="n"/>
      <c r="H511" s="462" t="n"/>
    </row>
    <row r="512">
      <c r="A512" s="462" t="n"/>
      <c r="B512" s="767">
        <f>ROW()</f>
        <v/>
      </c>
      <c r="C512" s="716" t="n"/>
      <c r="D512" s="716" t="n"/>
      <c r="E512" s="716" t="n"/>
      <c r="F512" s="716" t="n"/>
      <c r="G512" s="716" t="n"/>
      <c r="H512" s="462" t="n"/>
    </row>
    <row r="513">
      <c r="A513" s="462" t="n"/>
      <c r="B513" s="767">
        <f>ROW()</f>
        <v/>
      </c>
      <c r="C513" s="716" t="n"/>
      <c r="D513" s="716" t="n"/>
      <c r="E513" s="716" t="n"/>
      <c r="F513" s="716" t="n"/>
      <c r="G513" s="716" t="n"/>
      <c r="H513" s="462" t="n"/>
    </row>
    <row r="514">
      <c r="A514" s="462" t="n"/>
      <c r="B514" s="767">
        <f>ROW()</f>
        <v/>
      </c>
      <c r="C514" s="716" t="n"/>
      <c r="D514" s="716" t="n"/>
      <c r="E514" s="716" t="n"/>
      <c r="F514" s="716" t="n"/>
      <c r="G514" s="716" t="n"/>
      <c r="H514" s="462" t="n"/>
    </row>
    <row r="515">
      <c r="A515" s="462" t="n"/>
      <c r="B515" s="767">
        <f>ROW()</f>
        <v/>
      </c>
      <c r="C515" s="716" t="n"/>
      <c r="D515" s="716" t="n"/>
      <c r="E515" s="716" t="n"/>
      <c r="F515" s="716" t="n"/>
      <c r="G515" s="716" t="n"/>
      <c r="H515" s="462" t="n"/>
    </row>
    <row r="516">
      <c r="A516" s="462" t="n"/>
      <c r="B516" s="767">
        <f>ROW()</f>
        <v/>
      </c>
      <c r="C516" s="716" t="n"/>
      <c r="D516" s="716" t="n"/>
      <c r="E516" s="716" t="n"/>
      <c r="F516" s="716" t="n"/>
      <c r="G516" s="716" t="n"/>
      <c r="H516" s="462" t="n"/>
    </row>
    <row r="517">
      <c r="A517" s="462" t="n"/>
      <c r="B517" s="767">
        <f>ROW()</f>
        <v/>
      </c>
      <c r="C517" s="716" t="n"/>
      <c r="D517" s="716" t="n"/>
      <c r="E517" s="716" t="n"/>
      <c r="F517" s="716" t="n"/>
      <c r="G517" s="716" t="n"/>
      <c r="H517" s="462" t="n"/>
    </row>
    <row r="518">
      <c r="A518" s="462" t="n"/>
      <c r="B518" s="767">
        <f>ROW()</f>
        <v/>
      </c>
      <c r="C518" s="716" t="n"/>
      <c r="D518" s="716" t="n"/>
      <c r="E518" s="716" t="n"/>
      <c r="F518" s="716" t="n"/>
      <c r="G518" s="716" t="n"/>
      <c r="H518" s="462" t="n"/>
    </row>
    <row r="519">
      <c r="A519" s="462" t="n"/>
      <c r="B519" s="767">
        <f>ROW()</f>
        <v/>
      </c>
      <c r="C519" s="716" t="n"/>
      <c r="D519" s="716" t="n"/>
      <c r="E519" s="716" t="n"/>
      <c r="F519" s="716" t="n"/>
      <c r="G519" s="716" t="n"/>
      <c r="H519" s="462" t="n"/>
    </row>
    <row r="520">
      <c r="A520" s="462" t="n"/>
      <c r="B520" s="767">
        <f>ROW()</f>
        <v/>
      </c>
      <c r="C520" s="716" t="n"/>
      <c r="D520" s="716" t="n"/>
      <c r="E520" s="716" t="n"/>
      <c r="F520" s="716" t="n"/>
      <c r="G520" s="716" t="n"/>
      <c r="H520" s="462" t="n"/>
    </row>
    <row r="521">
      <c r="A521" s="462" t="n"/>
      <c r="B521" s="767">
        <f>ROW()</f>
        <v/>
      </c>
      <c r="C521" s="716" t="n"/>
      <c r="D521" s="716" t="n"/>
      <c r="E521" s="716" t="n"/>
      <c r="F521" s="716" t="n"/>
      <c r="G521" s="716" t="n"/>
      <c r="H521" s="462" t="n"/>
    </row>
    <row r="522">
      <c r="A522" s="462" t="n"/>
      <c r="B522" s="767">
        <f>ROW()</f>
        <v/>
      </c>
      <c r="C522" s="716" t="n"/>
      <c r="D522" s="716" t="n"/>
      <c r="E522" s="716" t="n"/>
      <c r="F522" s="716" t="n"/>
      <c r="G522" s="716" t="n"/>
      <c r="H522" s="462" t="n"/>
    </row>
    <row r="523">
      <c r="A523" s="462" t="n"/>
      <c r="B523" s="767">
        <f>ROW()</f>
        <v/>
      </c>
      <c r="C523" s="716" t="n"/>
      <c r="D523" s="716" t="n"/>
      <c r="E523" s="716" t="n"/>
      <c r="F523" s="716" t="n"/>
      <c r="G523" s="716" t="n"/>
      <c r="H523" s="462" t="n"/>
    </row>
    <row r="524">
      <c r="A524" s="462" t="n"/>
      <c r="B524" s="767">
        <f>ROW()</f>
        <v/>
      </c>
      <c r="C524" s="716" t="n"/>
      <c r="D524" s="716" t="n"/>
      <c r="E524" s="716" t="n"/>
      <c r="F524" s="716" t="n"/>
      <c r="G524" s="716" t="n"/>
      <c r="H524" s="462" t="n"/>
    </row>
    <row r="525">
      <c r="A525" s="462" t="n"/>
      <c r="B525" s="767">
        <f>ROW()</f>
        <v/>
      </c>
      <c r="C525" s="716" t="n"/>
      <c r="D525" s="716" t="n"/>
      <c r="E525" s="716" t="n"/>
      <c r="F525" s="716" t="n"/>
      <c r="G525" s="716" t="n"/>
      <c r="H525" s="462" t="n"/>
    </row>
    <row r="526">
      <c r="A526" s="462" t="n"/>
      <c r="B526" s="767">
        <f>ROW()</f>
        <v/>
      </c>
      <c r="C526" s="716" t="n"/>
      <c r="D526" s="716" t="n"/>
      <c r="E526" s="716" t="n"/>
      <c r="F526" s="716" t="n"/>
      <c r="G526" s="716" t="n"/>
      <c r="H526" s="462" t="n"/>
    </row>
    <row r="527">
      <c r="A527" s="462" t="n"/>
      <c r="B527" s="767">
        <f>ROW()</f>
        <v/>
      </c>
      <c r="C527" s="716" t="n"/>
      <c r="D527" s="716" t="n"/>
      <c r="E527" s="716" t="n"/>
      <c r="F527" s="716" t="n"/>
      <c r="G527" s="716" t="n"/>
      <c r="H527" s="462" t="n"/>
    </row>
    <row r="528">
      <c r="A528" s="462" t="n"/>
      <c r="B528" s="767">
        <f>ROW()</f>
        <v/>
      </c>
      <c r="C528" s="716" t="n"/>
      <c r="D528" s="716" t="n"/>
      <c r="E528" s="716" t="n"/>
      <c r="F528" s="716" t="n"/>
      <c r="G528" s="716" t="n"/>
      <c r="H528" s="462" t="n"/>
    </row>
    <row r="529">
      <c r="A529" s="462" t="n"/>
      <c r="B529" s="767">
        <f>ROW()</f>
        <v/>
      </c>
      <c r="C529" s="716" t="n"/>
      <c r="D529" s="716" t="n"/>
      <c r="E529" s="716" t="n"/>
      <c r="F529" s="716" t="n"/>
      <c r="G529" s="716" t="n"/>
      <c r="H529" s="462" t="n"/>
    </row>
    <row r="530">
      <c r="A530" s="462" t="n"/>
      <c r="B530" s="767">
        <f>ROW()</f>
        <v/>
      </c>
      <c r="C530" s="716" t="n"/>
      <c r="D530" s="716" t="n"/>
      <c r="E530" s="716" t="n"/>
      <c r="F530" s="716" t="n"/>
      <c r="G530" s="716" t="n"/>
      <c r="H530" s="462" t="n"/>
    </row>
    <row r="531">
      <c r="A531" s="462" t="n"/>
      <c r="B531" s="767">
        <f>ROW()</f>
        <v/>
      </c>
      <c r="C531" s="716" t="n"/>
      <c r="D531" s="716" t="n"/>
      <c r="E531" s="716" t="n"/>
      <c r="F531" s="716" t="n"/>
      <c r="G531" s="716" t="n"/>
      <c r="H531" s="462" t="n"/>
    </row>
    <row r="532">
      <c r="A532" s="462" t="n"/>
      <c r="B532" s="767">
        <f>ROW()</f>
        <v/>
      </c>
      <c r="C532" s="716" t="n"/>
      <c r="D532" s="716" t="n"/>
      <c r="E532" s="716" t="n"/>
      <c r="F532" s="716" t="n"/>
      <c r="G532" s="716" t="n"/>
      <c r="H532" s="462" t="n"/>
    </row>
    <row r="533">
      <c r="A533" s="462" t="n"/>
      <c r="B533" s="767">
        <f>ROW()</f>
        <v/>
      </c>
      <c r="C533" s="716" t="n"/>
      <c r="D533" s="716" t="n"/>
      <c r="E533" s="716" t="n"/>
      <c r="F533" s="716" t="n"/>
      <c r="G533" s="716" t="n"/>
      <c r="H533" s="462" t="n"/>
    </row>
    <row r="534">
      <c r="A534" s="462" t="n"/>
      <c r="B534" s="767">
        <f>ROW()</f>
        <v/>
      </c>
      <c r="C534" s="716" t="n"/>
      <c r="D534" s="716" t="n"/>
      <c r="E534" s="716" t="n"/>
      <c r="F534" s="716" t="n"/>
      <c r="G534" s="716" t="n"/>
      <c r="H534" s="462" t="n"/>
    </row>
    <row r="535">
      <c r="A535" s="462" t="n"/>
      <c r="B535" s="767">
        <f>ROW()</f>
        <v/>
      </c>
      <c r="C535" s="716" t="n"/>
      <c r="D535" s="716" t="n"/>
      <c r="E535" s="716" t="n"/>
      <c r="F535" s="716" t="n"/>
      <c r="G535" s="716" t="n"/>
      <c r="H535" s="462" t="n"/>
    </row>
    <row r="536">
      <c r="A536" s="462" t="n"/>
      <c r="B536" s="767">
        <f>ROW()</f>
        <v/>
      </c>
      <c r="C536" s="716" t="n"/>
      <c r="D536" s="716" t="n"/>
      <c r="E536" s="716" t="n"/>
      <c r="F536" s="716" t="n"/>
      <c r="G536" s="716" t="n"/>
      <c r="H536" s="462" t="n"/>
    </row>
    <row r="537">
      <c r="A537" s="462" t="n"/>
      <c r="B537" s="767">
        <f>ROW()</f>
        <v/>
      </c>
      <c r="C537" s="716" t="n"/>
      <c r="D537" s="716" t="n"/>
      <c r="E537" s="716" t="n"/>
      <c r="F537" s="716" t="n"/>
      <c r="G537" s="716" t="n"/>
      <c r="H537" s="462" t="n"/>
    </row>
    <row r="538">
      <c r="A538" s="462" t="n"/>
      <c r="B538" s="767">
        <f>ROW()</f>
        <v/>
      </c>
      <c r="C538" s="716" t="n"/>
      <c r="D538" s="716" t="n"/>
      <c r="E538" s="716" t="n"/>
      <c r="F538" s="716" t="n"/>
      <c r="G538" s="716" t="n"/>
      <c r="H538" s="462" t="n"/>
    </row>
    <row r="539">
      <c r="A539" s="462" t="n"/>
      <c r="B539" s="767">
        <f>ROW()</f>
        <v/>
      </c>
      <c r="C539" s="716" t="n"/>
      <c r="D539" s="716" t="n"/>
      <c r="E539" s="716" t="n"/>
      <c r="F539" s="716" t="n"/>
      <c r="G539" s="716" t="n"/>
      <c r="H539" s="462" t="n"/>
    </row>
    <row r="540">
      <c r="A540" s="462" t="n"/>
      <c r="B540" s="767">
        <f>ROW()</f>
        <v/>
      </c>
      <c r="C540" s="716" t="n"/>
      <c r="D540" s="716" t="n"/>
      <c r="E540" s="716" t="n"/>
      <c r="F540" s="716" t="n"/>
      <c r="G540" s="716" t="n"/>
      <c r="H540" s="462" t="n"/>
    </row>
    <row r="541">
      <c r="A541" s="462" t="n"/>
      <c r="B541" s="767">
        <f>ROW()</f>
        <v/>
      </c>
      <c r="C541" s="716" t="n"/>
      <c r="D541" s="716" t="n"/>
      <c r="E541" s="716" t="n"/>
      <c r="F541" s="716" t="n"/>
      <c r="G541" s="716" t="n"/>
      <c r="H541" s="462" t="n"/>
    </row>
    <row r="542">
      <c r="A542" s="462" t="n"/>
      <c r="B542" s="767">
        <f>ROW()</f>
        <v/>
      </c>
      <c r="C542" s="716" t="n"/>
      <c r="D542" s="716" t="n"/>
      <c r="E542" s="716" t="n"/>
      <c r="F542" s="716" t="n"/>
      <c r="G542" s="716" t="n"/>
      <c r="H542" s="462" t="n"/>
    </row>
    <row r="543">
      <c r="A543" s="462" t="n"/>
      <c r="B543" s="767">
        <f>ROW()</f>
        <v/>
      </c>
      <c r="C543" s="716" t="n"/>
      <c r="D543" s="716" t="n"/>
      <c r="E543" s="716" t="n"/>
      <c r="F543" s="716" t="n"/>
      <c r="G543" s="716" t="n"/>
      <c r="H543" s="462" t="n"/>
    </row>
    <row r="544">
      <c r="A544" s="462" t="n"/>
      <c r="B544" s="767">
        <f>ROW()</f>
        <v/>
      </c>
      <c r="C544" s="716" t="n"/>
      <c r="D544" s="716" t="n"/>
      <c r="E544" s="716" t="n"/>
      <c r="F544" s="716" t="n"/>
      <c r="G544" s="716" t="n"/>
      <c r="H544" s="462" t="n"/>
    </row>
    <row r="545">
      <c r="A545" s="462" t="n"/>
      <c r="B545" s="767">
        <f>ROW()</f>
        <v/>
      </c>
      <c r="C545" s="716" t="n"/>
      <c r="D545" s="716" t="n"/>
      <c r="E545" s="716" t="n"/>
      <c r="F545" s="716" t="n"/>
      <c r="G545" s="716" t="n"/>
      <c r="H545" s="462" t="n"/>
    </row>
    <row r="546">
      <c r="A546" s="462" t="n"/>
      <c r="B546" s="767">
        <f>ROW()</f>
        <v/>
      </c>
      <c r="C546" s="716" t="n"/>
      <c r="D546" s="716" t="n"/>
      <c r="E546" s="716" t="n"/>
      <c r="F546" s="716" t="n"/>
      <c r="G546" s="716" t="n"/>
      <c r="H546" s="462" t="n"/>
    </row>
    <row r="547">
      <c r="A547" s="462" t="n"/>
      <c r="B547" s="767">
        <f>ROW()</f>
        <v/>
      </c>
      <c r="C547" s="716" t="n"/>
      <c r="D547" s="716" t="n"/>
      <c r="E547" s="716" t="n"/>
      <c r="F547" s="716" t="n"/>
      <c r="G547" s="716" t="n"/>
      <c r="H547" s="462" t="n"/>
    </row>
    <row r="548">
      <c r="A548" s="462" t="n"/>
      <c r="B548" s="767">
        <f>ROW()</f>
        <v/>
      </c>
      <c r="C548" s="716" t="n"/>
      <c r="D548" s="716" t="n"/>
      <c r="E548" s="716" t="n"/>
      <c r="F548" s="716" t="n"/>
      <c r="G548" s="716" t="n"/>
      <c r="H548" s="462" t="n"/>
    </row>
    <row r="549">
      <c r="A549" s="462" t="n"/>
      <c r="B549" s="767">
        <f>ROW()</f>
        <v/>
      </c>
      <c r="C549" s="716" t="n"/>
      <c r="D549" s="716" t="n"/>
      <c r="E549" s="716" t="n"/>
      <c r="F549" s="716" t="n"/>
      <c r="G549" s="716" t="n"/>
      <c r="H549" s="462" t="n"/>
    </row>
    <row r="550">
      <c r="A550" s="462" t="n"/>
      <c r="B550" s="767">
        <f>ROW()</f>
        <v/>
      </c>
      <c r="C550" s="716" t="n"/>
      <c r="D550" s="716" t="n"/>
      <c r="E550" s="716" t="n"/>
      <c r="F550" s="716" t="n"/>
      <c r="G550" s="716" t="n"/>
      <c r="H550" s="462" t="n"/>
    </row>
    <row r="551">
      <c r="A551" s="462" t="n"/>
      <c r="B551" s="767">
        <f>ROW()</f>
        <v/>
      </c>
      <c r="C551" s="716" t="n"/>
      <c r="D551" s="716" t="n"/>
      <c r="E551" s="716" t="n"/>
      <c r="F551" s="716" t="n"/>
      <c r="G551" s="716" t="n"/>
      <c r="H551" s="462" t="n"/>
    </row>
    <row r="552">
      <c r="A552" s="462" t="n"/>
      <c r="B552" s="767">
        <f>ROW()</f>
        <v/>
      </c>
      <c r="C552" s="716" t="n"/>
      <c r="D552" s="716" t="n"/>
      <c r="E552" s="716" t="n"/>
      <c r="F552" s="716" t="n"/>
      <c r="G552" s="716" t="n"/>
      <c r="H552" s="462" t="n"/>
    </row>
    <row r="553">
      <c r="A553" s="462" t="n"/>
      <c r="B553" s="767">
        <f>ROW()</f>
        <v/>
      </c>
      <c r="C553" s="716" t="n"/>
      <c r="D553" s="716" t="n"/>
      <c r="E553" s="716" t="n"/>
      <c r="F553" s="716" t="n"/>
      <c r="G553" s="716" t="n"/>
      <c r="H553" s="462" t="n"/>
    </row>
    <row r="554">
      <c r="A554" s="462" t="n"/>
      <c r="B554" s="767">
        <f>ROW()</f>
        <v/>
      </c>
      <c r="C554" s="716" t="n"/>
      <c r="D554" s="716" t="n"/>
      <c r="E554" s="716" t="n"/>
      <c r="F554" s="716" t="n"/>
      <c r="G554" s="716" t="n"/>
      <c r="H554" s="462" t="n"/>
    </row>
    <row r="555">
      <c r="A555" s="462" t="n"/>
      <c r="B555" s="767">
        <f>ROW()</f>
        <v/>
      </c>
      <c r="C555" s="716" t="n"/>
      <c r="D555" s="716" t="n"/>
      <c r="E555" s="716" t="n"/>
      <c r="F555" s="716" t="n"/>
      <c r="G555" s="716" t="n"/>
      <c r="H555" s="462" t="n"/>
    </row>
    <row r="556">
      <c r="A556" s="462" t="n"/>
      <c r="B556" s="767">
        <f>ROW()</f>
        <v/>
      </c>
      <c r="C556" s="716" t="n"/>
      <c r="D556" s="716" t="n"/>
      <c r="E556" s="716" t="n"/>
      <c r="F556" s="716" t="n"/>
      <c r="G556" s="716" t="n"/>
      <c r="H556" s="462" t="n"/>
    </row>
    <row r="557">
      <c r="A557" s="462" t="n"/>
      <c r="B557" s="767">
        <f>ROW()</f>
        <v/>
      </c>
      <c r="C557" s="716" t="n"/>
      <c r="D557" s="716" t="n"/>
      <c r="E557" s="716" t="n"/>
      <c r="F557" s="716" t="n"/>
      <c r="G557" s="716" t="n"/>
      <c r="H557" s="462" t="n"/>
    </row>
    <row r="558">
      <c r="A558" s="462" t="n"/>
      <c r="B558" s="767">
        <f>ROW()</f>
        <v/>
      </c>
      <c r="C558" s="716" t="n"/>
      <c r="D558" s="716" t="n"/>
      <c r="E558" s="716" t="n"/>
      <c r="F558" s="716" t="n"/>
      <c r="G558" s="716" t="n"/>
      <c r="H558" s="462" t="n"/>
    </row>
    <row r="559">
      <c r="A559" s="462" t="n"/>
      <c r="B559" s="767">
        <f>ROW()</f>
        <v/>
      </c>
      <c r="C559" s="716" t="n"/>
      <c r="D559" s="716" t="n"/>
      <c r="E559" s="716" t="n"/>
      <c r="F559" s="716" t="n"/>
      <c r="G559" s="716" t="n"/>
      <c r="H559" s="462" t="n"/>
    </row>
    <row r="560">
      <c r="A560" s="462" t="n"/>
      <c r="B560" s="767">
        <f>ROW()</f>
        <v/>
      </c>
      <c r="C560" s="716" t="n"/>
      <c r="D560" s="716" t="n"/>
      <c r="E560" s="716" t="n"/>
      <c r="F560" s="716" t="n"/>
      <c r="G560" s="716" t="n"/>
      <c r="H560" s="462" t="n"/>
    </row>
    <row r="561">
      <c r="A561" s="462" t="n"/>
      <c r="B561" s="767">
        <f>ROW()</f>
        <v/>
      </c>
      <c r="C561" s="716" t="n"/>
      <c r="D561" s="716" t="n"/>
      <c r="E561" s="716" t="n"/>
      <c r="F561" s="716" t="n"/>
      <c r="G561" s="716" t="n"/>
      <c r="H561" s="462" t="n"/>
    </row>
    <row r="562">
      <c r="A562" s="462" t="n"/>
      <c r="B562" s="767">
        <f>ROW()</f>
        <v/>
      </c>
      <c r="C562" s="716" t="n"/>
      <c r="D562" s="716" t="n"/>
      <c r="E562" s="716" t="n"/>
      <c r="F562" s="716" t="n"/>
      <c r="G562" s="716" t="n"/>
      <c r="H562" s="462" t="n"/>
    </row>
    <row r="563">
      <c r="A563" s="462" t="n"/>
      <c r="B563" s="767">
        <f>ROW()</f>
        <v/>
      </c>
      <c r="C563" s="716" t="n"/>
      <c r="D563" s="716" t="n"/>
      <c r="E563" s="716" t="n"/>
      <c r="F563" s="716" t="n"/>
      <c r="G563" s="716" t="n"/>
      <c r="H563" s="462" t="n"/>
    </row>
    <row r="564">
      <c r="A564" s="462" t="n"/>
      <c r="B564" s="767">
        <f>ROW()</f>
        <v/>
      </c>
      <c r="C564" s="716" t="n"/>
      <c r="D564" s="716" t="n"/>
      <c r="E564" s="716" t="n"/>
      <c r="F564" s="716" t="n"/>
      <c r="G564" s="716" t="n"/>
      <c r="H564" s="462" t="n"/>
    </row>
    <row r="565">
      <c r="A565" s="462" t="n"/>
      <c r="B565" s="767">
        <f>ROW()</f>
        <v/>
      </c>
      <c r="C565" s="716" t="n"/>
      <c r="D565" s="716" t="n"/>
      <c r="E565" s="716" t="n"/>
      <c r="F565" s="716" t="n"/>
      <c r="G565" s="716" t="n"/>
      <c r="H565" s="462" t="n"/>
    </row>
    <row r="566">
      <c r="A566" s="462" t="n"/>
      <c r="B566" s="767">
        <f>ROW()</f>
        <v/>
      </c>
      <c r="C566" s="716" t="n"/>
      <c r="D566" s="716" t="n"/>
      <c r="E566" s="716" t="n"/>
      <c r="F566" s="716" t="n"/>
      <c r="G566" s="716" t="n"/>
      <c r="H566" s="462" t="n"/>
    </row>
    <row r="567">
      <c r="A567" s="462" t="n"/>
      <c r="B567" s="767">
        <f>ROW()</f>
        <v/>
      </c>
      <c r="C567" s="716" t="n"/>
      <c r="D567" s="716" t="n"/>
      <c r="E567" s="716" t="n"/>
      <c r="F567" s="716" t="n"/>
      <c r="G567" s="716" t="n"/>
      <c r="H567" s="462" t="n"/>
    </row>
    <row r="568">
      <c r="A568" s="462" t="n"/>
      <c r="B568" s="767">
        <f>ROW()</f>
        <v/>
      </c>
      <c r="C568" s="716" t="n"/>
      <c r="D568" s="716" t="n"/>
      <c r="E568" s="716" t="n"/>
      <c r="F568" s="716" t="n"/>
      <c r="G568" s="716" t="n"/>
      <c r="H568" s="462" t="n"/>
    </row>
    <row r="569">
      <c r="A569" s="462" t="n"/>
      <c r="B569" s="767">
        <f>ROW()</f>
        <v/>
      </c>
      <c r="C569" s="716" t="n"/>
      <c r="D569" s="716" t="n"/>
      <c r="E569" s="716" t="n"/>
      <c r="F569" s="716" t="n"/>
      <c r="G569" s="716" t="n"/>
      <c r="H569" s="462" t="n"/>
    </row>
    <row r="570">
      <c r="A570" s="462" t="n"/>
      <c r="B570" s="767">
        <f>ROW()</f>
        <v/>
      </c>
      <c r="C570" s="716" t="n"/>
      <c r="D570" s="716" t="n"/>
      <c r="E570" s="716" t="n"/>
      <c r="F570" s="716" t="n"/>
      <c r="G570" s="716" t="n"/>
      <c r="H570" s="462" t="n"/>
    </row>
    <row r="571">
      <c r="A571" s="462" t="n"/>
      <c r="B571" s="767">
        <f>ROW()</f>
        <v/>
      </c>
      <c r="C571" s="716" t="n"/>
      <c r="D571" s="716" t="n"/>
      <c r="E571" s="716" t="n"/>
      <c r="F571" s="716" t="n"/>
      <c r="G571" s="716" t="n"/>
      <c r="H571" s="462" t="n"/>
    </row>
    <row r="572">
      <c r="A572" s="462" t="n"/>
      <c r="B572" s="767">
        <f>ROW()</f>
        <v/>
      </c>
      <c r="C572" s="716" t="n"/>
      <c r="D572" s="716" t="n"/>
      <c r="E572" s="716" t="n"/>
      <c r="F572" s="716" t="n"/>
      <c r="G572" s="716" t="n"/>
      <c r="H572" s="462" t="n"/>
    </row>
    <row r="573">
      <c r="A573" s="462" t="n"/>
      <c r="B573" s="767">
        <f>ROW()</f>
        <v/>
      </c>
      <c r="C573" s="716" t="n"/>
      <c r="D573" s="716" t="n"/>
      <c r="E573" s="716" t="n"/>
      <c r="F573" s="716" t="n"/>
      <c r="G573" s="716" t="n"/>
      <c r="H573" s="462" t="n"/>
    </row>
    <row r="574">
      <c r="A574" s="462" t="n"/>
      <c r="B574" s="767">
        <f>ROW()</f>
        <v/>
      </c>
      <c r="C574" s="716" t="n"/>
      <c r="D574" s="716" t="n"/>
      <c r="E574" s="716" t="n"/>
      <c r="F574" s="716" t="n"/>
      <c r="G574" s="716" t="n"/>
      <c r="H574" s="462" t="n"/>
    </row>
    <row r="575">
      <c r="A575" s="462" t="n"/>
      <c r="B575" s="767">
        <f>ROW()</f>
        <v/>
      </c>
      <c r="C575" s="716" t="n"/>
      <c r="D575" s="716" t="n"/>
      <c r="E575" s="716" t="n"/>
      <c r="F575" s="716" t="n"/>
      <c r="G575" s="716" t="n"/>
      <c r="H575" s="462" t="n"/>
    </row>
    <row r="576">
      <c r="A576" s="462" t="n"/>
      <c r="B576" s="767">
        <f>ROW()</f>
        <v/>
      </c>
      <c r="C576" s="716" t="n"/>
      <c r="D576" s="716" t="n"/>
      <c r="E576" s="716" t="n"/>
      <c r="F576" s="716" t="n"/>
      <c r="G576" s="716" t="n"/>
      <c r="H576" s="462" t="n"/>
    </row>
    <row r="577">
      <c r="A577" s="462" t="n"/>
      <c r="B577" s="767">
        <f>ROW()</f>
        <v/>
      </c>
      <c r="C577" s="716" t="n"/>
      <c r="D577" s="716" t="n"/>
      <c r="E577" s="716" t="n"/>
      <c r="F577" s="716" t="n"/>
      <c r="G577" s="716" t="n"/>
      <c r="H577" s="462" t="n"/>
    </row>
    <row r="578">
      <c r="A578" s="462" t="n"/>
      <c r="B578" s="767">
        <f>ROW()</f>
        <v/>
      </c>
      <c r="C578" s="716" t="n"/>
      <c r="D578" s="716" t="n"/>
      <c r="E578" s="716" t="n"/>
      <c r="F578" s="716" t="n"/>
      <c r="G578" s="716" t="n"/>
      <c r="H578" s="462" t="n"/>
    </row>
    <row r="579">
      <c r="A579" s="462" t="n"/>
      <c r="B579" s="767">
        <f>ROW()</f>
        <v/>
      </c>
      <c r="C579" s="716" t="n"/>
      <c r="D579" s="716" t="n"/>
      <c r="E579" s="716" t="n"/>
      <c r="F579" s="716" t="n"/>
      <c r="G579" s="716" t="n"/>
      <c r="H579" s="462" t="n"/>
    </row>
    <row r="580">
      <c r="A580" s="462" t="n"/>
      <c r="B580" s="767">
        <f>ROW()</f>
        <v/>
      </c>
      <c r="C580" s="716" t="n"/>
      <c r="D580" s="716" t="n"/>
      <c r="E580" s="716" t="n"/>
      <c r="F580" s="716" t="n"/>
      <c r="G580" s="716" t="n"/>
      <c r="H580" s="462" t="n"/>
    </row>
    <row r="581">
      <c r="A581" s="462" t="n"/>
      <c r="B581" s="767">
        <f>ROW()</f>
        <v/>
      </c>
      <c r="C581" s="716" t="n"/>
      <c r="D581" s="716" t="n"/>
      <c r="E581" s="716" t="n"/>
      <c r="F581" s="716" t="n"/>
      <c r="G581" s="716" t="n"/>
      <c r="H581" s="462" t="n"/>
    </row>
    <row r="582">
      <c r="A582" s="462" t="n"/>
      <c r="B582" s="767">
        <f>ROW()</f>
        <v/>
      </c>
      <c r="C582" s="716" t="n"/>
      <c r="D582" s="716" t="n"/>
      <c r="E582" s="716" t="n"/>
      <c r="F582" s="716" t="n"/>
      <c r="G582" s="716" t="n"/>
      <c r="H582" s="462" t="n"/>
    </row>
    <row r="583">
      <c r="A583" s="462" t="n"/>
      <c r="B583" s="767">
        <f>ROW()</f>
        <v/>
      </c>
      <c r="C583" s="716" t="n"/>
      <c r="D583" s="716" t="n"/>
      <c r="E583" s="716" t="n"/>
      <c r="F583" s="716" t="n"/>
      <c r="G583" s="716" t="n"/>
      <c r="H583" s="462" t="n"/>
    </row>
    <row r="584">
      <c r="A584" s="462" t="n"/>
      <c r="B584" s="767">
        <f>ROW()</f>
        <v/>
      </c>
      <c r="C584" s="716" t="n"/>
      <c r="D584" s="716" t="n"/>
      <c r="E584" s="716" t="n"/>
      <c r="F584" s="716" t="n"/>
      <c r="G584" s="716" t="n"/>
      <c r="H584" s="462" t="n"/>
    </row>
    <row r="585">
      <c r="A585" s="462" t="n"/>
      <c r="B585" s="767">
        <f>ROW()</f>
        <v/>
      </c>
      <c r="C585" s="716" t="n"/>
      <c r="D585" s="716" t="n"/>
      <c r="E585" s="716" t="n"/>
      <c r="F585" s="716" t="n"/>
      <c r="G585" s="716" t="n"/>
      <c r="H585" s="462" t="n"/>
    </row>
    <row r="586">
      <c r="A586" s="462" t="n"/>
      <c r="B586" s="767">
        <f>ROW()</f>
        <v/>
      </c>
      <c r="C586" s="716" t="n"/>
      <c r="D586" s="716" t="n"/>
      <c r="E586" s="716" t="n"/>
      <c r="F586" s="716" t="n"/>
      <c r="G586" s="716" t="n"/>
      <c r="H586" s="462" t="n"/>
    </row>
    <row r="587">
      <c r="A587" s="462" t="n"/>
      <c r="B587" s="767">
        <f>ROW()</f>
        <v/>
      </c>
      <c r="C587" s="716" t="n"/>
      <c r="D587" s="716" t="n"/>
      <c r="E587" s="716" t="n"/>
      <c r="F587" s="716" t="n"/>
      <c r="G587" s="716" t="n"/>
      <c r="H587" s="462" t="n"/>
    </row>
    <row r="588">
      <c r="A588" s="462" t="n"/>
      <c r="B588" s="767">
        <f>ROW()</f>
        <v/>
      </c>
      <c r="C588" s="716" t="n"/>
      <c r="D588" s="716" t="n"/>
      <c r="E588" s="716" t="n"/>
      <c r="F588" s="716" t="n"/>
      <c r="G588" s="716" t="n"/>
      <c r="H588" s="462" t="n"/>
    </row>
    <row r="589">
      <c r="A589" s="462" t="n"/>
      <c r="B589" s="767">
        <f>ROW()</f>
        <v/>
      </c>
      <c r="C589" s="716" t="n"/>
      <c r="D589" s="716" t="n"/>
      <c r="E589" s="716" t="n"/>
      <c r="F589" s="716" t="n"/>
      <c r="G589" s="716" t="n"/>
      <c r="H589" s="462" t="n"/>
    </row>
    <row r="590">
      <c r="A590" s="462" t="n"/>
      <c r="B590" s="767">
        <f>ROW()</f>
        <v/>
      </c>
      <c r="C590" s="716" t="n"/>
      <c r="D590" s="716" t="n"/>
      <c r="E590" s="716" t="n"/>
      <c r="F590" s="716" t="n"/>
      <c r="G590" s="716" t="n"/>
      <c r="H590" s="462" t="n"/>
    </row>
    <row r="591">
      <c r="A591" s="462" t="n"/>
      <c r="B591" s="767">
        <f>ROW()</f>
        <v/>
      </c>
      <c r="C591" s="716" t="n"/>
      <c r="D591" s="716" t="n"/>
      <c r="E591" s="716" t="n"/>
      <c r="F591" s="716" t="n"/>
      <c r="G591" s="716" t="n"/>
      <c r="H591" s="462" t="n"/>
    </row>
    <row r="592">
      <c r="A592" s="462" t="n"/>
      <c r="B592" s="767">
        <f>ROW()</f>
        <v/>
      </c>
      <c r="C592" s="716" t="n"/>
      <c r="D592" s="716" t="n"/>
      <c r="E592" s="716" t="n"/>
      <c r="F592" s="716" t="n"/>
      <c r="G592" s="716" t="n"/>
      <c r="H592" s="462" t="n"/>
    </row>
    <row r="593">
      <c r="A593" s="462" t="n"/>
      <c r="B593" s="767">
        <f>ROW()</f>
        <v/>
      </c>
      <c r="C593" s="716" t="n"/>
      <c r="D593" s="716" t="n"/>
      <c r="E593" s="716" t="n"/>
      <c r="F593" s="716" t="n"/>
      <c r="G593" s="716" t="n"/>
      <c r="H593" s="462" t="n"/>
    </row>
    <row r="594">
      <c r="A594" s="462" t="n"/>
      <c r="B594" s="767">
        <f>ROW()</f>
        <v/>
      </c>
      <c r="C594" s="716" t="n"/>
      <c r="D594" s="716" t="n"/>
      <c r="E594" s="716" t="n"/>
      <c r="F594" s="716" t="n"/>
      <c r="G594" s="716" t="n"/>
      <c r="H594" s="462" t="n"/>
    </row>
    <row r="595">
      <c r="A595" s="462" t="n"/>
      <c r="B595" s="767">
        <f>ROW()</f>
        <v/>
      </c>
      <c r="C595" s="716" t="n"/>
      <c r="D595" s="716" t="n"/>
      <c r="E595" s="716" t="n"/>
      <c r="F595" s="716" t="n"/>
      <c r="G595" s="716" t="n"/>
      <c r="H595" s="462" t="n"/>
    </row>
    <row r="596">
      <c r="A596" s="462" t="n"/>
      <c r="B596" s="767">
        <f>ROW()</f>
        <v/>
      </c>
      <c r="C596" s="716" t="n"/>
      <c r="D596" s="716" t="n"/>
      <c r="E596" s="716" t="n"/>
      <c r="F596" s="716" t="n"/>
      <c r="G596" s="716" t="n"/>
      <c r="H596" s="462" t="n"/>
    </row>
    <row r="597">
      <c r="A597" s="462" t="n"/>
      <c r="B597" s="767">
        <f>ROW()</f>
        <v/>
      </c>
      <c r="C597" s="716" t="n"/>
      <c r="D597" s="716" t="n"/>
      <c r="E597" s="716" t="n"/>
      <c r="F597" s="716" t="n"/>
      <c r="G597" s="716" t="n"/>
      <c r="H597" s="462" t="n"/>
    </row>
    <row r="598">
      <c r="A598" s="462" t="n"/>
      <c r="B598" s="767">
        <f>ROW()</f>
        <v/>
      </c>
      <c r="C598" s="716" t="n"/>
      <c r="D598" s="716" t="n"/>
      <c r="E598" s="716" t="n"/>
      <c r="F598" s="716" t="n"/>
      <c r="G598" s="716" t="n"/>
      <c r="H598" s="462" t="n"/>
    </row>
    <row r="599">
      <c r="A599" s="462" t="n"/>
      <c r="B599" s="767">
        <f>ROW()</f>
        <v/>
      </c>
      <c r="C599" s="716" t="n"/>
      <c r="D599" s="716" t="n"/>
      <c r="E599" s="716" t="n"/>
      <c r="F599" s="716" t="n"/>
      <c r="G599" s="716" t="n"/>
      <c r="H599" s="462" t="n"/>
    </row>
    <row r="600">
      <c r="A600" s="462" t="n"/>
      <c r="B600" s="767">
        <f>ROW()</f>
        <v/>
      </c>
      <c r="C600" s="716" t="n"/>
      <c r="D600" s="716" t="n"/>
      <c r="E600" s="716" t="n"/>
      <c r="F600" s="716" t="n"/>
      <c r="G600" s="716" t="n"/>
      <c r="H600" s="462" t="n"/>
    </row>
    <row r="601">
      <c r="A601" s="462" t="n"/>
      <c r="B601" s="767">
        <f>ROW()</f>
        <v/>
      </c>
      <c r="C601" s="716" t="n"/>
      <c r="D601" s="716" t="n"/>
      <c r="E601" s="716" t="n"/>
      <c r="F601" s="716" t="n"/>
      <c r="G601" s="716" t="n"/>
      <c r="H601" s="462" t="n"/>
    </row>
    <row r="602">
      <c r="A602" s="462" t="n"/>
      <c r="B602" s="767">
        <f>ROW()</f>
        <v/>
      </c>
      <c r="C602" s="716" t="n"/>
      <c r="D602" s="716" t="n"/>
      <c r="E602" s="716" t="n"/>
      <c r="F602" s="716" t="n"/>
      <c r="G602" s="716" t="n"/>
      <c r="H602" s="462" t="n"/>
    </row>
    <row r="603">
      <c r="A603" s="462" t="n"/>
      <c r="B603" s="767">
        <f>ROW()</f>
        <v/>
      </c>
      <c r="C603" s="716" t="n"/>
      <c r="D603" s="716" t="n"/>
      <c r="E603" s="716" t="n"/>
      <c r="F603" s="716" t="n"/>
      <c r="G603" s="716" t="n"/>
      <c r="H603" s="462" t="n"/>
    </row>
    <row r="604">
      <c r="A604" s="462" t="n"/>
      <c r="B604" s="767">
        <f>ROW()</f>
        <v/>
      </c>
      <c r="C604" s="716" t="n"/>
      <c r="D604" s="716" t="n"/>
      <c r="E604" s="716" t="n"/>
      <c r="F604" s="716" t="n"/>
      <c r="G604" s="716" t="n"/>
      <c r="H604" s="462" t="n"/>
    </row>
    <row r="605">
      <c r="A605" s="462" t="n"/>
      <c r="B605" s="767">
        <f>ROW()</f>
        <v/>
      </c>
      <c r="C605" s="716" t="n"/>
      <c r="D605" s="716" t="n"/>
      <c r="E605" s="716" t="n"/>
      <c r="F605" s="716" t="n"/>
      <c r="G605" s="716" t="n"/>
      <c r="H605" s="462" t="n"/>
    </row>
    <row r="606">
      <c r="A606" s="462" t="n"/>
      <c r="B606" s="767">
        <f>ROW()</f>
        <v/>
      </c>
      <c r="C606" s="716" t="n"/>
      <c r="D606" s="716" t="n"/>
      <c r="E606" s="716" t="n"/>
      <c r="F606" s="716" t="n"/>
      <c r="G606" s="716" t="n"/>
      <c r="H606" s="462" t="n"/>
    </row>
    <row r="607">
      <c r="A607" s="462" t="n"/>
      <c r="B607" s="767">
        <f>ROW()</f>
        <v/>
      </c>
      <c r="C607" s="716" t="n"/>
      <c r="D607" s="716" t="n"/>
      <c r="E607" s="716" t="n"/>
      <c r="F607" s="716" t="n"/>
      <c r="G607" s="716" t="n"/>
      <c r="H607" s="462" t="n"/>
    </row>
    <row r="608">
      <c r="A608" s="462" t="n"/>
      <c r="B608" s="767">
        <f>ROW()</f>
        <v/>
      </c>
      <c r="C608" s="716" t="n"/>
      <c r="D608" s="716" t="n"/>
      <c r="E608" s="716" t="n"/>
      <c r="F608" s="716" t="n"/>
      <c r="G608" s="716" t="n"/>
      <c r="H608" s="462" t="n"/>
    </row>
    <row r="609">
      <c r="A609" s="462" t="n"/>
      <c r="B609" s="767">
        <f>ROW()</f>
        <v/>
      </c>
      <c r="C609" s="716" t="n"/>
      <c r="D609" s="716" t="n"/>
      <c r="E609" s="716" t="n"/>
      <c r="F609" s="716" t="n"/>
      <c r="G609" s="716" t="n"/>
      <c r="H609" s="462" t="n"/>
    </row>
    <row r="610">
      <c r="A610" s="462" t="n"/>
      <c r="B610" s="767">
        <f>ROW()</f>
        <v/>
      </c>
      <c r="C610" s="716" t="n"/>
      <c r="D610" s="716" t="n"/>
      <c r="E610" s="716" t="n"/>
      <c r="F610" s="716" t="n"/>
      <c r="G610" s="716" t="n"/>
      <c r="H610" s="462" t="n"/>
    </row>
    <row r="611">
      <c r="A611" s="462" t="n"/>
      <c r="B611" s="767">
        <f>ROW()</f>
        <v/>
      </c>
      <c r="C611" s="716" t="n"/>
      <c r="D611" s="716" t="n"/>
      <c r="E611" s="716" t="n"/>
      <c r="F611" s="716" t="n"/>
      <c r="G611" s="716" t="n"/>
      <c r="H611" s="462" t="n"/>
    </row>
    <row r="612">
      <c r="A612" s="462" t="n"/>
      <c r="B612" s="767">
        <f>ROW()</f>
        <v/>
      </c>
      <c r="C612" s="716" t="n"/>
      <c r="D612" s="716" t="n"/>
      <c r="E612" s="716" t="n"/>
      <c r="F612" s="716" t="n"/>
      <c r="G612" s="716" t="n"/>
      <c r="H612" s="462" t="n"/>
    </row>
    <row r="613">
      <c r="A613" s="462" t="n"/>
      <c r="B613" s="767">
        <f>ROW()</f>
        <v/>
      </c>
      <c r="C613" s="716" t="n"/>
      <c r="D613" s="716" t="n"/>
      <c r="E613" s="716" t="n"/>
      <c r="F613" s="716" t="n"/>
      <c r="G613" s="716" t="n"/>
      <c r="H613" s="462" t="n"/>
    </row>
    <row r="614">
      <c r="A614" s="462" t="n"/>
      <c r="B614" s="767">
        <f>ROW()</f>
        <v/>
      </c>
      <c r="C614" s="716" t="n"/>
      <c r="D614" s="716" t="n"/>
      <c r="E614" s="716" t="n"/>
      <c r="F614" s="716" t="n"/>
      <c r="G614" s="716" t="n"/>
      <c r="H614" s="462" t="n"/>
    </row>
    <row r="615">
      <c r="A615" s="462" t="n"/>
      <c r="B615" s="767">
        <f>ROW()</f>
        <v/>
      </c>
      <c r="C615" s="716" t="n"/>
      <c r="D615" s="716" t="n"/>
      <c r="E615" s="716" t="n"/>
      <c r="F615" s="716" t="n"/>
      <c r="G615" s="716" t="n"/>
      <c r="H615" s="462" t="n"/>
    </row>
    <row r="616">
      <c r="A616" s="462" t="n"/>
      <c r="B616" s="767">
        <f>ROW()</f>
        <v/>
      </c>
      <c r="C616" s="716" t="n"/>
      <c r="D616" s="716" t="n"/>
      <c r="E616" s="716" t="n"/>
      <c r="F616" s="716" t="n"/>
      <c r="G616" s="716" t="n"/>
      <c r="H616" s="462" t="n"/>
    </row>
    <row r="617">
      <c r="A617" s="462" t="n"/>
      <c r="B617" s="767">
        <f>ROW()</f>
        <v/>
      </c>
      <c r="C617" s="716" t="n"/>
      <c r="D617" s="716" t="n"/>
      <c r="E617" s="716" t="n"/>
      <c r="F617" s="716" t="n"/>
      <c r="G617" s="716" t="n"/>
      <c r="H617" s="462" t="n"/>
    </row>
    <row r="618">
      <c r="A618" s="462" t="n"/>
      <c r="B618" s="767">
        <f>ROW()</f>
        <v/>
      </c>
      <c r="C618" s="716" t="n"/>
      <c r="D618" s="716" t="n"/>
      <c r="E618" s="716" t="n"/>
      <c r="F618" s="716" t="n"/>
      <c r="G618" s="716" t="n"/>
      <c r="H618" s="462" t="n"/>
    </row>
    <row r="619">
      <c r="A619" s="462" t="n"/>
      <c r="B619" s="767">
        <f>ROW()</f>
        <v/>
      </c>
      <c r="C619" s="716" t="n"/>
      <c r="D619" s="716" t="n"/>
      <c r="E619" s="716" t="n"/>
      <c r="F619" s="716" t="n"/>
      <c r="G619" s="716" t="n"/>
      <c r="H619" s="462" t="n"/>
    </row>
    <row r="620">
      <c r="A620" s="462" t="n"/>
      <c r="B620" s="767">
        <f>ROW()</f>
        <v/>
      </c>
      <c r="C620" s="716" t="n"/>
      <c r="D620" s="716" t="n"/>
      <c r="E620" s="716" t="n"/>
      <c r="F620" s="716" t="n"/>
      <c r="G620" s="716" t="n"/>
      <c r="H620" s="462" t="n"/>
    </row>
    <row r="621">
      <c r="A621" s="462" t="n"/>
      <c r="B621" s="767">
        <f>ROW()</f>
        <v/>
      </c>
      <c r="C621" s="716" t="n"/>
      <c r="D621" s="716" t="n"/>
      <c r="E621" s="716" t="n"/>
      <c r="F621" s="716" t="n"/>
      <c r="G621" s="716" t="n"/>
      <c r="H621" s="462" t="n"/>
    </row>
    <row r="622">
      <c r="A622" s="462" t="n"/>
      <c r="B622" s="767">
        <f>ROW()</f>
        <v/>
      </c>
      <c r="C622" s="716" t="n"/>
      <c r="D622" s="716" t="n"/>
      <c r="E622" s="716" t="n"/>
      <c r="F622" s="716" t="n"/>
      <c r="G622" s="716" t="n"/>
      <c r="H622" s="462" t="n"/>
    </row>
    <row r="623">
      <c r="A623" s="462" t="n"/>
      <c r="B623" s="767">
        <f>ROW()</f>
        <v/>
      </c>
      <c r="C623" s="716" t="n"/>
      <c r="D623" s="716" t="n"/>
      <c r="E623" s="716" t="n"/>
      <c r="F623" s="716" t="n"/>
      <c r="G623" s="716" t="n"/>
      <c r="H623" s="462" t="n"/>
    </row>
    <row r="624">
      <c r="A624" s="462" t="n"/>
      <c r="B624" s="767">
        <f>ROW()</f>
        <v/>
      </c>
      <c r="C624" s="716" t="n"/>
      <c r="D624" s="716" t="n"/>
      <c r="E624" s="716" t="n"/>
      <c r="F624" s="716" t="n"/>
      <c r="G624" s="716" t="n"/>
      <c r="H624" s="462" t="n"/>
    </row>
    <row r="625">
      <c r="A625" s="462" t="n"/>
      <c r="B625" s="767">
        <f>ROW()</f>
        <v/>
      </c>
      <c r="C625" s="716" t="n"/>
      <c r="D625" s="716" t="n"/>
      <c r="E625" s="716" t="n"/>
      <c r="F625" s="716" t="n"/>
      <c r="G625" s="716" t="n"/>
      <c r="H625" s="462" t="n"/>
    </row>
    <row r="626">
      <c r="A626" s="462" t="n"/>
      <c r="B626" s="767">
        <f>ROW()</f>
        <v/>
      </c>
      <c r="C626" s="716" t="n"/>
      <c r="D626" s="716" t="n"/>
      <c r="E626" s="716" t="n"/>
      <c r="F626" s="716" t="n"/>
      <c r="G626" s="716" t="n"/>
      <c r="H626" s="462" t="n"/>
    </row>
    <row r="627">
      <c r="A627" s="462" t="n"/>
      <c r="B627" s="767">
        <f>ROW()</f>
        <v/>
      </c>
      <c r="C627" s="716" t="n"/>
      <c r="D627" s="716" t="n"/>
      <c r="E627" s="716" t="n"/>
      <c r="F627" s="716" t="n"/>
      <c r="G627" s="716" t="n"/>
      <c r="H627" s="462" t="n"/>
    </row>
    <row r="628">
      <c r="A628" s="462" t="n"/>
      <c r="B628" s="767">
        <f>ROW()</f>
        <v/>
      </c>
      <c r="C628" s="716" t="n"/>
      <c r="D628" s="716" t="n"/>
      <c r="E628" s="716" t="n"/>
      <c r="F628" s="716" t="n"/>
      <c r="G628" s="716" t="n"/>
      <c r="H628" s="462" t="n"/>
    </row>
    <row r="629">
      <c r="A629" s="462" t="n"/>
      <c r="B629" s="767">
        <f>ROW()</f>
        <v/>
      </c>
      <c r="C629" s="716" t="n"/>
      <c r="D629" s="716" t="n"/>
      <c r="E629" s="716" t="n"/>
      <c r="F629" s="716" t="n"/>
      <c r="G629" s="716" t="n"/>
      <c r="H629" s="462" t="n"/>
    </row>
    <row r="630">
      <c r="A630" s="462" t="n"/>
      <c r="B630" s="767">
        <f>ROW()</f>
        <v/>
      </c>
      <c r="C630" s="716" t="n"/>
      <c r="D630" s="716" t="n"/>
      <c r="E630" s="716" t="n"/>
      <c r="F630" s="716" t="n"/>
      <c r="G630" s="716" t="n"/>
      <c r="H630" s="462" t="n"/>
    </row>
    <row r="631">
      <c r="A631" s="462" t="n"/>
      <c r="B631" s="767">
        <f>ROW()</f>
        <v/>
      </c>
      <c r="C631" s="716" t="n"/>
      <c r="D631" s="716" t="n"/>
      <c r="E631" s="716" t="n"/>
      <c r="F631" s="716" t="n"/>
      <c r="G631" s="716" t="n"/>
      <c r="H631" s="462" t="n"/>
    </row>
    <row r="632">
      <c r="A632" s="462" t="n"/>
      <c r="B632" s="767">
        <f>ROW()</f>
        <v/>
      </c>
      <c r="C632" s="716" t="n"/>
      <c r="D632" s="716" t="n"/>
      <c r="E632" s="716" t="n"/>
      <c r="F632" s="716" t="n"/>
      <c r="G632" s="716" t="n"/>
      <c r="H632" s="462" t="n"/>
    </row>
    <row r="633">
      <c r="A633" s="462" t="n"/>
      <c r="B633" s="767">
        <f>ROW()</f>
        <v/>
      </c>
      <c r="C633" s="716" t="n"/>
      <c r="D633" s="716" t="n"/>
      <c r="E633" s="716" t="n"/>
      <c r="F633" s="716" t="n"/>
      <c r="G633" s="716" t="n"/>
      <c r="H633" s="462" t="n"/>
    </row>
    <row r="634">
      <c r="A634" s="462" t="n"/>
      <c r="B634" s="767">
        <f>ROW()</f>
        <v/>
      </c>
      <c r="C634" s="716" t="n"/>
      <c r="D634" s="716" t="n"/>
      <c r="E634" s="716" t="n"/>
      <c r="F634" s="716" t="n"/>
      <c r="G634" s="716" t="n"/>
      <c r="H634" s="462" t="n"/>
    </row>
    <row r="635">
      <c r="A635" s="462" t="n"/>
      <c r="B635" s="767">
        <f>ROW()</f>
        <v/>
      </c>
      <c r="C635" s="716" t="n"/>
      <c r="D635" s="716" t="n"/>
      <c r="E635" s="716" t="n"/>
      <c r="F635" s="716" t="n"/>
      <c r="G635" s="716" t="n"/>
      <c r="H635" s="462" t="n"/>
    </row>
    <row r="636">
      <c r="A636" s="462" t="n"/>
      <c r="B636" s="767">
        <f>ROW()</f>
        <v/>
      </c>
      <c r="C636" s="716" t="n"/>
      <c r="D636" s="716" t="n"/>
      <c r="E636" s="716" t="n"/>
      <c r="F636" s="716" t="n"/>
      <c r="G636" s="716" t="n"/>
      <c r="H636" s="462" t="n"/>
    </row>
    <row r="637">
      <c r="A637" s="462" t="n"/>
      <c r="B637" s="767">
        <f>ROW()</f>
        <v/>
      </c>
      <c r="C637" s="716" t="n"/>
      <c r="D637" s="716" t="n"/>
      <c r="E637" s="716" t="n"/>
      <c r="F637" s="716" t="n"/>
      <c r="G637" s="716" t="n"/>
      <c r="H637" s="462" t="n"/>
    </row>
    <row r="638">
      <c r="A638" s="462" t="n"/>
      <c r="B638" s="767">
        <f>ROW()</f>
        <v/>
      </c>
      <c r="C638" s="716" t="n"/>
      <c r="D638" s="716" t="n"/>
      <c r="E638" s="716" t="n"/>
      <c r="F638" s="716" t="n"/>
      <c r="G638" s="716" t="n"/>
      <c r="H638" s="462" t="n"/>
    </row>
    <row r="639">
      <c r="A639" s="462" t="n"/>
      <c r="B639" s="767">
        <f>ROW()</f>
        <v/>
      </c>
      <c r="C639" s="716" t="n"/>
      <c r="D639" s="716" t="n"/>
      <c r="E639" s="716" t="n"/>
      <c r="F639" s="716" t="n"/>
      <c r="G639" s="716" t="n"/>
      <c r="H639" s="462" t="n"/>
    </row>
    <row r="640">
      <c r="A640" s="462" t="n"/>
      <c r="B640" s="767">
        <f>ROW()</f>
        <v/>
      </c>
      <c r="C640" s="716" t="n"/>
      <c r="D640" s="716" t="n"/>
      <c r="E640" s="716" t="n"/>
      <c r="F640" s="716" t="n"/>
      <c r="G640" s="716" t="n"/>
      <c r="H640" s="462" t="n"/>
    </row>
    <row r="641">
      <c r="A641" s="462" t="n"/>
      <c r="B641" s="767">
        <f>ROW()</f>
        <v/>
      </c>
      <c r="C641" s="716" t="n"/>
      <c r="D641" s="716" t="n"/>
      <c r="E641" s="716" t="n"/>
      <c r="F641" s="716" t="n"/>
      <c r="G641" s="716" t="n"/>
      <c r="H641" s="462" t="n"/>
    </row>
    <row r="642">
      <c r="A642" s="462" t="n"/>
      <c r="B642" s="767">
        <f>ROW()</f>
        <v/>
      </c>
      <c r="C642" s="716" t="n"/>
      <c r="D642" s="716" t="n"/>
      <c r="E642" s="716" t="n"/>
      <c r="F642" s="716" t="n"/>
      <c r="G642" s="716" t="n"/>
      <c r="H642" s="462" t="n"/>
    </row>
    <row r="643">
      <c r="A643" s="462" t="n"/>
      <c r="B643" s="767">
        <f>ROW()</f>
        <v/>
      </c>
      <c r="C643" s="716" t="n"/>
      <c r="D643" s="716" t="n"/>
      <c r="E643" s="716" t="n"/>
      <c r="F643" s="716" t="n"/>
      <c r="G643" s="716" t="n"/>
      <c r="H643" s="462" t="n"/>
    </row>
    <row r="644">
      <c r="A644" s="462" t="n"/>
      <c r="B644" s="767">
        <f>ROW()</f>
        <v/>
      </c>
      <c r="C644" s="716" t="n"/>
      <c r="D644" s="716" t="n"/>
      <c r="E644" s="716" t="n"/>
      <c r="F644" s="716" t="n"/>
      <c r="G644" s="716" t="n"/>
      <c r="H644" s="462" t="n"/>
    </row>
    <row r="645">
      <c r="A645" s="462" t="n"/>
      <c r="B645" s="767">
        <f>ROW()</f>
        <v/>
      </c>
      <c r="C645" s="716" t="n"/>
      <c r="D645" s="716" t="n"/>
      <c r="E645" s="716" t="n"/>
      <c r="F645" s="716" t="n"/>
      <c r="G645" s="716" t="n"/>
      <c r="H645" s="462" t="n"/>
    </row>
    <row r="646">
      <c r="A646" s="462" t="n"/>
      <c r="B646" s="767">
        <f>ROW()</f>
        <v/>
      </c>
      <c r="C646" s="716" t="n"/>
      <c r="D646" s="716" t="n"/>
      <c r="E646" s="716" t="n"/>
      <c r="F646" s="716" t="n"/>
      <c r="G646" s="716" t="n"/>
      <c r="H646" s="462" t="n"/>
    </row>
    <row r="647">
      <c r="A647" s="462" t="n"/>
      <c r="B647" s="767">
        <f>ROW()</f>
        <v/>
      </c>
      <c r="C647" s="716" t="n"/>
      <c r="D647" s="716" t="n"/>
      <c r="E647" s="716" t="n"/>
      <c r="F647" s="716" t="n"/>
      <c r="G647" s="716" t="n"/>
      <c r="H647" s="462" t="n"/>
    </row>
    <row r="648">
      <c r="A648" s="462" t="n"/>
      <c r="B648" s="767">
        <f>ROW()</f>
        <v/>
      </c>
      <c r="C648" s="716" t="n"/>
      <c r="D648" s="716" t="n"/>
      <c r="E648" s="716" t="n"/>
      <c r="F648" s="716" t="n"/>
      <c r="G648" s="716" t="n"/>
      <c r="H648" s="462" t="n"/>
    </row>
    <row r="649">
      <c r="A649" s="462" t="n"/>
      <c r="B649" s="767">
        <f>ROW()</f>
        <v/>
      </c>
      <c r="C649" s="716" t="n"/>
      <c r="D649" s="716" t="n"/>
      <c r="E649" s="716" t="n"/>
      <c r="F649" s="716" t="n"/>
      <c r="G649" s="716" t="n"/>
      <c r="H649" s="462" t="n"/>
    </row>
    <row r="650">
      <c r="A650" s="462" t="n"/>
      <c r="B650" s="767">
        <f>ROW()</f>
        <v/>
      </c>
      <c r="C650" s="716" t="n"/>
      <c r="D650" s="716" t="n"/>
      <c r="E650" s="716" t="n"/>
      <c r="F650" s="716" t="n"/>
      <c r="G650" s="716" t="n"/>
      <c r="H650" s="462" t="n"/>
    </row>
    <row r="651">
      <c r="A651" s="462" t="n"/>
      <c r="B651" s="767">
        <f>ROW()</f>
        <v/>
      </c>
      <c r="C651" s="716" t="n"/>
      <c r="D651" s="716" t="n"/>
      <c r="E651" s="716" t="n"/>
      <c r="F651" s="716" t="n"/>
      <c r="G651" s="716" t="n"/>
      <c r="H651" s="462" t="n"/>
    </row>
    <row r="652">
      <c r="A652" s="462" t="n"/>
      <c r="B652" s="767">
        <f>ROW()</f>
        <v/>
      </c>
      <c r="C652" s="716" t="n"/>
      <c r="D652" s="716" t="n"/>
      <c r="E652" s="716" t="n"/>
      <c r="F652" s="716" t="n"/>
      <c r="G652" s="716" t="n"/>
      <c r="H652" s="462" t="n"/>
    </row>
    <row r="653">
      <c r="A653" s="462" t="n"/>
      <c r="B653" s="767">
        <f>ROW()</f>
        <v/>
      </c>
      <c r="C653" s="716" t="n"/>
      <c r="D653" s="716" t="n"/>
      <c r="E653" s="716" t="n"/>
      <c r="F653" s="716" t="n"/>
      <c r="G653" s="716" t="n"/>
      <c r="H653" s="462" t="n"/>
    </row>
    <row r="654">
      <c r="A654" s="462" t="n"/>
      <c r="B654" s="767">
        <f>ROW()</f>
        <v/>
      </c>
      <c r="C654" s="716" t="n"/>
      <c r="D654" s="716" t="n"/>
      <c r="E654" s="716" t="n"/>
      <c r="F654" s="716" t="n"/>
      <c r="G654" s="716" t="n"/>
      <c r="H654" s="462" t="n"/>
    </row>
    <row r="655">
      <c r="A655" s="462" t="n"/>
      <c r="B655" s="767">
        <f>ROW()</f>
        <v/>
      </c>
      <c r="C655" s="716" t="n"/>
      <c r="D655" s="716" t="n"/>
      <c r="E655" s="716" t="n"/>
      <c r="F655" s="716" t="n"/>
      <c r="G655" s="716" t="n"/>
      <c r="H655" s="462" t="n"/>
    </row>
    <row r="656">
      <c r="A656" s="462" t="n"/>
      <c r="B656" s="767">
        <f>ROW()</f>
        <v/>
      </c>
      <c r="C656" s="716" t="n"/>
      <c r="D656" s="716" t="n"/>
      <c r="E656" s="716" t="n"/>
      <c r="F656" s="716" t="n"/>
      <c r="G656" s="716" t="n"/>
      <c r="H656" s="462" t="n"/>
    </row>
    <row r="657">
      <c r="A657" s="462" t="n"/>
      <c r="B657" s="767">
        <f>ROW()</f>
        <v/>
      </c>
      <c r="C657" s="716" t="n"/>
      <c r="D657" s="716" t="n"/>
      <c r="E657" s="716" t="n"/>
      <c r="F657" s="716" t="n"/>
      <c r="G657" s="716" t="n"/>
      <c r="H657" s="462" t="n"/>
    </row>
    <row r="658">
      <c r="A658" s="462" t="n"/>
      <c r="B658" s="767">
        <f>ROW()</f>
        <v/>
      </c>
      <c r="C658" s="716" t="n"/>
      <c r="D658" s="716" t="n"/>
      <c r="E658" s="716" t="n"/>
      <c r="F658" s="716" t="n"/>
      <c r="G658" s="716" t="n"/>
      <c r="H658" s="462" t="n"/>
    </row>
    <row r="659">
      <c r="A659" s="462" t="n"/>
      <c r="B659" s="767">
        <f>ROW()</f>
        <v/>
      </c>
      <c r="C659" s="716" t="n"/>
      <c r="D659" s="716" t="n"/>
      <c r="E659" s="716" t="n"/>
      <c r="F659" s="716" t="n"/>
      <c r="G659" s="716" t="n"/>
      <c r="H659" s="462" t="n"/>
    </row>
    <row r="660">
      <c r="A660" s="462" t="n"/>
      <c r="B660" s="767">
        <f>ROW()</f>
        <v/>
      </c>
      <c r="C660" s="716" t="n"/>
      <c r="D660" s="716" t="n"/>
      <c r="E660" s="716" t="n"/>
      <c r="F660" s="716" t="n"/>
      <c r="G660" s="716" t="n"/>
      <c r="H660" s="462" t="n"/>
    </row>
    <row r="661">
      <c r="A661" s="462" t="n"/>
      <c r="B661" s="767">
        <f>ROW()</f>
        <v/>
      </c>
      <c r="C661" s="716" t="n"/>
      <c r="D661" s="716" t="n"/>
      <c r="E661" s="716" t="n"/>
      <c r="F661" s="716" t="n"/>
      <c r="G661" s="716" t="n"/>
      <c r="H661" s="462" t="n"/>
    </row>
    <row r="662">
      <c r="A662" s="462" t="n"/>
      <c r="B662" s="767">
        <f>ROW()</f>
        <v/>
      </c>
      <c r="C662" s="716" t="n"/>
      <c r="D662" s="716" t="n"/>
      <c r="E662" s="716" t="n"/>
      <c r="F662" s="716" t="n"/>
      <c r="G662" s="716" t="n"/>
      <c r="H662" s="462" t="n"/>
    </row>
    <row r="663">
      <c r="A663" s="462" t="n"/>
      <c r="B663" s="767">
        <f>ROW()</f>
        <v/>
      </c>
      <c r="C663" s="716" t="n"/>
      <c r="D663" s="716" t="n"/>
      <c r="E663" s="716" t="n"/>
      <c r="F663" s="716" t="n"/>
      <c r="G663" s="716" t="n"/>
      <c r="H663" s="462" t="n"/>
    </row>
    <row r="664">
      <c r="A664" s="462" t="n"/>
      <c r="B664" s="767">
        <f>ROW()</f>
        <v/>
      </c>
      <c r="C664" s="716" t="n"/>
      <c r="D664" s="716" t="n"/>
      <c r="E664" s="716" t="n"/>
      <c r="F664" s="716" t="n"/>
      <c r="G664" s="716" t="n"/>
      <c r="H664" s="462" t="n"/>
    </row>
    <row r="665">
      <c r="A665" s="462" t="n"/>
      <c r="B665" s="767">
        <f>ROW()</f>
        <v/>
      </c>
      <c r="C665" s="716" t="n"/>
      <c r="D665" s="716" t="n"/>
      <c r="E665" s="716" t="n"/>
      <c r="F665" s="716" t="n"/>
      <c r="G665" s="716" t="n"/>
      <c r="H665" s="462" t="n"/>
    </row>
    <row r="666">
      <c r="A666" s="462" t="n"/>
      <c r="B666" s="767">
        <f>ROW()</f>
        <v/>
      </c>
      <c r="C666" s="716" t="n"/>
      <c r="D666" s="716" t="n"/>
      <c r="E666" s="716" t="n"/>
      <c r="F666" s="716" t="n"/>
      <c r="G666" s="716" t="n"/>
      <c r="H666" s="462" t="n"/>
    </row>
    <row r="667">
      <c r="A667" s="462" t="n"/>
      <c r="B667" s="767">
        <f>ROW()</f>
        <v/>
      </c>
      <c r="C667" s="716" t="n"/>
      <c r="D667" s="716" t="n"/>
      <c r="E667" s="716" t="n"/>
      <c r="F667" s="716" t="n"/>
      <c r="G667" s="716" t="n"/>
      <c r="H667" s="462" t="n"/>
    </row>
    <row r="668">
      <c r="A668" s="462" t="n"/>
      <c r="B668" s="767">
        <f>ROW()</f>
        <v/>
      </c>
      <c r="C668" s="716" t="n"/>
      <c r="D668" s="716" t="n"/>
      <c r="E668" s="716" t="n"/>
      <c r="F668" s="716" t="n"/>
      <c r="G668" s="716" t="n"/>
      <c r="H668" s="462" t="n"/>
    </row>
    <row r="669">
      <c r="A669" s="462" t="n"/>
      <c r="B669" s="767">
        <f>ROW()</f>
        <v/>
      </c>
      <c r="C669" s="716" t="n"/>
      <c r="D669" s="716" t="n"/>
      <c r="E669" s="716" t="n"/>
      <c r="F669" s="716" t="n"/>
      <c r="G669" s="716" t="n"/>
      <c r="H669" s="462" t="n"/>
    </row>
    <row r="670">
      <c r="A670" s="462" t="n"/>
      <c r="B670" s="767">
        <f>ROW()</f>
        <v/>
      </c>
      <c r="C670" s="716" t="n"/>
      <c r="D670" s="716" t="n"/>
      <c r="E670" s="716" t="n"/>
      <c r="F670" s="716" t="n"/>
      <c r="G670" s="716" t="n"/>
      <c r="H670" s="462" t="n"/>
    </row>
    <row r="671">
      <c r="A671" s="462" t="n"/>
      <c r="B671" s="767">
        <f>ROW()</f>
        <v/>
      </c>
      <c r="C671" s="716" t="n"/>
      <c r="D671" s="716" t="n"/>
      <c r="E671" s="716" t="n"/>
      <c r="F671" s="716" t="n"/>
      <c r="G671" s="716" t="n"/>
      <c r="H671" s="462" t="n"/>
    </row>
    <row r="672">
      <c r="A672" s="462" t="n"/>
      <c r="B672" s="767">
        <f>ROW()</f>
        <v/>
      </c>
      <c r="C672" s="716" t="n"/>
      <c r="D672" s="716" t="n"/>
      <c r="E672" s="716" t="n"/>
      <c r="F672" s="716" t="n"/>
      <c r="G672" s="716" t="n"/>
      <c r="H672" s="462" t="n"/>
    </row>
    <row r="673">
      <c r="A673" s="462" t="n"/>
      <c r="B673" s="767">
        <f>ROW()</f>
        <v/>
      </c>
      <c r="C673" s="716" t="n"/>
      <c r="D673" s="716" t="n"/>
      <c r="E673" s="716" t="n"/>
      <c r="F673" s="716" t="n"/>
      <c r="G673" s="716" t="n"/>
      <c r="H673" s="462" t="n"/>
    </row>
    <row r="674">
      <c r="A674" s="462" t="n"/>
      <c r="B674" s="767">
        <f>ROW()</f>
        <v/>
      </c>
      <c r="C674" s="716" t="n"/>
      <c r="D674" s="716" t="n"/>
      <c r="E674" s="716" t="n"/>
      <c r="F674" s="716" t="n"/>
      <c r="G674" s="716" t="n"/>
      <c r="H674" s="462" t="n"/>
    </row>
    <row r="675">
      <c r="A675" s="462" t="n"/>
      <c r="B675" s="767">
        <f>ROW()</f>
        <v/>
      </c>
      <c r="C675" s="716" t="n"/>
      <c r="D675" s="716" t="n"/>
      <c r="E675" s="716" t="n"/>
      <c r="F675" s="716" t="n"/>
      <c r="G675" s="716" t="n"/>
      <c r="H675" s="462" t="n"/>
    </row>
    <row r="676">
      <c r="A676" s="462" t="n"/>
      <c r="B676" s="767">
        <f>ROW()</f>
        <v/>
      </c>
      <c r="C676" s="716" t="n"/>
      <c r="D676" s="716" t="n"/>
      <c r="E676" s="716" t="n"/>
      <c r="F676" s="716" t="n"/>
      <c r="G676" s="716" t="n"/>
      <c r="H676" s="462" t="n"/>
    </row>
    <row r="677">
      <c r="A677" s="462" t="n"/>
      <c r="B677" s="767">
        <f>ROW()</f>
        <v/>
      </c>
      <c r="C677" s="716" t="n"/>
      <c r="D677" s="716" t="n"/>
      <c r="E677" s="716" t="n"/>
      <c r="F677" s="716" t="n"/>
      <c r="G677" s="716" t="n"/>
      <c r="H677" s="462" t="n"/>
    </row>
    <row r="678">
      <c r="A678" s="462" t="n"/>
      <c r="B678" s="767">
        <f>ROW()</f>
        <v/>
      </c>
      <c r="C678" s="716" t="n"/>
      <c r="D678" s="716" t="n"/>
      <c r="E678" s="716" t="n"/>
      <c r="F678" s="716" t="n"/>
      <c r="G678" s="716" t="n"/>
      <c r="H678" s="462" t="n"/>
    </row>
    <row r="679">
      <c r="A679" s="462" t="n"/>
      <c r="B679" s="767">
        <f>ROW()</f>
        <v/>
      </c>
      <c r="C679" s="716" t="n"/>
      <c r="D679" s="716" t="n"/>
      <c r="E679" s="716" t="n"/>
      <c r="F679" s="716" t="n"/>
      <c r="G679" s="716" t="n"/>
      <c r="H679" s="462" t="n"/>
    </row>
    <row r="680">
      <c r="A680" s="462" t="n"/>
      <c r="B680" s="767">
        <f>ROW()</f>
        <v/>
      </c>
      <c r="C680" s="716" t="n"/>
      <c r="D680" s="716" t="n"/>
      <c r="E680" s="716" t="n"/>
      <c r="F680" s="716" t="n"/>
      <c r="G680" s="716" t="n"/>
      <c r="H680" s="462" t="n"/>
    </row>
    <row r="681">
      <c r="A681" s="462" t="n"/>
      <c r="B681" s="767">
        <f>ROW()</f>
        <v/>
      </c>
      <c r="C681" s="716" t="n"/>
      <c r="D681" s="716" t="n"/>
      <c r="E681" s="716" t="n"/>
      <c r="F681" s="716" t="n"/>
      <c r="G681" s="716" t="n"/>
      <c r="H681" s="462" t="n"/>
    </row>
    <row r="682">
      <c r="A682" s="462" t="n"/>
      <c r="B682" s="767">
        <f>ROW()</f>
        <v/>
      </c>
      <c r="C682" s="716" t="n"/>
      <c r="D682" s="716" t="n"/>
      <c r="E682" s="716" t="n"/>
      <c r="F682" s="716" t="n"/>
      <c r="G682" s="716" t="n"/>
      <c r="H682" s="462" t="n"/>
    </row>
    <row r="683">
      <c r="A683" s="462" t="n"/>
      <c r="B683" s="767">
        <f>ROW()</f>
        <v/>
      </c>
      <c r="C683" s="716" t="n"/>
      <c r="D683" s="716" t="n"/>
      <c r="E683" s="716" t="n"/>
      <c r="F683" s="716" t="n"/>
      <c r="G683" s="716" t="n"/>
      <c r="H683" s="462" t="n"/>
    </row>
    <row r="684">
      <c r="A684" s="462" t="n"/>
      <c r="B684" s="767">
        <f>ROW()</f>
        <v/>
      </c>
      <c r="C684" s="716" t="n"/>
      <c r="D684" s="716" t="n"/>
      <c r="E684" s="716" t="n"/>
      <c r="F684" s="716" t="n"/>
      <c r="G684" s="716" t="n"/>
      <c r="H684" s="462" t="n"/>
    </row>
    <row r="685">
      <c r="A685" s="462" t="n"/>
      <c r="B685" s="767">
        <f>ROW()</f>
        <v/>
      </c>
      <c r="C685" s="716" t="n"/>
      <c r="D685" s="716" t="n"/>
      <c r="E685" s="716" t="n"/>
      <c r="F685" s="716" t="n"/>
      <c r="G685" s="716" t="n"/>
      <c r="H685" s="462" t="n"/>
    </row>
    <row r="686">
      <c r="A686" s="462" t="n"/>
      <c r="B686" s="767">
        <f>ROW()</f>
        <v/>
      </c>
      <c r="C686" s="716" t="n"/>
      <c r="D686" s="716" t="n"/>
      <c r="E686" s="716" t="n"/>
      <c r="F686" s="716" t="n"/>
      <c r="G686" s="716" t="n"/>
      <c r="H686" s="462" t="n"/>
    </row>
    <row r="687">
      <c r="A687" s="462" t="n"/>
      <c r="B687" s="767">
        <f>ROW()</f>
        <v/>
      </c>
      <c r="C687" s="716" t="n"/>
      <c r="D687" s="716" t="n"/>
      <c r="E687" s="716" t="n"/>
      <c r="F687" s="716" t="n"/>
      <c r="G687" s="716" t="n"/>
      <c r="H687" s="462" t="n"/>
    </row>
    <row r="688">
      <c r="A688" s="462" t="n"/>
      <c r="B688" s="767">
        <f>ROW()</f>
        <v/>
      </c>
      <c r="C688" s="716" t="n"/>
      <c r="D688" s="716" t="n"/>
      <c r="E688" s="716" t="n"/>
      <c r="F688" s="716" t="n"/>
      <c r="G688" s="716" t="n"/>
      <c r="H688" s="462" t="n"/>
    </row>
    <row r="689">
      <c r="A689" s="462" t="n"/>
      <c r="B689" s="767">
        <f>ROW()</f>
        <v/>
      </c>
      <c r="C689" s="716" t="n"/>
      <c r="D689" s="716" t="n"/>
      <c r="E689" s="716" t="n"/>
      <c r="F689" s="716" t="n"/>
      <c r="G689" s="716" t="n"/>
      <c r="H689" s="462" t="n"/>
    </row>
    <row r="690">
      <c r="A690" s="462" t="n"/>
      <c r="B690" s="767">
        <f>ROW()</f>
        <v/>
      </c>
      <c r="C690" s="716" t="n"/>
      <c r="D690" s="716" t="n"/>
      <c r="E690" s="716" t="n"/>
      <c r="F690" s="716" t="n"/>
      <c r="G690" s="716" t="n"/>
      <c r="H690" s="462" t="n"/>
    </row>
    <row r="691">
      <c r="A691" s="462" t="n"/>
      <c r="B691" s="767">
        <f>ROW()</f>
        <v/>
      </c>
      <c r="C691" s="716" t="n"/>
      <c r="D691" s="716" t="n"/>
      <c r="E691" s="716" t="n"/>
      <c r="F691" s="716" t="n"/>
      <c r="G691" s="716" t="n"/>
      <c r="H691" s="462" t="n"/>
    </row>
    <row r="692">
      <c r="A692" s="462" t="n"/>
      <c r="B692" s="767">
        <f>ROW()</f>
        <v/>
      </c>
      <c r="C692" s="716" t="n"/>
      <c r="D692" s="716" t="n"/>
      <c r="E692" s="716" t="n"/>
      <c r="F692" s="716" t="n"/>
      <c r="G692" s="716" t="n"/>
      <c r="H692" s="462" t="n"/>
    </row>
    <row r="693">
      <c r="A693" s="462" t="n"/>
      <c r="B693" s="767">
        <f>ROW()</f>
        <v/>
      </c>
      <c r="C693" s="716" t="n"/>
      <c r="D693" s="716" t="n"/>
      <c r="E693" s="716" t="n"/>
      <c r="F693" s="716" t="n"/>
      <c r="G693" s="716" t="n"/>
      <c r="H693" s="462" t="n"/>
    </row>
    <row r="694">
      <c r="A694" s="462" t="n"/>
      <c r="B694" s="767">
        <f>ROW()</f>
        <v/>
      </c>
      <c r="C694" s="716" t="n"/>
      <c r="D694" s="716" t="n"/>
      <c r="E694" s="716" t="n"/>
      <c r="F694" s="716" t="n"/>
      <c r="G694" s="716" t="n"/>
      <c r="H694" s="462" t="n"/>
    </row>
    <row r="695">
      <c r="A695" s="462" t="n"/>
      <c r="B695" s="767">
        <f>ROW()</f>
        <v/>
      </c>
      <c r="C695" s="716" t="n"/>
      <c r="D695" s="716" t="n"/>
      <c r="E695" s="716" t="n"/>
      <c r="F695" s="716" t="n"/>
      <c r="G695" s="716" t="n"/>
      <c r="H695" s="462" t="n"/>
    </row>
    <row r="696">
      <c r="A696" s="462" t="n"/>
      <c r="B696" s="767">
        <f>ROW()</f>
        <v/>
      </c>
      <c r="C696" s="716" t="n"/>
      <c r="D696" s="716" t="n"/>
      <c r="E696" s="716" t="n"/>
      <c r="F696" s="716" t="n"/>
      <c r="G696" s="716" t="n"/>
      <c r="H696" s="462" t="n"/>
    </row>
    <row r="697">
      <c r="A697" s="462" t="n"/>
      <c r="B697" s="767">
        <f>ROW()</f>
        <v/>
      </c>
      <c r="C697" s="716" t="n"/>
      <c r="D697" s="716" t="n"/>
      <c r="E697" s="716" t="n"/>
      <c r="F697" s="716" t="n"/>
      <c r="G697" s="716" t="n"/>
      <c r="H697" s="462" t="n"/>
    </row>
    <row r="698">
      <c r="A698" s="462" t="n"/>
      <c r="B698" s="767">
        <f>ROW()</f>
        <v/>
      </c>
      <c r="C698" s="716" t="n"/>
      <c r="D698" s="716" t="n"/>
      <c r="E698" s="716" t="n"/>
      <c r="F698" s="716" t="n"/>
      <c r="G698" s="716" t="n"/>
      <c r="H698" s="462" t="n"/>
    </row>
    <row r="699">
      <c r="A699" s="462" t="n"/>
      <c r="B699" s="767">
        <f>ROW()</f>
        <v/>
      </c>
      <c r="C699" s="716" t="n"/>
      <c r="D699" s="716" t="n"/>
      <c r="E699" s="716" t="n"/>
      <c r="F699" s="716" t="n"/>
      <c r="G699" s="716" t="n"/>
      <c r="H699" s="462" t="n"/>
    </row>
    <row r="700">
      <c r="A700" s="462" t="n"/>
      <c r="B700" s="767">
        <f>ROW()</f>
        <v/>
      </c>
      <c r="C700" s="716" t="n"/>
      <c r="D700" s="716" t="n"/>
      <c r="E700" s="716" t="n"/>
      <c r="F700" s="716" t="n"/>
      <c r="G700" s="716" t="n"/>
      <c r="H700" s="462" t="n"/>
    </row>
    <row r="701">
      <c r="A701" s="462" t="n"/>
      <c r="B701" s="767">
        <f>ROW()</f>
        <v/>
      </c>
      <c r="C701" s="716" t="n"/>
      <c r="D701" s="716" t="n"/>
      <c r="E701" s="716" t="n"/>
      <c r="F701" s="716" t="n"/>
      <c r="G701" s="716" t="n"/>
      <c r="H701" s="462" t="n"/>
    </row>
    <row r="702">
      <c r="A702" s="462" t="n"/>
      <c r="B702" s="767">
        <f>ROW()</f>
        <v/>
      </c>
      <c r="C702" s="716" t="n"/>
      <c r="D702" s="716" t="n"/>
      <c r="E702" s="716" t="n"/>
      <c r="F702" s="716" t="n"/>
      <c r="G702" s="716" t="n"/>
      <c r="H702" s="462" t="n"/>
    </row>
    <row r="703">
      <c r="A703" s="462" t="n"/>
      <c r="B703" s="767">
        <f>ROW()</f>
        <v/>
      </c>
      <c r="C703" s="716" t="n"/>
      <c r="D703" s="716" t="n"/>
      <c r="E703" s="716" t="n"/>
      <c r="F703" s="716" t="n"/>
      <c r="G703" s="716" t="n"/>
      <c r="H703" s="462" t="n"/>
    </row>
    <row r="704">
      <c r="A704" s="462" t="n"/>
      <c r="B704" s="767">
        <f>ROW()</f>
        <v/>
      </c>
      <c r="C704" s="716" t="n"/>
      <c r="D704" s="716" t="n"/>
      <c r="E704" s="716" t="n"/>
      <c r="F704" s="716" t="n"/>
      <c r="G704" s="716" t="n"/>
      <c r="H704" s="462" t="n"/>
    </row>
    <row r="705">
      <c r="A705" s="462" t="n"/>
      <c r="B705" s="767">
        <f>ROW()</f>
        <v/>
      </c>
      <c r="C705" s="716" t="n"/>
      <c r="D705" s="716" t="n"/>
      <c r="E705" s="716" t="n"/>
      <c r="F705" s="716" t="n"/>
      <c r="G705" s="716" t="n"/>
      <c r="H705" s="462" t="n"/>
    </row>
    <row r="706">
      <c r="A706" s="462" t="n"/>
      <c r="B706" s="767">
        <f>ROW()</f>
        <v/>
      </c>
      <c r="C706" s="716" t="n"/>
      <c r="D706" s="716" t="n"/>
      <c r="E706" s="716" t="n"/>
      <c r="F706" s="716" t="n"/>
      <c r="G706" s="716" t="n"/>
      <c r="H706" s="462" t="n"/>
    </row>
    <row r="707">
      <c r="A707" s="462" t="n"/>
      <c r="B707" s="767">
        <f>ROW()</f>
        <v/>
      </c>
      <c r="C707" s="716" t="n"/>
      <c r="D707" s="716" t="n"/>
      <c r="E707" s="716" t="n"/>
      <c r="F707" s="716" t="n"/>
      <c r="G707" s="716" t="n"/>
      <c r="H707" s="462" t="n"/>
    </row>
    <row r="708">
      <c r="A708" s="462" t="n"/>
      <c r="B708" s="767">
        <f>ROW()</f>
        <v/>
      </c>
      <c r="C708" s="716" t="n"/>
      <c r="D708" s="716" t="n"/>
      <c r="E708" s="716" t="n"/>
      <c r="F708" s="716" t="n"/>
      <c r="G708" s="716" t="n"/>
      <c r="H708" s="462" t="n"/>
    </row>
    <row r="709">
      <c r="A709" s="462" t="n"/>
      <c r="B709" s="767">
        <f>ROW()</f>
        <v/>
      </c>
      <c r="C709" s="462" t="n"/>
      <c r="D709" s="716" t="n"/>
      <c r="E709" s="462" t="n"/>
      <c r="F709" s="716" t="n"/>
      <c r="G709" s="716" t="n"/>
      <c r="H709" s="462" t="n"/>
    </row>
    <row r="710">
      <c r="A710" s="462" t="n"/>
      <c r="B710" s="767">
        <f>ROW()</f>
        <v/>
      </c>
      <c r="C710" s="462" t="n"/>
      <c r="D710" s="716" t="n"/>
      <c r="E710" s="716" t="n"/>
      <c r="F710" s="716" t="n"/>
      <c r="G710" s="716" t="n"/>
      <c r="H710" s="462" t="n"/>
    </row>
    <row r="711">
      <c r="A711" s="462" t="n"/>
      <c r="B711" s="767">
        <f>ROW()</f>
        <v/>
      </c>
      <c r="C711" s="716" t="n"/>
      <c r="D711" s="716" t="n"/>
      <c r="E711" s="716" t="n"/>
      <c r="F711" s="716" t="n"/>
      <c r="G711" s="716" t="n"/>
      <c r="H711" s="462" t="n"/>
    </row>
    <row r="712">
      <c r="A712" s="462" t="n"/>
      <c r="B712" s="767">
        <f>ROW()</f>
        <v/>
      </c>
      <c r="C712" s="716" t="n"/>
      <c r="D712" s="716" t="n"/>
      <c r="E712" s="716" t="n"/>
      <c r="F712" s="716" t="n"/>
      <c r="G712" s="716" t="n"/>
      <c r="H712" s="462" t="n"/>
    </row>
    <row r="713">
      <c r="A713" s="462" t="n"/>
      <c r="B713" s="767">
        <f>ROW()</f>
        <v/>
      </c>
      <c r="C713" s="716" t="n"/>
      <c r="D713" s="716" t="n"/>
      <c r="E713" s="716" t="n"/>
      <c r="F713" s="716" t="n"/>
      <c r="G713" s="716" t="n"/>
      <c r="H713" s="462" t="n"/>
    </row>
    <row r="714">
      <c r="A714" s="462" t="n"/>
      <c r="B714" s="767">
        <f>ROW()</f>
        <v/>
      </c>
      <c r="C714" s="716" t="n"/>
      <c r="D714" s="716" t="n"/>
      <c r="E714" s="716" t="n"/>
      <c r="F714" s="716" t="n"/>
      <c r="G714" s="716" t="n"/>
      <c r="H714" s="462" t="n"/>
    </row>
    <row r="715">
      <c r="A715" s="462" t="n"/>
      <c r="B715" s="767">
        <f>ROW()</f>
        <v/>
      </c>
      <c r="C715" s="716" t="n"/>
      <c r="D715" s="716" t="n"/>
      <c r="E715" s="716" t="n"/>
      <c r="F715" s="716" t="n"/>
      <c r="G715" s="716" t="n"/>
      <c r="H715" s="462" t="n"/>
    </row>
    <row r="716">
      <c r="A716" s="462" t="n"/>
      <c r="B716" s="767">
        <f>ROW()</f>
        <v/>
      </c>
      <c r="C716" s="716" t="n"/>
      <c r="D716" s="716" t="n"/>
      <c r="E716" s="716" t="n"/>
      <c r="F716" s="716" t="n"/>
      <c r="G716" s="716" t="n"/>
      <c r="H716" s="462" t="n"/>
    </row>
    <row r="717">
      <c r="A717" s="462" t="n"/>
      <c r="B717" s="767">
        <f>ROW()</f>
        <v/>
      </c>
      <c r="C717" s="716" t="n"/>
      <c r="D717" s="716" t="n"/>
      <c r="E717" s="716" t="n"/>
      <c r="F717" s="716" t="n"/>
      <c r="G717" s="716" t="n"/>
      <c r="H717" s="462" t="n"/>
    </row>
    <row r="718">
      <c r="A718" s="462" t="n"/>
      <c r="B718" s="767">
        <f>ROW()</f>
        <v/>
      </c>
      <c r="C718" s="716" t="n"/>
      <c r="D718" s="716" t="n"/>
      <c r="E718" s="716" t="n"/>
      <c r="F718" s="716" t="n"/>
      <c r="G718" s="716" t="n"/>
      <c r="H718" s="462" t="n"/>
    </row>
    <row r="719">
      <c r="A719" s="462" t="n"/>
      <c r="B719" s="767">
        <f>ROW()</f>
        <v/>
      </c>
      <c r="C719" s="716" t="n"/>
      <c r="D719" s="716" t="n"/>
      <c r="E719" s="716" t="n"/>
      <c r="F719" s="716" t="n"/>
      <c r="G719" s="716" t="n"/>
      <c r="H719" s="462" t="n"/>
    </row>
    <row r="720">
      <c r="A720" s="462" t="n"/>
      <c r="B720" s="767">
        <f>ROW()</f>
        <v/>
      </c>
      <c r="C720" s="716" t="n"/>
      <c r="D720" s="716" t="n"/>
      <c r="E720" s="716" t="n"/>
      <c r="F720" s="716" t="n"/>
      <c r="G720" s="716" t="n"/>
      <c r="H720" s="462" t="n"/>
    </row>
    <row r="721">
      <c r="A721" s="462" t="n"/>
      <c r="B721" s="767">
        <f>ROW()</f>
        <v/>
      </c>
      <c r="C721" s="182" t="n"/>
      <c r="D721" s="182" t="n"/>
      <c r="E721" s="182" t="n"/>
      <c r="F721" s="716" t="n"/>
      <c r="G721" s="716" t="n"/>
      <c r="H721" s="462" t="n"/>
    </row>
    <row r="722">
      <c r="A722" s="672" t="n"/>
      <c r="B722" s="767">
        <f>ROW()</f>
        <v/>
      </c>
      <c r="C722" s="182" t="n"/>
      <c r="D722" s="182" t="n"/>
      <c r="E722" s="182" t="n"/>
      <c r="F722" s="716" t="n"/>
      <c r="G722" s="716" t="n"/>
      <c r="H722" s="462" t="n"/>
    </row>
    <row r="723">
      <c r="A723" s="462" t="n"/>
      <c r="B723" s="767">
        <f>ROW()</f>
        <v/>
      </c>
      <c r="C723" s="182" t="n"/>
      <c r="D723" s="182" t="n"/>
      <c r="E723" s="182" t="n"/>
      <c r="F723" s="716" t="n"/>
      <c r="G723" s="716" t="n"/>
      <c r="H723" s="462" t="n"/>
    </row>
    <row r="724">
      <c r="A724" s="838" t="n"/>
      <c r="B724" s="767">
        <f>ROW()</f>
        <v/>
      </c>
      <c r="C724" s="716" t="n"/>
      <c r="D724" s="839" t="n"/>
      <c r="E724" s="839" t="n"/>
      <c r="F724" s="716" t="n"/>
      <c r="G724" s="716" t="n"/>
      <c r="H724" s="462" t="n"/>
    </row>
    <row r="725">
      <c r="A725" s="672" t="n"/>
      <c r="B725" s="767">
        <f>ROW()</f>
        <v/>
      </c>
      <c r="C725" s="182" t="n"/>
      <c r="D725" s="182" t="n"/>
      <c r="E725" s="182" t="n"/>
      <c r="F725" s="716" t="n"/>
      <c r="G725" s="716" t="n"/>
      <c r="H725" s="462" t="n"/>
    </row>
    <row r="726">
      <c r="A726" s="462" t="n"/>
      <c r="B726" s="767">
        <f>ROW()</f>
        <v/>
      </c>
      <c r="C726" s="716" t="n"/>
      <c r="D726" s="182" t="n"/>
      <c r="E726" s="716" t="n"/>
      <c r="F726" s="716" t="n"/>
      <c r="G726" s="716" t="n"/>
      <c r="H726" s="462" t="n"/>
    </row>
    <row r="727">
      <c r="A727" s="462" t="n"/>
      <c r="B727" s="767">
        <f>ROW()</f>
        <v/>
      </c>
      <c r="C727" s="716" t="n"/>
      <c r="D727" s="182" t="n"/>
      <c r="E727" s="716" t="n"/>
      <c r="F727" s="716" t="n"/>
      <c r="G727" s="716" t="n"/>
      <c r="H727" s="462" t="n"/>
    </row>
    <row r="728">
      <c r="A728" s="462" t="n"/>
      <c r="B728" s="767">
        <f>ROW()</f>
        <v/>
      </c>
      <c r="C728" s="716" t="n"/>
      <c r="D728" s="182" t="n"/>
      <c r="E728" s="716" t="n"/>
      <c r="F728" s="716" t="n"/>
      <c r="G728" s="716" t="n"/>
      <c r="H728" s="462" t="n"/>
    </row>
    <row r="729">
      <c r="A729" s="462" t="n"/>
      <c r="B729" s="767">
        <f>ROW()</f>
        <v/>
      </c>
      <c r="C729" s="716" t="n"/>
      <c r="D729" s="716" t="n"/>
      <c r="E729" s="716" t="n"/>
      <c r="F729" s="716" t="n"/>
      <c r="G729" s="716" t="n"/>
      <c r="H729" s="462" t="n"/>
    </row>
    <row r="730">
      <c r="A730" s="462" t="n"/>
      <c r="B730" s="767">
        <f>ROW()</f>
        <v/>
      </c>
      <c r="C730" s="716" t="n"/>
      <c r="D730" s="182" t="n"/>
      <c r="E730" s="182" t="n"/>
      <c r="F730" s="716" t="n"/>
      <c r="G730" s="716" t="n"/>
      <c r="H730" s="462" t="n"/>
    </row>
    <row r="731">
      <c r="A731" s="462" t="n"/>
      <c r="B731" s="767">
        <f>ROW()</f>
        <v/>
      </c>
      <c r="C731" s="716" t="n"/>
      <c r="D731" s="182" t="n"/>
      <c r="E731" s="182" t="n"/>
      <c r="F731" s="716" t="n"/>
      <c r="G731" s="716" t="n"/>
      <c r="H731" s="462" t="n"/>
    </row>
    <row r="732">
      <c r="A732" s="462" t="n"/>
      <c r="B732" s="767">
        <f>ROW()</f>
        <v/>
      </c>
      <c r="C732" s="716" t="n"/>
      <c r="D732" s="182" t="n"/>
      <c r="E732" s="716" t="n"/>
      <c r="F732" s="716" t="n"/>
      <c r="G732" s="716" t="n"/>
      <c r="H732" s="462" t="n"/>
    </row>
    <row r="733" ht="16.8" customHeight="1" s="1181">
      <c r="A733" s="462" t="n"/>
      <c r="B733" s="767">
        <f>ROW()</f>
        <v/>
      </c>
      <c r="C733" s="182" t="n"/>
      <c r="D733" s="384" t="n"/>
      <c r="E733" s="384" t="n"/>
      <c r="F733" s="716" t="n"/>
      <c r="G733" s="716" t="n"/>
      <c r="H733" s="462" t="n"/>
    </row>
    <row r="734">
      <c r="A734" s="462" t="n"/>
      <c r="B734" s="767">
        <f>ROW()</f>
        <v/>
      </c>
      <c r="C734" s="716" t="n"/>
      <c r="D734" s="182" t="n"/>
      <c r="E734" s="182" t="n"/>
      <c r="F734" s="716" t="n"/>
      <c r="G734" s="716" t="n"/>
      <c r="H734" s="462" t="n"/>
    </row>
    <row r="735">
      <c r="A735" s="462" t="n"/>
      <c r="B735" s="767">
        <f>ROW()</f>
        <v/>
      </c>
      <c r="C735" s="716" t="n"/>
      <c r="D735" s="182" t="n"/>
      <c r="E735" s="182" t="n"/>
      <c r="F735" s="716" t="n"/>
      <c r="G735" s="716" t="n"/>
      <c r="H735" s="462" t="n"/>
    </row>
    <row r="736">
      <c r="A736" s="462" t="n"/>
      <c r="B736" s="767">
        <f>ROW()</f>
        <v/>
      </c>
      <c r="C736" s="716" t="n"/>
      <c r="D736" s="182" t="n"/>
      <c r="E736" s="182" t="n"/>
      <c r="F736" s="716" t="n"/>
      <c r="G736" s="716" t="n"/>
      <c r="H736" s="462" t="n"/>
    </row>
    <row r="737">
      <c r="A737" s="462" t="n"/>
      <c r="B737" s="767">
        <f>ROW()</f>
        <v/>
      </c>
      <c r="C737" s="716" t="n"/>
      <c r="D737" s="182" t="n"/>
      <c r="E737" s="182" t="n"/>
      <c r="F737" s="716" t="n"/>
      <c r="G737" s="716" t="n"/>
      <c r="H737" s="462" t="n"/>
    </row>
    <row r="738">
      <c r="A738" s="462" t="n"/>
      <c r="B738" s="767">
        <f>ROW()</f>
        <v/>
      </c>
      <c r="C738" s="716" t="n"/>
      <c r="D738" s="182" t="n"/>
      <c r="E738" s="716" t="n"/>
      <c r="F738" s="716" t="n"/>
      <c r="G738" s="716" t="n"/>
      <c r="H738" s="462" t="n"/>
    </row>
    <row r="739">
      <c r="A739" s="462" t="n"/>
      <c r="B739" s="767">
        <f>ROW()</f>
        <v/>
      </c>
      <c r="C739" s="716" t="n"/>
      <c r="D739" s="182" t="n"/>
      <c r="E739" s="716" t="n"/>
      <c r="F739" s="716" t="n"/>
      <c r="G739" s="716" t="n"/>
      <c r="H739" s="462" t="n"/>
    </row>
    <row r="740">
      <c r="A740" s="462" t="n"/>
      <c r="B740" s="767">
        <f>ROW()</f>
        <v/>
      </c>
      <c r="C740" s="716" t="n"/>
      <c r="D740" s="182" t="n"/>
      <c r="E740" s="716" t="n"/>
      <c r="F740" s="716" t="n"/>
      <c r="G740" s="716" t="n"/>
      <c r="H740" s="462" t="n"/>
    </row>
    <row r="741">
      <c r="A741" s="462" t="n"/>
      <c r="B741" s="767">
        <f>ROW()</f>
        <v/>
      </c>
      <c r="C741" s="716" t="n"/>
      <c r="D741" s="716" t="n"/>
      <c r="E741" s="716" t="n"/>
      <c r="F741" s="716" t="n"/>
      <c r="G741" s="716" t="n"/>
      <c r="H741" s="462" t="n"/>
    </row>
    <row r="742">
      <c r="A742" s="462" t="n"/>
      <c r="B742" s="767">
        <f>ROW()</f>
        <v/>
      </c>
      <c r="C742" s="716" t="n"/>
      <c r="D742" s="716" t="n"/>
      <c r="E742" s="716" t="n"/>
      <c r="F742" s="716" t="n"/>
      <c r="G742" s="716" t="n"/>
      <c r="H742" s="462" t="n"/>
    </row>
    <row r="743">
      <c r="A743" s="462" t="n"/>
      <c r="B743" s="767">
        <f>ROW()</f>
        <v/>
      </c>
      <c r="C743" s="716" t="n"/>
      <c r="D743" s="716" t="n"/>
      <c r="E743" s="716" t="n"/>
      <c r="F743" s="716" t="n"/>
      <c r="G743" s="716" t="n"/>
      <c r="H743" s="462" t="n"/>
    </row>
    <row r="744">
      <c r="A744" s="462" t="n"/>
      <c r="B744" s="767">
        <f>ROW()</f>
        <v/>
      </c>
      <c r="C744" s="716" t="n"/>
      <c r="D744" s="716" t="n"/>
      <c r="E744" s="716" t="n"/>
      <c r="F744" s="716" t="n"/>
      <c r="G744" s="716" t="n"/>
      <c r="H744" s="462" t="n"/>
    </row>
    <row r="745">
      <c r="A745" s="462" t="n"/>
      <c r="B745" s="767">
        <f>ROW()</f>
        <v/>
      </c>
      <c r="C745" s="716" t="n"/>
      <c r="D745" s="716" t="n"/>
      <c r="E745" s="716" t="n"/>
      <c r="F745" s="716" t="n"/>
      <c r="G745" s="716" t="n"/>
      <c r="H745" s="462" t="n"/>
    </row>
    <row r="746">
      <c r="A746" s="462" t="n"/>
      <c r="B746" s="767">
        <f>ROW()</f>
        <v/>
      </c>
      <c r="C746" s="716" t="n"/>
      <c r="D746" s="716" t="n"/>
      <c r="E746" s="716" t="n"/>
      <c r="F746" s="716" t="n"/>
      <c r="G746" s="716" t="n"/>
      <c r="H746" s="462" t="n"/>
    </row>
    <row r="747">
      <c r="A747" s="462" t="n"/>
      <c r="B747" s="767">
        <f>ROW()</f>
        <v/>
      </c>
      <c r="C747" s="716" t="n"/>
      <c r="D747" s="716" t="n"/>
      <c r="E747" s="716" t="n"/>
      <c r="F747" s="716" t="n"/>
      <c r="G747" s="716" t="n"/>
      <c r="H747" s="462" t="n"/>
    </row>
    <row r="748">
      <c r="A748" s="462" t="n"/>
      <c r="B748" s="767">
        <f>ROW()</f>
        <v/>
      </c>
      <c r="C748" s="716" t="n"/>
      <c r="D748" s="716" t="n"/>
      <c r="E748" s="716" t="n"/>
      <c r="F748" s="716" t="n"/>
      <c r="G748" s="716" t="n"/>
      <c r="H748" s="462" t="n"/>
    </row>
    <row r="749">
      <c r="A749" s="462" t="n"/>
      <c r="B749" s="767">
        <f>ROW()</f>
        <v/>
      </c>
      <c r="C749" s="716" t="n"/>
      <c r="D749" s="716" t="n"/>
      <c r="E749" s="716" t="n"/>
      <c r="F749" s="716" t="n"/>
      <c r="G749" s="716" t="n"/>
      <c r="H749" s="462" t="n"/>
    </row>
    <row r="750">
      <c r="A750" s="462" t="n"/>
      <c r="B750" s="767">
        <f>ROW()</f>
        <v/>
      </c>
      <c r="C750" s="716" t="n"/>
      <c r="D750" s="716" t="n"/>
      <c r="E750" s="716" t="n"/>
      <c r="F750" s="716" t="n"/>
      <c r="G750" s="716" t="n"/>
      <c r="H750" s="462" t="n"/>
    </row>
    <row r="751">
      <c r="A751" s="462" t="n"/>
      <c r="B751" s="767">
        <f>ROW()</f>
        <v/>
      </c>
      <c r="C751" s="716" t="n"/>
      <c r="D751" s="716" t="n"/>
      <c r="E751" s="716" t="n"/>
      <c r="F751" s="716" t="n"/>
      <c r="G751" s="716" t="n"/>
      <c r="H751" s="462" t="n"/>
    </row>
    <row r="752">
      <c r="A752" s="462" t="n"/>
      <c r="B752" s="767">
        <f>ROW()</f>
        <v/>
      </c>
      <c r="C752" s="716" t="n"/>
      <c r="D752" s="716" t="n"/>
      <c r="E752" s="716" t="n"/>
      <c r="F752" s="716" t="n"/>
      <c r="G752" s="716" t="n"/>
      <c r="H752" s="462" t="n"/>
    </row>
    <row r="753">
      <c r="A753" s="462" t="n"/>
      <c r="B753" s="767">
        <f>ROW()</f>
        <v/>
      </c>
      <c r="C753" s="716" t="n"/>
      <c r="D753" s="716" t="n"/>
      <c r="E753" s="716" t="n"/>
      <c r="F753" s="716" t="n"/>
      <c r="G753" s="716" t="n"/>
      <c r="H753" s="462" t="n"/>
    </row>
    <row r="754">
      <c r="A754" s="462" t="n"/>
      <c r="B754" s="767">
        <f>ROW()</f>
        <v/>
      </c>
      <c r="C754" s="716" t="n"/>
      <c r="D754" s="716" t="n"/>
      <c r="E754" s="716" t="n"/>
      <c r="F754" s="716" t="n"/>
      <c r="G754" s="716" t="n"/>
      <c r="H754" s="462" t="n"/>
    </row>
    <row r="755">
      <c r="A755" s="462" t="n"/>
      <c r="B755" s="767">
        <f>ROW()</f>
        <v/>
      </c>
      <c r="C755" s="716" t="n"/>
      <c r="D755" s="716" t="n"/>
      <c r="E755" s="716" t="n"/>
      <c r="F755" s="716" t="n"/>
      <c r="G755" s="716" t="n"/>
      <c r="H755" s="462" t="n"/>
    </row>
    <row r="756">
      <c r="A756" s="462" t="n"/>
      <c r="B756" s="767">
        <f>ROW()</f>
        <v/>
      </c>
      <c r="C756" s="716" t="n"/>
      <c r="D756" s="716" t="n"/>
      <c r="E756" s="716" t="n"/>
      <c r="F756" s="716" t="n"/>
      <c r="G756" s="716" t="n"/>
      <c r="H756" s="462" t="n"/>
    </row>
    <row r="757">
      <c r="A757" s="462" t="n"/>
      <c r="B757" s="767">
        <f>ROW()</f>
        <v/>
      </c>
      <c r="C757" s="716" t="n"/>
      <c r="D757" s="716" t="n"/>
      <c r="E757" s="716" t="n"/>
      <c r="F757" s="716" t="n"/>
      <c r="G757" s="716" t="n"/>
      <c r="H757" s="462" t="n"/>
    </row>
    <row r="758">
      <c r="A758" s="462" t="n"/>
      <c r="B758" s="767">
        <f>ROW()</f>
        <v/>
      </c>
      <c r="C758" s="716" t="n"/>
      <c r="D758" s="716" t="n"/>
      <c r="E758" s="716" t="n"/>
      <c r="F758" s="716" t="n"/>
      <c r="G758" s="716" t="n"/>
      <c r="H758" s="462" t="n"/>
    </row>
    <row r="759">
      <c r="A759" s="462" t="n"/>
      <c r="B759" s="767">
        <f>ROW()</f>
        <v/>
      </c>
      <c r="C759" s="716" t="n"/>
      <c r="D759" s="716" t="n"/>
      <c r="E759" s="716" t="n"/>
      <c r="F759" s="716" t="n"/>
      <c r="G759" s="716" t="n"/>
      <c r="H759" s="462" t="n"/>
    </row>
    <row r="760">
      <c r="A760" s="462" t="n"/>
      <c r="B760" s="767">
        <f>ROW()</f>
        <v/>
      </c>
      <c r="C760" s="716" t="n"/>
      <c r="D760" s="716" t="n"/>
      <c r="E760" s="716" t="n"/>
      <c r="F760" s="716" t="n"/>
      <c r="G760" s="716" t="n"/>
      <c r="H760" s="462" t="n"/>
    </row>
    <row r="761">
      <c r="A761" s="462" t="n"/>
      <c r="B761" s="767">
        <f>ROW()</f>
        <v/>
      </c>
      <c r="C761" s="716" t="n"/>
      <c r="D761" s="716" t="n"/>
      <c r="E761" s="716" t="n"/>
      <c r="F761" s="716" t="n"/>
      <c r="G761" s="716" t="n"/>
      <c r="H761" s="462" t="n"/>
    </row>
    <row r="762">
      <c r="A762" s="462" t="n"/>
      <c r="B762" s="767">
        <f>ROW()</f>
        <v/>
      </c>
      <c r="C762" s="716" t="n"/>
      <c r="D762" s="716" t="n"/>
      <c r="E762" s="716" t="n"/>
      <c r="F762" s="716" t="n"/>
      <c r="G762" s="716" t="n"/>
      <c r="H762" s="462" t="n"/>
    </row>
    <row r="763">
      <c r="A763" s="462" t="n"/>
      <c r="B763" s="767">
        <f>ROW()</f>
        <v/>
      </c>
      <c r="C763" s="716" t="n"/>
      <c r="D763" s="716" t="n"/>
      <c r="E763" s="716" t="n"/>
      <c r="F763" s="716" t="n"/>
      <c r="G763" s="716" t="n"/>
      <c r="H763" s="462" t="n"/>
    </row>
    <row r="764">
      <c r="A764" s="462" t="n"/>
      <c r="B764" s="767">
        <f>ROW()</f>
        <v/>
      </c>
      <c r="C764" s="716" t="n"/>
      <c r="D764" s="716" t="n"/>
      <c r="E764" s="716" t="n"/>
      <c r="F764" s="716" t="n"/>
      <c r="G764" s="716" t="n"/>
      <c r="H764" s="462" t="n"/>
    </row>
    <row r="765">
      <c r="A765" s="462" t="n"/>
      <c r="B765" s="767">
        <f>ROW()</f>
        <v/>
      </c>
      <c r="C765" s="716" t="n"/>
      <c r="D765" s="716" t="n"/>
      <c r="E765" s="716" t="n"/>
      <c r="F765" s="716" t="n"/>
      <c r="G765" s="716" t="n"/>
      <c r="H765" s="462" t="n"/>
    </row>
    <row r="766">
      <c r="A766" s="462" t="n"/>
      <c r="B766" s="767">
        <f>ROW()</f>
        <v/>
      </c>
      <c r="C766" s="716" t="n"/>
      <c r="D766" s="716" t="n"/>
      <c r="E766" s="716" t="n"/>
      <c r="F766" s="716" t="n"/>
      <c r="G766" s="716" t="n"/>
      <c r="H766" s="462" t="n"/>
    </row>
    <row r="767">
      <c r="A767" s="462" t="n"/>
      <c r="B767" s="767">
        <f>ROW()</f>
        <v/>
      </c>
      <c r="C767" s="716" t="n"/>
      <c r="D767" s="716" t="n"/>
      <c r="E767" s="716" t="n"/>
      <c r="F767" s="716" t="n"/>
      <c r="G767" s="716" t="n"/>
      <c r="H767" s="462" t="n"/>
    </row>
    <row r="768">
      <c r="A768" s="462" t="n"/>
      <c r="B768" s="767">
        <f>ROW()</f>
        <v/>
      </c>
      <c r="C768" s="716" t="n"/>
      <c r="D768" s="716" t="n"/>
      <c r="E768" s="716" t="n"/>
      <c r="F768" s="716" t="n"/>
      <c r="G768" s="716" t="n"/>
      <c r="H768" s="462" t="n"/>
    </row>
    <row r="769">
      <c r="A769" s="462" t="n"/>
      <c r="B769" s="767">
        <f>ROW()</f>
        <v/>
      </c>
      <c r="C769" s="716" t="n"/>
      <c r="D769" s="716" t="n"/>
      <c r="E769" s="716" t="n"/>
      <c r="F769" s="716" t="n"/>
      <c r="G769" s="716" t="n"/>
      <c r="H769" s="462" t="n"/>
    </row>
    <row r="770">
      <c r="A770" s="462" t="n"/>
      <c r="B770" s="767">
        <f>ROW()</f>
        <v/>
      </c>
      <c r="C770" s="716" t="n"/>
      <c r="D770" s="716" t="n"/>
      <c r="E770" s="716" t="n"/>
      <c r="F770" s="716" t="n"/>
      <c r="G770" s="716" t="n"/>
      <c r="H770" s="462" t="n"/>
    </row>
    <row r="771">
      <c r="A771" s="462" t="n"/>
      <c r="B771" s="767">
        <f>ROW()</f>
        <v/>
      </c>
      <c r="C771" s="716" t="n"/>
      <c r="D771" s="716" t="n"/>
      <c r="E771" s="716" t="n"/>
      <c r="F771" s="716" t="n"/>
      <c r="G771" s="716" t="n"/>
      <c r="H771" s="462" t="n"/>
    </row>
    <row r="772">
      <c r="A772" s="462" t="n"/>
      <c r="B772" s="767">
        <f>ROW()</f>
        <v/>
      </c>
      <c r="C772" s="716" t="n"/>
      <c r="D772" s="716" t="n"/>
      <c r="E772" s="716" t="n"/>
      <c r="F772" s="716" t="n"/>
      <c r="G772" s="716" t="n"/>
      <c r="H772" s="462" t="n"/>
    </row>
    <row r="773">
      <c r="A773" s="462" t="n"/>
      <c r="B773" s="767">
        <f>ROW()</f>
        <v/>
      </c>
      <c r="C773" s="716" t="n"/>
      <c r="D773" s="716" t="n"/>
      <c r="E773" s="716" t="n"/>
      <c r="F773" s="716" t="n"/>
      <c r="G773" s="716" t="n"/>
      <c r="H773" s="462" t="n"/>
    </row>
    <row r="774">
      <c r="A774" s="462" t="n"/>
      <c r="B774" s="767">
        <f>ROW()</f>
        <v/>
      </c>
      <c r="C774" s="716" t="n"/>
      <c r="D774" s="716" t="n"/>
      <c r="E774" s="716" t="n"/>
      <c r="F774" s="716" t="n"/>
      <c r="G774" s="716" t="n"/>
      <c r="H774" s="462" t="n"/>
    </row>
    <row r="775">
      <c r="A775" s="462" t="n"/>
      <c r="B775" s="767">
        <f>ROW()</f>
        <v/>
      </c>
      <c r="C775" s="716" t="n"/>
      <c r="D775" s="716" t="n"/>
      <c r="E775" s="716" t="n"/>
      <c r="F775" s="716" t="n"/>
      <c r="G775" s="716" t="n"/>
      <c r="H775" s="462" t="n"/>
    </row>
    <row r="776">
      <c r="A776" s="462" t="n"/>
      <c r="B776" s="767">
        <f>ROW()</f>
        <v/>
      </c>
      <c r="C776" s="716" t="n"/>
      <c r="D776" s="716" t="n"/>
      <c r="E776" s="716" t="n"/>
      <c r="F776" s="716" t="n"/>
      <c r="G776" s="716" t="n"/>
      <c r="H776" s="462" t="n"/>
    </row>
    <row r="777">
      <c r="A777" s="462" t="n"/>
      <c r="B777" s="767">
        <f>ROW()</f>
        <v/>
      </c>
      <c r="C777" s="716" t="n"/>
      <c r="D777" s="716" t="n"/>
      <c r="E777" s="716" t="n"/>
      <c r="F777" s="716" t="n"/>
      <c r="G777" s="716" t="n"/>
      <c r="H777" s="462" t="n"/>
    </row>
    <row r="778">
      <c r="A778" s="462" t="n"/>
      <c r="B778" s="767">
        <f>ROW()</f>
        <v/>
      </c>
      <c r="C778" s="716" t="n"/>
      <c r="D778" s="716" t="n"/>
      <c r="E778" s="716" t="n"/>
      <c r="F778" s="716" t="n"/>
      <c r="G778" s="716" t="n"/>
      <c r="H778" s="462" t="n"/>
    </row>
    <row r="779">
      <c r="A779" s="462" t="n"/>
      <c r="B779" s="767">
        <f>ROW()</f>
        <v/>
      </c>
      <c r="C779" s="716" t="n"/>
      <c r="D779" s="716" t="n"/>
      <c r="E779" s="716" t="n"/>
      <c r="F779" s="716" t="n"/>
      <c r="G779" s="716" t="n"/>
      <c r="H779" s="462" t="n"/>
    </row>
    <row r="780">
      <c r="A780" s="462" t="n"/>
      <c r="B780" s="767">
        <f>ROW()</f>
        <v/>
      </c>
      <c r="C780" s="716" t="n"/>
      <c r="D780" s="716" t="n"/>
      <c r="E780" s="716" t="n"/>
      <c r="F780" s="716" t="n"/>
      <c r="G780" s="716" t="n"/>
      <c r="H780" s="462" t="n"/>
    </row>
    <row r="781">
      <c r="A781" s="462" t="n"/>
      <c r="B781" s="767">
        <f>ROW()</f>
        <v/>
      </c>
      <c r="C781" s="716" t="n"/>
      <c r="D781" s="716" t="n"/>
      <c r="E781" s="716" t="n"/>
      <c r="F781" s="716" t="n"/>
      <c r="G781" s="716" t="n"/>
      <c r="H781" s="462" t="n"/>
    </row>
    <row r="782">
      <c r="A782" s="462" t="n"/>
      <c r="B782" s="767">
        <f>ROW()</f>
        <v/>
      </c>
      <c r="C782" s="716" t="n"/>
      <c r="D782" s="716" t="n"/>
      <c r="E782" s="716" t="n"/>
      <c r="F782" s="716" t="n"/>
      <c r="G782" s="716" t="n"/>
      <c r="H782" s="462" t="n"/>
    </row>
    <row r="783">
      <c r="A783" s="462" t="n"/>
      <c r="B783" s="767">
        <f>ROW()</f>
        <v/>
      </c>
      <c r="C783" s="716" t="n"/>
      <c r="D783" s="716" t="n"/>
      <c r="E783" s="716" t="n"/>
      <c r="F783" s="716" t="n"/>
      <c r="G783" s="716" t="n"/>
      <c r="H783" s="462" t="n"/>
    </row>
    <row r="784">
      <c r="A784" s="462" t="n"/>
      <c r="B784" s="767">
        <f>ROW()</f>
        <v/>
      </c>
      <c r="C784" s="716" t="n"/>
      <c r="D784" s="716" t="n"/>
      <c r="E784" s="716" t="n"/>
      <c r="F784" s="716" t="n"/>
      <c r="G784" s="716" t="n"/>
      <c r="H784" s="462" t="n"/>
    </row>
    <row r="785">
      <c r="A785" s="462" t="n"/>
      <c r="B785" s="767">
        <f>ROW()</f>
        <v/>
      </c>
      <c r="C785" s="716" t="n"/>
      <c r="D785" s="716" t="n"/>
      <c r="E785" s="716" t="n"/>
      <c r="F785" s="716" t="n"/>
      <c r="G785" s="716" t="n"/>
      <c r="H785" s="462" t="n"/>
    </row>
    <row r="786">
      <c r="A786" s="462" t="n"/>
      <c r="B786" s="767">
        <f>ROW()</f>
        <v/>
      </c>
      <c r="C786" s="716" t="n"/>
      <c r="D786" s="716" t="n"/>
      <c r="E786" s="716" t="n"/>
      <c r="F786" s="716" t="n"/>
      <c r="G786" s="716" t="n"/>
      <c r="H786" s="462" t="n"/>
    </row>
    <row r="787">
      <c r="A787" s="462" t="n"/>
      <c r="B787" s="767">
        <f>ROW()</f>
        <v/>
      </c>
      <c r="C787" s="716" t="n"/>
      <c r="D787" s="716" t="n"/>
      <c r="E787" s="716" t="n"/>
      <c r="F787" s="716" t="n"/>
      <c r="G787" s="716" t="n"/>
      <c r="H787" s="462" t="n"/>
    </row>
    <row r="788">
      <c r="A788" s="462" t="n"/>
      <c r="B788" s="767">
        <f>ROW()</f>
        <v/>
      </c>
      <c r="C788" s="716" t="n"/>
      <c r="D788" s="716" t="n"/>
      <c r="E788" s="716" t="n"/>
      <c r="F788" s="716" t="n"/>
      <c r="G788" s="716" t="n"/>
      <c r="H788" s="462" t="n"/>
    </row>
    <row r="789">
      <c r="A789" s="462" t="n"/>
      <c r="B789" s="767">
        <f>ROW()</f>
        <v/>
      </c>
      <c r="C789" s="716" t="n"/>
      <c r="D789" s="716" t="n"/>
      <c r="E789" s="716" t="n"/>
      <c r="F789" s="716" t="n"/>
      <c r="G789" s="716" t="n"/>
      <c r="H789" s="462" t="n"/>
    </row>
    <row r="790">
      <c r="A790" s="462" t="n"/>
      <c r="B790" s="767">
        <f>ROW()</f>
        <v/>
      </c>
      <c r="C790" s="716" t="n"/>
      <c r="D790" s="716" t="n"/>
      <c r="E790" s="716" t="n"/>
      <c r="F790" s="716" t="n"/>
      <c r="G790" s="716" t="n"/>
      <c r="H790" s="462" t="n"/>
    </row>
    <row r="791">
      <c r="A791" s="462" t="n"/>
      <c r="B791" s="767">
        <f>ROW()</f>
        <v/>
      </c>
      <c r="C791" s="716" t="n"/>
      <c r="D791" s="716" t="n"/>
      <c r="E791" s="716" t="n"/>
      <c r="F791" s="716" t="n"/>
      <c r="G791" s="716" t="n"/>
      <c r="H791" s="462" t="n"/>
    </row>
    <row r="792">
      <c r="A792" s="462" t="n"/>
      <c r="B792" s="767">
        <f>ROW()</f>
        <v/>
      </c>
      <c r="C792" s="716" t="n"/>
      <c r="D792" s="716" t="n"/>
      <c r="E792" s="716" t="n"/>
      <c r="F792" s="716" t="n"/>
      <c r="G792" s="716" t="n"/>
      <c r="H792" s="462" t="n"/>
    </row>
    <row r="793">
      <c r="A793" s="462" t="n"/>
      <c r="B793" s="767">
        <f>ROW()</f>
        <v/>
      </c>
      <c r="C793" s="716" t="n"/>
      <c r="D793" s="716" t="n"/>
      <c r="E793" s="716" t="n"/>
      <c r="F793" s="716" t="n"/>
      <c r="G793" s="716" t="n"/>
      <c r="H793" s="462" t="n"/>
    </row>
    <row r="794">
      <c r="A794" s="462" t="n"/>
      <c r="B794" s="767">
        <f>ROW()</f>
        <v/>
      </c>
      <c r="C794" s="716" t="n"/>
      <c r="D794" s="716" t="n"/>
      <c r="E794" s="716" t="n"/>
      <c r="F794" s="716" t="n"/>
      <c r="G794" s="716" t="n"/>
      <c r="H794" s="462" t="n"/>
    </row>
    <row r="795">
      <c r="A795" s="462" t="n"/>
      <c r="B795" s="767">
        <f>ROW()</f>
        <v/>
      </c>
      <c r="C795" s="716" t="n"/>
      <c r="D795" s="716" t="n"/>
      <c r="E795" s="716" t="n"/>
      <c r="F795" s="716" t="n"/>
      <c r="G795" s="716" t="n"/>
      <c r="H795" s="462" t="n"/>
    </row>
    <row r="796">
      <c r="A796" s="462" t="n"/>
      <c r="B796" s="767">
        <f>ROW()</f>
        <v/>
      </c>
      <c r="C796" s="716" t="n"/>
      <c r="D796" s="716" t="n"/>
      <c r="E796" s="716" t="n"/>
      <c r="F796" s="716" t="n"/>
      <c r="G796" s="716" t="n"/>
      <c r="H796" s="462" t="n"/>
    </row>
    <row r="797">
      <c r="A797" s="462" t="n"/>
      <c r="B797" s="767">
        <f>ROW()</f>
        <v/>
      </c>
      <c r="C797" s="716" t="n"/>
      <c r="D797" s="716" t="n"/>
      <c r="E797" s="716" t="n"/>
      <c r="F797" s="716" t="n"/>
      <c r="G797" s="716" t="n"/>
      <c r="H797" s="462" t="n"/>
    </row>
    <row r="798">
      <c r="A798" s="462" t="n"/>
      <c r="B798" s="767">
        <f>ROW()</f>
        <v/>
      </c>
      <c r="C798" s="716" t="n"/>
      <c r="D798" s="716" t="n"/>
      <c r="E798" s="716" t="n"/>
      <c r="F798" s="716" t="n"/>
      <c r="G798" s="716" t="n"/>
      <c r="H798" s="462" t="n"/>
    </row>
    <row r="799">
      <c r="A799" s="462" t="n"/>
      <c r="B799" s="767">
        <f>ROW()</f>
        <v/>
      </c>
      <c r="C799" s="716" t="n"/>
      <c r="D799" s="716" t="n"/>
      <c r="E799" s="716" t="n"/>
      <c r="F799" s="716" t="n"/>
      <c r="G799" s="716" t="n"/>
      <c r="H799" s="462" t="n"/>
    </row>
    <row r="800">
      <c r="A800" s="462" t="n"/>
      <c r="B800" s="767">
        <f>ROW()</f>
        <v/>
      </c>
      <c r="C800" s="716" t="n"/>
      <c r="D800" s="716" t="n"/>
      <c r="E800" s="716" t="n"/>
      <c r="F800" s="716" t="n"/>
      <c r="G800" s="716" t="n"/>
      <c r="H800" s="462" t="n"/>
    </row>
    <row r="801">
      <c r="A801" s="462" t="n"/>
      <c r="B801" s="767">
        <f>ROW()</f>
        <v/>
      </c>
      <c r="C801" s="716" t="n"/>
      <c r="D801" s="716" t="n"/>
      <c r="E801" s="716" t="n"/>
      <c r="F801" s="716" t="n"/>
      <c r="G801" s="716" t="n"/>
      <c r="H801" s="462" t="n"/>
    </row>
    <row r="802">
      <c r="A802" s="462" t="n"/>
      <c r="B802" s="767">
        <f>ROW()</f>
        <v/>
      </c>
      <c r="C802" s="716" t="n"/>
      <c r="D802" s="716" t="n"/>
      <c r="E802" s="716" t="n"/>
      <c r="F802" s="716" t="n"/>
      <c r="G802" s="716" t="n"/>
      <c r="H802" s="462" t="n"/>
    </row>
    <row r="803">
      <c r="A803" s="462" t="n"/>
      <c r="B803" s="767">
        <f>ROW()</f>
        <v/>
      </c>
      <c r="C803" s="716" t="n"/>
      <c r="D803" s="716" t="n"/>
      <c r="E803" s="716" t="n"/>
      <c r="F803" s="716" t="n"/>
      <c r="G803" s="716" t="n"/>
      <c r="H803" s="462" t="n"/>
    </row>
    <row r="804">
      <c r="A804" s="462" t="n"/>
      <c r="B804" s="767">
        <f>ROW()</f>
        <v/>
      </c>
      <c r="C804" s="716" t="n"/>
      <c r="D804" s="716" t="n"/>
      <c r="E804" s="716" t="n"/>
      <c r="F804" s="716" t="n"/>
      <c r="G804" s="716" t="n"/>
      <c r="H804" s="462" t="n"/>
    </row>
    <row r="805">
      <c r="A805" s="462" t="n"/>
      <c r="B805" s="767">
        <f>ROW()</f>
        <v/>
      </c>
      <c r="C805" s="716" t="n"/>
      <c r="D805" s="716" t="n"/>
      <c r="E805" s="716" t="n"/>
      <c r="F805" s="716" t="n"/>
      <c r="G805" s="716" t="n"/>
      <c r="H805" s="462" t="n"/>
    </row>
    <row r="806">
      <c r="A806" s="462" t="n"/>
      <c r="B806" s="767">
        <f>ROW()</f>
        <v/>
      </c>
      <c r="C806" s="716" t="n"/>
      <c r="D806" s="716" t="n"/>
      <c r="E806" s="716" t="n"/>
      <c r="F806" s="716" t="n"/>
      <c r="G806" s="716" t="n"/>
      <c r="H806" s="462" t="n"/>
    </row>
    <row r="807">
      <c r="A807" s="462" t="n"/>
      <c r="B807" s="767">
        <f>ROW()</f>
        <v/>
      </c>
      <c r="C807" s="716" t="n"/>
      <c r="D807" s="716" t="n"/>
      <c r="E807" s="716" t="n"/>
      <c r="F807" s="716" t="n"/>
      <c r="G807" s="716" t="n"/>
      <c r="H807" s="462" t="n"/>
    </row>
    <row r="808">
      <c r="A808" s="462" t="n"/>
      <c r="B808" s="767">
        <f>ROW()</f>
        <v/>
      </c>
      <c r="C808" s="716" t="n"/>
      <c r="D808" s="716" t="n"/>
      <c r="E808" s="716" t="n"/>
      <c r="F808" s="716" t="n"/>
      <c r="G808" s="716" t="n"/>
      <c r="H808" s="462" t="n"/>
    </row>
    <row r="809">
      <c r="A809" s="462" t="n"/>
      <c r="B809" s="767">
        <f>ROW()</f>
        <v/>
      </c>
      <c r="C809" s="716" t="n"/>
      <c r="D809" s="716" t="n"/>
      <c r="E809" s="716" t="n"/>
      <c r="F809" s="716" t="n"/>
      <c r="G809" s="716" t="n"/>
      <c r="H809" s="462" t="n"/>
    </row>
    <row r="810">
      <c r="A810" s="462" t="n"/>
      <c r="B810" s="767">
        <f>ROW()</f>
        <v/>
      </c>
      <c r="C810" s="716" t="n"/>
      <c r="D810" s="716" t="n"/>
      <c r="E810" s="716" t="n"/>
      <c r="F810" s="716" t="n"/>
      <c r="G810" s="716" t="n"/>
      <c r="H810" s="462" t="n"/>
    </row>
    <row r="811">
      <c r="A811" s="462" t="n"/>
      <c r="B811" s="767">
        <f>ROW()</f>
        <v/>
      </c>
      <c r="C811" s="716" t="n"/>
      <c r="D811" s="716" t="n"/>
      <c r="E811" s="716" t="n"/>
      <c r="F811" s="716" t="n"/>
      <c r="G811" s="716" t="n"/>
      <c r="H811" s="462" t="n"/>
    </row>
    <row r="812">
      <c r="A812" s="462" t="n"/>
      <c r="B812" s="767">
        <f>ROW()</f>
        <v/>
      </c>
      <c r="C812" s="716" t="n"/>
      <c r="D812" s="716" t="n"/>
      <c r="E812" s="716" t="n"/>
      <c r="F812" s="716" t="n"/>
      <c r="G812" s="716" t="n"/>
      <c r="H812" s="462" t="n"/>
    </row>
    <row r="813">
      <c r="A813" s="462" t="n"/>
      <c r="B813" s="767">
        <f>ROW()</f>
        <v/>
      </c>
      <c r="C813" s="716" t="n"/>
      <c r="D813" s="716" t="n"/>
      <c r="E813" s="716" t="n"/>
      <c r="F813" s="716" t="n"/>
      <c r="G813" s="716" t="n"/>
      <c r="H813" s="462" t="n"/>
    </row>
    <row r="814">
      <c r="A814" s="462" t="n"/>
      <c r="B814" s="767">
        <f>ROW()</f>
        <v/>
      </c>
      <c r="C814" s="716" t="n"/>
      <c r="D814" s="716" t="n"/>
      <c r="E814" s="716" t="n"/>
      <c r="F814" s="716" t="n"/>
      <c r="G814" s="716" t="n"/>
      <c r="H814" s="462" t="n"/>
    </row>
    <row r="815">
      <c r="A815" s="462" t="n"/>
      <c r="B815" s="767">
        <f>ROW()</f>
        <v/>
      </c>
      <c r="C815" s="716" t="n"/>
      <c r="D815" s="716" t="n"/>
      <c r="E815" s="716" t="n"/>
      <c r="F815" s="716" t="n"/>
      <c r="G815" s="716" t="n"/>
      <c r="H815" s="462" t="n"/>
    </row>
    <row r="816">
      <c r="A816" s="462" t="n"/>
      <c r="B816" s="767">
        <f>ROW()</f>
        <v/>
      </c>
      <c r="C816" s="716" t="n"/>
      <c r="D816" s="716" t="n"/>
      <c r="E816" s="716" t="n"/>
      <c r="F816" s="716" t="n"/>
      <c r="G816" s="716" t="n"/>
      <c r="H816" s="462" t="n"/>
    </row>
    <row r="817">
      <c r="A817" s="462" t="n"/>
      <c r="B817" s="767">
        <f>ROW()</f>
        <v/>
      </c>
      <c r="C817" s="716" t="n"/>
      <c r="D817" s="716" t="n"/>
      <c r="E817" s="716" t="n"/>
      <c r="F817" s="716" t="n"/>
      <c r="G817" s="716" t="n"/>
      <c r="H817" s="462" t="n"/>
    </row>
    <row r="818">
      <c r="A818" s="462" t="n"/>
      <c r="B818" s="767">
        <f>ROW()</f>
        <v/>
      </c>
      <c r="C818" s="716" t="n"/>
      <c r="D818" s="716" t="n"/>
      <c r="E818" s="716" t="n"/>
      <c r="F818" s="716" t="n"/>
      <c r="G818" s="716" t="n"/>
      <c r="H818" s="462" t="n"/>
    </row>
    <row r="819">
      <c r="A819" s="462" t="n"/>
      <c r="B819" s="767">
        <f>ROW()</f>
        <v/>
      </c>
      <c r="C819" s="716" t="n"/>
      <c r="D819" s="716" t="n"/>
      <c r="E819" s="716" t="n"/>
      <c r="F819" s="716" t="n"/>
      <c r="G819" s="716" t="n"/>
      <c r="H819" s="462" t="n"/>
    </row>
    <row r="820">
      <c r="A820" s="462" t="n"/>
      <c r="B820" s="767">
        <f>ROW()</f>
        <v/>
      </c>
      <c r="C820" s="716" t="n"/>
      <c r="D820" s="716" t="n"/>
      <c r="E820" s="716" t="n"/>
      <c r="F820" s="716" t="n"/>
      <c r="G820" s="716" t="n"/>
      <c r="H820" s="462" t="n"/>
    </row>
    <row r="821">
      <c r="A821" s="462" t="n"/>
      <c r="B821" s="767">
        <f>ROW()</f>
        <v/>
      </c>
      <c r="C821" s="716" t="n"/>
      <c r="D821" s="716" t="n"/>
      <c r="E821" s="716" t="n"/>
      <c r="F821" s="716" t="n"/>
      <c r="G821" s="716" t="n"/>
      <c r="H821" s="462" t="n"/>
    </row>
    <row r="822">
      <c r="A822" s="462" t="n"/>
      <c r="B822" s="767">
        <f>ROW()</f>
        <v/>
      </c>
      <c r="C822" s="716" t="n"/>
      <c r="D822" s="716" t="n"/>
      <c r="E822" s="716" t="n"/>
      <c r="F822" s="716" t="n"/>
      <c r="G822" s="716" t="n"/>
      <c r="H822" s="462" t="n"/>
    </row>
    <row r="823">
      <c r="A823" s="462" t="n"/>
      <c r="B823" s="767">
        <f>ROW()</f>
        <v/>
      </c>
      <c r="C823" s="716" t="n"/>
      <c r="D823" s="716" t="n"/>
      <c r="E823" s="716" t="n"/>
      <c r="F823" s="716" t="n"/>
      <c r="G823" s="716" t="n"/>
      <c r="H823" s="462" t="n"/>
    </row>
    <row r="824">
      <c r="A824" s="462" t="n"/>
      <c r="B824" s="767">
        <f>ROW()</f>
        <v/>
      </c>
      <c r="C824" s="716" t="n"/>
      <c r="D824" s="716" t="n"/>
      <c r="E824" s="716" t="n"/>
      <c r="F824" s="716" t="n"/>
      <c r="G824" s="716" t="n"/>
      <c r="H824" s="462" t="n"/>
    </row>
    <row r="825">
      <c r="A825" s="462" t="n"/>
      <c r="B825" s="767">
        <f>ROW()</f>
        <v/>
      </c>
      <c r="C825" s="716" t="n"/>
      <c r="D825" s="716" t="n"/>
      <c r="E825" s="716" t="n"/>
      <c r="F825" s="716" t="n"/>
      <c r="G825" s="716" t="n"/>
      <c r="H825" s="462" t="n"/>
    </row>
    <row r="826">
      <c r="A826" s="462" t="n"/>
      <c r="B826" s="767">
        <f>ROW()</f>
        <v/>
      </c>
      <c r="C826" s="716" t="n"/>
      <c r="D826" s="716" t="n"/>
      <c r="E826" s="716" t="n"/>
      <c r="F826" s="716" t="n"/>
      <c r="G826" s="716" t="n"/>
      <c r="H826" s="462" t="n"/>
    </row>
    <row r="827">
      <c r="A827" s="462" t="n"/>
      <c r="B827" s="767">
        <f>ROW()</f>
        <v/>
      </c>
      <c r="C827" s="716" t="n"/>
      <c r="D827" s="716" t="n"/>
      <c r="E827" s="716" t="n"/>
      <c r="F827" s="716" t="n"/>
      <c r="G827" s="716" t="n"/>
      <c r="H827" s="462" t="n"/>
    </row>
    <row r="828">
      <c r="A828" s="462" t="n"/>
      <c r="B828" s="767">
        <f>ROW()</f>
        <v/>
      </c>
      <c r="C828" s="716" t="n"/>
      <c r="D828" s="716" t="n"/>
      <c r="E828" s="716" t="n"/>
      <c r="F828" s="716" t="n"/>
      <c r="G828" s="716" t="n"/>
      <c r="H828" s="462" t="n"/>
    </row>
    <row r="829">
      <c r="A829" s="462" t="n"/>
      <c r="B829" s="767">
        <f>ROW()</f>
        <v/>
      </c>
      <c r="C829" s="716" t="n"/>
      <c r="D829" s="716" t="n"/>
      <c r="E829" s="716" t="n"/>
      <c r="F829" s="716" t="n"/>
      <c r="G829" s="716" t="n"/>
      <c r="H829" s="462" t="n"/>
    </row>
    <row r="830">
      <c r="A830" s="462" t="n"/>
      <c r="B830" s="767">
        <f>ROW()</f>
        <v/>
      </c>
      <c r="C830" s="716" t="n"/>
      <c r="D830" s="716" t="n"/>
      <c r="E830" s="716" t="n"/>
      <c r="F830" s="716" t="n"/>
      <c r="G830" s="716" t="n"/>
      <c r="H830" s="462" t="n"/>
    </row>
    <row r="831">
      <c r="A831" s="462" t="n"/>
      <c r="B831" s="767">
        <f>ROW()</f>
        <v/>
      </c>
      <c r="C831" s="716" t="n"/>
      <c r="D831" s="716" t="n"/>
      <c r="E831" s="716" t="n"/>
      <c r="F831" s="716" t="n"/>
      <c r="G831" s="716" t="n"/>
      <c r="H831" s="462" t="n"/>
    </row>
    <row r="832">
      <c r="A832" s="462" t="n"/>
      <c r="B832" s="767">
        <f>ROW()</f>
        <v/>
      </c>
      <c r="C832" s="716" t="n"/>
      <c r="D832" s="716" t="n"/>
      <c r="E832" s="716" t="n"/>
      <c r="F832" s="716" t="n"/>
      <c r="G832" s="716" t="n"/>
      <c r="H832" s="462" t="n"/>
    </row>
    <row r="833">
      <c r="A833" s="462" t="n"/>
      <c r="B833" s="767">
        <f>ROW()</f>
        <v/>
      </c>
      <c r="C833" s="716" t="n"/>
      <c r="D833" s="716" t="n"/>
      <c r="E833" s="716" t="n"/>
      <c r="F833" s="716" t="n"/>
      <c r="G833" s="716" t="n"/>
      <c r="H833" s="462" t="n"/>
    </row>
    <row r="834">
      <c r="A834" s="462" t="n"/>
      <c r="B834" s="767">
        <f>ROW()</f>
        <v/>
      </c>
      <c r="C834" s="716" t="n"/>
      <c r="D834" s="716" t="n"/>
      <c r="E834" s="716" t="n"/>
      <c r="F834" s="716" t="n"/>
      <c r="G834" s="716" t="n"/>
      <c r="H834" s="462" t="n"/>
    </row>
    <row r="835">
      <c r="A835" s="462" t="n"/>
      <c r="B835" s="767">
        <f>ROW()</f>
        <v/>
      </c>
      <c r="C835" s="716" t="n"/>
      <c r="D835" s="716" t="n"/>
      <c r="E835" s="716" t="n"/>
      <c r="F835" s="716" t="n"/>
      <c r="G835" s="716" t="n"/>
      <c r="H835" s="462" t="n"/>
    </row>
    <row r="836">
      <c r="A836" s="462" t="n"/>
      <c r="B836" s="767">
        <f>ROW()</f>
        <v/>
      </c>
      <c r="C836" s="716" t="n"/>
      <c r="D836" s="716" t="n"/>
      <c r="E836" s="716" t="n"/>
      <c r="F836" s="716" t="n"/>
      <c r="G836" s="716" t="n"/>
      <c r="H836" s="462" t="n"/>
    </row>
    <row r="837">
      <c r="A837" s="462" t="n"/>
      <c r="B837" s="767">
        <f>ROW()</f>
        <v/>
      </c>
      <c r="C837" s="716" t="n"/>
      <c r="D837" s="716" t="n"/>
      <c r="E837" s="716" t="n"/>
      <c r="F837" s="716" t="n"/>
      <c r="G837" s="716" t="n"/>
      <c r="H837" s="462" t="n"/>
    </row>
    <row r="838">
      <c r="A838" s="462" t="n"/>
      <c r="B838" s="767">
        <f>ROW()</f>
        <v/>
      </c>
      <c r="C838" s="716" t="n"/>
      <c r="D838" s="716" t="n"/>
      <c r="E838" s="716" t="n"/>
      <c r="F838" s="716" t="n"/>
      <c r="G838" s="716" t="n"/>
      <c r="H838" s="462" t="n"/>
    </row>
    <row r="839">
      <c r="A839" s="462" t="n"/>
      <c r="B839" s="767">
        <f>ROW()</f>
        <v/>
      </c>
      <c r="C839" s="716" t="n"/>
      <c r="D839" s="716" t="n"/>
      <c r="E839" s="716" t="n"/>
      <c r="F839" s="716" t="n"/>
      <c r="G839" s="716" t="n"/>
      <c r="H839" s="462" t="n"/>
    </row>
    <row r="840">
      <c r="A840" s="462" t="n"/>
      <c r="B840" s="767">
        <f>ROW()</f>
        <v/>
      </c>
      <c r="C840" s="716" t="n"/>
      <c r="D840" s="716" t="n"/>
      <c r="E840" s="716" t="n"/>
      <c r="F840" s="716" t="n"/>
      <c r="G840" s="716" t="n"/>
      <c r="H840" s="462" t="n"/>
    </row>
    <row r="841">
      <c r="A841" s="462" t="n"/>
      <c r="B841" s="767">
        <f>ROW()</f>
        <v/>
      </c>
      <c r="C841" s="716" t="n"/>
      <c r="D841" s="716" t="n"/>
      <c r="E841" s="716" t="n"/>
      <c r="F841" s="716" t="n"/>
      <c r="G841" s="716" t="n"/>
      <c r="H841" s="462" t="n"/>
    </row>
    <row r="842">
      <c r="A842" s="462" t="n"/>
      <c r="B842" s="767">
        <f>ROW()</f>
        <v/>
      </c>
      <c r="C842" s="716" t="n"/>
      <c r="D842" s="716" t="n"/>
      <c r="E842" s="716" t="n"/>
      <c r="F842" s="716" t="n"/>
      <c r="G842" s="716" t="n"/>
      <c r="H842" s="462" t="n"/>
    </row>
    <row r="843">
      <c r="A843" s="462" t="n"/>
      <c r="B843" s="767">
        <f>ROW()</f>
        <v/>
      </c>
      <c r="C843" s="716" t="n"/>
      <c r="D843" s="716" t="n"/>
      <c r="E843" s="716" t="n"/>
      <c r="F843" s="716" t="n"/>
      <c r="G843" s="716" t="n"/>
      <c r="H843" s="462" t="n"/>
    </row>
    <row r="844">
      <c r="A844" s="462" t="n"/>
      <c r="B844" s="767">
        <f>ROW()</f>
        <v/>
      </c>
      <c r="C844" s="716" t="n"/>
      <c r="D844" s="716" t="n"/>
      <c r="E844" s="716" t="n"/>
      <c r="F844" s="716" t="n"/>
      <c r="G844" s="716" t="n"/>
      <c r="H844" s="462" t="n"/>
    </row>
    <row r="845">
      <c r="A845" s="462" t="n"/>
      <c r="B845" s="767">
        <f>ROW()</f>
        <v/>
      </c>
      <c r="C845" s="716" t="n"/>
      <c r="D845" s="716" t="n"/>
      <c r="E845" s="716" t="n"/>
      <c r="F845" s="716" t="n"/>
      <c r="G845" s="716" t="n"/>
      <c r="H845" s="462" t="n"/>
    </row>
    <row r="846">
      <c r="A846" s="462" t="n"/>
      <c r="B846" s="767">
        <f>ROW()</f>
        <v/>
      </c>
      <c r="C846" s="716" t="n"/>
      <c r="D846" s="716" t="n"/>
      <c r="E846" s="716" t="n"/>
      <c r="F846" s="716" t="n"/>
      <c r="G846" s="716" t="n"/>
      <c r="H846" s="462" t="n"/>
    </row>
    <row r="847">
      <c r="A847" s="462" t="n"/>
      <c r="B847" s="767">
        <f>ROW()</f>
        <v/>
      </c>
      <c r="C847" s="716" t="n"/>
      <c r="D847" s="716" t="n"/>
      <c r="E847" s="716" t="n"/>
      <c r="F847" s="716" t="n"/>
      <c r="G847" s="716" t="n"/>
      <c r="H847" s="462" t="n"/>
    </row>
    <row r="848">
      <c r="A848" s="462" t="n"/>
      <c r="B848" s="767">
        <f>ROW()</f>
        <v/>
      </c>
      <c r="C848" s="716" t="n"/>
      <c r="D848" s="716" t="n"/>
      <c r="E848" s="716" t="n"/>
      <c r="F848" s="716" t="n"/>
      <c r="G848" s="716" t="n"/>
      <c r="H848" s="462" t="n"/>
    </row>
    <row r="849">
      <c r="A849" s="462" t="n"/>
      <c r="B849" s="767">
        <f>ROW()</f>
        <v/>
      </c>
      <c r="C849" s="716" t="n"/>
      <c r="D849" s="716" t="n"/>
      <c r="E849" s="716" t="n"/>
      <c r="F849" s="716" t="n"/>
      <c r="G849" s="716" t="n"/>
      <c r="H849" s="462" t="n"/>
    </row>
    <row r="850">
      <c r="A850" s="462" t="n"/>
      <c r="B850" s="767">
        <f>ROW()</f>
        <v/>
      </c>
      <c r="C850" s="716" t="n"/>
      <c r="D850" s="716" t="n"/>
      <c r="E850" s="716" t="n"/>
      <c r="F850" s="716" t="n"/>
      <c r="G850" s="716" t="n"/>
      <c r="H850" s="462" t="n"/>
    </row>
    <row r="851">
      <c r="A851" s="672" t="n"/>
      <c r="B851" s="767">
        <f>ROW()</f>
        <v/>
      </c>
      <c r="C851" s="182" t="n"/>
      <c r="D851" s="182" t="n"/>
      <c r="E851" s="182" t="n"/>
      <c r="F851" s="716" t="n"/>
      <c r="G851" s="716" t="n"/>
      <c r="H851" s="462" t="n"/>
    </row>
  </sheetData>
  <sheetProtection selectLockedCells="0" selectUnlockedCells="0" algorithmName="SHA-512" sheet="1" objects="0" insertRows="1" insertHyperlinks="1" autoFilter="1" scenarios="1" formatColumns="1" deleteColumns="1" insertColumns="1" pivotTables="1" deleteRows="1" formatCells="1" saltValue="mzsFPYp+gbytTgc1qBzd9Q==" formatRows="1" sort="1" spinCount="100000" hashValue="WlZFirpPTM2YokgUD1Lrt8SF5eHTHwaLve3Pj1dXxi/caVIC6Irewbenc6bjSkaBMKVoL5sTSutBB1vVOUArEw=="/>
  <mergeCells count="1">
    <mergeCell ref="G1:H1"/>
  </mergeCells>
  <pageMargins left="0.7" right="0.7" top="0.75" bottom="0.75" header="0.3" footer="0.3"/>
  <pageSetup orientation="portrait" paperSize="9"/>
</worksheet>
</file>

<file path=xl/worksheets/sheet12.xml><?xml version="1.0" encoding="utf-8"?>
<worksheet xmlns="http://schemas.openxmlformats.org/spreadsheetml/2006/main">
  <sheetPr codeName="Sheet18">
    <outlinePr showOutlineSymbols="0"/>
    <pageSetUpPr/>
  </sheetPr>
  <dimension ref="A1:AS1011"/>
  <sheetViews>
    <sheetView showGridLines="0" showOutlineSymbols="0" topLeftCell="AC34" zoomScale="80" zoomScaleNormal="80" workbookViewId="0">
      <selection activeCell="AJ332" sqref="AJ332"/>
    </sheetView>
  </sheetViews>
  <sheetFormatPr baseColWidth="8" defaultColWidth="9" defaultRowHeight="16.8"/>
  <cols>
    <col hidden="1" outlineLevel="1" width="8" customWidth="1" style="1181" min="1" max="1"/>
    <col hidden="1" outlineLevel="1" width="15.375" customWidth="1" style="1181" min="2" max="2"/>
    <col hidden="1" outlineLevel="1" width="11.375" customWidth="1" style="1181" min="3" max="3"/>
    <col hidden="1" outlineLevel="1" width="35.75" customWidth="1" style="1181" min="4" max="4"/>
    <col hidden="1" outlineLevel="1" width="7.75" customWidth="1" style="1181" min="5" max="6"/>
    <col hidden="1" outlineLevel="1" width="8" customWidth="1" style="1181" min="7" max="7"/>
    <col hidden="1" outlineLevel="1" width="9.25" customWidth="1" style="1181" min="8" max="8"/>
    <col hidden="1" outlineLevel="1" width="9" customWidth="1" style="1181" min="9" max="9"/>
    <col hidden="1" outlineLevel="1" width="11.125" customWidth="1" style="1181" min="10" max="10"/>
    <col hidden="1" outlineLevel="1" width="7.75" customWidth="1" style="1181" min="11" max="18"/>
    <col hidden="1" outlineLevel="1" width="1.75" customWidth="1" style="1181" min="19" max="20"/>
    <col hidden="1" outlineLevel="1" width="12.375" customWidth="1" style="1181" min="21" max="21"/>
    <col hidden="1" outlineLevel="1" width="26.125" customWidth="1" style="1181" min="22" max="22"/>
    <col collapsed="1" width="1.75" customWidth="1" style="1181" min="23" max="23"/>
    <col width="15.75" customWidth="1" style="1181" min="24" max="24"/>
    <col width="35.25" customWidth="1" style="1181" min="25" max="25"/>
    <col width="20.375" customWidth="1" style="1181" min="26" max="27"/>
    <col width="21.625" customWidth="1" style="843" min="28" max="28"/>
    <col width="20.375" customWidth="1" style="1181" min="29" max="33"/>
    <col hidden="1" width="20.375" customWidth="1" style="1181" min="34" max="34"/>
    <col width="20.375" customWidth="1" style="1181" min="35" max="37"/>
    <col width="13.375" customWidth="1" style="1181" min="38" max="38"/>
    <col width="20.375" customWidth="1" style="1181" min="39" max="40"/>
    <col hidden="1" outlineLevel="1" width="13.75" customWidth="1" style="1181" min="41" max="42"/>
    <col hidden="1" outlineLevel="1" width="19.875" customWidth="1" style="1181" min="43" max="43"/>
    <col hidden="1" outlineLevel="1" width="13.75" customWidth="1" style="1181" min="44" max="44"/>
    <col collapsed="1" width="8.625" customWidth="1" style="1181" min="45" max="45"/>
  </cols>
  <sheetData>
    <row r="1" hidden="1" outlineLevel="1" ht="15.75" customFormat="1" customHeight="1" s="13">
      <c r="A1" s="172" t="inlineStr">
        <is>
          <t>维度清单</t>
        </is>
      </c>
      <c r="B1" s="462" t="n"/>
      <c r="C1" s="173" t="n"/>
      <c r="D1" s="173" t="n"/>
      <c r="E1" s="716" t="n"/>
      <c r="F1" s="13" t="n"/>
      <c r="G1" s="13" t="n"/>
      <c r="H1" s="13" t="n"/>
      <c r="I1" s="13" t="n"/>
      <c r="J1" s="13" t="n"/>
      <c r="K1" s="13" t="n"/>
      <c r="L1" s="13" t="n"/>
      <c r="M1" s="13" t="n"/>
      <c r="N1" s="13" t="n"/>
      <c r="O1" s="13" t="n"/>
      <c r="P1" s="13" t="n"/>
      <c r="Q1" s="13" t="n"/>
      <c r="R1" s="13" t="n"/>
      <c r="S1" s="13" t="n"/>
      <c r="T1" s="13" t="n"/>
      <c r="U1" s="13" t="n"/>
      <c r="V1" s="13" t="n"/>
      <c r="W1" s="13" t="n"/>
      <c r="X1" s="13" t="n"/>
      <c r="Y1" s="13" t="n"/>
      <c r="Z1" s="13" t="n"/>
      <c r="AA1" s="13" t="n"/>
      <c r="AB1" s="856" t="n"/>
      <c r="AC1" s="13" t="n"/>
      <c r="AD1" s="13" t="n"/>
      <c r="AE1" s="13" t="n"/>
      <c r="AF1" s="13" t="n"/>
      <c r="AG1" s="13" t="n"/>
      <c r="AH1" s="13" t="n"/>
      <c r="AI1" s="13" t="n"/>
      <c r="AJ1" s="13" t="n"/>
      <c r="AK1" s="13" t="n"/>
      <c r="AL1" s="13" t="n"/>
      <c r="AM1" s="220" t="n"/>
      <c r="AN1" s="13" t="n"/>
      <c r="AO1" s="13" t="n"/>
      <c r="AP1" s="13" t="n"/>
      <c r="AQ1" s="13" t="n"/>
      <c r="AR1" s="13" t="n"/>
      <c r="AS1" s="13" t="n"/>
    </row>
    <row r="2" hidden="1" outlineLevel="1" ht="15.75" customFormat="1" customHeight="1" s="13">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3" t="n"/>
      <c r="T2" s="13" t="n"/>
      <c r="U2" s="13" t="n"/>
      <c r="V2" s="13" t="n"/>
      <c r="W2" s="13" t="n"/>
      <c r="X2" s="13" t="n"/>
      <c r="Y2" s="13" t="n"/>
      <c r="Z2" s="13" t="n"/>
      <c r="AA2" s="13" t="n"/>
      <c r="AB2" s="856" t="n"/>
      <c r="AC2" s="13" t="n"/>
      <c r="AD2" s="13" t="n"/>
      <c r="AE2" s="13" t="n"/>
      <c r="AF2" s="13" t="n"/>
      <c r="AG2" s="13" t="n"/>
      <c r="AH2" s="13" t="n"/>
      <c r="AI2" s="13" t="n"/>
      <c r="AJ2" s="13" t="n"/>
      <c r="AK2" s="13" t="n"/>
      <c r="AL2" s="13" t="n"/>
      <c r="AM2" s="220" t="n"/>
      <c r="AN2" s="13" t="n"/>
      <c r="AO2" s="13" t="n"/>
      <c r="AP2" s="13" t="n"/>
      <c r="AQ2" s="13" t="n"/>
      <c r="AR2" s="13" t="n"/>
      <c r="AS2" s="13" t="n"/>
    </row>
    <row r="3" hidden="1" outlineLevel="1" ht="15.75" customFormat="1" customHeight="1" s="13">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3" t="n"/>
      <c r="T3" s="13" t="n"/>
      <c r="U3" s="13" t="n"/>
      <c r="V3" s="13" t="n"/>
      <c r="W3" s="13" t="n"/>
      <c r="X3" s="13" t="n"/>
      <c r="Y3" s="13" t="n"/>
      <c r="Z3" s="13" t="n"/>
      <c r="AA3" s="13" t="n"/>
      <c r="AB3" s="856" t="n"/>
      <c r="AC3" s="13" t="n"/>
      <c r="AD3" s="13" t="n"/>
      <c r="AE3" s="13" t="n"/>
      <c r="AF3" s="13" t="n"/>
      <c r="AG3" s="13" t="n"/>
      <c r="AH3" s="13" t="n"/>
      <c r="AI3" s="13" t="n"/>
      <c r="AJ3" s="13" t="n"/>
      <c r="AK3" s="13" t="n"/>
      <c r="AL3" s="13" t="n"/>
      <c r="AM3" s="220" t="n"/>
      <c r="AN3" s="13" t="n"/>
      <c r="AO3" s="13" t="n"/>
      <c r="AP3" s="13" t="n"/>
      <c r="AQ3" s="13" t="n"/>
      <c r="AR3" s="13" t="n"/>
      <c r="AS3" s="13" t="n"/>
    </row>
    <row r="4" hidden="1" outlineLevel="1" ht="15.75" customFormat="1" customHeight="1" s="13">
      <c r="A4" s="175" t="inlineStr">
        <is>
          <t>C</t>
        </is>
      </c>
      <c r="B4" s="176">
        <f>IF(_epmOfflineCondition_,"C_CATEGORY",EPMDimensionType(,A4))</f>
        <v/>
      </c>
      <c r="C4" s="176">
        <f>IF(_epmOfflineCondition_,"C_ALL",IF(B4="","",EPMContextMember(,B4)))</f>
        <v/>
      </c>
      <c r="D4" s="176">
        <f>IF(_epmOfflineCondition_,"全部类别",EPMMemberDesc(C4))</f>
        <v/>
      </c>
      <c r="E4" s="176" t="n"/>
      <c r="F4" s="13" t="n"/>
      <c r="G4" s="13" t="n"/>
      <c r="H4" s="184" t="inlineStr">
        <is>
          <t>预算年</t>
        </is>
      </c>
      <c r="I4" s="184">
        <f>"V_"&amp;$I$3</f>
        <v/>
      </c>
      <c r="J4" s="184">
        <f>$I$3&amp;".TOTAL"</f>
        <v/>
      </c>
      <c r="K4" s="13" t="n"/>
      <c r="L4" s="13" t="n"/>
      <c r="M4" s="13" t="n"/>
      <c r="N4" s="13" t="n"/>
      <c r="O4" s="13" t="n"/>
      <c r="P4" s="13" t="n"/>
      <c r="Q4" s="13" t="n"/>
      <c r="R4" s="13" t="n"/>
      <c r="S4" s="13" t="n"/>
      <c r="T4" s="13" t="n"/>
      <c r="U4" s="13" t="n"/>
      <c r="V4" s="13" t="n"/>
      <c r="W4" s="13" t="n"/>
      <c r="X4" s="13" t="n"/>
      <c r="Y4" s="13" t="n"/>
      <c r="Z4" s="13" t="n"/>
      <c r="AA4" s="13" t="n"/>
      <c r="AB4" s="856" t="n"/>
      <c r="AC4" s="13" t="n"/>
      <c r="AD4" s="13" t="n"/>
      <c r="AE4" s="13" t="n"/>
      <c r="AF4" s="13" t="n"/>
      <c r="AG4" s="13" t="n"/>
      <c r="AH4" s="13" t="n"/>
      <c r="AI4" s="13" t="n"/>
      <c r="AJ4" s="13" t="n"/>
      <c r="AK4" s="13" t="n"/>
      <c r="AL4" s="13" t="n"/>
      <c r="AM4" s="220" t="n"/>
      <c r="AN4" s="13" t="n"/>
      <c r="AO4" s="13" t="n"/>
      <c r="AP4" s="13" t="n"/>
      <c r="AQ4" s="13" t="n"/>
      <c r="AR4" s="13" t="n"/>
      <c r="AS4" s="13" t="n"/>
    </row>
    <row r="5" hidden="1" outlineLevel="1" ht="15.75" customFormat="1" customHeight="1" s="13">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3" t="n"/>
      <c r="T5" s="13" t="n"/>
      <c r="U5" s="13" t="n"/>
      <c r="V5" s="13" t="n"/>
      <c r="W5" s="13" t="n"/>
      <c r="X5" s="13" t="n"/>
      <c r="Y5" s="13" t="n"/>
      <c r="Z5" s="13" t="n"/>
      <c r="AA5" s="13" t="n"/>
      <c r="AB5" s="856" t="n"/>
      <c r="AC5" s="13" t="n"/>
      <c r="AD5" s="13" t="n"/>
      <c r="AE5" s="13" t="n"/>
      <c r="AF5" s="13" t="n"/>
      <c r="AG5" s="13" t="n"/>
      <c r="AH5" s="13" t="n"/>
      <c r="AI5" s="13" t="n"/>
      <c r="AJ5" s="13" t="n"/>
      <c r="AK5" s="13" t="n"/>
      <c r="AL5" s="13" t="n"/>
      <c r="AM5" s="220" t="n"/>
      <c r="AN5" s="13" t="n"/>
      <c r="AO5" s="13" t="n"/>
      <c r="AP5" s="13" t="n"/>
      <c r="AQ5" s="13" t="n"/>
      <c r="AR5" s="13" t="n"/>
      <c r="AS5" s="13" t="n"/>
    </row>
    <row r="6" hidden="1" outlineLevel="1" ht="15.75" customFormat="1" customHeight="1" s="13">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3" t="n"/>
      <c r="T6" s="13" t="n"/>
      <c r="U6" s="13" t="n"/>
      <c r="V6" s="13" t="n"/>
      <c r="W6" s="13" t="n"/>
      <c r="X6" s="13" t="n"/>
      <c r="Y6" s="13" t="n"/>
      <c r="Z6" s="13" t="n"/>
      <c r="AA6" s="13" t="n"/>
      <c r="AB6" s="856" t="n"/>
      <c r="AC6" s="13" t="n"/>
      <c r="AD6" s="13" t="n"/>
      <c r="AE6" s="13" t="n"/>
      <c r="AF6" s="13" t="n"/>
      <c r="AG6" s="13" t="n"/>
      <c r="AH6" s="13" t="n"/>
      <c r="AI6" s="13" t="n"/>
      <c r="AJ6" s="13" t="n"/>
      <c r="AK6" s="13" t="n"/>
      <c r="AL6" s="13" t="n"/>
      <c r="AM6" s="220" t="n"/>
      <c r="AN6" s="13" t="n"/>
      <c r="AO6" s="13" t="n"/>
      <c r="AP6" s="13" t="n"/>
      <c r="AQ6" s="13" t="n"/>
      <c r="AR6" s="13" t="n"/>
      <c r="AS6" s="13" t="n"/>
    </row>
    <row r="7" hidden="1" outlineLevel="1" ht="15.75" customFormat="1" customHeight="1" s="13">
      <c r="A7" s="175" t="inlineStr">
        <is>
          <t>R</t>
        </is>
      </c>
      <c r="B7" s="176">
        <f>IF(_epmOfflineCondition_,"C_RPTCURRENCY",EPMDimensionType(,A7))</f>
        <v/>
      </c>
      <c r="C7" s="176">
        <f>IF(_epmOfflineCondition_,"AUD",IF(B7="","",EPMContextMember(,B7)))</f>
        <v/>
      </c>
      <c r="D7" s="176">
        <f>IF(_epmOfflineCondition_,"澳元",EPMMemberDesc(C7))</f>
        <v/>
      </c>
      <c r="E7" s="176" t="n"/>
      <c r="F7" s="13" t="n"/>
      <c r="G7" s="13" t="n"/>
      <c r="H7" s="13" t="n"/>
      <c r="I7" s="13" t="n"/>
      <c r="J7" s="13" t="n"/>
      <c r="K7" s="13" t="n"/>
      <c r="L7" s="13" t="n"/>
      <c r="M7" s="13" t="n"/>
      <c r="N7" s="13" t="n"/>
      <c r="O7" s="13" t="n"/>
      <c r="P7" s="13" t="n"/>
      <c r="Q7" s="13" t="n"/>
      <c r="R7" s="13" t="n"/>
      <c r="S7" s="13" t="n"/>
      <c r="T7" s="13" t="n"/>
      <c r="U7" s="13" t="n"/>
      <c r="V7" s="13" t="n"/>
      <c r="W7" s="13" t="n"/>
      <c r="X7" s="13" t="n"/>
      <c r="Y7" s="13" t="n"/>
      <c r="Z7" s="13" t="n"/>
      <c r="AA7" s="13" t="n"/>
      <c r="AB7" s="856" t="n"/>
      <c r="AC7" s="13" t="n"/>
      <c r="AD7" s="13" t="n"/>
      <c r="AE7" s="13" t="n"/>
      <c r="AF7" s="13" t="n"/>
      <c r="AG7" s="13" t="n"/>
      <c r="AH7" s="13" t="n"/>
      <c r="AI7" s="13" t="n"/>
      <c r="AJ7" s="13" t="n"/>
      <c r="AK7" s="13" t="n"/>
      <c r="AL7" s="13" t="n"/>
      <c r="AM7" s="220" t="n"/>
      <c r="AN7" s="13" t="n"/>
      <c r="AO7" s="13" t="n"/>
      <c r="AP7" s="13" t="n"/>
      <c r="AQ7" s="13" t="n"/>
      <c r="AR7" s="13" t="n"/>
      <c r="AS7" s="13" t="n"/>
    </row>
    <row r="8" hidden="1" outlineLevel="1" ht="15.75" customFormat="1" customHeight="1" s="13">
      <c r="A8" s="175" t="inlineStr">
        <is>
          <t>D</t>
        </is>
      </c>
      <c r="B8" s="176">
        <f>IF(_epmOfflineCondition_,"C_AUDITTRAIL",EPMDimensionType(,A8))</f>
        <v/>
      </c>
      <c r="C8" s="176">
        <f>IF(_epmOfflineCondition_,"DTOTAL",IF(B8="","",EPMContextMember(,B8)))</f>
        <v/>
      </c>
      <c r="D8" s="176">
        <f>IF(_epmOfflineCondition_,"全部审计线索",EPMMemberDesc(C8))</f>
        <v/>
      </c>
      <c r="E8" s="176" t="n"/>
      <c r="F8" s="13" t="n"/>
      <c r="G8" s="13" t="n"/>
      <c r="H8" s="847" t="inlineStr">
        <is>
          <t>本月</t>
        </is>
      </c>
      <c r="I8" s="847">
        <f>IF(_epmOfflineCondition_,"03",RIGHT("0"&amp;EPMMemberProperty(,EPMContextMember(,"C_TIME"),"MONTHNUM"),2))</f>
        <v/>
      </c>
      <c r="J8" s="13" t="n"/>
      <c r="K8" s="13" t="n"/>
      <c r="L8" s="13" t="n"/>
      <c r="M8" s="13" t="n"/>
      <c r="N8" s="13" t="n"/>
      <c r="O8" s="13" t="n"/>
      <c r="P8" s="13" t="n"/>
      <c r="Q8" s="13" t="n"/>
      <c r="R8" s="13" t="n"/>
      <c r="S8" s="13" t="n"/>
      <c r="T8" s="13" t="n"/>
      <c r="U8" s="13" t="n"/>
      <c r="V8" s="13" t="n"/>
      <c r="W8" s="13" t="n"/>
      <c r="X8" s="13" t="n"/>
      <c r="Y8" s="13" t="n"/>
      <c r="Z8" s="13" t="n"/>
      <c r="AA8" s="13" t="n"/>
      <c r="AB8" s="856" t="n"/>
      <c r="AC8" s="13" t="n"/>
      <c r="AD8" s="13" t="n"/>
      <c r="AE8" s="13" t="n"/>
      <c r="AF8" s="13" t="n"/>
      <c r="AG8" s="13" t="n"/>
      <c r="AH8" s="13" t="n"/>
      <c r="AI8" s="13" t="n"/>
      <c r="AJ8" s="13" t="n"/>
      <c r="AK8" s="13" t="n"/>
      <c r="AL8" s="13" t="n"/>
      <c r="AM8" s="220" t="n"/>
      <c r="AN8" s="13" t="n"/>
      <c r="AO8" s="13" t="n"/>
      <c r="AP8" s="13" t="n"/>
      <c r="AQ8" s="13" t="n"/>
      <c r="AR8" s="13" t="n"/>
      <c r="AS8" s="13" t="n"/>
    </row>
    <row r="9" hidden="1" outlineLevel="1" ht="15.75" customFormat="1" customHeight="1" s="13">
      <c r="A9" s="175" t="inlineStr">
        <is>
          <t>S</t>
        </is>
      </c>
      <c r="B9" s="176">
        <f>IF(_epmOfflineCondition_,"C_FLOW",EPMDimensionType(,A9))</f>
        <v/>
      </c>
      <c r="C9" s="176">
        <f>IF(_epmOfflineCondition_,"FTOTAL",IF(B9="","",EPMContextMember(,B9)))</f>
        <v/>
      </c>
      <c r="D9" s="176">
        <f>IF(_epmOfflineCondition_,"全部变动",EPMMemberDesc(C9))</f>
        <v/>
      </c>
      <c r="E9" s="176" t="n"/>
      <c r="F9" s="13" t="n"/>
      <c r="G9" s="13" t="n"/>
      <c r="H9" s="847" t="inlineStr">
        <is>
          <t>上月</t>
        </is>
      </c>
      <c r="I9" s="847">
        <f>RIGHT("0"&amp;IF(I8="01",12,I8-1),2)</f>
        <v/>
      </c>
      <c r="J9" s="13" t="n"/>
      <c r="K9" s="13" t="n"/>
      <c r="L9" s="13" t="n"/>
      <c r="M9" s="13" t="n"/>
      <c r="N9" s="13" t="n"/>
      <c r="O9" s="13" t="n"/>
      <c r="P9" s="13" t="n"/>
      <c r="Q9" s="13" t="n"/>
      <c r="R9" s="13" t="n"/>
      <c r="S9" s="13" t="n"/>
      <c r="T9" s="13" t="n"/>
      <c r="U9" s="13" t="n"/>
      <c r="V9" s="13" t="n"/>
      <c r="W9" s="13" t="n"/>
      <c r="X9" s="13" t="n"/>
      <c r="Y9" s="13" t="n"/>
      <c r="Z9" s="13" t="n"/>
      <c r="AA9" s="13" t="n"/>
      <c r="AB9" s="856" t="n"/>
      <c r="AC9" s="13" t="n"/>
      <c r="AD9" s="13" t="n"/>
      <c r="AE9" s="13" t="n"/>
      <c r="AF9" s="13" t="n"/>
      <c r="AG9" s="13" t="n"/>
      <c r="AH9" s="13" t="n"/>
      <c r="AI9" s="13" t="n"/>
      <c r="AJ9" s="13" t="n"/>
      <c r="AK9" s="13" t="n"/>
      <c r="AL9" s="13" t="n"/>
      <c r="AM9" s="220" t="n"/>
      <c r="AN9" s="13" t="n"/>
      <c r="AO9" s="13" t="n"/>
      <c r="AP9" s="13" t="n"/>
      <c r="AQ9" s="13" t="n"/>
      <c r="AR9" s="13" t="n"/>
      <c r="AS9" s="13" t="n"/>
    </row>
    <row r="10" hidden="1" outlineLevel="1" ht="15.75" customFormat="1" customHeight="1" s="13">
      <c r="A10" s="175" t="inlineStr">
        <is>
          <t>I</t>
        </is>
      </c>
      <c r="B10" s="176">
        <f>IF(_epmOfflineCondition_,"C_INTERCO",EPMDimensionType(,A10))</f>
        <v/>
      </c>
      <c r="C10" s="176">
        <f>IF(_epmOfflineCondition_,"I_ALL",IF(B10="","",EPMContextMember(,B10)))</f>
        <v/>
      </c>
      <c r="D10" s="176">
        <f>IF(_epmOfflineCondition_,"全部贸易伙伴",EPMMemberDesc(C10))</f>
        <v/>
      </c>
      <c r="E10" s="176" t="n"/>
      <c r="F10" s="13" t="n"/>
      <c r="G10" s="13" t="n"/>
      <c r="H10" s="847" t="inlineStr">
        <is>
          <t>上年</t>
        </is>
      </c>
      <c r="I10" s="847">
        <f>$I$3-1</f>
        <v/>
      </c>
      <c r="J10" s="13" t="n"/>
      <c r="K10" s="13" t="n"/>
      <c r="L10" s="13" t="n"/>
      <c r="M10" s="13" t="n"/>
      <c r="N10" s="13" t="n"/>
      <c r="O10" s="13" t="n"/>
      <c r="P10" s="13" t="n"/>
      <c r="Q10" s="13" t="n"/>
      <c r="R10" s="13" t="n"/>
      <c r="S10" s="13" t="n"/>
      <c r="T10" s="13" t="n"/>
      <c r="U10" s="13" t="n"/>
      <c r="V10" s="13" t="n"/>
      <c r="W10" s="13" t="n"/>
      <c r="X10" s="13" t="n"/>
      <c r="Y10" s="13" t="n"/>
      <c r="Z10" s="13" t="n"/>
      <c r="AA10" s="13" t="n"/>
      <c r="AB10" s="856" t="n"/>
      <c r="AC10" s="13" t="n"/>
      <c r="AD10" s="13" t="n"/>
      <c r="AE10" s="13" t="n"/>
      <c r="AF10" s="13" t="n"/>
      <c r="AG10" s="13" t="n"/>
      <c r="AH10" s="13" t="n"/>
      <c r="AI10" s="13" t="n"/>
      <c r="AJ10" s="13" t="n"/>
      <c r="AK10" s="13" t="n"/>
      <c r="AL10" s="13" t="n"/>
      <c r="AM10" s="220" t="n"/>
      <c r="AN10" s="13" t="n"/>
      <c r="AO10" s="13" t="n"/>
      <c r="AP10" s="13" t="n"/>
      <c r="AQ10" s="13" t="n"/>
      <c r="AR10" s="13" t="n"/>
      <c r="AS10" s="13" t="n"/>
    </row>
    <row r="11" hidden="1" outlineLevel="1" ht="15.75" customFormat="1" customHeight="1" s="13">
      <c r="A11" s="175" t="inlineStr">
        <is>
          <t>G</t>
        </is>
      </c>
      <c r="B11" s="176">
        <f>IF(_epmOfflineCondition_,"C_SCOPE",EPMDimensionType(,A11))</f>
        <v/>
      </c>
      <c r="C11" s="176">
        <f>IF(_epmOfflineCondition_,"G_DUMMY",IF(B11="","",EPMContextMember(,B11)))</f>
        <v/>
      </c>
      <c r="D11" s="176">
        <f>IF(_epmOfflineCondition_,"合并范围无关",EPMMemberDesc(C11))</f>
        <v/>
      </c>
      <c r="E11" s="176">
        <f>IF(OR(RIGHT(C11,1)="P",RIGHT(C11,1)="S"),LEFT(C11,LEN(C11)-1),C11)</f>
        <v/>
      </c>
      <c r="F11" s="13" t="n"/>
      <c r="G11" s="13" t="n"/>
      <c r="H11" s="847" t="inlineStr">
        <is>
          <t>本年月</t>
        </is>
      </c>
      <c r="I11" s="847">
        <f>I3&amp;"."&amp;I8</f>
        <v/>
      </c>
      <c r="J11" s="13" t="n"/>
      <c r="K11" s="13" t="n"/>
      <c r="L11" s="13" t="n"/>
      <c r="M11" s="13" t="n"/>
      <c r="N11" s="13" t="n"/>
      <c r="O11" s="13" t="n"/>
      <c r="P11" s="13" t="n"/>
      <c r="Q11" s="13" t="n"/>
      <c r="R11" s="13" t="n"/>
      <c r="S11" s="13" t="n"/>
      <c r="T11" s="13" t="n"/>
      <c r="U11" s="13" t="n"/>
      <c r="V11" s="13" t="n"/>
      <c r="W11" s="13" t="n"/>
      <c r="X11" s="13" t="n"/>
      <c r="Y11" s="13" t="n"/>
      <c r="Z11" s="13" t="n"/>
      <c r="AA11" s="13" t="n"/>
      <c r="AB11" s="856" t="n"/>
      <c r="AC11" s="13" t="n"/>
      <c r="AD11" s="13" t="n"/>
      <c r="AE11" s="13" t="n"/>
      <c r="AF11" s="13" t="n"/>
      <c r="AG11" s="13" t="n"/>
      <c r="AH11" s="13" t="n"/>
      <c r="AI11" s="13" t="n"/>
      <c r="AJ11" s="13" t="n"/>
      <c r="AK11" s="13" t="n"/>
      <c r="AL11" s="13" t="n"/>
      <c r="AM11" s="220" t="n"/>
      <c r="AN11" s="13" t="n"/>
      <c r="AO11" s="13" t="n"/>
      <c r="AP11" s="13" t="n"/>
      <c r="AQ11" s="13" t="n"/>
      <c r="AR11" s="13" t="n"/>
      <c r="AS11" s="13" t="n"/>
    </row>
    <row r="12" hidden="1" outlineLevel="1" ht="15.75" customFormat="1" customHeight="1" s="13">
      <c r="A12" s="175" t="inlineStr">
        <is>
          <t>U8</t>
        </is>
      </c>
      <c r="B12" s="176">
        <f>IF(_epmOfflineCondition_,"C_PROJECT",EPMDimensionType(,A12))</f>
        <v/>
      </c>
      <c r="C12" s="176">
        <f>IF(_epmOfflineCondition_,"ZP_ALL",IF(B12="","",EPMContextMember(,B12)))</f>
        <v/>
      </c>
      <c r="D12" s="176">
        <f>IF(_epmOfflineCondition_,"项目合计",EPMMemberDesc(C12))</f>
        <v/>
      </c>
      <c r="E12" s="176" t="n"/>
      <c r="F12" s="13" t="n"/>
      <c r="G12" s="13" t="n"/>
      <c r="H12" s="847" t="inlineStr">
        <is>
          <t>上年月</t>
        </is>
      </c>
      <c r="I12" s="847">
        <f>IF(I8="01",I10&amp;"."&amp;I9,I3&amp;"."&amp;I9)</f>
        <v/>
      </c>
      <c r="J12" s="13" t="n"/>
      <c r="K12" s="13" t="n"/>
      <c r="L12" s="13" t="n"/>
      <c r="M12" s="13" t="n"/>
      <c r="N12" s="13" t="n"/>
      <c r="O12" s="13" t="n"/>
      <c r="P12" s="13" t="n"/>
      <c r="Q12" s="13" t="n"/>
      <c r="R12" s="13" t="n"/>
      <c r="S12" s="13" t="n"/>
      <c r="T12" s="13" t="n"/>
      <c r="U12" s="13" t="n"/>
      <c r="V12" s="13" t="n"/>
      <c r="W12" s="13" t="n"/>
      <c r="X12" s="13" t="n"/>
      <c r="Y12" s="13" t="n"/>
      <c r="Z12" s="13" t="n"/>
      <c r="AA12" s="13" t="n"/>
      <c r="AB12" s="856" t="n"/>
      <c r="AC12" s="13" t="n"/>
      <c r="AD12" s="13" t="n"/>
      <c r="AE12" s="13" t="n"/>
      <c r="AF12" s="13" t="n"/>
      <c r="AG12" s="13" t="n"/>
      <c r="AH12" s="13" t="n"/>
      <c r="AI12" s="13" t="n"/>
      <c r="AJ12" s="13" t="n"/>
      <c r="AK12" s="13" t="n"/>
      <c r="AL12" s="13" t="n"/>
      <c r="AM12" s="220" t="n"/>
      <c r="AN12" s="13" t="n"/>
      <c r="AO12" s="13" t="n"/>
      <c r="AP12" s="13" t="n"/>
      <c r="AQ12" s="13" t="n"/>
      <c r="AR12" s="13" t="n"/>
      <c r="AS12" s="13" t="n"/>
    </row>
    <row r="13" hidden="1" outlineLevel="1" ht="15.75" customFormat="1" customHeight="1" s="13">
      <c r="A13" s="175" t="inlineStr">
        <is>
          <t>U9</t>
        </is>
      </c>
      <c r="B13" s="176">
        <f>IF(_epmOfflineCondition_,"C_ITEM",EPMDimensionType(,A13))</f>
        <v/>
      </c>
      <c r="C13" s="176">
        <f>IF(_epmOfflineCondition_,"ZI_ALL",IF(B13="","",EPMContextMember(,B13)))</f>
        <v/>
      </c>
      <c r="D13" s="176">
        <f>IF(_epmOfflineCondition_,"全部ITEM",EPMMemberDesc(C13))</f>
        <v/>
      </c>
      <c r="E13" s="176" t="n"/>
      <c r="F13" s="13" t="n"/>
      <c r="G13" s="13" t="n"/>
      <c r="H13" s="847" t="inlineStr">
        <is>
          <t>上年同期</t>
        </is>
      </c>
      <c r="I13" s="847">
        <f>I10&amp;"."&amp;I8</f>
        <v/>
      </c>
      <c r="J13" s="13" t="n"/>
      <c r="K13" s="13" t="n"/>
      <c r="L13" s="13" t="n"/>
      <c r="M13" s="13" t="n"/>
      <c r="N13" s="13" t="n"/>
      <c r="O13" s="13" t="n"/>
      <c r="P13" s="13" t="n"/>
      <c r="Q13" s="13" t="n"/>
      <c r="R13" s="13" t="n"/>
      <c r="S13" s="13" t="n"/>
      <c r="T13" s="13" t="n"/>
      <c r="U13" s="13" t="n"/>
      <c r="V13" s="13" t="n"/>
      <c r="W13" s="13" t="n"/>
      <c r="X13" s="13" t="n"/>
      <c r="Y13" s="13" t="n"/>
      <c r="Z13" s="13" t="n"/>
      <c r="AA13" s="13" t="n"/>
      <c r="AB13" s="856" t="n"/>
      <c r="AC13" s="13" t="n"/>
      <c r="AD13" s="13" t="n"/>
      <c r="AE13" s="13" t="n"/>
      <c r="AF13" s="13" t="n"/>
      <c r="AG13" s="13" t="n"/>
      <c r="AH13" s="13" t="n"/>
      <c r="AI13" s="13" t="n"/>
      <c r="AJ13" s="13" t="n"/>
      <c r="AK13" s="13" t="n"/>
      <c r="AL13" s="13" t="n"/>
      <c r="AM13" s="220" t="n"/>
      <c r="AN13" s="13" t="n"/>
      <c r="AO13" s="13" t="n"/>
      <c r="AP13" s="13" t="n"/>
      <c r="AQ13" s="13" t="n"/>
      <c r="AR13" s="13" t="n"/>
      <c r="AS13" s="13" t="n"/>
    </row>
    <row r="14" hidden="1" outlineLevel="1" ht="15.75" customFormat="1" customHeight="1" s="13">
      <c r="A14" s="175" t="inlineStr">
        <is>
          <t>U10</t>
        </is>
      </c>
      <c r="B14" s="176">
        <f>IF(_epmOfflineCondition_,"C_MISK",EPMDimensionType(,A14))</f>
        <v/>
      </c>
      <c r="C14" s="176">
        <f>IF(_epmOfflineCondition_,"ZM_ALL",IF(B14="","",EPMContextMember(,B14)))</f>
        <v/>
      </c>
      <c r="D14" s="176">
        <f>IF(_epmOfflineCondition_,"ALL",EPMMemberDesc(C14))</f>
        <v/>
      </c>
      <c r="E14" s="176" t="n"/>
      <c r="F14" s="13" t="n"/>
      <c r="G14" s="13" t="n"/>
      <c r="H14" s="13" t="n"/>
      <c r="I14" s="13" t="n"/>
      <c r="J14" s="13" t="n"/>
      <c r="K14" s="13" t="n"/>
      <c r="L14" s="13" t="n"/>
      <c r="M14" s="13" t="n"/>
      <c r="N14" s="13" t="n"/>
      <c r="O14" s="13" t="n"/>
      <c r="P14" s="13" t="n"/>
      <c r="Q14" s="13" t="n"/>
      <c r="R14" s="13" t="n"/>
      <c r="S14" s="13" t="n"/>
      <c r="T14" s="13" t="n"/>
      <c r="U14" s="13" t="n"/>
      <c r="V14" s="13" t="n"/>
      <c r="W14" s="13" t="n"/>
      <c r="X14" s="13" t="n"/>
      <c r="Y14" s="13" t="n"/>
      <c r="Z14" s="13" t="n"/>
      <c r="AA14" s="13" t="n"/>
      <c r="AB14" s="856" t="n"/>
      <c r="AC14" s="13" t="n"/>
      <c r="AD14" s="13" t="n"/>
      <c r="AE14" s="13" t="n"/>
      <c r="AF14" s="13" t="n"/>
      <c r="AG14" s="13" t="n"/>
      <c r="AH14" s="13" t="n"/>
      <c r="AI14" s="13" t="n"/>
      <c r="AJ14" s="13" t="n"/>
      <c r="AK14" s="13" t="n"/>
      <c r="AL14" s="13" t="n"/>
      <c r="AM14" s="220" t="n"/>
      <c r="AN14" s="13" t="n"/>
      <c r="AO14" s="877" t="inlineStr">
        <is>
          <t>ZI_DUMMY</t>
        </is>
      </c>
      <c r="AP14" s="877" t="inlineStr">
        <is>
          <t>ZI_DUMMY</t>
        </is>
      </c>
      <c r="AQ14" s="877" t="inlineStr">
        <is>
          <t>ZI_DUMMY</t>
        </is>
      </c>
      <c r="AR14" s="877" t="inlineStr">
        <is>
          <t>ZI_DUMMY</t>
        </is>
      </c>
      <c r="AS14" s="13" t="n"/>
    </row>
    <row r="15" hidden="1" outlineLevel="1" ht="15.75" customFormat="1" customHeight="1" s="13">
      <c r="A15" s="13" t="n"/>
      <c r="B15" s="1103" t="n"/>
      <c r="C15" s="1103" t="n"/>
      <c r="D15" s="1103" t="n"/>
      <c r="E15" s="13" t="n"/>
      <c r="F15" s="13" t="n"/>
      <c r="G15" s="13" t="n"/>
      <c r="H15" s="13" t="n"/>
      <c r="I15" s="13" t="n"/>
      <c r="J15" s="13" t="n"/>
      <c r="K15" s="13" t="n"/>
      <c r="L15" s="13" t="n"/>
      <c r="M15" s="13" t="n"/>
      <c r="N15" s="13" t="n"/>
      <c r="O15" s="13" t="n"/>
      <c r="P15" s="13" t="n"/>
      <c r="Q15" s="13" t="n"/>
      <c r="R15" s="13" t="n"/>
      <c r="S15" s="13" t="n"/>
      <c r="T15" s="13" t="n"/>
      <c r="U15" s="13" t="n"/>
      <c r="V15" s="13" t="n"/>
      <c r="W15" s="13" t="n"/>
      <c r="X15" s="13" t="n"/>
      <c r="Y15" s="13" t="n"/>
      <c r="Z15" s="13" t="n"/>
      <c r="AA15" s="13" t="n"/>
      <c r="AB15" s="856" t="n"/>
      <c r="AC15" s="13" t="n"/>
      <c r="AD15" s="13" t="n"/>
      <c r="AE15" s="13" t="n"/>
      <c r="AF15" s="13" t="n"/>
      <c r="AG15" s="13" t="n"/>
      <c r="AH15" s="13" t="n"/>
      <c r="AI15" s="13" t="n"/>
      <c r="AJ15" s="13" t="n"/>
      <c r="AK15" s="13" t="n"/>
      <c r="AL15" s="13" t="n"/>
      <c r="AM15" s="220" t="n"/>
      <c r="AN15" s="13" t="n"/>
      <c r="AO15" s="877" t="inlineStr">
        <is>
          <t>ZM_DUMMY</t>
        </is>
      </c>
      <c r="AP15" s="877" t="inlineStr">
        <is>
          <t>ZM_DUMMY</t>
        </is>
      </c>
      <c r="AQ15" s="877" t="inlineStr">
        <is>
          <t>ZM_DUMMY</t>
        </is>
      </c>
      <c r="AR15" s="877" t="inlineStr">
        <is>
          <t>ZM_DUMMY</t>
        </is>
      </c>
      <c r="AS15" s="13" t="n"/>
    </row>
    <row r="16" hidden="1" outlineLevel="1" ht="15.75" customFormat="1" customHeight="1" s="13">
      <c r="A16" s="13" t="n"/>
      <c r="B16" s="13" t="n"/>
      <c r="C16" s="13" t="n"/>
      <c r="D16" s="174" t="inlineStr">
        <is>
          <t>页轴</t>
        </is>
      </c>
      <c r="E16" s="1183" t="n"/>
      <c r="F16" s="13" t="n"/>
      <c r="G16" s="13" t="n"/>
      <c r="H16" s="13" t="n"/>
      <c r="I16" s="13" t="n"/>
      <c r="J16" s="13" t="n"/>
      <c r="K16" s="13" t="n"/>
      <c r="L16" s="13" t="n"/>
      <c r="M16" s="13" t="n"/>
      <c r="N16" s="13" t="n"/>
      <c r="O16" s="13" t="n"/>
      <c r="P16" s="13" t="n"/>
      <c r="Q16" s="13" t="n"/>
      <c r="R16" s="13" t="n"/>
      <c r="S16" s="13" t="n"/>
      <c r="T16" s="13" t="n"/>
      <c r="U16" s="13" t="n"/>
      <c r="V16" s="13" t="n"/>
      <c r="W16" s="13" t="n"/>
      <c r="X16" s="13" t="n"/>
      <c r="Y16" s="13" t="n"/>
      <c r="Z16" s="13" t="n"/>
      <c r="AA16" s="13" t="n"/>
      <c r="AB16" s="856" t="n"/>
      <c r="AC16" s="13" t="n"/>
      <c r="AD16" s="13" t="n"/>
      <c r="AE16" s="13" t="n"/>
      <c r="AF16" s="13" t="n"/>
      <c r="AG16" s="13" t="n"/>
      <c r="AH16" s="13" t="n"/>
      <c r="AI16" s="13" t="n"/>
      <c r="AJ16" s="13" t="n"/>
      <c r="AK16" s="13" t="n"/>
      <c r="AL16" s="13" t="n"/>
      <c r="AM16" s="220" t="n"/>
      <c r="AN16" s="13" t="n"/>
      <c r="AO16" s="877" t="inlineStr">
        <is>
          <t>ZP_DUMMY</t>
        </is>
      </c>
      <c r="AP16" s="877" t="inlineStr">
        <is>
          <t>ZP_DUMMY</t>
        </is>
      </c>
      <c r="AQ16" s="877" t="inlineStr">
        <is>
          <t>ZP_DUMMY</t>
        </is>
      </c>
      <c r="AR16" s="877" t="inlineStr">
        <is>
          <t>ZP_DUMMY</t>
        </is>
      </c>
      <c r="AS16" s="13" t="n"/>
    </row>
    <row r="17" hidden="1" outlineLevel="1" ht="15.75" customFormat="1" customHeight="1" s="13">
      <c r="A17" s="174" t="inlineStr">
        <is>
          <t>维度类型</t>
        </is>
      </c>
      <c r="B17" s="174" t="inlineStr">
        <is>
          <t>维度</t>
        </is>
      </c>
      <c r="C17" s="178" t="inlineStr">
        <is>
          <t>页轴替换</t>
        </is>
      </c>
      <c r="D17" s="174" t="inlineStr">
        <is>
          <t>报表001</t>
        </is>
      </c>
      <c r="E17" s="174" t="inlineStr">
        <is>
          <t>报表002</t>
        </is>
      </c>
      <c r="F17" s="13" t="n"/>
      <c r="G17" s="13" t="n"/>
      <c r="H17" s="13" t="n"/>
      <c r="I17" s="13" t="n"/>
      <c r="J17" s="13" t="n"/>
      <c r="K17" s="13" t="n"/>
      <c r="L17" s="13" t="n"/>
      <c r="M17" s="13" t="n"/>
      <c r="N17" s="13" t="n"/>
      <c r="O17" s="13" t="n"/>
      <c r="P17" s="13" t="n"/>
      <c r="Q17" s="13" t="n"/>
      <c r="R17" s="13" t="n"/>
      <c r="S17" s="13" t="n"/>
      <c r="T17" s="13" t="n"/>
      <c r="U17" s="13" t="n"/>
      <c r="V17" s="13" t="n"/>
      <c r="W17" s="13" t="n"/>
      <c r="X17" s="13" t="n"/>
      <c r="Y17" s="13" t="n"/>
      <c r="Z17" s="13" t="n"/>
      <c r="AA17" s="13" t="n"/>
      <c r="AB17" s="856" t="n"/>
      <c r="AC17" s="13" t="n"/>
      <c r="AD17" s="13" t="n"/>
      <c r="AE17" s="13" t="n"/>
      <c r="AF17" s="13" t="n"/>
      <c r="AG17" s="13" t="n"/>
      <c r="AH17" s="13" t="n"/>
      <c r="AI17" s="13" t="n"/>
      <c r="AJ17" s="13" t="n"/>
      <c r="AK17" s="13" t="n"/>
      <c r="AL17" s="13" t="n"/>
      <c r="AM17" s="220" t="n"/>
      <c r="AN17" s="13" t="n"/>
      <c r="AO17" s="877" t="inlineStr">
        <is>
          <t>F01</t>
        </is>
      </c>
      <c r="AP17" s="877" t="inlineStr">
        <is>
          <t>F20</t>
        </is>
      </c>
      <c r="AQ17" s="877" t="inlineStr">
        <is>
          <t>F20</t>
        </is>
      </c>
      <c r="AR17" s="877" t="inlineStr">
        <is>
          <t>F20</t>
        </is>
      </c>
      <c r="AS17" s="13" t="n"/>
    </row>
    <row r="18" hidden="1" outlineLevel="1" ht="15.75" customFormat="1" customHeight="1" s="13">
      <c r="A18" s="175" t="inlineStr">
        <is>
          <t>A</t>
        </is>
      </c>
      <c r="B18" s="176">
        <f>IF(_epmOfflineCondition_,"C_ACCOUNT",EPMDimensionType(,A18))</f>
        <v/>
      </c>
      <c r="C18" s="180" t="n"/>
      <c r="D18" s="180" t="n"/>
      <c r="E18" s="13" t="n"/>
      <c r="F18" s="13" t="n"/>
      <c r="G18" s="13" t="n"/>
      <c r="H18" s="13" t="n"/>
      <c r="I18" s="13" t="n"/>
      <c r="J18" s="13" t="n"/>
      <c r="K18" s="13" t="n"/>
      <c r="L18" s="13" t="n"/>
      <c r="M18" s="13" t="n"/>
      <c r="N18" s="13" t="n"/>
      <c r="O18" s="13" t="n"/>
      <c r="P18" s="13" t="n"/>
      <c r="Q18" s="13" t="n"/>
      <c r="R18" s="13" t="n"/>
      <c r="S18" s="13" t="n"/>
      <c r="T18" s="13" t="n"/>
      <c r="U18" s="13" t="n"/>
      <c r="V18" s="13" t="n"/>
      <c r="W18" s="13" t="n"/>
      <c r="X18" s="13" t="n"/>
      <c r="Y18" s="13" t="n"/>
      <c r="Z18" s="13" t="n"/>
      <c r="AA18" s="13" t="n"/>
      <c r="AB18" s="856" t="n"/>
      <c r="AC18" s="13" t="n"/>
      <c r="AD18" s="13" t="n"/>
      <c r="AE18" s="13" t="n"/>
      <c r="AF18" s="13" t="n"/>
      <c r="AG18" s="13" t="n"/>
      <c r="AH18" s="13" t="n"/>
      <c r="AI18" s="13" t="n"/>
      <c r="AJ18" s="13" t="n"/>
      <c r="AK18" s="13" t="n"/>
      <c r="AL18" s="13" t="n"/>
      <c r="AM18" s="220" t="n"/>
      <c r="AN18" s="13" t="n"/>
      <c r="AO18" s="877" t="inlineStr">
        <is>
          <t>D1110</t>
        </is>
      </c>
      <c r="AP18" s="877" t="inlineStr">
        <is>
          <t>D1110</t>
        </is>
      </c>
      <c r="AQ18" s="877">
        <f>IF(E11="G_DUMMY","D1110","DELIM_IPT_IC_BP_99")</f>
        <v/>
      </c>
      <c r="AR18" s="877" t="inlineStr">
        <is>
          <t>D1110</t>
        </is>
      </c>
      <c r="AS18" s="13" t="n"/>
    </row>
    <row r="19" hidden="1" outlineLevel="1" ht="15.75" customFormat="1" customHeight="1" s="13">
      <c r="A19" s="175" t="inlineStr">
        <is>
          <t>C</t>
        </is>
      </c>
      <c r="B19" s="176">
        <f>IF(_epmOfflineCondition_,"C_CATEGORY",EPMDimensionType(,A19))</f>
        <v/>
      </c>
      <c r="C19" s="176">
        <f>IF(_epmOfflineCondition_,"C_ALL",IF(B19="","",EPMContextMember(,B19)))</f>
        <v/>
      </c>
      <c r="D19" s="180" t="n"/>
      <c r="E19" s="13" t="n"/>
      <c r="F19" s="13" t="n"/>
      <c r="G19" s="13" t="n"/>
      <c r="H19" s="13" t="n"/>
      <c r="I19" s="13" t="n"/>
      <c r="J19" s="13" t="n"/>
      <c r="K19" s="13" t="n"/>
      <c r="L19" s="13" t="n"/>
      <c r="M19" s="13" t="n"/>
      <c r="N19" s="13" t="n"/>
      <c r="O19" s="13" t="n"/>
      <c r="P19" s="13" t="n"/>
      <c r="Q19" s="13" t="n"/>
      <c r="R19" s="13" t="n"/>
      <c r="S19" s="13" t="n"/>
      <c r="T19" s="13" t="n"/>
      <c r="U19" s="13" t="n"/>
      <c r="V19" s="13" t="n"/>
      <c r="W19" s="13" t="n"/>
      <c r="X19" s="13" t="n"/>
      <c r="Y19" s="13" t="n"/>
      <c r="Z19" s="13" t="n"/>
      <c r="AA19" s="13" t="n"/>
      <c r="AB19" s="856" t="n"/>
      <c r="AC19" s="13" t="n"/>
      <c r="AD19" s="13" t="n"/>
      <c r="AE19" s="13" t="n"/>
      <c r="AF19" s="13" t="n"/>
      <c r="AG19" s="13" t="n"/>
      <c r="AH19" s="13" t="n"/>
      <c r="AI19" s="13" t="n"/>
      <c r="AJ19" s="13" t="n"/>
      <c r="AK19" s="13" t="n"/>
      <c r="AL19" s="13" t="n"/>
      <c r="AM19" s="220" t="n"/>
      <c r="AN19" s="13" t="n"/>
      <c r="AO19" s="13" t="n"/>
      <c r="AP19" s="13" t="n"/>
      <c r="AQ19" s="13" t="n"/>
      <c r="AR19" s="13" t="n"/>
      <c r="AS19" s="13" t="n"/>
    </row>
    <row r="20" hidden="1" outlineLevel="1" ht="15.75" customFormat="1" customHeight="1" s="13">
      <c r="A20" s="175" t="inlineStr">
        <is>
          <t>T</t>
        </is>
      </c>
      <c r="B20" s="176">
        <f>IF(_epmOfflineCondition_,"C_TIME",EPMDimensionType(,A20))</f>
        <v/>
      </c>
      <c r="C20" s="176">
        <f>IF(_epmOfflineCondition_,"2025.03",IF(B20="","",EPMContextMember(,B20)))</f>
        <v/>
      </c>
      <c r="D20" s="384">
        <f>IF(_epmOfflineCondition_,"2025.03",EPMOlapMemberO(C20,"[C_TIME].[PARENTH1].[2025.03]","2025.03","","000"))</f>
        <v/>
      </c>
      <c r="E20" s="13" t="n"/>
      <c r="F20" s="384" t="n"/>
      <c r="G20" s="13" t="n"/>
      <c r="H20" s="13" t="n"/>
      <c r="I20" s="13" t="n"/>
      <c r="J20" s="13" t="n"/>
      <c r="K20" s="13" t="n"/>
      <c r="L20" s="13" t="n"/>
      <c r="M20" s="13" t="n"/>
      <c r="N20" s="13" t="n"/>
      <c r="O20" s="13" t="n"/>
      <c r="P20" s="13" t="n"/>
      <c r="Q20" s="13" t="n"/>
      <c r="R20" s="13" t="n"/>
      <c r="S20" s="13" t="n"/>
      <c r="T20" s="13" t="n"/>
      <c r="U20" s="13" t="n"/>
      <c r="V20" s="13" t="n"/>
      <c r="W20" s="13" t="n"/>
      <c r="X20" s="384">
        <f>IF(_epmOfflineCondition_,"报表“000”的行轴上的函数“EPMCopyRange”",EPMCopyRange("000",TRUE,Y20:AR20,TRUE))</f>
        <v/>
      </c>
      <c r="Y20" s="649">
        <f>IF(_epmOfflineCondition_,"#无数据",EPMMemberDesc(X20))</f>
        <v/>
      </c>
      <c r="Z20" s="1296" t="n"/>
      <c r="AA20" s="1296" t="n"/>
      <c r="AB20" s="858" t="n"/>
      <c r="AC20" s="1296" t="n"/>
      <c r="AD20" s="1296" t="n"/>
      <c r="AE20" s="1296" t="inlineStr"/>
      <c r="AF20" s="1296" t="inlineStr"/>
      <c r="AG20" s="1296" t="inlineStr"/>
      <c r="AH20" s="1296" t="n"/>
      <c r="AI20" s="1296" t="n"/>
      <c r="AJ20" s="1296" t="n"/>
      <c r="AK20" s="1296">
        <f>AI20-AJ20</f>
        <v/>
      </c>
      <c r="AL20" s="858" t="n"/>
      <c r="AM20" s="1297" t="n"/>
      <c r="AN20" s="1298" t="n"/>
      <c r="AO20" s="13">
        <f>IF(_epmOfflineCondition_,"Invalid member : 报表“000”的行轴上的函数“EPMCopyRange”",EPMSaveDataOnly(AB20,,AB$29,AB$25,AB$26,AB$31,AB$32,$AA$37,AO$14,AO$15,AO$16,AO$17,AO$18,X20))</f>
        <v/>
      </c>
      <c r="AP20" s="13">
        <f>IF(_epmOfflineCondition_,"Invalid member : 报表“000”的行轴上的函数“EPMCopyRange”",EPMSaveDataOnly(AL20,,AL$29,AL$25,AL$26,AL$31,AL$32,$AA$37,AP$14,AP$15,AP$16,AP$17,AP$18,$X20))</f>
        <v/>
      </c>
      <c r="AQ20" s="13">
        <f>IF(_epmOfflineCondition_,"Invalid member : 报表“000”的行轴上的函数“EPMCopyRange”",EPMSaveData(AM20,,AM$29,AM$25,AM$26,$C$6,AM$32,$AA$37,AQ$14,AQ$15,AQ$16,AQ$17,AQ$18,$X20))</f>
        <v/>
      </c>
      <c r="AR20" s="13">
        <f>IF(_epmOfflineCondition_,"Invalid member : 报表“000”的行轴上的函数“EPMCopyRange”",EPMSaveDataOnly(AN20,,AN$29,AN$25,AN$26,AN$31,AN$32,$AA$37,AR$14,AR$15,AR$16,AR$17,AR$18,$X20))</f>
        <v/>
      </c>
      <c r="AS20" s="13" t="n"/>
    </row>
    <row r="21" hidden="1" outlineLevel="1" ht="15.75" customFormat="1" customHeight="1" s="13">
      <c r="A21" s="175" t="inlineStr">
        <is>
          <t>E</t>
        </is>
      </c>
      <c r="B21" s="176">
        <f>IF(_epmOfflineCondition_,"C_ENTITY",EPMDimensionType(,A21))</f>
        <v/>
      </c>
      <c r="C21" s="447">
        <f>IF(_epmOfflineCondition_,"E100787",IF(E11="G_DUMMY",EPMContextMember(,B21),EPMMemberProperty(,E11,"GENTITY")))</f>
        <v/>
      </c>
      <c r="D21" s="390">
        <f>IF(_epmOfflineCondition_,"E100787",EPMOlapMemberO(C21,"[C_ENTITY].[PARENTH1].[E100268]","E100268 - 北京京煤集团有限责任公司","000"))</f>
        <v/>
      </c>
      <c r="E21" s="13" t="n"/>
      <c r="F21" s="384" t="n"/>
      <c r="G21" s="13" t="n"/>
      <c r="H21" s="13" t="n"/>
      <c r="I21" s="13" t="n"/>
      <c r="J21" s="13" t="n"/>
      <c r="K21" s="13" t="n"/>
      <c r="L21" s="13" t="n"/>
      <c r="M21" s="13" t="n"/>
      <c r="N21" s="13" t="n"/>
      <c r="O21" s="13" t="n"/>
      <c r="P21" s="13" t="n"/>
      <c r="Q21" s="13" t="n"/>
      <c r="R21" s="13" t="n"/>
      <c r="S21" s="13" t="n"/>
      <c r="T21" s="13" t="n"/>
      <c r="U21" s="13" t="n"/>
      <c r="V21" s="13" t="n"/>
      <c r="W21" s="13" t="n"/>
      <c r="X21" s="384" t="n"/>
      <c r="Y21" s="13" t="n"/>
      <c r="Z21" s="13" t="n"/>
      <c r="AA21" s="13" t="n"/>
      <c r="AB21" s="856" t="n"/>
      <c r="AC21" s="13" t="n"/>
      <c r="AD21" s="13" t="n"/>
      <c r="AE21" s="13" t="n"/>
      <c r="AF21" s="13" t="n"/>
      <c r="AG21" s="13" t="n"/>
      <c r="AH21" s="13" t="n"/>
      <c r="AI21" s="13" t="n"/>
      <c r="AJ21" s="13" t="n"/>
      <c r="AK21" s="13" t="n"/>
      <c r="AL21" s="13" t="n"/>
      <c r="AM21" s="13" t="n"/>
      <c r="AN21" s="13" t="n"/>
      <c r="AO21" s="13" t="n"/>
      <c r="AP21" s="13" t="n"/>
      <c r="AQ21" s="13" t="n"/>
      <c r="AR21" s="13" t="n"/>
      <c r="AS21" s="13" t="n"/>
    </row>
    <row r="22" hidden="1" outlineLevel="1" ht="15.75" customFormat="1" customHeight="1" s="13">
      <c r="A22" s="175" t="inlineStr">
        <is>
          <t>R</t>
        </is>
      </c>
      <c r="B22" s="176">
        <f>IF(_epmOfflineCondition_,"C_RPTCURRENCY",EPMDimensionType(,A22))</f>
        <v/>
      </c>
      <c r="C22" s="447">
        <f>IF(E11="G_DUMMY",$AA$37,"CNY")</f>
        <v/>
      </c>
      <c r="D22" s="384">
        <f>IF(_epmOfflineCondition_,"CNY",EPMOlapMemberO(C22,"[C_RPTCURRENCY].[].[CNY]","人民币","","000"))</f>
        <v/>
      </c>
      <c r="E22" s="13" t="n"/>
      <c r="F22" s="384" t="n"/>
      <c r="G22" s="13" t="n"/>
      <c r="H22" s="13" t="n"/>
      <c r="I22" s="13" t="n"/>
      <c r="J22" s="13" t="n"/>
      <c r="K22" s="13" t="n"/>
      <c r="L22" s="13" t="n"/>
      <c r="M22" s="13" t="n"/>
      <c r="N22" s="13" t="n"/>
      <c r="O22" s="13" t="n"/>
      <c r="P22" s="13" t="n"/>
      <c r="Q22" s="13" t="n"/>
      <c r="R22" s="13" t="n"/>
      <c r="S22" s="13" t="n"/>
      <c r="T22" s="13" t="n"/>
      <c r="U22" s="13" t="n"/>
      <c r="V22" s="13" t="n"/>
      <c r="W22" s="13" t="n"/>
      <c r="X22" s="384" t="n"/>
      <c r="Y22" s="13" t="n"/>
      <c r="Z22" s="13" t="n"/>
      <c r="AA22" s="13" t="n"/>
      <c r="AB22" s="856" t="n"/>
      <c r="AC22" s="13" t="n"/>
      <c r="AD22" s="13" t="n"/>
      <c r="AE22" s="13" t="n"/>
      <c r="AF22" s="13" t="n"/>
      <c r="AG22" s="13" t="n"/>
      <c r="AH22" s="13" t="n"/>
      <c r="AI22" s="13" t="n"/>
      <c r="AJ22" s="13" t="n"/>
      <c r="AK22" s="13" t="n"/>
      <c r="AL22" s="13" t="n"/>
      <c r="AM22" s="220" t="n"/>
      <c r="AN22" s="13" t="n"/>
      <c r="AO22" s="13" t="n"/>
      <c r="AP22" s="13" t="n"/>
      <c r="AQ22" s="13" t="n"/>
      <c r="AR22" s="13" t="n"/>
      <c r="AS22" s="13" t="n"/>
    </row>
    <row r="23" hidden="1" outlineLevel="1" ht="15.75" customFormat="1" customHeight="1" s="13">
      <c r="A23" s="175" t="inlineStr">
        <is>
          <t>D</t>
        </is>
      </c>
      <c r="B23" s="176">
        <f>IF(_epmOfflineCondition_,"C_AUDITTRAIL",EPMDimensionType(,A23))</f>
        <v/>
      </c>
      <c r="C23" s="178" t="inlineStr">
        <is>
          <t>D_DUMMY</t>
        </is>
      </c>
      <c r="D23" s="390" t="n"/>
      <c r="E23" s="13" t="n"/>
      <c r="F23" s="384" t="n"/>
      <c r="G23" s="13" t="n"/>
      <c r="H23" s="13" t="n"/>
      <c r="I23" s="13" t="n"/>
      <c r="J23" s="13" t="n"/>
      <c r="K23" s="13" t="n"/>
      <c r="L23" s="13" t="n"/>
      <c r="M23" s="13" t="n"/>
      <c r="N23" s="13" t="n"/>
      <c r="O23" s="13" t="n"/>
      <c r="P23" s="13" t="n"/>
      <c r="Q23" s="13" t="n"/>
      <c r="R23" s="13" t="n"/>
      <c r="S23" s="13" t="n"/>
      <c r="T23" s="13" t="n"/>
      <c r="U23" s="13" t="n"/>
      <c r="V23" s="13" t="n"/>
      <c r="W23" s="13" t="n"/>
      <c r="X23" s="384" t="n"/>
      <c r="Y23" s="13" t="n"/>
      <c r="Z23" s="13" t="n"/>
      <c r="AA23" s="13" t="n"/>
      <c r="AB23" s="856" t="n"/>
      <c r="AC23" s="13" t="n"/>
      <c r="AD23" s="13" t="n"/>
      <c r="AE23" s="13" t="n"/>
      <c r="AF23" s="13" t="n"/>
      <c r="AG23" s="13" t="n"/>
      <c r="AH23" s="13" t="n"/>
      <c r="AI23" s="13" t="n"/>
      <c r="AJ23" s="13" t="n"/>
      <c r="AK23" s="13" t="n"/>
      <c r="AL23" s="13" t="n"/>
      <c r="AM23" s="220" t="n"/>
      <c r="AN23" s="13" t="n"/>
      <c r="AO23" s="13" t="n"/>
      <c r="AP23" s="13" t="n"/>
      <c r="AQ23" s="13" t="n"/>
      <c r="AR23" s="13" t="n"/>
      <c r="AS23" s="13" t="n"/>
    </row>
    <row r="24" hidden="1" outlineLevel="1" ht="15.75" customFormat="1" customHeight="1" s="13">
      <c r="A24" s="175" t="inlineStr">
        <is>
          <t>S</t>
        </is>
      </c>
      <c r="B24" s="176">
        <f>IF(_epmOfflineCondition_,"C_FLOW",EPMDimensionType(,A24))</f>
        <v/>
      </c>
      <c r="C24" s="180" t="inlineStr">
        <is>
          <t>F_DUMMY</t>
        </is>
      </c>
      <c r="D24" s="390" t="n"/>
      <c r="E24" s="13" t="n"/>
      <c r="F24" s="384" t="n"/>
      <c r="G24" s="13" t="n"/>
      <c r="H24" s="13" t="n"/>
      <c r="I24" s="13" t="n"/>
      <c r="J24" s="13" t="n"/>
      <c r="K24" s="13" t="n"/>
      <c r="L24" s="13" t="n"/>
      <c r="M24" s="13" t="n"/>
      <c r="N24" s="13" t="n"/>
      <c r="O24" s="13" t="n"/>
      <c r="P24" s="13" t="n"/>
      <c r="Q24" s="13" t="n"/>
      <c r="R24" s="13" t="n"/>
      <c r="S24" s="13" t="n"/>
      <c r="T24" s="13" t="n"/>
      <c r="U24" s="13" t="n"/>
      <c r="V24" s="13" t="n"/>
      <c r="W24" s="13" t="n"/>
      <c r="X24" s="384" t="n"/>
      <c r="Y24" s="13" t="n"/>
      <c r="Z24" s="13" t="n"/>
      <c r="AA24" s="13" t="n"/>
      <c r="AB24" s="856" t="n"/>
      <c r="AC24" s="13" t="n"/>
      <c r="AD24" s="13" t="n"/>
      <c r="AE24" s="13" t="n"/>
      <c r="AF24" s="13" t="n"/>
      <c r="AG24" s="13" t="n"/>
      <c r="AH24" s="13" t="n"/>
      <c r="AI24" s="13" t="n"/>
      <c r="AJ24" s="13" t="n"/>
      <c r="AK24" s="13" t="n"/>
      <c r="AL24" s="13" t="n"/>
      <c r="AM24" s="220" t="n"/>
      <c r="AN24" s="13" t="n"/>
      <c r="AO24" s="13" t="n"/>
      <c r="AP24" s="13" t="n"/>
      <c r="AQ24" s="13" t="n"/>
      <c r="AR24" s="13" t="n"/>
      <c r="AS24" s="13" t="n"/>
    </row>
    <row r="25" hidden="1" outlineLevel="1" ht="15.75" customFormat="1" customHeight="1" s="13">
      <c r="A25" s="175" t="inlineStr">
        <is>
          <t>I</t>
        </is>
      </c>
      <c r="B25" s="176">
        <f>IF(_epmOfflineCondition_,"C_INTERCO",EPMDimensionType(,A25))</f>
        <v/>
      </c>
      <c r="C25" s="180" t="n"/>
      <c r="D25" s="180" t="n"/>
      <c r="E25" s="13" t="n"/>
      <c r="F25" s="384" t="n"/>
      <c r="G25" s="13" t="n"/>
      <c r="H25" s="13" t="n"/>
      <c r="I25" s="13" t="n"/>
      <c r="J25" s="13" t="n"/>
      <c r="K25" s="13" t="n"/>
      <c r="L25" s="13" t="n"/>
      <c r="M25" s="13" t="n"/>
      <c r="N25" s="13" t="n"/>
      <c r="O25" s="13" t="n"/>
      <c r="P25" s="13" t="n"/>
      <c r="Q25" s="13" t="n"/>
      <c r="R25" s="13" t="n"/>
      <c r="S25" s="13" t="n"/>
      <c r="T25" s="13" t="n"/>
      <c r="U25" s="13" t="n"/>
      <c r="V25" s="13" t="n"/>
      <c r="W25" s="13" t="n"/>
      <c r="X25" s="178" t="inlineStr">
        <is>
          <t>CATEGORY</t>
        </is>
      </c>
      <c r="Y25" s="859" t="n"/>
      <c r="Z25" s="178" t="inlineStr">
        <is>
          <t>C1001</t>
        </is>
      </c>
      <c r="AA25" s="178" t="inlineStr">
        <is>
          <t>C1001</t>
        </is>
      </c>
      <c r="AB25" s="178" t="inlineStr">
        <is>
          <t>C1001</t>
        </is>
      </c>
      <c r="AC25" s="178" t="inlineStr">
        <is>
          <t>C1001</t>
        </is>
      </c>
      <c r="AD25" s="178" t="inlineStr">
        <is>
          <t>C1001</t>
        </is>
      </c>
      <c r="AE25" s="178" t="inlineStr">
        <is>
          <t>C1001</t>
        </is>
      </c>
      <c r="AF25" s="178" t="inlineStr">
        <is>
          <t>C1001</t>
        </is>
      </c>
      <c r="AG25" s="178" t="inlineStr">
        <is>
          <t>C1001</t>
        </is>
      </c>
      <c r="AH25" s="178" t="inlineStr">
        <is>
          <t>C1001</t>
        </is>
      </c>
      <c r="AI25" s="178" t="inlineStr">
        <is>
          <t>C1001</t>
        </is>
      </c>
      <c r="AJ25" s="178" t="inlineStr">
        <is>
          <t>C1001</t>
        </is>
      </c>
      <c r="AK25" s="178" t="inlineStr">
        <is>
          <t>C1001</t>
        </is>
      </c>
      <c r="AL25" s="178" t="inlineStr">
        <is>
          <t>C1001</t>
        </is>
      </c>
      <c r="AM25" s="178" t="inlineStr">
        <is>
          <t>C1001</t>
        </is>
      </c>
      <c r="AN25" s="178" t="inlineStr">
        <is>
          <t>C1001</t>
        </is>
      </c>
      <c r="AO25" s="13" t="n"/>
      <c r="AP25" s="13" t="n"/>
      <c r="AQ25" s="13" t="n"/>
      <c r="AR25" s="13" t="n"/>
      <c r="AS25" s="13" t="n"/>
    </row>
    <row r="26" hidden="1" outlineLevel="1" ht="15.75" customFormat="1" customHeight="1" s="13">
      <c r="A26" s="175" t="inlineStr">
        <is>
          <t>G</t>
        </is>
      </c>
      <c r="B26" s="176">
        <f>IF(_epmOfflineCondition_,"C_SCOPE",EPMDimensionType(,A26))</f>
        <v/>
      </c>
      <c r="C26" s="182">
        <f>E11</f>
        <v/>
      </c>
      <c r="D26" s="384" t="n"/>
      <c r="E26" s="13" t="n"/>
      <c r="F26" s="384" t="n"/>
      <c r="G26" s="13" t="n"/>
      <c r="H26" s="13" t="n"/>
      <c r="I26" s="13" t="n"/>
      <c r="J26" s="13" t="n"/>
      <c r="K26" s="13" t="n"/>
      <c r="L26" s="13" t="n"/>
      <c r="M26" s="13" t="n"/>
      <c r="N26" s="13" t="n"/>
      <c r="O26" s="13" t="n"/>
      <c r="P26" s="13" t="n"/>
      <c r="Q26" s="13" t="n"/>
      <c r="R26" s="13" t="n"/>
      <c r="S26" s="13" t="n"/>
      <c r="T26" s="13" t="n"/>
      <c r="U26" s="13" t="n"/>
      <c r="V26" s="13" t="n"/>
      <c r="W26" s="13" t="n"/>
      <c r="X26" s="178" t="inlineStr">
        <is>
          <t>TIME</t>
        </is>
      </c>
      <c r="Y26" s="859" t="n"/>
      <c r="Z26" s="178">
        <f>$I$11</f>
        <v/>
      </c>
      <c r="AA26" s="178">
        <f>$I$11</f>
        <v/>
      </c>
      <c r="AB26" s="178">
        <f>$I$11</f>
        <v/>
      </c>
      <c r="AC26" s="178">
        <f>$I$11</f>
        <v/>
      </c>
      <c r="AD26" s="178">
        <f>$I$11</f>
        <v/>
      </c>
      <c r="AE26" s="178">
        <f>$I$11</f>
        <v/>
      </c>
      <c r="AF26" s="178">
        <f>$I$11</f>
        <v/>
      </c>
      <c r="AG26" s="178">
        <f>$I$11</f>
        <v/>
      </c>
      <c r="AH26" s="178">
        <f>$I$11</f>
        <v/>
      </c>
      <c r="AI26" s="178">
        <f>$I$11</f>
        <v/>
      </c>
      <c r="AJ26" s="178">
        <f>$I$11</f>
        <v/>
      </c>
      <c r="AK26" s="178">
        <f>$I$11</f>
        <v/>
      </c>
      <c r="AL26" s="178">
        <f>$I$11</f>
        <v/>
      </c>
      <c r="AM26" s="178">
        <f>$I$11</f>
        <v/>
      </c>
      <c r="AN26" s="178">
        <f>$I$11</f>
        <v/>
      </c>
      <c r="AO26" s="13" t="n"/>
      <c r="AP26" s="13" t="n"/>
      <c r="AQ26" s="13" t="n"/>
      <c r="AR26" s="13" t="n"/>
      <c r="AS26" s="13" t="n"/>
    </row>
    <row r="27" hidden="1" outlineLevel="1" ht="15.75" customFormat="1" customHeight="1" s="13">
      <c r="A27" s="175" t="inlineStr">
        <is>
          <t>U8</t>
        </is>
      </c>
      <c r="B27" s="176">
        <f>IF(_epmOfflineCondition_,"C_PROJECT",EPMDimensionType(,A27))</f>
        <v/>
      </c>
      <c r="C27" s="180" t="inlineStr">
        <is>
          <t>ZP_ALL</t>
        </is>
      </c>
      <c r="D27" s="384">
        <f>IF(_epmOfflineCondition_,"ZP_ALL",EPMOlapMemberO(C27,"[C_PROJECT].[PARENTH1].[ZP_ALL]","项目合计","","000"))</f>
        <v/>
      </c>
      <c r="E27" s="13" t="n"/>
      <c r="F27" s="384" t="n"/>
      <c r="G27" s="13" t="n"/>
      <c r="H27" s="13" t="n"/>
      <c r="I27" s="13" t="n"/>
      <c r="J27" s="13" t="n"/>
      <c r="K27" s="13" t="n"/>
      <c r="L27" s="13" t="n"/>
      <c r="M27" s="13" t="n"/>
      <c r="N27" s="13" t="n"/>
      <c r="O27" s="13" t="n"/>
      <c r="P27" s="13" t="n"/>
      <c r="Q27" s="13" t="n"/>
      <c r="R27" s="13" t="n"/>
      <c r="S27" s="13" t="n"/>
      <c r="T27" s="13" t="n"/>
      <c r="U27" s="13" t="n"/>
      <c r="V27" s="13" t="n"/>
      <c r="W27" s="13" t="n"/>
      <c r="X27" s="842" t="inlineStr">
        <is>
          <t>MEASURES</t>
        </is>
      </c>
      <c r="Y27" s="185" t="n"/>
      <c r="Z27" s="185" t="inlineStr">
        <is>
          <t>YTD</t>
        </is>
      </c>
      <c r="AA27" s="185" t="inlineStr">
        <is>
          <t>YTD</t>
        </is>
      </c>
      <c r="AB27" s="860" t="inlineStr">
        <is>
          <t>YTD</t>
        </is>
      </c>
      <c r="AC27" s="185" t="inlineStr">
        <is>
          <t>YTD</t>
        </is>
      </c>
      <c r="AD27" s="185" t="inlineStr">
        <is>
          <t>YTD</t>
        </is>
      </c>
      <c r="AE27" s="185" t="inlineStr">
        <is>
          <t>YTD</t>
        </is>
      </c>
      <c r="AF27" s="185" t="inlineStr">
        <is>
          <t>YTD</t>
        </is>
      </c>
      <c r="AG27" s="185" t="inlineStr">
        <is>
          <t>YTD</t>
        </is>
      </c>
      <c r="AH27" s="185" t="inlineStr">
        <is>
          <t>YTD</t>
        </is>
      </c>
      <c r="AI27" s="185" t="inlineStr">
        <is>
          <t>YTD</t>
        </is>
      </c>
      <c r="AJ27" s="185" t="inlineStr">
        <is>
          <t>YTD</t>
        </is>
      </c>
      <c r="AK27" s="185" t="inlineStr">
        <is>
          <t>YTD</t>
        </is>
      </c>
      <c r="AL27" s="185" t="inlineStr">
        <is>
          <t>YTD</t>
        </is>
      </c>
      <c r="AM27" s="185" t="inlineStr">
        <is>
          <t>YTD</t>
        </is>
      </c>
      <c r="AN27" s="185" t="inlineStr">
        <is>
          <t>YTD</t>
        </is>
      </c>
      <c r="AO27" s="13" t="n"/>
      <c r="AP27" s="13" t="n"/>
      <c r="AQ27" s="13" t="n"/>
      <c r="AR27" s="13" t="n"/>
      <c r="AS27" s="13" t="n"/>
    </row>
    <row r="28" hidden="1" outlineLevel="1" ht="15.75" customFormat="1" customHeight="1" s="13">
      <c r="A28" s="175" t="inlineStr">
        <is>
          <t>U9</t>
        </is>
      </c>
      <c r="B28" s="176">
        <f>IF(_epmOfflineCondition_,"C_ITEM",EPMDimensionType(,A28))</f>
        <v/>
      </c>
      <c r="C28" s="180" t="inlineStr">
        <is>
          <t>ZI_ALL</t>
        </is>
      </c>
      <c r="D28" s="384">
        <f>IF(_epmOfflineCondition_,"ZI_ALL",EPMOlapMemberO(C28,"[C_ITEM].[PARENTH1].[ZI_ALL]","全部ITEM","","000"))</f>
        <v/>
      </c>
      <c r="E28" s="13" t="n"/>
      <c r="F28" s="384" t="n"/>
      <c r="G28" s="13" t="n"/>
      <c r="H28" s="13" t="n"/>
      <c r="I28" s="13" t="n"/>
      <c r="J28" s="13" t="n"/>
      <c r="K28" s="13" t="n"/>
      <c r="L28" s="13" t="n"/>
      <c r="M28" s="13" t="n"/>
      <c r="N28" s="13" t="n"/>
      <c r="O28" s="13" t="n"/>
      <c r="P28" s="13" t="n"/>
      <c r="Q28" s="13" t="n"/>
      <c r="R28" s="13" t="n"/>
      <c r="S28" s="13" t="n"/>
      <c r="T28" s="13" t="n"/>
      <c r="U28" s="13" t="n"/>
      <c r="V28" s="13" t="n"/>
      <c r="W28" s="13" t="n"/>
      <c r="X28" s="842" t="inlineStr">
        <is>
          <t>FLOW</t>
        </is>
      </c>
      <c r="Y28" s="185" t="n"/>
      <c r="Z28" s="185" t="inlineStr">
        <is>
          <t>FEND</t>
        </is>
      </c>
      <c r="AA28" s="185" t="inlineStr">
        <is>
          <t>F00T</t>
        </is>
      </c>
      <c r="AB28" s="185" t="inlineStr">
        <is>
          <t>F00T</t>
        </is>
      </c>
      <c r="AC28" s="185" t="inlineStr">
        <is>
          <t>FMOV</t>
        </is>
      </c>
      <c r="AD28" s="185" t="inlineStr">
        <is>
          <t>FMOV</t>
        </is>
      </c>
      <c r="AE28" s="185" t="inlineStr">
        <is>
          <t>FMOV</t>
        </is>
      </c>
      <c r="AF28" s="185" t="inlineStr">
        <is>
          <t>FMOV</t>
        </is>
      </c>
      <c r="AG28" s="185" t="inlineStr">
        <is>
          <t>FMOV</t>
        </is>
      </c>
      <c r="AH28" s="185" t="inlineStr">
        <is>
          <t>F30</t>
        </is>
      </c>
      <c r="AI28" s="185" t="inlineStr">
        <is>
          <t>FEND</t>
        </is>
      </c>
      <c r="AJ28" s="185" t="inlineStr">
        <is>
          <t>FEND</t>
        </is>
      </c>
      <c r="AK28" s="185" t="inlineStr">
        <is>
          <t>FEND</t>
        </is>
      </c>
      <c r="AL28" s="185" t="inlineStr">
        <is>
          <t>FEND</t>
        </is>
      </c>
      <c r="AM28" s="185" t="inlineStr">
        <is>
          <t>FEND</t>
        </is>
      </c>
      <c r="AN28" s="185" t="inlineStr">
        <is>
          <t>FMOV_OP</t>
        </is>
      </c>
      <c r="AO28" s="13" t="n"/>
      <c r="AP28" s="13" t="n"/>
      <c r="AQ28" s="13" t="n"/>
      <c r="AR28" s="13" t="n"/>
      <c r="AS28" s="13" t="n"/>
    </row>
    <row r="29" hidden="1" outlineLevel="1" ht="15.75" customFormat="1" customHeight="1" s="13">
      <c r="A29" s="175" t="inlineStr">
        <is>
          <t>U10</t>
        </is>
      </c>
      <c r="B29" s="176">
        <f>IF(_epmOfflineCondition_,"C_MISK",EPMDimensionType(,A29))</f>
        <v/>
      </c>
      <c r="C29" s="449" t="inlineStr">
        <is>
          <t>ZM_ALL</t>
        </is>
      </c>
      <c r="D29" s="384">
        <f>IF(_epmOfflineCondition_,"ZM_ALL",EPMOlapMemberO(C29,"[C_MISK].[PARENTH1].[ZM_ALL]","ALL","","000"))</f>
        <v/>
      </c>
      <c r="E29" s="13" t="n"/>
      <c r="F29" s="384" t="n"/>
      <c r="G29" s="13" t="n"/>
      <c r="H29" s="13" t="n"/>
      <c r="I29" s="13" t="n"/>
      <c r="J29" s="13" t="n"/>
      <c r="K29" s="13" t="n"/>
      <c r="L29" s="13" t="n"/>
      <c r="M29" s="13" t="n"/>
      <c r="N29" s="13" t="n"/>
      <c r="O29" s="13" t="n"/>
      <c r="P29" s="13" t="n"/>
      <c r="Q29" s="13" t="n"/>
      <c r="R29" s="13" t="n"/>
      <c r="S29" s="13" t="n"/>
      <c r="T29" s="13" t="n"/>
      <c r="U29" s="13" t="n"/>
      <c r="V29" s="13" t="n"/>
      <c r="W29" s="13" t="n"/>
      <c r="X29" s="842" t="inlineStr">
        <is>
          <t>ACCOUNT</t>
        </is>
      </c>
      <c r="Y29" s="185" t="n"/>
      <c r="Z29" s="185" t="inlineStr">
        <is>
          <t>A151101_H2</t>
        </is>
      </c>
      <c r="AA29" s="185" t="inlineStr">
        <is>
          <t>A151101_H2</t>
        </is>
      </c>
      <c r="AB29" s="860" t="inlineStr">
        <is>
          <t>A09604</t>
        </is>
      </c>
      <c r="AC29" s="185" t="inlineStr">
        <is>
          <t>A151101_H2</t>
        </is>
      </c>
      <c r="AD29" s="185" t="inlineStr">
        <is>
          <t>A151101_H2</t>
        </is>
      </c>
      <c r="AE29" s="185" t="inlineStr">
        <is>
          <t>A151103</t>
        </is>
      </c>
      <c r="AF29" s="185" t="inlineStr">
        <is>
          <t>A151104</t>
        </is>
      </c>
      <c r="AG29" s="185" t="inlineStr">
        <is>
          <t>A151105</t>
        </is>
      </c>
      <c r="AH29" s="185" t="inlineStr">
        <is>
          <t>A151101_H2</t>
        </is>
      </c>
      <c r="AI29" s="185" t="inlineStr">
        <is>
          <t>A151101_H2</t>
        </is>
      </c>
      <c r="AJ29" s="185" t="inlineStr">
        <is>
          <t>A151205</t>
        </is>
      </c>
      <c r="AK29" s="185" t="inlineStr">
        <is>
          <t>A151101_H2</t>
        </is>
      </c>
      <c r="AL29" s="185" t="inlineStr">
        <is>
          <t>A09605</t>
        </is>
      </c>
      <c r="AM29" s="185" t="inlineStr">
        <is>
          <t>A09606</t>
        </is>
      </c>
      <c r="AN29" s="185" t="inlineStr">
        <is>
          <t>A6111040102</t>
        </is>
      </c>
      <c r="AO29" s="13" t="n"/>
      <c r="AP29" s="13" t="n"/>
      <c r="AQ29" s="13" t="n"/>
      <c r="AR29" s="13" t="n"/>
      <c r="AS29" s="13" t="n"/>
    </row>
    <row r="30" hidden="1" outlineLevel="1" ht="15.75" customFormat="1" customHeight="1" s="13">
      <c r="A30" s="175" t="n"/>
      <c r="B30" s="175">
        <f>IF(_epmOfflineCondition_,"",EPMDimensionType(,A30))</f>
        <v/>
      </c>
      <c r="C30" s="178" t="inlineStr">
        <is>
          <t>PERIODIC</t>
        </is>
      </c>
      <c r="D30" s="384">
        <f>IF(_epmOfflineCondition_,"C1001 - 实际数/决算数",EPMOlapMemberO("[C_CATEGORY].[PARENTH1].[C1001]","","C1001 - 实际数/决算数","","000"))</f>
        <v/>
      </c>
      <c r="E30" s="13" t="n"/>
      <c r="F30" s="384" t="n"/>
      <c r="G30" s="13" t="n"/>
      <c r="H30" s="13" t="n"/>
      <c r="I30" s="13" t="n"/>
      <c r="J30" s="13" t="n"/>
      <c r="K30" s="13" t="n"/>
      <c r="L30" s="13" t="n"/>
      <c r="M30" s="13" t="n"/>
      <c r="N30" s="13" t="n"/>
      <c r="O30" s="13" t="n"/>
      <c r="P30" s="13" t="n"/>
      <c r="Q30" s="13" t="n"/>
      <c r="R30" s="13" t="n"/>
      <c r="S30" s="13" t="n"/>
      <c r="T30" s="13" t="n"/>
      <c r="U30" s="13" t="n"/>
      <c r="V30" s="13" t="n"/>
      <c r="W30" s="13" t="n"/>
      <c r="X30" s="842" t="inlineStr">
        <is>
          <t>AUDITTRAL</t>
        </is>
      </c>
      <c r="Y30" s="185" t="n"/>
      <c r="Z30" s="185" t="inlineStr">
        <is>
          <t>DALL</t>
        </is>
      </c>
      <c r="AA30" s="185" t="inlineStr">
        <is>
          <t>DALL</t>
        </is>
      </c>
      <c r="AB30" s="185" t="inlineStr">
        <is>
          <t>DALL</t>
        </is>
      </c>
      <c r="AC30" s="185" t="inlineStr">
        <is>
          <t>DALL</t>
        </is>
      </c>
      <c r="AD30" s="185" t="inlineStr">
        <is>
          <t>DALL</t>
        </is>
      </c>
      <c r="AE30" s="185" t="inlineStr">
        <is>
          <t>DALL</t>
        </is>
      </c>
      <c r="AF30" s="185" t="inlineStr">
        <is>
          <t>DALL</t>
        </is>
      </c>
      <c r="AG30" s="185" t="inlineStr">
        <is>
          <t>DALL</t>
        </is>
      </c>
      <c r="AH30" s="185" t="inlineStr">
        <is>
          <t>DALL</t>
        </is>
      </c>
      <c r="AI30" s="185" t="inlineStr">
        <is>
          <t>DALL</t>
        </is>
      </c>
      <c r="AJ30" s="185" t="inlineStr">
        <is>
          <t>DALL</t>
        </is>
      </c>
      <c r="AK30" s="185" t="inlineStr">
        <is>
          <t>DALL</t>
        </is>
      </c>
      <c r="AL30" s="185" t="inlineStr">
        <is>
          <t>DALL</t>
        </is>
      </c>
      <c r="AM30" s="185" t="inlineStr">
        <is>
          <t>DALL</t>
        </is>
      </c>
      <c r="AN30" s="185" t="inlineStr">
        <is>
          <t>DALL</t>
        </is>
      </c>
      <c r="AO30" s="13" t="n"/>
      <c r="AP30" s="13" t="n"/>
      <c r="AQ30" s="13" t="n"/>
      <c r="AR30" s="13" t="n"/>
      <c r="AS30" s="13" t="n"/>
    </row>
    <row r="31" hidden="1" outlineLevel="1" ht="15.75" customFormat="1" customHeight="1" s="13">
      <c r="A31" s="175" t="n"/>
      <c r="B31" s="175" t="n"/>
      <c r="C31" s="178" t="n"/>
      <c r="D31" s="384">
        <f>IF(_epmOfflineCondition_,"YTD - Year To Date",EPMOlapMemberO("[MEASURES].[].[YTD]","","YTD - Year To Date","","000"))</f>
        <v/>
      </c>
      <c r="E31" s="13" t="n"/>
      <c r="F31" s="384" t="n"/>
      <c r="G31" s="13" t="n"/>
      <c r="H31" s="13" t="n"/>
      <c r="I31" s="13" t="n"/>
      <c r="J31" s="13" t="n"/>
      <c r="K31" s="13" t="n"/>
      <c r="L31" s="13" t="n"/>
      <c r="M31" s="13" t="n"/>
      <c r="N31" s="13" t="n"/>
      <c r="O31" s="13" t="n"/>
      <c r="P31" s="13" t="n"/>
      <c r="Q31" s="13" t="n"/>
      <c r="R31" s="13" t="n"/>
      <c r="S31" s="13" t="n"/>
      <c r="T31" s="13" t="n"/>
      <c r="U31" s="13" t="n"/>
      <c r="V31" s="13" t="n"/>
      <c r="W31" s="13" t="n"/>
      <c r="X31" s="842" t="inlineStr">
        <is>
          <t>ENTITY</t>
        </is>
      </c>
      <c r="Y31" s="185" t="n"/>
      <c r="Z31" s="185">
        <f>$D$21</f>
        <v/>
      </c>
      <c r="AA31" s="185">
        <f>$D$21</f>
        <v/>
      </c>
      <c r="AB31" s="185">
        <f>$D$21</f>
        <v/>
      </c>
      <c r="AC31" s="185">
        <f>$D$21</f>
        <v/>
      </c>
      <c r="AD31" s="185">
        <f>$D$21</f>
        <v/>
      </c>
      <c r="AE31" s="185">
        <f>$D$21</f>
        <v/>
      </c>
      <c r="AF31" s="185">
        <f>$D$21</f>
        <v/>
      </c>
      <c r="AG31" s="185">
        <f>$D$21</f>
        <v/>
      </c>
      <c r="AH31" s="185">
        <f>$D$21</f>
        <v/>
      </c>
      <c r="AI31" s="185">
        <f>$D$21</f>
        <v/>
      </c>
      <c r="AJ31" s="185">
        <f>$D$21</f>
        <v/>
      </c>
      <c r="AK31" s="185">
        <f>$D$21</f>
        <v/>
      </c>
      <c r="AL31" s="185">
        <f>$D$21</f>
        <v/>
      </c>
      <c r="AM31" s="185">
        <f>$D$21</f>
        <v/>
      </c>
      <c r="AN31" s="185">
        <f>$D$21</f>
        <v/>
      </c>
      <c r="AO31" s="13" t="n"/>
      <c r="AP31" s="13" t="n"/>
      <c r="AQ31" s="13" t="n"/>
      <c r="AR31" s="13" t="n"/>
      <c r="AS31" s="13" t="n"/>
    </row>
    <row r="32" hidden="1" outlineLevel="1" ht="15.75" customFormat="1" customHeight="1" s="13">
      <c r="A32" s="175" t="n"/>
      <c r="B32" s="175" t="n"/>
      <c r="C32" s="178" t="n"/>
      <c r="D32" s="13" t="n"/>
      <c r="E32" s="13" t="n"/>
      <c r="F32" s="384" t="n"/>
      <c r="G32" s="13" t="n"/>
      <c r="H32" s="13" t="n"/>
      <c r="I32" s="13" t="n"/>
      <c r="J32" s="13" t="n"/>
      <c r="K32" s="13" t="n"/>
      <c r="L32" s="13" t="n"/>
      <c r="M32" s="13" t="n"/>
      <c r="N32" s="13" t="n"/>
      <c r="O32" s="13" t="n"/>
      <c r="P32" s="13" t="n"/>
      <c r="Q32" s="13" t="n"/>
      <c r="R32" s="13" t="n"/>
      <c r="S32" s="13" t="n"/>
      <c r="T32" s="13" t="n"/>
      <c r="U32" s="13" t="n"/>
      <c r="V32" s="13" t="n"/>
      <c r="W32" s="13" t="n"/>
      <c r="X32" s="842" t="inlineStr">
        <is>
          <t>SCOPE</t>
        </is>
      </c>
      <c r="Y32" s="185" t="n"/>
      <c r="Z32" s="185">
        <f>$C$26</f>
        <v/>
      </c>
      <c r="AA32" s="185">
        <f>$C$26</f>
        <v/>
      </c>
      <c r="AB32" s="185">
        <f>$C$26</f>
        <v/>
      </c>
      <c r="AC32" s="185">
        <f>$C$26</f>
        <v/>
      </c>
      <c r="AD32" s="185">
        <f>$C$26</f>
        <v/>
      </c>
      <c r="AE32" s="185">
        <f>$C$26</f>
        <v/>
      </c>
      <c r="AF32" s="185">
        <f>$C$26</f>
        <v/>
      </c>
      <c r="AG32" s="185">
        <f>$C$26</f>
        <v/>
      </c>
      <c r="AH32" s="185">
        <f>$C$26</f>
        <v/>
      </c>
      <c r="AI32" s="185">
        <f>$C$26</f>
        <v/>
      </c>
      <c r="AJ32" s="185">
        <f>$C$26</f>
        <v/>
      </c>
      <c r="AK32" s="185">
        <f>$C$26</f>
        <v/>
      </c>
      <c r="AL32" s="185">
        <f>$C$26</f>
        <v/>
      </c>
      <c r="AM32" s="185">
        <f>$C$26</f>
        <v/>
      </c>
      <c r="AN32" s="185">
        <f>$C$26</f>
        <v/>
      </c>
      <c r="AO32" s="13" t="n"/>
      <c r="AP32" s="13" t="n"/>
      <c r="AQ32" s="13" t="n"/>
      <c r="AR32" s="13" t="n"/>
      <c r="AS32" s="13" t="n"/>
    </row>
    <row r="33" hidden="1" outlineLevel="1" ht="15.75" customFormat="1" customHeight="1" s="13">
      <c r="A33" s="13" t="n"/>
      <c r="B33" s="1103" t="n"/>
      <c r="C33" s="1103" t="n"/>
      <c r="D33" s="1103" t="n"/>
      <c r="E33" s="13" t="n"/>
      <c r="F33" s="13" t="n"/>
      <c r="G33" s="13" t="n"/>
      <c r="H33" s="13" t="n"/>
      <c r="I33" s="13" t="n"/>
      <c r="J33" s="13" t="n"/>
      <c r="K33" s="13" t="n"/>
      <c r="L33" s="13" t="n"/>
      <c r="M33" s="13" t="n"/>
      <c r="N33" s="13" t="n"/>
      <c r="O33" s="13" t="n"/>
      <c r="P33" s="13" t="n"/>
      <c r="Q33" s="13" t="n"/>
      <c r="R33" s="13" t="n"/>
      <c r="S33" s="13" t="n"/>
      <c r="T33" s="13" t="n"/>
      <c r="U33" s="13" t="n"/>
      <c r="V33" s="13" t="n"/>
      <c r="W33" s="13" t="n"/>
      <c r="X33" s="13" t="n"/>
      <c r="Y33" s="13" t="n"/>
      <c r="Z33" s="13" t="n"/>
      <c r="AA33" s="13" t="n"/>
      <c r="AB33" s="856" t="n"/>
      <c r="AC33" s="13" t="n"/>
      <c r="AD33" s="13" t="n"/>
      <c r="AE33" s="13" t="n"/>
      <c r="AF33" s="13" t="n"/>
      <c r="AG33" s="13" t="n"/>
      <c r="AH33" s="13" t="n"/>
      <c r="AI33" s="13" t="n"/>
      <c r="AJ33" s="13" t="n"/>
      <c r="AK33" s="13" t="n"/>
      <c r="AL33" s="13" t="n"/>
      <c r="AM33" s="13" t="n"/>
      <c r="AN33" s="13" t="n"/>
      <c r="AO33" s="13" t="n"/>
      <c r="AP33" s="13" t="n"/>
      <c r="AQ33" s="13" t="n"/>
      <c r="AR33" s="13" t="n"/>
      <c r="AS33" s="13" t="n"/>
    </row>
    <row r="34" collapsed="1" ht="10.35" customFormat="1" customHeight="1" s="13">
      <c r="A34" s="13" t="n"/>
      <c r="B34" s="1103" t="n"/>
      <c r="C34" s="1103" t="n"/>
      <c r="D34" s="1103" t="n"/>
      <c r="E34" s="13" t="n"/>
      <c r="F34" s="13" t="n"/>
      <c r="G34" s="13" t="n"/>
      <c r="H34" s="13" t="n"/>
      <c r="I34" s="13" t="n"/>
      <c r="J34" s="13" t="n"/>
      <c r="K34" s="13" t="n"/>
      <c r="L34" s="13" t="n"/>
      <c r="M34" s="13" t="n"/>
      <c r="N34" s="13" t="n"/>
      <c r="O34" s="13" t="n"/>
      <c r="P34" s="13" t="n"/>
      <c r="Q34" s="13" t="n"/>
      <c r="R34" s="13" t="n"/>
      <c r="S34" s="13" t="n"/>
      <c r="T34" s="13" t="n"/>
      <c r="U34" s="13" t="n"/>
      <c r="V34" s="13" t="n"/>
      <c r="W34" s="13" t="n"/>
      <c r="X34" s="13" t="n"/>
      <c r="Y34" s="13" t="n"/>
      <c r="Z34" s="13" t="n"/>
      <c r="AA34" s="13" t="n"/>
      <c r="AB34" s="856" t="n"/>
      <c r="AC34" s="13" t="n"/>
      <c r="AD34" s="13" t="n"/>
      <c r="AE34" s="13" t="n"/>
      <c r="AF34" s="13" t="n"/>
      <c r="AG34" s="13" t="n"/>
      <c r="AH34" s="13" t="n"/>
      <c r="AI34" s="716" t="n"/>
      <c r="AJ34" s="13" t="n"/>
      <c r="AK34" s="13" t="n"/>
      <c r="AL34" s="13" t="n"/>
      <c r="AM34" s="220" t="n"/>
      <c r="AN34" s="13" t="n"/>
      <c r="AO34" s="13" t="n"/>
      <c r="AP34" s="13" t="n"/>
      <c r="AQ34" s="13" t="n"/>
      <c r="AR34" s="13" t="n"/>
      <c r="AS34" s="13" t="n"/>
    </row>
    <row r="35" ht="36" customFormat="1" customHeight="1" s="844">
      <c r="A35" s="844" t="n"/>
      <c r="B35" s="844" t="n"/>
      <c r="C35" s="844" t="n"/>
      <c r="D35" s="844" t="n"/>
      <c r="E35" s="844" t="n"/>
      <c r="F35" s="844" t="n"/>
      <c r="G35" s="844" t="n"/>
      <c r="H35" s="844" t="n"/>
      <c r="I35" s="844" t="n"/>
      <c r="J35" s="844" t="n"/>
      <c r="K35" s="844" t="n"/>
      <c r="L35" s="844" t="n"/>
      <c r="M35" s="844" t="n"/>
      <c r="N35" s="844" t="n"/>
      <c r="O35" s="844" t="n"/>
      <c r="P35" s="844" t="n"/>
      <c r="Q35" s="844" t="n"/>
      <c r="R35" s="844" t="n"/>
      <c r="S35" s="844" t="n"/>
      <c r="T35" s="844" t="n"/>
      <c r="U35" s="844" t="n"/>
      <c r="V35" s="844" t="n"/>
      <c r="W35" s="844" t="n"/>
      <c r="X35" s="850" t="n"/>
      <c r="Y35" s="861" t="n"/>
      <c r="Z35" s="862" t="inlineStr">
        <is>
          <t>长期股权投资明细表-集团内-子公司</t>
        </is>
      </c>
      <c r="AA35" s="862" t="n"/>
      <c r="AB35" s="862" t="n"/>
      <c r="AC35" s="862" t="n"/>
      <c r="AD35" s="862" t="n"/>
      <c r="AE35" s="844" t="n"/>
      <c r="AF35" s="844" t="n"/>
      <c r="AG35" s="844" t="n"/>
      <c r="AH35" s="844" t="n"/>
      <c r="AI35" s="844" t="n"/>
      <c r="AJ35" s="844" t="n"/>
      <c r="AK35" s="844" t="n"/>
      <c r="AL35" s="844" t="n"/>
      <c r="AM35" s="844" t="n"/>
      <c r="AN35" s="844" t="n"/>
      <c r="AO35" s="844" t="n"/>
      <c r="AP35" s="844" t="n"/>
      <c r="AQ35" s="844" t="n"/>
      <c r="AR35" s="844" t="n"/>
      <c r="AS35" s="844" t="n"/>
    </row>
    <row r="36" ht="15.75" customFormat="1" customHeight="1" s="844">
      <c r="A36" s="844" t="n"/>
      <c r="B36" s="844" t="n"/>
      <c r="C36" s="844" t="n"/>
      <c r="D36" s="844" t="n"/>
      <c r="E36" s="844" t="n"/>
      <c r="F36" s="844" t="n"/>
      <c r="G36" s="844" t="n"/>
      <c r="H36" s="844" t="n"/>
      <c r="I36" s="844" t="n"/>
      <c r="J36" s="844" t="n"/>
      <c r="K36" s="844" t="n"/>
      <c r="L36" s="844" t="n"/>
      <c r="M36" s="844" t="n"/>
      <c r="N36" s="844" t="n"/>
      <c r="O36" s="844" t="n"/>
      <c r="P36" s="844" t="n"/>
      <c r="Q36" s="844" t="n"/>
      <c r="R36" s="844" t="n"/>
      <c r="S36" s="844" t="n"/>
      <c r="T36" s="844" t="n"/>
      <c r="U36" s="844" t="n"/>
      <c r="V36" s="844" t="n"/>
      <c r="W36" s="844" t="n"/>
      <c r="X36" s="851">
        <f>IF(_epmOfflineCondition_,"编制单位：内蒙古京能苏尼特风力发电有限公司（内蒙古分公司）","编制单位："&amp;EPMMemberDesc($D$21))</f>
        <v/>
      </c>
      <c r="Y36" s="844" t="n"/>
      <c r="Z36" s="863" t="inlineStr">
        <is>
          <t>单体：选择目标C_ENTITY，C_SCOPE选择G_DUMMY；合并：选择对应的C_SCOPE，不需要选择C_ENTITY；合并层会自动按照CNY展示，币种选择无效；选择完毕点击刷新</t>
        </is>
      </c>
      <c r="AA36" s="861" t="n"/>
      <c r="AB36" s="864" t="n"/>
      <c r="AC36" s="861" t="n"/>
      <c r="AD36" s="844" t="n"/>
      <c r="AE36" s="844" t="n"/>
      <c r="AF36" s="844" t="n"/>
      <c r="AG36" s="844" t="n"/>
      <c r="AH36" s="844" t="n"/>
      <c r="AI36" s="844" t="n"/>
      <c r="AJ36" s="844" t="n"/>
      <c r="AK36" s="844" t="n"/>
      <c r="AL36" s="844" t="n"/>
      <c r="AM36" s="844" t="n"/>
      <c r="AN36" s="844" t="n"/>
      <c r="AO36" s="844" t="n"/>
      <c r="AP36" s="844" t="n"/>
      <c r="AQ36" s="844" t="n"/>
      <c r="AR36" s="844" t="n"/>
      <c r="AS36" s="844" t="n"/>
    </row>
    <row r="37" customFormat="1" s="844">
      <c r="A37" s="844" t="n"/>
      <c r="B37" s="844" t="n"/>
      <c r="C37" s="844" t="n"/>
      <c r="D37" s="844" t="n"/>
      <c r="E37" s="844" t="n"/>
      <c r="F37" s="844" t="n"/>
      <c r="G37" s="844" t="n"/>
      <c r="H37" s="844" t="n"/>
      <c r="I37" s="844" t="n"/>
      <c r="J37" s="844" t="n"/>
      <c r="K37" s="844" t="n"/>
      <c r="L37" s="844" t="n"/>
      <c r="M37" s="844" t="n"/>
      <c r="N37" s="844" t="n"/>
      <c r="O37" s="844" t="n"/>
      <c r="P37" s="844" t="n"/>
      <c r="Q37" s="844" t="n"/>
      <c r="R37" s="844" t="n"/>
      <c r="S37" s="844" t="n"/>
      <c r="T37" s="844" t="n"/>
      <c r="U37" s="844" t="n"/>
      <c r="V37" s="844" t="n"/>
      <c r="W37" s="844" t="n"/>
      <c r="X37" s="851">
        <f>"编制月份："&amp;$I$3&amp;"年"&amp;$I$8&amp;"月"</f>
        <v/>
      </c>
      <c r="Y37" s="844" t="n"/>
      <c r="Z37" s="190" t="inlineStr">
        <is>
          <t>币种：</t>
        </is>
      </c>
      <c r="AA37" s="716" t="inlineStr">
        <is>
          <t>CNY</t>
        </is>
      </c>
      <c r="AB37" s="716" t="n"/>
      <c r="AC37" s="716" t="inlineStr">
        <is>
          <t>操作提示：表单默认币种LC（本位币），外币记账单位，可点击左侧，更换币种，更换后点击EPM选项卡中的“刷新”按钮</t>
        </is>
      </c>
      <c r="AD37" s="844" t="n"/>
      <c r="AE37" s="844" t="n"/>
      <c r="AF37" s="844" t="n"/>
      <c r="AG37" s="844" t="n"/>
      <c r="AH37" s="844" t="n"/>
      <c r="AI37" s="844" t="n"/>
      <c r="AJ37" s="844" t="n"/>
      <c r="AK37" s="844" t="n"/>
      <c r="AL37" s="844" t="n"/>
      <c r="AM37" s="844" t="n"/>
      <c r="AN37" s="876" t="inlineStr">
        <is>
          <t>金额单位：元</t>
        </is>
      </c>
      <c r="AO37" s="844" t="n"/>
      <c r="AP37" s="844" t="n"/>
      <c r="AQ37" s="844" t="n"/>
      <c r="AR37" s="844" t="n"/>
      <c r="AS37" s="844" t="n"/>
    </row>
    <row r="38" ht="16.5" customFormat="1" customHeight="1" s="845">
      <c r="A38" s="845" t="n"/>
      <c r="B38" s="845" t="n"/>
      <c r="C38" s="845" t="n"/>
      <c r="D38" s="845" t="n"/>
      <c r="E38" s="845" t="n"/>
      <c r="F38" s="845" t="n"/>
      <c r="G38" s="845" t="n"/>
      <c r="H38" s="845" t="n"/>
      <c r="I38" s="845" t="n"/>
      <c r="J38" s="845" t="n"/>
      <c r="K38" s="845" t="n"/>
      <c r="L38" s="845" t="n"/>
      <c r="M38" s="845" t="n"/>
      <c r="N38" s="845" t="n"/>
      <c r="O38" s="845" t="n"/>
      <c r="P38" s="845" t="n"/>
      <c r="Q38" s="845" t="n"/>
      <c r="R38" s="845" t="n"/>
      <c r="S38" s="845" t="n"/>
      <c r="T38" s="845" t="n"/>
      <c r="U38" s="845" t="n"/>
      <c r="V38" s="845" t="n"/>
      <c r="W38" s="845" t="n"/>
      <c r="X38" s="852" t="inlineStr">
        <is>
          <t>被投资单位代码</t>
        </is>
      </c>
      <c r="Y38" s="852" t="inlineStr">
        <is>
          <t>被投资单位名称</t>
        </is>
      </c>
      <c r="Z38" s="852" t="inlineStr">
        <is>
          <t>投资成本</t>
        </is>
      </c>
      <c r="AA38" s="852" t="inlineStr">
        <is>
          <t>年初账面余额</t>
        </is>
      </c>
      <c r="AB38" s="865" t="inlineStr">
        <is>
          <t>年初持股比%</t>
        </is>
      </c>
      <c r="AC38" s="1299" t="inlineStr">
        <is>
          <t>本年增减变动</t>
        </is>
      </c>
      <c r="AD38" s="1182" t="n"/>
      <c r="AE38" s="1182" t="n"/>
      <c r="AF38" s="1182" t="n"/>
      <c r="AG38" s="1183" t="n"/>
      <c r="AH38" s="852" t="inlineStr">
        <is>
          <t>本年累计减少数</t>
        </is>
      </c>
      <c r="AI38" s="852" t="inlineStr">
        <is>
          <t>期末余额</t>
        </is>
      </c>
      <c r="AJ38" s="852" t="inlineStr">
        <is>
          <t>减值准备-子公司</t>
        </is>
      </c>
      <c r="AK38" s="852" t="inlineStr">
        <is>
          <t>期末净值</t>
        </is>
      </c>
      <c r="AL38" s="852" t="inlineStr">
        <is>
          <t>期末持股比%</t>
        </is>
      </c>
      <c r="AM38" s="852" t="inlineStr">
        <is>
          <t>本年实际收到投资收益</t>
        </is>
      </c>
      <c r="AN38" s="852" t="inlineStr">
        <is>
          <t>本年账面投资收益</t>
        </is>
      </c>
      <c r="AO38" s="845" t="n"/>
      <c r="AP38" s="845" t="n"/>
      <c r="AQ38" s="845" t="n"/>
      <c r="AR38" s="845" t="n"/>
      <c r="AS38" s="845" t="n"/>
    </row>
    <row r="39" ht="14.25" customFormat="1" customHeight="1" s="845">
      <c r="A39" s="845" t="n"/>
      <c r="B39" s="845" t="n"/>
      <c r="C39" s="845" t="n"/>
      <c r="D39" s="845" t="n"/>
      <c r="E39" s="845" t="n"/>
      <c r="F39" s="845" t="n"/>
      <c r="G39" s="845" t="n"/>
      <c r="H39" s="845" t="n"/>
      <c r="I39" s="845" t="n"/>
      <c r="J39" s="845" t="n"/>
      <c r="K39" s="845" t="n"/>
      <c r="L39" s="845" t="n"/>
      <c r="M39" s="845" t="n"/>
      <c r="N39" s="845" t="n"/>
      <c r="O39" s="845" t="n"/>
      <c r="P39" s="845" t="n"/>
      <c r="Q39" s="845" t="n"/>
      <c r="R39" s="845" t="n"/>
      <c r="S39" s="845" t="n"/>
      <c r="T39" s="845" t="n"/>
      <c r="U39" s="845" t="n"/>
      <c r="V39" s="845" t="n"/>
      <c r="W39" s="845" t="n"/>
      <c r="X39" s="1184" t="n"/>
      <c r="Y39" s="1184" t="n"/>
      <c r="Z39" s="852" t="n"/>
      <c r="AA39" s="852" t="n"/>
      <c r="AB39" s="866" t="n"/>
      <c r="AC39" s="1299" t="inlineStr">
        <is>
          <t>小计</t>
        </is>
      </c>
      <c r="AD39" s="1299" t="inlineStr">
        <is>
          <t>资本金变动</t>
        </is>
      </c>
      <c r="AE39" s="1299" t="inlineStr">
        <is>
          <t>权益净利润变动</t>
        </is>
      </c>
      <c r="AF39" s="1299" t="inlineStr">
        <is>
          <t>其他权益变动</t>
        </is>
      </c>
      <c r="AG39" s="1299" t="inlineStr">
        <is>
          <t>其他综合收益变动</t>
        </is>
      </c>
      <c r="AH39" s="1184" t="n"/>
      <c r="AI39" s="1184" t="n"/>
      <c r="AJ39" s="1184" t="n"/>
      <c r="AK39" s="1184" t="n"/>
      <c r="AL39" s="1184" t="n"/>
      <c r="AM39" s="1184" t="n"/>
      <c r="AN39" s="1184" t="n"/>
      <c r="AO39" s="845" t="n"/>
      <c r="AP39" s="845" t="n"/>
      <c r="AQ39" s="845" t="n"/>
      <c r="AR39" s="845" t="n"/>
      <c r="AS39" s="845" t="n"/>
    </row>
    <row r="40">
      <c r="A40" s="384" t="n"/>
      <c r="B40" s="384" t="n"/>
      <c r="C40" s="384" t="n"/>
      <c r="D40" s="384" t="n"/>
      <c r="E40" s="384" t="n"/>
      <c r="F40" s="384" t="n"/>
      <c r="G40" s="384" t="n"/>
      <c r="H40" s="384" t="n"/>
      <c r="I40" s="384" t="n"/>
      <c r="J40" s="384" t="n"/>
      <c r="K40" s="384" t="n"/>
      <c r="L40" s="384" t="n"/>
      <c r="M40" s="384" t="n"/>
      <c r="N40" s="384" t="n"/>
      <c r="O40" s="384" t="n"/>
      <c r="P40" s="384" t="n"/>
      <c r="Q40" s="384" t="n"/>
      <c r="R40" s="384" t="n"/>
      <c r="S40" s="384" t="n"/>
      <c r="T40" s="384" t="n"/>
      <c r="U40" s="384" t="n"/>
      <c r="V40" s="384" t="n"/>
      <c r="W40" s="384" t="n"/>
      <c r="X40" s="1300" t="inlineStr">
        <is>
          <t>长期股权投资明细表-集团内-子公司合计：</t>
        </is>
      </c>
      <c r="Y40" s="1271" t="n"/>
      <c r="Z40" s="1301">
        <f>Z49+Z48</f>
        <v/>
      </c>
      <c r="AA40" s="1301">
        <f>AA49</f>
        <v/>
      </c>
      <c r="AB40" s="1301">
        <f>AB49</f>
        <v/>
      </c>
      <c r="AC40" s="1301">
        <f>AC49</f>
        <v/>
      </c>
      <c r="AD40" s="1301">
        <f>AD49</f>
        <v/>
      </c>
      <c r="AE40" s="1301">
        <f>AE49</f>
        <v/>
      </c>
      <c r="AF40" s="1301">
        <f>AF49</f>
        <v/>
      </c>
      <c r="AG40" s="1301">
        <f>AG49</f>
        <v/>
      </c>
      <c r="AH40" s="1301">
        <f>AH49</f>
        <v/>
      </c>
      <c r="AI40" s="1301">
        <f>AI49+AI48</f>
        <v/>
      </c>
      <c r="AJ40" s="1301">
        <f>AJ49</f>
        <v/>
      </c>
      <c r="AK40" s="1301">
        <f>AK49</f>
        <v/>
      </c>
      <c r="AL40" s="1301">
        <f>AL49</f>
        <v/>
      </c>
      <c r="AM40" s="1301">
        <f>AM49</f>
        <v/>
      </c>
      <c r="AN40" s="1301">
        <f>AN49</f>
        <v/>
      </c>
      <c r="AO40" s="1301">
        <f>AO49</f>
        <v/>
      </c>
      <c r="AP40" s="1301">
        <f>AP49</f>
        <v/>
      </c>
      <c r="AQ40" s="1301">
        <f>AQ49</f>
        <v/>
      </c>
      <c r="AR40" s="1301">
        <f>AR49</f>
        <v/>
      </c>
      <c r="AS40" s="384" t="n"/>
    </row>
    <row r="41" hidden="1" outlineLevel="1" ht="15" customHeight="1" s="1181">
      <c r="A41" s="384" t="n"/>
      <c r="B41" s="384" t="n"/>
      <c r="C41" s="384" t="n"/>
      <c r="D41" s="384" t="n"/>
      <c r="E41" s="384" t="n"/>
      <c r="F41" s="384" t="n"/>
      <c r="G41" s="384" t="n"/>
      <c r="H41" s="384" t="n"/>
      <c r="I41" s="384" t="n"/>
      <c r="J41" s="384" t="n"/>
      <c r="K41" s="384" t="n"/>
      <c r="L41" s="384" t="n"/>
      <c r="M41" s="384" t="n"/>
      <c r="N41" s="384" t="n"/>
      <c r="O41" s="384" t="n"/>
      <c r="P41" s="384" t="n"/>
      <c r="Q41" s="384" t="n"/>
      <c r="R41" s="384" t="n"/>
      <c r="S41" s="384" t="n"/>
      <c r="T41" s="384" t="n"/>
      <c r="U41" s="384" t="n"/>
      <c r="V41" s="384" t="n"/>
      <c r="W41" s="384" t="n"/>
      <c r="X41" s="384" t="n"/>
      <c r="Y41" s="869">
        <f>IF(_epmOfflineCondition_,"",EPMOlapMemberO("[Blank Member]","","","","000"))</f>
        <v/>
      </c>
      <c r="Z41" s="869">
        <f>IF(_epmOfflineCondition_,"A151101_H2",EPMOlapMemberO(Z29,"[C_ACCOUNT].[PARENTH2].[A151101_H2]","A151101_H2 - 长期股权投资-子公司-成本\股份支付父级","","000"))</f>
        <v/>
      </c>
      <c r="AA41" s="869">
        <f>IF(_epmOfflineCondition_,"A151101_H2",EPMOlapMemberO(AA29,"[C_ACCOUNT].[PARENTH2].[A151101_H2]","A151101_H2 - 长期股权投资-子公司-成本\股份支付父级","","000"))</f>
        <v/>
      </c>
      <c r="AB41" s="869">
        <f>IF(_epmOfflineCondition_,"A09604",EPMOlapMemberO(AB29,"[C_ACCOUNT].[PARENTH1].[A09604]","A09604 - 长期股权投资-子公司-年初持股比例","","000"))</f>
        <v/>
      </c>
      <c r="AC41" s="869">
        <f>IF(_epmOfflineCondition_,"A151101_H2",EPMOlapMemberO(AC29,"[C_ACCOUNT].[PARENTH2].[A151101_H2]","A151101_H2 - 长期股权投资-子公司-成本\股份支付父级","","000"))</f>
        <v/>
      </c>
      <c r="AD41" s="869">
        <f>IF(_epmOfflineCondition_,"A151101_H2",EPMOlapMemberO(AD29,"[C_ACCOUNT].[PARENTH2].[A151101_H2]","A151101_H2 - 长期股权投资-子公司-成本\股份支付父级","","000"))</f>
        <v/>
      </c>
      <c r="AE41" s="869">
        <f>IF(_epmOfflineCondition_,"A151103",EPMOlapMemberO(AE29,"[C_ACCOUNT].[PARENTH1].[A151103]","A151103 - 长期股权投资-损益调整","","000"))</f>
        <v/>
      </c>
      <c r="AF41" s="869">
        <f>IF(_epmOfflineCondition_,"A151104",EPMOlapMemberO(AF29,"[C_ACCOUNT].[PARENTH1].[A151104]","A151104 - 长期股权投资-其他权益变动","","000"))</f>
        <v/>
      </c>
      <c r="AG41" s="869">
        <f>IF(_epmOfflineCondition_,"A151105",EPMOlapMemberO(AG29,"[C_ACCOUNT].[PARENTH1].[A151105]","A151105 - 长期股权投资-其他综合收益","","000"))</f>
        <v/>
      </c>
      <c r="AH41" s="869">
        <f>IF(_epmOfflineCondition_,"A151101_H2",EPMOlapMemberO(AH29,"[C_ACCOUNT].[PARENTH2].[A151101_H2]","A151101_H2 - 长期股权投资-子公司-成本\股份支付父级","","000"))</f>
        <v/>
      </c>
      <c r="AI41" s="869">
        <f>IF(_epmOfflineCondition_,"A151101_H2",EPMOlapMemberO(AI29,"[C_ACCOUNT].[PARENTH2].[A151101_H2]","A151101_H2 - 长期股权投资-子公司-成本\股份支付父级","","000"))</f>
        <v/>
      </c>
      <c r="AJ41" s="869">
        <f>IF(_epmOfflineCondition_,"A151205",EPMOlapMemberO(AJ29,"[C_ACCOUNT].[PARENTH1].[A151205]","A151205 - 长投减值准备-子公司","","000"))</f>
        <v/>
      </c>
      <c r="AK41" s="869">
        <f>IF(_epmOfflineCondition_,"A151101_H2",EPMOlapMemberO(AK29,"[C_ACCOUNT].[PARENTH2].[A151101_H2]","A151101_H2 - 长期股权投资-子公司-成本\股份支付父级","","000"))</f>
        <v/>
      </c>
      <c r="AL41" s="869">
        <f>IF(_epmOfflineCondition_,"A09605",EPMOlapMemberO(AL29,"[C_ACCOUNT].[PARENTH1].[A09605]","A09605 - 长期股权投资-子公司-期末持股比例","","000"))</f>
        <v/>
      </c>
      <c r="AM41" s="869">
        <f>IF(_epmOfflineCondition_,"A09606",EPMOlapMemberO(AM29,"[C_ACCOUNT].[PARENTH1].[A09606]","A09606 - 长期股权投资-子公司-本年实际收益","","000"))</f>
        <v/>
      </c>
      <c r="AN41" s="869">
        <f>IF(_epmOfflineCondition_,"A6111040102",EPMOlapMemberO(AN29,"[C_ACCOUNT].[PARENTH1].[A6111040102]","A6111040102 - 投资收益-长期股权投资收益-子公司股利","","000"))</f>
        <v/>
      </c>
      <c r="AO41" s="384" t="n"/>
      <c r="AP41" s="384" t="n"/>
      <c r="AQ41" s="384" t="n"/>
      <c r="AR41" s="384" t="n"/>
      <c r="AS41" s="384" t="n"/>
    </row>
    <row r="42" hidden="1" outlineLevel="1" ht="19.35" customHeight="1" s="1181">
      <c r="A42" s="384" t="n"/>
      <c r="B42" s="384" t="n"/>
      <c r="C42" s="384" t="n"/>
      <c r="D42" s="384" t="n"/>
      <c r="E42" s="384" t="n"/>
      <c r="F42" s="384" t="n"/>
      <c r="G42" s="384" t="n"/>
      <c r="H42" s="384" t="n"/>
      <c r="I42" s="384" t="n"/>
      <c r="J42" s="384" t="n"/>
      <c r="K42" s="384" t="n"/>
      <c r="L42" s="384" t="n"/>
      <c r="M42" s="384" t="n"/>
      <c r="N42" s="384" t="n"/>
      <c r="O42" s="384" t="n"/>
      <c r="P42" s="384" t="n"/>
      <c r="Q42" s="384" t="n"/>
      <c r="R42" s="384" t="n"/>
      <c r="S42" s="384" t="n"/>
      <c r="T42" s="384" t="n"/>
      <c r="U42" s="384" t="n"/>
      <c r="V42" s="384" t="n"/>
      <c r="W42" s="384" t="n"/>
      <c r="X42" s="384" t="n"/>
      <c r="Y42" s="869">
        <f>IF(_epmOfflineCondition_,"",EPMOlapMemberO("[Blank Member]","","","","000"))</f>
        <v/>
      </c>
      <c r="Z42" s="869">
        <f>IF(_epmOfflineCondition_,"FEND",EPMOlapMemberO(Z28,"[C_FLOW].[PARENTH1].[FEND]","FEND - 期末金额","","000"))</f>
        <v/>
      </c>
      <c r="AA42" s="869">
        <f>IF(_epmOfflineCondition_,"F00T",EPMOlapMemberO(AA28,"[C_FLOW].[PARENTH1].[F00T]","F00T - 期初金额","","000"))</f>
        <v/>
      </c>
      <c r="AB42" s="869">
        <f>IF(_epmOfflineCondition_,"F00T",EPMOlapMemberO(AB28,"[C_FLOW].[PARENTH1].[F00T]","F00T - 期初金额","","000"))</f>
        <v/>
      </c>
      <c r="AC42" s="869">
        <f>IF(_epmOfflineCondition_,"FMOV",EPMOlapMemberO(AC28,"[C_FLOW].[PARENTH1].[FMOV]","FMOV - 本期变动","","000"))</f>
        <v/>
      </c>
      <c r="AD42" s="869">
        <f>IF(_epmOfflineCondition_,"FMOV",EPMOlapMemberO(AD28,"[C_FLOW].[PARENTH1].[FMOV]","FMOV - 本期变动","","000"))</f>
        <v/>
      </c>
      <c r="AE42" s="869">
        <f>IF(_epmOfflineCondition_,"FMOV",EPMOlapMemberO(AE28,"[C_FLOW].[PARENTH1].[FMOV]","FMOV - 本期变动","","000"))</f>
        <v/>
      </c>
      <c r="AF42" s="869">
        <f>IF(_epmOfflineCondition_,"FMOV",EPMOlapMemberO(AF28,"[C_FLOW].[PARENTH1].[FMOV]","FMOV - 本期变动","","000"))</f>
        <v/>
      </c>
      <c r="AG42" s="869">
        <f>IF(_epmOfflineCondition_,"FMOV",EPMOlapMemberO(AG28,"[C_FLOW].[PARENTH1].[FMOV]","FMOV - 本期变动","","000"))</f>
        <v/>
      </c>
      <c r="AH42" s="869">
        <f>IF(_epmOfflineCondition_,"F30",EPMOlapMemberO(AH28,"[C_FLOW].[PARENTH1].[F30]","F30 - 本期减少","","000"))</f>
        <v/>
      </c>
      <c r="AI42" s="869">
        <f>IF(_epmOfflineCondition_,"FEND",EPMOlapMemberO(AI28,"[C_FLOW].[PARENTH1].[FEND]","FEND - 期末金额","","000"))</f>
        <v/>
      </c>
      <c r="AJ42" s="869">
        <f>IF(_epmOfflineCondition_,"FEND",EPMOlapMemberO(AJ28,"[C_FLOW].[PARENTH1].[FEND]","FEND - 期末金额","","000"))</f>
        <v/>
      </c>
      <c r="AK42" s="869">
        <f>IF(_epmOfflineCondition_,"FEND",EPMOlapMemberO(AK28,"[C_FLOW].[PARENTH1].[FEND]","FEND - 期末金额","","000"))</f>
        <v/>
      </c>
      <c r="AL42" s="869">
        <f>IF(_epmOfflineCondition_,"FEND",EPMOlapMemberO(AL28,"[C_FLOW].[PARENTH1].[FEND]","FEND - 期末金额","","000"))</f>
        <v/>
      </c>
      <c r="AM42" s="869">
        <f>IF(_epmOfflineCondition_,"FEND",EPMOlapMemberO(AM28,"[C_FLOW].[PARENTH1].[FEND]","FEND - 期末金额","","000"))</f>
        <v/>
      </c>
      <c r="AN42" s="869">
        <f>IF(_epmOfflineCondition_,"FMOV_OP",EPMOlapMemberO(AN28,"[C_FLOW].[PARENTH4].[FMOV_OP]","FMOV_OP - 本期变动_经营","","000"))</f>
        <v/>
      </c>
      <c r="AO42" s="384" t="n"/>
      <c r="AP42" s="384" t="n"/>
      <c r="AQ42" s="384" t="n"/>
      <c r="AR42" s="384" t="n"/>
      <c r="AS42" s="384" t="n"/>
    </row>
    <row r="43" hidden="1" outlineLevel="1" ht="15" customHeight="1" s="1181">
      <c r="A43" s="384" t="n"/>
      <c r="B43" s="384" t="n"/>
      <c r="C43" s="384" t="n"/>
      <c r="D43" s="384" t="n"/>
      <c r="E43" s="384" t="n"/>
      <c r="F43" s="384" t="n"/>
      <c r="G43" s="384" t="n"/>
      <c r="H43" s="384" t="n"/>
      <c r="I43" s="384" t="n"/>
      <c r="J43" s="384" t="n"/>
      <c r="K43" s="384" t="n"/>
      <c r="L43" s="384" t="n"/>
      <c r="M43" s="384" t="n"/>
      <c r="N43" s="384" t="n"/>
      <c r="O43" s="384" t="n"/>
      <c r="P43" s="384" t="n"/>
      <c r="Q43" s="384" t="n"/>
      <c r="R43" s="384" t="n"/>
      <c r="S43" s="384" t="n"/>
      <c r="T43" s="384" t="n"/>
      <c r="U43" s="384" t="n"/>
      <c r="V43" s="384" t="n"/>
      <c r="W43" s="384" t="n"/>
      <c r="X43" s="384" t="n"/>
      <c r="Y43" s="869">
        <f>IF(_epmOfflineCondition_,"",EPMOlapMemberO("[Blank Member]","","","","000"))</f>
        <v/>
      </c>
      <c r="Z43" s="869">
        <f>IF(_epmOfflineCondition_,"DALL",EPMOlapMemberO(Z30,"[C_AUDITTRAIL].[PARENTH1].[DALL]","DALL - 合并后","","000"))</f>
        <v/>
      </c>
      <c r="AA43" s="869">
        <f>IF(_epmOfflineCondition_,"DALL",EPMOlapMemberO(AA30,"[C_AUDITTRAIL].[PARENTH1].[DALL]","DALL - 合并后","","000"))</f>
        <v/>
      </c>
      <c r="AB43" s="869">
        <f>IF(_epmOfflineCondition_,"DALL",EPMOlapMemberO(AB30,"[C_AUDITTRAIL].[PARENTH1].[DALL]","DALL - 合并后","","000"))</f>
        <v/>
      </c>
      <c r="AC43" s="869">
        <f>IF(_epmOfflineCondition_,"DALL",EPMOlapMemberO(AC30,"[C_AUDITTRAIL].[PARENTH1].[DALL]","DALL - 合并后","","000"))</f>
        <v/>
      </c>
      <c r="AD43" s="869">
        <f>IF(_epmOfflineCondition_,"DALL",EPMOlapMemberO(AD30,"[C_AUDITTRAIL].[PARENTH1].[DALL]","DALL - 合并后","","000"))</f>
        <v/>
      </c>
      <c r="AE43" s="869">
        <f>IF(_epmOfflineCondition_,"DALL",EPMOlapMemberO(AE30,"[C_AUDITTRAIL].[PARENTH1].[DALL]","DALL - 合并后","","000"))</f>
        <v/>
      </c>
      <c r="AF43" s="869">
        <f>IF(_epmOfflineCondition_,"DALL",EPMOlapMemberO(AF30,"[C_AUDITTRAIL].[PARENTH1].[DALL]","DALL - 合并后","","000"))</f>
        <v/>
      </c>
      <c r="AG43" s="869">
        <f>IF(_epmOfflineCondition_,"DALL",EPMOlapMemberO(AG30,"[C_AUDITTRAIL].[PARENTH1].[DALL]","DALL - 合并后","","000"))</f>
        <v/>
      </c>
      <c r="AH43" s="869">
        <f>IF(_epmOfflineCondition_,"DALL",EPMOlapMemberO(AH30,"[C_AUDITTRAIL].[PARENTH1].[DALL]","DALL - 合并后","","000"))</f>
        <v/>
      </c>
      <c r="AI43" s="869">
        <f>IF(_epmOfflineCondition_,"DALL",EPMOlapMemberO(AI30,"[C_AUDITTRAIL].[PARENTH1].[DALL]","DALL - 合并后","","000"))</f>
        <v/>
      </c>
      <c r="AJ43" s="869">
        <f>IF(_epmOfflineCondition_,"DALL",EPMOlapMemberO(AJ30,"[C_AUDITTRAIL].[PARENTH1].[DALL]","DALL - 合并后","","000"))</f>
        <v/>
      </c>
      <c r="AK43" s="869">
        <f>IF(_epmOfflineCondition_,"DALL",EPMOlapMemberO(AK30,"[C_AUDITTRAIL].[PARENTH1].[DALL]","DALL - 合并后","","000"))</f>
        <v/>
      </c>
      <c r="AL43" s="869">
        <f>IF(_epmOfflineCondition_,"DALL",EPMOlapMemberO(AL30,"[C_AUDITTRAIL].[PARENTH1].[DALL]","DALL - 合并后","","000"))</f>
        <v/>
      </c>
      <c r="AM43" s="869">
        <f>IF(_epmOfflineCondition_,"DALL",EPMOlapMemberO(AM30,"[C_AUDITTRAIL].[PARENTH1].[DALL]","DALL - 合并后","","000"))</f>
        <v/>
      </c>
      <c r="AN43" s="869">
        <f>IF(_epmOfflineCondition_,"DALL",EPMOlapMemberO(AN30,"[C_AUDITTRAIL].[PARENTH1].[DALL]","DALL - 合并后","","000"))</f>
        <v/>
      </c>
      <c r="AO43" s="384" t="n"/>
      <c r="AP43" s="384" t="n"/>
      <c r="AQ43" s="384" t="n"/>
      <c r="AR43" s="384" t="n"/>
      <c r="AS43" s="384" t="n"/>
    </row>
    <row r="44" hidden="1" outlineLevel="1" ht="15" customHeight="1" s="1181">
      <c r="A44" s="384" t="n"/>
      <c r="B44" s="384" t="n"/>
      <c r="C44" s="384" t="n"/>
      <c r="D44" s="384" t="n"/>
      <c r="E44" s="384" t="n"/>
      <c r="F44" s="384" t="n"/>
      <c r="G44" s="384" t="n"/>
      <c r="H44" s="384" t="n"/>
      <c r="I44" s="384" t="n"/>
      <c r="J44" s="384" t="n"/>
      <c r="K44" s="384" t="n"/>
      <c r="L44" s="384" t="n"/>
      <c r="M44" s="384" t="n"/>
      <c r="N44" s="384" t="n"/>
      <c r="O44" s="384" t="n"/>
      <c r="P44" s="384" t="n"/>
      <c r="Q44" s="384" t="n"/>
      <c r="R44" s="384" t="n"/>
      <c r="S44" s="384" t="n"/>
      <c r="T44" s="384" t="n"/>
      <c r="U44" s="384" t="n"/>
      <c r="V44" s="384" t="n"/>
      <c r="W44" s="384" t="n"/>
      <c r="X44" s="384" t="n"/>
      <c r="Y44" s="869">
        <f>IF(_epmOfflineCondition_,"",EPMOlapMemberO("[Blank Member]","","","","000"))</f>
        <v/>
      </c>
      <c r="Z44" s="869">
        <f>IF(_epmOfflineCondition_,"E100787",EPMOlapMemberO(Z31,"[C_ENTITY].[PARENTH1].[E100787]","内蒙古京能苏尼特风力发电有限公司（内蒙古分公司）","","000"))</f>
        <v/>
      </c>
      <c r="AA44" s="869">
        <f>IF(_epmOfflineCondition_,"E100787",EPMOlapMemberO(AA31,"[C_ENTITY].[PARENTH1].[E100787]","内蒙古京能苏尼特风力发电有限公司（内蒙古分公司）","","000"))</f>
        <v/>
      </c>
      <c r="AB44" s="869">
        <f>IF(_epmOfflineCondition_,"E100787",EPMOlapMemberO(AB31,"[C_ENTITY].[PARENTH1].[E100787]","内蒙古京能苏尼特风力发电有限公司（内蒙古分公司）","","000"))</f>
        <v/>
      </c>
      <c r="AC44" s="869">
        <f>IF(_epmOfflineCondition_,"E100787",EPMOlapMemberO(AC31,"[C_ENTITY].[PARENTH1].[E100787]","内蒙古京能苏尼特风力发电有限公司（内蒙古分公司）","","000"))</f>
        <v/>
      </c>
      <c r="AD44" s="869">
        <f>IF(_epmOfflineCondition_,"E100787",EPMOlapMemberO(AD31,"[C_ENTITY].[PARENTH1].[E100787]","内蒙古京能苏尼特风力发电有限公司（内蒙古分公司）","","000"))</f>
        <v/>
      </c>
      <c r="AE44" s="869">
        <f>IF(_epmOfflineCondition_,"E100787",EPMOlapMemberO(AE31,"[C_ENTITY].[PARENTH1].[E100787]","内蒙古京能苏尼特风力发电有限公司（内蒙古分公司）","","000"))</f>
        <v/>
      </c>
      <c r="AF44" s="869">
        <f>IF(_epmOfflineCondition_,"E100787",EPMOlapMemberO(AF31,"[C_ENTITY].[PARENTH1].[E100787]","内蒙古京能苏尼特风力发电有限公司（内蒙古分公司）","","000"))</f>
        <v/>
      </c>
      <c r="AG44" s="869">
        <f>IF(_epmOfflineCondition_,"E100787",EPMOlapMemberO(AG31,"[C_ENTITY].[PARENTH1].[E100787]","内蒙古京能苏尼特风力发电有限公司（内蒙古分公司）","","000"))</f>
        <v/>
      </c>
      <c r="AH44" s="869">
        <f>IF(_epmOfflineCondition_,"E100787",EPMOlapMemberO(AH31,"[C_ENTITY].[PARENTH1].[E100787]","内蒙古京能苏尼特风力发电有限公司（内蒙古分公司）","","000"))</f>
        <v/>
      </c>
      <c r="AI44" s="869">
        <f>IF(_epmOfflineCondition_,"E100787",EPMOlapMemberO(AI31,"[C_ENTITY].[PARENTH1].[E100787]","内蒙古京能苏尼特风力发电有限公司（内蒙古分公司）","","000"))</f>
        <v/>
      </c>
      <c r="AJ44" s="869">
        <f>IF(_epmOfflineCondition_,"E100787",EPMOlapMemberO(AJ31,"[C_ENTITY].[PARENTH1].[E100787]","内蒙古京能苏尼特风力发电有限公司（内蒙古分公司）","","000"))</f>
        <v/>
      </c>
      <c r="AK44" s="869">
        <f>IF(_epmOfflineCondition_,"E100787",EPMOlapMemberO(AK31,"[C_ENTITY].[PARENTH1].[E100787]","内蒙古京能苏尼特风力发电有限公司（内蒙古分公司）","","000"))</f>
        <v/>
      </c>
      <c r="AL44" s="869">
        <f>IF(_epmOfflineCondition_,"E100787",EPMOlapMemberO(AL31,"[C_ENTITY].[PARENTH1].[E100787]","内蒙古京能苏尼特风力发电有限公司（内蒙古分公司）","","000"))</f>
        <v/>
      </c>
      <c r="AM44" s="869">
        <f>IF(_epmOfflineCondition_,"E100787",EPMOlapMemberO(AM31,"[C_ENTITY].[PARENTH1].[E100787]","内蒙古京能苏尼特风力发电有限公司（内蒙古分公司）","","000"))</f>
        <v/>
      </c>
      <c r="AN44" s="869">
        <f>IF(_epmOfflineCondition_,"E100787",EPMOlapMemberO(AN31,"[C_ENTITY].[PARENTH1].[E100787]","内蒙古京能苏尼特风力发电有限公司（内蒙古分公司）","","000"))</f>
        <v/>
      </c>
      <c r="AO44" s="384" t="n"/>
      <c r="AP44" s="384" t="n"/>
      <c r="AQ44" s="384" t="n"/>
      <c r="AR44" s="384" t="n"/>
      <c r="AS44" s="384" t="n"/>
    </row>
    <row r="45" hidden="1" outlineLevel="1" ht="15.75" customHeight="1" s="1181">
      <c r="A45" s="384" t="n"/>
      <c r="B45" s="384" t="n"/>
      <c r="C45" s="384" t="n"/>
      <c r="D45" s="384" t="n"/>
      <c r="E45" s="384" t="n"/>
      <c r="F45" s="384" t="n"/>
      <c r="G45" s="384" t="n"/>
      <c r="H45" s="384" t="n"/>
      <c r="I45" s="384" t="n"/>
      <c r="J45" s="384" t="n"/>
      <c r="K45" s="384" t="n"/>
      <c r="L45" s="384" t="n"/>
      <c r="M45" s="384" t="n"/>
      <c r="N45" s="384" t="n"/>
      <c r="O45" s="384" t="n"/>
      <c r="P45" s="384" t="n"/>
      <c r="Q45" s="384" t="n"/>
      <c r="R45" s="384" t="n"/>
      <c r="S45" s="384" t="n"/>
      <c r="T45" s="384" t="n"/>
      <c r="U45" s="854" t="n"/>
      <c r="V45" s="32" t="n"/>
      <c r="W45" s="384" t="n"/>
      <c r="X45" s="869" t="inlineStr">
        <is>
          <t>集团内公司</t>
        </is>
      </c>
      <c r="Y45" s="869">
        <f>IF(_epmOfflineCondition_,"名称",EPMLocalMember("名称","000","000"))</f>
        <v/>
      </c>
      <c r="Z45" s="869">
        <f>IF(_epmOfflineCondition_,"G_DUMMY",EPMOlapMemberO(Z32,"[C_SCOPE].[PARENTH1].[G_DUMMY]","合并范围无关","","000"))</f>
        <v/>
      </c>
      <c r="AA45" s="869">
        <f>IF(_epmOfflineCondition_,"G_DUMMY",EPMOlapMemberO(AA32,"[C_SCOPE].[PARENTH1].[G_DUMMY]","合并范围无关","","000"))</f>
        <v/>
      </c>
      <c r="AB45" s="869">
        <f>IF(_epmOfflineCondition_,"G_DUMMY",EPMOlapMemberO(AB32,"[C_SCOPE].[PARENTH1].[G_DUMMY]","合并范围无关","","000"))</f>
        <v/>
      </c>
      <c r="AC45" s="869">
        <f>IF(_epmOfflineCondition_,"G_DUMMY",EPMOlapMemberO(AC32,"[C_SCOPE].[PARENTH1].[G_DUMMY]","合并范围无关","","000"))</f>
        <v/>
      </c>
      <c r="AD45" s="869">
        <f>IF(_epmOfflineCondition_,"G_DUMMY",EPMOlapMemberO(AD32,"[C_SCOPE].[PARENTH1].[G_DUMMY]","合并范围无关","","000"))</f>
        <v/>
      </c>
      <c r="AE45" s="869">
        <f>IF(_epmOfflineCondition_,"G_DUMMY",EPMOlapMemberO(AE32,"[C_SCOPE].[PARENTH1].[G_DUMMY]","合并范围无关","","000"))</f>
        <v/>
      </c>
      <c r="AF45" s="869">
        <f>IF(_epmOfflineCondition_,"G_DUMMY",EPMOlapMemberO(AF32,"[C_SCOPE].[PARENTH1].[G_DUMMY]","合并范围无关","","000"))</f>
        <v/>
      </c>
      <c r="AG45" s="869">
        <f>IF(_epmOfflineCondition_,"G_DUMMY",EPMOlapMemberO(AG32,"[C_SCOPE].[PARENTH1].[G_DUMMY]","合并范围无关","","000"))</f>
        <v/>
      </c>
      <c r="AH45" s="869">
        <f>IF(_epmOfflineCondition_,"G_DUMMY",EPMOlapMemberO(AH32,"[C_SCOPE].[PARENTH1].[G_DUMMY]","合并范围无关","","000"))</f>
        <v/>
      </c>
      <c r="AI45" s="869">
        <f>IF(_epmOfflineCondition_,"G_DUMMY",EPMOlapMemberO(AI32,"[C_SCOPE].[PARENTH1].[G_DUMMY]","合并范围无关","","000"))</f>
        <v/>
      </c>
      <c r="AJ45" s="869">
        <f>IF(_epmOfflineCondition_,"G_DUMMY",EPMOlapMemberO(AJ32,"[C_SCOPE].[PARENTH1].[G_DUMMY]","合并范围无关","","000"))</f>
        <v/>
      </c>
      <c r="AK45" s="869">
        <f>IF(_epmOfflineCondition_,"G_DUMMY",EPMOlapMemberO(AK32,"[C_SCOPE].[PARENTH1].[G_DUMMY]","合并范围无关","","000"))</f>
        <v/>
      </c>
      <c r="AL45" s="869">
        <f>IF(_epmOfflineCondition_,"G_DUMMY",EPMOlapMemberO(AL32,"[C_SCOPE].[PARENTH1].[G_DUMMY]","合并范围无关","","000"))</f>
        <v/>
      </c>
      <c r="AM45" s="869">
        <f>IF(_epmOfflineCondition_,"G_DUMMY",EPMOlapMemberO(AM32,"[C_SCOPE].[PARENTH1].[G_DUMMY]","合并范围无关","","000"))</f>
        <v/>
      </c>
      <c r="AN45" s="869">
        <f>IF(_epmOfflineCondition_,"G_DUMMY",EPMOlapMemberO(AN32,"[C_SCOPE].[PARENTH1].[G_DUMMY]","合并范围无关","","000"))</f>
        <v/>
      </c>
      <c r="AO45" s="384" t="n"/>
      <c r="AP45" s="384" t="n"/>
      <c r="AQ45" s="384" t="n"/>
      <c r="AR45" s="384" t="n"/>
      <c r="AS45" s="384" t="n"/>
    </row>
    <row r="46" hidden="1" outlineLevel="1" ht="15.75" customHeight="1" s="1181">
      <c r="A46" s="384" t="n"/>
      <c r="B46" s="384" t="n"/>
      <c r="C46" s="384" t="n"/>
      <c r="D46" s="384" t="n"/>
      <c r="E46" s="384" t="n"/>
      <c r="F46" s="384" t="n"/>
      <c r="G46" s="384" t="n"/>
      <c r="H46" s="384" t="n"/>
      <c r="I46" s="384" t="n"/>
      <c r="J46" s="384" t="n"/>
      <c r="K46" s="384" t="n"/>
      <c r="L46" s="384" t="n"/>
      <c r="M46" s="384" t="n"/>
      <c r="N46" s="384" t="n"/>
      <c r="O46" s="384" t="n"/>
      <c r="P46" s="384" t="n"/>
      <c r="Q46" s="384" t="n"/>
      <c r="R46" s="384" t="n"/>
      <c r="S46" s="384" t="n"/>
      <c r="T46" s="384" t="n"/>
      <c r="U46" s="854" t="n"/>
      <c r="V46" s="32" t="n"/>
      <c r="W46" s="384" t="n"/>
      <c r="X46" s="869" t="n"/>
      <c r="Y46" s="869" t="n"/>
      <c r="Z46" s="869" t="n"/>
      <c r="AA46" s="869" t="n"/>
      <c r="AB46" s="869" t="n"/>
      <c r="AC46" s="869" t="n"/>
      <c r="AD46" s="869" t="n"/>
      <c r="AE46" s="869" t="n"/>
      <c r="AF46" s="869" t="n"/>
      <c r="AG46" s="869" t="n"/>
      <c r="AH46" s="869" t="n"/>
      <c r="AI46" s="869" t="n"/>
      <c r="AJ46" s="869" t="n"/>
      <c r="AK46" s="869" t="n"/>
      <c r="AL46" s="869" t="n"/>
      <c r="AM46" s="869" t="n"/>
      <c r="AN46" s="869" t="n"/>
      <c r="AO46" s="384" t="n"/>
      <c r="AP46" s="384" t="n"/>
      <c r="AQ46" s="384" t="n"/>
      <c r="AR46" s="384" t="n"/>
      <c r="AS46" s="384" t="n"/>
    </row>
    <row r="47" hidden="1" collapsed="1" s="1181">
      <c r="A47" s="384" t="n"/>
      <c r="B47" s="384" t="n"/>
      <c r="C47" s="384" t="n"/>
      <c r="D47" s="384" t="n"/>
      <c r="E47" s="384" t="n"/>
      <c r="F47" s="384" t="n"/>
      <c r="G47" s="384" t="n"/>
      <c r="H47" s="384" t="n"/>
      <c r="I47" s="384" t="n"/>
      <c r="J47" s="384" t="n"/>
      <c r="K47" s="384" t="n"/>
      <c r="L47" s="384" t="n"/>
      <c r="M47" s="384" t="n"/>
      <c r="N47" s="384" t="n"/>
      <c r="O47" s="384" t="n"/>
      <c r="P47" s="384" t="n"/>
      <c r="Q47" s="384" t="n"/>
      <c r="R47" s="384" t="n"/>
      <c r="S47" s="384" t="n"/>
      <c r="T47" s="384" t="n"/>
      <c r="U47" s="854" t="n"/>
      <c r="V47" s="384" t="n"/>
      <c r="W47" s="384" t="n"/>
      <c r="X47" s="869">
        <f>IF(_epmOfflineCondition_,"I_DUMMY",EPMOlapMemberO("[C_INTERCO].[PARENTH1].[I_DUMMY]","","I_DUMMY","","000"))</f>
        <v/>
      </c>
      <c r="Y47" s="870">
        <f>IF(_epmOfflineCondition_,"贸易伙伴无关",EPMMemberDesc(X47))</f>
        <v/>
      </c>
      <c r="Z47" s="1302" t="n"/>
      <c r="AA47" s="1302" t="n"/>
      <c r="AB47" s="858" t="n"/>
      <c r="AC47" s="1302" t="n"/>
      <c r="AD47" s="1302" t="n"/>
      <c r="AE47" s="1302" t="inlineStr"/>
      <c r="AF47" s="1302" t="inlineStr"/>
      <c r="AG47" s="1302" t="inlineStr"/>
      <c r="AH47" s="1302" t="n"/>
      <c r="AI47" s="1302" t="n"/>
      <c r="AJ47" s="1302" t="n"/>
      <c r="AK47" s="1302">
        <f>AI47-AJ47</f>
        <v/>
      </c>
      <c r="AL47" s="858" t="n"/>
      <c r="AM47" s="1297" t="inlineStr"/>
      <c r="AN47" s="1298" t="n"/>
      <c r="AO47" s="13">
        <f>IF(_epmOfflineCondition_,0,EPMSaveDataOnly(AB47,,AB$29,AB$25,AB$26,AB$31,AB$32,$AA$37,AO$14,AO$15,AO$16,AO$17,AO$18,X47))</f>
        <v/>
      </c>
      <c r="AP47" s="13">
        <f>IF(_epmOfflineCondition_,0,EPMSaveDataOnly(AL47,,AL$29,AL$25,AL$26,AL$31,AL$32,$AA$37,AP$14,AP$15,AP$16,AP$17,AP$18,$X47))</f>
        <v/>
      </c>
      <c r="AQ47" s="13">
        <f>IF(_epmOfflineCondition_,0,EPMSaveData(AM47,,AM$29,AM$25,AM$26,$C$6,AM$32,$AA$37,AQ$14,AQ$15,AQ$16,AQ$17,AQ$18,$X47))</f>
        <v/>
      </c>
      <c r="AR47" s="13">
        <f>IF(_epmOfflineCondition_,0,EPMSaveDataOnly(AN47,,AN$29,AN$25,AN$26,AN$31,AN$32,$AA$37,AR$14,AR$15,AR$16,AR$17,AR$18,$X47))</f>
        <v/>
      </c>
      <c r="AS47" s="384" t="n"/>
    </row>
    <row r="48" hidden="1" s="1181">
      <c r="A48" s="384" t="n"/>
      <c r="B48" s="384" t="n"/>
      <c r="C48" s="384" t="n"/>
      <c r="D48" s="384" t="n"/>
      <c r="E48" s="384" t="n"/>
      <c r="F48" s="384" t="n"/>
      <c r="G48" s="384" t="n"/>
      <c r="H48" s="384" t="n"/>
      <c r="I48" s="384" t="n"/>
      <c r="J48" s="384" t="n"/>
      <c r="K48" s="384" t="n"/>
      <c r="L48" s="384" t="n"/>
      <c r="M48" s="384" t="n"/>
      <c r="N48" s="384" t="n"/>
      <c r="O48" s="384" t="n"/>
      <c r="P48" s="384" t="n"/>
      <c r="Q48" s="384" t="n"/>
      <c r="R48" s="384" t="n"/>
      <c r="S48" s="384" t="n"/>
      <c r="T48" s="384" t="n"/>
      <c r="U48" s="854" t="n"/>
      <c r="V48" s="384" t="n"/>
      <c r="W48" s="384" t="n"/>
      <c r="X48" s="869">
        <f>IF(_epmOfflineCondition_,"I_EXTERNAL",EPMOlapMemberO("[C_INTERCO].[PARENTH1].[I_EXTERNAL]","","I_EXTERNAL","","000"))</f>
        <v/>
      </c>
      <c r="Y48" s="870">
        <f>IF(_epmOfflineCondition_,"外部贸易单位",EPMMemberDesc(X48))</f>
        <v/>
      </c>
      <c r="Z48" s="1302" t="n"/>
      <c r="AA48" s="1302" t="n"/>
      <c r="AB48" s="858" t="n"/>
      <c r="AC48" s="1302" t="n"/>
      <c r="AD48" s="1302" t="n"/>
      <c r="AE48" s="1302" t="inlineStr"/>
      <c r="AF48" s="1302" t="inlineStr"/>
      <c r="AG48" s="1302" t="inlineStr"/>
      <c r="AH48" s="1302" t="n"/>
      <c r="AI48" s="1302" t="n"/>
      <c r="AJ48" s="1302" t="n"/>
      <c r="AK48" s="1302">
        <f>AI48-AJ48</f>
        <v/>
      </c>
      <c r="AL48" s="858" t="n"/>
      <c r="AM48" s="1297" t="inlineStr"/>
      <c r="AN48" s="1298" t="n"/>
      <c r="AO48" s="13">
        <f>IF(_epmOfflineCondition_,0,EPMSaveDataOnly(AB48,,AB$29,AB$25,AB$26,AB$31,AB$32,$AA$37,AO$14,AO$15,AO$16,AO$17,AO$18,X48))</f>
        <v/>
      </c>
      <c r="AP48" s="13">
        <f>IF(_epmOfflineCondition_,0,EPMSaveDataOnly(AL48,,AL$29,AL$25,AL$26,AL$31,AL$32,$AA$37,AP$14,AP$15,AP$16,AP$17,AP$18,$X48))</f>
        <v/>
      </c>
      <c r="AQ48" s="13">
        <f>IF(_epmOfflineCondition_,0,EPMSaveData(AM48,,AM$29,AM$25,AM$26,$C$6,AM$32,$AA$37,AQ$14,AQ$15,AQ$16,AQ$17,AQ$18,$X48))</f>
        <v/>
      </c>
      <c r="AR48" s="13">
        <f>IF(_epmOfflineCondition_,0,EPMSaveDataOnly(AN48,,AN$29,AN$25,AN$26,AN$31,AN$32,$AA$37,AR$14,AR$15,AR$16,AR$17,AR$18,$X48))</f>
        <v/>
      </c>
      <c r="AS48" s="384" t="n"/>
    </row>
    <row r="49" hidden="1" s="1181">
      <c r="A49" s="384" t="n"/>
      <c r="B49" s="384" t="n"/>
      <c r="C49" s="384" t="n"/>
      <c r="D49" s="384" t="n"/>
      <c r="E49" s="384" t="n"/>
      <c r="F49" s="384" t="n"/>
      <c r="G49" s="384" t="n"/>
      <c r="H49" s="384" t="n"/>
      <c r="I49" s="384" t="n"/>
      <c r="J49" s="384" t="n"/>
      <c r="K49" s="384" t="n"/>
      <c r="L49" s="384" t="n"/>
      <c r="M49" s="384" t="n"/>
      <c r="N49" s="384" t="n"/>
      <c r="O49" s="384" t="n"/>
      <c r="P49" s="384" t="n"/>
      <c r="Q49" s="384" t="n"/>
      <c r="R49" s="384" t="n"/>
      <c r="S49" s="384" t="n"/>
      <c r="T49" s="384" t="n"/>
      <c r="U49" s="854" t="n"/>
      <c r="V49" s="384" t="n"/>
      <c r="W49" s="384" t="n"/>
      <c r="X49" s="869">
        <f>IF(_epmOfflineCondition_,"I_INTERNAL",EPMOlapMemberO("[C_INTERCO].[PARENTH1].[I_INTERNAL]","","I_INTERNAL","","000"))</f>
        <v/>
      </c>
      <c r="Y49" s="870">
        <f>IF(_epmOfflineCondition_,"内部贸易伙伴",EPMMemberDesc(X49))</f>
        <v/>
      </c>
      <c r="Z49" s="1302" t="n"/>
      <c r="AA49" s="1302" t="n"/>
      <c r="AB49" s="858" t="n"/>
      <c r="AC49" s="1302" t="n"/>
      <c r="AD49" s="1302" t="n"/>
      <c r="AE49" s="1302" t="inlineStr"/>
      <c r="AF49" s="1302" t="inlineStr"/>
      <c r="AG49" s="1302" t="inlineStr"/>
      <c r="AH49" s="1302" t="n"/>
      <c r="AI49" s="1302" t="n"/>
      <c r="AJ49" s="1302" t="n"/>
      <c r="AK49" s="1302">
        <f>AI49-AJ49</f>
        <v/>
      </c>
      <c r="AL49" s="858" t="n"/>
      <c r="AM49" s="1297" t="inlineStr"/>
      <c r="AN49" s="1298" t="n"/>
      <c r="AO49" s="13">
        <f>IF(_epmOfflineCondition_,0,EPMSaveDataOnly(AB49,,AB$29,AB$25,AB$26,AB$31,AB$32,$AA$37,AO$14,AO$15,AO$16,AO$17,AO$18,X49))</f>
        <v/>
      </c>
      <c r="AP49" s="13">
        <f>IF(_epmOfflineCondition_,0,EPMSaveDataOnly(AL49,,AL$29,AL$25,AL$26,AL$31,AL$32,$AA$37,AP$14,AP$15,AP$16,AP$17,AP$18,$X49))</f>
        <v/>
      </c>
      <c r="AQ49" s="13">
        <f>IF(_epmOfflineCondition_,0,EPMSaveData(AM49,,AM$29,AM$25,AM$26,$C$6,AM$32,$AA$37,AQ$14,AQ$15,AQ$16,AQ$17,AQ$18,$X49))</f>
        <v/>
      </c>
      <c r="AR49" s="13">
        <f>IF(_epmOfflineCondition_,0,EPMSaveDataOnly(AN49,,AN$29,AN$25,AN$26,AN$31,AN$32,$AA$37,AR$14,AR$15,AR$16,AR$17,AR$18,$X49))</f>
        <v/>
      </c>
      <c r="AS49" s="384" t="n"/>
    </row>
    <row r="50" hidden="1" ht="15.75" customHeight="1" s="1181">
      <c r="A50" s="384" t="n"/>
      <c r="B50" s="384" t="n"/>
      <c r="C50" s="384" t="n"/>
      <c r="D50" s="384" t="n"/>
      <c r="E50" s="384" t="n"/>
      <c r="F50" s="384" t="n"/>
      <c r="G50" s="384" t="n"/>
      <c r="H50" s="384" t="n"/>
      <c r="I50" s="384" t="n"/>
      <c r="J50" s="384" t="n"/>
      <c r="K50" s="384" t="n"/>
      <c r="L50" s="384" t="n"/>
      <c r="M50" s="384" t="n"/>
      <c r="N50" s="384" t="n"/>
      <c r="O50" s="384" t="n"/>
      <c r="P50" s="384" t="n"/>
      <c r="Q50" s="384" t="n"/>
      <c r="R50" s="384" t="n"/>
      <c r="S50" s="384" t="n"/>
      <c r="T50" s="384" t="n"/>
      <c r="U50" s="854" t="n"/>
      <c r="V50" s="384" t="n"/>
      <c r="W50" s="384" t="n"/>
      <c r="X50" s="645">
        <f>IF(_epmOfflineCondition_,"I_E101265",EPMOlapMemberO("[C_INTERCO].[PARENTH1].[I_E101265]","","I_E101265","","000"))</f>
        <v/>
      </c>
      <c r="Y50" s="870">
        <f>IF(_epmOfflineCondition_,"大庆市盛步电力有限公司",EPMMemberDesc(X50))</f>
        <v/>
      </c>
      <c r="Z50" s="1302" t="n"/>
      <c r="AA50" s="1302" t="n"/>
      <c r="AB50" s="858" t="n"/>
      <c r="AC50" s="1302" t="n"/>
      <c r="AD50" s="1302" t="n"/>
      <c r="AE50" s="1302" t="inlineStr"/>
      <c r="AF50" s="1302" t="inlineStr"/>
      <c r="AG50" s="1302" t="inlineStr"/>
      <c r="AH50" s="1302" t="n"/>
      <c r="AI50" s="1302" t="n"/>
      <c r="AJ50" s="1302" t="n"/>
      <c r="AK50" s="1302">
        <f>AI50-AJ50</f>
        <v/>
      </c>
      <c r="AL50" s="858" t="n"/>
      <c r="AM50" s="1297" t="inlineStr"/>
      <c r="AN50" s="1298" t="n"/>
      <c r="AO50" s="13">
        <f>IF(_epmOfflineCondition_,0,EPMSaveDataOnly(AB50,,AB$29,AB$25,AB$26,AB$31,AB$32,$AA$37,AO$14,AO$15,AO$16,AO$17,AO$18,X50))</f>
        <v/>
      </c>
      <c r="AP50" s="13">
        <f>IF(_epmOfflineCondition_,0,EPMSaveDataOnly(AL50,,AL$29,AL$25,AL$26,AL$31,AL$32,$AA$37,AP$14,AP$15,AP$16,AP$17,AP$18,$X50))</f>
        <v/>
      </c>
      <c r="AQ50" s="13">
        <f>IF(_epmOfflineCondition_,0,EPMSaveData(AM50,,AM$29,AM$25,AM$26,$C$6,AM$32,$AA$37,AQ$14,AQ$15,AQ$16,AQ$17,AQ$18,$X50))</f>
        <v/>
      </c>
      <c r="AR50" s="13">
        <f>IF(_epmOfflineCondition_,0,EPMSaveDataOnly(AN50,,AN$29,AN$25,AN$26,AN$31,AN$32,$AA$37,AR$14,AR$15,AR$16,AR$17,AR$18,$X50))</f>
        <v/>
      </c>
      <c r="AS50" s="384" t="n"/>
    </row>
    <row r="51" hidden="1" ht="15.75" customHeight="1" s="1181">
      <c r="A51" s="384" t="n"/>
      <c r="B51" s="384" t="n"/>
      <c r="C51" s="384" t="n"/>
      <c r="D51" s="384" t="n"/>
      <c r="E51" s="384" t="n"/>
      <c r="F51" s="384" t="n"/>
      <c r="G51" s="384" t="n"/>
      <c r="H51" s="384" t="n"/>
      <c r="I51" s="384" t="n"/>
      <c r="J51" s="384" t="n"/>
      <c r="K51" s="384" t="n"/>
      <c r="L51" s="384" t="n"/>
      <c r="M51" s="384" t="n"/>
      <c r="N51" s="384" t="n"/>
      <c r="O51" s="384" t="n"/>
      <c r="P51" s="384" t="n"/>
      <c r="Q51" s="384" t="n"/>
      <c r="R51" s="384" t="n"/>
      <c r="S51" s="384" t="n"/>
      <c r="T51" s="384" t="n"/>
      <c r="U51" s="854" t="n"/>
      <c r="V51" s="384" t="n"/>
      <c r="W51" s="384" t="n"/>
      <c r="X51" s="645">
        <f>IF(_epmOfflineCondition_,"I_E101193",EPMOlapMemberO("[C_INTERCO].[PARENTH1].[I_E101193]","","I_E101193","","000"))</f>
        <v/>
      </c>
      <c r="Y51" s="870">
        <f>IF(_epmOfflineCondition_,"上海京桓光伏电力有限公司",EPMMemberDesc(X51))</f>
        <v/>
      </c>
      <c r="Z51" s="1302" t="n"/>
      <c r="AA51" s="1302" t="n"/>
      <c r="AB51" s="858" t="n"/>
      <c r="AC51" s="1302" t="n"/>
      <c r="AD51" s="1302" t="n"/>
      <c r="AE51" s="1302" t="inlineStr"/>
      <c r="AF51" s="1302" t="inlineStr"/>
      <c r="AG51" s="1302" t="inlineStr"/>
      <c r="AH51" s="1302" t="n"/>
      <c r="AI51" s="1302" t="n"/>
      <c r="AJ51" s="1302" t="n"/>
      <c r="AK51" s="1302">
        <f>AI51-AJ51</f>
        <v/>
      </c>
      <c r="AL51" s="858" t="n"/>
      <c r="AM51" s="1297" t="inlineStr"/>
      <c r="AN51" s="1298" t="n"/>
      <c r="AO51" s="13">
        <f>IF(_epmOfflineCondition_,0,EPMSaveDataOnly(AB51,,AB$29,AB$25,AB$26,AB$31,AB$32,$AA$37,AO$14,AO$15,AO$16,AO$17,AO$18,X51))</f>
        <v/>
      </c>
      <c r="AP51" s="13">
        <f>IF(_epmOfflineCondition_,0,EPMSaveDataOnly(AL51,,AL$29,AL$25,AL$26,AL$31,AL$32,$AA$37,AP$14,AP$15,AP$16,AP$17,AP$18,$X51))</f>
        <v/>
      </c>
      <c r="AQ51" s="13">
        <f>IF(_epmOfflineCondition_,0,EPMSaveData(AM51,,AM$29,AM$25,AM$26,$C$6,AM$32,$AA$37,AQ$14,AQ$15,AQ$16,AQ$17,AQ$18,$X51))</f>
        <v/>
      </c>
      <c r="AR51" s="13">
        <f>IF(_epmOfflineCondition_,0,EPMSaveDataOnly(AN51,,AN$29,AN$25,AN$26,AN$31,AN$32,$AA$37,AR$14,AR$15,AR$16,AR$17,AR$18,$X51))</f>
        <v/>
      </c>
      <c r="AS51" s="384" t="n"/>
    </row>
    <row r="52" hidden="1" ht="15.75" customHeight="1" s="1181">
      <c r="A52" s="384" t="n"/>
      <c r="B52" s="384" t="n"/>
      <c r="C52" s="384" t="n"/>
      <c r="D52" s="384" t="n"/>
      <c r="E52" s="384" t="n"/>
      <c r="F52" s="384" t="n"/>
      <c r="G52" s="384" t="n"/>
      <c r="H52" s="384" t="n"/>
      <c r="I52" s="384" t="n"/>
      <c r="J52" s="384" t="n"/>
      <c r="K52" s="384" t="n"/>
      <c r="L52" s="384" t="n"/>
      <c r="M52" s="384" t="n"/>
      <c r="N52" s="384" t="n"/>
      <c r="O52" s="384" t="n"/>
      <c r="P52" s="384" t="n"/>
      <c r="Q52" s="384" t="n"/>
      <c r="R52" s="384" t="n"/>
      <c r="S52" s="384" t="n"/>
      <c r="T52" s="384" t="n"/>
      <c r="U52" s="854" t="n"/>
      <c r="V52" s="384" t="n"/>
      <c r="W52" s="384" t="n"/>
      <c r="X52" s="645">
        <f>IF(_epmOfflineCondition_,"I_E101264",EPMOlapMemberO("[C_INTERCO].[PARENTH1].[I_E101264]","","I_E101264","","000"))</f>
        <v/>
      </c>
      <c r="Y52" s="870">
        <f>IF(_epmOfflineCondition_,"天津汇通新能源有限公司",EPMMemberDesc(X52))</f>
        <v/>
      </c>
      <c r="Z52" s="1302" t="n"/>
      <c r="AA52" s="1302" t="n"/>
      <c r="AB52" s="858" t="n"/>
      <c r="AC52" s="1302" t="n"/>
      <c r="AD52" s="1302" t="n"/>
      <c r="AE52" s="1302" t="inlineStr"/>
      <c r="AF52" s="1302" t="inlineStr"/>
      <c r="AG52" s="1302" t="inlineStr"/>
      <c r="AH52" s="1302" t="n"/>
      <c r="AI52" s="1302" t="n"/>
      <c r="AJ52" s="1302" t="n"/>
      <c r="AK52" s="1302">
        <f>AI52-AJ52</f>
        <v/>
      </c>
      <c r="AL52" s="858" t="n"/>
      <c r="AM52" s="1297" t="inlineStr"/>
      <c r="AN52" s="1298" t="n"/>
      <c r="AO52" s="13">
        <f>IF(_epmOfflineCondition_,0,EPMSaveDataOnly(AB52,,AB$29,AB$25,AB$26,AB$31,AB$32,$AA$37,AO$14,AO$15,AO$16,AO$17,AO$18,X52))</f>
        <v/>
      </c>
      <c r="AP52" s="13">
        <f>IF(_epmOfflineCondition_,0,EPMSaveDataOnly(AL52,,AL$29,AL$25,AL$26,AL$31,AL$32,$AA$37,AP$14,AP$15,AP$16,AP$17,AP$18,$X52))</f>
        <v/>
      </c>
      <c r="AQ52" s="13">
        <f>IF(_epmOfflineCondition_,0,EPMSaveData(AM52,,AM$29,AM$25,AM$26,$C$6,AM$32,$AA$37,AQ$14,AQ$15,AQ$16,AQ$17,AQ$18,$X52))</f>
        <v/>
      </c>
      <c r="AR52" s="13">
        <f>IF(_epmOfflineCondition_,0,EPMSaveDataOnly(AN52,,AN$29,AN$25,AN$26,AN$31,AN$32,$AA$37,AR$14,AR$15,AR$16,AR$17,AR$18,$X52))</f>
        <v/>
      </c>
      <c r="AS52" s="384" t="n"/>
    </row>
    <row r="53" hidden="1" ht="15.75" customHeight="1" s="1181">
      <c r="A53" s="384" t="n"/>
      <c r="B53" s="384" t="n"/>
      <c r="C53" s="384" t="n"/>
      <c r="D53" s="384" t="n"/>
      <c r="E53" s="384" t="n"/>
      <c r="F53" s="384" t="n"/>
      <c r="G53" s="384" t="n"/>
      <c r="H53" s="384" t="n"/>
      <c r="I53" s="384" t="n"/>
      <c r="J53" s="384" t="n"/>
      <c r="K53" s="384" t="n"/>
      <c r="L53" s="384" t="n"/>
      <c r="M53" s="384" t="n"/>
      <c r="N53" s="384" t="n"/>
      <c r="O53" s="384" t="n"/>
      <c r="P53" s="384" t="n"/>
      <c r="Q53" s="384" t="n"/>
      <c r="R53" s="384" t="n"/>
      <c r="S53" s="384" t="n"/>
      <c r="T53" s="384" t="n"/>
      <c r="U53" s="854" t="n"/>
      <c r="V53" s="384" t="n"/>
      <c r="W53" s="384" t="n"/>
      <c r="X53" s="645">
        <f>IF(_epmOfflineCondition_,"I_E100015",EPMOlapMemberO("[C_INTERCO].[PARENTH1].[I_E100015]","","I_E100015","","000"))</f>
        <v/>
      </c>
      <c r="Y53" s="870">
        <f>IF(_epmOfflineCondition_,"北京京能清洁能源电力股份有限公司鹿鸣山官厅风电场",EPMMemberDesc(X53))</f>
        <v/>
      </c>
      <c r="Z53" s="1302" t="n"/>
      <c r="AA53" s="1302" t="n"/>
      <c r="AB53" s="858" t="n"/>
      <c r="AC53" s="1302" t="n"/>
      <c r="AD53" s="1302" t="n"/>
      <c r="AE53" s="1302" t="inlineStr"/>
      <c r="AF53" s="1302" t="inlineStr"/>
      <c r="AG53" s="1302" t="inlineStr"/>
      <c r="AH53" s="1302" t="n"/>
      <c r="AI53" s="1302" t="n"/>
      <c r="AJ53" s="1302" t="n"/>
      <c r="AK53" s="1302">
        <f>AI53-AJ53</f>
        <v/>
      </c>
      <c r="AL53" s="858" t="n"/>
      <c r="AM53" s="1297" t="inlineStr"/>
      <c r="AN53" s="1298" t="n"/>
      <c r="AO53" s="13">
        <f>IF(_epmOfflineCondition_,0,EPMSaveDataOnly(AB53,,AB$29,AB$25,AB$26,AB$31,AB$32,$AA$37,AO$14,AO$15,AO$16,AO$17,AO$18,X53))</f>
        <v/>
      </c>
      <c r="AP53" s="13">
        <f>IF(_epmOfflineCondition_,0,EPMSaveDataOnly(AL53,,AL$29,AL$25,AL$26,AL$31,AL$32,$AA$37,AP$14,AP$15,AP$16,AP$17,AP$18,$X53))</f>
        <v/>
      </c>
      <c r="AQ53" s="13">
        <f>IF(_epmOfflineCondition_,0,EPMSaveData(AM53,,AM$29,AM$25,AM$26,$C$6,AM$32,$AA$37,AQ$14,AQ$15,AQ$16,AQ$17,AQ$18,$X53))</f>
        <v/>
      </c>
      <c r="AR53" s="13">
        <f>IF(_epmOfflineCondition_,0,EPMSaveDataOnly(AN53,,AN$29,AN$25,AN$26,AN$31,AN$32,$AA$37,AR$14,AR$15,AR$16,AR$17,AR$18,$X53))</f>
        <v/>
      </c>
      <c r="AS53" s="384" t="n"/>
    </row>
    <row r="54" hidden="1" ht="15.75" customHeight="1" s="1181">
      <c r="A54" s="384" t="n"/>
      <c r="B54" s="384" t="n"/>
      <c r="C54" s="384" t="n"/>
      <c r="D54" s="384" t="n"/>
      <c r="E54" s="384" t="n"/>
      <c r="F54" s="384" t="n"/>
      <c r="G54" s="384" t="n"/>
      <c r="H54" s="384" t="n"/>
      <c r="I54" s="384" t="n"/>
      <c r="J54" s="384" t="n"/>
      <c r="K54" s="384" t="n"/>
      <c r="L54" s="384" t="n"/>
      <c r="M54" s="384" t="n"/>
      <c r="N54" s="384" t="n"/>
      <c r="O54" s="384" t="n"/>
      <c r="P54" s="384" t="n"/>
      <c r="Q54" s="384" t="n"/>
      <c r="R54" s="384" t="n"/>
      <c r="S54" s="384" t="n"/>
      <c r="T54" s="384" t="n"/>
      <c r="U54" s="854" t="n"/>
      <c r="V54" s="384" t="n"/>
      <c r="W54" s="384" t="n"/>
      <c r="X54" s="645">
        <f>IF(_epmOfflineCondition_,"I_E101266",EPMOlapMemberO("[C_INTERCO].[PARENTH1].[I_E101266]","","I_E101266","","000"))</f>
        <v/>
      </c>
      <c r="Y54" s="870">
        <f>IF(_epmOfflineCondition_,"京原（北京）新能源有限公司",EPMMemberDesc(X54))</f>
        <v/>
      </c>
      <c r="Z54" s="1302" t="n"/>
      <c r="AA54" s="1302" t="n"/>
      <c r="AB54" s="858" t="n"/>
      <c r="AC54" s="1302" t="n"/>
      <c r="AD54" s="1302" t="n"/>
      <c r="AE54" s="1302" t="inlineStr"/>
      <c r="AF54" s="1302" t="inlineStr"/>
      <c r="AG54" s="1302" t="inlineStr"/>
      <c r="AH54" s="1302" t="n"/>
      <c r="AI54" s="1302" t="n"/>
      <c r="AJ54" s="1302" t="n"/>
      <c r="AK54" s="1302">
        <f>AI54-AJ54</f>
        <v/>
      </c>
      <c r="AL54" s="858" t="n"/>
      <c r="AM54" s="1297" t="inlineStr"/>
      <c r="AN54" s="1298" t="n"/>
      <c r="AO54" s="13">
        <f>IF(_epmOfflineCondition_,0,EPMSaveDataOnly(AB54,,AB$29,AB$25,AB$26,AB$31,AB$32,$AA$37,AO$14,AO$15,AO$16,AO$17,AO$18,X54))</f>
        <v/>
      </c>
      <c r="AP54" s="13">
        <f>IF(_epmOfflineCondition_,0,EPMSaveDataOnly(AL54,,AL$29,AL$25,AL$26,AL$31,AL$32,$AA$37,AP$14,AP$15,AP$16,AP$17,AP$18,$X54))</f>
        <v/>
      </c>
      <c r="AQ54" s="13">
        <f>IF(_epmOfflineCondition_,0,EPMSaveData(AM54,,AM$29,AM$25,AM$26,$C$6,AM$32,$AA$37,AQ$14,AQ$15,AQ$16,AQ$17,AQ$18,$X54))</f>
        <v/>
      </c>
      <c r="AR54" s="13">
        <f>IF(_epmOfflineCondition_,0,EPMSaveDataOnly(AN54,,AN$29,AN$25,AN$26,AN$31,AN$32,$AA$37,AR$14,AR$15,AR$16,AR$17,AR$18,$X54))</f>
        <v/>
      </c>
      <c r="AS54" s="384" t="n"/>
    </row>
    <row r="55" hidden="1" ht="15.75" customHeight="1" s="1181">
      <c r="A55" s="384" t="n"/>
      <c r="B55" s="384" t="n"/>
      <c r="C55" s="384" t="n"/>
      <c r="D55" s="384" t="n"/>
      <c r="E55" s="384" t="n"/>
      <c r="F55" s="384" t="n"/>
      <c r="G55" s="384" t="n"/>
      <c r="H55" s="384" t="n"/>
      <c r="I55" s="384" t="n"/>
      <c r="J55" s="384" t="n"/>
      <c r="K55" s="384" t="n"/>
      <c r="L55" s="384" t="n"/>
      <c r="M55" s="384" t="n"/>
      <c r="N55" s="384" t="n"/>
      <c r="O55" s="384" t="n"/>
      <c r="P55" s="384" t="n"/>
      <c r="Q55" s="384" t="n"/>
      <c r="R55" s="384" t="n"/>
      <c r="S55" s="384" t="n"/>
      <c r="T55" s="384" t="n"/>
      <c r="U55" s="854" t="n"/>
      <c r="V55" s="384" t="n"/>
      <c r="W55" s="384" t="n"/>
      <c r="X55" s="645">
        <f>IF(_epmOfflineCondition_,"I_E100730",EPMOlapMemberO("[C_INTERCO].[PARENTH1].[I_E100730]","","I_E100730","","000"))</f>
        <v/>
      </c>
      <c r="Y55" s="870">
        <f>IF(_epmOfflineCondition_,"京能国际能源发展（北京）有限公司",EPMMemberDesc(X55))</f>
        <v/>
      </c>
      <c r="Z55" s="1302" t="n"/>
      <c r="AA55" s="1302" t="n"/>
      <c r="AB55" s="858" t="n"/>
      <c r="AC55" s="1302" t="n"/>
      <c r="AD55" s="1302" t="n"/>
      <c r="AE55" s="1302" t="inlineStr"/>
      <c r="AF55" s="1302" t="inlineStr"/>
      <c r="AG55" s="1302" t="inlineStr"/>
      <c r="AH55" s="1302" t="n"/>
      <c r="AI55" s="1302" t="n"/>
      <c r="AJ55" s="1302" t="n"/>
      <c r="AK55" s="1302">
        <f>AI55-AJ55</f>
        <v/>
      </c>
      <c r="AL55" s="858" t="n"/>
      <c r="AM55" s="1297" t="inlineStr"/>
      <c r="AN55" s="1298" t="n"/>
      <c r="AO55" s="13">
        <f>IF(_epmOfflineCondition_,0,EPMSaveDataOnly(AB55,,AB$29,AB$25,AB$26,AB$31,AB$32,$AA$37,AO$14,AO$15,AO$16,AO$17,AO$18,X55))</f>
        <v/>
      </c>
      <c r="AP55" s="13">
        <f>IF(_epmOfflineCondition_,0,EPMSaveDataOnly(AL55,,AL$29,AL$25,AL$26,AL$31,AL$32,$AA$37,AP$14,AP$15,AP$16,AP$17,AP$18,$X55))</f>
        <v/>
      </c>
      <c r="AQ55" s="13">
        <f>IF(_epmOfflineCondition_,0,EPMSaveData(AM55,,AM$29,AM$25,AM$26,$C$6,AM$32,$AA$37,AQ$14,AQ$15,AQ$16,AQ$17,AQ$18,$X55))</f>
        <v/>
      </c>
      <c r="AR55" s="13">
        <f>IF(_epmOfflineCondition_,0,EPMSaveDataOnly(AN55,,AN$29,AN$25,AN$26,AN$31,AN$32,$AA$37,AR$14,AR$15,AR$16,AR$17,AR$18,$X55))</f>
        <v/>
      </c>
      <c r="AS55" s="384" t="n"/>
    </row>
    <row r="56" hidden="1" ht="15.75" customHeight="1" s="1181">
      <c r="A56" s="384" t="n"/>
      <c r="B56" s="384" t="n"/>
      <c r="C56" s="384" t="n"/>
      <c r="D56" s="384" t="n"/>
      <c r="E56" s="384" t="n"/>
      <c r="F56" s="384" t="n"/>
      <c r="G56" s="384" t="n"/>
      <c r="H56" s="384" t="n"/>
      <c r="I56" s="384" t="n"/>
      <c r="J56" s="384" t="n"/>
      <c r="K56" s="384" t="n"/>
      <c r="L56" s="384" t="n"/>
      <c r="M56" s="384" t="n"/>
      <c r="N56" s="384" t="n"/>
      <c r="O56" s="384" t="n"/>
      <c r="P56" s="384" t="n"/>
      <c r="Q56" s="384" t="n"/>
      <c r="R56" s="384" t="n"/>
      <c r="S56" s="384" t="n"/>
      <c r="T56" s="384" t="n"/>
      <c r="U56" s="854" t="n"/>
      <c r="V56" s="384" t="n"/>
      <c r="W56" s="384" t="n"/>
      <c r="X56" s="645">
        <f>IF(_epmOfflineCondition_,"I_E101271",EPMOlapMemberO("[C_INTERCO].[PARENTH1].[I_E101271]","","I_E101271","","000"))</f>
        <v/>
      </c>
      <c r="Y56" s="870">
        <f>IF(_epmOfflineCondition_,"京马（北京）新能源有限公司",EPMMemberDesc(X56))</f>
        <v/>
      </c>
      <c r="Z56" s="1302" t="n"/>
      <c r="AA56" s="1302" t="n"/>
      <c r="AB56" s="858" t="n"/>
      <c r="AC56" s="1302" t="n"/>
      <c r="AD56" s="1302" t="n"/>
      <c r="AE56" s="1302" t="inlineStr"/>
      <c r="AF56" s="1302" t="inlineStr"/>
      <c r="AG56" s="1302" t="inlineStr"/>
      <c r="AH56" s="1302" t="n"/>
      <c r="AI56" s="1302" t="n"/>
      <c r="AJ56" s="1302" t="n"/>
      <c r="AK56" s="1302">
        <f>AI56-AJ56</f>
        <v/>
      </c>
      <c r="AL56" s="858" t="n"/>
      <c r="AM56" s="1297" t="inlineStr"/>
      <c r="AN56" s="1298" t="n"/>
      <c r="AO56" s="13">
        <f>IF(_epmOfflineCondition_,0,EPMSaveDataOnly(AB56,,AB$29,AB$25,AB$26,AB$31,AB$32,$AA$37,AO$14,AO$15,AO$16,AO$17,AO$18,X56))</f>
        <v/>
      </c>
      <c r="AP56" s="13">
        <f>IF(_epmOfflineCondition_,0,EPMSaveDataOnly(AL56,,AL$29,AL$25,AL$26,AL$31,AL$32,$AA$37,AP$14,AP$15,AP$16,AP$17,AP$18,$X56))</f>
        <v/>
      </c>
      <c r="AQ56" s="13">
        <f>IF(_epmOfflineCondition_,0,EPMSaveData(AM56,,AM$29,AM$25,AM$26,$C$6,AM$32,$AA$37,AQ$14,AQ$15,AQ$16,AQ$17,AQ$18,$X56))</f>
        <v/>
      </c>
      <c r="AR56" s="13">
        <f>IF(_epmOfflineCondition_,0,EPMSaveDataOnly(AN56,,AN$29,AN$25,AN$26,AN$31,AN$32,$AA$37,AR$14,AR$15,AR$16,AR$17,AR$18,$X56))</f>
        <v/>
      </c>
      <c r="AS56" s="384" t="n"/>
    </row>
    <row r="57" hidden="1" ht="15.75" customHeight="1" s="1181">
      <c r="A57" s="384" t="n"/>
      <c r="B57" s="384" t="n"/>
      <c r="C57" s="384" t="n"/>
      <c r="D57" s="384" t="n"/>
      <c r="E57" s="384" t="n"/>
      <c r="F57" s="384" t="n"/>
      <c r="G57" s="384" t="n"/>
      <c r="H57" s="384" t="n"/>
      <c r="I57" s="384" t="n"/>
      <c r="J57" s="384" t="n"/>
      <c r="K57" s="384" t="n"/>
      <c r="L57" s="384" t="n"/>
      <c r="M57" s="384" t="n"/>
      <c r="N57" s="384" t="n"/>
      <c r="O57" s="384" t="n"/>
      <c r="P57" s="384" t="n"/>
      <c r="Q57" s="384" t="n"/>
      <c r="R57" s="384" t="n"/>
      <c r="S57" s="384" t="n"/>
      <c r="T57" s="384" t="n"/>
      <c r="U57" s="854" t="n"/>
      <c r="V57" s="384" t="n"/>
      <c r="W57" s="384" t="n"/>
      <c r="X57" s="645">
        <f>IF(_epmOfflineCondition_,"I_E100734",EPMOlapMemberO("[C_INTERCO].[PARENTH1].[I_E100734]","","I_E100734","","000"))</f>
        <v/>
      </c>
      <c r="Y57" s="870">
        <f>IF(_epmOfflineCondition_,"联合光伏（常州）投资集团有限公司",EPMMemberDesc(X57))</f>
        <v/>
      </c>
      <c r="Z57" s="1302" t="n"/>
      <c r="AA57" s="1302" t="n"/>
      <c r="AB57" s="858" t="n"/>
      <c r="AC57" s="1302" t="n"/>
      <c r="AD57" s="1302" t="n"/>
      <c r="AE57" s="1302" t="inlineStr"/>
      <c r="AF57" s="1302" t="inlineStr"/>
      <c r="AG57" s="1302" t="inlineStr"/>
      <c r="AH57" s="1302" t="n"/>
      <c r="AI57" s="1302" t="n"/>
      <c r="AJ57" s="1302" t="n"/>
      <c r="AK57" s="1302">
        <f>AI57-AJ57</f>
        <v/>
      </c>
      <c r="AL57" s="858" t="n"/>
      <c r="AM57" s="1297" t="inlineStr"/>
      <c r="AN57" s="1298" t="n"/>
      <c r="AO57" s="13">
        <f>IF(_epmOfflineCondition_,0,EPMSaveDataOnly(AB57,,AB$29,AB$25,AB$26,AB$31,AB$32,$AA$37,AO$14,AO$15,AO$16,AO$17,AO$18,X57))</f>
        <v/>
      </c>
      <c r="AP57" s="13">
        <f>IF(_epmOfflineCondition_,0,EPMSaveDataOnly(AL57,,AL$29,AL$25,AL$26,AL$31,AL$32,$AA$37,AP$14,AP$15,AP$16,AP$17,AP$18,$X57))</f>
        <v/>
      </c>
      <c r="AQ57" s="13">
        <f>IF(_epmOfflineCondition_,0,EPMSaveData(AM57,,AM$29,AM$25,AM$26,$C$6,AM$32,$AA$37,AQ$14,AQ$15,AQ$16,AQ$17,AQ$18,$X57))</f>
        <v/>
      </c>
      <c r="AR57" s="13">
        <f>IF(_epmOfflineCondition_,0,EPMSaveDataOnly(AN57,,AN$29,AN$25,AN$26,AN$31,AN$32,$AA$37,AR$14,AR$15,AR$16,AR$17,AR$18,$X57))</f>
        <v/>
      </c>
      <c r="AS57" s="384" t="n"/>
    </row>
    <row r="58" hidden="1" ht="15.75" customHeight="1" s="1181">
      <c r="A58" s="384" t="n"/>
      <c r="B58" s="384" t="n"/>
      <c r="C58" s="384" t="n"/>
      <c r="D58" s="384" t="n"/>
      <c r="E58" s="384" t="n"/>
      <c r="F58" s="384" t="n"/>
      <c r="G58" s="384" t="n"/>
      <c r="H58" s="384" t="n"/>
      <c r="I58" s="384" t="n"/>
      <c r="J58" s="384" t="n"/>
      <c r="K58" s="384" t="n"/>
      <c r="L58" s="384" t="n"/>
      <c r="M58" s="384" t="n"/>
      <c r="N58" s="384" t="n"/>
      <c r="O58" s="384" t="n"/>
      <c r="P58" s="384" t="n"/>
      <c r="Q58" s="384" t="n"/>
      <c r="R58" s="384" t="n"/>
      <c r="S58" s="384" t="n"/>
      <c r="T58" s="384" t="n"/>
      <c r="U58" s="854" t="n"/>
      <c r="V58" s="384" t="n"/>
      <c r="W58" s="384" t="n"/>
      <c r="X58" s="645">
        <f>IF(_epmOfflineCondition_,"I_E100740",EPMOlapMemberO("[C_INTERCO].[PARENTH1].[I_E100740]","","I_E100740","","000"))</f>
        <v/>
      </c>
      <c r="Y58" s="870">
        <f>IF(_epmOfflineCondition_,"永仁惠光光伏发电有限公司",EPMMemberDesc(X58))</f>
        <v/>
      </c>
      <c r="Z58" s="1302" t="n"/>
      <c r="AA58" s="1302" t="n"/>
      <c r="AB58" s="858" t="n"/>
      <c r="AC58" s="1302" t="n"/>
      <c r="AD58" s="1302" t="n"/>
      <c r="AE58" s="1302" t="inlineStr"/>
      <c r="AF58" s="1302" t="inlineStr"/>
      <c r="AG58" s="1302" t="inlineStr"/>
      <c r="AH58" s="1302" t="n"/>
      <c r="AI58" s="1302" t="n"/>
      <c r="AJ58" s="1302" t="n"/>
      <c r="AK58" s="1302">
        <f>AI58-AJ58</f>
        <v/>
      </c>
      <c r="AL58" s="858" t="n"/>
      <c r="AM58" s="1297" t="inlineStr"/>
      <c r="AN58" s="1298" t="n"/>
      <c r="AO58" s="13">
        <f>IF(_epmOfflineCondition_,0,EPMSaveDataOnly(AB58,,AB$29,AB$25,AB$26,AB$31,AB$32,$AA$37,AO$14,AO$15,AO$16,AO$17,AO$18,X58))</f>
        <v/>
      </c>
      <c r="AP58" s="13">
        <f>IF(_epmOfflineCondition_,0,EPMSaveDataOnly(AL58,,AL$29,AL$25,AL$26,AL$31,AL$32,$AA$37,AP$14,AP$15,AP$16,AP$17,AP$18,$X58))</f>
        <v/>
      </c>
      <c r="AQ58" s="13">
        <f>IF(_epmOfflineCondition_,0,EPMSaveData(AM58,,AM$29,AM$25,AM$26,$C$6,AM$32,$AA$37,AQ$14,AQ$15,AQ$16,AQ$17,AQ$18,$X58))</f>
        <v/>
      </c>
      <c r="AR58" s="13">
        <f>IF(_epmOfflineCondition_,0,EPMSaveDataOnly(AN58,,AN$29,AN$25,AN$26,AN$31,AN$32,$AA$37,AR$14,AR$15,AR$16,AR$17,AR$18,$X58))</f>
        <v/>
      </c>
      <c r="AS58" s="384" t="n"/>
    </row>
    <row r="59" hidden="1" ht="15.75" customHeight="1" s="1181">
      <c r="A59" s="384" t="n"/>
      <c r="B59" s="384" t="n"/>
      <c r="C59" s="384" t="n"/>
      <c r="D59" s="384" t="n"/>
      <c r="E59" s="384" t="n"/>
      <c r="F59" s="384" t="n"/>
      <c r="G59" s="384" t="n"/>
      <c r="H59" s="384" t="n"/>
      <c r="I59" s="384" t="n"/>
      <c r="J59" s="384" t="n"/>
      <c r="K59" s="384" t="n"/>
      <c r="L59" s="384" t="n"/>
      <c r="M59" s="384" t="n"/>
      <c r="N59" s="384" t="n"/>
      <c r="O59" s="384" t="n"/>
      <c r="P59" s="384" t="n"/>
      <c r="Q59" s="384" t="n"/>
      <c r="R59" s="384" t="n"/>
      <c r="S59" s="384" t="n"/>
      <c r="T59" s="384" t="n"/>
      <c r="U59" s="854" t="n"/>
      <c r="V59" s="384" t="n"/>
      <c r="W59" s="384" t="n"/>
      <c r="X59" s="645">
        <f>IF(_epmOfflineCondition_,"I_E100741",EPMOlapMemberO("[C_INTERCO].[PARENTH1].[I_E100741]","","I_E100741","","000"))</f>
        <v/>
      </c>
      <c r="Y59" s="870">
        <f>IF(_epmOfflineCondition_,"永胜惠光光伏发电有限公司",EPMMemberDesc(X59))</f>
        <v/>
      </c>
      <c r="Z59" s="1302" t="n"/>
      <c r="AA59" s="1302" t="n"/>
      <c r="AB59" s="858" t="n"/>
      <c r="AC59" s="1302" t="n"/>
      <c r="AD59" s="1302" t="n"/>
      <c r="AE59" s="1302" t="inlineStr"/>
      <c r="AF59" s="1302" t="inlineStr"/>
      <c r="AG59" s="1302" t="inlineStr"/>
      <c r="AH59" s="1302" t="n"/>
      <c r="AI59" s="1302" t="n"/>
      <c r="AJ59" s="1302" t="n"/>
      <c r="AK59" s="1302">
        <f>AI59-AJ59</f>
        <v/>
      </c>
      <c r="AL59" s="858" t="n"/>
      <c r="AM59" s="1297" t="inlineStr"/>
      <c r="AN59" s="1298" t="n"/>
      <c r="AO59" s="13">
        <f>IF(_epmOfflineCondition_,0,EPMSaveDataOnly(AB59,,AB$29,AB$25,AB$26,AB$31,AB$32,$AA$37,AO$14,AO$15,AO$16,AO$17,AO$18,X59))</f>
        <v/>
      </c>
      <c r="AP59" s="13">
        <f>IF(_epmOfflineCondition_,0,EPMSaveDataOnly(AL59,,AL$29,AL$25,AL$26,AL$31,AL$32,$AA$37,AP$14,AP$15,AP$16,AP$17,AP$18,$X59))</f>
        <v/>
      </c>
      <c r="AQ59" s="13">
        <f>IF(_epmOfflineCondition_,0,EPMSaveData(AM59,,AM$29,AM$25,AM$26,$C$6,AM$32,$AA$37,AQ$14,AQ$15,AQ$16,AQ$17,AQ$18,$X59))</f>
        <v/>
      </c>
      <c r="AR59" s="13">
        <f>IF(_epmOfflineCondition_,0,EPMSaveDataOnly(AN59,,AN$29,AN$25,AN$26,AN$31,AN$32,$AA$37,AR$14,AR$15,AR$16,AR$17,AR$18,$X59))</f>
        <v/>
      </c>
      <c r="AS59" s="384" t="n"/>
    </row>
    <row r="60" hidden="1" ht="15.75" customHeight="1" s="1181">
      <c r="A60" s="384" t="n"/>
      <c r="B60" s="384" t="n"/>
      <c r="C60" s="384" t="n"/>
      <c r="D60" s="384" t="n"/>
      <c r="E60" s="384" t="n"/>
      <c r="F60" s="384" t="n"/>
      <c r="G60" s="384" t="n"/>
      <c r="H60" s="384" t="n"/>
      <c r="I60" s="384" t="n"/>
      <c r="J60" s="384" t="n"/>
      <c r="K60" s="384" t="n"/>
      <c r="L60" s="384" t="n"/>
      <c r="M60" s="384" t="n"/>
      <c r="N60" s="384" t="n"/>
      <c r="O60" s="384" t="n"/>
      <c r="P60" s="384" t="n"/>
      <c r="Q60" s="384" t="n"/>
      <c r="R60" s="384" t="n"/>
      <c r="S60" s="384" t="n"/>
      <c r="T60" s="384" t="n"/>
      <c r="U60" s="854" t="n"/>
      <c r="V60" s="384" t="n"/>
      <c r="W60" s="384" t="n"/>
      <c r="X60" s="645">
        <f>IF(_epmOfflineCondition_,"I_E100788",EPMOlapMemberO("[C_INTERCO].[PARENTH1].[I_E100788]","","I_E100788","","000"))</f>
        <v/>
      </c>
      <c r="Y60" s="870">
        <f>IF(_epmOfflineCondition_,"西藏尼木县藏能新能源开发有限公司",EPMMemberDesc(X60))</f>
        <v/>
      </c>
      <c r="Z60" s="1302" t="n"/>
      <c r="AA60" s="1302" t="n"/>
      <c r="AB60" s="858" t="n"/>
      <c r="AC60" s="1302" t="n"/>
      <c r="AD60" s="1302" t="n"/>
      <c r="AE60" s="1302" t="inlineStr"/>
      <c r="AF60" s="1302" t="inlineStr"/>
      <c r="AG60" s="1302" t="inlineStr"/>
      <c r="AH60" s="1302" t="n"/>
      <c r="AI60" s="1302" t="n"/>
      <c r="AJ60" s="1302" t="n"/>
      <c r="AK60" s="1302">
        <f>AI60-AJ60</f>
        <v/>
      </c>
      <c r="AL60" s="858" t="n"/>
      <c r="AM60" s="1297" t="inlineStr"/>
      <c r="AN60" s="1298" t="n"/>
      <c r="AO60" s="13">
        <f>IF(_epmOfflineCondition_,0,EPMSaveDataOnly(AB60,,AB$29,AB$25,AB$26,AB$31,AB$32,$AA$37,AO$14,AO$15,AO$16,AO$17,AO$18,X60))</f>
        <v/>
      </c>
      <c r="AP60" s="13">
        <f>IF(_epmOfflineCondition_,0,EPMSaveDataOnly(AL60,,AL$29,AL$25,AL$26,AL$31,AL$32,$AA$37,AP$14,AP$15,AP$16,AP$17,AP$18,$X60))</f>
        <v/>
      </c>
      <c r="AQ60" s="13">
        <f>IF(_epmOfflineCondition_,0,EPMSaveData(AM60,,AM$29,AM$25,AM$26,$C$6,AM$32,$AA$37,AQ$14,AQ$15,AQ$16,AQ$17,AQ$18,$X60))</f>
        <v/>
      </c>
      <c r="AR60" s="13">
        <f>IF(_epmOfflineCondition_,0,EPMSaveDataOnly(AN60,,AN$29,AN$25,AN$26,AN$31,AN$32,$AA$37,AR$14,AR$15,AR$16,AR$17,AR$18,$X60))</f>
        <v/>
      </c>
      <c r="AS60" s="384" t="n"/>
    </row>
    <row r="61" hidden="1" ht="15.75" customHeight="1" s="1181">
      <c r="A61" s="384" t="n"/>
      <c r="B61" s="384" t="n"/>
      <c r="C61" s="384" t="n"/>
      <c r="D61" s="384" t="n"/>
      <c r="E61" s="384" t="n"/>
      <c r="F61" s="384" t="n"/>
      <c r="G61" s="384" t="n"/>
      <c r="H61" s="384" t="n"/>
      <c r="I61" s="384" t="n"/>
      <c r="J61" s="384" t="n"/>
      <c r="K61" s="384" t="n"/>
      <c r="L61" s="384" t="n"/>
      <c r="M61" s="384" t="n"/>
      <c r="N61" s="384" t="n"/>
      <c r="O61" s="384" t="n"/>
      <c r="P61" s="384" t="n"/>
      <c r="Q61" s="384" t="n"/>
      <c r="R61" s="384" t="n"/>
      <c r="S61" s="384" t="n"/>
      <c r="T61" s="384" t="n"/>
      <c r="U61" s="854" t="n"/>
      <c r="V61" s="384" t="n"/>
      <c r="W61" s="384" t="n"/>
      <c r="X61" s="645">
        <f>IF(_epmOfflineCondition_,"I_E100000",EPMOlapMemberO("[C_INTERCO].[PARENTH1].[I_E100000]","","I_E100000","","000"))</f>
        <v/>
      </c>
      <c r="Y61" s="870">
        <f>IF(_epmOfflineCondition_,"北京能源集团有限责任公司",EPMMemberDesc(X61))</f>
        <v/>
      </c>
      <c r="Z61" s="1302" t="n"/>
      <c r="AA61" s="1302" t="n"/>
      <c r="AB61" s="858" t="n"/>
      <c r="AC61" s="1302" t="n"/>
      <c r="AD61" s="1302" t="n"/>
      <c r="AE61" s="1302" t="inlineStr"/>
      <c r="AF61" s="1302" t="inlineStr"/>
      <c r="AG61" s="1302" t="inlineStr"/>
      <c r="AH61" s="1302" t="n"/>
      <c r="AI61" s="1302" t="n"/>
      <c r="AJ61" s="1302" t="n"/>
      <c r="AK61" s="1302">
        <f>AI61-AJ61</f>
        <v/>
      </c>
      <c r="AL61" s="858" t="n"/>
      <c r="AM61" s="1297" t="inlineStr"/>
      <c r="AN61" s="1298" t="n"/>
      <c r="AO61" s="13">
        <f>IF(_epmOfflineCondition_,0,EPMSaveDataOnly(AB61,,AB$29,AB$25,AB$26,AB$31,AB$32,$AA$37,AO$14,AO$15,AO$16,AO$17,AO$18,X61))</f>
        <v/>
      </c>
      <c r="AP61" s="13">
        <f>IF(_epmOfflineCondition_,0,EPMSaveDataOnly(AL61,,AL$29,AL$25,AL$26,AL$31,AL$32,$AA$37,AP$14,AP$15,AP$16,AP$17,AP$18,$X61))</f>
        <v/>
      </c>
      <c r="AQ61" s="13">
        <f>IF(_epmOfflineCondition_,0,EPMSaveData(AM61,,AM$29,AM$25,AM$26,$C$6,AM$32,$AA$37,AQ$14,AQ$15,AQ$16,AQ$17,AQ$18,$X61))</f>
        <v/>
      </c>
      <c r="AR61" s="13">
        <f>IF(_epmOfflineCondition_,0,EPMSaveDataOnly(AN61,,AN$29,AN$25,AN$26,AN$31,AN$32,$AA$37,AR$14,AR$15,AR$16,AR$17,AR$18,$X61))</f>
        <v/>
      </c>
      <c r="AS61" s="384" t="n"/>
    </row>
    <row r="62" hidden="1" ht="15.75" customHeight="1" s="1181">
      <c r="A62" s="384" t="n"/>
      <c r="B62" s="384" t="n"/>
      <c r="C62" s="384" t="n"/>
      <c r="D62" s="384" t="n"/>
      <c r="E62" s="384" t="n"/>
      <c r="F62" s="384" t="n"/>
      <c r="G62" s="384" t="n"/>
      <c r="H62" s="384" t="n"/>
      <c r="I62" s="384" t="n"/>
      <c r="J62" s="384" t="n"/>
      <c r="K62" s="384" t="n"/>
      <c r="L62" s="384" t="n"/>
      <c r="M62" s="384" t="n"/>
      <c r="N62" s="384" t="n"/>
      <c r="O62" s="384" t="n"/>
      <c r="P62" s="384" t="n"/>
      <c r="Q62" s="384" t="n"/>
      <c r="R62" s="384" t="n"/>
      <c r="S62" s="384" t="n"/>
      <c r="T62" s="384" t="n"/>
      <c r="U62" s="384" t="n"/>
      <c r="V62" s="384" t="n"/>
      <c r="W62" s="384" t="n"/>
      <c r="X62" s="645">
        <f>IF(_epmOfflineCondition_,"I_E100001",EPMOlapMemberO("[C_INTERCO].[PARENTH1].[I_E100001]","","I_E100001","","000"))</f>
        <v/>
      </c>
      <c r="Y62" s="870">
        <f>IF(_epmOfflineCondition_,"北京京能清洁能源电力股份有限公司",EPMMemberDesc(X62))</f>
        <v/>
      </c>
      <c r="Z62" s="1302" t="n"/>
      <c r="AA62" s="1302" t="n"/>
      <c r="AB62" s="858" t="n"/>
      <c r="AC62" s="1302" t="n"/>
      <c r="AD62" s="1302" t="n"/>
      <c r="AE62" s="1302" t="inlineStr"/>
      <c r="AF62" s="1302" t="inlineStr"/>
      <c r="AG62" s="1302" t="inlineStr"/>
      <c r="AH62" s="1302" t="n"/>
      <c r="AI62" s="1302" t="n"/>
      <c r="AJ62" s="1302" t="n"/>
      <c r="AK62" s="1302">
        <f>AI62-AJ62</f>
        <v/>
      </c>
      <c r="AL62" s="858" t="n"/>
      <c r="AM62" s="1297" t="inlineStr"/>
      <c r="AN62" s="1298" t="n"/>
      <c r="AO62" s="13">
        <f>IF(_epmOfflineCondition_,0,EPMSaveDataOnly(AB62,,AB$29,AB$25,AB$26,AB$31,AB$32,$AA$37,AO$14,AO$15,AO$16,AO$17,AO$18,X62))</f>
        <v/>
      </c>
      <c r="AP62" s="13">
        <f>IF(_epmOfflineCondition_,0,EPMSaveDataOnly(AL62,,AL$29,AL$25,AL$26,AL$31,AL$32,$AA$37,AP$14,AP$15,AP$16,AP$17,AP$18,$X62))</f>
        <v/>
      </c>
      <c r="AQ62" s="13">
        <f>IF(_epmOfflineCondition_,0,EPMSaveData(AM62,,AM$29,AM$25,AM$26,$C$6,AM$32,$AA$37,AQ$14,AQ$15,AQ$16,AQ$17,AQ$18,$X62))</f>
        <v/>
      </c>
      <c r="AR62" s="13">
        <f>IF(_epmOfflineCondition_,0,EPMSaveDataOnly(AN62,,AN$29,AN$25,AN$26,AN$31,AN$32,$AA$37,AR$14,AR$15,AR$16,AR$17,AR$18,$X62))</f>
        <v/>
      </c>
      <c r="AS62" s="384" t="n"/>
    </row>
    <row r="63" hidden="1" ht="15.75" customHeight="1" s="1181">
      <c r="A63" s="384" t="n"/>
      <c r="B63" s="384" t="n"/>
      <c r="C63" s="384" t="n"/>
      <c r="D63" s="384" t="n"/>
      <c r="E63" s="384" t="n"/>
      <c r="F63" s="384" t="n"/>
      <c r="G63" s="384" t="n"/>
      <c r="H63" s="384" t="n"/>
      <c r="I63" s="384" t="n"/>
      <c r="J63" s="384" t="n"/>
      <c r="K63" s="384" t="n"/>
      <c r="L63" s="384" t="n"/>
      <c r="M63" s="384" t="n"/>
      <c r="N63" s="384" t="n"/>
      <c r="O63" s="384" t="n"/>
      <c r="P63" s="384" t="n"/>
      <c r="Q63" s="384" t="n"/>
      <c r="R63" s="384" t="n"/>
      <c r="S63" s="384" t="n"/>
      <c r="T63" s="384" t="n"/>
      <c r="U63" s="384" t="n"/>
      <c r="V63" s="384" t="n"/>
      <c r="W63" s="384" t="n"/>
      <c r="X63" s="645">
        <f>IF(_epmOfflineCondition_,"I_E100002",EPMOlapMemberO("[C_INTERCO].[PARENTH1].[I_E100002]","","I_E100002","","000"))</f>
        <v/>
      </c>
      <c r="Y63" s="870">
        <f>IF(_epmOfflineCondition_,"北京京能高安屯燃气热电有限责任公司",EPMMemberDesc(X63))</f>
        <v/>
      </c>
      <c r="Z63" s="1302" t="n"/>
      <c r="AA63" s="1302" t="n"/>
      <c r="AB63" s="858" t="n"/>
      <c r="AC63" s="1302" t="n"/>
      <c r="AD63" s="1302" t="n"/>
      <c r="AE63" s="1302" t="inlineStr"/>
      <c r="AF63" s="1302" t="inlineStr"/>
      <c r="AG63" s="1302" t="inlineStr"/>
      <c r="AH63" s="1302" t="n"/>
      <c r="AI63" s="1302" t="n"/>
      <c r="AJ63" s="1302" t="n"/>
      <c r="AK63" s="1302">
        <f>AI63-AJ63</f>
        <v/>
      </c>
      <c r="AL63" s="858" t="n"/>
      <c r="AM63" s="1297" t="inlineStr"/>
      <c r="AN63" s="1298" t="n"/>
      <c r="AO63" s="13">
        <f>IF(_epmOfflineCondition_,0,EPMSaveDataOnly(AB63,,AB$29,AB$25,AB$26,AB$31,AB$32,$AA$37,AO$14,AO$15,AO$16,AO$17,AO$18,X63))</f>
        <v/>
      </c>
      <c r="AP63" s="13">
        <f>IF(_epmOfflineCondition_,0,EPMSaveDataOnly(AL63,,AL$29,AL$25,AL$26,AL$31,AL$32,$AA$37,AP$14,AP$15,AP$16,AP$17,AP$18,$X63))</f>
        <v/>
      </c>
      <c r="AQ63" s="13">
        <f>IF(_epmOfflineCondition_,0,EPMSaveData(AM63,,AM$29,AM$25,AM$26,$C$6,AM$32,$AA$37,AQ$14,AQ$15,AQ$16,AQ$17,AQ$18,$X63))</f>
        <v/>
      </c>
      <c r="AR63" s="13">
        <f>IF(_epmOfflineCondition_,0,EPMSaveDataOnly(AN63,,AN$29,AN$25,AN$26,AN$31,AN$32,$AA$37,AR$14,AR$15,AR$16,AR$17,AR$18,$X63))</f>
        <v/>
      </c>
      <c r="AS63" s="384" t="n"/>
    </row>
    <row r="64" hidden="1" ht="15.75" customHeight="1" s="1181">
      <c r="A64" s="384" t="n"/>
      <c r="B64" s="384" t="n"/>
      <c r="C64" s="384" t="n"/>
      <c r="D64" s="384" t="n"/>
      <c r="E64" s="384" t="n"/>
      <c r="F64" s="384" t="n"/>
      <c r="G64" s="384" t="n"/>
      <c r="H64" s="384" t="n"/>
      <c r="I64" s="384" t="n"/>
      <c r="J64" s="384" t="n"/>
      <c r="K64" s="384" t="n"/>
      <c r="L64" s="384" t="n"/>
      <c r="M64" s="384" t="n"/>
      <c r="N64" s="384" t="n"/>
      <c r="O64" s="384" t="n"/>
      <c r="P64" s="384" t="n"/>
      <c r="Q64" s="384" t="n"/>
      <c r="R64" s="384" t="n"/>
      <c r="S64" s="384" t="n"/>
      <c r="T64" s="384" t="n"/>
      <c r="U64" s="384" t="n"/>
      <c r="V64" s="384" t="n"/>
      <c r="W64" s="384" t="n"/>
      <c r="X64" s="645">
        <f>IF(_epmOfflineCondition_,"I_E100003",EPMOlapMemberO("[C_INTERCO].[PARENTH1].[I_E100003]","","I_E100003","","000"))</f>
        <v/>
      </c>
      <c r="Y64" s="870">
        <f>IF(_epmOfflineCondition_,"北京京丰燃气发电有限责任公司",EPMMemberDesc(X64))</f>
        <v/>
      </c>
      <c r="Z64" s="1302" t="n"/>
      <c r="AA64" s="1302" t="n"/>
      <c r="AB64" s="858" t="n"/>
      <c r="AC64" s="1302" t="n"/>
      <c r="AD64" s="1302" t="n"/>
      <c r="AE64" s="1302" t="inlineStr"/>
      <c r="AF64" s="1302" t="inlineStr"/>
      <c r="AG64" s="1302" t="inlineStr"/>
      <c r="AH64" s="1302" t="n"/>
      <c r="AI64" s="1302" t="n"/>
      <c r="AJ64" s="1302" t="n"/>
      <c r="AK64" s="1302">
        <f>AI64-AJ64</f>
        <v/>
      </c>
      <c r="AL64" s="858" t="n"/>
      <c r="AM64" s="1297" t="inlineStr"/>
      <c r="AN64" s="1298" t="n"/>
      <c r="AO64" s="13">
        <f>IF(_epmOfflineCondition_,0,EPMSaveDataOnly(AB64,,AB$29,AB$25,AB$26,AB$31,AB$32,$AA$37,AO$14,AO$15,AO$16,AO$17,AO$18,X64))</f>
        <v/>
      </c>
      <c r="AP64" s="13">
        <f>IF(_epmOfflineCondition_,0,EPMSaveDataOnly(AL64,,AL$29,AL$25,AL$26,AL$31,AL$32,$AA$37,AP$14,AP$15,AP$16,AP$17,AP$18,$X64))</f>
        <v/>
      </c>
      <c r="AQ64" s="13">
        <f>IF(_epmOfflineCondition_,0,EPMSaveData(AM64,,AM$29,AM$25,AM$26,$C$6,AM$32,$AA$37,AQ$14,AQ$15,AQ$16,AQ$17,AQ$18,$X64))</f>
        <v/>
      </c>
      <c r="AR64" s="13">
        <f>IF(_epmOfflineCondition_,0,EPMSaveDataOnly(AN64,,AN$29,AN$25,AN$26,AN$31,AN$32,$AA$37,AR$14,AR$15,AR$16,AR$17,AR$18,$X64))</f>
        <v/>
      </c>
      <c r="AS64" s="384" t="n"/>
    </row>
    <row r="65" hidden="1" ht="15.75" customHeight="1" s="1181">
      <c r="A65" s="384" t="n"/>
      <c r="B65" s="384" t="n"/>
      <c r="C65" s="384" t="n"/>
      <c r="D65" s="384" t="n"/>
      <c r="E65" s="384" t="n"/>
      <c r="F65" s="384" t="n"/>
      <c r="G65" s="384" t="n"/>
      <c r="H65" s="384" t="n"/>
      <c r="I65" s="384" t="n"/>
      <c r="J65" s="384" t="n"/>
      <c r="K65" s="384" t="n"/>
      <c r="L65" s="384" t="n"/>
      <c r="M65" s="384" t="n"/>
      <c r="N65" s="384" t="n"/>
      <c r="O65" s="384" t="n"/>
      <c r="P65" s="384" t="n"/>
      <c r="Q65" s="384" t="n"/>
      <c r="R65" s="384" t="n"/>
      <c r="S65" s="384" t="n"/>
      <c r="T65" s="384" t="n"/>
      <c r="U65" s="384" t="n"/>
      <c r="V65" s="384" t="n"/>
      <c r="W65" s="384" t="n"/>
      <c r="X65" s="645">
        <f>IF(_epmOfflineCondition_,"I_E100004",EPMOlapMemberO("[C_INTERCO].[PARENTH1].[I_E100004]","","I_E100004","","000"))</f>
        <v/>
      </c>
      <c r="Y65" s="870">
        <f>IF(_epmOfflineCondition_,"北京京丰热电有限责任公司",EPMMemberDesc(X65))</f>
        <v/>
      </c>
      <c r="Z65" s="1302" t="n"/>
      <c r="AA65" s="1302" t="n"/>
      <c r="AB65" s="858" t="n"/>
      <c r="AC65" s="1302" t="n"/>
      <c r="AD65" s="1302" t="n"/>
      <c r="AE65" s="1302" t="inlineStr"/>
      <c r="AF65" s="1302" t="inlineStr"/>
      <c r="AG65" s="1302" t="inlineStr"/>
      <c r="AH65" s="1302" t="n"/>
      <c r="AI65" s="1302" t="n"/>
      <c r="AJ65" s="1302" t="n"/>
      <c r="AK65" s="1302">
        <f>AI65-AJ65</f>
        <v/>
      </c>
      <c r="AL65" s="858" t="n"/>
      <c r="AM65" s="1297" t="inlineStr"/>
      <c r="AN65" s="1298" t="n"/>
      <c r="AO65" s="13">
        <f>IF(_epmOfflineCondition_,0,EPMSaveDataOnly(AB65,,AB$29,AB$25,AB$26,AB$31,AB$32,$AA$37,AO$14,AO$15,AO$16,AO$17,AO$18,X65))</f>
        <v/>
      </c>
      <c r="AP65" s="13">
        <f>IF(_epmOfflineCondition_,0,EPMSaveDataOnly(AL65,,AL$29,AL$25,AL$26,AL$31,AL$32,$AA$37,AP$14,AP$15,AP$16,AP$17,AP$18,$X65))</f>
        <v/>
      </c>
      <c r="AQ65" s="13">
        <f>IF(_epmOfflineCondition_,0,EPMSaveData(AM65,,AM$29,AM$25,AM$26,$C$6,AM$32,$AA$37,AQ$14,AQ$15,AQ$16,AQ$17,AQ$18,$X65))</f>
        <v/>
      </c>
      <c r="AR65" s="13">
        <f>IF(_epmOfflineCondition_,0,EPMSaveDataOnly(AN65,,AN$29,AN$25,AN$26,AN$31,AN$32,$AA$37,AR$14,AR$15,AR$16,AR$17,AR$18,$X65))</f>
        <v/>
      </c>
      <c r="AS65" s="384" t="n"/>
    </row>
    <row r="66" hidden="1" ht="15.75" customHeight="1" s="1181">
      <c r="A66" s="384" t="n"/>
      <c r="B66" s="384" t="n"/>
      <c r="C66" s="384" t="n"/>
      <c r="D66" s="384" t="n"/>
      <c r="E66" s="384" t="n"/>
      <c r="F66" s="384" t="n"/>
      <c r="G66" s="384" t="n"/>
      <c r="H66" s="384" t="n"/>
      <c r="I66" s="384" t="n"/>
      <c r="J66" s="384" t="n"/>
      <c r="K66" s="384" t="n"/>
      <c r="L66" s="384" t="n"/>
      <c r="M66" s="384" t="n"/>
      <c r="N66" s="384" t="n"/>
      <c r="O66" s="384" t="n"/>
      <c r="P66" s="384" t="n"/>
      <c r="Q66" s="384" t="n"/>
      <c r="R66" s="384" t="n"/>
      <c r="S66" s="384" t="n"/>
      <c r="T66" s="384" t="n"/>
      <c r="U66" s="384" t="n"/>
      <c r="V66" s="384" t="n"/>
      <c r="W66" s="384" t="n"/>
      <c r="X66" s="645">
        <f>IF(_epmOfflineCondition_,"I_E100005",EPMOlapMemberO("[C_INTERCO].[PARENTH1].[I_E100005]","","I_E100005","","000"))</f>
        <v/>
      </c>
      <c r="Y66" s="870">
        <f>IF(_epmOfflineCondition_,"北京京桥热电有限责任公司",EPMMemberDesc(X66))</f>
        <v/>
      </c>
      <c r="Z66" s="1302" t="n"/>
      <c r="AA66" s="1302" t="n"/>
      <c r="AB66" s="858" t="n"/>
      <c r="AC66" s="1302" t="n"/>
      <c r="AD66" s="1302" t="n"/>
      <c r="AE66" s="1302" t="inlineStr"/>
      <c r="AF66" s="1302" t="inlineStr"/>
      <c r="AG66" s="1302" t="inlineStr"/>
      <c r="AH66" s="1302" t="n"/>
      <c r="AI66" s="1302" t="n"/>
      <c r="AJ66" s="1302" t="n"/>
      <c r="AK66" s="1302">
        <f>AI66-AJ66</f>
        <v/>
      </c>
      <c r="AL66" s="858" t="n"/>
      <c r="AM66" s="1297" t="inlineStr"/>
      <c r="AN66" s="1298" t="n"/>
      <c r="AO66" s="13">
        <f>IF(_epmOfflineCondition_,0,EPMSaveDataOnly(AB66,,AB$29,AB$25,AB$26,AB$31,AB$32,$AA$37,AO$14,AO$15,AO$16,AO$17,AO$18,X66))</f>
        <v/>
      </c>
      <c r="AP66" s="13">
        <f>IF(_epmOfflineCondition_,0,EPMSaveDataOnly(AL66,,AL$29,AL$25,AL$26,AL$31,AL$32,$AA$37,AP$14,AP$15,AP$16,AP$17,AP$18,$X66))</f>
        <v/>
      </c>
      <c r="AQ66" s="13">
        <f>IF(_epmOfflineCondition_,0,EPMSaveData(AM66,,AM$29,AM$25,AM$26,$C$6,AM$32,$AA$37,AQ$14,AQ$15,AQ$16,AQ$17,AQ$18,$X66))</f>
        <v/>
      </c>
      <c r="AR66" s="13">
        <f>IF(_epmOfflineCondition_,0,EPMSaveDataOnly(AN66,,AN$29,AN$25,AN$26,AN$31,AN$32,$AA$37,AR$14,AR$15,AR$16,AR$17,AR$18,$X66))</f>
        <v/>
      </c>
      <c r="AS66" s="384" t="n"/>
    </row>
    <row r="67" hidden="1" ht="15.75" customHeight="1" s="1181">
      <c r="A67" s="384" t="n"/>
      <c r="B67" s="384" t="n"/>
      <c r="C67" s="384" t="n"/>
      <c r="D67" s="384" t="n"/>
      <c r="E67" s="384" t="n"/>
      <c r="F67" s="384" t="n"/>
      <c r="G67" s="384" t="n"/>
      <c r="H67" s="384" t="n"/>
      <c r="I67" s="384" t="n"/>
      <c r="J67" s="384" t="n"/>
      <c r="K67" s="384" t="n"/>
      <c r="L67" s="384" t="n"/>
      <c r="M67" s="384" t="n"/>
      <c r="N67" s="384" t="n"/>
      <c r="O67" s="384" t="n"/>
      <c r="P67" s="384" t="n"/>
      <c r="Q67" s="384" t="n"/>
      <c r="R67" s="384" t="n"/>
      <c r="S67" s="384" t="n"/>
      <c r="T67" s="384" t="n"/>
      <c r="U67" s="384" t="n"/>
      <c r="V67" s="384" t="n"/>
      <c r="W67" s="384" t="n"/>
      <c r="X67" s="645">
        <f>IF(_epmOfflineCondition_,"I_E100006",EPMOlapMemberO("[C_INTERCO].[PARENTH1].[I_E100006]","","I_E100006","","000"))</f>
        <v/>
      </c>
      <c r="Y67" s="870">
        <f>IF(_epmOfflineCondition_,"北京京西燃气热电有限公司",EPMMemberDesc(X67))</f>
        <v/>
      </c>
      <c r="Z67" s="1302" t="n"/>
      <c r="AA67" s="1302" t="n"/>
      <c r="AB67" s="858" t="n"/>
      <c r="AC67" s="1302" t="n"/>
      <c r="AD67" s="1302" t="n"/>
      <c r="AE67" s="1302" t="inlineStr"/>
      <c r="AF67" s="1302" t="inlineStr"/>
      <c r="AG67" s="1302" t="inlineStr"/>
      <c r="AH67" s="1302" t="n"/>
      <c r="AI67" s="1302" t="n"/>
      <c r="AJ67" s="1302" t="n"/>
      <c r="AK67" s="1302">
        <f>AI67-AJ67</f>
        <v/>
      </c>
      <c r="AL67" s="858" t="n"/>
      <c r="AM67" s="1297" t="inlineStr"/>
      <c r="AN67" s="1298" t="n"/>
      <c r="AO67" s="13">
        <f>IF(_epmOfflineCondition_,0,EPMSaveDataOnly(AB67,,AB$29,AB$25,AB$26,AB$31,AB$32,$AA$37,AO$14,AO$15,AO$16,AO$17,AO$18,X67))</f>
        <v/>
      </c>
      <c r="AP67" s="13">
        <f>IF(_epmOfflineCondition_,0,EPMSaveDataOnly(AL67,,AL$29,AL$25,AL$26,AL$31,AL$32,$AA$37,AP$14,AP$15,AP$16,AP$17,AP$18,$X67))</f>
        <v/>
      </c>
      <c r="AQ67" s="13">
        <f>IF(_epmOfflineCondition_,0,EPMSaveData(AM67,,AM$29,AM$25,AM$26,$C$6,AM$32,$AA$37,AQ$14,AQ$15,AQ$16,AQ$17,AQ$18,$X67))</f>
        <v/>
      </c>
      <c r="AR67" s="13">
        <f>IF(_epmOfflineCondition_,0,EPMSaveDataOnly(AN67,,AN$29,AN$25,AN$26,AN$31,AN$32,$AA$37,AR$14,AR$15,AR$16,AR$17,AR$18,$X67))</f>
        <v/>
      </c>
      <c r="AS67" s="384" t="n"/>
    </row>
    <row r="68" hidden="1" ht="15.75" customHeight="1" s="1181">
      <c r="A68" s="384" t="n"/>
      <c r="B68" s="384" t="n"/>
      <c r="C68" s="384" t="n"/>
      <c r="D68" s="384" t="n"/>
      <c r="E68" s="384" t="n"/>
      <c r="F68" s="384" t="n"/>
      <c r="G68" s="384" t="n"/>
      <c r="H68" s="384" t="n"/>
      <c r="I68" s="384" t="n"/>
      <c r="J68" s="384" t="n"/>
      <c r="K68" s="384" t="n"/>
      <c r="L68" s="384" t="n"/>
      <c r="M68" s="384" t="n"/>
      <c r="N68" s="384" t="n"/>
      <c r="O68" s="384" t="n"/>
      <c r="P68" s="384" t="n"/>
      <c r="Q68" s="384" t="n"/>
      <c r="R68" s="384" t="n"/>
      <c r="S68" s="384" t="n"/>
      <c r="T68" s="384" t="n"/>
      <c r="U68" s="384" t="n"/>
      <c r="V68" s="384" t="n"/>
      <c r="W68" s="384" t="n"/>
      <c r="X68" s="645">
        <f>IF(_epmOfflineCondition_,"I_E100007",EPMOlapMemberO("[C_INTERCO].[PARENTH1].[I_E100007]","","I_E100007","","000"))</f>
        <v/>
      </c>
      <c r="Y68" s="870">
        <f>IF(_epmOfflineCondition_,"北京京西发电有限责任公司",EPMMemberDesc(X68))</f>
        <v/>
      </c>
      <c r="Z68" s="1302" t="n"/>
      <c r="AA68" s="1302" t="n"/>
      <c r="AB68" s="858" t="n"/>
      <c r="AC68" s="1302" t="n"/>
      <c r="AD68" s="1302" t="n"/>
      <c r="AE68" s="1302" t="inlineStr"/>
      <c r="AF68" s="1302" t="inlineStr"/>
      <c r="AG68" s="1302" t="inlineStr"/>
      <c r="AH68" s="1302" t="n"/>
      <c r="AI68" s="1302" t="n"/>
      <c r="AJ68" s="1302" t="n"/>
      <c r="AK68" s="1302">
        <f>AI68-AJ68</f>
        <v/>
      </c>
      <c r="AL68" s="858" t="n"/>
      <c r="AM68" s="1297" t="inlineStr"/>
      <c r="AN68" s="1298" t="n"/>
      <c r="AO68" s="13">
        <f>IF(_epmOfflineCondition_,0,EPMSaveDataOnly(AB68,,AB$29,AB$25,AB$26,AB$31,AB$32,$AA$37,AO$14,AO$15,AO$16,AO$17,AO$18,X68))</f>
        <v/>
      </c>
      <c r="AP68" s="13">
        <f>IF(_epmOfflineCondition_,0,EPMSaveDataOnly(AL68,,AL$29,AL$25,AL$26,AL$31,AL$32,$AA$37,AP$14,AP$15,AP$16,AP$17,AP$18,$X68))</f>
        <v/>
      </c>
      <c r="AQ68" s="13">
        <f>IF(_epmOfflineCondition_,0,EPMSaveData(AM68,,AM$29,AM$25,AM$26,$C$6,AM$32,$AA$37,AQ$14,AQ$15,AQ$16,AQ$17,AQ$18,$X68))</f>
        <v/>
      </c>
      <c r="AR68" s="13">
        <f>IF(_epmOfflineCondition_,0,EPMSaveDataOnly(AN68,,AN$29,AN$25,AN$26,AN$31,AN$32,$AA$37,AR$14,AR$15,AR$16,AR$17,AR$18,$X68))</f>
        <v/>
      </c>
      <c r="AS68" s="384" t="n"/>
    </row>
    <row r="69" hidden="1" ht="15.75" customHeight="1" s="1181">
      <c r="A69" s="384" t="n"/>
      <c r="B69" s="384" t="n"/>
      <c r="C69" s="384" t="n"/>
      <c r="D69" s="384" t="n"/>
      <c r="E69" s="384" t="n"/>
      <c r="F69" s="384" t="n"/>
      <c r="G69" s="384" t="n"/>
      <c r="H69" s="384" t="n"/>
      <c r="I69" s="384" t="n"/>
      <c r="J69" s="384" t="n"/>
      <c r="K69" s="384" t="n"/>
      <c r="L69" s="384" t="n"/>
      <c r="M69" s="384" t="n"/>
      <c r="N69" s="384" t="n"/>
      <c r="O69" s="384" t="n"/>
      <c r="P69" s="384" t="n"/>
      <c r="Q69" s="384" t="n"/>
      <c r="R69" s="384" t="n"/>
      <c r="S69" s="384" t="n"/>
      <c r="T69" s="384" t="n"/>
      <c r="U69" s="384" t="n"/>
      <c r="V69" s="384" t="n"/>
      <c r="W69" s="384" t="n"/>
      <c r="X69" s="645">
        <f>IF(_epmOfflineCondition_,"I_E100008",EPMOlapMemberO("[C_INTERCO].[PARENTH1].[I_E100008]","","I_E100008","","000"))</f>
        <v/>
      </c>
      <c r="Y69" s="870">
        <f>IF(_epmOfflineCondition_,"北京太阳宫燃气热电有限公司",EPMMemberDesc(X69))</f>
        <v/>
      </c>
      <c r="Z69" s="1302" t="n"/>
      <c r="AA69" s="1302" t="n"/>
      <c r="AB69" s="858" t="n"/>
      <c r="AC69" s="1302" t="n"/>
      <c r="AD69" s="1302" t="n"/>
      <c r="AE69" s="1302" t="inlineStr"/>
      <c r="AF69" s="1302" t="inlineStr"/>
      <c r="AG69" s="1302" t="inlineStr"/>
      <c r="AH69" s="1302" t="n"/>
      <c r="AI69" s="1302" t="n"/>
      <c r="AJ69" s="1302" t="n"/>
      <c r="AK69" s="1302">
        <f>AI69-AJ69</f>
        <v/>
      </c>
      <c r="AL69" s="858" t="n"/>
      <c r="AM69" s="1297" t="inlineStr"/>
      <c r="AN69" s="1298" t="n"/>
      <c r="AO69" s="13">
        <f>IF(_epmOfflineCondition_,0,EPMSaveDataOnly(AB69,,AB$29,AB$25,AB$26,AB$31,AB$32,$AA$37,AO$14,AO$15,AO$16,AO$17,AO$18,X69))</f>
        <v/>
      </c>
      <c r="AP69" s="13">
        <f>IF(_epmOfflineCondition_,0,EPMSaveDataOnly(AL69,,AL$29,AL$25,AL$26,AL$31,AL$32,$AA$37,AP$14,AP$15,AP$16,AP$17,AP$18,$X69))</f>
        <v/>
      </c>
      <c r="AQ69" s="13">
        <f>IF(_epmOfflineCondition_,0,EPMSaveData(AM69,,AM$29,AM$25,AM$26,$C$6,AM$32,$AA$37,AQ$14,AQ$15,AQ$16,AQ$17,AQ$18,$X69))</f>
        <v/>
      </c>
      <c r="AR69" s="13">
        <f>IF(_epmOfflineCondition_,0,EPMSaveDataOnly(AN69,,AN$29,AN$25,AN$26,AN$31,AN$32,$AA$37,AR$14,AR$15,AR$16,AR$17,AR$18,$X69))</f>
        <v/>
      </c>
      <c r="AS69" s="384" t="n"/>
    </row>
    <row r="70" hidden="1" ht="15.75" customHeight="1" s="1181">
      <c r="A70" s="384" t="n"/>
      <c r="B70" s="384" t="n"/>
      <c r="C70" s="384" t="n"/>
      <c r="D70" s="384" t="n"/>
      <c r="E70" s="384" t="n"/>
      <c r="F70" s="384" t="n"/>
      <c r="G70" s="384" t="n"/>
      <c r="H70" s="384" t="n"/>
      <c r="I70" s="384" t="n"/>
      <c r="J70" s="384" t="n"/>
      <c r="K70" s="384" t="n"/>
      <c r="L70" s="384" t="n"/>
      <c r="M70" s="384" t="n"/>
      <c r="N70" s="384" t="n"/>
      <c r="O70" s="384" t="n"/>
      <c r="P70" s="384" t="n"/>
      <c r="Q70" s="384" t="n"/>
      <c r="R70" s="384" t="n"/>
      <c r="S70" s="384" t="n"/>
      <c r="T70" s="384" t="n"/>
      <c r="U70" s="384" t="n"/>
      <c r="V70" s="384" t="n"/>
      <c r="W70" s="384" t="n"/>
      <c r="X70" s="645">
        <f>IF(_epmOfflineCondition_,"I_E100009",EPMOlapMemberO("[C_INTERCO].[PARENTH1].[I_E100009]","","I_E100009","","000"))</f>
        <v/>
      </c>
      <c r="Y70" s="870">
        <f>IF(_epmOfflineCondition_,"北京上庄燃气热电有限公司",EPMMemberDesc(X70))</f>
        <v/>
      </c>
      <c r="Z70" s="1302" t="n"/>
      <c r="AA70" s="1302" t="n"/>
      <c r="AB70" s="858" t="n"/>
      <c r="AC70" s="1302" t="n"/>
      <c r="AD70" s="1302" t="n"/>
      <c r="AE70" s="1302" t="inlineStr"/>
      <c r="AF70" s="1302" t="inlineStr"/>
      <c r="AG70" s="1302" t="inlineStr"/>
      <c r="AH70" s="1302" t="n"/>
      <c r="AI70" s="1302" t="n"/>
      <c r="AJ70" s="1302" t="n"/>
      <c r="AK70" s="1302">
        <f>AI70-AJ70</f>
        <v/>
      </c>
      <c r="AL70" s="858" t="n"/>
      <c r="AM70" s="1297" t="inlineStr"/>
      <c r="AN70" s="1298" t="n"/>
      <c r="AO70" s="13">
        <f>IF(_epmOfflineCondition_,0,EPMSaveDataOnly(AB70,,AB$29,AB$25,AB$26,AB$31,AB$32,$AA$37,AO$14,AO$15,AO$16,AO$17,AO$18,X70))</f>
        <v/>
      </c>
      <c r="AP70" s="13">
        <f>IF(_epmOfflineCondition_,0,EPMSaveDataOnly(AL70,,AL$29,AL$25,AL$26,AL$31,AL$32,$AA$37,AP$14,AP$15,AP$16,AP$17,AP$18,$X70))</f>
        <v/>
      </c>
      <c r="AQ70" s="13">
        <f>IF(_epmOfflineCondition_,0,EPMSaveData(AM70,,AM$29,AM$25,AM$26,$C$6,AM$32,$AA$37,AQ$14,AQ$15,AQ$16,AQ$17,AQ$18,$X70))</f>
        <v/>
      </c>
      <c r="AR70" s="13">
        <f>IF(_epmOfflineCondition_,0,EPMSaveDataOnly(AN70,,AN$29,AN$25,AN$26,AN$31,AN$32,$AA$37,AR$14,AR$15,AR$16,AR$17,AR$18,$X70))</f>
        <v/>
      </c>
      <c r="AS70" s="384" t="n"/>
    </row>
    <row r="71" hidden="1" ht="15.75" customHeight="1" s="1181">
      <c r="A71" s="384" t="n"/>
      <c r="B71" s="384" t="n"/>
      <c r="C71" s="384" t="n"/>
      <c r="D71" s="384" t="n"/>
      <c r="E71" s="384" t="n"/>
      <c r="F71" s="384" t="n"/>
      <c r="G71" s="384" t="n"/>
      <c r="H71" s="384" t="n"/>
      <c r="I71" s="384" t="n"/>
      <c r="J71" s="384" t="n"/>
      <c r="K71" s="384" t="n"/>
      <c r="L71" s="384" t="n"/>
      <c r="M71" s="384" t="n"/>
      <c r="N71" s="384" t="n"/>
      <c r="O71" s="384" t="n"/>
      <c r="P71" s="384" t="n"/>
      <c r="Q71" s="384" t="n"/>
      <c r="R71" s="384" t="n"/>
      <c r="S71" s="384" t="n"/>
      <c r="T71" s="384" t="n"/>
      <c r="U71" s="384" t="n"/>
      <c r="V71" s="384" t="n"/>
      <c r="W71" s="384" t="n"/>
      <c r="X71" s="645">
        <f>IF(_epmOfflineCondition_,"I_E100010",EPMOlapMemberO("[C_INTERCO].[PARENTH1].[I_E100010]","","I_E100010","","000"))</f>
        <v/>
      </c>
      <c r="Y71" s="870">
        <f>IF(_epmOfflineCondition_,"北京京能未来燃气热电有限公司",EPMMemberDesc(X71))</f>
        <v/>
      </c>
      <c r="Z71" s="1302" t="n"/>
      <c r="AA71" s="1302" t="n"/>
      <c r="AB71" s="858" t="n"/>
      <c r="AC71" s="1302" t="n"/>
      <c r="AD71" s="1302" t="n"/>
      <c r="AE71" s="1302" t="inlineStr"/>
      <c r="AF71" s="1302" t="inlineStr"/>
      <c r="AG71" s="1302" t="inlineStr"/>
      <c r="AH71" s="1302" t="n"/>
      <c r="AI71" s="1302" t="n"/>
      <c r="AJ71" s="1302" t="n"/>
      <c r="AK71" s="1302">
        <f>AI71-AJ71</f>
        <v/>
      </c>
      <c r="AL71" s="858" t="n"/>
      <c r="AM71" s="1297" t="inlineStr"/>
      <c r="AN71" s="1298" t="n"/>
      <c r="AO71" s="13">
        <f>IF(_epmOfflineCondition_,0,EPMSaveDataOnly(AB71,,AB$29,AB$25,AB$26,AB$31,AB$32,$AA$37,AO$14,AO$15,AO$16,AO$17,AO$18,X71))</f>
        <v/>
      </c>
      <c r="AP71" s="13">
        <f>IF(_epmOfflineCondition_,0,EPMSaveDataOnly(AL71,,AL$29,AL$25,AL$26,AL$31,AL$32,$AA$37,AP$14,AP$15,AP$16,AP$17,AP$18,$X71))</f>
        <v/>
      </c>
      <c r="AQ71" s="13">
        <f>IF(_epmOfflineCondition_,0,EPMSaveData(AM71,,AM$29,AM$25,AM$26,$C$6,AM$32,$AA$37,AQ$14,AQ$15,AQ$16,AQ$17,AQ$18,$X71))</f>
        <v/>
      </c>
      <c r="AR71" s="13">
        <f>IF(_epmOfflineCondition_,0,EPMSaveDataOnly(AN71,,AN$29,AN$25,AN$26,AN$31,AN$32,$AA$37,AR$14,AR$15,AR$16,AR$17,AR$18,$X71))</f>
        <v/>
      </c>
      <c r="AS71" s="384" t="n"/>
    </row>
    <row r="72" hidden="1" ht="15.75" customHeight="1" s="1181">
      <c r="A72" s="384" t="n"/>
      <c r="B72" s="384" t="n"/>
      <c r="C72" s="384" t="n"/>
      <c r="D72" s="384" t="n"/>
      <c r="E72" s="384" t="n"/>
      <c r="F72" s="384" t="n"/>
      <c r="G72" s="384" t="n"/>
      <c r="H72" s="384" t="n"/>
      <c r="I72" s="384" t="n"/>
      <c r="J72" s="384" t="n"/>
      <c r="K72" s="384" t="n"/>
      <c r="L72" s="384" t="n"/>
      <c r="M72" s="384" t="n"/>
      <c r="N72" s="384" t="n"/>
      <c r="O72" s="384" t="n"/>
      <c r="P72" s="384" t="n"/>
      <c r="Q72" s="384" t="n"/>
      <c r="R72" s="384" t="n"/>
      <c r="S72" s="384" t="n"/>
      <c r="T72" s="384" t="n"/>
      <c r="U72" s="384" t="n"/>
      <c r="V72" s="384" t="n"/>
      <c r="W72" s="384" t="n"/>
      <c r="X72" s="645">
        <f>IF(_epmOfflineCondition_,"I_E100011",EPMOlapMemberO("[C_INTERCO].[PARENTH1].[I_E100011]","","I_E100011","","000"))</f>
        <v/>
      </c>
      <c r="Y72" s="870">
        <f>IF(_epmOfflineCondition_,"深圳钰湖电力有限公司",EPMMemberDesc(X72))</f>
        <v/>
      </c>
      <c r="Z72" s="1302" t="n"/>
      <c r="AA72" s="1302" t="n"/>
      <c r="AB72" s="858" t="n"/>
      <c r="AC72" s="1302" t="n"/>
      <c r="AD72" s="1302" t="n"/>
      <c r="AE72" s="1302" t="inlineStr"/>
      <c r="AF72" s="1302" t="inlineStr"/>
      <c r="AG72" s="1302" t="inlineStr"/>
      <c r="AH72" s="1302" t="n"/>
      <c r="AI72" s="1302" t="n"/>
      <c r="AJ72" s="1302" t="n"/>
      <c r="AK72" s="1302">
        <f>AI72-AJ72</f>
        <v/>
      </c>
      <c r="AL72" s="858" t="n"/>
      <c r="AM72" s="1297" t="inlineStr"/>
      <c r="AN72" s="1298" t="n"/>
      <c r="AO72" s="13">
        <f>IF(_epmOfflineCondition_,0,EPMSaveDataOnly(AB72,,AB$29,AB$25,AB$26,AB$31,AB$32,$AA$37,AO$14,AO$15,AO$16,AO$17,AO$18,X72))</f>
        <v/>
      </c>
      <c r="AP72" s="13">
        <f>IF(_epmOfflineCondition_,0,EPMSaveDataOnly(AL72,,AL$29,AL$25,AL$26,AL$31,AL$32,$AA$37,AP$14,AP$15,AP$16,AP$17,AP$18,$X72))</f>
        <v/>
      </c>
      <c r="AQ72" s="13">
        <f>IF(_epmOfflineCondition_,0,EPMSaveData(AM72,,AM$29,AM$25,AM$26,$C$6,AM$32,$AA$37,AQ$14,AQ$15,AQ$16,AQ$17,AQ$18,$X72))</f>
        <v/>
      </c>
      <c r="AR72" s="13">
        <f>IF(_epmOfflineCondition_,0,EPMSaveDataOnly(AN72,,AN$29,AN$25,AN$26,AN$31,AN$32,$AA$37,AR$14,AR$15,AR$16,AR$17,AR$18,$X72))</f>
        <v/>
      </c>
      <c r="AS72" s="384" t="n"/>
    </row>
    <row r="73" hidden="1" ht="15.75" customHeight="1" s="1181">
      <c r="A73" s="384" t="n"/>
      <c r="B73" s="384" t="n"/>
      <c r="C73" s="384" t="n"/>
      <c r="D73" s="384" t="n"/>
      <c r="E73" s="384" t="n"/>
      <c r="F73" s="384" t="n"/>
      <c r="G73" s="384" t="n"/>
      <c r="H73" s="384" t="n"/>
      <c r="I73" s="384" t="n"/>
      <c r="J73" s="384" t="n"/>
      <c r="K73" s="384" t="n"/>
      <c r="L73" s="384" t="n"/>
      <c r="M73" s="384" t="n"/>
      <c r="N73" s="384" t="n"/>
      <c r="O73" s="384" t="n"/>
      <c r="P73" s="384" t="n"/>
      <c r="Q73" s="384" t="n"/>
      <c r="R73" s="384" t="n"/>
      <c r="S73" s="384" t="n"/>
      <c r="T73" s="384" t="n"/>
      <c r="U73" s="384" t="n"/>
      <c r="V73" s="384" t="n"/>
      <c r="W73" s="384" t="n"/>
      <c r="X73" s="645">
        <f>IF(_epmOfflineCondition_,"I_E100012",EPMOlapMemberO("[C_INTERCO].[PARENTH1].[I_E100012]","","I_E100012","","000"))</f>
        <v/>
      </c>
      <c r="Y73" s="870">
        <f>IF(_epmOfflineCondition_,"珠海市钰海电力有限公司",EPMMemberDesc(X73))</f>
        <v/>
      </c>
      <c r="Z73" s="1302" t="n"/>
      <c r="AA73" s="1302" t="n"/>
      <c r="AB73" s="858" t="n"/>
      <c r="AC73" s="1302" t="n"/>
      <c r="AD73" s="1302" t="n"/>
      <c r="AE73" s="1302" t="inlineStr"/>
      <c r="AF73" s="1302" t="inlineStr"/>
      <c r="AG73" s="1302" t="inlineStr"/>
      <c r="AH73" s="1302" t="n"/>
      <c r="AI73" s="1302" t="n"/>
      <c r="AJ73" s="1302" t="n"/>
      <c r="AK73" s="1302">
        <f>AI73-AJ73</f>
        <v/>
      </c>
      <c r="AL73" s="858" t="n"/>
      <c r="AM73" s="1297" t="inlineStr"/>
      <c r="AN73" s="1298" t="n"/>
      <c r="AO73" s="13">
        <f>IF(_epmOfflineCondition_,0,EPMSaveDataOnly(AB73,,AB$29,AB$25,AB$26,AB$31,AB$32,$AA$37,AO$14,AO$15,AO$16,AO$17,AO$18,X73))</f>
        <v/>
      </c>
      <c r="AP73" s="13">
        <f>IF(_epmOfflineCondition_,0,EPMSaveDataOnly(AL73,,AL$29,AL$25,AL$26,AL$31,AL$32,$AA$37,AP$14,AP$15,AP$16,AP$17,AP$18,$X73))</f>
        <v/>
      </c>
      <c r="AQ73" s="13">
        <f>IF(_epmOfflineCondition_,0,EPMSaveData(AM73,,AM$29,AM$25,AM$26,$C$6,AM$32,$AA$37,AQ$14,AQ$15,AQ$16,AQ$17,AQ$18,$X73))</f>
        <v/>
      </c>
      <c r="AR73" s="13">
        <f>IF(_epmOfflineCondition_,0,EPMSaveDataOnly(AN73,,AN$29,AN$25,AN$26,AN$31,AN$32,$AA$37,AR$14,AR$15,AR$16,AR$17,AR$18,$X73))</f>
        <v/>
      </c>
      <c r="AS73" s="384" t="n"/>
    </row>
    <row r="74" hidden="1" ht="15.75" customHeight="1" s="1181">
      <c r="A74" s="384" t="n"/>
      <c r="B74" s="384" t="n"/>
      <c r="C74" s="384" t="n"/>
      <c r="D74" s="384" t="n"/>
      <c r="E74" s="384" t="n"/>
      <c r="F74" s="384" t="n"/>
      <c r="G74" s="384" t="n"/>
      <c r="H74" s="384" t="n"/>
      <c r="I74" s="384" t="n"/>
      <c r="J74" s="384" t="n"/>
      <c r="K74" s="384" t="n"/>
      <c r="L74" s="384" t="n"/>
      <c r="M74" s="384" t="n"/>
      <c r="N74" s="384" t="n"/>
      <c r="O74" s="384" t="n"/>
      <c r="P74" s="384" t="n"/>
      <c r="Q74" s="384" t="n"/>
      <c r="R74" s="384" t="n"/>
      <c r="S74" s="384" t="n"/>
      <c r="T74" s="384" t="n"/>
      <c r="U74" s="384" t="n"/>
      <c r="V74" s="384" t="n"/>
      <c r="W74" s="384" t="n"/>
      <c r="X74" s="645">
        <f>IF(_epmOfflineCondition_,"I_E100013",EPMOlapMemberO("[C_INTERCO].[PARENTH1].[I_E100013]","","I_E100013","","000"))</f>
        <v/>
      </c>
      <c r="Y74" s="870">
        <f>IF(_epmOfflineCondition_,"北京京能清洁能源电力股份有限公司北京分公司",EPMMemberDesc(X74))</f>
        <v/>
      </c>
      <c r="Z74" s="1302" t="n"/>
      <c r="AA74" s="1302" t="n"/>
      <c r="AB74" s="858" t="n"/>
      <c r="AC74" s="1302" t="n"/>
      <c r="AD74" s="1302" t="n"/>
      <c r="AE74" s="1302" t="inlineStr"/>
      <c r="AF74" s="1302" t="inlineStr"/>
      <c r="AG74" s="1302" t="inlineStr"/>
      <c r="AH74" s="1302" t="n"/>
      <c r="AI74" s="1302" t="n"/>
      <c r="AJ74" s="1302" t="n"/>
      <c r="AK74" s="1302">
        <f>AI74-AJ74</f>
        <v/>
      </c>
      <c r="AL74" s="858" t="n"/>
      <c r="AM74" s="1297" t="inlineStr"/>
      <c r="AN74" s="1298" t="n"/>
      <c r="AO74" s="13">
        <f>IF(_epmOfflineCondition_,0,EPMSaveDataOnly(AB74,,AB$29,AB$25,AB$26,AB$31,AB$32,$AA$37,AO$14,AO$15,AO$16,AO$17,AO$18,X74))</f>
        <v/>
      </c>
      <c r="AP74" s="13">
        <f>IF(_epmOfflineCondition_,0,EPMSaveDataOnly(AL74,,AL$29,AL$25,AL$26,AL$31,AL$32,$AA$37,AP$14,AP$15,AP$16,AP$17,AP$18,$X74))</f>
        <v/>
      </c>
      <c r="AQ74" s="13">
        <f>IF(_epmOfflineCondition_,0,EPMSaveData(AM74,,AM$29,AM$25,AM$26,$C$6,AM$32,$AA$37,AQ$14,AQ$15,AQ$16,AQ$17,AQ$18,$X74))</f>
        <v/>
      </c>
      <c r="AR74" s="13">
        <f>IF(_epmOfflineCondition_,0,EPMSaveDataOnly(AN74,,AN$29,AN$25,AN$26,AN$31,AN$32,$AA$37,AR$14,AR$15,AR$16,AR$17,AR$18,$X74))</f>
        <v/>
      </c>
      <c r="AS74" s="384" t="n"/>
    </row>
    <row r="75" hidden="1" ht="15.75" customHeight="1" s="1181">
      <c r="A75" s="384" t="n"/>
      <c r="B75" s="384" t="n"/>
      <c r="C75" s="384" t="n"/>
      <c r="D75" s="384" t="n"/>
      <c r="E75" s="384" t="n"/>
      <c r="F75" s="384" t="n"/>
      <c r="G75" s="384" t="n"/>
      <c r="H75" s="384" t="n"/>
      <c r="I75" s="384" t="n"/>
      <c r="J75" s="384" t="n"/>
      <c r="K75" s="384" t="n"/>
      <c r="L75" s="384" t="n"/>
      <c r="M75" s="384" t="n"/>
      <c r="N75" s="384" t="n"/>
      <c r="O75" s="384" t="n"/>
      <c r="P75" s="384" t="n"/>
      <c r="Q75" s="384" t="n"/>
      <c r="R75" s="384" t="n"/>
      <c r="S75" s="384" t="n"/>
      <c r="T75" s="384" t="n"/>
      <c r="U75" s="384" t="n"/>
      <c r="V75" s="384" t="n"/>
      <c r="W75" s="384" t="n"/>
      <c r="X75" s="645">
        <f>IF(_epmOfflineCondition_,"I_E100014",EPMOlapMemberO("[C_INTERCO].[PARENTH1].[I_E100014]","","I_E100014","","000"))</f>
        <v/>
      </c>
      <c r="Y75" s="870">
        <f>IF(_epmOfflineCondition_,"北京京能新能源有限公司",EPMMemberDesc(X75))</f>
        <v/>
      </c>
      <c r="Z75" s="1302" t="n"/>
      <c r="AA75" s="1302" t="n"/>
      <c r="AB75" s="858" t="n"/>
      <c r="AC75" s="1302" t="n"/>
      <c r="AD75" s="1302" t="n"/>
      <c r="AE75" s="1302" t="inlineStr"/>
      <c r="AF75" s="1302" t="inlineStr"/>
      <c r="AG75" s="1302" t="inlineStr"/>
      <c r="AH75" s="1302" t="n"/>
      <c r="AI75" s="1302" t="n"/>
      <c r="AJ75" s="1302" t="n"/>
      <c r="AK75" s="1302">
        <f>AI75-AJ75</f>
        <v/>
      </c>
      <c r="AL75" s="858" t="n"/>
      <c r="AM75" s="1297" t="inlineStr"/>
      <c r="AN75" s="1298" t="n"/>
      <c r="AO75" s="13">
        <f>IF(_epmOfflineCondition_,0,EPMSaveDataOnly(AB75,,AB$29,AB$25,AB$26,AB$31,AB$32,$AA$37,AO$14,AO$15,AO$16,AO$17,AO$18,X75))</f>
        <v/>
      </c>
      <c r="AP75" s="13">
        <f>IF(_epmOfflineCondition_,0,EPMSaveDataOnly(AL75,,AL$29,AL$25,AL$26,AL$31,AL$32,$AA$37,AP$14,AP$15,AP$16,AP$17,AP$18,$X75))</f>
        <v/>
      </c>
      <c r="AQ75" s="13">
        <f>IF(_epmOfflineCondition_,0,EPMSaveData(AM75,,AM$29,AM$25,AM$26,$C$6,AM$32,$AA$37,AQ$14,AQ$15,AQ$16,AQ$17,AQ$18,$X75))</f>
        <v/>
      </c>
      <c r="AR75" s="13">
        <f>IF(_epmOfflineCondition_,0,EPMSaveDataOnly(AN75,,AN$29,AN$25,AN$26,AN$31,AN$32,$AA$37,AR$14,AR$15,AR$16,AR$17,AR$18,$X75))</f>
        <v/>
      </c>
      <c r="AS75" s="384" t="n"/>
    </row>
    <row r="76" hidden="1" ht="15.75" customHeight="1" s="1181">
      <c r="A76" s="384" t="n"/>
      <c r="B76" s="384" t="n"/>
      <c r="C76" s="384" t="n"/>
      <c r="D76" s="384" t="n"/>
      <c r="E76" s="384" t="n"/>
      <c r="F76" s="384" t="n"/>
      <c r="G76" s="384" t="n"/>
      <c r="H76" s="384" t="n"/>
      <c r="I76" s="384" t="n"/>
      <c r="J76" s="384" t="n"/>
      <c r="K76" s="384" t="n"/>
      <c r="L76" s="384" t="n"/>
      <c r="M76" s="384" t="n"/>
      <c r="N76" s="384" t="n"/>
      <c r="O76" s="384" t="n"/>
      <c r="P76" s="384" t="n"/>
      <c r="Q76" s="384" t="n"/>
      <c r="R76" s="384" t="n"/>
      <c r="S76" s="384" t="n"/>
      <c r="T76" s="384" t="n"/>
      <c r="U76" s="384" t="n"/>
      <c r="V76" s="384" t="n"/>
      <c r="W76" s="384" t="n"/>
      <c r="X76" s="645">
        <f>IF(_epmOfflineCondition_,"I_E100016",EPMOlapMemberO("[C_INTERCO].[PARENTH1].[I_E100016]","","I_E100016","","000"))</f>
        <v/>
      </c>
      <c r="Y76" s="870">
        <f>IF(_epmOfflineCondition_,"格尔木京能新能源有限公司",EPMMemberDesc(X76))</f>
        <v/>
      </c>
      <c r="Z76" s="1302" t="n"/>
      <c r="AA76" s="1302" t="n"/>
      <c r="AB76" s="858" t="n"/>
      <c r="AC76" s="1302" t="n"/>
      <c r="AD76" s="1302" t="n"/>
      <c r="AE76" s="1302" t="inlineStr"/>
      <c r="AF76" s="1302" t="inlineStr"/>
      <c r="AG76" s="1302" t="inlineStr"/>
      <c r="AH76" s="1302" t="n"/>
      <c r="AI76" s="1302" t="n"/>
      <c r="AJ76" s="1302" t="n"/>
      <c r="AK76" s="1302">
        <f>AI76-AJ76</f>
        <v/>
      </c>
      <c r="AL76" s="858" t="n"/>
      <c r="AM76" s="1297" t="inlineStr"/>
      <c r="AN76" s="1298" t="n"/>
      <c r="AO76" s="13">
        <f>IF(_epmOfflineCondition_,0,EPMSaveDataOnly(AB76,,AB$29,AB$25,AB$26,AB$31,AB$32,$AA$37,AO$14,AO$15,AO$16,AO$17,AO$18,X76))</f>
        <v/>
      </c>
      <c r="AP76" s="13">
        <f>IF(_epmOfflineCondition_,0,EPMSaveDataOnly(AL76,,AL$29,AL$25,AL$26,AL$31,AL$32,$AA$37,AP$14,AP$15,AP$16,AP$17,AP$18,$X76))</f>
        <v/>
      </c>
      <c r="AQ76" s="13">
        <f>IF(_epmOfflineCondition_,0,EPMSaveData(AM76,,AM$29,AM$25,AM$26,$C$6,AM$32,$AA$37,AQ$14,AQ$15,AQ$16,AQ$17,AQ$18,$X76))</f>
        <v/>
      </c>
      <c r="AR76" s="13">
        <f>IF(_epmOfflineCondition_,0,EPMSaveDataOnly(AN76,,AN$29,AN$25,AN$26,AN$31,AN$32,$AA$37,AR$14,AR$15,AR$16,AR$17,AR$18,$X76))</f>
        <v/>
      </c>
      <c r="AS76" s="384" t="n"/>
    </row>
    <row r="77" hidden="1" ht="15.75" customHeight="1" s="1181">
      <c r="A77" s="384" t="n"/>
      <c r="B77" s="384" t="n"/>
      <c r="C77" s="384" t="n"/>
      <c r="D77" s="384" t="n"/>
      <c r="E77" s="384" t="n"/>
      <c r="F77" s="384" t="n"/>
      <c r="G77" s="384" t="n"/>
      <c r="H77" s="384" t="n"/>
      <c r="I77" s="384" t="n"/>
      <c r="J77" s="384" t="n"/>
      <c r="K77" s="384" t="n"/>
      <c r="L77" s="384" t="n"/>
      <c r="M77" s="384" t="n"/>
      <c r="N77" s="384" t="n"/>
      <c r="O77" s="384" t="n"/>
      <c r="P77" s="384" t="n"/>
      <c r="Q77" s="384" t="n"/>
      <c r="R77" s="384" t="n"/>
      <c r="S77" s="384" t="n"/>
      <c r="T77" s="384" t="n"/>
      <c r="U77" s="384" t="n"/>
      <c r="V77" s="384" t="n"/>
      <c r="W77" s="384" t="n"/>
      <c r="X77" s="645">
        <f>IF(_epmOfflineCondition_,"I_E100017",EPMOlapMemberO("[C_INTERCO].[PARENTH1].[I_E100017]","","I_E100017","","000"))</f>
        <v/>
      </c>
      <c r="Y77" s="870">
        <f>IF(_epmOfflineCondition_,"海兴京兴新能源有限公司",EPMMemberDesc(X77))</f>
        <v/>
      </c>
      <c r="Z77" s="1302" t="n"/>
      <c r="AA77" s="1302" t="n"/>
      <c r="AB77" s="858" t="n"/>
      <c r="AC77" s="1302" t="n"/>
      <c r="AD77" s="1302" t="n"/>
      <c r="AE77" s="1302" t="inlineStr"/>
      <c r="AF77" s="1302" t="inlineStr"/>
      <c r="AG77" s="1302" t="inlineStr"/>
      <c r="AH77" s="1302" t="n"/>
      <c r="AI77" s="1302" t="n"/>
      <c r="AJ77" s="1302" t="n"/>
      <c r="AK77" s="1302">
        <f>AI77-AJ77</f>
        <v/>
      </c>
      <c r="AL77" s="858" t="n"/>
      <c r="AM77" s="1297" t="inlineStr"/>
      <c r="AN77" s="1298" t="n"/>
      <c r="AO77" s="13">
        <f>IF(_epmOfflineCondition_,0,EPMSaveDataOnly(AB77,,AB$29,AB$25,AB$26,AB$31,AB$32,$AA$37,AO$14,AO$15,AO$16,AO$17,AO$18,X77))</f>
        <v/>
      </c>
      <c r="AP77" s="13">
        <f>IF(_epmOfflineCondition_,0,EPMSaveDataOnly(AL77,,AL$29,AL$25,AL$26,AL$31,AL$32,$AA$37,AP$14,AP$15,AP$16,AP$17,AP$18,$X77))</f>
        <v/>
      </c>
      <c r="AQ77" s="13">
        <f>IF(_epmOfflineCondition_,0,EPMSaveData(AM77,,AM$29,AM$25,AM$26,$C$6,AM$32,$AA$37,AQ$14,AQ$15,AQ$16,AQ$17,AQ$18,$X77))</f>
        <v/>
      </c>
      <c r="AR77" s="13">
        <f>IF(_epmOfflineCondition_,0,EPMSaveDataOnly(AN77,,AN$29,AN$25,AN$26,AN$31,AN$32,$AA$37,AR$14,AR$15,AR$16,AR$17,AR$18,$X77))</f>
        <v/>
      </c>
      <c r="AS77" s="384" t="n"/>
    </row>
    <row r="78" hidden="1" ht="15.75" customHeight="1" s="1181">
      <c r="A78" s="384" t="n"/>
      <c r="B78" s="384" t="n"/>
      <c r="C78" s="384" t="n"/>
      <c r="D78" s="384" t="n"/>
      <c r="E78" s="384" t="n"/>
      <c r="F78" s="384" t="n"/>
      <c r="G78" s="384" t="n"/>
      <c r="H78" s="384" t="n"/>
      <c r="I78" s="384" t="n"/>
      <c r="J78" s="384" t="n"/>
      <c r="K78" s="384" t="n"/>
      <c r="L78" s="384" t="n"/>
      <c r="M78" s="384" t="n"/>
      <c r="N78" s="384" t="n"/>
      <c r="O78" s="384" t="n"/>
      <c r="P78" s="384" t="n"/>
      <c r="Q78" s="384" t="n"/>
      <c r="R78" s="384" t="n"/>
      <c r="S78" s="384" t="n"/>
      <c r="T78" s="384" t="n"/>
      <c r="U78" s="384" t="n"/>
      <c r="V78" s="384" t="n"/>
      <c r="W78" s="384" t="n"/>
      <c r="X78" s="645">
        <f>IF(_epmOfflineCondition_,"I_E100018",EPMOlapMemberO("[C_INTERCO].[PARENTH1].[I_E100018]","","I_E100018","","000"))</f>
        <v/>
      </c>
      <c r="Y78" s="870">
        <f>IF(_epmOfflineCondition_,"天津团泊昱合光伏科技有限公司",EPMMemberDesc(X78))</f>
        <v/>
      </c>
      <c r="Z78" s="1302" t="n"/>
      <c r="AA78" s="1302" t="n"/>
      <c r="AB78" s="858" t="n"/>
      <c r="AC78" s="1302" t="n"/>
      <c r="AD78" s="1302" t="n"/>
      <c r="AE78" s="1302" t="inlineStr"/>
      <c r="AF78" s="1302" t="inlineStr"/>
      <c r="AG78" s="1302" t="inlineStr"/>
      <c r="AH78" s="1302" t="n"/>
      <c r="AI78" s="1302" t="n"/>
      <c r="AJ78" s="1302" t="n"/>
      <c r="AK78" s="1302">
        <f>AI78-AJ78</f>
        <v/>
      </c>
      <c r="AL78" s="858" t="n"/>
      <c r="AM78" s="1297" t="inlineStr"/>
      <c r="AN78" s="1298" t="n"/>
      <c r="AO78" s="13">
        <f>IF(_epmOfflineCondition_,0,EPMSaveDataOnly(AB78,,AB$29,AB$25,AB$26,AB$31,AB$32,$AA$37,AO$14,AO$15,AO$16,AO$17,AO$18,X78))</f>
        <v/>
      </c>
      <c r="AP78" s="13">
        <f>IF(_epmOfflineCondition_,0,EPMSaveDataOnly(AL78,,AL$29,AL$25,AL$26,AL$31,AL$32,$AA$37,AP$14,AP$15,AP$16,AP$17,AP$18,$X78))</f>
        <v/>
      </c>
      <c r="AQ78" s="13">
        <f>IF(_epmOfflineCondition_,0,EPMSaveData(AM78,,AM$29,AM$25,AM$26,$C$6,AM$32,$AA$37,AQ$14,AQ$15,AQ$16,AQ$17,AQ$18,$X78))</f>
        <v/>
      </c>
      <c r="AR78" s="13">
        <f>IF(_epmOfflineCondition_,0,EPMSaveDataOnly(AN78,,AN$29,AN$25,AN$26,AN$31,AN$32,$AA$37,AR$14,AR$15,AR$16,AR$17,AR$18,$X78))</f>
        <v/>
      </c>
      <c r="AS78" s="384" t="n"/>
    </row>
    <row r="79" hidden="1" ht="15.75" customHeight="1" s="1181">
      <c r="A79" s="384" t="n"/>
      <c r="B79" s="384" t="n"/>
      <c r="C79" s="384" t="n"/>
      <c r="D79" s="384" t="n"/>
      <c r="E79" s="384" t="n"/>
      <c r="F79" s="384" t="n"/>
      <c r="G79" s="384" t="n"/>
      <c r="H79" s="384" t="n"/>
      <c r="I79" s="384" t="n"/>
      <c r="J79" s="384" t="n"/>
      <c r="K79" s="384" t="n"/>
      <c r="L79" s="384" t="n"/>
      <c r="M79" s="384" t="n"/>
      <c r="N79" s="384" t="n"/>
      <c r="O79" s="384" t="n"/>
      <c r="P79" s="384" t="n"/>
      <c r="Q79" s="384" t="n"/>
      <c r="R79" s="384" t="n"/>
      <c r="S79" s="384" t="n"/>
      <c r="T79" s="384" t="n"/>
      <c r="U79" s="384" t="n"/>
      <c r="V79" s="384" t="n"/>
      <c r="W79" s="384" t="n"/>
      <c r="X79" s="645">
        <f>IF(_epmOfflineCondition_,"I_E100019",EPMOlapMemberO("[C_INTERCO].[PARENTH1].[I_E100019]","","I_E100019","","000"))</f>
        <v/>
      </c>
      <c r="Y79" s="870">
        <f>IF(_epmOfflineCondition_,"天津团泊明瑞新能源有限公司",EPMMemberDesc(X79))</f>
        <v/>
      </c>
      <c r="Z79" s="1302" t="n"/>
      <c r="AA79" s="1302" t="n"/>
      <c r="AB79" s="858" t="n"/>
      <c r="AC79" s="1302" t="n"/>
      <c r="AD79" s="1302" t="n"/>
      <c r="AE79" s="1302" t="inlineStr"/>
      <c r="AF79" s="1302" t="inlineStr"/>
      <c r="AG79" s="1302" t="inlineStr"/>
      <c r="AH79" s="1302" t="n"/>
      <c r="AI79" s="1302" t="n"/>
      <c r="AJ79" s="1302" t="n"/>
      <c r="AK79" s="1302">
        <f>AI79-AJ79</f>
        <v/>
      </c>
      <c r="AL79" s="858" t="n"/>
      <c r="AM79" s="1297" t="inlineStr"/>
      <c r="AN79" s="1298" t="n"/>
      <c r="AO79" s="13">
        <f>IF(_epmOfflineCondition_,0,EPMSaveDataOnly(AB79,,AB$29,AB$25,AB$26,AB$31,AB$32,$AA$37,AO$14,AO$15,AO$16,AO$17,AO$18,X79))</f>
        <v/>
      </c>
      <c r="AP79" s="13">
        <f>IF(_epmOfflineCondition_,0,EPMSaveDataOnly(AL79,,AL$29,AL$25,AL$26,AL$31,AL$32,$AA$37,AP$14,AP$15,AP$16,AP$17,AP$18,$X79))</f>
        <v/>
      </c>
      <c r="AQ79" s="13">
        <f>IF(_epmOfflineCondition_,0,EPMSaveData(AM79,,AM$29,AM$25,AM$26,$C$6,AM$32,$AA$37,AQ$14,AQ$15,AQ$16,AQ$17,AQ$18,$X79))</f>
        <v/>
      </c>
      <c r="AR79" s="13">
        <f>IF(_epmOfflineCondition_,0,EPMSaveDataOnly(AN79,,AN$29,AN$25,AN$26,AN$31,AN$32,$AA$37,AR$14,AR$15,AR$16,AR$17,AR$18,$X79))</f>
        <v/>
      </c>
      <c r="AS79" s="384" t="n"/>
    </row>
    <row r="80" hidden="1" ht="15.75" customHeight="1" s="1181">
      <c r="A80" s="384" t="n"/>
      <c r="B80" s="384" t="n"/>
      <c r="C80" s="384" t="n"/>
      <c r="D80" s="384" t="n"/>
      <c r="E80" s="384" t="n"/>
      <c r="F80" s="384" t="n"/>
      <c r="G80" s="384" t="n"/>
      <c r="H80" s="384" t="n"/>
      <c r="I80" s="384" t="n"/>
      <c r="J80" s="384" t="n"/>
      <c r="K80" s="384" t="n"/>
      <c r="L80" s="384" t="n"/>
      <c r="M80" s="384" t="n"/>
      <c r="N80" s="384" t="n"/>
      <c r="O80" s="384" t="n"/>
      <c r="P80" s="384" t="n"/>
      <c r="Q80" s="384" t="n"/>
      <c r="R80" s="384" t="n"/>
      <c r="S80" s="384" t="n"/>
      <c r="T80" s="384" t="n"/>
      <c r="U80" s="384" t="n"/>
      <c r="V80" s="384" t="n"/>
      <c r="W80" s="384" t="n"/>
      <c r="X80" s="645">
        <f>IF(_epmOfflineCondition_,"I_E100020",EPMOlapMemberO("[C_INTERCO].[PARENTH1].[I_E100020]","","I_E100020","","000"))</f>
        <v/>
      </c>
      <c r="Y80" s="870">
        <f>IF(_epmOfflineCondition_,"天津团泊昱隆光伏科技有限公司",EPMMemberDesc(X80))</f>
        <v/>
      </c>
      <c r="Z80" s="1302" t="n"/>
      <c r="AA80" s="1302" t="n"/>
      <c r="AB80" s="858" t="n"/>
      <c r="AC80" s="1302" t="n"/>
      <c r="AD80" s="1302" t="n"/>
      <c r="AE80" s="1302" t="inlineStr"/>
      <c r="AF80" s="1302" t="inlineStr"/>
      <c r="AG80" s="1302" t="inlineStr"/>
      <c r="AH80" s="1302" t="n"/>
      <c r="AI80" s="1302" t="n"/>
      <c r="AJ80" s="1302" t="n"/>
      <c r="AK80" s="1302">
        <f>AI80-AJ80</f>
        <v/>
      </c>
      <c r="AL80" s="858" t="n"/>
      <c r="AM80" s="1297" t="inlineStr"/>
      <c r="AN80" s="1298" t="n"/>
      <c r="AO80" s="13">
        <f>IF(_epmOfflineCondition_,0,EPMSaveDataOnly(AB80,,AB$29,AB$25,AB$26,AB$31,AB$32,$AA$37,AO$14,AO$15,AO$16,AO$17,AO$18,X80))</f>
        <v/>
      </c>
      <c r="AP80" s="13">
        <f>IF(_epmOfflineCondition_,0,EPMSaveDataOnly(AL80,,AL$29,AL$25,AL$26,AL$31,AL$32,$AA$37,AP$14,AP$15,AP$16,AP$17,AP$18,$X80))</f>
        <v/>
      </c>
      <c r="AQ80" s="13">
        <f>IF(_epmOfflineCondition_,0,EPMSaveData(AM80,,AM$29,AM$25,AM$26,$C$6,AM$32,$AA$37,AQ$14,AQ$15,AQ$16,AQ$17,AQ$18,$X80))</f>
        <v/>
      </c>
      <c r="AR80" s="13">
        <f>IF(_epmOfflineCondition_,0,EPMSaveDataOnly(AN80,,AN$29,AN$25,AN$26,AN$31,AN$32,$AA$37,AR$14,AR$15,AR$16,AR$17,AR$18,$X80))</f>
        <v/>
      </c>
      <c r="AS80" s="384" t="n"/>
    </row>
    <row r="81" hidden="1" ht="15.75" customHeight="1" s="1181">
      <c r="A81" s="384" t="n"/>
      <c r="B81" s="384" t="n"/>
      <c r="C81" s="384" t="n"/>
      <c r="D81" s="384" t="n"/>
      <c r="E81" s="384" t="n"/>
      <c r="F81" s="384" t="n"/>
      <c r="G81" s="384" t="n"/>
      <c r="H81" s="384" t="n"/>
      <c r="I81" s="384" t="n"/>
      <c r="J81" s="384" t="n"/>
      <c r="K81" s="384" t="n"/>
      <c r="L81" s="384" t="n"/>
      <c r="M81" s="384" t="n"/>
      <c r="N81" s="384" t="n"/>
      <c r="O81" s="384" t="n"/>
      <c r="P81" s="384" t="n"/>
      <c r="Q81" s="384" t="n"/>
      <c r="R81" s="384" t="n"/>
      <c r="S81" s="384" t="n"/>
      <c r="T81" s="384" t="n"/>
      <c r="U81" s="384" t="n"/>
      <c r="V81" s="384" t="n"/>
      <c r="W81" s="384" t="n"/>
      <c r="X81" s="645">
        <f>IF(_epmOfflineCondition_,"I_E100021",EPMOlapMemberO("[C_INTERCO].[PARENTH1].[I_E100021]","","I_E100021","","000"))</f>
        <v/>
      </c>
      <c r="Y81" s="870">
        <f>IF(_epmOfflineCondition_,"天津团泊昱宏光伏科技有限公司",EPMMemberDesc(X81))</f>
        <v/>
      </c>
      <c r="Z81" s="1302" t="n"/>
      <c r="AA81" s="1302" t="n"/>
      <c r="AB81" s="858" t="n"/>
      <c r="AC81" s="1302" t="n"/>
      <c r="AD81" s="1302" t="n"/>
      <c r="AE81" s="1302" t="inlineStr"/>
      <c r="AF81" s="1302" t="inlineStr"/>
      <c r="AG81" s="1302" t="inlineStr"/>
      <c r="AH81" s="1302" t="n"/>
      <c r="AI81" s="1302" t="n"/>
      <c r="AJ81" s="1302" t="n"/>
      <c r="AK81" s="1302">
        <f>AI81-AJ81</f>
        <v/>
      </c>
      <c r="AL81" s="858" t="n"/>
      <c r="AM81" s="1297" t="inlineStr"/>
      <c r="AN81" s="1298" t="n"/>
      <c r="AO81" s="13">
        <f>IF(_epmOfflineCondition_,0,EPMSaveDataOnly(AB81,,AB$29,AB$25,AB$26,AB$31,AB$32,$AA$37,AO$14,AO$15,AO$16,AO$17,AO$18,X81))</f>
        <v/>
      </c>
      <c r="AP81" s="13">
        <f>IF(_epmOfflineCondition_,0,EPMSaveDataOnly(AL81,,AL$29,AL$25,AL$26,AL$31,AL$32,$AA$37,AP$14,AP$15,AP$16,AP$17,AP$18,$X81))</f>
        <v/>
      </c>
      <c r="AQ81" s="13">
        <f>IF(_epmOfflineCondition_,0,EPMSaveData(AM81,,AM$29,AM$25,AM$26,$C$6,AM$32,$AA$37,AQ$14,AQ$15,AQ$16,AQ$17,AQ$18,$X81))</f>
        <v/>
      </c>
      <c r="AR81" s="13">
        <f>IF(_epmOfflineCondition_,0,EPMSaveDataOnly(AN81,,AN$29,AN$25,AN$26,AN$31,AN$32,$AA$37,AR$14,AR$15,AR$16,AR$17,AR$18,$X81))</f>
        <v/>
      </c>
      <c r="AS81" s="384" t="n"/>
    </row>
    <row r="82" hidden="1" ht="15.75" customHeight="1" s="1181">
      <c r="A82" s="384" t="n"/>
      <c r="B82" s="384" t="n"/>
      <c r="C82" s="384" t="n"/>
      <c r="D82" s="384" t="n"/>
      <c r="E82" s="384" t="n"/>
      <c r="F82" s="384" t="n"/>
      <c r="G82" s="384" t="n"/>
      <c r="H82" s="384" t="n"/>
      <c r="I82" s="384" t="n"/>
      <c r="J82" s="384" t="n"/>
      <c r="K82" s="384" t="n"/>
      <c r="L82" s="384" t="n"/>
      <c r="M82" s="384" t="n"/>
      <c r="N82" s="384" t="n"/>
      <c r="O82" s="384" t="n"/>
      <c r="P82" s="384" t="n"/>
      <c r="Q82" s="384" t="n"/>
      <c r="R82" s="384" t="n"/>
      <c r="S82" s="384" t="n"/>
      <c r="T82" s="384" t="n"/>
      <c r="U82" s="384" t="n"/>
      <c r="V82" s="384" t="n"/>
      <c r="W82" s="384" t="n"/>
      <c r="X82" s="645">
        <f>IF(_epmOfflineCondition_,"I_E100022",EPMOlapMemberO("[C_INTERCO].[PARENTH1].[I_E100022]","","I_E100022","","000"))</f>
        <v/>
      </c>
      <c r="Y82" s="870">
        <f>IF(_epmOfflineCondition_,"天津永能光伏发电有限公司",EPMMemberDesc(X82))</f>
        <v/>
      </c>
      <c r="Z82" s="1302" t="n"/>
      <c r="AA82" s="1302" t="n"/>
      <c r="AB82" s="858" t="n"/>
      <c r="AC82" s="1302" t="n"/>
      <c r="AD82" s="1302" t="n"/>
      <c r="AE82" s="1302" t="inlineStr"/>
      <c r="AF82" s="1302" t="inlineStr"/>
      <c r="AG82" s="1302" t="inlineStr"/>
      <c r="AH82" s="1302" t="n"/>
      <c r="AI82" s="1302" t="n"/>
      <c r="AJ82" s="1302" t="n"/>
      <c r="AK82" s="1302">
        <f>AI82-AJ82</f>
        <v/>
      </c>
      <c r="AL82" s="858" t="n"/>
      <c r="AM82" s="1297" t="inlineStr"/>
      <c r="AN82" s="1298" t="n"/>
      <c r="AO82" s="13">
        <f>IF(_epmOfflineCondition_,0,EPMSaveDataOnly(AB82,,AB$29,AB$25,AB$26,AB$31,AB$32,$AA$37,AO$14,AO$15,AO$16,AO$17,AO$18,X82))</f>
        <v/>
      </c>
      <c r="AP82" s="13">
        <f>IF(_epmOfflineCondition_,0,EPMSaveDataOnly(AL82,,AL$29,AL$25,AL$26,AL$31,AL$32,$AA$37,AP$14,AP$15,AP$16,AP$17,AP$18,$X82))</f>
        <v/>
      </c>
      <c r="AQ82" s="13">
        <f>IF(_epmOfflineCondition_,0,EPMSaveData(AM82,,AM$29,AM$25,AM$26,$C$6,AM$32,$AA$37,AQ$14,AQ$15,AQ$16,AQ$17,AQ$18,$X82))</f>
        <v/>
      </c>
      <c r="AR82" s="13">
        <f>IF(_epmOfflineCondition_,0,EPMSaveDataOnly(AN82,,AN$29,AN$25,AN$26,AN$31,AN$32,$AA$37,AR$14,AR$15,AR$16,AR$17,AR$18,$X82))</f>
        <v/>
      </c>
      <c r="AS82" s="384" t="n"/>
    </row>
    <row r="83" hidden="1" ht="15.75" customHeight="1" s="1181">
      <c r="A83" s="384" t="n"/>
      <c r="B83" s="384" t="n"/>
      <c r="C83" s="384" t="n"/>
      <c r="D83" s="384" t="n"/>
      <c r="E83" s="384" t="n"/>
      <c r="F83" s="384" t="n"/>
      <c r="G83" s="384" t="n"/>
      <c r="H83" s="384" t="n"/>
      <c r="I83" s="384" t="n"/>
      <c r="J83" s="384" t="n"/>
      <c r="K83" s="384" t="n"/>
      <c r="L83" s="384" t="n"/>
      <c r="M83" s="384" t="n"/>
      <c r="N83" s="384" t="n"/>
      <c r="O83" s="384" t="n"/>
      <c r="P83" s="384" t="n"/>
      <c r="Q83" s="384" t="n"/>
      <c r="R83" s="384" t="n"/>
      <c r="S83" s="384" t="n"/>
      <c r="T83" s="384" t="n"/>
      <c r="U83" s="384" t="n"/>
      <c r="V83" s="384" t="n"/>
      <c r="W83" s="384" t="n"/>
      <c r="X83" s="645">
        <f>IF(_epmOfflineCondition_,"I_E100023",EPMOlapMemberO("[C_INTERCO].[PARENTH1].[I_E100023]","","I_E100023","","000"))</f>
        <v/>
      </c>
      <c r="Y83" s="870">
        <f>IF(_epmOfflineCondition_,"京能（迁西）发电有限公司",EPMMemberDesc(X83))</f>
        <v/>
      </c>
      <c r="Z83" s="1302" t="n"/>
      <c r="AA83" s="1302" t="n"/>
      <c r="AB83" s="858" t="n"/>
      <c r="AC83" s="1302" t="n"/>
      <c r="AD83" s="1302" t="n"/>
      <c r="AE83" s="1302" t="inlineStr"/>
      <c r="AF83" s="1302" t="inlineStr"/>
      <c r="AG83" s="1302" t="inlineStr"/>
      <c r="AH83" s="1302" t="n"/>
      <c r="AI83" s="1302" t="n"/>
      <c r="AJ83" s="1302" t="n"/>
      <c r="AK83" s="1302">
        <f>AI83-AJ83</f>
        <v/>
      </c>
      <c r="AL83" s="858" t="n"/>
      <c r="AM83" s="1297" t="inlineStr"/>
      <c r="AN83" s="1298" t="n"/>
      <c r="AO83" s="13">
        <f>IF(_epmOfflineCondition_,0,EPMSaveDataOnly(AB83,,AB$29,AB$25,AB$26,AB$31,AB$32,$AA$37,AO$14,AO$15,AO$16,AO$17,AO$18,X83))</f>
        <v/>
      </c>
      <c r="AP83" s="13">
        <f>IF(_epmOfflineCondition_,0,EPMSaveDataOnly(AL83,,AL$29,AL$25,AL$26,AL$31,AL$32,$AA$37,AP$14,AP$15,AP$16,AP$17,AP$18,$X83))</f>
        <v/>
      </c>
      <c r="AQ83" s="13">
        <f>IF(_epmOfflineCondition_,0,EPMSaveData(AM83,,AM$29,AM$25,AM$26,$C$6,AM$32,$AA$37,AQ$14,AQ$15,AQ$16,AQ$17,AQ$18,$X83))</f>
        <v/>
      </c>
      <c r="AR83" s="13">
        <f>IF(_epmOfflineCondition_,0,EPMSaveDataOnly(AN83,,AN$29,AN$25,AN$26,AN$31,AN$32,$AA$37,AR$14,AR$15,AR$16,AR$17,AR$18,$X83))</f>
        <v/>
      </c>
      <c r="AS83" s="384" t="n"/>
    </row>
    <row r="84" hidden="1" ht="15.75" customHeight="1" s="1181">
      <c r="A84" s="384" t="n"/>
      <c r="B84" s="384" t="n"/>
      <c r="C84" s="384" t="n"/>
      <c r="D84" s="384" t="n"/>
      <c r="E84" s="384" t="n"/>
      <c r="F84" s="384" t="n"/>
      <c r="G84" s="384" t="n"/>
      <c r="H84" s="384" t="n"/>
      <c r="I84" s="384" t="n"/>
      <c r="J84" s="384" t="n"/>
      <c r="K84" s="384" t="n"/>
      <c r="L84" s="384" t="n"/>
      <c r="M84" s="384" t="n"/>
      <c r="N84" s="384" t="n"/>
      <c r="O84" s="384" t="n"/>
      <c r="P84" s="384" t="n"/>
      <c r="Q84" s="384" t="n"/>
      <c r="R84" s="384" t="n"/>
      <c r="S84" s="384" t="n"/>
      <c r="T84" s="384" t="n"/>
      <c r="U84" s="384" t="n"/>
      <c r="V84" s="384" t="n"/>
      <c r="W84" s="384" t="n"/>
      <c r="X84" s="645">
        <f>IF(_epmOfflineCondition_,"I_E100024",EPMOlapMemberO("[C_INTERCO].[PARENTH1].[I_E100024]","","I_E100024","","000"))</f>
        <v/>
      </c>
      <c r="Y84" s="870">
        <f>IF(_epmOfflineCondition_,"北京京能清洁能源电力股份有限公司延庆光伏发电分公司",EPMMemberDesc(X84))</f>
        <v/>
      </c>
      <c r="Z84" s="1302" t="n"/>
      <c r="AA84" s="1302" t="n"/>
      <c r="AB84" s="858" t="n"/>
      <c r="AC84" s="1302" t="n"/>
      <c r="AD84" s="1302" t="n"/>
      <c r="AE84" s="1302" t="inlineStr"/>
      <c r="AF84" s="1302" t="inlineStr"/>
      <c r="AG84" s="1302" t="inlineStr"/>
      <c r="AH84" s="1302" t="n"/>
      <c r="AI84" s="1302" t="n"/>
      <c r="AJ84" s="1302" t="n"/>
      <c r="AK84" s="1302">
        <f>AI84-AJ84</f>
        <v/>
      </c>
      <c r="AL84" s="858" t="n"/>
      <c r="AM84" s="1297" t="inlineStr"/>
      <c r="AN84" s="1298" t="n"/>
      <c r="AO84" s="13">
        <f>IF(_epmOfflineCondition_,0,EPMSaveDataOnly(AB84,,AB$29,AB$25,AB$26,AB$31,AB$32,$AA$37,AO$14,AO$15,AO$16,AO$17,AO$18,X84))</f>
        <v/>
      </c>
      <c r="AP84" s="13">
        <f>IF(_epmOfflineCondition_,0,EPMSaveDataOnly(AL84,,AL$29,AL$25,AL$26,AL$31,AL$32,$AA$37,AP$14,AP$15,AP$16,AP$17,AP$18,$X84))</f>
        <v/>
      </c>
      <c r="AQ84" s="13">
        <f>IF(_epmOfflineCondition_,0,EPMSaveData(AM84,,AM$29,AM$25,AM$26,$C$6,AM$32,$AA$37,AQ$14,AQ$15,AQ$16,AQ$17,AQ$18,$X84))</f>
        <v/>
      </c>
      <c r="AR84" s="13">
        <f>IF(_epmOfflineCondition_,0,EPMSaveDataOnly(AN84,,AN$29,AN$25,AN$26,AN$31,AN$32,$AA$37,AR$14,AR$15,AR$16,AR$17,AR$18,$X84))</f>
        <v/>
      </c>
      <c r="AS84" s="384" t="n"/>
    </row>
    <row r="85" hidden="1" ht="15.75" customHeight="1" s="1181">
      <c r="A85" s="384" t="n"/>
      <c r="B85" s="384" t="n"/>
      <c r="C85" s="384" t="n"/>
      <c r="D85" s="384" t="n"/>
      <c r="E85" s="384" t="n"/>
      <c r="F85" s="384" t="n"/>
      <c r="G85" s="384" t="n"/>
      <c r="H85" s="384" t="n"/>
      <c r="I85" s="384" t="n"/>
      <c r="J85" s="384" t="n"/>
      <c r="K85" s="384" t="n"/>
      <c r="L85" s="384" t="n"/>
      <c r="M85" s="384" t="n"/>
      <c r="N85" s="384" t="n"/>
      <c r="O85" s="384" t="n"/>
      <c r="P85" s="384" t="n"/>
      <c r="Q85" s="384" t="n"/>
      <c r="R85" s="384" t="n"/>
      <c r="S85" s="384" t="n"/>
      <c r="T85" s="384" t="n"/>
      <c r="U85" s="384" t="n"/>
      <c r="V85" s="384" t="n"/>
      <c r="W85" s="384" t="n"/>
      <c r="X85" s="645">
        <f>IF(_epmOfflineCondition_,"I_E100025",EPMOlapMemberO("[C_INTERCO].[PARENTH1].[I_E100025]","","I_E100025","","000"))</f>
        <v/>
      </c>
      <c r="Y85" s="870">
        <f>IF(_epmOfflineCondition_,"深州电阳新能源有限公司",EPMMemberDesc(X85))</f>
        <v/>
      </c>
      <c r="Z85" s="1302" t="n"/>
      <c r="AA85" s="1302" t="n"/>
      <c r="AB85" s="858" t="n"/>
      <c r="AC85" s="1302" t="n"/>
      <c r="AD85" s="1302" t="n"/>
      <c r="AE85" s="1302" t="inlineStr"/>
      <c r="AF85" s="1302" t="inlineStr"/>
      <c r="AG85" s="1302" t="inlineStr"/>
      <c r="AH85" s="1302" t="n"/>
      <c r="AI85" s="1302" t="n"/>
      <c r="AJ85" s="1302" t="n"/>
      <c r="AK85" s="1302">
        <f>AI85-AJ85</f>
        <v/>
      </c>
      <c r="AL85" s="858" t="n"/>
      <c r="AM85" s="1297" t="inlineStr"/>
      <c r="AN85" s="1298" t="n"/>
      <c r="AO85" s="13">
        <f>IF(_epmOfflineCondition_,0,EPMSaveDataOnly(AB85,,AB$29,AB$25,AB$26,AB$31,AB$32,$AA$37,AO$14,AO$15,AO$16,AO$17,AO$18,X85))</f>
        <v/>
      </c>
      <c r="AP85" s="13">
        <f>IF(_epmOfflineCondition_,0,EPMSaveDataOnly(AL85,,AL$29,AL$25,AL$26,AL$31,AL$32,$AA$37,AP$14,AP$15,AP$16,AP$17,AP$18,$X85))</f>
        <v/>
      </c>
      <c r="AQ85" s="13">
        <f>IF(_epmOfflineCondition_,0,EPMSaveData(AM85,,AM$29,AM$25,AM$26,$C$6,AM$32,$AA$37,AQ$14,AQ$15,AQ$16,AQ$17,AQ$18,$X85))</f>
        <v/>
      </c>
      <c r="AR85" s="13">
        <f>IF(_epmOfflineCondition_,0,EPMSaveDataOnly(AN85,,AN$29,AN$25,AN$26,AN$31,AN$32,$AA$37,AR$14,AR$15,AR$16,AR$17,AR$18,$X85))</f>
        <v/>
      </c>
      <c r="AS85" s="384" t="n"/>
    </row>
    <row r="86" hidden="1" ht="15.75" customHeight="1" s="1181">
      <c r="A86" s="384" t="n"/>
      <c r="B86" s="384" t="n"/>
      <c r="C86" s="384" t="n"/>
      <c r="D86" s="384" t="n"/>
      <c r="E86" s="384" t="n"/>
      <c r="F86" s="384" t="n"/>
      <c r="G86" s="384" t="n"/>
      <c r="H86" s="384" t="n"/>
      <c r="I86" s="384" t="n"/>
      <c r="J86" s="384" t="n"/>
      <c r="K86" s="384" t="n"/>
      <c r="L86" s="384" t="n"/>
      <c r="M86" s="384" t="n"/>
      <c r="N86" s="384" t="n"/>
      <c r="O86" s="384" t="n"/>
      <c r="P86" s="384" t="n"/>
      <c r="Q86" s="384" t="n"/>
      <c r="R86" s="384" t="n"/>
      <c r="S86" s="384" t="n"/>
      <c r="T86" s="384" t="n"/>
      <c r="U86" s="384" t="n"/>
      <c r="V86" s="384" t="n"/>
      <c r="W86" s="384" t="n"/>
      <c r="X86" s="645">
        <f>IF(_epmOfflineCondition_,"I_E100026",EPMOlapMemberO("[C_INTERCO].[PARENTH1].[I_E100026]","","I_E100026","","000"))</f>
        <v/>
      </c>
      <c r="Y86" s="870">
        <f>IF(_epmOfflineCondition_,"建湖京能新能源有限公司",EPMMemberDesc(X86))</f>
        <v/>
      </c>
      <c r="Z86" s="1302" t="n"/>
      <c r="AA86" s="1302" t="n"/>
      <c r="AB86" s="858" t="n"/>
      <c r="AC86" s="1302" t="n"/>
      <c r="AD86" s="1302" t="n"/>
      <c r="AE86" s="1302" t="inlineStr"/>
      <c r="AF86" s="1302" t="inlineStr"/>
      <c r="AG86" s="1302" t="inlineStr"/>
      <c r="AH86" s="1302" t="n"/>
      <c r="AI86" s="1302" t="n"/>
      <c r="AJ86" s="1302" t="n"/>
      <c r="AK86" s="1302">
        <f>AI86-AJ86</f>
        <v/>
      </c>
      <c r="AL86" s="858" t="n"/>
      <c r="AM86" s="1297" t="inlineStr"/>
      <c r="AN86" s="1298" t="n"/>
      <c r="AO86" s="13">
        <f>IF(_epmOfflineCondition_,0,EPMSaveDataOnly(AB86,,AB$29,AB$25,AB$26,AB$31,AB$32,$AA$37,AO$14,AO$15,AO$16,AO$17,AO$18,X86))</f>
        <v/>
      </c>
      <c r="AP86" s="13">
        <f>IF(_epmOfflineCondition_,0,EPMSaveDataOnly(AL86,,AL$29,AL$25,AL$26,AL$31,AL$32,$AA$37,AP$14,AP$15,AP$16,AP$17,AP$18,$X86))</f>
        <v/>
      </c>
      <c r="AQ86" s="13">
        <f>IF(_epmOfflineCondition_,0,EPMSaveData(AM86,,AM$29,AM$25,AM$26,$C$6,AM$32,$AA$37,AQ$14,AQ$15,AQ$16,AQ$17,AQ$18,$X86))</f>
        <v/>
      </c>
      <c r="AR86" s="13">
        <f>IF(_epmOfflineCondition_,0,EPMSaveDataOnly(AN86,,AN$29,AN$25,AN$26,AN$31,AN$32,$AA$37,AR$14,AR$15,AR$16,AR$17,AR$18,$X86))</f>
        <v/>
      </c>
      <c r="AS86" s="384" t="n"/>
    </row>
    <row r="87" hidden="1" ht="15.75" customHeight="1" s="1181">
      <c r="A87" s="384" t="n"/>
      <c r="B87" s="384" t="n"/>
      <c r="C87" s="384" t="n"/>
      <c r="D87" s="384" t="n"/>
      <c r="E87" s="384" t="n"/>
      <c r="F87" s="384" t="n"/>
      <c r="G87" s="384" t="n"/>
      <c r="H87" s="384" t="n"/>
      <c r="I87" s="384" t="n"/>
      <c r="J87" s="384" t="n"/>
      <c r="K87" s="384" t="n"/>
      <c r="L87" s="384" t="n"/>
      <c r="M87" s="384" t="n"/>
      <c r="N87" s="384" t="n"/>
      <c r="O87" s="384" t="n"/>
      <c r="P87" s="384" t="n"/>
      <c r="Q87" s="384" t="n"/>
      <c r="R87" s="384" t="n"/>
      <c r="S87" s="384" t="n"/>
      <c r="T87" s="384" t="n"/>
      <c r="U87" s="384" t="n"/>
      <c r="V87" s="384" t="n"/>
      <c r="W87" s="384" t="n"/>
      <c r="X87" s="645">
        <f>IF(_epmOfflineCondition_,"I_E100027",EPMOlapMemberO("[C_INTERCO].[PARENTH1].[I_E100027]","","I_E100027","","000"))</f>
        <v/>
      </c>
      <c r="Y87" s="870">
        <f>IF(_epmOfflineCondition_,"润峰格尔木电力有限公司",EPMMemberDesc(X87))</f>
        <v/>
      </c>
      <c r="Z87" s="1302" t="n"/>
      <c r="AA87" s="1302" t="n"/>
      <c r="AB87" s="858" t="n"/>
      <c r="AC87" s="1302" t="n"/>
      <c r="AD87" s="1302" t="n"/>
      <c r="AE87" s="1302" t="inlineStr"/>
      <c r="AF87" s="1302" t="inlineStr"/>
      <c r="AG87" s="1302" t="inlineStr"/>
      <c r="AH87" s="1302" t="n"/>
      <c r="AI87" s="1302" t="n"/>
      <c r="AJ87" s="1302" t="n"/>
      <c r="AK87" s="1302">
        <f>AI87-AJ87</f>
        <v/>
      </c>
      <c r="AL87" s="858" t="n"/>
      <c r="AM87" s="1297" t="inlineStr"/>
      <c r="AN87" s="1298" t="n"/>
      <c r="AO87" s="13">
        <f>IF(_epmOfflineCondition_,0,EPMSaveDataOnly(AB87,,AB$29,AB$25,AB$26,AB$31,AB$32,$AA$37,AO$14,AO$15,AO$16,AO$17,AO$18,X87))</f>
        <v/>
      </c>
      <c r="AP87" s="13">
        <f>IF(_epmOfflineCondition_,0,EPMSaveDataOnly(AL87,,AL$29,AL$25,AL$26,AL$31,AL$32,$AA$37,AP$14,AP$15,AP$16,AP$17,AP$18,$X87))</f>
        <v/>
      </c>
      <c r="AQ87" s="13">
        <f>IF(_epmOfflineCondition_,0,EPMSaveData(AM87,,AM$29,AM$25,AM$26,$C$6,AM$32,$AA$37,AQ$14,AQ$15,AQ$16,AQ$17,AQ$18,$X87))</f>
        <v/>
      </c>
      <c r="AR87" s="13">
        <f>IF(_epmOfflineCondition_,0,EPMSaveDataOnly(AN87,,AN$29,AN$25,AN$26,AN$31,AN$32,$AA$37,AR$14,AR$15,AR$16,AR$17,AR$18,$X87))</f>
        <v/>
      </c>
      <c r="AS87" s="384" t="n"/>
    </row>
    <row r="88" hidden="1" ht="15.75" customHeight="1" s="1181">
      <c r="A88" s="384" t="n"/>
      <c r="B88" s="384" t="n"/>
      <c r="C88" s="384" t="n"/>
      <c r="D88" s="384" t="n"/>
      <c r="E88" s="384" t="n"/>
      <c r="F88" s="384" t="n"/>
      <c r="G88" s="384" t="n"/>
      <c r="H88" s="384" t="n"/>
      <c r="I88" s="384" t="n"/>
      <c r="J88" s="384" t="n"/>
      <c r="K88" s="384" t="n"/>
      <c r="L88" s="384" t="n"/>
      <c r="M88" s="384" t="n"/>
      <c r="N88" s="384" t="n"/>
      <c r="O88" s="384" t="n"/>
      <c r="P88" s="384" t="n"/>
      <c r="Q88" s="384" t="n"/>
      <c r="R88" s="384" t="n"/>
      <c r="S88" s="384" t="n"/>
      <c r="T88" s="384" t="n"/>
      <c r="U88" s="384" t="n"/>
      <c r="V88" s="384" t="n"/>
      <c r="W88" s="384" t="n"/>
      <c r="X88" s="645">
        <f>IF(_epmOfflineCondition_,"I_E100028",EPMOlapMemberO("[C_INTERCO].[PARENTH1].[I_E100028]","","I_E100028","","000"))</f>
        <v/>
      </c>
      <c r="Y88" s="870">
        <f>IF(_epmOfflineCondition_,"共和京能清洁能源有限公司",EPMMemberDesc(X88))</f>
        <v/>
      </c>
      <c r="Z88" s="1302" t="n"/>
      <c r="AA88" s="1302" t="n"/>
      <c r="AB88" s="858" t="n"/>
      <c r="AC88" s="1302" t="n"/>
      <c r="AD88" s="1302" t="n"/>
      <c r="AE88" s="1302" t="inlineStr"/>
      <c r="AF88" s="1302" t="inlineStr"/>
      <c r="AG88" s="1302" t="inlineStr"/>
      <c r="AH88" s="1302" t="n"/>
      <c r="AI88" s="1302" t="n"/>
      <c r="AJ88" s="1302" t="n"/>
      <c r="AK88" s="1302">
        <f>AI88-AJ88</f>
        <v/>
      </c>
      <c r="AL88" s="858" t="n"/>
      <c r="AM88" s="1297" t="inlineStr"/>
      <c r="AN88" s="1298" t="n"/>
      <c r="AO88" s="13">
        <f>IF(_epmOfflineCondition_,0,EPMSaveDataOnly(AB88,,AB$29,AB$25,AB$26,AB$31,AB$32,$AA$37,AO$14,AO$15,AO$16,AO$17,AO$18,X88))</f>
        <v/>
      </c>
      <c r="AP88" s="13">
        <f>IF(_epmOfflineCondition_,0,EPMSaveDataOnly(AL88,,AL$29,AL$25,AL$26,AL$31,AL$32,$AA$37,AP$14,AP$15,AP$16,AP$17,AP$18,$X88))</f>
        <v/>
      </c>
      <c r="AQ88" s="13">
        <f>IF(_epmOfflineCondition_,0,EPMSaveData(AM88,,AM$29,AM$25,AM$26,$C$6,AM$32,$AA$37,AQ$14,AQ$15,AQ$16,AQ$17,AQ$18,$X88))</f>
        <v/>
      </c>
      <c r="AR88" s="13">
        <f>IF(_epmOfflineCondition_,0,EPMSaveDataOnly(AN88,,AN$29,AN$25,AN$26,AN$31,AN$32,$AA$37,AR$14,AR$15,AR$16,AR$17,AR$18,$X88))</f>
        <v/>
      </c>
      <c r="AS88" s="384" t="n"/>
    </row>
    <row r="89" hidden="1" ht="15.75" customHeight="1" s="1181">
      <c r="A89" s="384" t="n"/>
      <c r="B89" s="384" t="n"/>
      <c r="C89" s="384" t="n"/>
      <c r="D89" s="384" t="n"/>
      <c r="E89" s="384" t="n"/>
      <c r="F89" s="384" t="n"/>
      <c r="G89" s="384" t="n"/>
      <c r="H89" s="384" t="n"/>
      <c r="I89" s="384" t="n"/>
      <c r="J89" s="384" t="n"/>
      <c r="K89" s="384" t="n"/>
      <c r="L89" s="384" t="n"/>
      <c r="M89" s="384" t="n"/>
      <c r="N89" s="384" t="n"/>
      <c r="O89" s="384" t="n"/>
      <c r="P89" s="384" t="n"/>
      <c r="Q89" s="384" t="n"/>
      <c r="R89" s="384" t="n"/>
      <c r="S89" s="384" t="n"/>
      <c r="T89" s="384" t="n"/>
      <c r="U89" s="384" t="n"/>
      <c r="V89" s="384" t="n"/>
      <c r="W89" s="384" t="n"/>
      <c r="X89" s="645">
        <f>IF(_epmOfflineCondition_,"I_E100029",EPMOlapMemberO("[C_INTERCO].[PARENTH1].[I_E100029]","","I_E100029","","000"))</f>
        <v/>
      </c>
      <c r="Y89" s="870">
        <f>IF(_epmOfflineCondition_,"共和源通光伏发电有限公司",EPMMemberDesc(X89))</f>
        <v/>
      </c>
      <c r="Z89" s="1302" t="n"/>
      <c r="AA89" s="1302" t="n"/>
      <c r="AB89" s="858" t="n"/>
      <c r="AC89" s="1302" t="n"/>
      <c r="AD89" s="1302" t="n"/>
      <c r="AE89" s="1302" t="inlineStr"/>
      <c r="AF89" s="1302" t="inlineStr"/>
      <c r="AG89" s="1302" t="inlineStr"/>
      <c r="AH89" s="1302" t="n"/>
      <c r="AI89" s="1302" t="n"/>
      <c r="AJ89" s="1302" t="n"/>
      <c r="AK89" s="1302">
        <f>AI89-AJ89</f>
        <v/>
      </c>
      <c r="AL89" s="858" t="n"/>
      <c r="AM89" s="1297" t="inlineStr"/>
      <c r="AN89" s="1298" t="n"/>
      <c r="AO89" s="13">
        <f>IF(_epmOfflineCondition_,0,EPMSaveDataOnly(AB89,,AB$29,AB$25,AB$26,AB$31,AB$32,$AA$37,AO$14,AO$15,AO$16,AO$17,AO$18,X89))</f>
        <v/>
      </c>
      <c r="AP89" s="13">
        <f>IF(_epmOfflineCondition_,0,EPMSaveDataOnly(AL89,,AL$29,AL$25,AL$26,AL$31,AL$32,$AA$37,AP$14,AP$15,AP$16,AP$17,AP$18,$X89))</f>
        <v/>
      </c>
      <c r="AQ89" s="13">
        <f>IF(_epmOfflineCondition_,0,EPMSaveData(AM89,,AM$29,AM$25,AM$26,$C$6,AM$32,$AA$37,AQ$14,AQ$15,AQ$16,AQ$17,AQ$18,$X89))</f>
        <v/>
      </c>
      <c r="AR89" s="13">
        <f>IF(_epmOfflineCondition_,0,EPMSaveDataOnly(AN89,,AN$29,AN$25,AN$26,AN$31,AN$32,$AA$37,AR$14,AR$15,AR$16,AR$17,AR$18,$X89))</f>
        <v/>
      </c>
      <c r="AS89" s="384" t="n"/>
    </row>
    <row r="90" hidden="1" ht="15.75" customHeight="1" s="1181">
      <c r="A90" s="384" t="n"/>
      <c r="B90" s="384" t="n"/>
      <c r="C90" s="384" t="n"/>
      <c r="D90" s="384" t="n"/>
      <c r="E90" s="384" t="n"/>
      <c r="F90" s="384" t="n"/>
      <c r="G90" s="384" t="n"/>
      <c r="H90" s="384" t="n"/>
      <c r="I90" s="384" t="n"/>
      <c r="J90" s="384" t="n"/>
      <c r="K90" s="384" t="n"/>
      <c r="L90" s="384" t="n"/>
      <c r="M90" s="384" t="n"/>
      <c r="N90" s="384" t="n"/>
      <c r="O90" s="384" t="n"/>
      <c r="P90" s="384" t="n"/>
      <c r="Q90" s="384" t="n"/>
      <c r="R90" s="384" t="n"/>
      <c r="S90" s="384" t="n"/>
      <c r="T90" s="384" t="n"/>
      <c r="U90" s="384" t="n"/>
      <c r="V90" s="384" t="n"/>
      <c r="W90" s="384" t="n"/>
      <c r="X90" s="645">
        <f>IF(_epmOfflineCondition_,"I_E100030",EPMOlapMemberO("[C_INTERCO].[PARENTH1].[I_E100030]","","I_E100030","","000"))</f>
        <v/>
      </c>
      <c r="Y90" s="870">
        <f>IF(_epmOfflineCondition_,"缙云县京能新能源有限公司",EPMMemberDesc(X90))</f>
        <v/>
      </c>
      <c r="Z90" s="1302" t="n"/>
      <c r="AA90" s="1302" t="n"/>
      <c r="AB90" s="858" t="n"/>
      <c r="AC90" s="1302" t="n"/>
      <c r="AD90" s="1302" t="n"/>
      <c r="AE90" s="1302" t="inlineStr"/>
      <c r="AF90" s="1302" t="inlineStr"/>
      <c r="AG90" s="1302" t="inlineStr"/>
      <c r="AH90" s="1302" t="n"/>
      <c r="AI90" s="1302" t="n"/>
      <c r="AJ90" s="1302" t="n"/>
      <c r="AK90" s="1302">
        <f>AI90-AJ90</f>
        <v/>
      </c>
      <c r="AL90" s="858" t="n"/>
      <c r="AM90" s="1297" t="inlineStr"/>
      <c r="AN90" s="1298" t="n"/>
      <c r="AO90" s="13">
        <f>IF(_epmOfflineCondition_,0,EPMSaveDataOnly(AB90,,AB$29,AB$25,AB$26,AB$31,AB$32,$AA$37,AO$14,AO$15,AO$16,AO$17,AO$18,X90))</f>
        <v/>
      </c>
      <c r="AP90" s="13">
        <f>IF(_epmOfflineCondition_,0,EPMSaveDataOnly(AL90,,AL$29,AL$25,AL$26,AL$31,AL$32,$AA$37,AP$14,AP$15,AP$16,AP$17,AP$18,$X90))</f>
        <v/>
      </c>
      <c r="AQ90" s="13">
        <f>IF(_epmOfflineCondition_,0,EPMSaveData(AM90,,AM$29,AM$25,AM$26,$C$6,AM$32,$AA$37,AQ$14,AQ$15,AQ$16,AQ$17,AQ$18,$X90))</f>
        <v/>
      </c>
      <c r="AR90" s="13">
        <f>IF(_epmOfflineCondition_,0,EPMSaveDataOnly(AN90,,AN$29,AN$25,AN$26,AN$31,AN$32,$AA$37,AR$14,AR$15,AR$16,AR$17,AR$18,$X90))</f>
        <v/>
      </c>
      <c r="AS90" s="384" t="n"/>
    </row>
    <row r="91" hidden="1" ht="15.75" customHeight="1" s="1181">
      <c r="A91" s="384" t="n"/>
      <c r="B91" s="384" t="n"/>
      <c r="C91" s="384" t="n"/>
      <c r="D91" s="384" t="n"/>
      <c r="E91" s="384" t="n"/>
      <c r="F91" s="384" t="n"/>
      <c r="G91" s="384" t="n"/>
      <c r="H91" s="384" t="n"/>
      <c r="I91" s="384" t="n"/>
      <c r="J91" s="384" t="n"/>
      <c r="K91" s="384" t="n"/>
      <c r="L91" s="384" t="n"/>
      <c r="M91" s="384" t="n"/>
      <c r="N91" s="384" t="n"/>
      <c r="O91" s="384" t="n"/>
      <c r="P91" s="384" t="n"/>
      <c r="Q91" s="384" t="n"/>
      <c r="R91" s="384" t="n"/>
      <c r="S91" s="384" t="n"/>
      <c r="T91" s="384" t="n"/>
      <c r="U91" s="384" t="n"/>
      <c r="V91" s="384" t="n"/>
      <c r="W91" s="384" t="n"/>
      <c r="X91" s="645">
        <f>IF(_epmOfflineCondition_,"I_E100031",EPMOlapMemberO("[C_INTERCO].[PARENTH1].[I_E100031]","","I_E100031","","000"))</f>
        <v/>
      </c>
      <c r="Y91" s="870">
        <f>IF(_epmOfflineCondition_,"五家渠京能新能源有限责任公司",EPMMemberDesc(X91))</f>
        <v/>
      </c>
      <c r="Z91" s="1302" t="n"/>
      <c r="AA91" s="1302" t="n"/>
      <c r="AB91" s="858" t="n"/>
      <c r="AC91" s="1302" t="n"/>
      <c r="AD91" s="1302" t="n"/>
      <c r="AE91" s="1302" t="inlineStr"/>
      <c r="AF91" s="1302" t="inlineStr"/>
      <c r="AG91" s="1302" t="inlineStr"/>
      <c r="AH91" s="1302" t="n"/>
      <c r="AI91" s="1302" t="n"/>
      <c r="AJ91" s="1302" t="n"/>
      <c r="AK91" s="1302">
        <f>AI91-AJ91</f>
        <v/>
      </c>
      <c r="AL91" s="858" t="n"/>
      <c r="AM91" s="1297" t="inlineStr"/>
      <c r="AN91" s="1298" t="n"/>
      <c r="AO91" s="13">
        <f>IF(_epmOfflineCondition_,0,EPMSaveDataOnly(AB91,,AB$29,AB$25,AB$26,AB$31,AB$32,$AA$37,AO$14,AO$15,AO$16,AO$17,AO$18,X91))</f>
        <v/>
      </c>
      <c r="AP91" s="13">
        <f>IF(_epmOfflineCondition_,0,EPMSaveDataOnly(AL91,,AL$29,AL$25,AL$26,AL$31,AL$32,$AA$37,AP$14,AP$15,AP$16,AP$17,AP$18,$X91))</f>
        <v/>
      </c>
      <c r="AQ91" s="13">
        <f>IF(_epmOfflineCondition_,0,EPMSaveData(AM91,,AM$29,AM$25,AM$26,$C$6,AM$32,$AA$37,AQ$14,AQ$15,AQ$16,AQ$17,AQ$18,$X91))</f>
        <v/>
      </c>
      <c r="AR91" s="13">
        <f>IF(_epmOfflineCondition_,0,EPMSaveDataOnly(AN91,,AN$29,AN$25,AN$26,AN$31,AN$32,$AA$37,AR$14,AR$15,AR$16,AR$17,AR$18,$X91))</f>
        <v/>
      </c>
      <c r="AS91" s="384" t="n"/>
    </row>
    <row r="92" hidden="1" ht="15.75" customHeight="1" s="1181">
      <c r="A92" s="384" t="n"/>
      <c r="B92" s="384" t="n"/>
      <c r="C92" s="384" t="n"/>
      <c r="D92" s="384" t="n"/>
      <c r="E92" s="384" t="n"/>
      <c r="F92" s="384" t="n"/>
      <c r="G92" s="384" t="n"/>
      <c r="H92" s="384" t="n"/>
      <c r="I92" s="384" t="n"/>
      <c r="J92" s="384" t="n"/>
      <c r="K92" s="384" t="n"/>
      <c r="L92" s="384" t="n"/>
      <c r="M92" s="384" t="n"/>
      <c r="N92" s="384" t="n"/>
      <c r="O92" s="384" t="n"/>
      <c r="P92" s="384" t="n"/>
      <c r="Q92" s="384" t="n"/>
      <c r="R92" s="384" t="n"/>
      <c r="S92" s="384" t="n"/>
      <c r="T92" s="384" t="n"/>
      <c r="U92" s="384" t="n"/>
      <c r="V92" s="384" t="n"/>
      <c r="W92" s="384" t="n"/>
      <c r="X92" s="645">
        <f>IF(_epmOfflineCondition_,"I_E100032",EPMOlapMemberO("[C_INTERCO].[PARENTH1].[I_E100032]","","I_E100032","","000"))</f>
        <v/>
      </c>
      <c r="Y92" s="870">
        <f>IF(_epmOfflineCondition_,"五家渠京能新能源有限责任公司奇台分公司",EPMMemberDesc(X92))</f>
        <v/>
      </c>
      <c r="Z92" s="1302" t="n"/>
      <c r="AA92" s="1302" t="n"/>
      <c r="AB92" s="858" t="n"/>
      <c r="AC92" s="1302" t="n"/>
      <c r="AD92" s="1302" t="n"/>
      <c r="AE92" s="1302" t="inlineStr"/>
      <c r="AF92" s="1302" t="inlineStr"/>
      <c r="AG92" s="1302" t="inlineStr"/>
      <c r="AH92" s="1302" t="n"/>
      <c r="AI92" s="1302" t="n"/>
      <c r="AJ92" s="1302" t="n"/>
      <c r="AK92" s="1302">
        <f>AI92-AJ92</f>
        <v/>
      </c>
      <c r="AL92" s="858" t="n"/>
      <c r="AM92" s="1297" t="inlineStr"/>
      <c r="AN92" s="1298" t="n"/>
      <c r="AO92" s="13">
        <f>IF(_epmOfflineCondition_,0,EPMSaveDataOnly(AB92,,AB$29,AB$25,AB$26,AB$31,AB$32,$AA$37,AO$14,AO$15,AO$16,AO$17,AO$18,X92))</f>
        <v/>
      </c>
      <c r="AP92" s="13">
        <f>IF(_epmOfflineCondition_,0,EPMSaveDataOnly(AL92,,AL$29,AL$25,AL$26,AL$31,AL$32,$AA$37,AP$14,AP$15,AP$16,AP$17,AP$18,$X92))</f>
        <v/>
      </c>
      <c r="AQ92" s="13">
        <f>IF(_epmOfflineCondition_,0,EPMSaveData(AM92,,AM$29,AM$25,AM$26,$C$6,AM$32,$AA$37,AQ$14,AQ$15,AQ$16,AQ$17,AQ$18,$X92))</f>
        <v/>
      </c>
      <c r="AR92" s="13">
        <f>IF(_epmOfflineCondition_,0,EPMSaveDataOnly(AN92,,AN$29,AN$25,AN$26,AN$31,AN$32,$AA$37,AR$14,AR$15,AR$16,AR$17,AR$18,$X92))</f>
        <v/>
      </c>
      <c r="AS92" s="384" t="n"/>
    </row>
    <row r="93" hidden="1" ht="15.75" customHeight="1" s="1181">
      <c r="A93" s="384" t="n"/>
      <c r="B93" s="384" t="n"/>
      <c r="C93" s="384" t="n"/>
      <c r="D93" s="384" t="n"/>
      <c r="E93" s="384" t="n"/>
      <c r="F93" s="384" t="n"/>
      <c r="G93" s="384" t="n"/>
      <c r="H93" s="384" t="n"/>
      <c r="I93" s="384" t="n"/>
      <c r="J93" s="384" t="n"/>
      <c r="K93" s="384" t="n"/>
      <c r="L93" s="384" t="n"/>
      <c r="M93" s="384" t="n"/>
      <c r="N93" s="384" t="n"/>
      <c r="O93" s="384" t="n"/>
      <c r="P93" s="384" t="n"/>
      <c r="Q93" s="384" t="n"/>
      <c r="R93" s="384" t="n"/>
      <c r="S93" s="384" t="n"/>
      <c r="T93" s="384" t="n"/>
      <c r="U93" s="384" t="n"/>
      <c r="V93" s="384" t="n"/>
      <c r="W93" s="384" t="n"/>
      <c r="X93" s="645">
        <f>IF(_epmOfflineCondition_,"I_E100033",EPMOlapMemberO("[C_INTERCO].[PARENTH1].[I_E100033]","","I_E100033","","000"))</f>
        <v/>
      </c>
      <c r="Y93" s="870">
        <f>IF(_epmOfflineCondition_,"尚义京能新能源有限公司",EPMMemberDesc(X93))</f>
        <v/>
      </c>
      <c r="Z93" s="1302" t="n"/>
      <c r="AA93" s="1302" t="n"/>
      <c r="AB93" s="858" t="n"/>
      <c r="AC93" s="1302" t="n"/>
      <c r="AD93" s="1302" t="n"/>
      <c r="AE93" s="1302" t="inlineStr"/>
      <c r="AF93" s="1302" t="inlineStr"/>
      <c r="AG93" s="1302" t="inlineStr"/>
      <c r="AH93" s="1302" t="n"/>
      <c r="AI93" s="1302" t="n"/>
      <c r="AJ93" s="1302" t="n"/>
      <c r="AK93" s="1302">
        <f>AI93-AJ93</f>
        <v/>
      </c>
      <c r="AL93" s="858" t="n"/>
      <c r="AM93" s="1297" t="inlineStr"/>
      <c r="AN93" s="1298" t="n"/>
      <c r="AO93" s="13">
        <f>IF(_epmOfflineCondition_,0,EPMSaveDataOnly(AB93,,AB$29,AB$25,AB$26,AB$31,AB$32,$AA$37,AO$14,AO$15,AO$16,AO$17,AO$18,X93))</f>
        <v/>
      </c>
      <c r="AP93" s="13">
        <f>IF(_epmOfflineCondition_,0,EPMSaveDataOnly(AL93,,AL$29,AL$25,AL$26,AL$31,AL$32,$AA$37,AP$14,AP$15,AP$16,AP$17,AP$18,$X93))</f>
        <v/>
      </c>
      <c r="AQ93" s="13">
        <f>IF(_epmOfflineCondition_,0,EPMSaveData(AM93,,AM$29,AM$25,AM$26,$C$6,AM$32,$AA$37,AQ$14,AQ$15,AQ$16,AQ$17,AQ$18,$X93))</f>
        <v/>
      </c>
      <c r="AR93" s="13">
        <f>IF(_epmOfflineCondition_,0,EPMSaveDataOnly(AN93,,AN$29,AN$25,AN$26,AN$31,AN$32,$AA$37,AR$14,AR$15,AR$16,AR$17,AR$18,$X93))</f>
        <v/>
      </c>
      <c r="AS93" s="384" t="n"/>
    </row>
    <row r="94" hidden="1" ht="15.75" customHeight="1" s="1181">
      <c r="A94" s="384" t="n"/>
      <c r="B94" s="384" t="n"/>
      <c r="C94" s="384" t="n"/>
      <c r="D94" s="384" t="n"/>
      <c r="E94" s="384" t="n"/>
      <c r="F94" s="384" t="n"/>
      <c r="G94" s="384" t="n"/>
      <c r="H94" s="384" t="n"/>
      <c r="I94" s="384" t="n"/>
      <c r="J94" s="384" t="n"/>
      <c r="K94" s="384" t="n"/>
      <c r="L94" s="384" t="n"/>
      <c r="M94" s="384" t="n"/>
      <c r="N94" s="384" t="n"/>
      <c r="O94" s="384" t="n"/>
      <c r="P94" s="384" t="n"/>
      <c r="Q94" s="384" t="n"/>
      <c r="R94" s="384" t="n"/>
      <c r="S94" s="384" t="n"/>
      <c r="T94" s="384" t="n"/>
      <c r="U94" s="384" t="n"/>
      <c r="V94" s="384" t="n"/>
      <c r="W94" s="384" t="n"/>
      <c r="X94" s="645">
        <f>IF(_epmOfflineCondition_,"I_E100034",EPMOlapMemberO("[C_INTERCO].[PARENTH1].[I_E100034]","","I_E100034","","000"))</f>
        <v/>
      </c>
      <c r="Y94" s="870">
        <f>IF(_epmOfflineCondition_,"康保新京清洁能源有限公司",EPMMemberDesc(X94))</f>
        <v/>
      </c>
      <c r="Z94" s="1302" t="n"/>
      <c r="AA94" s="1302" t="n"/>
      <c r="AB94" s="858" t="n"/>
      <c r="AC94" s="1302" t="n"/>
      <c r="AD94" s="1302" t="n"/>
      <c r="AE94" s="1302" t="inlineStr"/>
      <c r="AF94" s="1302" t="inlineStr"/>
      <c r="AG94" s="1302" t="inlineStr"/>
      <c r="AH94" s="1302" t="n"/>
      <c r="AI94" s="1302" t="n"/>
      <c r="AJ94" s="1302" t="n"/>
      <c r="AK94" s="1302">
        <f>AI94-AJ94</f>
        <v/>
      </c>
      <c r="AL94" s="858" t="n"/>
      <c r="AM94" s="1297" t="inlineStr"/>
      <c r="AN94" s="1298" t="n"/>
      <c r="AO94" s="13">
        <f>IF(_epmOfflineCondition_,0,EPMSaveDataOnly(AB94,,AB$29,AB$25,AB$26,AB$31,AB$32,$AA$37,AO$14,AO$15,AO$16,AO$17,AO$18,X94))</f>
        <v/>
      </c>
      <c r="AP94" s="13">
        <f>IF(_epmOfflineCondition_,0,EPMSaveDataOnly(AL94,,AL$29,AL$25,AL$26,AL$31,AL$32,$AA$37,AP$14,AP$15,AP$16,AP$17,AP$18,$X94))</f>
        <v/>
      </c>
      <c r="AQ94" s="13">
        <f>IF(_epmOfflineCondition_,0,EPMSaveData(AM94,,AM$29,AM$25,AM$26,$C$6,AM$32,$AA$37,AQ$14,AQ$15,AQ$16,AQ$17,AQ$18,$X94))</f>
        <v/>
      </c>
      <c r="AR94" s="13">
        <f>IF(_epmOfflineCondition_,0,EPMSaveDataOnly(AN94,,AN$29,AN$25,AN$26,AN$31,AN$32,$AA$37,AR$14,AR$15,AR$16,AR$17,AR$18,$X94))</f>
        <v/>
      </c>
      <c r="AS94" s="384" t="n"/>
    </row>
    <row r="95" hidden="1" ht="15.75" customHeight="1" s="1181">
      <c r="A95" s="384" t="n"/>
      <c r="B95" s="384" t="n"/>
      <c r="C95" s="384" t="n"/>
      <c r="D95" s="384" t="n"/>
      <c r="E95" s="384" t="n"/>
      <c r="F95" s="384" t="n"/>
      <c r="G95" s="384" t="n"/>
      <c r="H95" s="384" t="n"/>
      <c r="I95" s="384" t="n"/>
      <c r="J95" s="384" t="n"/>
      <c r="K95" s="384" t="n"/>
      <c r="L95" s="384" t="n"/>
      <c r="M95" s="384" t="n"/>
      <c r="N95" s="384" t="n"/>
      <c r="O95" s="384" t="n"/>
      <c r="P95" s="384" t="n"/>
      <c r="Q95" s="384" t="n"/>
      <c r="R95" s="384" t="n"/>
      <c r="S95" s="384" t="n"/>
      <c r="T95" s="384" t="n"/>
      <c r="U95" s="384" t="n"/>
      <c r="V95" s="384" t="n"/>
      <c r="W95" s="384" t="n"/>
      <c r="X95" s="645">
        <f>IF(_epmOfflineCondition_,"I_E100035",EPMOlapMemberO("[C_INTERCO].[PARENTH1].[I_E100035]","","I_E100035","","000"))</f>
        <v/>
      </c>
      <c r="Y95" s="870">
        <f>IF(_epmOfflineCondition_,"张北京能清洁能源有限公司",EPMMemberDesc(X95))</f>
        <v/>
      </c>
      <c r="Z95" s="1302" t="n"/>
      <c r="AA95" s="1302" t="n"/>
      <c r="AB95" s="858" t="n"/>
      <c r="AC95" s="1302" t="n"/>
      <c r="AD95" s="1302" t="n"/>
      <c r="AE95" s="1302" t="inlineStr"/>
      <c r="AF95" s="1302" t="inlineStr"/>
      <c r="AG95" s="1302" t="inlineStr"/>
      <c r="AH95" s="1302" t="n"/>
      <c r="AI95" s="1302" t="n"/>
      <c r="AJ95" s="1302" t="n"/>
      <c r="AK95" s="1302">
        <f>AI95-AJ95</f>
        <v/>
      </c>
      <c r="AL95" s="858" t="n"/>
      <c r="AM95" s="1297" t="inlineStr"/>
      <c r="AN95" s="1298" t="n"/>
      <c r="AO95" s="13">
        <f>IF(_epmOfflineCondition_,0,EPMSaveDataOnly(AB95,,AB$29,AB$25,AB$26,AB$31,AB$32,$AA$37,AO$14,AO$15,AO$16,AO$17,AO$18,X95))</f>
        <v/>
      </c>
      <c r="AP95" s="13">
        <f>IF(_epmOfflineCondition_,0,EPMSaveDataOnly(AL95,,AL$29,AL$25,AL$26,AL$31,AL$32,$AA$37,AP$14,AP$15,AP$16,AP$17,AP$18,$X95))</f>
        <v/>
      </c>
      <c r="AQ95" s="13">
        <f>IF(_epmOfflineCondition_,0,EPMSaveData(AM95,,AM$29,AM$25,AM$26,$C$6,AM$32,$AA$37,AQ$14,AQ$15,AQ$16,AQ$17,AQ$18,$X95))</f>
        <v/>
      </c>
      <c r="AR95" s="13">
        <f>IF(_epmOfflineCondition_,0,EPMSaveDataOnly(AN95,,AN$29,AN$25,AN$26,AN$31,AN$32,$AA$37,AR$14,AR$15,AR$16,AR$17,AR$18,$X95))</f>
        <v/>
      </c>
      <c r="AS95" s="384" t="n"/>
    </row>
    <row r="96" hidden="1" ht="15.75" customHeight="1" s="1181">
      <c r="A96" s="384" t="n"/>
      <c r="B96" s="384" t="n"/>
      <c r="C96" s="384" t="n"/>
      <c r="D96" s="384" t="n"/>
      <c r="E96" s="384" t="n"/>
      <c r="F96" s="384" t="n"/>
      <c r="G96" s="384" t="n"/>
      <c r="H96" s="384" t="n"/>
      <c r="I96" s="384" t="n"/>
      <c r="J96" s="384" t="n"/>
      <c r="K96" s="384" t="n"/>
      <c r="L96" s="384" t="n"/>
      <c r="M96" s="384" t="n"/>
      <c r="N96" s="384" t="n"/>
      <c r="O96" s="384" t="n"/>
      <c r="P96" s="384" t="n"/>
      <c r="Q96" s="384" t="n"/>
      <c r="R96" s="384" t="n"/>
      <c r="S96" s="384" t="n"/>
      <c r="T96" s="384" t="n"/>
      <c r="U96" s="384" t="n"/>
      <c r="V96" s="384" t="n"/>
      <c r="W96" s="384" t="n"/>
      <c r="X96" s="645">
        <f>IF(_epmOfflineCondition_,"I_E100036",EPMOlapMemberO("[C_INTERCO].[PARENTH1].[I_E100036]","","I_E100036","","000"))</f>
        <v/>
      </c>
      <c r="Y96" s="870">
        <f>IF(_epmOfflineCondition_,"京能怀南河北风电有限责任公司",EPMMemberDesc(X96))</f>
        <v/>
      </c>
      <c r="Z96" s="1302" t="n"/>
      <c r="AA96" s="1302" t="n"/>
      <c r="AB96" s="858" t="n"/>
      <c r="AC96" s="1302" t="n"/>
      <c r="AD96" s="1302" t="n"/>
      <c r="AE96" s="1302" t="inlineStr"/>
      <c r="AF96" s="1302" t="inlineStr"/>
      <c r="AG96" s="1302" t="inlineStr"/>
      <c r="AH96" s="1302" t="n"/>
      <c r="AI96" s="1302" t="n"/>
      <c r="AJ96" s="1302" t="n"/>
      <c r="AK96" s="1302">
        <f>AI96-AJ96</f>
        <v/>
      </c>
      <c r="AL96" s="858" t="n"/>
      <c r="AM96" s="1297" t="inlineStr"/>
      <c r="AN96" s="1298" t="n"/>
      <c r="AO96" s="13">
        <f>IF(_epmOfflineCondition_,0,EPMSaveDataOnly(AB96,,AB$29,AB$25,AB$26,AB$31,AB$32,$AA$37,AO$14,AO$15,AO$16,AO$17,AO$18,X96))</f>
        <v/>
      </c>
      <c r="AP96" s="13">
        <f>IF(_epmOfflineCondition_,0,EPMSaveDataOnly(AL96,,AL$29,AL$25,AL$26,AL$31,AL$32,$AA$37,AP$14,AP$15,AP$16,AP$17,AP$18,$X96))</f>
        <v/>
      </c>
      <c r="AQ96" s="13">
        <f>IF(_epmOfflineCondition_,0,EPMSaveData(AM96,,AM$29,AM$25,AM$26,$C$6,AM$32,$AA$37,AQ$14,AQ$15,AQ$16,AQ$17,AQ$18,$X96))</f>
        <v/>
      </c>
      <c r="AR96" s="13">
        <f>IF(_epmOfflineCondition_,0,EPMSaveDataOnly(AN96,,AN$29,AN$25,AN$26,AN$31,AN$32,$AA$37,AR$14,AR$15,AR$16,AR$17,AR$18,$X96))</f>
        <v/>
      </c>
      <c r="AS96" s="384" t="n"/>
    </row>
    <row r="97" hidden="1" ht="15.75" customHeight="1" s="1181">
      <c r="A97" s="384" t="n"/>
      <c r="B97" s="384" t="n"/>
      <c r="C97" s="384" t="n"/>
      <c r="D97" s="384" t="n"/>
      <c r="E97" s="384" t="n"/>
      <c r="F97" s="384" t="n"/>
      <c r="G97" s="384" t="n"/>
      <c r="H97" s="384" t="n"/>
      <c r="I97" s="384" t="n"/>
      <c r="J97" s="384" t="n"/>
      <c r="K97" s="384" t="n"/>
      <c r="L97" s="384" t="n"/>
      <c r="M97" s="384" t="n"/>
      <c r="N97" s="384" t="n"/>
      <c r="O97" s="384" t="n"/>
      <c r="P97" s="384" t="n"/>
      <c r="Q97" s="384" t="n"/>
      <c r="R97" s="384" t="n"/>
      <c r="S97" s="384" t="n"/>
      <c r="T97" s="384" t="n"/>
      <c r="U97" s="384" t="n"/>
      <c r="V97" s="384" t="n"/>
      <c r="W97" s="384" t="n"/>
      <c r="X97" s="645">
        <f>IF(_epmOfflineCondition_,"I_E100037",EPMOlapMemberO("[C_INTERCO].[PARENTH1].[I_E100037]","","I_E100037","","000"))</f>
        <v/>
      </c>
      <c r="Y97" s="870">
        <f>IF(_epmOfflineCondition_,"天津京河新能源有限公司",EPMMemberDesc(X97))</f>
        <v/>
      </c>
      <c r="Z97" s="1302" t="n"/>
      <c r="AA97" s="1302" t="n"/>
      <c r="AB97" s="858" t="n"/>
      <c r="AC97" s="1302" t="n"/>
      <c r="AD97" s="1302" t="n"/>
      <c r="AE97" s="1302" t="inlineStr"/>
      <c r="AF97" s="1302" t="inlineStr"/>
      <c r="AG97" s="1302" t="inlineStr"/>
      <c r="AH97" s="1302" t="n"/>
      <c r="AI97" s="1302" t="n"/>
      <c r="AJ97" s="1302" t="n"/>
      <c r="AK97" s="1302">
        <f>AI97-AJ97</f>
        <v/>
      </c>
      <c r="AL97" s="858" t="n"/>
      <c r="AM97" s="1297" t="inlineStr"/>
      <c r="AN97" s="1298" t="n"/>
      <c r="AO97" s="13">
        <f>IF(_epmOfflineCondition_,0,EPMSaveDataOnly(AB97,,AB$29,AB$25,AB$26,AB$31,AB$32,$AA$37,AO$14,AO$15,AO$16,AO$17,AO$18,X97))</f>
        <v/>
      </c>
      <c r="AP97" s="13">
        <f>IF(_epmOfflineCondition_,0,EPMSaveDataOnly(AL97,,AL$29,AL$25,AL$26,AL$31,AL$32,$AA$37,AP$14,AP$15,AP$16,AP$17,AP$18,$X97))</f>
        <v/>
      </c>
      <c r="AQ97" s="13">
        <f>IF(_epmOfflineCondition_,0,EPMSaveData(AM97,,AM$29,AM$25,AM$26,$C$6,AM$32,$AA$37,AQ$14,AQ$15,AQ$16,AQ$17,AQ$18,$X97))</f>
        <v/>
      </c>
      <c r="AR97" s="13">
        <f>IF(_epmOfflineCondition_,0,EPMSaveDataOnly(AN97,,AN$29,AN$25,AN$26,AN$31,AN$32,$AA$37,AR$14,AR$15,AR$16,AR$17,AR$18,$X97))</f>
        <v/>
      </c>
      <c r="AS97" s="384" t="n"/>
    </row>
    <row r="98" hidden="1" ht="15.75" customHeight="1" s="1181">
      <c r="A98" s="384" t="n"/>
      <c r="B98" s="384" t="n"/>
      <c r="C98" s="384" t="n"/>
      <c r="D98" s="384" t="n"/>
      <c r="E98" s="384" t="n"/>
      <c r="F98" s="384" t="n"/>
      <c r="G98" s="384" t="n"/>
      <c r="H98" s="384" t="n"/>
      <c r="I98" s="384" t="n"/>
      <c r="J98" s="384" t="n"/>
      <c r="K98" s="384" t="n"/>
      <c r="L98" s="384" t="n"/>
      <c r="M98" s="384" t="n"/>
      <c r="N98" s="384" t="n"/>
      <c r="O98" s="384" t="n"/>
      <c r="P98" s="384" t="n"/>
      <c r="Q98" s="384" t="n"/>
      <c r="R98" s="384" t="n"/>
      <c r="S98" s="384" t="n"/>
      <c r="T98" s="384" t="n"/>
      <c r="U98" s="384" t="n"/>
      <c r="V98" s="384" t="n"/>
      <c r="W98" s="384" t="n"/>
      <c r="X98" s="645">
        <f>IF(_epmOfflineCondition_,"I_E100038",EPMOlapMemberO("[C_INTERCO].[PARENTH1].[I_E100038]","","I_E100038","","000"))</f>
        <v/>
      </c>
      <c r="Y98" s="870">
        <f>IF(_epmOfflineCondition_,"天津京能新能源有限公司",EPMMemberDesc(X98))</f>
        <v/>
      </c>
      <c r="Z98" s="1302" t="n"/>
      <c r="AA98" s="1302" t="n"/>
      <c r="AB98" s="858" t="n"/>
      <c r="AC98" s="1302" t="n"/>
      <c r="AD98" s="1302" t="n"/>
      <c r="AE98" s="1302" t="inlineStr"/>
      <c r="AF98" s="1302" t="inlineStr"/>
      <c r="AG98" s="1302" t="inlineStr"/>
      <c r="AH98" s="1302" t="n"/>
      <c r="AI98" s="1302" t="n"/>
      <c r="AJ98" s="1302" t="n"/>
      <c r="AK98" s="1302">
        <f>AI98-AJ98</f>
        <v/>
      </c>
      <c r="AL98" s="858" t="n"/>
      <c r="AM98" s="1297" t="inlineStr"/>
      <c r="AN98" s="1298" t="n"/>
      <c r="AO98" s="13">
        <f>IF(_epmOfflineCondition_,0,EPMSaveDataOnly(AB98,,AB$29,AB$25,AB$26,AB$31,AB$32,$AA$37,AO$14,AO$15,AO$16,AO$17,AO$18,X98))</f>
        <v/>
      </c>
      <c r="AP98" s="13">
        <f>IF(_epmOfflineCondition_,0,EPMSaveDataOnly(AL98,,AL$29,AL$25,AL$26,AL$31,AL$32,$AA$37,AP$14,AP$15,AP$16,AP$17,AP$18,$X98))</f>
        <v/>
      </c>
      <c r="AQ98" s="13">
        <f>IF(_epmOfflineCondition_,0,EPMSaveData(AM98,,AM$29,AM$25,AM$26,$C$6,AM$32,$AA$37,AQ$14,AQ$15,AQ$16,AQ$17,AQ$18,$X98))</f>
        <v/>
      </c>
      <c r="AR98" s="13">
        <f>IF(_epmOfflineCondition_,0,EPMSaveDataOnly(AN98,,AN$29,AN$25,AN$26,AN$31,AN$32,$AA$37,AR$14,AR$15,AR$16,AR$17,AR$18,$X98))</f>
        <v/>
      </c>
      <c r="AS98" s="384" t="n"/>
    </row>
    <row r="99" hidden="1" ht="15.75" customHeight="1" s="1181">
      <c r="A99" s="384" t="n"/>
      <c r="B99" s="384" t="n"/>
      <c r="C99" s="384" t="n"/>
      <c r="D99" s="384" t="n"/>
      <c r="E99" s="384" t="n"/>
      <c r="F99" s="384" t="n"/>
      <c r="G99" s="384" t="n"/>
      <c r="H99" s="384" t="n"/>
      <c r="I99" s="384" t="n"/>
      <c r="J99" s="384" t="n"/>
      <c r="K99" s="384" t="n"/>
      <c r="L99" s="384" t="n"/>
      <c r="M99" s="384" t="n"/>
      <c r="N99" s="384" t="n"/>
      <c r="O99" s="384" t="n"/>
      <c r="P99" s="384" t="n"/>
      <c r="Q99" s="384" t="n"/>
      <c r="R99" s="384" t="n"/>
      <c r="S99" s="384" t="n"/>
      <c r="T99" s="384" t="n"/>
      <c r="U99" s="384" t="n"/>
      <c r="V99" s="384" t="n"/>
      <c r="W99" s="384" t="n"/>
      <c r="X99" s="645">
        <f>IF(_epmOfflineCondition_,"I_E100041",EPMOlapMemberO("[C_INTERCO].[PARENTH1].[I_E100041]","","I_E100041","","000"))</f>
        <v/>
      </c>
      <c r="Y99" s="870">
        <f>IF(_epmOfflineCondition_,"北京京能清洁能源电力股份有限公司东北分公司",EPMMemberDesc(X99))</f>
        <v/>
      </c>
      <c r="Z99" s="1302" t="n"/>
      <c r="AA99" s="1302" t="n"/>
      <c r="AB99" s="858" t="n"/>
      <c r="AC99" s="1302" t="n"/>
      <c r="AD99" s="1302" t="n"/>
      <c r="AE99" s="1302" t="inlineStr"/>
      <c r="AF99" s="1302" t="inlineStr"/>
      <c r="AG99" s="1302" t="inlineStr"/>
      <c r="AH99" s="1302" t="n"/>
      <c r="AI99" s="1302" t="n"/>
      <c r="AJ99" s="1302" t="n"/>
      <c r="AK99" s="1302">
        <f>AI99-AJ99</f>
        <v/>
      </c>
      <c r="AL99" s="858" t="n"/>
      <c r="AM99" s="1297" t="inlineStr"/>
      <c r="AN99" s="1298" t="n"/>
      <c r="AO99" s="13">
        <f>IF(_epmOfflineCondition_,0,EPMSaveDataOnly(AB99,,AB$29,AB$25,AB$26,AB$31,AB$32,$AA$37,AO$14,AO$15,AO$16,AO$17,AO$18,X99))</f>
        <v/>
      </c>
      <c r="AP99" s="13">
        <f>IF(_epmOfflineCondition_,0,EPMSaveDataOnly(AL99,,AL$29,AL$25,AL$26,AL$31,AL$32,$AA$37,AP$14,AP$15,AP$16,AP$17,AP$18,$X99))</f>
        <v/>
      </c>
      <c r="AQ99" s="13">
        <f>IF(_epmOfflineCondition_,0,EPMSaveData(AM99,,AM$29,AM$25,AM$26,$C$6,AM$32,$AA$37,AQ$14,AQ$15,AQ$16,AQ$17,AQ$18,$X99))</f>
        <v/>
      </c>
      <c r="AR99" s="13">
        <f>IF(_epmOfflineCondition_,0,EPMSaveDataOnly(AN99,,AN$29,AN$25,AN$26,AN$31,AN$32,$AA$37,AR$14,AR$15,AR$16,AR$17,AR$18,$X99))</f>
        <v/>
      </c>
      <c r="AS99" s="384" t="n"/>
    </row>
    <row r="100" hidden="1" ht="15.75" customHeight="1" s="1181">
      <c r="A100" s="384" t="n"/>
      <c r="B100" s="384" t="n"/>
      <c r="C100" s="384" t="n"/>
      <c r="D100" s="384" t="n"/>
      <c r="E100" s="384" t="n"/>
      <c r="F100" s="384" t="n"/>
      <c r="G100" s="384" t="n"/>
      <c r="H100" s="384" t="n"/>
      <c r="I100" s="384" t="n"/>
      <c r="J100" s="384" t="n"/>
      <c r="K100" s="384" t="n"/>
      <c r="L100" s="384" t="n"/>
      <c r="M100" s="384" t="n"/>
      <c r="N100" s="384" t="n"/>
      <c r="O100" s="384" t="n"/>
      <c r="P100" s="384" t="n"/>
      <c r="Q100" s="384" t="n"/>
      <c r="R100" s="384" t="n"/>
      <c r="S100" s="384" t="n"/>
      <c r="T100" s="384" t="n"/>
      <c r="U100" s="384" t="n"/>
      <c r="V100" s="384" t="n"/>
      <c r="W100" s="384" t="n"/>
      <c r="X100" s="645">
        <f>IF(_epmOfflineCondition_,"I_E100042",EPMOlapMemberO("[C_INTERCO].[PARENTH1].[I_E100042]","","I_E100042","","000"))</f>
        <v/>
      </c>
      <c r="Y100" s="870">
        <f>IF(_epmOfflineCondition_,"内蒙古京能旗杆风力发电有限公司",EPMMemberDesc(X100))</f>
        <v/>
      </c>
      <c r="Z100" s="1302" t="n"/>
      <c r="AA100" s="1302" t="n"/>
      <c r="AB100" s="858" t="n"/>
      <c r="AC100" s="1302" t="n"/>
      <c r="AD100" s="1302" t="n"/>
      <c r="AE100" s="1302" t="inlineStr"/>
      <c r="AF100" s="1302" t="inlineStr"/>
      <c r="AG100" s="1302" t="inlineStr"/>
      <c r="AH100" s="1302" t="n"/>
      <c r="AI100" s="1302" t="n"/>
      <c r="AJ100" s="1302" t="n"/>
      <c r="AK100" s="1302">
        <f>AI100-AJ100</f>
        <v/>
      </c>
      <c r="AL100" s="858" t="n"/>
      <c r="AM100" s="1297" t="inlineStr"/>
      <c r="AN100" s="1298" t="n"/>
      <c r="AO100" s="13">
        <f>IF(_epmOfflineCondition_,0,EPMSaveDataOnly(AB100,,AB$29,AB$25,AB$26,AB$31,AB$32,$AA$37,AO$14,AO$15,AO$16,AO$17,AO$18,X100))</f>
        <v/>
      </c>
      <c r="AP100" s="13">
        <f>IF(_epmOfflineCondition_,0,EPMSaveDataOnly(AL100,,AL$29,AL$25,AL$26,AL$31,AL$32,$AA$37,AP$14,AP$15,AP$16,AP$17,AP$18,$X100))</f>
        <v/>
      </c>
      <c r="AQ100" s="13">
        <f>IF(_epmOfflineCondition_,0,EPMSaveData(AM100,,AM$29,AM$25,AM$26,$C$6,AM$32,$AA$37,AQ$14,AQ$15,AQ$16,AQ$17,AQ$18,$X100))</f>
        <v/>
      </c>
      <c r="AR100" s="13">
        <f>IF(_epmOfflineCondition_,0,EPMSaveDataOnly(AN100,,AN$29,AN$25,AN$26,AN$31,AN$32,$AA$37,AR$14,AR$15,AR$16,AR$17,AR$18,$X100))</f>
        <v/>
      </c>
      <c r="AS100" s="384" t="n"/>
    </row>
    <row r="101" hidden="1" ht="15.75" customHeight="1" s="1181">
      <c r="A101" s="384" t="n"/>
      <c r="B101" s="384" t="n"/>
      <c r="C101" s="384" t="n"/>
      <c r="D101" s="384" t="n"/>
      <c r="E101" s="384" t="n"/>
      <c r="F101" s="384" t="n"/>
      <c r="G101" s="384" t="n"/>
      <c r="H101" s="384" t="n"/>
      <c r="I101" s="384" t="n"/>
      <c r="J101" s="384" t="n"/>
      <c r="K101" s="384" t="n"/>
      <c r="L101" s="384" t="n"/>
      <c r="M101" s="384" t="n"/>
      <c r="N101" s="384" t="n"/>
      <c r="O101" s="384" t="n"/>
      <c r="P101" s="384" t="n"/>
      <c r="Q101" s="384" t="n"/>
      <c r="R101" s="384" t="n"/>
      <c r="S101" s="384" t="n"/>
      <c r="T101" s="384" t="n"/>
      <c r="U101" s="384" t="n"/>
      <c r="V101" s="384" t="n"/>
      <c r="W101" s="384" t="n"/>
      <c r="X101" s="645">
        <f>IF(_epmOfflineCondition_,"I_E100043",EPMOlapMemberO("[C_INTERCO].[PARENTH1].[I_E100043]","","I_E100043","","000"))</f>
        <v/>
      </c>
      <c r="Y101" s="870">
        <f>IF(_epmOfflineCondition_,"内蒙古京能霍林郭勒风力发电有限责任公司",EPMMemberDesc(X101))</f>
        <v/>
      </c>
      <c r="Z101" s="1302" t="n"/>
      <c r="AA101" s="1302" t="n"/>
      <c r="AB101" s="858" t="n"/>
      <c r="AC101" s="1302" t="n"/>
      <c r="AD101" s="1302" t="n"/>
      <c r="AE101" s="1302" t="inlineStr"/>
      <c r="AF101" s="1302" t="inlineStr"/>
      <c r="AG101" s="1302" t="inlineStr"/>
      <c r="AH101" s="1302" t="n"/>
      <c r="AI101" s="1302" t="n"/>
      <c r="AJ101" s="1302" t="n"/>
      <c r="AK101" s="1302">
        <f>AI101-AJ101</f>
        <v/>
      </c>
      <c r="AL101" s="858" t="n"/>
      <c r="AM101" s="1297" t="inlineStr"/>
      <c r="AN101" s="1298" t="n"/>
      <c r="AO101" s="13">
        <f>IF(_epmOfflineCondition_,0,EPMSaveDataOnly(AB101,,AB$29,AB$25,AB$26,AB$31,AB$32,$AA$37,AO$14,AO$15,AO$16,AO$17,AO$18,X101))</f>
        <v/>
      </c>
      <c r="AP101" s="13">
        <f>IF(_epmOfflineCondition_,0,EPMSaveDataOnly(AL101,,AL$29,AL$25,AL$26,AL$31,AL$32,$AA$37,AP$14,AP$15,AP$16,AP$17,AP$18,$X101))</f>
        <v/>
      </c>
      <c r="AQ101" s="13">
        <f>IF(_epmOfflineCondition_,0,EPMSaveData(AM101,,AM$29,AM$25,AM$26,$C$6,AM$32,$AA$37,AQ$14,AQ$15,AQ$16,AQ$17,AQ$18,$X101))</f>
        <v/>
      </c>
      <c r="AR101" s="13">
        <f>IF(_epmOfflineCondition_,0,EPMSaveDataOnly(AN101,,AN$29,AN$25,AN$26,AN$31,AN$32,$AA$37,AR$14,AR$15,AR$16,AR$17,AR$18,$X101))</f>
        <v/>
      </c>
      <c r="AS101" s="384" t="n"/>
    </row>
    <row r="102" hidden="1" ht="15.75" customHeight="1" s="1181">
      <c r="A102" s="384" t="n"/>
      <c r="B102" s="384" t="n"/>
      <c r="C102" s="384" t="n"/>
      <c r="D102" s="384" t="n"/>
      <c r="E102" s="384" t="n"/>
      <c r="F102" s="384" t="n"/>
      <c r="G102" s="384" t="n"/>
      <c r="H102" s="384" t="n"/>
      <c r="I102" s="384" t="n"/>
      <c r="J102" s="384" t="n"/>
      <c r="K102" s="384" t="n"/>
      <c r="L102" s="384" t="n"/>
      <c r="M102" s="384" t="n"/>
      <c r="N102" s="384" t="n"/>
      <c r="O102" s="384" t="n"/>
      <c r="P102" s="384" t="n"/>
      <c r="Q102" s="384" t="n"/>
      <c r="R102" s="384" t="n"/>
      <c r="S102" s="384" t="n"/>
      <c r="T102" s="384" t="n"/>
      <c r="U102" s="384" t="n"/>
      <c r="V102" s="384" t="n"/>
      <c r="W102" s="384" t="n"/>
      <c r="X102" s="645">
        <f>IF(_epmOfflineCondition_,"I_E100044",EPMOlapMemberO("[C_INTERCO].[PARENTH1].[I_E100044]","","I_E100044","","000"))</f>
        <v/>
      </c>
      <c r="Y102" s="870">
        <f>IF(_epmOfflineCondition_,"内蒙古京能科右中风力发电有限责任公司",EPMMemberDesc(X102))</f>
        <v/>
      </c>
      <c r="Z102" s="1302" t="n"/>
      <c r="AA102" s="1302" t="n"/>
      <c r="AB102" s="858" t="n"/>
      <c r="AC102" s="1302" t="n"/>
      <c r="AD102" s="1302" t="n"/>
      <c r="AE102" s="1302" t="inlineStr"/>
      <c r="AF102" s="1302" t="inlineStr"/>
      <c r="AG102" s="1302" t="inlineStr"/>
      <c r="AH102" s="1302" t="n"/>
      <c r="AI102" s="1302" t="n"/>
      <c r="AJ102" s="1302" t="n"/>
      <c r="AK102" s="1302">
        <f>AI102-AJ102</f>
        <v/>
      </c>
      <c r="AL102" s="858" t="n"/>
      <c r="AM102" s="1297" t="inlineStr"/>
      <c r="AN102" s="1298" t="n"/>
      <c r="AO102" s="13">
        <f>IF(_epmOfflineCondition_,0,EPMSaveDataOnly(AB102,,AB$29,AB$25,AB$26,AB$31,AB$32,$AA$37,AO$14,AO$15,AO$16,AO$17,AO$18,X102))</f>
        <v/>
      </c>
      <c r="AP102" s="13">
        <f>IF(_epmOfflineCondition_,0,EPMSaveDataOnly(AL102,,AL$29,AL$25,AL$26,AL$31,AL$32,$AA$37,AP$14,AP$15,AP$16,AP$17,AP$18,$X102))</f>
        <v/>
      </c>
      <c r="AQ102" s="13">
        <f>IF(_epmOfflineCondition_,0,EPMSaveData(AM102,,AM$29,AM$25,AM$26,$C$6,AM$32,$AA$37,AQ$14,AQ$15,AQ$16,AQ$17,AQ$18,$X102))</f>
        <v/>
      </c>
      <c r="AR102" s="13">
        <f>IF(_epmOfflineCondition_,0,EPMSaveDataOnly(AN102,,AN$29,AN$25,AN$26,AN$31,AN$32,$AA$37,AR$14,AR$15,AR$16,AR$17,AR$18,$X102))</f>
        <v/>
      </c>
      <c r="AS102" s="384" t="n"/>
    </row>
    <row r="103" hidden="1" ht="15.75" customHeight="1" s="1181">
      <c r="A103" s="384" t="n"/>
      <c r="B103" s="384" t="n"/>
      <c r="C103" s="384" t="n"/>
      <c r="D103" s="384" t="n"/>
      <c r="E103" s="384" t="n"/>
      <c r="F103" s="384" t="n"/>
      <c r="G103" s="384" t="n"/>
      <c r="H103" s="384" t="n"/>
      <c r="I103" s="384" t="n"/>
      <c r="J103" s="384" t="n"/>
      <c r="K103" s="384" t="n"/>
      <c r="L103" s="384" t="n"/>
      <c r="M103" s="384" t="n"/>
      <c r="N103" s="384" t="n"/>
      <c r="O103" s="384" t="n"/>
      <c r="P103" s="384" t="n"/>
      <c r="Q103" s="384" t="n"/>
      <c r="R103" s="384" t="n"/>
      <c r="S103" s="384" t="n"/>
      <c r="T103" s="384" t="n"/>
      <c r="U103" s="384" t="n"/>
      <c r="V103" s="384" t="n"/>
      <c r="W103" s="384" t="n"/>
      <c r="X103" s="645">
        <f>IF(_epmOfflineCondition_,"I_E100045",EPMOlapMemberO("[C_INTERCO].[PARENTH1].[I_E100045]","","I_E100045","","000"))</f>
        <v/>
      </c>
      <c r="Y103" s="870">
        <f>IF(_epmOfflineCondition_,"内蒙古京能乌兰风力发电有限公司",EPMMemberDesc(X103))</f>
        <v/>
      </c>
      <c r="Z103" s="1302" t="n"/>
      <c r="AA103" s="1302" t="n"/>
      <c r="AB103" s="858" t="n"/>
      <c r="AC103" s="1302" t="n"/>
      <c r="AD103" s="1302" t="n"/>
      <c r="AE103" s="1302" t="inlineStr"/>
      <c r="AF103" s="1302" t="inlineStr"/>
      <c r="AG103" s="1302" t="inlineStr"/>
      <c r="AH103" s="1302" t="n"/>
      <c r="AI103" s="1302" t="n"/>
      <c r="AJ103" s="1302" t="n"/>
      <c r="AK103" s="1302">
        <f>AI103-AJ103</f>
        <v/>
      </c>
      <c r="AL103" s="858" t="n"/>
      <c r="AM103" s="1297" t="inlineStr"/>
      <c r="AN103" s="1298" t="n"/>
      <c r="AO103" s="13">
        <f>IF(_epmOfflineCondition_,0,EPMSaveDataOnly(AB103,,AB$29,AB$25,AB$26,AB$31,AB$32,$AA$37,AO$14,AO$15,AO$16,AO$17,AO$18,X103))</f>
        <v/>
      </c>
      <c r="AP103" s="13">
        <f>IF(_epmOfflineCondition_,0,EPMSaveDataOnly(AL103,,AL$29,AL$25,AL$26,AL$31,AL$32,$AA$37,AP$14,AP$15,AP$16,AP$17,AP$18,$X103))</f>
        <v/>
      </c>
      <c r="AQ103" s="13">
        <f>IF(_epmOfflineCondition_,0,EPMSaveData(AM103,,AM$29,AM$25,AM$26,$C$6,AM$32,$AA$37,AQ$14,AQ$15,AQ$16,AQ$17,AQ$18,$X103))</f>
        <v/>
      </c>
      <c r="AR103" s="13">
        <f>IF(_epmOfflineCondition_,0,EPMSaveDataOnly(AN103,,AN$29,AN$25,AN$26,AN$31,AN$32,$AA$37,AR$14,AR$15,AR$16,AR$17,AR$18,$X103))</f>
        <v/>
      </c>
      <c r="AS103" s="384" t="n"/>
    </row>
    <row r="104" hidden="1" ht="15.75" customHeight="1" s="1181">
      <c r="A104" s="384" t="n"/>
      <c r="B104" s="384" t="n"/>
      <c r="C104" s="384" t="n"/>
      <c r="D104" s="384" t="n"/>
      <c r="E104" s="384" t="n"/>
      <c r="F104" s="384" t="n"/>
      <c r="G104" s="384" t="n"/>
      <c r="H104" s="384" t="n"/>
      <c r="I104" s="384" t="n"/>
      <c r="J104" s="384" t="n"/>
      <c r="K104" s="384" t="n"/>
      <c r="L104" s="384" t="n"/>
      <c r="M104" s="384" t="n"/>
      <c r="N104" s="384" t="n"/>
      <c r="O104" s="384" t="n"/>
      <c r="P104" s="384" t="n"/>
      <c r="Q104" s="384" t="n"/>
      <c r="R104" s="384" t="n"/>
      <c r="S104" s="384" t="n"/>
      <c r="T104" s="384" t="n"/>
      <c r="U104" s="384" t="n"/>
      <c r="V104" s="384" t="n"/>
      <c r="W104" s="384" t="n"/>
      <c r="X104" s="645">
        <f>IF(_epmOfflineCondition_,"I_E100046",EPMOlapMemberO("[C_INTERCO].[PARENTH1].[I_E100046]","","I_E100046","","000"))</f>
        <v/>
      </c>
      <c r="Y104" s="870">
        <f>IF(_epmOfflineCondition_,"内蒙古京能巴林右风力发电有限责任公司",EPMMemberDesc(X104))</f>
        <v/>
      </c>
      <c r="Z104" s="1302" t="n"/>
      <c r="AA104" s="1302" t="n"/>
      <c r="AB104" s="858" t="n"/>
      <c r="AC104" s="1302" t="n"/>
      <c r="AD104" s="1302" t="n"/>
      <c r="AE104" s="1302" t="inlineStr"/>
      <c r="AF104" s="1302" t="inlineStr"/>
      <c r="AG104" s="1302" t="inlineStr"/>
      <c r="AH104" s="1302" t="n"/>
      <c r="AI104" s="1302" t="n"/>
      <c r="AJ104" s="1302" t="n"/>
      <c r="AK104" s="1302">
        <f>AI104-AJ104</f>
        <v/>
      </c>
      <c r="AL104" s="858" t="n"/>
      <c r="AM104" s="1297" t="inlineStr"/>
      <c r="AN104" s="1298" t="n"/>
      <c r="AO104" s="13">
        <f>IF(_epmOfflineCondition_,0,EPMSaveDataOnly(AB104,,AB$29,AB$25,AB$26,AB$31,AB$32,$AA$37,AO$14,AO$15,AO$16,AO$17,AO$18,X104))</f>
        <v/>
      </c>
      <c r="AP104" s="13">
        <f>IF(_epmOfflineCondition_,0,EPMSaveDataOnly(AL104,,AL$29,AL$25,AL$26,AL$31,AL$32,$AA$37,AP$14,AP$15,AP$16,AP$17,AP$18,$X104))</f>
        <v/>
      </c>
      <c r="AQ104" s="13">
        <f>IF(_epmOfflineCondition_,0,EPMSaveData(AM104,,AM$29,AM$25,AM$26,$C$6,AM$32,$AA$37,AQ$14,AQ$15,AQ$16,AQ$17,AQ$18,$X104))</f>
        <v/>
      </c>
      <c r="AR104" s="13">
        <f>IF(_epmOfflineCondition_,0,EPMSaveDataOnly(AN104,,AN$29,AN$25,AN$26,AN$31,AN$32,$AA$37,AR$14,AR$15,AR$16,AR$17,AR$18,$X104))</f>
        <v/>
      </c>
      <c r="AS104" s="384" t="n"/>
    </row>
    <row r="105" hidden="1" ht="15.75" customHeight="1" s="1181">
      <c r="A105" s="384" t="n"/>
      <c r="B105" s="384" t="n"/>
      <c r="C105" s="384" t="n"/>
      <c r="D105" s="384" t="n"/>
      <c r="E105" s="384" t="n"/>
      <c r="F105" s="384" t="n"/>
      <c r="G105" s="384" t="n"/>
      <c r="H105" s="384" t="n"/>
      <c r="I105" s="384" t="n"/>
      <c r="J105" s="384" t="n"/>
      <c r="K105" s="384" t="n"/>
      <c r="L105" s="384" t="n"/>
      <c r="M105" s="384" t="n"/>
      <c r="N105" s="384" t="n"/>
      <c r="O105" s="384" t="n"/>
      <c r="P105" s="384" t="n"/>
      <c r="Q105" s="384" t="n"/>
      <c r="R105" s="384" t="n"/>
      <c r="S105" s="384" t="n"/>
      <c r="T105" s="384" t="n"/>
      <c r="U105" s="384" t="n"/>
      <c r="V105" s="384" t="n"/>
      <c r="W105" s="384" t="n"/>
      <c r="X105" s="645">
        <f>IF(_epmOfflineCondition_,"I_E100047",EPMOlapMemberO("[C_INTERCO].[PARENTH1].[I_E100047]","","I_E100047","","000"))</f>
        <v/>
      </c>
      <c r="Y105" s="870">
        <f>IF(_epmOfflineCondition_,"葫芦岛南票京泰新能源有限公司",EPMMemberDesc(X105))</f>
        <v/>
      </c>
      <c r="Z105" s="1302" t="n"/>
      <c r="AA105" s="1302" t="n"/>
      <c r="AB105" s="858" t="n"/>
      <c r="AC105" s="1302" t="n"/>
      <c r="AD105" s="1302" t="n"/>
      <c r="AE105" s="1302" t="inlineStr"/>
      <c r="AF105" s="1302" t="inlineStr"/>
      <c r="AG105" s="1302" t="inlineStr"/>
      <c r="AH105" s="1302" t="n"/>
      <c r="AI105" s="1302" t="n"/>
      <c r="AJ105" s="1302" t="n"/>
      <c r="AK105" s="1302">
        <f>AI105-AJ105</f>
        <v/>
      </c>
      <c r="AL105" s="858" t="n"/>
      <c r="AM105" s="1297" t="inlineStr"/>
      <c r="AN105" s="1298" t="n"/>
      <c r="AO105" s="13">
        <f>IF(_epmOfflineCondition_,0,EPMSaveDataOnly(AB105,,AB$29,AB$25,AB$26,AB$31,AB$32,$AA$37,AO$14,AO$15,AO$16,AO$17,AO$18,X105))</f>
        <v/>
      </c>
      <c r="AP105" s="13">
        <f>IF(_epmOfflineCondition_,0,EPMSaveDataOnly(AL105,,AL$29,AL$25,AL$26,AL$31,AL$32,$AA$37,AP$14,AP$15,AP$16,AP$17,AP$18,$X105))</f>
        <v/>
      </c>
      <c r="AQ105" s="13">
        <f>IF(_epmOfflineCondition_,0,EPMSaveData(AM105,,AM$29,AM$25,AM$26,$C$6,AM$32,$AA$37,AQ$14,AQ$15,AQ$16,AQ$17,AQ$18,$X105))</f>
        <v/>
      </c>
      <c r="AR105" s="13">
        <f>IF(_epmOfflineCondition_,0,EPMSaveDataOnly(AN105,,AN$29,AN$25,AN$26,AN$31,AN$32,$AA$37,AR$14,AR$15,AR$16,AR$17,AR$18,$X105))</f>
        <v/>
      </c>
      <c r="AS105" s="384" t="n"/>
    </row>
    <row r="106" hidden="1" ht="15.75" customHeight="1" s="1181">
      <c r="A106" s="384" t="n"/>
      <c r="B106" s="384" t="n"/>
      <c r="C106" s="384" t="n"/>
      <c r="D106" s="384" t="n"/>
      <c r="E106" s="384" t="n"/>
      <c r="F106" s="384" t="n"/>
      <c r="G106" s="384" t="n"/>
      <c r="H106" s="384" t="n"/>
      <c r="I106" s="384" t="n"/>
      <c r="J106" s="384" t="n"/>
      <c r="K106" s="384" t="n"/>
      <c r="L106" s="384" t="n"/>
      <c r="M106" s="384" t="n"/>
      <c r="N106" s="384" t="n"/>
      <c r="O106" s="384" t="n"/>
      <c r="P106" s="384" t="n"/>
      <c r="Q106" s="384" t="n"/>
      <c r="R106" s="384" t="n"/>
      <c r="S106" s="384" t="n"/>
      <c r="T106" s="384" t="n"/>
      <c r="U106" s="384" t="n"/>
      <c r="V106" s="384" t="n"/>
      <c r="W106" s="384" t="n"/>
      <c r="X106" s="645">
        <f>IF(_epmOfflineCondition_,"I_E100048",EPMOlapMemberO("[C_INTERCO].[PARENTH1].[I_E100048]","","I_E100048","","000"))</f>
        <v/>
      </c>
      <c r="Y106" s="870">
        <f>IF(_epmOfflineCondition_,"北票京能新能源有限公司",EPMMemberDesc(X106))</f>
        <v/>
      </c>
      <c r="Z106" s="1302" t="n"/>
      <c r="AA106" s="1302" t="n"/>
      <c r="AB106" s="858" t="n"/>
      <c r="AC106" s="1302" t="n"/>
      <c r="AD106" s="1302" t="n"/>
      <c r="AE106" s="1302" t="inlineStr"/>
      <c r="AF106" s="1302" t="inlineStr"/>
      <c r="AG106" s="1302" t="inlineStr"/>
      <c r="AH106" s="1302" t="n"/>
      <c r="AI106" s="1302" t="n"/>
      <c r="AJ106" s="1302" t="n"/>
      <c r="AK106" s="1302">
        <f>AI106-AJ106</f>
        <v/>
      </c>
      <c r="AL106" s="858" t="n"/>
      <c r="AM106" s="1297" t="inlineStr"/>
      <c r="AN106" s="1298" t="n"/>
      <c r="AO106" s="13">
        <f>IF(_epmOfflineCondition_,0,EPMSaveDataOnly(AB106,,AB$29,AB$25,AB$26,AB$31,AB$32,$AA$37,AO$14,AO$15,AO$16,AO$17,AO$18,X106))</f>
        <v/>
      </c>
      <c r="AP106" s="13">
        <f>IF(_epmOfflineCondition_,0,EPMSaveDataOnly(AL106,,AL$29,AL$25,AL$26,AL$31,AL$32,$AA$37,AP$14,AP$15,AP$16,AP$17,AP$18,$X106))</f>
        <v/>
      </c>
      <c r="AQ106" s="13">
        <f>IF(_epmOfflineCondition_,0,EPMSaveData(AM106,,AM$29,AM$25,AM$26,$C$6,AM$32,$AA$37,AQ$14,AQ$15,AQ$16,AQ$17,AQ$18,$X106))</f>
        <v/>
      </c>
      <c r="AR106" s="13">
        <f>IF(_epmOfflineCondition_,0,EPMSaveDataOnly(AN106,,AN$29,AN$25,AN$26,AN$31,AN$32,$AA$37,AR$14,AR$15,AR$16,AR$17,AR$18,$X106))</f>
        <v/>
      </c>
      <c r="AS106" s="384" t="n"/>
    </row>
    <row r="107" hidden="1" ht="15.75" customHeight="1" s="1181">
      <c r="A107" s="384" t="n"/>
      <c r="B107" s="384" t="n"/>
      <c r="C107" s="384" t="n"/>
      <c r="D107" s="384" t="n"/>
      <c r="E107" s="384" t="n"/>
      <c r="F107" s="384" t="n"/>
      <c r="G107" s="384" t="n"/>
      <c r="H107" s="384" t="n"/>
      <c r="I107" s="384" t="n"/>
      <c r="J107" s="384" t="n"/>
      <c r="K107" s="384" t="n"/>
      <c r="L107" s="384" t="n"/>
      <c r="M107" s="384" t="n"/>
      <c r="N107" s="384" t="n"/>
      <c r="O107" s="384" t="n"/>
      <c r="P107" s="384" t="n"/>
      <c r="Q107" s="384" t="n"/>
      <c r="R107" s="384" t="n"/>
      <c r="S107" s="384" t="n"/>
      <c r="T107" s="384" t="n"/>
      <c r="U107" s="384" t="n"/>
      <c r="V107" s="384" t="n"/>
      <c r="W107" s="384" t="n"/>
      <c r="X107" s="645">
        <f>IF(_epmOfflineCondition_,"I_E100049",EPMOlapMemberO("[C_INTERCO].[PARENTH1].[I_E100049]","","I_E100049","","000"))</f>
        <v/>
      </c>
      <c r="Y107" s="870">
        <f>IF(_epmOfflineCondition_,"凌源东大光伏发电有限公司",EPMMemberDesc(X107))</f>
        <v/>
      </c>
      <c r="Z107" s="1302" t="n"/>
      <c r="AA107" s="1302" t="n"/>
      <c r="AB107" s="858" t="n"/>
      <c r="AC107" s="1302" t="n"/>
      <c r="AD107" s="1302" t="n"/>
      <c r="AE107" s="1302" t="inlineStr"/>
      <c r="AF107" s="1302" t="inlineStr"/>
      <c r="AG107" s="1302" t="inlineStr"/>
      <c r="AH107" s="1302" t="n"/>
      <c r="AI107" s="1302" t="n"/>
      <c r="AJ107" s="1302" t="n"/>
      <c r="AK107" s="1302">
        <f>AI107-AJ107</f>
        <v/>
      </c>
      <c r="AL107" s="858" t="n"/>
      <c r="AM107" s="1297" t="inlineStr"/>
      <c r="AN107" s="1298" t="n"/>
      <c r="AO107" s="13">
        <f>IF(_epmOfflineCondition_,0,EPMSaveDataOnly(AB107,,AB$29,AB$25,AB$26,AB$31,AB$32,$AA$37,AO$14,AO$15,AO$16,AO$17,AO$18,X107))</f>
        <v/>
      </c>
      <c r="AP107" s="13">
        <f>IF(_epmOfflineCondition_,0,EPMSaveDataOnly(AL107,,AL$29,AL$25,AL$26,AL$31,AL$32,$AA$37,AP$14,AP$15,AP$16,AP$17,AP$18,$X107))</f>
        <v/>
      </c>
      <c r="AQ107" s="13">
        <f>IF(_epmOfflineCondition_,0,EPMSaveData(AM107,,AM$29,AM$25,AM$26,$C$6,AM$32,$AA$37,AQ$14,AQ$15,AQ$16,AQ$17,AQ$18,$X107))</f>
        <v/>
      </c>
      <c r="AR107" s="13">
        <f>IF(_epmOfflineCondition_,0,EPMSaveDataOnly(AN107,,AN$29,AN$25,AN$26,AN$31,AN$32,$AA$37,AR$14,AR$15,AR$16,AR$17,AR$18,$X107))</f>
        <v/>
      </c>
      <c r="AS107" s="384" t="n"/>
    </row>
    <row r="108" hidden="1" ht="15.75" customHeight="1" s="1181">
      <c r="A108" s="384" t="n"/>
      <c r="B108" s="384" t="n"/>
      <c r="C108" s="384" t="n"/>
      <c r="D108" s="384" t="n"/>
      <c r="E108" s="384" t="n"/>
      <c r="F108" s="384" t="n"/>
      <c r="G108" s="384" t="n"/>
      <c r="H108" s="384" t="n"/>
      <c r="I108" s="384" t="n"/>
      <c r="J108" s="384" t="n"/>
      <c r="K108" s="384" t="n"/>
      <c r="L108" s="384" t="n"/>
      <c r="M108" s="384" t="n"/>
      <c r="N108" s="384" t="n"/>
      <c r="O108" s="384" t="n"/>
      <c r="P108" s="384" t="n"/>
      <c r="Q108" s="384" t="n"/>
      <c r="R108" s="384" t="n"/>
      <c r="S108" s="384" t="n"/>
      <c r="T108" s="384" t="n"/>
      <c r="U108" s="384" t="n"/>
      <c r="V108" s="384" t="n"/>
      <c r="W108" s="384" t="n"/>
      <c r="X108" s="645">
        <f>IF(_epmOfflineCondition_,"I_E100050",EPMOlapMemberO("[C_INTERCO].[PARENTH1].[I_E100050]","","I_E100050","","000"))</f>
        <v/>
      </c>
      <c r="Y108" s="870">
        <f>IF(_epmOfflineCondition_,"内蒙古京能苏尼特风力发电有限公司",EPMMemberDesc(X108))</f>
        <v/>
      </c>
      <c r="Z108" s="1302" t="n"/>
      <c r="AA108" s="1302" t="n"/>
      <c r="AB108" s="858" t="n"/>
      <c r="AC108" s="1302" t="n"/>
      <c r="AD108" s="1302" t="n"/>
      <c r="AE108" s="1302" t="inlineStr"/>
      <c r="AF108" s="1302" t="inlineStr"/>
      <c r="AG108" s="1302" t="inlineStr"/>
      <c r="AH108" s="1302" t="n"/>
      <c r="AI108" s="1302" t="n"/>
      <c r="AJ108" s="1302" t="n"/>
      <c r="AK108" s="1302">
        <f>AI108-AJ108</f>
        <v/>
      </c>
      <c r="AL108" s="858" t="n"/>
      <c r="AM108" s="1297" t="inlineStr"/>
      <c r="AN108" s="1298" t="n"/>
      <c r="AO108" s="13">
        <f>IF(_epmOfflineCondition_,0,EPMSaveDataOnly(AB108,,AB$29,AB$25,AB$26,AB$31,AB$32,$AA$37,AO$14,AO$15,AO$16,AO$17,AO$18,X108))</f>
        <v/>
      </c>
      <c r="AP108" s="13">
        <f>IF(_epmOfflineCondition_,0,EPMSaveDataOnly(AL108,,AL$29,AL$25,AL$26,AL$31,AL$32,$AA$37,AP$14,AP$15,AP$16,AP$17,AP$18,$X108))</f>
        <v/>
      </c>
      <c r="AQ108" s="13">
        <f>IF(_epmOfflineCondition_,0,EPMSaveData(AM108,,AM$29,AM$25,AM$26,$C$6,AM$32,$AA$37,AQ$14,AQ$15,AQ$16,AQ$17,AQ$18,$X108))</f>
        <v/>
      </c>
      <c r="AR108" s="13">
        <f>IF(_epmOfflineCondition_,0,EPMSaveDataOnly(AN108,,AN$29,AN$25,AN$26,AN$31,AN$32,$AA$37,AR$14,AR$15,AR$16,AR$17,AR$18,$X108))</f>
        <v/>
      </c>
      <c r="AS108" s="384" t="n"/>
    </row>
    <row r="109" hidden="1" ht="15.75" customHeight="1" s="1181">
      <c r="A109" s="384" t="n"/>
      <c r="B109" s="384" t="n"/>
      <c r="C109" s="384" t="n"/>
      <c r="D109" s="384" t="n"/>
      <c r="E109" s="384" t="n"/>
      <c r="F109" s="384" t="n"/>
      <c r="G109" s="384" t="n"/>
      <c r="H109" s="384" t="n"/>
      <c r="I109" s="384" t="n"/>
      <c r="J109" s="384" t="n"/>
      <c r="K109" s="384" t="n"/>
      <c r="L109" s="384" t="n"/>
      <c r="M109" s="384" t="n"/>
      <c r="N109" s="384" t="n"/>
      <c r="O109" s="384" t="n"/>
      <c r="P109" s="384" t="n"/>
      <c r="Q109" s="384" t="n"/>
      <c r="R109" s="384" t="n"/>
      <c r="S109" s="384" t="n"/>
      <c r="T109" s="384" t="n"/>
      <c r="U109" s="384" t="n"/>
      <c r="V109" s="384" t="n"/>
      <c r="W109" s="384" t="n"/>
      <c r="X109" s="645">
        <f>IF(_epmOfflineCondition_,"I_E100051",EPMOlapMemberO("[C_INTERCO].[PARENTH1].[I_E100051]","","I_E100051","","000"))</f>
        <v/>
      </c>
      <c r="Y109" s="870">
        <f>IF(_epmOfflineCondition_,"义县珈煜光伏电力有限公司",EPMMemberDesc(X109))</f>
        <v/>
      </c>
      <c r="Z109" s="1302" t="n"/>
      <c r="AA109" s="1302" t="n"/>
      <c r="AB109" s="858" t="n"/>
      <c r="AC109" s="1302" t="n"/>
      <c r="AD109" s="1302" t="n"/>
      <c r="AE109" s="1302" t="inlineStr"/>
      <c r="AF109" s="1302" t="inlineStr"/>
      <c r="AG109" s="1302" t="inlineStr"/>
      <c r="AH109" s="1302" t="n"/>
      <c r="AI109" s="1302" t="n"/>
      <c r="AJ109" s="1302" t="n"/>
      <c r="AK109" s="1302">
        <f>AI109-AJ109</f>
        <v/>
      </c>
      <c r="AL109" s="858" t="n"/>
      <c r="AM109" s="1297" t="inlineStr"/>
      <c r="AN109" s="1298" t="n"/>
      <c r="AO109" s="13">
        <f>IF(_epmOfflineCondition_,0,EPMSaveDataOnly(AB109,,AB$29,AB$25,AB$26,AB$31,AB$32,$AA$37,AO$14,AO$15,AO$16,AO$17,AO$18,X109))</f>
        <v/>
      </c>
      <c r="AP109" s="13">
        <f>IF(_epmOfflineCondition_,0,EPMSaveDataOnly(AL109,,AL$29,AL$25,AL$26,AL$31,AL$32,$AA$37,AP$14,AP$15,AP$16,AP$17,AP$18,$X109))</f>
        <v/>
      </c>
      <c r="AQ109" s="13">
        <f>IF(_epmOfflineCondition_,0,EPMSaveData(AM109,,AM$29,AM$25,AM$26,$C$6,AM$32,$AA$37,AQ$14,AQ$15,AQ$16,AQ$17,AQ$18,$X109))</f>
        <v/>
      </c>
      <c r="AR109" s="13">
        <f>IF(_epmOfflineCondition_,0,EPMSaveDataOnly(AN109,,AN$29,AN$25,AN$26,AN$31,AN$32,$AA$37,AR$14,AR$15,AR$16,AR$17,AR$18,$X109))</f>
        <v/>
      </c>
      <c r="AS109" s="384" t="n"/>
    </row>
    <row r="110" hidden="1" ht="15.75" customHeight="1" s="1181">
      <c r="A110" s="384" t="n"/>
      <c r="B110" s="384" t="n"/>
      <c r="C110" s="384" t="n"/>
      <c r="D110" s="384" t="n"/>
      <c r="E110" s="384" t="n"/>
      <c r="F110" s="384" t="n"/>
      <c r="G110" s="384" t="n"/>
      <c r="H110" s="384" t="n"/>
      <c r="I110" s="384" t="n"/>
      <c r="J110" s="384" t="n"/>
      <c r="K110" s="384" t="n"/>
      <c r="L110" s="384" t="n"/>
      <c r="M110" s="384" t="n"/>
      <c r="N110" s="384" t="n"/>
      <c r="O110" s="384" t="n"/>
      <c r="P110" s="384" t="n"/>
      <c r="Q110" s="384" t="n"/>
      <c r="R110" s="384" t="n"/>
      <c r="S110" s="384" t="n"/>
      <c r="T110" s="384" t="n"/>
      <c r="U110" s="384" t="n"/>
      <c r="V110" s="384" t="n"/>
      <c r="W110" s="384" t="n"/>
      <c r="X110" s="645">
        <f>IF(_epmOfflineCondition_,"I_E100053",EPMOlapMemberO("[C_INTERCO].[PARENTH1].[I_E100053]","","I_E100053","","000"))</f>
        <v/>
      </c>
      <c r="Y110" s="870">
        <f>IF(_epmOfflineCondition_,"朝阳县京能新能源有限公司",EPMMemberDesc(X110))</f>
        <v/>
      </c>
      <c r="Z110" s="1302" t="n"/>
      <c r="AA110" s="1302" t="n"/>
      <c r="AB110" s="858" t="n"/>
      <c r="AC110" s="1302" t="n"/>
      <c r="AD110" s="1302" t="n"/>
      <c r="AE110" s="1302" t="inlineStr"/>
      <c r="AF110" s="1302" t="inlineStr"/>
      <c r="AG110" s="1302" t="inlineStr"/>
      <c r="AH110" s="1302" t="n"/>
      <c r="AI110" s="1302" t="n"/>
      <c r="AJ110" s="1302" t="n"/>
      <c r="AK110" s="1302">
        <f>AI110-AJ110</f>
        <v/>
      </c>
      <c r="AL110" s="858" t="n"/>
      <c r="AM110" s="1297" t="inlineStr"/>
      <c r="AN110" s="1298" t="n"/>
      <c r="AO110" s="13">
        <f>IF(_epmOfflineCondition_,0,EPMSaveDataOnly(AB110,,AB$29,AB$25,AB$26,AB$31,AB$32,$AA$37,AO$14,AO$15,AO$16,AO$17,AO$18,X110))</f>
        <v/>
      </c>
      <c r="AP110" s="13">
        <f>IF(_epmOfflineCondition_,0,EPMSaveDataOnly(AL110,,AL$29,AL$25,AL$26,AL$31,AL$32,$AA$37,AP$14,AP$15,AP$16,AP$17,AP$18,$X110))</f>
        <v/>
      </c>
      <c r="AQ110" s="13">
        <f>IF(_epmOfflineCondition_,0,EPMSaveData(AM110,,AM$29,AM$25,AM$26,$C$6,AM$32,$AA$37,AQ$14,AQ$15,AQ$16,AQ$17,AQ$18,$X110))</f>
        <v/>
      </c>
      <c r="AR110" s="13">
        <f>IF(_epmOfflineCondition_,0,EPMSaveDataOnly(AN110,,AN$29,AN$25,AN$26,AN$31,AN$32,$AA$37,AR$14,AR$15,AR$16,AR$17,AR$18,$X110))</f>
        <v/>
      </c>
      <c r="AS110" s="384" t="n"/>
    </row>
    <row r="111" hidden="1" ht="15.75" customHeight="1" s="1181">
      <c r="A111" s="384" t="n"/>
      <c r="B111" s="384" t="n"/>
      <c r="C111" s="384" t="n"/>
      <c r="D111" s="384" t="n"/>
      <c r="E111" s="384" t="n"/>
      <c r="F111" s="384" t="n"/>
      <c r="G111" s="384" t="n"/>
      <c r="H111" s="384" t="n"/>
      <c r="I111" s="384" t="n"/>
      <c r="J111" s="384" t="n"/>
      <c r="K111" s="384" t="n"/>
      <c r="L111" s="384" t="n"/>
      <c r="M111" s="384" t="n"/>
      <c r="N111" s="384" t="n"/>
      <c r="O111" s="384" t="n"/>
      <c r="P111" s="384" t="n"/>
      <c r="Q111" s="384" t="n"/>
      <c r="R111" s="384" t="n"/>
      <c r="S111" s="384" t="n"/>
      <c r="T111" s="384" t="n"/>
      <c r="U111" s="384" t="n"/>
      <c r="V111" s="384" t="n"/>
      <c r="W111" s="384" t="n"/>
      <c r="X111" s="645">
        <f>IF(_epmOfflineCondition_,"I_E100054",EPMOlapMemberO("[C_INTERCO].[PARENTH1].[I_E100054]","","I_E100054","","000"))</f>
        <v/>
      </c>
      <c r="Y111" s="870">
        <f>IF(_epmOfflineCondition_,"葫芦岛南票万和新能源有限公司-2025年1月注销",EPMMemberDesc(X111))</f>
        <v/>
      </c>
      <c r="Z111" s="1302" t="n"/>
      <c r="AA111" s="1302" t="n"/>
      <c r="AB111" s="858" t="n"/>
      <c r="AC111" s="1302" t="n"/>
      <c r="AD111" s="1302" t="n"/>
      <c r="AE111" s="1302" t="inlineStr"/>
      <c r="AF111" s="1302" t="inlineStr"/>
      <c r="AG111" s="1302" t="inlineStr"/>
      <c r="AH111" s="1302" t="n"/>
      <c r="AI111" s="1302" t="n"/>
      <c r="AJ111" s="1302" t="n"/>
      <c r="AK111" s="1302">
        <f>AI111-AJ111</f>
        <v/>
      </c>
      <c r="AL111" s="858" t="n"/>
      <c r="AM111" s="1297" t="inlineStr"/>
      <c r="AN111" s="1298" t="n"/>
      <c r="AO111" s="13">
        <f>IF(_epmOfflineCondition_,0,EPMSaveDataOnly(AB111,,AB$29,AB$25,AB$26,AB$31,AB$32,$AA$37,AO$14,AO$15,AO$16,AO$17,AO$18,X111))</f>
        <v/>
      </c>
      <c r="AP111" s="13">
        <f>IF(_epmOfflineCondition_,0,EPMSaveDataOnly(AL111,,AL$29,AL$25,AL$26,AL$31,AL$32,$AA$37,AP$14,AP$15,AP$16,AP$17,AP$18,$X111))</f>
        <v/>
      </c>
      <c r="AQ111" s="13">
        <f>IF(_epmOfflineCondition_,0,EPMSaveData(AM111,,AM$29,AM$25,AM$26,$C$6,AM$32,$AA$37,AQ$14,AQ$15,AQ$16,AQ$17,AQ$18,$X111))</f>
        <v/>
      </c>
      <c r="AR111" s="13">
        <f>IF(_epmOfflineCondition_,0,EPMSaveDataOnly(AN111,,AN$29,AN$25,AN$26,AN$31,AN$32,$AA$37,AR$14,AR$15,AR$16,AR$17,AR$18,$X111))</f>
        <v/>
      </c>
      <c r="AS111" s="384" t="n"/>
    </row>
    <row r="112" hidden="1" ht="15.75" customHeight="1" s="1181">
      <c r="A112" s="384" t="n"/>
      <c r="B112" s="384" t="n"/>
      <c r="C112" s="384" t="n"/>
      <c r="D112" s="384" t="n"/>
      <c r="E112" s="384" t="n"/>
      <c r="F112" s="384" t="n"/>
      <c r="G112" s="384" t="n"/>
      <c r="H112" s="384" t="n"/>
      <c r="I112" s="384" t="n"/>
      <c r="J112" s="384" t="n"/>
      <c r="K112" s="384" t="n"/>
      <c r="L112" s="384" t="n"/>
      <c r="M112" s="384" t="n"/>
      <c r="N112" s="384" t="n"/>
      <c r="O112" s="384" t="n"/>
      <c r="P112" s="384" t="n"/>
      <c r="Q112" s="384" t="n"/>
      <c r="R112" s="384" t="n"/>
      <c r="S112" s="384" t="n"/>
      <c r="T112" s="384" t="n"/>
      <c r="U112" s="384" t="n"/>
      <c r="V112" s="384" t="n"/>
      <c r="W112" s="384" t="n"/>
      <c r="X112" s="645">
        <f>IF(_epmOfflineCondition_,"I_E100056",EPMOlapMemberO("[C_INTERCO].[PARENTH1].[I_E100056]","","I_E100056","","000"))</f>
        <v/>
      </c>
      <c r="Y112" s="870">
        <f>IF(_epmOfflineCondition_,"北京京能新能源有限公司沈阳分公司",EPMMemberDesc(X112))</f>
        <v/>
      </c>
      <c r="Z112" s="1302" t="n"/>
      <c r="AA112" s="1302" t="n"/>
      <c r="AB112" s="858" t="n"/>
      <c r="AC112" s="1302" t="n"/>
      <c r="AD112" s="1302" t="n"/>
      <c r="AE112" s="1302" t="inlineStr"/>
      <c r="AF112" s="1302" t="inlineStr"/>
      <c r="AG112" s="1302" t="inlineStr"/>
      <c r="AH112" s="1302" t="n"/>
      <c r="AI112" s="1302" t="n"/>
      <c r="AJ112" s="1302" t="n"/>
      <c r="AK112" s="1302">
        <f>AI112-AJ112</f>
        <v/>
      </c>
      <c r="AL112" s="858" t="n"/>
      <c r="AM112" s="1297" t="inlineStr"/>
      <c r="AN112" s="1298" t="n"/>
      <c r="AO112" s="13">
        <f>IF(_epmOfflineCondition_,0,EPMSaveDataOnly(AB112,,AB$29,AB$25,AB$26,AB$31,AB$32,$AA$37,AO$14,AO$15,AO$16,AO$17,AO$18,X112))</f>
        <v/>
      </c>
      <c r="AP112" s="13">
        <f>IF(_epmOfflineCondition_,0,EPMSaveDataOnly(AL112,,AL$29,AL$25,AL$26,AL$31,AL$32,$AA$37,AP$14,AP$15,AP$16,AP$17,AP$18,$X112))</f>
        <v/>
      </c>
      <c r="AQ112" s="13">
        <f>IF(_epmOfflineCondition_,0,EPMSaveData(AM112,,AM$29,AM$25,AM$26,$C$6,AM$32,$AA$37,AQ$14,AQ$15,AQ$16,AQ$17,AQ$18,$X112))</f>
        <v/>
      </c>
      <c r="AR112" s="13">
        <f>IF(_epmOfflineCondition_,0,EPMSaveDataOnly(AN112,,AN$29,AN$25,AN$26,AN$31,AN$32,$AA$37,AR$14,AR$15,AR$16,AR$17,AR$18,$X112))</f>
        <v/>
      </c>
      <c r="AS112" s="384" t="n"/>
    </row>
    <row r="113" hidden="1" ht="15.75" customHeight="1" s="1181">
      <c r="A113" s="384" t="n"/>
      <c r="B113" s="384" t="n"/>
      <c r="C113" s="384" t="n"/>
      <c r="D113" s="384" t="n"/>
      <c r="E113" s="384" t="n"/>
      <c r="F113" s="384" t="n"/>
      <c r="G113" s="384" t="n"/>
      <c r="H113" s="384" t="n"/>
      <c r="I113" s="384" t="n"/>
      <c r="J113" s="384" t="n"/>
      <c r="K113" s="384" t="n"/>
      <c r="L113" s="384" t="n"/>
      <c r="M113" s="384" t="n"/>
      <c r="N113" s="384" t="n"/>
      <c r="O113" s="384" t="n"/>
      <c r="P113" s="384" t="n"/>
      <c r="Q113" s="384" t="n"/>
      <c r="R113" s="384" t="n"/>
      <c r="S113" s="384" t="n"/>
      <c r="T113" s="384" t="n"/>
      <c r="U113" s="384" t="n"/>
      <c r="V113" s="384" t="n"/>
      <c r="W113" s="384" t="n"/>
      <c r="X113" s="645">
        <f>IF(_epmOfflineCondition_,"I_E100057",EPMOlapMemberO("[C_INTERCO].[PARENTH1].[I_E100057]","","I_E100057","","000"))</f>
        <v/>
      </c>
      <c r="Y113" s="870">
        <f>IF(_epmOfflineCondition_,"北京京能清洁能源电力股份有限公司华南分公司",EPMMemberDesc(X113))</f>
        <v/>
      </c>
      <c r="Z113" s="1302" t="n"/>
      <c r="AA113" s="1302" t="n"/>
      <c r="AB113" s="858" t="n"/>
      <c r="AC113" s="1302" t="n"/>
      <c r="AD113" s="1302" t="n"/>
      <c r="AE113" s="1302" t="inlineStr"/>
      <c r="AF113" s="1302" t="inlineStr"/>
      <c r="AG113" s="1302" t="inlineStr"/>
      <c r="AH113" s="1302" t="n"/>
      <c r="AI113" s="1302" t="n"/>
      <c r="AJ113" s="1302" t="n"/>
      <c r="AK113" s="1302">
        <f>AI113-AJ113</f>
        <v/>
      </c>
      <c r="AL113" s="858" t="n"/>
      <c r="AM113" s="1297" t="inlineStr"/>
      <c r="AN113" s="1298" t="n"/>
      <c r="AO113" s="13">
        <f>IF(_epmOfflineCondition_,0,EPMSaveDataOnly(AB113,,AB$29,AB$25,AB$26,AB$31,AB$32,$AA$37,AO$14,AO$15,AO$16,AO$17,AO$18,X113))</f>
        <v/>
      </c>
      <c r="AP113" s="13">
        <f>IF(_epmOfflineCondition_,0,EPMSaveDataOnly(AL113,,AL$29,AL$25,AL$26,AL$31,AL$32,$AA$37,AP$14,AP$15,AP$16,AP$17,AP$18,$X113))</f>
        <v/>
      </c>
      <c r="AQ113" s="13">
        <f>IF(_epmOfflineCondition_,0,EPMSaveData(AM113,,AM$29,AM$25,AM$26,$C$6,AM$32,$AA$37,AQ$14,AQ$15,AQ$16,AQ$17,AQ$18,$X113))</f>
        <v/>
      </c>
      <c r="AR113" s="13">
        <f>IF(_epmOfflineCondition_,0,EPMSaveDataOnly(AN113,,AN$29,AN$25,AN$26,AN$31,AN$32,$AA$37,AR$14,AR$15,AR$16,AR$17,AR$18,$X113))</f>
        <v/>
      </c>
      <c r="AS113" s="384" t="n"/>
    </row>
    <row r="114" hidden="1" ht="15.75" customHeight="1" s="1181">
      <c r="A114" s="384" t="n"/>
      <c r="B114" s="384" t="n"/>
      <c r="C114" s="384" t="n"/>
      <c r="D114" s="384" t="n"/>
      <c r="E114" s="384" t="n"/>
      <c r="F114" s="384" t="n"/>
      <c r="G114" s="384" t="n"/>
      <c r="H114" s="384" t="n"/>
      <c r="I114" s="384" t="n"/>
      <c r="J114" s="384" t="n"/>
      <c r="K114" s="384" t="n"/>
      <c r="L114" s="384" t="n"/>
      <c r="M114" s="384" t="n"/>
      <c r="N114" s="384" t="n"/>
      <c r="O114" s="384" t="n"/>
      <c r="P114" s="384" t="n"/>
      <c r="Q114" s="384" t="n"/>
      <c r="R114" s="384" t="n"/>
      <c r="S114" s="384" t="n"/>
      <c r="T114" s="384" t="n"/>
      <c r="U114" s="384" t="n"/>
      <c r="V114" s="384" t="n"/>
      <c r="W114" s="384" t="n"/>
      <c r="X114" s="645">
        <f>IF(_epmOfflineCondition_,"I_E100058",EPMOlapMemberO("[C_INTERCO].[PARENTH1].[I_E100058]","","I_E100058","","000"))</f>
        <v/>
      </c>
      <c r="Y114" s="870">
        <f>IF(_epmOfflineCondition_,"徐闻京能新能源有限公司",EPMMemberDesc(X114))</f>
        <v/>
      </c>
      <c r="Z114" s="1302" t="n"/>
      <c r="AA114" s="1302" t="n"/>
      <c r="AB114" s="858" t="n"/>
      <c r="AC114" s="1302" t="n"/>
      <c r="AD114" s="1302" t="n"/>
      <c r="AE114" s="1302" t="inlineStr"/>
      <c r="AF114" s="1302" t="inlineStr"/>
      <c r="AG114" s="1302" t="inlineStr"/>
      <c r="AH114" s="1302" t="n"/>
      <c r="AI114" s="1302" t="n"/>
      <c r="AJ114" s="1302" t="n"/>
      <c r="AK114" s="1302">
        <f>AI114-AJ114</f>
        <v/>
      </c>
      <c r="AL114" s="858" t="n"/>
      <c r="AM114" s="1297" t="inlineStr"/>
      <c r="AN114" s="1298" t="n"/>
      <c r="AO114" s="13">
        <f>IF(_epmOfflineCondition_,0,EPMSaveDataOnly(AB114,,AB$29,AB$25,AB$26,AB$31,AB$32,$AA$37,AO$14,AO$15,AO$16,AO$17,AO$18,X114))</f>
        <v/>
      </c>
      <c r="AP114" s="13">
        <f>IF(_epmOfflineCondition_,0,EPMSaveDataOnly(AL114,,AL$29,AL$25,AL$26,AL$31,AL$32,$AA$37,AP$14,AP$15,AP$16,AP$17,AP$18,$X114))</f>
        <v/>
      </c>
      <c r="AQ114" s="13">
        <f>IF(_epmOfflineCondition_,0,EPMSaveData(AM114,,AM$29,AM$25,AM$26,$C$6,AM$32,$AA$37,AQ$14,AQ$15,AQ$16,AQ$17,AQ$18,$X114))</f>
        <v/>
      </c>
      <c r="AR114" s="13">
        <f>IF(_epmOfflineCondition_,0,EPMSaveDataOnly(AN114,,AN$29,AN$25,AN$26,AN$31,AN$32,$AA$37,AR$14,AR$15,AR$16,AR$17,AR$18,$X114))</f>
        <v/>
      </c>
      <c r="AS114" s="384" t="n"/>
    </row>
    <row r="115" hidden="1" ht="15.75" customHeight="1" s="1181">
      <c r="A115" s="384" t="n"/>
      <c r="B115" s="384" t="n"/>
      <c r="C115" s="384" t="n"/>
      <c r="D115" s="384" t="n"/>
      <c r="E115" s="384" t="n"/>
      <c r="F115" s="384" t="n"/>
      <c r="G115" s="384" t="n"/>
      <c r="H115" s="384" t="n"/>
      <c r="I115" s="384" t="n"/>
      <c r="J115" s="384" t="n"/>
      <c r="K115" s="384" t="n"/>
      <c r="L115" s="384" t="n"/>
      <c r="M115" s="384" t="n"/>
      <c r="N115" s="384" t="n"/>
      <c r="O115" s="384" t="n"/>
      <c r="P115" s="384" t="n"/>
      <c r="Q115" s="384" t="n"/>
      <c r="R115" s="384" t="n"/>
      <c r="S115" s="384" t="n"/>
      <c r="T115" s="384" t="n"/>
      <c r="U115" s="384" t="n"/>
      <c r="V115" s="384" t="n"/>
      <c r="W115" s="384" t="n"/>
      <c r="X115" s="645">
        <f>IF(_epmOfflineCondition_,"I_E100059",EPMOlapMemberO("[C_INTERCO].[PARENTH1].[I_E100059]","","I_E100059","","000"))</f>
        <v/>
      </c>
      <c r="Y115" s="870">
        <f>IF(_epmOfflineCondition_,"益阳大通湖东大光伏发电有限公司",EPMMemberDesc(X115))</f>
        <v/>
      </c>
      <c r="Z115" s="1302" t="n"/>
      <c r="AA115" s="1302" t="n"/>
      <c r="AB115" s="858" t="n"/>
      <c r="AC115" s="1302" t="n"/>
      <c r="AD115" s="1302" t="n"/>
      <c r="AE115" s="1302" t="inlineStr"/>
      <c r="AF115" s="1302" t="inlineStr"/>
      <c r="AG115" s="1302" t="inlineStr"/>
      <c r="AH115" s="1302" t="n"/>
      <c r="AI115" s="1302" t="n"/>
      <c r="AJ115" s="1302" t="n"/>
      <c r="AK115" s="1302">
        <f>AI115-AJ115</f>
        <v/>
      </c>
      <c r="AL115" s="858" t="n"/>
      <c r="AM115" s="1297" t="inlineStr"/>
      <c r="AN115" s="1298" t="n"/>
      <c r="AO115" s="13">
        <f>IF(_epmOfflineCondition_,0,EPMSaveDataOnly(AB115,,AB$29,AB$25,AB$26,AB$31,AB$32,$AA$37,AO$14,AO$15,AO$16,AO$17,AO$18,X115))</f>
        <v/>
      </c>
      <c r="AP115" s="13">
        <f>IF(_epmOfflineCondition_,0,EPMSaveDataOnly(AL115,,AL$29,AL$25,AL$26,AL$31,AL$32,$AA$37,AP$14,AP$15,AP$16,AP$17,AP$18,$X115))</f>
        <v/>
      </c>
      <c r="AQ115" s="13">
        <f>IF(_epmOfflineCondition_,0,EPMSaveData(AM115,,AM$29,AM$25,AM$26,$C$6,AM$32,$AA$37,AQ$14,AQ$15,AQ$16,AQ$17,AQ$18,$X115))</f>
        <v/>
      </c>
      <c r="AR115" s="13">
        <f>IF(_epmOfflineCondition_,0,EPMSaveDataOnly(AN115,,AN$29,AN$25,AN$26,AN$31,AN$32,$AA$37,AR$14,AR$15,AR$16,AR$17,AR$18,$X115))</f>
        <v/>
      </c>
      <c r="AS115" s="384" t="n"/>
    </row>
    <row r="116" hidden="1" ht="15.75" customHeight="1" s="1181">
      <c r="A116" s="384" t="n"/>
      <c r="B116" s="384" t="n"/>
      <c r="C116" s="384" t="n"/>
      <c r="D116" s="384" t="n"/>
      <c r="E116" s="384" t="n"/>
      <c r="F116" s="384" t="n"/>
      <c r="G116" s="384" t="n"/>
      <c r="H116" s="384" t="n"/>
      <c r="I116" s="384" t="n"/>
      <c r="J116" s="384" t="n"/>
      <c r="K116" s="384" t="n"/>
      <c r="L116" s="384" t="n"/>
      <c r="M116" s="384" t="n"/>
      <c r="N116" s="384" t="n"/>
      <c r="O116" s="384" t="n"/>
      <c r="P116" s="384" t="n"/>
      <c r="Q116" s="384" t="n"/>
      <c r="R116" s="384" t="n"/>
      <c r="S116" s="384" t="n"/>
      <c r="T116" s="384" t="n"/>
      <c r="U116" s="384" t="n"/>
      <c r="V116" s="384" t="n"/>
      <c r="W116" s="384" t="n"/>
      <c r="X116" s="645">
        <f>IF(_epmOfflineCondition_,"I_E100060",EPMOlapMemberO("[C_INTERCO].[PARENTH1].[I_E100060]","","I_E100060","","000"))</f>
        <v/>
      </c>
      <c r="Y116" s="870">
        <f>IF(_epmOfflineCondition_,"湘阴县晶和新能源有限公司",EPMMemberDesc(X116))</f>
        <v/>
      </c>
      <c r="Z116" s="1302" t="n"/>
      <c r="AA116" s="1302" t="n"/>
      <c r="AB116" s="858" t="n"/>
      <c r="AC116" s="1302" t="n"/>
      <c r="AD116" s="1302" t="n"/>
      <c r="AE116" s="1302" t="inlineStr"/>
      <c r="AF116" s="1302" t="inlineStr"/>
      <c r="AG116" s="1302" t="inlineStr"/>
      <c r="AH116" s="1302" t="n"/>
      <c r="AI116" s="1302" t="n"/>
      <c r="AJ116" s="1302" t="n"/>
      <c r="AK116" s="1302">
        <f>AI116-AJ116</f>
        <v/>
      </c>
      <c r="AL116" s="858" t="n"/>
      <c r="AM116" s="1297" t="inlineStr"/>
      <c r="AN116" s="1298" t="n"/>
      <c r="AO116" s="13">
        <f>IF(_epmOfflineCondition_,0,EPMSaveDataOnly(AB116,,AB$29,AB$25,AB$26,AB$31,AB$32,$AA$37,AO$14,AO$15,AO$16,AO$17,AO$18,X116))</f>
        <v/>
      </c>
      <c r="AP116" s="13">
        <f>IF(_epmOfflineCondition_,0,EPMSaveDataOnly(AL116,,AL$29,AL$25,AL$26,AL$31,AL$32,$AA$37,AP$14,AP$15,AP$16,AP$17,AP$18,$X116))</f>
        <v/>
      </c>
      <c r="AQ116" s="13">
        <f>IF(_epmOfflineCondition_,0,EPMSaveData(AM116,,AM$29,AM$25,AM$26,$C$6,AM$32,$AA$37,AQ$14,AQ$15,AQ$16,AQ$17,AQ$18,$X116))</f>
        <v/>
      </c>
      <c r="AR116" s="13">
        <f>IF(_epmOfflineCondition_,0,EPMSaveDataOnly(AN116,,AN$29,AN$25,AN$26,AN$31,AN$32,$AA$37,AR$14,AR$15,AR$16,AR$17,AR$18,$X116))</f>
        <v/>
      </c>
      <c r="AS116" s="384" t="n"/>
    </row>
    <row r="117" hidden="1" ht="15.75" customHeight="1" s="1181">
      <c r="A117" s="384" t="n"/>
      <c r="B117" s="384" t="n"/>
      <c r="C117" s="384" t="n"/>
      <c r="D117" s="384" t="n"/>
      <c r="E117" s="384" t="n"/>
      <c r="F117" s="384" t="n"/>
      <c r="G117" s="384" t="n"/>
      <c r="H117" s="384" t="n"/>
      <c r="I117" s="384" t="n"/>
      <c r="J117" s="384" t="n"/>
      <c r="K117" s="384" t="n"/>
      <c r="L117" s="384" t="n"/>
      <c r="M117" s="384" t="n"/>
      <c r="N117" s="384" t="n"/>
      <c r="O117" s="384" t="n"/>
      <c r="P117" s="384" t="n"/>
      <c r="Q117" s="384" t="n"/>
      <c r="R117" s="384" t="n"/>
      <c r="S117" s="384" t="n"/>
      <c r="T117" s="384" t="n"/>
      <c r="U117" s="384" t="n"/>
      <c r="V117" s="384" t="n"/>
      <c r="W117" s="384" t="n"/>
      <c r="X117" s="645">
        <f>IF(_epmOfflineCondition_,"I_E100061",EPMOlapMemberO("[C_INTERCO].[PARENTH1].[I_E100061]","","I_E100061","","000"))</f>
        <v/>
      </c>
      <c r="Y117" s="870">
        <f>IF(_epmOfflineCondition_,"东源天华阳光新能源电力有限公司",EPMMemberDesc(X117))</f>
        <v/>
      </c>
      <c r="Z117" s="1302" t="n"/>
      <c r="AA117" s="1302" t="n"/>
      <c r="AB117" s="858" t="n"/>
      <c r="AC117" s="1302" t="n"/>
      <c r="AD117" s="1302" t="n"/>
      <c r="AE117" s="1302" t="inlineStr"/>
      <c r="AF117" s="1302" t="inlineStr"/>
      <c r="AG117" s="1302" t="inlineStr"/>
      <c r="AH117" s="1302" t="n"/>
      <c r="AI117" s="1302" t="n"/>
      <c r="AJ117" s="1302" t="n"/>
      <c r="AK117" s="1302">
        <f>AI117-AJ117</f>
        <v/>
      </c>
      <c r="AL117" s="858" t="n"/>
      <c r="AM117" s="1297" t="inlineStr"/>
      <c r="AN117" s="1298" t="n"/>
      <c r="AO117" s="13">
        <f>IF(_epmOfflineCondition_,0,EPMSaveDataOnly(AB117,,AB$29,AB$25,AB$26,AB$31,AB$32,$AA$37,AO$14,AO$15,AO$16,AO$17,AO$18,X117))</f>
        <v/>
      </c>
      <c r="AP117" s="13">
        <f>IF(_epmOfflineCondition_,0,EPMSaveDataOnly(AL117,,AL$29,AL$25,AL$26,AL$31,AL$32,$AA$37,AP$14,AP$15,AP$16,AP$17,AP$18,$X117))</f>
        <v/>
      </c>
      <c r="AQ117" s="13">
        <f>IF(_epmOfflineCondition_,0,EPMSaveData(AM117,,AM$29,AM$25,AM$26,$C$6,AM$32,$AA$37,AQ$14,AQ$15,AQ$16,AQ$17,AQ$18,$X117))</f>
        <v/>
      </c>
      <c r="AR117" s="13">
        <f>IF(_epmOfflineCondition_,0,EPMSaveDataOnly(AN117,,AN$29,AN$25,AN$26,AN$31,AN$32,$AA$37,AR$14,AR$15,AR$16,AR$17,AR$18,$X117))</f>
        <v/>
      </c>
      <c r="AS117" s="384" t="n"/>
    </row>
    <row r="118" hidden="1" ht="15.75" customHeight="1" s="1181">
      <c r="A118" s="384" t="n"/>
      <c r="B118" s="384" t="n"/>
      <c r="C118" s="384" t="n"/>
      <c r="D118" s="384" t="n"/>
      <c r="E118" s="384" t="n"/>
      <c r="F118" s="384" t="n"/>
      <c r="G118" s="384" t="n"/>
      <c r="H118" s="384" t="n"/>
      <c r="I118" s="384" t="n"/>
      <c r="J118" s="384" t="n"/>
      <c r="K118" s="384" t="n"/>
      <c r="L118" s="384" t="n"/>
      <c r="M118" s="384" t="n"/>
      <c r="N118" s="384" t="n"/>
      <c r="O118" s="384" t="n"/>
      <c r="P118" s="384" t="n"/>
      <c r="Q118" s="384" t="n"/>
      <c r="R118" s="384" t="n"/>
      <c r="S118" s="384" t="n"/>
      <c r="T118" s="384" t="n"/>
      <c r="U118" s="384" t="n"/>
      <c r="V118" s="384" t="n"/>
      <c r="W118" s="384" t="n"/>
      <c r="X118" s="645">
        <f>IF(_epmOfflineCondition_,"I_E100062",EPMOlapMemberO("[C_INTERCO].[PARENTH1].[I_E100062]","","I_E100062","","000"))</f>
        <v/>
      </c>
      <c r="Y118" s="870">
        <f>IF(_epmOfflineCondition_,"阳西清芸阳光新能源科技有限公司",EPMMemberDesc(X118))</f>
        <v/>
      </c>
      <c r="Z118" s="1302" t="n"/>
      <c r="AA118" s="1302" t="n"/>
      <c r="AB118" s="858" t="n"/>
      <c r="AC118" s="1302" t="n"/>
      <c r="AD118" s="1302" t="n"/>
      <c r="AE118" s="1302" t="inlineStr"/>
      <c r="AF118" s="1302" t="inlineStr"/>
      <c r="AG118" s="1302" t="inlineStr"/>
      <c r="AH118" s="1302" t="n"/>
      <c r="AI118" s="1302" t="n"/>
      <c r="AJ118" s="1302" t="n"/>
      <c r="AK118" s="1302">
        <f>AI118-AJ118</f>
        <v/>
      </c>
      <c r="AL118" s="858" t="n"/>
      <c r="AM118" s="1297" t="inlineStr"/>
      <c r="AN118" s="1298" t="n"/>
      <c r="AO118" s="13">
        <f>IF(_epmOfflineCondition_,0,EPMSaveDataOnly(AB118,,AB$29,AB$25,AB$26,AB$31,AB$32,$AA$37,AO$14,AO$15,AO$16,AO$17,AO$18,X118))</f>
        <v/>
      </c>
      <c r="AP118" s="13">
        <f>IF(_epmOfflineCondition_,0,EPMSaveDataOnly(AL118,,AL$29,AL$25,AL$26,AL$31,AL$32,$AA$37,AP$14,AP$15,AP$16,AP$17,AP$18,$X118))</f>
        <v/>
      </c>
      <c r="AQ118" s="13">
        <f>IF(_epmOfflineCondition_,0,EPMSaveData(AM118,,AM$29,AM$25,AM$26,$C$6,AM$32,$AA$37,AQ$14,AQ$15,AQ$16,AQ$17,AQ$18,$X118))</f>
        <v/>
      </c>
      <c r="AR118" s="13">
        <f>IF(_epmOfflineCondition_,0,EPMSaveDataOnly(AN118,,AN$29,AN$25,AN$26,AN$31,AN$32,$AA$37,AR$14,AR$15,AR$16,AR$17,AR$18,$X118))</f>
        <v/>
      </c>
      <c r="AS118" s="384" t="n"/>
    </row>
    <row r="119" hidden="1" ht="15.75" customHeight="1" s="1181">
      <c r="A119" s="384" t="n"/>
      <c r="B119" s="384" t="n"/>
      <c r="C119" s="384" t="n"/>
      <c r="D119" s="384" t="n"/>
      <c r="E119" s="384" t="n"/>
      <c r="F119" s="384" t="n"/>
      <c r="G119" s="384" t="n"/>
      <c r="H119" s="384" t="n"/>
      <c r="I119" s="384" t="n"/>
      <c r="J119" s="384" t="n"/>
      <c r="K119" s="384" t="n"/>
      <c r="L119" s="384" t="n"/>
      <c r="M119" s="384" t="n"/>
      <c r="N119" s="384" t="n"/>
      <c r="O119" s="384" t="n"/>
      <c r="P119" s="384" t="n"/>
      <c r="Q119" s="384" t="n"/>
      <c r="R119" s="384" t="n"/>
      <c r="S119" s="384" t="n"/>
      <c r="T119" s="384" t="n"/>
      <c r="U119" s="384" t="n"/>
      <c r="V119" s="384" t="n"/>
      <c r="W119" s="384" t="n"/>
      <c r="X119" s="645">
        <f>IF(_epmOfflineCondition_,"I_E100063",EPMOlapMemberO("[C_INTERCO].[PARENTH1].[I_E100063]","","I_E100063","","000"))</f>
        <v/>
      </c>
      <c r="Y119" s="870">
        <f>IF(_epmOfflineCondition_,"陆丰市明大新能源科技有限公司",EPMMemberDesc(X119))</f>
        <v/>
      </c>
      <c r="Z119" s="1302" t="n"/>
      <c r="AA119" s="1302" t="n"/>
      <c r="AB119" s="858" t="n"/>
      <c r="AC119" s="1302" t="n"/>
      <c r="AD119" s="1302" t="n"/>
      <c r="AE119" s="1302" t="inlineStr"/>
      <c r="AF119" s="1302" t="inlineStr"/>
      <c r="AG119" s="1302" t="inlineStr"/>
      <c r="AH119" s="1302" t="n"/>
      <c r="AI119" s="1302" t="n"/>
      <c r="AJ119" s="1302" t="n"/>
      <c r="AK119" s="1302">
        <f>AI119-AJ119</f>
        <v/>
      </c>
      <c r="AL119" s="858" t="n"/>
      <c r="AM119" s="1297" t="inlineStr"/>
      <c r="AN119" s="1298" t="n"/>
      <c r="AO119" s="13">
        <f>IF(_epmOfflineCondition_,0,EPMSaveDataOnly(AB119,,AB$29,AB$25,AB$26,AB$31,AB$32,$AA$37,AO$14,AO$15,AO$16,AO$17,AO$18,X119))</f>
        <v/>
      </c>
      <c r="AP119" s="13">
        <f>IF(_epmOfflineCondition_,0,EPMSaveDataOnly(AL119,,AL$29,AL$25,AL$26,AL$31,AL$32,$AA$37,AP$14,AP$15,AP$16,AP$17,AP$18,$X119))</f>
        <v/>
      </c>
      <c r="AQ119" s="13">
        <f>IF(_epmOfflineCondition_,0,EPMSaveData(AM119,,AM$29,AM$25,AM$26,$C$6,AM$32,$AA$37,AQ$14,AQ$15,AQ$16,AQ$17,AQ$18,$X119))</f>
        <v/>
      </c>
      <c r="AR119" s="13">
        <f>IF(_epmOfflineCondition_,0,EPMSaveDataOnly(AN119,,AN$29,AN$25,AN$26,AN$31,AN$32,$AA$37,AR$14,AR$15,AR$16,AR$17,AR$18,$X119))</f>
        <v/>
      </c>
      <c r="AS119" s="384" t="n"/>
    </row>
    <row r="120" hidden="1" ht="15.75" customHeight="1" s="1181">
      <c r="A120" s="384" t="n"/>
      <c r="B120" s="384" t="n"/>
      <c r="C120" s="384" t="n"/>
      <c r="D120" s="384" t="n"/>
      <c r="E120" s="384" t="n"/>
      <c r="F120" s="384" t="n"/>
      <c r="G120" s="384" t="n"/>
      <c r="H120" s="384" t="n"/>
      <c r="I120" s="384" t="n"/>
      <c r="J120" s="384" t="n"/>
      <c r="K120" s="384" t="n"/>
      <c r="L120" s="384" t="n"/>
      <c r="M120" s="384" t="n"/>
      <c r="N120" s="384" t="n"/>
      <c r="O120" s="384" t="n"/>
      <c r="P120" s="384" t="n"/>
      <c r="Q120" s="384" t="n"/>
      <c r="R120" s="384" t="n"/>
      <c r="S120" s="384" t="n"/>
      <c r="T120" s="384" t="n"/>
      <c r="U120" s="384" t="n"/>
      <c r="V120" s="384" t="n"/>
      <c r="W120" s="384" t="n"/>
      <c r="X120" s="645">
        <f>IF(_epmOfflineCondition_,"I_E100064",EPMOlapMemberO("[C_INTERCO].[PARENTH1].[I_E100064]","","I_E100064","","000"))</f>
        <v/>
      </c>
      <c r="Y120" s="870">
        <f>IF(_epmOfflineCondition_,"常德宏润新能源有限公司",EPMMemberDesc(X120))</f>
        <v/>
      </c>
      <c r="Z120" s="1302" t="n"/>
      <c r="AA120" s="1302" t="n"/>
      <c r="AB120" s="858" t="n"/>
      <c r="AC120" s="1302" t="n"/>
      <c r="AD120" s="1302" t="n"/>
      <c r="AE120" s="1302" t="inlineStr"/>
      <c r="AF120" s="1302" t="inlineStr"/>
      <c r="AG120" s="1302" t="inlineStr"/>
      <c r="AH120" s="1302" t="n"/>
      <c r="AI120" s="1302" t="n"/>
      <c r="AJ120" s="1302" t="n"/>
      <c r="AK120" s="1302">
        <f>AI120-AJ120</f>
        <v/>
      </c>
      <c r="AL120" s="858" t="n"/>
      <c r="AM120" s="1297" t="inlineStr"/>
      <c r="AN120" s="1298" t="n"/>
      <c r="AO120" s="13">
        <f>IF(_epmOfflineCondition_,0,EPMSaveDataOnly(AB120,,AB$29,AB$25,AB$26,AB$31,AB$32,$AA$37,AO$14,AO$15,AO$16,AO$17,AO$18,X120))</f>
        <v/>
      </c>
      <c r="AP120" s="13">
        <f>IF(_epmOfflineCondition_,0,EPMSaveDataOnly(AL120,,AL$29,AL$25,AL$26,AL$31,AL$32,$AA$37,AP$14,AP$15,AP$16,AP$17,AP$18,$X120))</f>
        <v/>
      </c>
      <c r="AQ120" s="13">
        <f>IF(_epmOfflineCondition_,0,EPMSaveData(AM120,,AM$29,AM$25,AM$26,$C$6,AM$32,$AA$37,AQ$14,AQ$15,AQ$16,AQ$17,AQ$18,$X120))</f>
        <v/>
      </c>
      <c r="AR120" s="13">
        <f>IF(_epmOfflineCondition_,0,EPMSaveDataOnly(AN120,,AN$29,AN$25,AN$26,AN$31,AN$32,$AA$37,AR$14,AR$15,AR$16,AR$17,AR$18,$X120))</f>
        <v/>
      </c>
      <c r="AS120" s="384" t="n"/>
    </row>
    <row r="121" hidden="1" ht="15.75" customHeight="1" s="1181">
      <c r="A121" s="384" t="n"/>
      <c r="B121" s="384" t="n"/>
      <c r="C121" s="384" t="n"/>
      <c r="D121" s="384" t="n"/>
      <c r="E121" s="384" t="n"/>
      <c r="F121" s="384" t="n"/>
      <c r="G121" s="384" t="n"/>
      <c r="H121" s="384" t="n"/>
      <c r="I121" s="384" t="n"/>
      <c r="J121" s="384" t="n"/>
      <c r="K121" s="384" t="n"/>
      <c r="L121" s="384" t="n"/>
      <c r="M121" s="384" t="n"/>
      <c r="N121" s="384" t="n"/>
      <c r="O121" s="384" t="n"/>
      <c r="P121" s="384" t="n"/>
      <c r="Q121" s="384" t="n"/>
      <c r="R121" s="384" t="n"/>
      <c r="S121" s="384" t="n"/>
      <c r="T121" s="384" t="n"/>
      <c r="U121" s="384" t="n"/>
      <c r="V121" s="384" t="n"/>
      <c r="W121" s="384" t="n"/>
      <c r="X121" s="645">
        <f>IF(_epmOfflineCondition_,"I_E100065",EPMOlapMemberO("[C_INTERCO].[PARENTH1].[I_E100065]","","I_E100065","","000"))</f>
        <v/>
      </c>
      <c r="Y121" s="870">
        <f>IF(_epmOfflineCondition_,"常德瑞露新能源有限公司",EPMMemberDesc(X121))</f>
        <v/>
      </c>
      <c r="Z121" s="1302" t="n"/>
      <c r="AA121" s="1302" t="n"/>
      <c r="AB121" s="858" t="n"/>
      <c r="AC121" s="1302" t="n"/>
      <c r="AD121" s="1302" t="n"/>
      <c r="AE121" s="1302" t="inlineStr"/>
      <c r="AF121" s="1302" t="inlineStr"/>
      <c r="AG121" s="1302" t="inlineStr"/>
      <c r="AH121" s="1302" t="n"/>
      <c r="AI121" s="1302" t="n"/>
      <c r="AJ121" s="1302" t="n"/>
      <c r="AK121" s="1302">
        <f>AI121-AJ121</f>
        <v/>
      </c>
      <c r="AL121" s="858" t="n"/>
      <c r="AM121" s="1297" t="inlineStr"/>
      <c r="AN121" s="1298" t="n"/>
      <c r="AO121" s="13">
        <f>IF(_epmOfflineCondition_,0,EPMSaveDataOnly(AB121,,AB$29,AB$25,AB$26,AB$31,AB$32,$AA$37,AO$14,AO$15,AO$16,AO$17,AO$18,X121))</f>
        <v/>
      </c>
      <c r="AP121" s="13">
        <f>IF(_epmOfflineCondition_,0,EPMSaveDataOnly(AL121,,AL$29,AL$25,AL$26,AL$31,AL$32,$AA$37,AP$14,AP$15,AP$16,AP$17,AP$18,$X121))</f>
        <v/>
      </c>
      <c r="AQ121" s="13">
        <f>IF(_epmOfflineCondition_,0,EPMSaveData(AM121,,AM$29,AM$25,AM$26,$C$6,AM$32,$AA$37,AQ$14,AQ$15,AQ$16,AQ$17,AQ$18,$X121))</f>
        <v/>
      </c>
      <c r="AR121" s="13">
        <f>IF(_epmOfflineCondition_,0,EPMSaveDataOnly(AN121,,AN$29,AN$25,AN$26,AN$31,AN$32,$AA$37,AR$14,AR$15,AR$16,AR$17,AR$18,$X121))</f>
        <v/>
      </c>
      <c r="AS121" s="384" t="n"/>
    </row>
    <row r="122" hidden="1" ht="15.75" customHeight="1" s="1181">
      <c r="A122" s="384" t="n"/>
      <c r="B122" s="384" t="n"/>
      <c r="C122" s="384" t="n"/>
      <c r="D122" s="384" t="n"/>
      <c r="E122" s="384" t="n"/>
      <c r="F122" s="384" t="n"/>
      <c r="G122" s="384" t="n"/>
      <c r="H122" s="384" t="n"/>
      <c r="I122" s="384" t="n"/>
      <c r="J122" s="384" t="n"/>
      <c r="K122" s="384" t="n"/>
      <c r="L122" s="384" t="n"/>
      <c r="M122" s="384" t="n"/>
      <c r="N122" s="384" t="n"/>
      <c r="O122" s="384" t="n"/>
      <c r="P122" s="384" t="n"/>
      <c r="Q122" s="384" t="n"/>
      <c r="R122" s="384" t="n"/>
      <c r="S122" s="384" t="n"/>
      <c r="T122" s="384" t="n"/>
      <c r="U122" s="384" t="n"/>
      <c r="V122" s="384" t="n"/>
      <c r="W122" s="384" t="n"/>
      <c r="X122" s="645">
        <f>IF(_epmOfflineCondition_,"I_E100066",EPMOlapMemberO("[C_INTERCO].[PARENTH1].[I_E100066]","","I_E100066","","000"))</f>
        <v/>
      </c>
      <c r="Y122" s="870">
        <f>IF(_epmOfflineCondition_,"常德润鹏新能源有限公司",EPMMemberDesc(X122))</f>
        <v/>
      </c>
      <c r="Z122" s="1302" t="n"/>
      <c r="AA122" s="1302" t="n"/>
      <c r="AB122" s="858" t="n"/>
      <c r="AC122" s="1302" t="n"/>
      <c r="AD122" s="1302" t="n"/>
      <c r="AE122" s="1302" t="inlineStr"/>
      <c r="AF122" s="1302" t="inlineStr"/>
      <c r="AG122" s="1302" t="inlineStr"/>
      <c r="AH122" s="1302" t="n"/>
      <c r="AI122" s="1302" t="n"/>
      <c r="AJ122" s="1302" t="n"/>
      <c r="AK122" s="1302">
        <f>AI122-AJ122</f>
        <v/>
      </c>
      <c r="AL122" s="858" t="n"/>
      <c r="AM122" s="1297" t="inlineStr"/>
      <c r="AN122" s="1298" t="n"/>
      <c r="AO122" s="13">
        <f>IF(_epmOfflineCondition_,0,EPMSaveDataOnly(AB122,,AB$29,AB$25,AB$26,AB$31,AB$32,$AA$37,AO$14,AO$15,AO$16,AO$17,AO$18,X122))</f>
        <v/>
      </c>
      <c r="AP122" s="13">
        <f>IF(_epmOfflineCondition_,0,EPMSaveDataOnly(AL122,,AL$29,AL$25,AL$26,AL$31,AL$32,$AA$37,AP$14,AP$15,AP$16,AP$17,AP$18,$X122))</f>
        <v/>
      </c>
      <c r="AQ122" s="13">
        <f>IF(_epmOfflineCondition_,0,EPMSaveData(AM122,,AM$29,AM$25,AM$26,$C$6,AM$32,$AA$37,AQ$14,AQ$15,AQ$16,AQ$17,AQ$18,$X122))</f>
        <v/>
      </c>
      <c r="AR122" s="13">
        <f>IF(_epmOfflineCondition_,0,EPMSaveDataOnly(AN122,,AN$29,AN$25,AN$26,AN$31,AN$32,$AA$37,AR$14,AR$15,AR$16,AR$17,AR$18,$X122))</f>
        <v/>
      </c>
      <c r="AS122" s="384" t="n"/>
    </row>
    <row r="123" hidden="1" ht="15.75" customHeight="1" s="1181">
      <c r="A123" s="384" t="n"/>
      <c r="B123" s="384" t="n"/>
      <c r="C123" s="384" t="n"/>
      <c r="D123" s="384" t="n"/>
      <c r="E123" s="384" t="n"/>
      <c r="F123" s="384" t="n"/>
      <c r="G123" s="384" t="n"/>
      <c r="H123" s="384" t="n"/>
      <c r="I123" s="384" t="n"/>
      <c r="J123" s="384" t="n"/>
      <c r="K123" s="384" t="n"/>
      <c r="L123" s="384" t="n"/>
      <c r="M123" s="384" t="n"/>
      <c r="N123" s="384" t="n"/>
      <c r="O123" s="384" t="n"/>
      <c r="P123" s="384" t="n"/>
      <c r="Q123" s="384" t="n"/>
      <c r="R123" s="384" t="n"/>
      <c r="S123" s="384" t="n"/>
      <c r="T123" s="384" t="n"/>
      <c r="U123" s="384" t="n"/>
      <c r="V123" s="384" t="n"/>
      <c r="W123" s="384" t="n"/>
      <c r="X123" s="645">
        <f>IF(_epmOfflineCondition_,"I_E100067",EPMOlapMemberO("[C_INTERCO].[PARENTH1].[I_E100067]","","I_E100067","","000"))</f>
        <v/>
      </c>
      <c r="Y123" s="870">
        <f>IF(_epmOfflineCondition_,"常德润勇新能源有限公司",EPMMemberDesc(X123))</f>
        <v/>
      </c>
      <c r="Z123" s="1302" t="n"/>
      <c r="AA123" s="1302" t="n"/>
      <c r="AB123" s="858" t="n"/>
      <c r="AC123" s="1302" t="n"/>
      <c r="AD123" s="1302" t="n"/>
      <c r="AE123" s="1302" t="inlineStr"/>
      <c r="AF123" s="1302" t="inlineStr"/>
      <c r="AG123" s="1302" t="inlineStr"/>
      <c r="AH123" s="1302" t="n"/>
      <c r="AI123" s="1302" t="n"/>
      <c r="AJ123" s="1302" t="n"/>
      <c r="AK123" s="1302">
        <f>AI123-AJ123</f>
        <v/>
      </c>
      <c r="AL123" s="858" t="n"/>
      <c r="AM123" s="1297" t="inlineStr"/>
      <c r="AN123" s="1298" t="n"/>
      <c r="AO123" s="13">
        <f>IF(_epmOfflineCondition_,0,EPMSaveDataOnly(AB123,,AB$29,AB$25,AB$26,AB$31,AB$32,$AA$37,AO$14,AO$15,AO$16,AO$17,AO$18,X123))</f>
        <v/>
      </c>
      <c r="AP123" s="13">
        <f>IF(_epmOfflineCondition_,0,EPMSaveDataOnly(AL123,,AL$29,AL$25,AL$26,AL$31,AL$32,$AA$37,AP$14,AP$15,AP$16,AP$17,AP$18,$X123))</f>
        <v/>
      </c>
      <c r="AQ123" s="13">
        <f>IF(_epmOfflineCondition_,0,EPMSaveData(AM123,,AM$29,AM$25,AM$26,$C$6,AM$32,$AA$37,AQ$14,AQ$15,AQ$16,AQ$17,AQ$18,$X123))</f>
        <v/>
      </c>
      <c r="AR123" s="13">
        <f>IF(_epmOfflineCondition_,0,EPMSaveDataOnly(AN123,,AN$29,AN$25,AN$26,AN$31,AN$32,$AA$37,AR$14,AR$15,AR$16,AR$17,AR$18,$X123))</f>
        <v/>
      </c>
      <c r="AS123" s="384" t="n"/>
    </row>
    <row r="124" hidden="1" ht="15.75" customHeight="1" s="1181">
      <c r="A124" s="384" t="n"/>
      <c r="B124" s="384" t="n"/>
      <c r="C124" s="384" t="n"/>
      <c r="D124" s="384" t="n"/>
      <c r="E124" s="384" t="n"/>
      <c r="F124" s="384" t="n"/>
      <c r="G124" s="384" t="n"/>
      <c r="H124" s="384" t="n"/>
      <c r="I124" s="384" t="n"/>
      <c r="J124" s="384" t="n"/>
      <c r="K124" s="384" t="n"/>
      <c r="L124" s="384" t="n"/>
      <c r="M124" s="384" t="n"/>
      <c r="N124" s="384" t="n"/>
      <c r="O124" s="384" t="n"/>
      <c r="P124" s="384" t="n"/>
      <c r="Q124" s="384" t="n"/>
      <c r="R124" s="384" t="n"/>
      <c r="S124" s="384" t="n"/>
      <c r="T124" s="384" t="n"/>
      <c r="U124" s="384" t="n"/>
      <c r="V124" s="384" t="n"/>
      <c r="W124" s="384" t="n"/>
      <c r="X124" s="645">
        <f>IF(_epmOfflineCondition_,"I_E100068",EPMOlapMemberO("[C_INTERCO].[PARENTH1].[I_E100068]","","I_E100068","","000"))</f>
        <v/>
      </c>
      <c r="Y124" s="870">
        <f>IF(_epmOfflineCondition_,"汉寿县润鑫新能源有限公司",EPMMemberDesc(X124))</f>
        <v/>
      </c>
      <c r="Z124" s="1302" t="n"/>
      <c r="AA124" s="1302" t="n"/>
      <c r="AB124" s="858" t="n"/>
      <c r="AC124" s="1302" t="n"/>
      <c r="AD124" s="1302" t="n"/>
      <c r="AE124" s="1302" t="inlineStr"/>
      <c r="AF124" s="1302" t="inlineStr"/>
      <c r="AG124" s="1302" t="inlineStr"/>
      <c r="AH124" s="1302" t="n"/>
      <c r="AI124" s="1302" t="n"/>
      <c r="AJ124" s="1302" t="n"/>
      <c r="AK124" s="1302">
        <f>AI124-AJ124</f>
        <v/>
      </c>
      <c r="AL124" s="858" t="n"/>
      <c r="AM124" s="1297" t="inlineStr"/>
      <c r="AN124" s="1298" t="n"/>
      <c r="AO124" s="13">
        <f>IF(_epmOfflineCondition_,0,EPMSaveDataOnly(AB124,,AB$29,AB$25,AB$26,AB$31,AB$32,$AA$37,AO$14,AO$15,AO$16,AO$17,AO$18,X124))</f>
        <v/>
      </c>
      <c r="AP124" s="13">
        <f>IF(_epmOfflineCondition_,0,EPMSaveDataOnly(AL124,,AL$29,AL$25,AL$26,AL$31,AL$32,$AA$37,AP$14,AP$15,AP$16,AP$17,AP$18,$X124))</f>
        <v/>
      </c>
      <c r="AQ124" s="13">
        <f>IF(_epmOfflineCondition_,0,EPMSaveData(AM124,,AM$29,AM$25,AM$26,$C$6,AM$32,$AA$37,AQ$14,AQ$15,AQ$16,AQ$17,AQ$18,$X124))</f>
        <v/>
      </c>
      <c r="AR124" s="13">
        <f>IF(_epmOfflineCondition_,0,EPMSaveDataOnly(AN124,,AN$29,AN$25,AN$26,AN$31,AN$32,$AA$37,AR$14,AR$15,AR$16,AR$17,AR$18,$X124))</f>
        <v/>
      </c>
      <c r="AS124" s="384" t="n"/>
    </row>
    <row r="125" hidden="1" ht="15.75" customHeight="1" s="1181">
      <c r="A125" s="384" t="n"/>
      <c r="B125" s="384" t="n"/>
      <c r="C125" s="384" t="n"/>
      <c r="D125" s="384" t="n"/>
      <c r="E125" s="384" t="n"/>
      <c r="F125" s="384" t="n"/>
      <c r="G125" s="384" t="n"/>
      <c r="H125" s="384" t="n"/>
      <c r="I125" s="384" t="n"/>
      <c r="J125" s="384" t="n"/>
      <c r="K125" s="384" t="n"/>
      <c r="L125" s="384" t="n"/>
      <c r="M125" s="384" t="n"/>
      <c r="N125" s="384" t="n"/>
      <c r="O125" s="384" t="n"/>
      <c r="P125" s="384" t="n"/>
      <c r="Q125" s="384" t="n"/>
      <c r="R125" s="384" t="n"/>
      <c r="S125" s="384" t="n"/>
      <c r="T125" s="384" t="n"/>
      <c r="U125" s="384" t="n"/>
      <c r="V125" s="384" t="n"/>
      <c r="W125" s="384" t="n"/>
      <c r="X125" s="645">
        <f>IF(_epmOfflineCondition_,"I_E100069",EPMOlapMemberO("[C_INTERCO].[PARENTH1].[I_E100069]","","I_E100069","","000"))</f>
        <v/>
      </c>
      <c r="Y125" s="870">
        <f>IF(_epmOfflineCondition_,"常宁光聚电力开发有限公司",EPMMemberDesc(X125))</f>
        <v/>
      </c>
      <c r="Z125" s="1302" t="n"/>
      <c r="AA125" s="1302" t="n"/>
      <c r="AB125" s="858" t="n"/>
      <c r="AC125" s="1302" t="n"/>
      <c r="AD125" s="1302" t="n"/>
      <c r="AE125" s="1302" t="inlineStr"/>
      <c r="AF125" s="1302" t="inlineStr"/>
      <c r="AG125" s="1302" t="inlineStr"/>
      <c r="AH125" s="1302" t="n"/>
      <c r="AI125" s="1302" t="n"/>
      <c r="AJ125" s="1302" t="n"/>
      <c r="AK125" s="1302">
        <f>AI125-AJ125</f>
        <v/>
      </c>
      <c r="AL125" s="858" t="n"/>
      <c r="AM125" s="1297" t="inlineStr"/>
      <c r="AN125" s="1298" t="n"/>
      <c r="AO125" s="13">
        <f>IF(_epmOfflineCondition_,0,EPMSaveDataOnly(AB125,,AB$29,AB$25,AB$26,AB$31,AB$32,$AA$37,AO$14,AO$15,AO$16,AO$17,AO$18,X125))</f>
        <v/>
      </c>
      <c r="AP125" s="13">
        <f>IF(_epmOfflineCondition_,0,EPMSaveDataOnly(AL125,,AL$29,AL$25,AL$26,AL$31,AL$32,$AA$37,AP$14,AP$15,AP$16,AP$17,AP$18,$X125))</f>
        <v/>
      </c>
      <c r="AQ125" s="13">
        <f>IF(_epmOfflineCondition_,0,EPMSaveData(AM125,,AM$29,AM$25,AM$26,$C$6,AM$32,$AA$37,AQ$14,AQ$15,AQ$16,AQ$17,AQ$18,$X125))</f>
        <v/>
      </c>
      <c r="AR125" s="13">
        <f>IF(_epmOfflineCondition_,0,EPMSaveDataOnly(AN125,,AN$29,AN$25,AN$26,AN$31,AN$32,$AA$37,AR$14,AR$15,AR$16,AR$17,AR$18,$X125))</f>
        <v/>
      </c>
      <c r="AS125" s="384" t="n"/>
    </row>
    <row r="126" hidden="1" ht="15.75" customHeight="1" s="1181">
      <c r="A126" s="384" t="n"/>
      <c r="B126" s="384" t="n"/>
      <c r="C126" s="384" t="n"/>
      <c r="D126" s="384" t="n"/>
      <c r="E126" s="384" t="n"/>
      <c r="F126" s="384" t="n"/>
      <c r="G126" s="384" t="n"/>
      <c r="H126" s="384" t="n"/>
      <c r="I126" s="384" t="n"/>
      <c r="J126" s="384" t="n"/>
      <c r="K126" s="384" t="n"/>
      <c r="L126" s="384" t="n"/>
      <c r="M126" s="384" t="n"/>
      <c r="N126" s="384" t="n"/>
      <c r="O126" s="384" t="n"/>
      <c r="P126" s="384" t="n"/>
      <c r="Q126" s="384" t="n"/>
      <c r="R126" s="384" t="n"/>
      <c r="S126" s="384" t="n"/>
      <c r="T126" s="384" t="n"/>
      <c r="U126" s="384" t="n"/>
      <c r="V126" s="384" t="n"/>
      <c r="W126" s="384" t="n"/>
      <c r="X126" s="645">
        <f>IF(_epmOfflineCondition_,"I_E100070",EPMOlapMemberO("[C_INTERCO].[PARENTH1].[I_E100070]","","I_E100070","","000"))</f>
        <v/>
      </c>
      <c r="Y126" s="870">
        <f>IF(_epmOfflineCondition_,"惠州市永景新能源科技有限公司",EPMMemberDesc(X126))</f>
        <v/>
      </c>
      <c r="Z126" s="1302" t="n"/>
      <c r="AA126" s="1302" t="n"/>
      <c r="AB126" s="858" t="n"/>
      <c r="AC126" s="1302" t="n"/>
      <c r="AD126" s="1302" t="n"/>
      <c r="AE126" s="1302" t="inlineStr"/>
      <c r="AF126" s="1302" t="inlineStr"/>
      <c r="AG126" s="1302" t="inlineStr"/>
      <c r="AH126" s="1302" t="n"/>
      <c r="AI126" s="1302" t="n"/>
      <c r="AJ126" s="1302" t="n"/>
      <c r="AK126" s="1302">
        <f>AI126-AJ126</f>
        <v/>
      </c>
      <c r="AL126" s="858" t="n"/>
      <c r="AM126" s="1297" t="inlineStr"/>
      <c r="AN126" s="1298" t="n"/>
      <c r="AO126" s="13">
        <f>IF(_epmOfflineCondition_,0,EPMSaveDataOnly(AB126,,AB$29,AB$25,AB$26,AB$31,AB$32,$AA$37,AO$14,AO$15,AO$16,AO$17,AO$18,X126))</f>
        <v/>
      </c>
      <c r="AP126" s="13">
        <f>IF(_epmOfflineCondition_,0,EPMSaveDataOnly(AL126,,AL$29,AL$25,AL$26,AL$31,AL$32,$AA$37,AP$14,AP$15,AP$16,AP$17,AP$18,$X126))</f>
        <v/>
      </c>
      <c r="AQ126" s="13">
        <f>IF(_epmOfflineCondition_,0,EPMSaveData(AM126,,AM$29,AM$25,AM$26,$C$6,AM$32,$AA$37,AQ$14,AQ$15,AQ$16,AQ$17,AQ$18,$X126))</f>
        <v/>
      </c>
      <c r="AR126" s="13">
        <f>IF(_epmOfflineCondition_,0,EPMSaveDataOnly(AN126,,AN$29,AN$25,AN$26,AN$31,AN$32,$AA$37,AR$14,AR$15,AR$16,AR$17,AR$18,$X126))</f>
        <v/>
      </c>
      <c r="AS126" s="384" t="n"/>
    </row>
    <row r="127" hidden="1" ht="15.75" customHeight="1" s="1181">
      <c r="A127" s="384" t="n"/>
      <c r="B127" s="384" t="n"/>
      <c r="C127" s="384" t="n"/>
      <c r="D127" s="384" t="n"/>
      <c r="E127" s="384" t="n"/>
      <c r="F127" s="384" t="n"/>
      <c r="G127" s="384" t="n"/>
      <c r="H127" s="384" t="n"/>
      <c r="I127" s="384" t="n"/>
      <c r="J127" s="384" t="n"/>
      <c r="K127" s="384" t="n"/>
      <c r="L127" s="384" t="n"/>
      <c r="M127" s="384" t="n"/>
      <c r="N127" s="384" t="n"/>
      <c r="O127" s="384" t="n"/>
      <c r="P127" s="384" t="n"/>
      <c r="Q127" s="384" t="n"/>
      <c r="R127" s="384" t="n"/>
      <c r="S127" s="384" t="n"/>
      <c r="T127" s="384" t="n"/>
      <c r="U127" s="384" t="n"/>
      <c r="V127" s="384" t="n"/>
      <c r="W127" s="384" t="n"/>
      <c r="X127" s="645">
        <f>IF(_epmOfflineCondition_,"I_E100071",EPMOlapMemberO("[C_INTERCO].[PARENTH1].[I_E100071]","","I_E100071","","000"))</f>
        <v/>
      </c>
      <c r="Y127" s="870">
        <f>IF(_epmOfflineCondition_,"阳江华晶绿色能源科技有限公司",EPMMemberDesc(X127))</f>
        <v/>
      </c>
      <c r="Z127" s="1302" t="n"/>
      <c r="AA127" s="1302" t="n"/>
      <c r="AB127" s="858" t="n"/>
      <c r="AC127" s="1302" t="n"/>
      <c r="AD127" s="1302" t="n"/>
      <c r="AE127" s="1302" t="inlineStr"/>
      <c r="AF127" s="1302" t="inlineStr"/>
      <c r="AG127" s="1302" t="inlineStr"/>
      <c r="AH127" s="1302" t="n"/>
      <c r="AI127" s="1302" t="n"/>
      <c r="AJ127" s="1302" t="n"/>
      <c r="AK127" s="1302">
        <f>AI127-AJ127</f>
        <v/>
      </c>
      <c r="AL127" s="858" t="n"/>
      <c r="AM127" s="1297" t="inlineStr"/>
      <c r="AN127" s="1298" t="n"/>
      <c r="AO127" s="13">
        <f>IF(_epmOfflineCondition_,0,EPMSaveDataOnly(AB127,,AB$29,AB$25,AB$26,AB$31,AB$32,$AA$37,AO$14,AO$15,AO$16,AO$17,AO$18,X127))</f>
        <v/>
      </c>
      <c r="AP127" s="13">
        <f>IF(_epmOfflineCondition_,0,EPMSaveDataOnly(AL127,,AL$29,AL$25,AL$26,AL$31,AL$32,$AA$37,AP$14,AP$15,AP$16,AP$17,AP$18,$X127))</f>
        <v/>
      </c>
      <c r="AQ127" s="13">
        <f>IF(_epmOfflineCondition_,0,EPMSaveData(AM127,,AM$29,AM$25,AM$26,$C$6,AM$32,$AA$37,AQ$14,AQ$15,AQ$16,AQ$17,AQ$18,$X127))</f>
        <v/>
      </c>
      <c r="AR127" s="13">
        <f>IF(_epmOfflineCondition_,0,EPMSaveDataOnly(AN127,,AN$29,AN$25,AN$26,AN$31,AN$32,$AA$37,AR$14,AR$15,AR$16,AR$17,AR$18,$X127))</f>
        <v/>
      </c>
      <c r="AS127" s="384" t="n"/>
    </row>
    <row r="128" hidden="1" ht="15.75" customHeight="1" s="1181">
      <c r="A128" s="384" t="n"/>
      <c r="B128" s="384" t="n"/>
      <c r="C128" s="384" t="n"/>
      <c r="D128" s="384" t="n"/>
      <c r="E128" s="384" t="n"/>
      <c r="F128" s="384" t="n"/>
      <c r="G128" s="384" t="n"/>
      <c r="H128" s="384" t="n"/>
      <c r="I128" s="384" t="n"/>
      <c r="J128" s="384" t="n"/>
      <c r="K128" s="384" t="n"/>
      <c r="L128" s="384" t="n"/>
      <c r="M128" s="384" t="n"/>
      <c r="N128" s="384" t="n"/>
      <c r="O128" s="384" t="n"/>
      <c r="P128" s="384" t="n"/>
      <c r="Q128" s="384" t="n"/>
      <c r="R128" s="384" t="n"/>
      <c r="S128" s="384" t="n"/>
      <c r="T128" s="384" t="n"/>
      <c r="U128" s="384" t="n"/>
      <c r="V128" s="384" t="n"/>
      <c r="W128" s="384" t="n"/>
      <c r="X128" s="645">
        <f>IF(_epmOfflineCondition_,"I_E100072",EPMOlapMemberO("[C_INTERCO].[PARENTH1].[I_E100072]","","I_E100072","","000"))</f>
        <v/>
      </c>
      <c r="Y128" s="870">
        <f>IF(_epmOfflineCondition_,"北京京能清洁能源电力股份有限公司内蒙古分公司",EPMMemberDesc(X128))</f>
        <v/>
      </c>
      <c r="Z128" s="1302" t="n"/>
      <c r="AA128" s="1302" t="n"/>
      <c r="AB128" s="858" t="n"/>
      <c r="AC128" s="1302" t="n"/>
      <c r="AD128" s="1302" t="n"/>
      <c r="AE128" s="1302" t="inlineStr"/>
      <c r="AF128" s="1302" t="inlineStr"/>
      <c r="AG128" s="1302" t="inlineStr"/>
      <c r="AH128" s="1302" t="n"/>
      <c r="AI128" s="1302" t="n"/>
      <c r="AJ128" s="1302" t="n"/>
      <c r="AK128" s="1302">
        <f>AI128-AJ128</f>
        <v/>
      </c>
      <c r="AL128" s="858" t="n"/>
      <c r="AM128" s="1297" t="inlineStr"/>
      <c r="AN128" s="1298" t="n"/>
      <c r="AO128" s="13">
        <f>IF(_epmOfflineCondition_,0,EPMSaveDataOnly(AB128,,AB$29,AB$25,AB$26,AB$31,AB$32,$AA$37,AO$14,AO$15,AO$16,AO$17,AO$18,X128))</f>
        <v/>
      </c>
      <c r="AP128" s="13">
        <f>IF(_epmOfflineCondition_,0,EPMSaveDataOnly(AL128,,AL$29,AL$25,AL$26,AL$31,AL$32,$AA$37,AP$14,AP$15,AP$16,AP$17,AP$18,$X128))</f>
        <v/>
      </c>
      <c r="AQ128" s="13">
        <f>IF(_epmOfflineCondition_,0,EPMSaveData(AM128,,AM$29,AM$25,AM$26,$C$6,AM$32,$AA$37,AQ$14,AQ$15,AQ$16,AQ$17,AQ$18,$X128))</f>
        <v/>
      </c>
      <c r="AR128" s="13">
        <f>IF(_epmOfflineCondition_,0,EPMSaveDataOnly(AN128,,AN$29,AN$25,AN$26,AN$31,AN$32,$AA$37,AR$14,AR$15,AR$16,AR$17,AR$18,$X128))</f>
        <v/>
      </c>
      <c r="AS128" s="384" t="n"/>
    </row>
    <row r="129" hidden="1" ht="15.75" customHeight="1" s="1181">
      <c r="A129" s="384" t="n"/>
      <c r="B129" s="384" t="n"/>
      <c r="C129" s="384" t="n"/>
      <c r="D129" s="384" t="n"/>
      <c r="E129" s="384" t="n"/>
      <c r="F129" s="384" t="n"/>
      <c r="G129" s="384" t="n"/>
      <c r="H129" s="384" t="n"/>
      <c r="I129" s="384" t="n"/>
      <c r="J129" s="384" t="n"/>
      <c r="K129" s="384" t="n"/>
      <c r="L129" s="384" t="n"/>
      <c r="M129" s="384" t="n"/>
      <c r="N129" s="384" t="n"/>
      <c r="O129" s="384" t="n"/>
      <c r="P129" s="384" t="n"/>
      <c r="Q129" s="384" t="n"/>
      <c r="R129" s="384" t="n"/>
      <c r="S129" s="384" t="n"/>
      <c r="T129" s="384" t="n"/>
      <c r="U129" s="384" t="n"/>
      <c r="V129" s="384" t="n"/>
      <c r="W129" s="384" t="n"/>
      <c r="X129" s="645">
        <f>IF(_epmOfflineCondition_,"I_E100073",EPMOlapMemberO("[C_INTERCO].[PARENTH1].[I_E100073]","","I_E100073","","000"))</f>
        <v/>
      </c>
      <c r="Y129" s="870">
        <f>IF(_epmOfflineCondition_,"内蒙古京能乌兰伊力更风力发电有限责任公司",EPMMemberDesc(X129))</f>
        <v/>
      </c>
      <c r="Z129" s="1302" t="n"/>
      <c r="AA129" s="1302" t="n"/>
      <c r="AB129" s="858" t="n"/>
      <c r="AC129" s="1302" t="n"/>
      <c r="AD129" s="1302" t="n"/>
      <c r="AE129" s="1302" t="inlineStr"/>
      <c r="AF129" s="1302" t="inlineStr"/>
      <c r="AG129" s="1302" t="inlineStr"/>
      <c r="AH129" s="1302" t="n"/>
      <c r="AI129" s="1302" t="n"/>
      <c r="AJ129" s="1302" t="n"/>
      <c r="AK129" s="1302">
        <f>AI129-AJ129</f>
        <v/>
      </c>
      <c r="AL129" s="858" t="n"/>
      <c r="AM129" s="1297" t="inlineStr"/>
      <c r="AN129" s="1298" t="n"/>
      <c r="AO129" s="13">
        <f>IF(_epmOfflineCondition_,0,EPMSaveDataOnly(AB129,,AB$29,AB$25,AB$26,AB$31,AB$32,$AA$37,AO$14,AO$15,AO$16,AO$17,AO$18,X129))</f>
        <v/>
      </c>
      <c r="AP129" s="13">
        <f>IF(_epmOfflineCondition_,0,EPMSaveDataOnly(AL129,,AL$29,AL$25,AL$26,AL$31,AL$32,$AA$37,AP$14,AP$15,AP$16,AP$17,AP$18,$X129))</f>
        <v/>
      </c>
      <c r="AQ129" s="13">
        <f>IF(_epmOfflineCondition_,0,EPMSaveData(AM129,,AM$29,AM$25,AM$26,$C$6,AM$32,$AA$37,AQ$14,AQ$15,AQ$16,AQ$17,AQ$18,$X129))</f>
        <v/>
      </c>
      <c r="AR129" s="13">
        <f>IF(_epmOfflineCondition_,0,EPMSaveDataOnly(AN129,,AN$29,AN$25,AN$26,AN$31,AN$32,$AA$37,AR$14,AR$15,AR$16,AR$17,AR$18,$X129))</f>
        <v/>
      </c>
      <c r="AS129" s="384" t="n"/>
    </row>
    <row r="130" hidden="1" ht="15.75" customHeight="1" s="1181">
      <c r="A130" s="384" t="n"/>
      <c r="B130" s="384" t="n"/>
      <c r="C130" s="384" t="n"/>
      <c r="D130" s="384" t="n"/>
      <c r="E130" s="384" t="n"/>
      <c r="F130" s="384" t="n"/>
      <c r="G130" s="384" t="n"/>
      <c r="H130" s="384" t="n"/>
      <c r="I130" s="384" t="n"/>
      <c r="J130" s="384" t="n"/>
      <c r="K130" s="384" t="n"/>
      <c r="L130" s="384" t="n"/>
      <c r="M130" s="384" t="n"/>
      <c r="N130" s="384" t="n"/>
      <c r="O130" s="384" t="n"/>
      <c r="P130" s="384" t="n"/>
      <c r="Q130" s="384" t="n"/>
      <c r="R130" s="384" t="n"/>
      <c r="S130" s="384" t="n"/>
      <c r="T130" s="384" t="n"/>
      <c r="U130" s="384" t="n"/>
      <c r="V130" s="384" t="n"/>
      <c r="W130" s="384" t="n"/>
      <c r="X130" s="645">
        <f>IF(_epmOfflineCondition_,"I_E100074",EPMOlapMemberO("[C_INTERCO].[PARENTH1].[I_E100074]","","I_E100074","","000"))</f>
        <v/>
      </c>
      <c r="Y130" s="870">
        <f>IF(_epmOfflineCondition_,"北京京能新能源有限公司辉腾锡勒风电分公司",EPMMemberDesc(X130))</f>
        <v/>
      </c>
      <c r="Z130" s="1302" t="n"/>
      <c r="AA130" s="1302" t="n"/>
      <c r="AB130" s="858" t="n"/>
      <c r="AC130" s="1302" t="n"/>
      <c r="AD130" s="1302" t="n"/>
      <c r="AE130" s="1302" t="inlineStr"/>
      <c r="AF130" s="1302" t="inlineStr"/>
      <c r="AG130" s="1302" t="inlineStr"/>
      <c r="AH130" s="1302" t="n"/>
      <c r="AI130" s="1302" t="n"/>
      <c r="AJ130" s="1302" t="n"/>
      <c r="AK130" s="1302">
        <f>AI130-AJ130</f>
        <v/>
      </c>
      <c r="AL130" s="858" t="n"/>
      <c r="AM130" s="1297" t="inlineStr"/>
      <c r="AN130" s="1298" t="n"/>
      <c r="AO130" s="13">
        <f>IF(_epmOfflineCondition_,0,EPMSaveDataOnly(AB130,,AB$29,AB$25,AB$26,AB$31,AB$32,$AA$37,AO$14,AO$15,AO$16,AO$17,AO$18,X130))</f>
        <v/>
      </c>
      <c r="AP130" s="13">
        <f>IF(_epmOfflineCondition_,0,EPMSaveDataOnly(AL130,,AL$29,AL$25,AL$26,AL$31,AL$32,$AA$37,AP$14,AP$15,AP$16,AP$17,AP$18,$X130))</f>
        <v/>
      </c>
      <c r="AQ130" s="13">
        <f>IF(_epmOfflineCondition_,0,EPMSaveData(AM130,,AM$29,AM$25,AM$26,$C$6,AM$32,$AA$37,AQ$14,AQ$15,AQ$16,AQ$17,AQ$18,$X130))</f>
        <v/>
      </c>
      <c r="AR130" s="13">
        <f>IF(_epmOfflineCondition_,0,EPMSaveDataOnly(AN130,,AN$29,AN$25,AN$26,AN$31,AN$32,$AA$37,AR$14,AR$15,AR$16,AR$17,AR$18,$X130))</f>
        <v/>
      </c>
      <c r="AS130" s="384" t="n"/>
    </row>
    <row r="131" hidden="1" ht="15.75" customHeight="1" s="1181">
      <c r="A131" s="384" t="n"/>
      <c r="B131" s="384" t="n"/>
      <c r="C131" s="384" t="n"/>
      <c r="D131" s="384" t="n"/>
      <c r="E131" s="384" t="n"/>
      <c r="F131" s="384" t="n"/>
      <c r="G131" s="384" t="n"/>
      <c r="H131" s="384" t="n"/>
      <c r="I131" s="384" t="n"/>
      <c r="J131" s="384" t="n"/>
      <c r="K131" s="384" t="n"/>
      <c r="L131" s="384" t="n"/>
      <c r="M131" s="384" t="n"/>
      <c r="N131" s="384" t="n"/>
      <c r="O131" s="384" t="n"/>
      <c r="P131" s="384" t="n"/>
      <c r="Q131" s="384" t="n"/>
      <c r="R131" s="384" t="n"/>
      <c r="S131" s="384" t="n"/>
      <c r="T131" s="384" t="n"/>
      <c r="U131" s="384" t="n"/>
      <c r="V131" s="384" t="n"/>
      <c r="W131" s="384" t="n"/>
      <c r="X131" s="645">
        <f>IF(_epmOfflineCondition_,"I_E100075",EPMOlapMemberO("[C_INTERCO].[PARENTH1].[I_E100075]","","I_E100075","","000"))</f>
        <v/>
      </c>
      <c r="Y131" s="870">
        <f>IF(_epmOfflineCondition_,"内蒙古京能察右中风力发电有限责任公司",EPMMemberDesc(X131))</f>
        <v/>
      </c>
      <c r="Z131" s="1302" t="n"/>
      <c r="AA131" s="1302" t="n"/>
      <c r="AB131" s="858" t="n"/>
      <c r="AC131" s="1302" t="n"/>
      <c r="AD131" s="1302" t="n"/>
      <c r="AE131" s="1302" t="inlineStr"/>
      <c r="AF131" s="1302" t="inlineStr"/>
      <c r="AG131" s="1302" t="inlineStr"/>
      <c r="AH131" s="1302" t="n"/>
      <c r="AI131" s="1302" t="n"/>
      <c r="AJ131" s="1302" t="n"/>
      <c r="AK131" s="1302">
        <f>AI131-AJ131</f>
        <v/>
      </c>
      <c r="AL131" s="858" t="n"/>
      <c r="AM131" s="1297" t="inlineStr"/>
      <c r="AN131" s="1298" t="n"/>
      <c r="AO131" s="13">
        <f>IF(_epmOfflineCondition_,0,EPMSaveDataOnly(AB131,,AB$29,AB$25,AB$26,AB$31,AB$32,$AA$37,AO$14,AO$15,AO$16,AO$17,AO$18,X131))</f>
        <v/>
      </c>
      <c r="AP131" s="13">
        <f>IF(_epmOfflineCondition_,0,EPMSaveDataOnly(AL131,,AL$29,AL$25,AL$26,AL$31,AL$32,$AA$37,AP$14,AP$15,AP$16,AP$17,AP$18,$X131))</f>
        <v/>
      </c>
      <c r="AQ131" s="13">
        <f>IF(_epmOfflineCondition_,0,EPMSaveData(AM131,,AM$29,AM$25,AM$26,$C$6,AM$32,$AA$37,AQ$14,AQ$15,AQ$16,AQ$17,AQ$18,$X131))</f>
        <v/>
      </c>
      <c r="AR131" s="13">
        <f>IF(_epmOfflineCondition_,0,EPMSaveDataOnly(AN131,,AN$29,AN$25,AN$26,AN$31,AN$32,$AA$37,AR$14,AR$15,AR$16,AR$17,AR$18,$X131))</f>
        <v/>
      </c>
      <c r="AS131" s="384" t="n"/>
    </row>
    <row r="132" hidden="1" ht="15.75" customHeight="1" s="1181">
      <c r="A132" s="384" t="n"/>
      <c r="B132" s="384" t="n"/>
      <c r="C132" s="384" t="n"/>
      <c r="D132" s="384" t="n"/>
      <c r="E132" s="384" t="n"/>
      <c r="F132" s="384" t="n"/>
      <c r="G132" s="384" t="n"/>
      <c r="H132" s="384" t="n"/>
      <c r="I132" s="384" t="n"/>
      <c r="J132" s="384" t="n"/>
      <c r="K132" s="384" t="n"/>
      <c r="L132" s="384" t="n"/>
      <c r="M132" s="384" t="n"/>
      <c r="N132" s="384" t="n"/>
      <c r="O132" s="384" t="n"/>
      <c r="P132" s="384" t="n"/>
      <c r="Q132" s="384" t="n"/>
      <c r="R132" s="384" t="n"/>
      <c r="S132" s="384" t="n"/>
      <c r="T132" s="384" t="n"/>
      <c r="U132" s="384" t="n"/>
      <c r="V132" s="384" t="n"/>
      <c r="W132" s="384" t="n"/>
      <c r="X132" s="645">
        <f>IF(_epmOfflineCondition_,"I_E100076",EPMOlapMemberO("[C_INTERCO].[PARENTH1].[I_E100076]","","I_E100076","","000"))</f>
        <v/>
      </c>
      <c r="Y132" s="870">
        <f>IF(_epmOfflineCondition_,"锡林郭勒吉相华亚风力发电有限责任公司",EPMMemberDesc(X132))</f>
        <v/>
      </c>
      <c r="Z132" s="1302" t="n"/>
      <c r="AA132" s="1302" t="n"/>
      <c r="AB132" s="858" t="n"/>
      <c r="AC132" s="1302" t="n"/>
      <c r="AD132" s="1302" t="n"/>
      <c r="AE132" s="1302" t="inlineStr"/>
      <c r="AF132" s="1302" t="inlineStr"/>
      <c r="AG132" s="1302" t="inlineStr"/>
      <c r="AH132" s="1302" t="n"/>
      <c r="AI132" s="1302" t="n"/>
      <c r="AJ132" s="1302" t="n"/>
      <c r="AK132" s="1302">
        <f>AI132-AJ132</f>
        <v/>
      </c>
      <c r="AL132" s="858" t="n"/>
      <c r="AM132" s="1297" t="inlineStr"/>
      <c r="AN132" s="1298" t="n"/>
      <c r="AO132" s="13">
        <f>IF(_epmOfflineCondition_,0,EPMSaveDataOnly(AB132,,AB$29,AB$25,AB$26,AB$31,AB$32,$AA$37,AO$14,AO$15,AO$16,AO$17,AO$18,X132))</f>
        <v/>
      </c>
      <c r="AP132" s="13">
        <f>IF(_epmOfflineCondition_,0,EPMSaveDataOnly(AL132,,AL$29,AL$25,AL$26,AL$31,AL$32,$AA$37,AP$14,AP$15,AP$16,AP$17,AP$18,$X132))</f>
        <v/>
      </c>
      <c r="AQ132" s="13">
        <f>IF(_epmOfflineCondition_,0,EPMSaveData(AM132,,AM$29,AM$25,AM$26,$C$6,AM$32,$AA$37,AQ$14,AQ$15,AQ$16,AQ$17,AQ$18,$X132))</f>
        <v/>
      </c>
      <c r="AR132" s="13">
        <f>IF(_epmOfflineCondition_,0,EPMSaveDataOnly(AN132,,AN$29,AN$25,AN$26,AN$31,AN$32,$AA$37,AR$14,AR$15,AR$16,AR$17,AR$18,$X132))</f>
        <v/>
      </c>
      <c r="AS132" s="384" t="n"/>
    </row>
    <row r="133" hidden="1" ht="15.75" customHeight="1" s="1181">
      <c r="A133" s="384" t="n"/>
      <c r="B133" s="384" t="n"/>
      <c r="C133" s="384" t="n"/>
      <c r="D133" s="384" t="n"/>
      <c r="E133" s="384" t="n"/>
      <c r="F133" s="384" t="n"/>
      <c r="G133" s="384" t="n"/>
      <c r="H133" s="384" t="n"/>
      <c r="I133" s="384" t="n"/>
      <c r="J133" s="384" t="n"/>
      <c r="K133" s="384" t="n"/>
      <c r="L133" s="384" t="n"/>
      <c r="M133" s="384" t="n"/>
      <c r="N133" s="384" t="n"/>
      <c r="O133" s="384" t="n"/>
      <c r="P133" s="384" t="n"/>
      <c r="Q133" s="384" t="n"/>
      <c r="R133" s="384" t="n"/>
      <c r="S133" s="384" t="n"/>
      <c r="T133" s="384" t="n"/>
      <c r="U133" s="384" t="n"/>
      <c r="V133" s="384" t="n"/>
      <c r="W133" s="384" t="n"/>
      <c r="X133" s="645">
        <f>IF(_epmOfflineCondition_,"I_E100077",EPMOlapMemberO("[C_INTERCO].[PARENTH1].[I_E100077]","","I_E100077","","000"))</f>
        <v/>
      </c>
      <c r="Y133" s="870">
        <f>IF(_epmOfflineCondition_,"京能新能源（苏尼特右旗）风力发电有限公司",EPMMemberDesc(X133))</f>
        <v/>
      </c>
      <c r="Z133" s="1302" t="n"/>
      <c r="AA133" s="1302" t="n"/>
      <c r="AB133" s="858" t="n"/>
      <c r="AC133" s="1302" t="n"/>
      <c r="AD133" s="1302" t="n"/>
      <c r="AE133" s="1302" t="inlineStr"/>
      <c r="AF133" s="1302" t="inlineStr"/>
      <c r="AG133" s="1302" t="inlineStr"/>
      <c r="AH133" s="1302" t="n"/>
      <c r="AI133" s="1302" t="n"/>
      <c r="AJ133" s="1302" t="n"/>
      <c r="AK133" s="1302">
        <f>AI133-AJ133</f>
        <v/>
      </c>
      <c r="AL133" s="858" t="n"/>
      <c r="AM133" s="1297" t="inlineStr"/>
      <c r="AN133" s="1298" t="n"/>
      <c r="AO133" s="13">
        <f>IF(_epmOfflineCondition_,0,EPMSaveDataOnly(AB133,,AB$29,AB$25,AB$26,AB$31,AB$32,$AA$37,AO$14,AO$15,AO$16,AO$17,AO$18,X133))</f>
        <v/>
      </c>
      <c r="AP133" s="13">
        <f>IF(_epmOfflineCondition_,0,EPMSaveDataOnly(AL133,,AL$29,AL$25,AL$26,AL$31,AL$32,$AA$37,AP$14,AP$15,AP$16,AP$17,AP$18,$X133))</f>
        <v/>
      </c>
      <c r="AQ133" s="13">
        <f>IF(_epmOfflineCondition_,0,EPMSaveData(AM133,,AM$29,AM$25,AM$26,$C$6,AM$32,$AA$37,AQ$14,AQ$15,AQ$16,AQ$17,AQ$18,$X133))</f>
        <v/>
      </c>
      <c r="AR133" s="13">
        <f>IF(_epmOfflineCondition_,0,EPMSaveDataOnly(AN133,,AN$29,AN$25,AN$26,AN$31,AN$32,$AA$37,AR$14,AR$15,AR$16,AR$17,AR$18,$X133))</f>
        <v/>
      </c>
      <c r="AS133" s="384" t="n"/>
    </row>
    <row r="134" hidden="1" ht="15.75" customHeight="1" s="1181">
      <c r="A134" s="384" t="n"/>
      <c r="B134" s="384" t="n"/>
      <c r="C134" s="384" t="n"/>
      <c r="D134" s="384" t="n"/>
      <c r="E134" s="384" t="n"/>
      <c r="F134" s="384" t="n"/>
      <c r="G134" s="384" t="n"/>
      <c r="H134" s="384" t="n"/>
      <c r="I134" s="384" t="n"/>
      <c r="J134" s="384" t="n"/>
      <c r="K134" s="384" t="n"/>
      <c r="L134" s="384" t="n"/>
      <c r="M134" s="384" t="n"/>
      <c r="N134" s="384" t="n"/>
      <c r="O134" s="384" t="n"/>
      <c r="P134" s="384" t="n"/>
      <c r="Q134" s="384" t="n"/>
      <c r="R134" s="384" t="n"/>
      <c r="S134" s="384" t="n"/>
      <c r="T134" s="384" t="n"/>
      <c r="U134" s="384" t="n"/>
      <c r="V134" s="384" t="n"/>
      <c r="W134" s="384" t="n"/>
      <c r="X134" s="645">
        <f>IF(_epmOfflineCondition_,"I_E100078",EPMOlapMemberO("[C_INTERCO].[PARENTH1].[I_E100078]","","I_E100078","","000"))</f>
        <v/>
      </c>
      <c r="Y134" s="870">
        <f>IF(_epmOfflineCondition_,"北京京能新能源有限公司正镶白旗风电分公司",EPMMemberDesc(X134))</f>
        <v/>
      </c>
      <c r="Z134" s="1302" t="n"/>
      <c r="AA134" s="1302" t="n"/>
      <c r="AB134" s="858" t="n"/>
      <c r="AC134" s="1302" t="n"/>
      <c r="AD134" s="1302" t="n"/>
      <c r="AE134" s="1302" t="inlineStr"/>
      <c r="AF134" s="1302" t="inlineStr"/>
      <c r="AG134" s="1302" t="inlineStr"/>
      <c r="AH134" s="1302" t="n"/>
      <c r="AI134" s="1302" t="n"/>
      <c r="AJ134" s="1302" t="n"/>
      <c r="AK134" s="1302">
        <f>AI134-AJ134</f>
        <v/>
      </c>
      <c r="AL134" s="858" t="n"/>
      <c r="AM134" s="1297" t="inlineStr"/>
      <c r="AN134" s="1298" t="n"/>
      <c r="AO134" s="13">
        <f>IF(_epmOfflineCondition_,0,EPMSaveDataOnly(AB134,,AB$29,AB$25,AB$26,AB$31,AB$32,$AA$37,AO$14,AO$15,AO$16,AO$17,AO$18,X134))</f>
        <v/>
      </c>
      <c r="AP134" s="13">
        <f>IF(_epmOfflineCondition_,0,EPMSaveDataOnly(AL134,,AL$29,AL$25,AL$26,AL$31,AL$32,$AA$37,AP$14,AP$15,AP$16,AP$17,AP$18,$X134))</f>
        <v/>
      </c>
      <c r="AQ134" s="13">
        <f>IF(_epmOfflineCondition_,0,EPMSaveData(AM134,,AM$29,AM$25,AM$26,$C$6,AM$32,$AA$37,AQ$14,AQ$15,AQ$16,AQ$17,AQ$18,$X134))</f>
        <v/>
      </c>
      <c r="AR134" s="13">
        <f>IF(_epmOfflineCondition_,0,EPMSaveDataOnly(AN134,,AN$29,AN$25,AN$26,AN$31,AN$32,$AA$37,AR$14,AR$15,AR$16,AR$17,AR$18,$X134))</f>
        <v/>
      </c>
      <c r="AS134" s="384" t="n"/>
    </row>
    <row r="135" hidden="1" ht="15.75" customHeight="1" s="1181">
      <c r="A135" s="384" t="n"/>
      <c r="B135" s="384" t="n"/>
      <c r="C135" s="384" t="n"/>
      <c r="D135" s="384" t="n"/>
      <c r="E135" s="384" t="n"/>
      <c r="F135" s="384" t="n"/>
      <c r="G135" s="384" t="n"/>
      <c r="H135" s="384" t="n"/>
      <c r="I135" s="384" t="n"/>
      <c r="J135" s="384" t="n"/>
      <c r="K135" s="384" t="n"/>
      <c r="L135" s="384" t="n"/>
      <c r="M135" s="384" t="n"/>
      <c r="N135" s="384" t="n"/>
      <c r="O135" s="384" t="n"/>
      <c r="P135" s="384" t="n"/>
      <c r="Q135" s="384" t="n"/>
      <c r="R135" s="384" t="n"/>
      <c r="S135" s="384" t="n"/>
      <c r="T135" s="384" t="n"/>
      <c r="U135" s="384" t="n"/>
      <c r="V135" s="384" t="n"/>
      <c r="W135" s="384" t="n"/>
      <c r="X135" s="645">
        <f>IF(_epmOfflineCondition_,"I_E100079",EPMOlapMemberO("[C_INTERCO].[PARENTH1].[I_E100079]","","I_E100079","","000"))</f>
        <v/>
      </c>
      <c r="Y135" s="870">
        <f>IF(_epmOfflineCondition_,"内蒙古京能商都风力发电有限责任公司",EPMMemberDesc(X135))</f>
        <v/>
      </c>
      <c r="Z135" s="1302" t="n"/>
      <c r="AA135" s="1302" t="n"/>
      <c r="AB135" s="858" t="n"/>
      <c r="AC135" s="1302" t="n"/>
      <c r="AD135" s="1302" t="n"/>
      <c r="AE135" s="1302" t="inlineStr"/>
      <c r="AF135" s="1302" t="inlineStr"/>
      <c r="AG135" s="1302" t="inlineStr"/>
      <c r="AH135" s="1302" t="n"/>
      <c r="AI135" s="1302" t="n"/>
      <c r="AJ135" s="1302" t="n"/>
      <c r="AK135" s="1302">
        <f>AI135-AJ135</f>
        <v/>
      </c>
      <c r="AL135" s="858" t="n"/>
      <c r="AM135" s="1297" t="inlineStr"/>
      <c r="AN135" s="1298" t="n"/>
      <c r="AO135" s="13">
        <f>IF(_epmOfflineCondition_,0,EPMSaveDataOnly(AB135,,AB$29,AB$25,AB$26,AB$31,AB$32,$AA$37,AO$14,AO$15,AO$16,AO$17,AO$18,X135))</f>
        <v/>
      </c>
      <c r="AP135" s="13">
        <f>IF(_epmOfflineCondition_,0,EPMSaveDataOnly(AL135,,AL$29,AL$25,AL$26,AL$31,AL$32,$AA$37,AP$14,AP$15,AP$16,AP$17,AP$18,$X135))</f>
        <v/>
      </c>
      <c r="AQ135" s="13">
        <f>IF(_epmOfflineCondition_,0,EPMSaveData(AM135,,AM$29,AM$25,AM$26,$C$6,AM$32,$AA$37,AQ$14,AQ$15,AQ$16,AQ$17,AQ$18,$X135))</f>
        <v/>
      </c>
      <c r="AR135" s="13">
        <f>IF(_epmOfflineCondition_,0,EPMSaveDataOnly(AN135,,AN$29,AN$25,AN$26,AN$31,AN$32,$AA$37,AR$14,AR$15,AR$16,AR$17,AR$18,$X135))</f>
        <v/>
      </c>
      <c r="AS135" s="384" t="n"/>
    </row>
    <row r="136" hidden="1" ht="15.75" customHeight="1" s="1181">
      <c r="A136" s="384" t="n"/>
      <c r="B136" s="384" t="n"/>
      <c r="C136" s="384" t="n"/>
      <c r="D136" s="384" t="n"/>
      <c r="E136" s="384" t="n"/>
      <c r="F136" s="384" t="n"/>
      <c r="G136" s="384" t="n"/>
      <c r="H136" s="384" t="n"/>
      <c r="I136" s="384" t="n"/>
      <c r="J136" s="384" t="n"/>
      <c r="K136" s="384" t="n"/>
      <c r="L136" s="384" t="n"/>
      <c r="M136" s="384" t="n"/>
      <c r="N136" s="384" t="n"/>
      <c r="O136" s="384" t="n"/>
      <c r="P136" s="384" t="n"/>
      <c r="Q136" s="384" t="n"/>
      <c r="R136" s="384" t="n"/>
      <c r="S136" s="384" t="n"/>
      <c r="T136" s="384" t="n"/>
      <c r="U136" s="384" t="n"/>
      <c r="V136" s="384" t="n"/>
      <c r="W136" s="384" t="n"/>
      <c r="X136" s="645">
        <f>IF(_epmOfflineCondition_,"I_E100080",EPMOlapMemberO("[C_INTERCO].[PARENTH1].[I_E100080]","","I_E100080","","000"))</f>
        <v/>
      </c>
      <c r="Y136" s="870">
        <f>IF(_epmOfflineCondition_,"内蒙古京能文贡乌拉风力发电有限公司",EPMMemberDesc(X136))</f>
        <v/>
      </c>
      <c r="Z136" s="1302" t="n"/>
      <c r="AA136" s="1302" t="n"/>
      <c r="AB136" s="858" t="n"/>
      <c r="AC136" s="1302" t="n"/>
      <c r="AD136" s="1302" t="n"/>
      <c r="AE136" s="1302" t="inlineStr"/>
      <c r="AF136" s="1302" t="inlineStr"/>
      <c r="AG136" s="1302" t="inlineStr"/>
      <c r="AH136" s="1302" t="n"/>
      <c r="AI136" s="1302" t="n"/>
      <c r="AJ136" s="1302" t="n"/>
      <c r="AK136" s="1302">
        <f>AI136-AJ136</f>
        <v/>
      </c>
      <c r="AL136" s="858" t="n"/>
      <c r="AM136" s="1297" t="inlineStr"/>
      <c r="AN136" s="1298" t="n"/>
      <c r="AO136" s="13">
        <f>IF(_epmOfflineCondition_,0,EPMSaveDataOnly(AB136,,AB$29,AB$25,AB$26,AB$31,AB$32,$AA$37,AO$14,AO$15,AO$16,AO$17,AO$18,X136))</f>
        <v/>
      </c>
      <c r="AP136" s="13">
        <f>IF(_epmOfflineCondition_,0,EPMSaveDataOnly(AL136,,AL$29,AL$25,AL$26,AL$31,AL$32,$AA$37,AP$14,AP$15,AP$16,AP$17,AP$18,$X136))</f>
        <v/>
      </c>
      <c r="AQ136" s="13">
        <f>IF(_epmOfflineCondition_,0,EPMSaveData(AM136,,AM$29,AM$25,AM$26,$C$6,AM$32,$AA$37,AQ$14,AQ$15,AQ$16,AQ$17,AQ$18,$X136))</f>
        <v/>
      </c>
      <c r="AR136" s="13">
        <f>IF(_epmOfflineCondition_,0,EPMSaveDataOnly(AN136,,AN$29,AN$25,AN$26,AN$31,AN$32,$AA$37,AR$14,AR$15,AR$16,AR$17,AR$18,$X136))</f>
        <v/>
      </c>
      <c r="AS136" s="384" t="n"/>
    </row>
    <row r="137" hidden="1" ht="15.75" customHeight="1" s="1181">
      <c r="A137" s="384" t="n"/>
      <c r="B137" s="384" t="n"/>
      <c r="C137" s="384" t="n"/>
      <c r="D137" s="384" t="n"/>
      <c r="E137" s="384" t="n"/>
      <c r="F137" s="384" t="n"/>
      <c r="G137" s="384" t="n"/>
      <c r="H137" s="384" t="n"/>
      <c r="I137" s="384" t="n"/>
      <c r="J137" s="384" t="n"/>
      <c r="K137" s="384" t="n"/>
      <c r="L137" s="384" t="n"/>
      <c r="M137" s="384" t="n"/>
      <c r="N137" s="384" t="n"/>
      <c r="O137" s="384" t="n"/>
      <c r="P137" s="384" t="n"/>
      <c r="Q137" s="384" t="n"/>
      <c r="R137" s="384" t="n"/>
      <c r="S137" s="384" t="n"/>
      <c r="T137" s="384" t="n"/>
      <c r="U137" s="384" t="n"/>
      <c r="V137" s="384" t="n"/>
      <c r="W137" s="384" t="n"/>
      <c r="X137" s="645">
        <f>IF(_epmOfflineCondition_,"I_E100081",EPMOlapMemberO("[C_INTERCO].[PARENTH1].[I_E100081]","","I_E100081","","000"))</f>
        <v/>
      </c>
      <c r="Y137" s="870">
        <f>IF(_epmOfflineCondition_,"左云京能风力发电有限责任公司",EPMMemberDesc(X137))</f>
        <v/>
      </c>
      <c r="Z137" s="1302" t="n"/>
      <c r="AA137" s="1302" t="n"/>
      <c r="AB137" s="858" t="n"/>
      <c r="AC137" s="1302" t="n"/>
      <c r="AD137" s="1302" t="n"/>
      <c r="AE137" s="1302" t="inlineStr"/>
      <c r="AF137" s="1302" t="inlineStr"/>
      <c r="AG137" s="1302" t="inlineStr"/>
      <c r="AH137" s="1302" t="n"/>
      <c r="AI137" s="1302" t="n"/>
      <c r="AJ137" s="1302" t="n"/>
      <c r="AK137" s="1302">
        <f>AI137-AJ137</f>
        <v/>
      </c>
      <c r="AL137" s="858" t="n"/>
      <c r="AM137" s="1297" t="inlineStr"/>
      <c r="AN137" s="1298" t="n"/>
      <c r="AO137" s="13">
        <f>IF(_epmOfflineCondition_,0,EPMSaveDataOnly(AB137,,AB$29,AB$25,AB$26,AB$31,AB$32,$AA$37,AO$14,AO$15,AO$16,AO$17,AO$18,X137))</f>
        <v/>
      </c>
      <c r="AP137" s="13">
        <f>IF(_epmOfflineCondition_,0,EPMSaveDataOnly(AL137,,AL$29,AL$25,AL$26,AL$31,AL$32,$AA$37,AP$14,AP$15,AP$16,AP$17,AP$18,$X137))</f>
        <v/>
      </c>
      <c r="AQ137" s="13">
        <f>IF(_epmOfflineCondition_,0,EPMSaveData(AM137,,AM$29,AM$25,AM$26,$C$6,AM$32,$AA$37,AQ$14,AQ$15,AQ$16,AQ$17,AQ$18,$X137))</f>
        <v/>
      </c>
      <c r="AR137" s="13">
        <f>IF(_epmOfflineCondition_,0,EPMSaveDataOnly(AN137,,AN$29,AN$25,AN$26,AN$31,AN$32,$AA$37,AR$14,AR$15,AR$16,AR$17,AR$18,$X137))</f>
        <v/>
      </c>
      <c r="AS137" s="384" t="n"/>
    </row>
    <row r="138" hidden="1" ht="15.75" customHeight="1" s="1181">
      <c r="A138" s="384" t="n"/>
      <c r="B138" s="384" t="n"/>
      <c r="C138" s="384" t="n"/>
      <c r="D138" s="384" t="n"/>
      <c r="E138" s="384" t="n"/>
      <c r="F138" s="384" t="n"/>
      <c r="G138" s="384" t="n"/>
      <c r="H138" s="384" t="n"/>
      <c r="I138" s="384" t="n"/>
      <c r="J138" s="384" t="n"/>
      <c r="K138" s="384" t="n"/>
      <c r="L138" s="384" t="n"/>
      <c r="M138" s="384" t="n"/>
      <c r="N138" s="384" t="n"/>
      <c r="O138" s="384" t="n"/>
      <c r="P138" s="384" t="n"/>
      <c r="Q138" s="384" t="n"/>
      <c r="R138" s="384" t="n"/>
      <c r="S138" s="384" t="n"/>
      <c r="T138" s="384" t="n"/>
      <c r="U138" s="384" t="n"/>
      <c r="V138" s="384" t="n"/>
      <c r="W138" s="384" t="n"/>
      <c r="X138" s="645">
        <f>IF(_epmOfflineCondition_,"I_E100082",EPMOlapMemberO("[C_INTERCO].[PARENTH1].[I_E100082]","","I_E100082","","000"))</f>
        <v/>
      </c>
      <c r="Y138" s="870">
        <f>IF(_epmOfflineCondition_,"大同京能新能源有限公司",EPMMemberDesc(X138))</f>
        <v/>
      </c>
      <c r="Z138" s="1302" t="n"/>
      <c r="AA138" s="1302" t="n"/>
      <c r="AB138" s="858" t="n"/>
      <c r="AC138" s="1302" t="n"/>
      <c r="AD138" s="1302" t="n"/>
      <c r="AE138" s="1302" t="inlineStr"/>
      <c r="AF138" s="1302" t="inlineStr"/>
      <c r="AG138" s="1302" t="inlineStr"/>
      <c r="AH138" s="1302" t="n"/>
      <c r="AI138" s="1302" t="n"/>
      <c r="AJ138" s="1302" t="n"/>
      <c r="AK138" s="1302">
        <f>AI138-AJ138</f>
        <v/>
      </c>
      <c r="AL138" s="858" t="n"/>
      <c r="AM138" s="1297" t="inlineStr"/>
      <c r="AN138" s="1298" t="n"/>
      <c r="AO138" s="13">
        <f>IF(_epmOfflineCondition_,0,EPMSaveDataOnly(AB138,,AB$29,AB$25,AB$26,AB$31,AB$32,$AA$37,AO$14,AO$15,AO$16,AO$17,AO$18,X138))</f>
        <v/>
      </c>
      <c r="AP138" s="13">
        <f>IF(_epmOfflineCondition_,0,EPMSaveDataOnly(AL138,,AL$29,AL$25,AL$26,AL$31,AL$32,$AA$37,AP$14,AP$15,AP$16,AP$17,AP$18,$X138))</f>
        <v/>
      </c>
      <c r="AQ138" s="13">
        <f>IF(_epmOfflineCondition_,0,EPMSaveData(AM138,,AM$29,AM$25,AM$26,$C$6,AM$32,$AA$37,AQ$14,AQ$15,AQ$16,AQ$17,AQ$18,$X138))</f>
        <v/>
      </c>
      <c r="AR138" s="13">
        <f>IF(_epmOfflineCondition_,0,EPMSaveDataOnly(AN138,,AN$29,AN$25,AN$26,AN$31,AN$32,$AA$37,AR$14,AR$15,AR$16,AR$17,AR$18,$X138))</f>
        <v/>
      </c>
      <c r="AS138" s="384" t="n"/>
    </row>
    <row r="139" hidden="1" ht="15.75" customHeight="1" s="1181">
      <c r="A139" s="384" t="n"/>
      <c r="B139" s="384" t="n"/>
      <c r="C139" s="384" t="n"/>
      <c r="D139" s="384" t="n"/>
      <c r="E139" s="384" t="n"/>
      <c r="F139" s="384" t="n"/>
      <c r="G139" s="384" t="n"/>
      <c r="H139" s="384" t="n"/>
      <c r="I139" s="384" t="n"/>
      <c r="J139" s="384" t="n"/>
      <c r="K139" s="384" t="n"/>
      <c r="L139" s="384" t="n"/>
      <c r="M139" s="384" t="n"/>
      <c r="N139" s="384" t="n"/>
      <c r="O139" s="384" t="n"/>
      <c r="P139" s="384" t="n"/>
      <c r="Q139" s="384" t="n"/>
      <c r="R139" s="384" t="n"/>
      <c r="S139" s="384" t="n"/>
      <c r="T139" s="384" t="n"/>
      <c r="U139" s="384" t="n"/>
      <c r="V139" s="384" t="n"/>
      <c r="W139" s="384" t="n"/>
      <c r="X139" s="645">
        <f>IF(_epmOfflineCondition_,"I_E100083",EPMOlapMemberO("[C_INTERCO].[PARENTH1].[I_E100083]","","I_E100083","","000"))</f>
        <v/>
      </c>
      <c r="Y139" s="870">
        <f>IF(_epmOfflineCondition_,"浑源京晶新能源有限公司",EPMMemberDesc(X139))</f>
        <v/>
      </c>
      <c r="Z139" s="1302" t="n"/>
      <c r="AA139" s="1302" t="n"/>
      <c r="AB139" s="858" t="n"/>
      <c r="AC139" s="1302" t="n"/>
      <c r="AD139" s="1302" t="n"/>
      <c r="AE139" s="1302" t="inlineStr"/>
      <c r="AF139" s="1302" t="inlineStr"/>
      <c r="AG139" s="1302" t="inlineStr"/>
      <c r="AH139" s="1302" t="n"/>
      <c r="AI139" s="1302" t="n"/>
      <c r="AJ139" s="1302" t="n"/>
      <c r="AK139" s="1302">
        <f>AI139-AJ139</f>
        <v/>
      </c>
      <c r="AL139" s="858" t="n"/>
      <c r="AM139" s="1297" t="inlineStr"/>
      <c r="AN139" s="1298" t="n"/>
      <c r="AO139" s="13">
        <f>IF(_epmOfflineCondition_,0,EPMSaveDataOnly(AB139,,AB$29,AB$25,AB$26,AB$31,AB$32,$AA$37,AO$14,AO$15,AO$16,AO$17,AO$18,X139))</f>
        <v/>
      </c>
      <c r="AP139" s="13">
        <f>IF(_epmOfflineCondition_,0,EPMSaveDataOnly(AL139,,AL$29,AL$25,AL$26,AL$31,AL$32,$AA$37,AP$14,AP$15,AP$16,AP$17,AP$18,$X139))</f>
        <v/>
      </c>
      <c r="AQ139" s="13">
        <f>IF(_epmOfflineCondition_,0,EPMSaveData(AM139,,AM$29,AM$25,AM$26,$C$6,AM$32,$AA$37,AQ$14,AQ$15,AQ$16,AQ$17,AQ$18,$X139))</f>
        <v/>
      </c>
      <c r="AR139" s="13">
        <f>IF(_epmOfflineCondition_,0,EPMSaveDataOnly(AN139,,AN$29,AN$25,AN$26,AN$31,AN$32,$AA$37,AR$14,AR$15,AR$16,AR$17,AR$18,$X139))</f>
        <v/>
      </c>
      <c r="AS139" s="384" t="n"/>
    </row>
    <row r="140" hidden="1" ht="15.75" customHeight="1" s="1181">
      <c r="A140" s="384" t="n"/>
      <c r="B140" s="384" t="n"/>
      <c r="C140" s="384" t="n"/>
      <c r="D140" s="384" t="n"/>
      <c r="E140" s="384" t="n"/>
      <c r="F140" s="384" t="n"/>
      <c r="G140" s="384" t="n"/>
      <c r="H140" s="384" t="n"/>
      <c r="I140" s="384" t="n"/>
      <c r="J140" s="384" t="n"/>
      <c r="K140" s="384" t="n"/>
      <c r="L140" s="384" t="n"/>
      <c r="M140" s="384" t="n"/>
      <c r="N140" s="384" t="n"/>
      <c r="O140" s="384" t="n"/>
      <c r="P140" s="384" t="n"/>
      <c r="Q140" s="384" t="n"/>
      <c r="R140" s="384" t="n"/>
      <c r="S140" s="384" t="n"/>
      <c r="T140" s="384" t="n"/>
      <c r="U140" s="384" t="n"/>
      <c r="V140" s="384" t="n"/>
      <c r="W140" s="384" t="n"/>
      <c r="X140" s="645">
        <f>IF(_epmOfflineCondition_,"I_E100084",EPMOlapMemberO("[C_INTERCO].[PARENTH1].[I_E100084]","","I_E100084","","000"))</f>
        <v/>
      </c>
      <c r="Y140" s="870">
        <f>IF(_epmOfflineCondition_,"寿阳京寿光伏发电有限公司",EPMMemberDesc(X140))</f>
        <v/>
      </c>
      <c r="Z140" s="1302" t="n"/>
      <c r="AA140" s="1302" t="n"/>
      <c r="AB140" s="858" t="n"/>
      <c r="AC140" s="1302" t="n"/>
      <c r="AD140" s="1302" t="n"/>
      <c r="AE140" s="1302" t="inlineStr"/>
      <c r="AF140" s="1302" t="inlineStr"/>
      <c r="AG140" s="1302" t="inlineStr"/>
      <c r="AH140" s="1302" t="n"/>
      <c r="AI140" s="1302" t="n"/>
      <c r="AJ140" s="1302" t="n"/>
      <c r="AK140" s="1302">
        <f>AI140-AJ140</f>
        <v/>
      </c>
      <c r="AL140" s="858" t="n"/>
      <c r="AM140" s="1297" t="inlineStr"/>
      <c r="AN140" s="1298" t="n"/>
      <c r="AO140" s="13">
        <f>IF(_epmOfflineCondition_,0,EPMSaveDataOnly(AB140,,AB$29,AB$25,AB$26,AB$31,AB$32,$AA$37,AO$14,AO$15,AO$16,AO$17,AO$18,X140))</f>
        <v/>
      </c>
      <c r="AP140" s="13">
        <f>IF(_epmOfflineCondition_,0,EPMSaveDataOnly(AL140,,AL$29,AL$25,AL$26,AL$31,AL$32,$AA$37,AP$14,AP$15,AP$16,AP$17,AP$18,$X140))</f>
        <v/>
      </c>
      <c r="AQ140" s="13">
        <f>IF(_epmOfflineCondition_,0,EPMSaveData(AM140,,AM$29,AM$25,AM$26,$C$6,AM$32,$AA$37,AQ$14,AQ$15,AQ$16,AQ$17,AQ$18,$X140))</f>
        <v/>
      </c>
      <c r="AR140" s="13">
        <f>IF(_epmOfflineCondition_,0,EPMSaveDataOnly(AN140,,AN$29,AN$25,AN$26,AN$31,AN$32,$AA$37,AR$14,AR$15,AR$16,AR$17,AR$18,$X140))</f>
        <v/>
      </c>
      <c r="AS140" s="384" t="n"/>
    </row>
    <row r="141" hidden="1" ht="15.75" customHeight="1" s="1181">
      <c r="A141" s="384" t="n"/>
      <c r="B141" s="384" t="n"/>
      <c r="C141" s="384" t="n"/>
      <c r="D141" s="384" t="n"/>
      <c r="E141" s="384" t="n"/>
      <c r="F141" s="384" t="n"/>
      <c r="G141" s="384" t="n"/>
      <c r="H141" s="384" t="n"/>
      <c r="I141" s="384" t="n"/>
      <c r="J141" s="384" t="n"/>
      <c r="K141" s="384" t="n"/>
      <c r="L141" s="384" t="n"/>
      <c r="M141" s="384" t="n"/>
      <c r="N141" s="384" t="n"/>
      <c r="O141" s="384" t="n"/>
      <c r="P141" s="384" t="n"/>
      <c r="Q141" s="384" t="n"/>
      <c r="R141" s="384" t="n"/>
      <c r="S141" s="384" t="n"/>
      <c r="T141" s="384" t="n"/>
      <c r="U141" s="384" t="n"/>
      <c r="V141" s="384" t="n"/>
      <c r="W141" s="384" t="n"/>
      <c r="X141" s="645">
        <f>IF(_epmOfflineCondition_,"I_E100086",EPMOlapMemberO("[C_INTERCO].[PARENTH1].[I_E100086]","","I_E100086","","000"))</f>
        <v/>
      </c>
      <c r="Y141" s="870">
        <f>IF(_epmOfflineCondition_,"北京京能清洁能源电力股份有限公司西北分公司",EPMMemberDesc(X141))</f>
        <v/>
      </c>
      <c r="Z141" s="1302" t="n"/>
      <c r="AA141" s="1302" t="n"/>
      <c r="AB141" s="858" t="n"/>
      <c r="AC141" s="1302" t="n"/>
      <c r="AD141" s="1302" t="n"/>
      <c r="AE141" s="1302" t="inlineStr"/>
      <c r="AF141" s="1302" t="inlineStr"/>
      <c r="AG141" s="1302" t="inlineStr"/>
      <c r="AH141" s="1302" t="n"/>
      <c r="AI141" s="1302" t="n"/>
      <c r="AJ141" s="1302" t="n"/>
      <c r="AK141" s="1302">
        <f>AI141-AJ141</f>
        <v/>
      </c>
      <c r="AL141" s="858" t="n"/>
      <c r="AM141" s="1297" t="inlineStr"/>
      <c r="AN141" s="1298" t="n"/>
      <c r="AO141" s="13">
        <f>IF(_epmOfflineCondition_,0,EPMSaveDataOnly(AB141,,AB$29,AB$25,AB$26,AB$31,AB$32,$AA$37,AO$14,AO$15,AO$16,AO$17,AO$18,X141))</f>
        <v/>
      </c>
      <c r="AP141" s="13">
        <f>IF(_epmOfflineCondition_,0,EPMSaveDataOnly(AL141,,AL$29,AL$25,AL$26,AL$31,AL$32,$AA$37,AP$14,AP$15,AP$16,AP$17,AP$18,$X141))</f>
        <v/>
      </c>
      <c r="AQ141" s="13">
        <f>IF(_epmOfflineCondition_,0,EPMSaveData(AM141,,AM$29,AM$25,AM$26,$C$6,AM$32,$AA$37,AQ$14,AQ$15,AQ$16,AQ$17,AQ$18,$X141))</f>
        <v/>
      </c>
      <c r="AR141" s="13">
        <f>IF(_epmOfflineCondition_,0,EPMSaveDataOnly(AN141,,AN$29,AN$25,AN$26,AN$31,AN$32,$AA$37,AR$14,AR$15,AR$16,AR$17,AR$18,$X141))</f>
        <v/>
      </c>
      <c r="AS141" s="384" t="n"/>
    </row>
    <row r="142" hidden="1" ht="15.75" customHeight="1" s="1181">
      <c r="A142" s="384" t="n"/>
      <c r="B142" s="384" t="n"/>
      <c r="C142" s="384" t="n"/>
      <c r="D142" s="384" t="n"/>
      <c r="E142" s="384" t="n"/>
      <c r="F142" s="384" t="n"/>
      <c r="G142" s="384" t="n"/>
      <c r="H142" s="384" t="n"/>
      <c r="I142" s="384" t="n"/>
      <c r="J142" s="384" t="n"/>
      <c r="K142" s="384" t="n"/>
      <c r="L142" s="384" t="n"/>
      <c r="M142" s="384" t="n"/>
      <c r="N142" s="384" t="n"/>
      <c r="O142" s="384" t="n"/>
      <c r="P142" s="384" t="n"/>
      <c r="Q142" s="384" t="n"/>
      <c r="R142" s="384" t="n"/>
      <c r="S142" s="384" t="n"/>
      <c r="T142" s="384" t="n"/>
      <c r="U142" s="384" t="n"/>
      <c r="V142" s="384" t="n"/>
      <c r="W142" s="384" t="n"/>
      <c r="X142" s="645">
        <f>IF(_epmOfflineCondition_,"I_E100087",EPMOlapMemberO("[C_INTERCO].[PARENTH1].[I_E100087]","","I_E100087","","000"))</f>
        <v/>
      </c>
      <c r="Y142" s="870">
        <f>IF(_epmOfflineCondition_,"宁夏京能新能源有限公司",EPMMemberDesc(X142))</f>
        <v/>
      </c>
      <c r="Z142" s="1302" t="n"/>
      <c r="AA142" s="1302" t="n"/>
      <c r="AB142" s="858" t="n"/>
      <c r="AC142" s="1302" t="n"/>
      <c r="AD142" s="1302" t="n"/>
      <c r="AE142" s="1302" t="inlineStr"/>
      <c r="AF142" s="1302" t="inlineStr"/>
      <c r="AG142" s="1302" t="inlineStr"/>
      <c r="AH142" s="1302" t="n"/>
      <c r="AI142" s="1302" t="n"/>
      <c r="AJ142" s="1302" t="n"/>
      <c r="AK142" s="1302">
        <f>AI142-AJ142</f>
        <v/>
      </c>
      <c r="AL142" s="858" t="n"/>
      <c r="AM142" s="1297" t="inlineStr"/>
      <c r="AN142" s="1298" t="n"/>
      <c r="AO142" s="13">
        <f>IF(_epmOfflineCondition_,0,EPMSaveDataOnly(AB142,,AB$29,AB$25,AB$26,AB$31,AB$32,$AA$37,AO$14,AO$15,AO$16,AO$17,AO$18,X142))</f>
        <v/>
      </c>
      <c r="AP142" s="13">
        <f>IF(_epmOfflineCondition_,0,EPMSaveDataOnly(AL142,,AL$29,AL$25,AL$26,AL$31,AL$32,$AA$37,AP$14,AP$15,AP$16,AP$17,AP$18,$X142))</f>
        <v/>
      </c>
      <c r="AQ142" s="13">
        <f>IF(_epmOfflineCondition_,0,EPMSaveData(AM142,,AM$29,AM$25,AM$26,$C$6,AM$32,$AA$37,AQ$14,AQ$15,AQ$16,AQ$17,AQ$18,$X142))</f>
        <v/>
      </c>
      <c r="AR142" s="13">
        <f>IF(_epmOfflineCondition_,0,EPMSaveDataOnly(AN142,,AN$29,AN$25,AN$26,AN$31,AN$32,$AA$37,AR$14,AR$15,AR$16,AR$17,AR$18,$X142))</f>
        <v/>
      </c>
      <c r="AS142" s="384" t="n"/>
    </row>
    <row r="143" hidden="1" ht="15.75" customHeight="1" s="1181">
      <c r="A143" s="384" t="n"/>
      <c r="B143" s="384" t="n"/>
      <c r="C143" s="384" t="n"/>
      <c r="D143" s="384" t="n"/>
      <c r="E143" s="384" t="n"/>
      <c r="F143" s="384" t="n"/>
      <c r="G143" s="384" t="n"/>
      <c r="H143" s="384" t="n"/>
      <c r="I143" s="384" t="n"/>
      <c r="J143" s="384" t="n"/>
      <c r="K143" s="384" t="n"/>
      <c r="L143" s="384" t="n"/>
      <c r="M143" s="384" t="n"/>
      <c r="N143" s="384" t="n"/>
      <c r="O143" s="384" t="n"/>
      <c r="P143" s="384" t="n"/>
      <c r="Q143" s="384" t="n"/>
      <c r="R143" s="384" t="n"/>
      <c r="S143" s="384" t="n"/>
      <c r="T143" s="384" t="n"/>
      <c r="U143" s="384" t="n"/>
      <c r="V143" s="384" t="n"/>
      <c r="W143" s="384" t="n"/>
      <c r="X143" s="645">
        <f>IF(_epmOfflineCondition_,"I_E100088",EPMOlapMemberO("[C_INTERCO].[PARENTH1].[I_E100088]","","I_E100088","","000"))</f>
        <v/>
      </c>
      <c r="Y143" s="870">
        <f>IF(_epmOfflineCondition_,"宁夏京能灵武风电有限公司",EPMMemberDesc(X143))</f>
        <v/>
      </c>
      <c r="Z143" s="1302" t="n"/>
      <c r="AA143" s="1302" t="n"/>
      <c r="AB143" s="858" t="n"/>
      <c r="AC143" s="1302" t="n"/>
      <c r="AD143" s="1302" t="n"/>
      <c r="AE143" s="1302" t="inlineStr"/>
      <c r="AF143" s="1302" t="inlineStr"/>
      <c r="AG143" s="1302" t="inlineStr"/>
      <c r="AH143" s="1302" t="n"/>
      <c r="AI143" s="1302" t="n"/>
      <c r="AJ143" s="1302" t="n"/>
      <c r="AK143" s="1302">
        <f>AI143-AJ143</f>
        <v/>
      </c>
      <c r="AL143" s="858" t="n"/>
      <c r="AM143" s="1297" t="inlineStr"/>
      <c r="AN143" s="1298" t="n"/>
      <c r="AO143" s="13">
        <f>IF(_epmOfflineCondition_,0,EPMSaveDataOnly(AB143,,AB$29,AB$25,AB$26,AB$31,AB$32,$AA$37,AO$14,AO$15,AO$16,AO$17,AO$18,X143))</f>
        <v/>
      </c>
      <c r="AP143" s="13">
        <f>IF(_epmOfflineCondition_,0,EPMSaveDataOnly(AL143,,AL$29,AL$25,AL$26,AL$31,AL$32,$AA$37,AP$14,AP$15,AP$16,AP$17,AP$18,$X143))</f>
        <v/>
      </c>
      <c r="AQ143" s="13">
        <f>IF(_epmOfflineCondition_,0,EPMSaveData(AM143,,AM$29,AM$25,AM$26,$C$6,AM$32,$AA$37,AQ$14,AQ$15,AQ$16,AQ$17,AQ$18,$X143))</f>
        <v/>
      </c>
      <c r="AR143" s="13">
        <f>IF(_epmOfflineCondition_,0,EPMSaveDataOnly(AN143,,AN$29,AN$25,AN$26,AN$31,AN$32,$AA$37,AR$14,AR$15,AR$16,AR$17,AR$18,$X143))</f>
        <v/>
      </c>
      <c r="AS143" s="384" t="n"/>
    </row>
    <row r="144" hidden="1" ht="15.75" customHeight="1" s="1181">
      <c r="A144" s="384" t="n"/>
      <c r="B144" s="384" t="n"/>
      <c r="C144" s="384" t="n"/>
      <c r="D144" s="384" t="n"/>
      <c r="E144" s="384" t="n"/>
      <c r="F144" s="384" t="n"/>
      <c r="G144" s="384" t="n"/>
      <c r="H144" s="384" t="n"/>
      <c r="I144" s="384" t="n"/>
      <c r="J144" s="384" t="n"/>
      <c r="K144" s="384" t="n"/>
      <c r="L144" s="384" t="n"/>
      <c r="M144" s="384" t="n"/>
      <c r="N144" s="384" t="n"/>
      <c r="O144" s="384" t="n"/>
      <c r="P144" s="384" t="n"/>
      <c r="Q144" s="384" t="n"/>
      <c r="R144" s="384" t="n"/>
      <c r="S144" s="384" t="n"/>
      <c r="T144" s="384" t="n"/>
      <c r="U144" s="384" t="n"/>
      <c r="V144" s="384" t="n"/>
      <c r="W144" s="384" t="n"/>
      <c r="X144" s="645">
        <f>IF(_epmOfflineCondition_,"I_E100089",EPMOlapMemberO("[C_INTERCO].[PARENTH1].[I_E100089]","","I_E100089","","000"))</f>
        <v/>
      </c>
      <c r="Y144" s="870">
        <f>IF(_epmOfflineCondition_,"宁夏京能中卫新能源有限公司",EPMMemberDesc(X144))</f>
        <v/>
      </c>
      <c r="Z144" s="1302" t="n"/>
      <c r="AA144" s="1302" t="n"/>
      <c r="AB144" s="858" t="n"/>
      <c r="AC144" s="1302" t="n"/>
      <c r="AD144" s="1302" t="n"/>
      <c r="AE144" s="1302" t="inlineStr"/>
      <c r="AF144" s="1302" t="inlineStr"/>
      <c r="AG144" s="1302" t="inlineStr"/>
      <c r="AH144" s="1302" t="n"/>
      <c r="AI144" s="1302" t="n"/>
      <c r="AJ144" s="1302" t="n"/>
      <c r="AK144" s="1302">
        <f>AI144-AJ144</f>
        <v/>
      </c>
      <c r="AL144" s="858" t="n"/>
      <c r="AM144" s="1297" t="inlineStr"/>
      <c r="AN144" s="1298" t="n"/>
      <c r="AO144" s="13">
        <f>IF(_epmOfflineCondition_,0,EPMSaveDataOnly(AB144,,AB$29,AB$25,AB$26,AB$31,AB$32,$AA$37,AO$14,AO$15,AO$16,AO$17,AO$18,X144))</f>
        <v/>
      </c>
      <c r="AP144" s="13">
        <f>IF(_epmOfflineCondition_,0,EPMSaveDataOnly(AL144,,AL$29,AL$25,AL$26,AL$31,AL$32,$AA$37,AP$14,AP$15,AP$16,AP$17,AP$18,$X144))</f>
        <v/>
      </c>
      <c r="AQ144" s="13">
        <f>IF(_epmOfflineCondition_,0,EPMSaveData(AM144,,AM$29,AM$25,AM$26,$C$6,AM$32,$AA$37,AQ$14,AQ$15,AQ$16,AQ$17,AQ$18,$X144))</f>
        <v/>
      </c>
      <c r="AR144" s="13">
        <f>IF(_epmOfflineCondition_,0,EPMSaveDataOnly(AN144,,AN$29,AN$25,AN$26,AN$31,AN$32,$AA$37,AR$14,AR$15,AR$16,AR$17,AR$18,$X144))</f>
        <v/>
      </c>
      <c r="AS144" s="384" t="n"/>
    </row>
    <row r="145" hidden="1" ht="15.75" customHeight="1" s="1181">
      <c r="A145" s="384" t="n"/>
      <c r="B145" s="384" t="n"/>
      <c r="C145" s="384" t="n"/>
      <c r="D145" s="384" t="n"/>
      <c r="E145" s="384" t="n"/>
      <c r="F145" s="384" t="n"/>
      <c r="G145" s="384" t="n"/>
      <c r="H145" s="384" t="n"/>
      <c r="I145" s="384" t="n"/>
      <c r="J145" s="384" t="n"/>
      <c r="K145" s="384" t="n"/>
      <c r="L145" s="384" t="n"/>
      <c r="M145" s="384" t="n"/>
      <c r="N145" s="384" t="n"/>
      <c r="O145" s="384" t="n"/>
      <c r="P145" s="384" t="n"/>
      <c r="Q145" s="384" t="n"/>
      <c r="R145" s="384" t="n"/>
      <c r="S145" s="384" t="n"/>
      <c r="T145" s="384" t="n"/>
      <c r="U145" s="384" t="n"/>
      <c r="V145" s="384" t="n"/>
      <c r="W145" s="384" t="n"/>
      <c r="X145" s="645">
        <f>IF(_epmOfflineCondition_,"I_E100090",EPMOlapMemberO("[C_INTERCO].[PARENTH1].[I_E100090]","","I_E100090","","000"))</f>
        <v/>
      </c>
      <c r="Y145" s="870">
        <f>IF(_epmOfflineCondition_,"宁夏中宁县京能新能源有限公司",EPMMemberDesc(X145))</f>
        <v/>
      </c>
      <c r="Z145" s="1302" t="n"/>
      <c r="AA145" s="1302" t="n"/>
      <c r="AB145" s="858" t="n"/>
      <c r="AC145" s="1302" t="n"/>
      <c r="AD145" s="1302" t="n"/>
      <c r="AE145" s="1302" t="inlineStr"/>
      <c r="AF145" s="1302" t="inlineStr"/>
      <c r="AG145" s="1302" t="inlineStr"/>
      <c r="AH145" s="1302" t="n"/>
      <c r="AI145" s="1302" t="n"/>
      <c r="AJ145" s="1302" t="n"/>
      <c r="AK145" s="1302">
        <f>AI145-AJ145</f>
        <v/>
      </c>
      <c r="AL145" s="858" t="n"/>
      <c r="AM145" s="1297" t="inlineStr"/>
      <c r="AN145" s="1298" t="n"/>
      <c r="AO145" s="13">
        <f>IF(_epmOfflineCondition_,0,EPMSaveDataOnly(AB145,,AB$29,AB$25,AB$26,AB$31,AB$32,$AA$37,AO$14,AO$15,AO$16,AO$17,AO$18,X145))</f>
        <v/>
      </c>
      <c r="AP145" s="13">
        <f>IF(_epmOfflineCondition_,0,EPMSaveDataOnly(AL145,,AL$29,AL$25,AL$26,AL$31,AL$32,$AA$37,AP$14,AP$15,AP$16,AP$17,AP$18,$X145))</f>
        <v/>
      </c>
      <c r="AQ145" s="13">
        <f>IF(_epmOfflineCondition_,0,EPMSaveData(AM145,,AM$29,AM$25,AM$26,$C$6,AM$32,$AA$37,AQ$14,AQ$15,AQ$16,AQ$17,AQ$18,$X145))</f>
        <v/>
      </c>
      <c r="AR145" s="13">
        <f>IF(_epmOfflineCondition_,0,EPMSaveDataOnly(AN145,,AN$29,AN$25,AN$26,AN$31,AN$32,$AA$37,AR$14,AR$15,AR$16,AR$17,AR$18,$X145))</f>
        <v/>
      </c>
      <c r="AS145" s="384" t="n"/>
    </row>
    <row r="146" hidden="1" ht="15.75" customHeight="1" s="1181">
      <c r="A146" s="384" t="n"/>
      <c r="B146" s="384" t="n"/>
      <c r="C146" s="384" t="n"/>
      <c r="D146" s="384" t="n"/>
      <c r="E146" s="384" t="n"/>
      <c r="F146" s="384" t="n"/>
      <c r="G146" s="384" t="n"/>
      <c r="H146" s="384" t="n"/>
      <c r="I146" s="384" t="n"/>
      <c r="J146" s="384" t="n"/>
      <c r="K146" s="384" t="n"/>
      <c r="L146" s="384" t="n"/>
      <c r="M146" s="384" t="n"/>
      <c r="N146" s="384" t="n"/>
      <c r="O146" s="384" t="n"/>
      <c r="P146" s="384" t="n"/>
      <c r="Q146" s="384" t="n"/>
      <c r="R146" s="384" t="n"/>
      <c r="S146" s="384" t="n"/>
      <c r="T146" s="384" t="n"/>
      <c r="U146" s="384" t="n"/>
      <c r="V146" s="384" t="n"/>
      <c r="W146" s="384" t="n"/>
      <c r="X146" s="645">
        <f>IF(_epmOfflineCondition_,"I_E100091",EPMOlapMemberO("[C_INTERCO].[PARENTH1].[I_E100091]","","I_E100091","","000"))</f>
        <v/>
      </c>
      <c r="Y146" s="870">
        <f>IF(_epmOfflineCondition_,"宁夏贺兰京能新能源有限公司",EPMMemberDesc(X146))</f>
        <v/>
      </c>
      <c r="Z146" s="1302" t="n"/>
      <c r="AA146" s="1302" t="n"/>
      <c r="AB146" s="858" t="n"/>
      <c r="AC146" s="1302" t="n"/>
      <c r="AD146" s="1302" t="n"/>
      <c r="AE146" s="1302" t="inlineStr"/>
      <c r="AF146" s="1302" t="inlineStr"/>
      <c r="AG146" s="1302" t="inlineStr"/>
      <c r="AH146" s="1302" t="n"/>
      <c r="AI146" s="1302" t="n"/>
      <c r="AJ146" s="1302" t="n"/>
      <c r="AK146" s="1302">
        <f>AI146-AJ146</f>
        <v/>
      </c>
      <c r="AL146" s="858" t="n"/>
      <c r="AM146" s="1297" t="inlineStr"/>
      <c r="AN146" s="1298" t="n"/>
      <c r="AO146" s="13">
        <f>IF(_epmOfflineCondition_,0,EPMSaveDataOnly(AB146,,AB$29,AB$25,AB$26,AB$31,AB$32,$AA$37,AO$14,AO$15,AO$16,AO$17,AO$18,X146))</f>
        <v/>
      </c>
      <c r="AP146" s="13">
        <f>IF(_epmOfflineCondition_,0,EPMSaveDataOnly(AL146,,AL$29,AL$25,AL$26,AL$31,AL$32,$AA$37,AP$14,AP$15,AP$16,AP$17,AP$18,$X146))</f>
        <v/>
      </c>
      <c r="AQ146" s="13">
        <f>IF(_epmOfflineCondition_,0,EPMSaveData(AM146,,AM$29,AM$25,AM$26,$C$6,AM$32,$AA$37,AQ$14,AQ$15,AQ$16,AQ$17,AQ$18,$X146))</f>
        <v/>
      </c>
      <c r="AR146" s="13">
        <f>IF(_epmOfflineCondition_,0,EPMSaveDataOnly(AN146,,AN$29,AN$25,AN$26,AN$31,AN$32,$AA$37,AR$14,AR$15,AR$16,AR$17,AR$18,$X146))</f>
        <v/>
      </c>
      <c r="AS146" s="384" t="n"/>
    </row>
    <row r="147" hidden="1" ht="15.75" customHeight="1" s="1181">
      <c r="A147" s="384" t="n"/>
      <c r="B147" s="384" t="n"/>
      <c r="C147" s="384" t="n"/>
      <c r="D147" s="384" t="n"/>
      <c r="E147" s="384" t="n"/>
      <c r="F147" s="384" t="n"/>
      <c r="G147" s="384" t="n"/>
      <c r="H147" s="384" t="n"/>
      <c r="I147" s="384" t="n"/>
      <c r="J147" s="384" t="n"/>
      <c r="K147" s="384" t="n"/>
      <c r="L147" s="384" t="n"/>
      <c r="M147" s="384" t="n"/>
      <c r="N147" s="384" t="n"/>
      <c r="O147" s="384" t="n"/>
      <c r="P147" s="384" t="n"/>
      <c r="Q147" s="384" t="n"/>
      <c r="R147" s="384" t="n"/>
      <c r="S147" s="384" t="n"/>
      <c r="T147" s="384" t="n"/>
      <c r="U147" s="384" t="n"/>
      <c r="V147" s="384" t="n"/>
      <c r="W147" s="384" t="n"/>
      <c r="X147" s="645">
        <f>IF(_epmOfflineCondition_,"I_E100092",EPMOlapMemberO("[C_INTERCO].[PARENTH1].[I_E100092]","","I_E100092","","000"))</f>
        <v/>
      </c>
      <c r="Y147" s="870">
        <f>IF(_epmOfflineCondition_,"宁夏海原京能新能源有限公司",EPMMemberDesc(X147))</f>
        <v/>
      </c>
      <c r="Z147" s="1302" t="n"/>
      <c r="AA147" s="1302" t="n"/>
      <c r="AB147" s="858" t="n"/>
      <c r="AC147" s="1302" t="n"/>
      <c r="AD147" s="1302" t="n"/>
      <c r="AE147" s="1302" t="inlineStr"/>
      <c r="AF147" s="1302" t="inlineStr"/>
      <c r="AG147" s="1302" t="inlineStr"/>
      <c r="AH147" s="1302" t="n"/>
      <c r="AI147" s="1302" t="n"/>
      <c r="AJ147" s="1302" t="n"/>
      <c r="AK147" s="1302">
        <f>AI147-AJ147</f>
        <v/>
      </c>
      <c r="AL147" s="858" t="n"/>
      <c r="AM147" s="1297" t="inlineStr"/>
      <c r="AN147" s="1298" t="n"/>
      <c r="AO147" s="13">
        <f>IF(_epmOfflineCondition_,0,EPMSaveDataOnly(AB147,,AB$29,AB$25,AB$26,AB$31,AB$32,$AA$37,AO$14,AO$15,AO$16,AO$17,AO$18,X147))</f>
        <v/>
      </c>
      <c r="AP147" s="13">
        <f>IF(_epmOfflineCondition_,0,EPMSaveDataOnly(AL147,,AL$29,AL$25,AL$26,AL$31,AL$32,$AA$37,AP$14,AP$15,AP$16,AP$17,AP$18,$X147))</f>
        <v/>
      </c>
      <c r="AQ147" s="13">
        <f>IF(_epmOfflineCondition_,0,EPMSaveData(AM147,,AM$29,AM$25,AM$26,$C$6,AM$32,$AA$37,AQ$14,AQ$15,AQ$16,AQ$17,AQ$18,$X147))</f>
        <v/>
      </c>
      <c r="AR147" s="13">
        <f>IF(_epmOfflineCondition_,0,EPMSaveDataOnly(AN147,,AN$29,AN$25,AN$26,AN$31,AN$32,$AA$37,AR$14,AR$15,AR$16,AR$17,AR$18,$X147))</f>
        <v/>
      </c>
      <c r="AS147" s="384" t="n"/>
    </row>
    <row r="148" hidden="1" ht="15.75" customHeight="1" s="1181">
      <c r="A148" s="384" t="n"/>
      <c r="B148" s="384" t="n"/>
      <c r="C148" s="384" t="n"/>
      <c r="D148" s="384" t="n"/>
      <c r="E148" s="384" t="n"/>
      <c r="F148" s="384" t="n"/>
      <c r="G148" s="384" t="n"/>
      <c r="H148" s="384" t="n"/>
      <c r="I148" s="384" t="n"/>
      <c r="J148" s="384" t="n"/>
      <c r="K148" s="384" t="n"/>
      <c r="L148" s="384" t="n"/>
      <c r="M148" s="384" t="n"/>
      <c r="N148" s="384" t="n"/>
      <c r="O148" s="384" t="n"/>
      <c r="P148" s="384" t="n"/>
      <c r="Q148" s="384" t="n"/>
      <c r="R148" s="384" t="n"/>
      <c r="S148" s="384" t="n"/>
      <c r="T148" s="384" t="n"/>
      <c r="U148" s="384" t="n"/>
      <c r="V148" s="384" t="n"/>
      <c r="W148" s="384" t="n"/>
      <c r="X148" s="645">
        <f>IF(_epmOfflineCondition_,"I_E100093",EPMOlapMemberO("[C_INTERCO].[PARENTH1].[I_E100093]","","I_E100093","","000"))</f>
        <v/>
      </c>
      <c r="Y148" s="870">
        <f>IF(_epmOfflineCondition_,"府谷县京能新能源有限公司",EPMMemberDesc(X148))</f>
        <v/>
      </c>
      <c r="Z148" s="1302" t="n"/>
      <c r="AA148" s="1302" t="n"/>
      <c r="AB148" s="858" t="n"/>
      <c r="AC148" s="1302" t="n"/>
      <c r="AD148" s="1302" t="n"/>
      <c r="AE148" s="1302" t="inlineStr"/>
      <c r="AF148" s="1302" t="inlineStr"/>
      <c r="AG148" s="1302" t="inlineStr"/>
      <c r="AH148" s="1302" t="n"/>
      <c r="AI148" s="1302" t="n"/>
      <c r="AJ148" s="1302" t="n"/>
      <c r="AK148" s="1302">
        <f>AI148-AJ148</f>
        <v/>
      </c>
      <c r="AL148" s="858" t="n"/>
      <c r="AM148" s="1297" t="inlineStr"/>
      <c r="AN148" s="1298" t="n"/>
      <c r="AO148" s="13">
        <f>IF(_epmOfflineCondition_,0,EPMSaveDataOnly(AB148,,AB$29,AB$25,AB$26,AB$31,AB$32,$AA$37,AO$14,AO$15,AO$16,AO$17,AO$18,X148))</f>
        <v/>
      </c>
      <c r="AP148" s="13">
        <f>IF(_epmOfflineCondition_,0,EPMSaveDataOnly(AL148,,AL$29,AL$25,AL$26,AL$31,AL$32,$AA$37,AP$14,AP$15,AP$16,AP$17,AP$18,$X148))</f>
        <v/>
      </c>
      <c r="AQ148" s="13">
        <f>IF(_epmOfflineCondition_,0,EPMSaveData(AM148,,AM$29,AM$25,AM$26,$C$6,AM$32,$AA$37,AQ$14,AQ$15,AQ$16,AQ$17,AQ$18,$X148))</f>
        <v/>
      </c>
      <c r="AR148" s="13">
        <f>IF(_epmOfflineCondition_,0,EPMSaveDataOnly(AN148,,AN$29,AN$25,AN$26,AN$31,AN$32,$AA$37,AR$14,AR$15,AR$16,AR$17,AR$18,$X148))</f>
        <v/>
      </c>
      <c r="AS148" s="384" t="n"/>
    </row>
    <row r="149" hidden="1" ht="15.75" customHeight="1" s="1181">
      <c r="A149" s="384" t="n"/>
      <c r="B149" s="384" t="n"/>
      <c r="C149" s="384" t="n"/>
      <c r="D149" s="384" t="n"/>
      <c r="E149" s="384" t="n"/>
      <c r="F149" s="384" t="n"/>
      <c r="G149" s="384" t="n"/>
      <c r="H149" s="384" t="n"/>
      <c r="I149" s="384" t="n"/>
      <c r="J149" s="384" t="n"/>
      <c r="K149" s="384" t="n"/>
      <c r="L149" s="384" t="n"/>
      <c r="M149" s="384" t="n"/>
      <c r="N149" s="384" t="n"/>
      <c r="O149" s="384" t="n"/>
      <c r="P149" s="384" t="n"/>
      <c r="Q149" s="384" t="n"/>
      <c r="R149" s="384" t="n"/>
      <c r="S149" s="384" t="n"/>
      <c r="T149" s="384" t="n"/>
      <c r="U149" s="384" t="n"/>
      <c r="V149" s="384" t="n"/>
      <c r="W149" s="384" t="n"/>
      <c r="X149" s="645">
        <f>IF(_epmOfflineCondition_,"I_E100094",EPMOlapMemberO("[C_INTERCO].[PARENTH1].[I_E100094]","","I_E100094","","000"))</f>
        <v/>
      </c>
      <c r="Y149" s="870">
        <f>IF(_epmOfflineCondition_,"靖远京能新能源有限公司",EPMMemberDesc(X149))</f>
        <v/>
      </c>
      <c r="Z149" s="1302" t="n"/>
      <c r="AA149" s="1302" t="n"/>
      <c r="AB149" s="858" t="n"/>
      <c r="AC149" s="1302" t="n"/>
      <c r="AD149" s="1302" t="n"/>
      <c r="AE149" s="1302" t="inlineStr"/>
      <c r="AF149" s="1302" t="inlineStr"/>
      <c r="AG149" s="1302" t="inlineStr"/>
      <c r="AH149" s="1302" t="n"/>
      <c r="AI149" s="1302" t="n"/>
      <c r="AJ149" s="1302" t="n"/>
      <c r="AK149" s="1302">
        <f>AI149-AJ149</f>
        <v/>
      </c>
      <c r="AL149" s="858" t="n"/>
      <c r="AM149" s="1297" t="inlineStr"/>
      <c r="AN149" s="1298" t="n"/>
      <c r="AO149" s="13">
        <f>IF(_epmOfflineCondition_,0,EPMSaveDataOnly(AB149,,AB$29,AB$25,AB$26,AB$31,AB$32,$AA$37,AO$14,AO$15,AO$16,AO$17,AO$18,X149))</f>
        <v/>
      </c>
      <c r="AP149" s="13">
        <f>IF(_epmOfflineCondition_,0,EPMSaveDataOnly(AL149,,AL$29,AL$25,AL$26,AL$31,AL$32,$AA$37,AP$14,AP$15,AP$16,AP$17,AP$18,$X149))</f>
        <v/>
      </c>
      <c r="AQ149" s="13">
        <f>IF(_epmOfflineCondition_,0,EPMSaveData(AM149,,AM$29,AM$25,AM$26,$C$6,AM$32,$AA$37,AQ$14,AQ$15,AQ$16,AQ$17,AQ$18,$X149))</f>
        <v/>
      </c>
      <c r="AR149" s="13">
        <f>IF(_epmOfflineCondition_,0,EPMSaveDataOnly(AN149,,AN$29,AN$25,AN$26,AN$31,AN$32,$AA$37,AR$14,AR$15,AR$16,AR$17,AR$18,$X149))</f>
        <v/>
      </c>
      <c r="AS149" s="384" t="n"/>
    </row>
    <row r="150" hidden="1" ht="15.75" customHeight="1" s="1181">
      <c r="A150" s="384" t="n"/>
      <c r="B150" s="384" t="n"/>
      <c r="C150" s="384" t="n"/>
      <c r="D150" s="384" t="n"/>
      <c r="E150" s="384" t="n"/>
      <c r="F150" s="384" t="n"/>
      <c r="G150" s="384" t="n"/>
      <c r="H150" s="384" t="n"/>
      <c r="I150" s="384" t="n"/>
      <c r="J150" s="384" t="n"/>
      <c r="K150" s="384" t="n"/>
      <c r="L150" s="384" t="n"/>
      <c r="M150" s="384" t="n"/>
      <c r="N150" s="384" t="n"/>
      <c r="O150" s="384" t="n"/>
      <c r="P150" s="384" t="n"/>
      <c r="Q150" s="384" t="n"/>
      <c r="R150" s="384" t="n"/>
      <c r="S150" s="384" t="n"/>
      <c r="T150" s="384" t="n"/>
      <c r="U150" s="384" t="n"/>
      <c r="V150" s="384" t="n"/>
      <c r="W150" s="384" t="n"/>
      <c r="X150" s="645">
        <f>IF(_epmOfflineCondition_,"I_E100095",EPMOlapMemberO("[C_INTERCO].[PARENTH1].[I_E100095]","","I_E100095","","000"))</f>
        <v/>
      </c>
      <c r="Y150" s="870">
        <f>IF(_epmOfflineCondition_,"北京京能清洁能源电力股份有限公司西南分公司",EPMMemberDesc(X150))</f>
        <v/>
      </c>
      <c r="Z150" s="1302" t="n"/>
      <c r="AA150" s="1302" t="n"/>
      <c r="AB150" s="858" t="n"/>
      <c r="AC150" s="1302" t="n"/>
      <c r="AD150" s="1302" t="n"/>
      <c r="AE150" s="1302" t="inlineStr"/>
      <c r="AF150" s="1302" t="inlineStr"/>
      <c r="AG150" s="1302" t="inlineStr"/>
      <c r="AH150" s="1302" t="n"/>
      <c r="AI150" s="1302" t="n"/>
      <c r="AJ150" s="1302" t="n"/>
      <c r="AK150" s="1302">
        <f>AI150-AJ150</f>
        <v/>
      </c>
      <c r="AL150" s="858" t="n"/>
      <c r="AM150" s="1297" t="inlineStr"/>
      <c r="AN150" s="1298" t="n"/>
      <c r="AO150" s="13">
        <f>IF(_epmOfflineCondition_,0,EPMSaveDataOnly(AB150,,AB$29,AB$25,AB$26,AB$31,AB$32,$AA$37,AO$14,AO$15,AO$16,AO$17,AO$18,X150))</f>
        <v/>
      </c>
      <c r="AP150" s="13">
        <f>IF(_epmOfflineCondition_,0,EPMSaveDataOnly(AL150,,AL$29,AL$25,AL$26,AL$31,AL$32,$AA$37,AP$14,AP$15,AP$16,AP$17,AP$18,$X150))</f>
        <v/>
      </c>
      <c r="AQ150" s="13">
        <f>IF(_epmOfflineCondition_,0,EPMSaveData(AM150,,AM$29,AM$25,AM$26,$C$6,AM$32,$AA$37,AQ$14,AQ$15,AQ$16,AQ$17,AQ$18,$X150))</f>
        <v/>
      </c>
      <c r="AR150" s="13">
        <f>IF(_epmOfflineCondition_,0,EPMSaveDataOnly(AN150,,AN$29,AN$25,AN$26,AN$31,AN$32,$AA$37,AR$14,AR$15,AR$16,AR$17,AR$18,$X150))</f>
        <v/>
      </c>
      <c r="AS150" s="384" t="n"/>
    </row>
    <row r="151" hidden="1" ht="15.75" customHeight="1" s="1181">
      <c r="A151" s="384" t="n"/>
      <c r="B151" s="384" t="n"/>
      <c r="C151" s="384" t="n"/>
      <c r="D151" s="384" t="n"/>
      <c r="E151" s="384" t="n"/>
      <c r="F151" s="384" t="n"/>
      <c r="G151" s="384" t="n"/>
      <c r="H151" s="384" t="n"/>
      <c r="I151" s="384" t="n"/>
      <c r="J151" s="384" t="n"/>
      <c r="K151" s="384" t="n"/>
      <c r="L151" s="384" t="n"/>
      <c r="M151" s="384" t="n"/>
      <c r="N151" s="384" t="n"/>
      <c r="O151" s="384" t="n"/>
      <c r="P151" s="384" t="n"/>
      <c r="Q151" s="384" t="n"/>
      <c r="R151" s="384" t="n"/>
      <c r="S151" s="384" t="n"/>
      <c r="T151" s="384" t="n"/>
      <c r="U151" s="384" t="n"/>
      <c r="V151" s="384" t="n"/>
      <c r="W151" s="384" t="n"/>
      <c r="X151" s="645">
        <f>IF(_epmOfflineCondition_,"I_E100096",EPMOlapMemberO("[C_INTERCO].[PARENTH1].[I_E100096]","","I_E100096","","000"))</f>
        <v/>
      </c>
      <c r="Y151" s="870">
        <f>IF(_epmOfflineCondition_,"四川大川电力有限公司",EPMMemberDesc(X151))</f>
        <v/>
      </c>
      <c r="Z151" s="1302" t="n"/>
      <c r="AA151" s="1302" t="n"/>
      <c r="AB151" s="858" t="n"/>
      <c r="AC151" s="1302" t="n"/>
      <c r="AD151" s="1302" t="n"/>
      <c r="AE151" s="1302" t="inlineStr"/>
      <c r="AF151" s="1302" t="inlineStr"/>
      <c r="AG151" s="1302" t="inlineStr"/>
      <c r="AH151" s="1302" t="n"/>
      <c r="AI151" s="1302" t="n"/>
      <c r="AJ151" s="1302" t="n"/>
      <c r="AK151" s="1302">
        <f>AI151-AJ151</f>
        <v/>
      </c>
      <c r="AL151" s="858" t="n"/>
      <c r="AM151" s="1297" t="inlineStr"/>
      <c r="AN151" s="1298" t="n"/>
      <c r="AO151" s="13">
        <f>IF(_epmOfflineCondition_,0,EPMSaveDataOnly(AB151,,AB$29,AB$25,AB$26,AB$31,AB$32,$AA$37,AO$14,AO$15,AO$16,AO$17,AO$18,X151))</f>
        <v/>
      </c>
      <c r="AP151" s="13">
        <f>IF(_epmOfflineCondition_,0,EPMSaveDataOnly(AL151,,AL$29,AL$25,AL$26,AL$31,AL$32,$AA$37,AP$14,AP$15,AP$16,AP$17,AP$18,$X151))</f>
        <v/>
      </c>
      <c r="AQ151" s="13">
        <f>IF(_epmOfflineCondition_,0,EPMSaveData(AM151,,AM$29,AM$25,AM$26,$C$6,AM$32,$AA$37,AQ$14,AQ$15,AQ$16,AQ$17,AQ$18,$X151))</f>
        <v/>
      </c>
      <c r="AR151" s="13">
        <f>IF(_epmOfflineCondition_,0,EPMSaveDataOnly(AN151,,AN$29,AN$25,AN$26,AN$31,AN$32,$AA$37,AR$14,AR$15,AR$16,AR$17,AR$18,$X151))</f>
        <v/>
      </c>
      <c r="AS151" s="384" t="n"/>
    </row>
    <row r="152" hidden="1" ht="15.75" customHeight="1" s="1181">
      <c r="A152" s="384" t="n"/>
      <c r="B152" s="384" t="n"/>
      <c r="C152" s="384" t="n"/>
      <c r="D152" s="384" t="n"/>
      <c r="E152" s="384" t="n"/>
      <c r="F152" s="384" t="n"/>
      <c r="G152" s="384" t="n"/>
      <c r="H152" s="384" t="n"/>
      <c r="I152" s="384" t="n"/>
      <c r="J152" s="384" t="n"/>
      <c r="K152" s="384" t="n"/>
      <c r="L152" s="384" t="n"/>
      <c r="M152" s="384" t="n"/>
      <c r="N152" s="384" t="n"/>
      <c r="O152" s="384" t="n"/>
      <c r="P152" s="384" t="n"/>
      <c r="Q152" s="384" t="n"/>
      <c r="R152" s="384" t="n"/>
      <c r="S152" s="384" t="n"/>
      <c r="T152" s="384" t="n"/>
      <c r="U152" s="384" t="n"/>
      <c r="V152" s="384" t="n"/>
      <c r="W152" s="384" t="n"/>
      <c r="X152" s="645">
        <f>IF(_epmOfflineCondition_,"I_E100097",EPMOlapMemberO("[C_INTERCO].[PARENTH1].[I_E100097]","","I_E100097","","000"))</f>
        <v/>
      </c>
      <c r="Y152" s="870">
        <f>IF(_epmOfflineCondition_,"四川众能电力有限公司",EPMMemberDesc(X152))</f>
        <v/>
      </c>
      <c r="Z152" s="1302" t="n"/>
      <c r="AA152" s="1302" t="n"/>
      <c r="AB152" s="858" t="n"/>
      <c r="AC152" s="1302" t="n"/>
      <c r="AD152" s="1302" t="n"/>
      <c r="AE152" s="1302" t="inlineStr"/>
      <c r="AF152" s="1302" t="inlineStr"/>
      <c r="AG152" s="1302" t="inlineStr"/>
      <c r="AH152" s="1302" t="n"/>
      <c r="AI152" s="1302" t="n"/>
      <c r="AJ152" s="1302" t="n"/>
      <c r="AK152" s="1302">
        <f>AI152-AJ152</f>
        <v/>
      </c>
      <c r="AL152" s="858" t="n"/>
      <c r="AM152" s="1297" t="inlineStr"/>
      <c r="AN152" s="1298" t="n"/>
      <c r="AO152" s="13">
        <f>IF(_epmOfflineCondition_,0,EPMSaveDataOnly(AB152,,AB$29,AB$25,AB$26,AB$31,AB$32,$AA$37,AO$14,AO$15,AO$16,AO$17,AO$18,X152))</f>
        <v/>
      </c>
      <c r="AP152" s="13">
        <f>IF(_epmOfflineCondition_,0,EPMSaveDataOnly(AL152,,AL$29,AL$25,AL$26,AL$31,AL$32,$AA$37,AP$14,AP$15,AP$16,AP$17,AP$18,$X152))</f>
        <v/>
      </c>
      <c r="AQ152" s="13">
        <f>IF(_epmOfflineCondition_,0,EPMSaveData(AM152,,AM$29,AM$25,AM$26,$C$6,AM$32,$AA$37,AQ$14,AQ$15,AQ$16,AQ$17,AQ$18,$X152))</f>
        <v/>
      </c>
      <c r="AR152" s="13">
        <f>IF(_epmOfflineCondition_,0,EPMSaveDataOnly(AN152,,AN$29,AN$25,AN$26,AN$31,AN$32,$AA$37,AR$14,AR$15,AR$16,AR$17,AR$18,$X152))</f>
        <v/>
      </c>
      <c r="AS152" s="384" t="n"/>
    </row>
    <row r="153" hidden="1" ht="15.75" customHeight="1" s="1181">
      <c r="A153" s="384" t="n"/>
      <c r="B153" s="384" t="n"/>
      <c r="C153" s="384" t="n"/>
      <c r="D153" s="384" t="n"/>
      <c r="E153" s="384" t="n"/>
      <c r="F153" s="384" t="n"/>
      <c r="G153" s="384" t="n"/>
      <c r="H153" s="384" t="n"/>
      <c r="I153" s="384" t="n"/>
      <c r="J153" s="384" t="n"/>
      <c r="K153" s="384" t="n"/>
      <c r="L153" s="384" t="n"/>
      <c r="M153" s="384" t="n"/>
      <c r="N153" s="384" t="n"/>
      <c r="O153" s="384" t="n"/>
      <c r="P153" s="384" t="n"/>
      <c r="Q153" s="384" t="n"/>
      <c r="R153" s="384" t="n"/>
      <c r="S153" s="384" t="n"/>
      <c r="T153" s="384" t="n"/>
      <c r="U153" s="384" t="n"/>
      <c r="V153" s="384" t="n"/>
      <c r="W153" s="384" t="n"/>
      <c r="X153" s="645">
        <f>IF(_epmOfflineCondition_,"I_E100098",EPMOlapMemberO("[C_INTERCO].[PARENTH1].[I_E100098]","","I_E100098","","000"))</f>
        <v/>
      </c>
      <c r="Y153" s="870">
        <f>IF(_epmOfflineCondition_,"黑水县三联水电开发有限责任公司",EPMMemberDesc(X153))</f>
        <v/>
      </c>
      <c r="Z153" s="1302" t="n"/>
      <c r="AA153" s="1302" t="n"/>
      <c r="AB153" s="858" t="n"/>
      <c r="AC153" s="1302" t="n"/>
      <c r="AD153" s="1302" t="n"/>
      <c r="AE153" s="1302" t="inlineStr"/>
      <c r="AF153" s="1302" t="inlineStr"/>
      <c r="AG153" s="1302" t="inlineStr"/>
      <c r="AH153" s="1302" t="n"/>
      <c r="AI153" s="1302" t="n"/>
      <c r="AJ153" s="1302" t="n"/>
      <c r="AK153" s="1302">
        <f>AI153-AJ153</f>
        <v/>
      </c>
      <c r="AL153" s="858" t="n"/>
      <c r="AM153" s="1297" t="inlineStr"/>
      <c r="AN153" s="1298" t="n"/>
      <c r="AO153" s="13">
        <f>IF(_epmOfflineCondition_,0,EPMSaveDataOnly(AB153,,AB$29,AB$25,AB$26,AB$31,AB$32,$AA$37,AO$14,AO$15,AO$16,AO$17,AO$18,X153))</f>
        <v/>
      </c>
      <c r="AP153" s="13">
        <f>IF(_epmOfflineCondition_,0,EPMSaveDataOnly(AL153,,AL$29,AL$25,AL$26,AL$31,AL$32,$AA$37,AP$14,AP$15,AP$16,AP$17,AP$18,$X153))</f>
        <v/>
      </c>
      <c r="AQ153" s="13">
        <f>IF(_epmOfflineCondition_,0,EPMSaveData(AM153,,AM$29,AM$25,AM$26,$C$6,AM$32,$AA$37,AQ$14,AQ$15,AQ$16,AQ$17,AQ$18,$X153))</f>
        <v/>
      </c>
      <c r="AR153" s="13">
        <f>IF(_epmOfflineCondition_,0,EPMSaveDataOnly(AN153,,AN$29,AN$25,AN$26,AN$31,AN$32,$AA$37,AR$14,AR$15,AR$16,AR$17,AR$18,$X153))</f>
        <v/>
      </c>
      <c r="AS153" s="384" t="n"/>
    </row>
    <row r="154" hidden="1" ht="15.75" customHeight="1" s="1181">
      <c r="A154" s="384" t="n"/>
      <c r="B154" s="384" t="n"/>
      <c r="C154" s="384" t="n"/>
      <c r="D154" s="384" t="n"/>
      <c r="E154" s="384" t="n"/>
      <c r="F154" s="384" t="n"/>
      <c r="G154" s="384" t="n"/>
      <c r="H154" s="384" t="n"/>
      <c r="I154" s="384" t="n"/>
      <c r="J154" s="384" t="n"/>
      <c r="K154" s="384" t="n"/>
      <c r="L154" s="384" t="n"/>
      <c r="M154" s="384" t="n"/>
      <c r="N154" s="384" t="n"/>
      <c r="O154" s="384" t="n"/>
      <c r="P154" s="384" t="n"/>
      <c r="Q154" s="384" t="n"/>
      <c r="R154" s="384" t="n"/>
      <c r="S154" s="384" t="n"/>
      <c r="T154" s="384" t="n"/>
      <c r="U154" s="384" t="n"/>
      <c r="V154" s="384" t="n"/>
      <c r="W154" s="384" t="n"/>
      <c r="X154" s="645">
        <f>IF(_epmOfflineCondition_,"I_E100099",EPMOlapMemberO("[C_INTERCO].[PARENTH1].[I_E100099]","","I_E100099","","000"))</f>
        <v/>
      </c>
      <c r="Y154" s="870">
        <f>IF(_epmOfflineCondition_,"盈江华富水电开发有限公司",EPMMemberDesc(X154))</f>
        <v/>
      </c>
      <c r="Z154" s="1302" t="n"/>
      <c r="AA154" s="1302" t="n"/>
      <c r="AB154" s="858" t="n"/>
      <c r="AC154" s="1302" t="n"/>
      <c r="AD154" s="1302" t="n"/>
      <c r="AE154" s="1302" t="inlineStr"/>
      <c r="AF154" s="1302" t="inlineStr"/>
      <c r="AG154" s="1302" t="inlineStr"/>
      <c r="AH154" s="1302" t="n"/>
      <c r="AI154" s="1302" t="n"/>
      <c r="AJ154" s="1302" t="n"/>
      <c r="AK154" s="1302">
        <f>AI154-AJ154</f>
        <v/>
      </c>
      <c r="AL154" s="858" t="n"/>
      <c r="AM154" s="1297" t="inlineStr"/>
      <c r="AN154" s="1298" t="n"/>
      <c r="AO154" s="13">
        <f>IF(_epmOfflineCondition_,0,EPMSaveDataOnly(AB154,,AB$29,AB$25,AB$26,AB$31,AB$32,$AA$37,AO$14,AO$15,AO$16,AO$17,AO$18,X154))</f>
        <v/>
      </c>
      <c r="AP154" s="13">
        <f>IF(_epmOfflineCondition_,0,EPMSaveDataOnly(AL154,,AL$29,AL$25,AL$26,AL$31,AL$32,$AA$37,AP$14,AP$15,AP$16,AP$17,AP$18,$X154))</f>
        <v/>
      </c>
      <c r="AQ154" s="13">
        <f>IF(_epmOfflineCondition_,0,EPMSaveData(AM154,,AM$29,AM$25,AM$26,$C$6,AM$32,$AA$37,AQ$14,AQ$15,AQ$16,AQ$17,AQ$18,$X154))</f>
        <v/>
      </c>
      <c r="AR154" s="13">
        <f>IF(_epmOfflineCondition_,0,EPMSaveDataOnly(AN154,,AN$29,AN$25,AN$26,AN$31,AN$32,$AA$37,AR$14,AR$15,AR$16,AR$17,AR$18,$X154))</f>
        <v/>
      </c>
      <c r="AS154" s="384" t="n"/>
    </row>
    <row r="155" hidden="1" ht="15.75" customHeight="1" s="1181">
      <c r="A155" s="384" t="n"/>
      <c r="B155" s="384" t="n"/>
      <c r="C155" s="384" t="n"/>
      <c r="D155" s="384" t="n"/>
      <c r="E155" s="384" t="n"/>
      <c r="F155" s="384" t="n"/>
      <c r="G155" s="384" t="n"/>
      <c r="H155" s="384" t="n"/>
      <c r="I155" s="384" t="n"/>
      <c r="J155" s="384" t="n"/>
      <c r="K155" s="384" t="n"/>
      <c r="L155" s="384" t="n"/>
      <c r="M155" s="384" t="n"/>
      <c r="N155" s="384" t="n"/>
      <c r="O155" s="384" t="n"/>
      <c r="P155" s="384" t="n"/>
      <c r="Q155" s="384" t="n"/>
      <c r="R155" s="384" t="n"/>
      <c r="S155" s="384" t="n"/>
      <c r="T155" s="384" t="n"/>
      <c r="U155" s="384" t="n"/>
      <c r="V155" s="384" t="n"/>
      <c r="W155" s="384" t="n"/>
      <c r="X155" s="645">
        <f>IF(_epmOfflineCondition_,"I_E100100",EPMOlapMemberO("[C_INTERCO].[PARENTH1].[I_E100100]","","I_E100100","","000"))</f>
        <v/>
      </c>
      <c r="Y155" s="870">
        <f>IF(_epmOfflineCondition_,"四川大川电力有限公司腾冲分公司",EPMMemberDesc(X155))</f>
        <v/>
      </c>
      <c r="Z155" s="1302" t="n"/>
      <c r="AA155" s="1302" t="n"/>
      <c r="AB155" s="858" t="n"/>
      <c r="AC155" s="1302" t="n"/>
      <c r="AD155" s="1302" t="n"/>
      <c r="AE155" s="1302" t="inlineStr"/>
      <c r="AF155" s="1302" t="inlineStr"/>
      <c r="AG155" s="1302" t="inlineStr"/>
      <c r="AH155" s="1302" t="n"/>
      <c r="AI155" s="1302" t="n"/>
      <c r="AJ155" s="1302" t="n"/>
      <c r="AK155" s="1302">
        <f>AI155-AJ155</f>
        <v/>
      </c>
      <c r="AL155" s="858" t="n"/>
      <c r="AM155" s="1297" t="inlineStr"/>
      <c r="AN155" s="1298" t="n"/>
      <c r="AO155" s="13">
        <f>IF(_epmOfflineCondition_,0,EPMSaveDataOnly(AB155,,AB$29,AB$25,AB$26,AB$31,AB$32,$AA$37,AO$14,AO$15,AO$16,AO$17,AO$18,X155))</f>
        <v/>
      </c>
      <c r="AP155" s="13">
        <f>IF(_epmOfflineCondition_,0,EPMSaveDataOnly(AL155,,AL$29,AL$25,AL$26,AL$31,AL$32,$AA$37,AP$14,AP$15,AP$16,AP$17,AP$18,$X155))</f>
        <v/>
      </c>
      <c r="AQ155" s="13">
        <f>IF(_epmOfflineCondition_,0,EPMSaveData(AM155,,AM$29,AM$25,AM$26,$C$6,AM$32,$AA$37,AQ$14,AQ$15,AQ$16,AQ$17,AQ$18,$X155))</f>
        <v/>
      </c>
      <c r="AR155" s="13">
        <f>IF(_epmOfflineCondition_,0,EPMSaveDataOnly(AN155,,AN$29,AN$25,AN$26,AN$31,AN$32,$AA$37,AR$14,AR$15,AR$16,AR$17,AR$18,$X155))</f>
        <v/>
      </c>
      <c r="AS155" s="384" t="n"/>
    </row>
    <row r="156" hidden="1" ht="15.75" customHeight="1" s="1181">
      <c r="A156" s="384" t="n"/>
      <c r="B156" s="384" t="n"/>
      <c r="C156" s="384" t="n"/>
      <c r="D156" s="384" t="n"/>
      <c r="E156" s="384" t="n"/>
      <c r="F156" s="384" t="n"/>
      <c r="G156" s="384" t="n"/>
      <c r="H156" s="384" t="n"/>
      <c r="I156" s="384" t="n"/>
      <c r="J156" s="384" t="n"/>
      <c r="K156" s="384" t="n"/>
      <c r="L156" s="384" t="n"/>
      <c r="M156" s="384" t="n"/>
      <c r="N156" s="384" t="n"/>
      <c r="O156" s="384" t="n"/>
      <c r="P156" s="384" t="n"/>
      <c r="Q156" s="384" t="n"/>
      <c r="R156" s="384" t="n"/>
      <c r="S156" s="384" t="n"/>
      <c r="T156" s="384" t="n"/>
      <c r="U156" s="384" t="n"/>
      <c r="V156" s="384" t="n"/>
      <c r="W156" s="384" t="n"/>
      <c r="X156" s="645">
        <f>IF(_epmOfflineCondition_,"I_E100101",EPMOlapMemberO("[C_INTERCO].[PARENTH1].[I_E100101]","","I_E100101","","000"))</f>
        <v/>
      </c>
      <c r="Y156" s="870">
        <f>IF(_epmOfflineCondition_,"成都金华能电力实业有限责任公司",EPMMemberDesc(X156))</f>
        <v/>
      </c>
      <c r="Z156" s="1302" t="n"/>
      <c r="AA156" s="1302" t="n"/>
      <c r="AB156" s="858" t="n"/>
      <c r="AC156" s="1302" t="n"/>
      <c r="AD156" s="1302" t="n"/>
      <c r="AE156" s="1302" t="inlineStr"/>
      <c r="AF156" s="1302" t="inlineStr"/>
      <c r="AG156" s="1302" t="inlineStr"/>
      <c r="AH156" s="1302" t="n"/>
      <c r="AI156" s="1302" t="n"/>
      <c r="AJ156" s="1302" t="n"/>
      <c r="AK156" s="1302">
        <f>AI156-AJ156</f>
        <v/>
      </c>
      <c r="AL156" s="858" t="n"/>
      <c r="AM156" s="1297" t="inlineStr"/>
      <c r="AN156" s="1298" t="n"/>
      <c r="AO156" s="13">
        <f>IF(_epmOfflineCondition_,0,EPMSaveDataOnly(AB156,,AB$29,AB$25,AB$26,AB$31,AB$32,$AA$37,AO$14,AO$15,AO$16,AO$17,AO$18,X156))</f>
        <v/>
      </c>
      <c r="AP156" s="13">
        <f>IF(_epmOfflineCondition_,0,EPMSaveDataOnly(AL156,,AL$29,AL$25,AL$26,AL$31,AL$32,$AA$37,AP$14,AP$15,AP$16,AP$17,AP$18,$X156))</f>
        <v/>
      </c>
      <c r="AQ156" s="13">
        <f>IF(_epmOfflineCondition_,0,EPMSaveData(AM156,,AM$29,AM$25,AM$26,$C$6,AM$32,$AA$37,AQ$14,AQ$15,AQ$16,AQ$17,AQ$18,$X156))</f>
        <v/>
      </c>
      <c r="AR156" s="13">
        <f>IF(_epmOfflineCondition_,0,EPMSaveDataOnly(AN156,,AN$29,AN$25,AN$26,AN$31,AN$32,$AA$37,AR$14,AR$15,AR$16,AR$17,AR$18,$X156))</f>
        <v/>
      </c>
      <c r="AS156" s="384" t="n"/>
    </row>
    <row r="157" hidden="1" ht="15.75" customHeight="1" s="1181">
      <c r="A157" s="384" t="n"/>
      <c r="B157" s="384" t="n"/>
      <c r="C157" s="384" t="n"/>
      <c r="D157" s="384" t="n"/>
      <c r="E157" s="384" t="n"/>
      <c r="F157" s="384" t="n"/>
      <c r="G157" s="384" t="n"/>
      <c r="H157" s="384" t="n"/>
      <c r="I157" s="384" t="n"/>
      <c r="J157" s="384" t="n"/>
      <c r="K157" s="384" t="n"/>
      <c r="L157" s="384" t="n"/>
      <c r="M157" s="384" t="n"/>
      <c r="N157" s="384" t="n"/>
      <c r="O157" s="384" t="n"/>
      <c r="P157" s="384" t="n"/>
      <c r="Q157" s="384" t="n"/>
      <c r="R157" s="384" t="n"/>
      <c r="S157" s="384" t="n"/>
      <c r="T157" s="384" t="n"/>
      <c r="U157" s="384" t="n"/>
      <c r="V157" s="384" t="n"/>
      <c r="W157" s="384" t="n"/>
      <c r="X157" s="645">
        <f>IF(_epmOfflineCondition_,"I_E100102",EPMOlapMemberO("[C_INTERCO].[PARENTH1].[I_E100102]","","I_E100102","","000"))</f>
        <v/>
      </c>
      <c r="Y157" s="870">
        <f>IF(_epmOfflineCondition_,"北京京能招标集采中心有限责任公司",EPMMemberDesc(X157))</f>
        <v/>
      </c>
      <c r="Z157" s="1302" t="n"/>
      <c r="AA157" s="1302" t="n"/>
      <c r="AB157" s="858" t="n"/>
      <c r="AC157" s="1302" t="n"/>
      <c r="AD157" s="1302" t="n"/>
      <c r="AE157" s="1302" t="inlineStr"/>
      <c r="AF157" s="1302" t="inlineStr"/>
      <c r="AG157" s="1302" t="inlineStr"/>
      <c r="AH157" s="1302" t="n"/>
      <c r="AI157" s="1302" t="n"/>
      <c r="AJ157" s="1302" t="n"/>
      <c r="AK157" s="1302">
        <f>AI157-AJ157</f>
        <v/>
      </c>
      <c r="AL157" s="858" t="n"/>
      <c r="AM157" s="1297" t="inlineStr"/>
      <c r="AN157" s="1298" t="n"/>
      <c r="AO157" s="13">
        <f>IF(_epmOfflineCondition_,0,EPMSaveDataOnly(AB157,,AB$29,AB$25,AB$26,AB$31,AB$32,$AA$37,AO$14,AO$15,AO$16,AO$17,AO$18,X157))</f>
        <v/>
      </c>
      <c r="AP157" s="13">
        <f>IF(_epmOfflineCondition_,0,EPMSaveDataOnly(AL157,,AL$29,AL$25,AL$26,AL$31,AL$32,$AA$37,AP$14,AP$15,AP$16,AP$17,AP$18,$X157))</f>
        <v/>
      </c>
      <c r="AQ157" s="13">
        <f>IF(_epmOfflineCondition_,0,EPMSaveData(AM157,,AM$29,AM$25,AM$26,$C$6,AM$32,$AA$37,AQ$14,AQ$15,AQ$16,AQ$17,AQ$18,$X157))</f>
        <v/>
      </c>
      <c r="AR157" s="13">
        <f>IF(_epmOfflineCondition_,0,EPMSaveDataOnly(AN157,,AN$29,AN$25,AN$26,AN$31,AN$32,$AA$37,AR$14,AR$15,AR$16,AR$17,AR$18,$X157))</f>
        <v/>
      </c>
      <c r="AS157" s="384" t="n"/>
    </row>
    <row r="158" hidden="1" ht="15.75" customHeight="1" s="1181">
      <c r="A158" s="384" t="n"/>
      <c r="B158" s="384" t="n"/>
      <c r="C158" s="384" t="n"/>
      <c r="D158" s="384" t="n"/>
      <c r="E158" s="384" t="n"/>
      <c r="F158" s="384" t="n"/>
      <c r="G158" s="384" t="n"/>
      <c r="H158" s="384" t="n"/>
      <c r="I158" s="384" t="n"/>
      <c r="J158" s="384" t="n"/>
      <c r="K158" s="384" t="n"/>
      <c r="L158" s="384" t="n"/>
      <c r="M158" s="384" t="n"/>
      <c r="N158" s="384" t="n"/>
      <c r="O158" s="384" t="n"/>
      <c r="P158" s="384" t="n"/>
      <c r="Q158" s="384" t="n"/>
      <c r="R158" s="384" t="n"/>
      <c r="S158" s="384" t="n"/>
      <c r="T158" s="384" t="n"/>
      <c r="U158" s="384" t="n"/>
      <c r="V158" s="384" t="n"/>
      <c r="W158" s="384" t="n"/>
      <c r="X158" s="645">
        <f>IF(_epmOfflineCondition_,"I_E100103",EPMOlapMemberO("[C_INTERCO].[PARENTH1].[I_E100103]","","I_E100103","","000"))</f>
        <v/>
      </c>
      <c r="Y158" s="870">
        <f>IF(_epmOfflineCondition_,"北京能源集团有限责任公司商务中心区国际大厦管理分公司",EPMMemberDesc(X158))</f>
        <v/>
      </c>
      <c r="Z158" s="1302" t="n"/>
      <c r="AA158" s="1302" t="n"/>
      <c r="AB158" s="858" t="n"/>
      <c r="AC158" s="1302" t="n"/>
      <c r="AD158" s="1302" t="n"/>
      <c r="AE158" s="1302" t="inlineStr"/>
      <c r="AF158" s="1302" t="inlineStr"/>
      <c r="AG158" s="1302" t="inlineStr"/>
      <c r="AH158" s="1302" t="n"/>
      <c r="AI158" s="1302" t="n"/>
      <c r="AJ158" s="1302" t="n"/>
      <c r="AK158" s="1302">
        <f>AI158-AJ158</f>
        <v/>
      </c>
      <c r="AL158" s="858" t="n"/>
      <c r="AM158" s="1297" t="inlineStr"/>
      <c r="AN158" s="1298" t="n"/>
      <c r="AO158" s="13">
        <f>IF(_epmOfflineCondition_,0,EPMSaveDataOnly(AB158,,AB$29,AB$25,AB$26,AB$31,AB$32,$AA$37,AO$14,AO$15,AO$16,AO$17,AO$18,X158))</f>
        <v/>
      </c>
      <c r="AP158" s="13">
        <f>IF(_epmOfflineCondition_,0,EPMSaveDataOnly(AL158,,AL$29,AL$25,AL$26,AL$31,AL$32,$AA$37,AP$14,AP$15,AP$16,AP$17,AP$18,$X158))</f>
        <v/>
      </c>
      <c r="AQ158" s="13">
        <f>IF(_epmOfflineCondition_,0,EPMSaveData(AM158,,AM$29,AM$25,AM$26,$C$6,AM$32,$AA$37,AQ$14,AQ$15,AQ$16,AQ$17,AQ$18,$X158))</f>
        <v/>
      </c>
      <c r="AR158" s="13">
        <f>IF(_epmOfflineCondition_,0,EPMSaveDataOnly(AN158,,AN$29,AN$25,AN$26,AN$31,AN$32,$AA$37,AR$14,AR$15,AR$16,AR$17,AR$18,$X158))</f>
        <v/>
      </c>
      <c r="AS158" s="384" t="n"/>
    </row>
    <row r="159" hidden="1" ht="15.75" customHeight="1" s="1181">
      <c r="A159" s="384" t="n"/>
      <c r="B159" s="384" t="n"/>
      <c r="C159" s="384" t="n"/>
      <c r="D159" s="384" t="n"/>
      <c r="E159" s="384" t="n"/>
      <c r="F159" s="384" t="n"/>
      <c r="G159" s="384" t="n"/>
      <c r="H159" s="384" t="n"/>
      <c r="I159" s="384" t="n"/>
      <c r="J159" s="384" t="n"/>
      <c r="K159" s="384" t="n"/>
      <c r="L159" s="384" t="n"/>
      <c r="M159" s="384" t="n"/>
      <c r="N159" s="384" t="n"/>
      <c r="O159" s="384" t="n"/>
      <c r="P159" s="384" t="n"/>
      <c r="Q159" s="384" t="n"/>
      <c r="R159" s="384" t="n"/>
      <c r="S159" s="384" t="n"/>
      <c r="T159" s="384" t="n"/>
      <c r="U159" s="384" t="n"/>
      <c r="V159" s="384" t="n"/>
      <c r="W159" s="384" t="n"/>
      <c r="X159" s="645">
        <f>IF(_epmOfflineCondition_,"I_E100104",EPMOlapMemberO("[C_INTERCO].[PARENTH1].[I_E100104]","","I_E100104","","000"))</f>
        <v/>
      </c>
      <c r="Y159" s="870">
        <f>IF(_epmOfflineCondition_,"京能集团财务有限公司",EPMMemberDesc(X159))</f>
        <v/>
      </c>
      <c r="Z159" s="1302" t="n"/>
      <c r="AA159" s="1302" t="n"/>
      <c r="AB159" s="858" t="n"/>
      <c r="AC159" s="1302" t="n"/>
      <c r="AD159" s="1302" t="n"/>
      <c r="AE159" s="1302" t="inlineStr"/>
      <c r="AF159" s="1302" t="inlineStr"/>
      <c r="AG159" s="1302" t="inlineStr"/>
      <c r="AH159" s="1302" t="n"/>
      <c r="AI159" s="1302" t="n"/>
      <c r="AJ159" s="1302" t="n"/>
      <c r="AK159" s="1302">
        <f>AI159-AJ159</f>
        <v/>
      </c>
      <c r="AL159" s="858" t="n"/>
      <c r="AM159" s="1297" t="inlineStr"/>
      <c r="AN159" s="1298" t="n"/>
      <c r="AO159" s="13">
        <f>IF(_epmOfflineCondition_,0,EPMSaveDataOnly(AB159,,AB$29,AB$25,AB$26,AB$31,AB$32,$AA$37,AO$14,AO$15,AO$16,AO$17,AO$18,X159))</f>
        <v/>
      </c>
      <c r="AP159" s="13">
        <f>IF(_epmOfflineCondition_,0,EPMSaveDataOnly(AL159,,AL$29,AL$25,AL$26,AL$31,AL$32,$AA$37,AP$14,AP$15,AP$16,AP$17,AP$18,$X159))</f>
        <v/>
      </c>
      <c r="AQ159" s="13">
        <f>IF(_epmOfflineCondition_,0,EPMSaveData(AM159,,AM$29,AM$25,AM$26,$C$6,AM$32,$AA$37,AQ$14,AQ$15,AQ$16,AQ$17,AQ$18,$X159))</f>
        <v/>
      </c>
      <c r="AR159" s="13">
        <f>IF(_epmOfflineCondition_,0,EPMSaveDataOnly(AN159,,AN$29,AN$25,AN$26,AN$31,AN$32,$AA$37,AR$14,AR$15,AR$16,AR$17,AR$18,$X159))</f>
        <v/>
      </c>
      <c r="AS159" s="384" t="n"/>
    </row>
    <row r="160" hidden="1" ht="15.75" customHeight="1" s="1181">
      <c r="A160" s="384" t="n"/>
      <c r="B160" s="384" t="n"/>
      <c r="C160" s="384" t="n"/>
      <c r="D160" s="384" t="n"/>
      <c r="E160" s="384" t="n"/>
      <c r="F160" s="384" t="n"/>
      <c r="G160" s="384" t="n"/>
      <c r="H160" s="384" t="n"/>
      <c r="I160" s="384" t="n"/>
      <c r="J160" s="384" t="n"/>
      <c r="K160" s="384" t="n"/>
      <c r="L160" s="384" t="n"/>
      <c r="M160" s="384" t="n"/>
      <c r="N160" s="384" t="n"/>
      <c r="O160" s="384" t="n"/>
      <c r="P160" s="384" t="n"/>
      <c r="Q160" s="384" t="n"/>
      <c r="R160" s="384" t="n"/>
      <c r="S160" s="384" t="n"/>
      <c r="T160" s="384" t="n"/>
      <c r="U160" s="384" t="n"/>
      <c r="V160" s="384" t="n"/>
      <c r="W160" s="384" t="n"/>
      <c r="X160" s="645">
        <f>IF(_epmOfflineCondition_,"I_E100106",EPMOlapMemberO("[C_INTERCO].[PARENTH1].[I_E100106]","","I_E100106","","000"))</f>
        <v/>
      </c>
      <c r="Y160" s="870">
        <f>IF(_epmOfflineCondition_,"北京京能融资租赁有限公司",EPMMemberDesc(X160))</f>
        <v/>
      </c>
      <c r="Z160" s="1302" t="n"/>
      <c r="AA160" s="1302" t="n"/>
      <c r="AB160" s="858" t="n"/>
      <c r="AC160" s="1302" t="n"/>
      <c r="AD160" s="1302" t="n"/>
      <c r="AE160" s="1302" t="inlineStr"/>
      <c r="AF160" s="1302" t="inlineStr"/>
      <c r="AG160" s="1302" t="inlineStr"/>
      <c r="AH160" s="1302" t="n"/>
      <c r="AI160" s="1302" t="n"/>
      <c r="AJ160" s="1302" t="n"/>
      <c r="AK160" s="1302">
        <f>AI160-AJ160</f>
        <v/>
      </c>
      <c r="AL160" s="858" t="n"/>
      <c r="AM160" s="1297" t="inlineStr"/>
      <c r="AN160" s="1298" t="n"/>
      <c r="AO160" s="13">
        <f>IF(_epmOfflineCondition_,0,EPMSaveDataOnly(AB160,,AB$29,AB$25,AB$26,AB$31,AB$32,$AA$37,AO$14,AO$15,AO$16,AO$17,AO$18,X160))</f>
        <v/>
      </c>
      <c r="AP160" s="13">
        <f>IF(_epmOfflineCondition_,0,EPMSaveDataOnly(AL160,,AL$29,AL$25,AL$26,AL$31,AL$32,$AA$37,AP$14,AP$15,AP$16,AP$17,AP$18,$X160))</f>
        <v/>
      </c>
      <c r="AQ160" s="13">
        <f>IF(_epmOfflineCondition_,0,EPMSaveData(AM160,,AM$29,AM$25,AM$26,$C$6,AM$32,$AA$37,AQ$14,AQ$15,AQ$16,AQ$17,AQ$18,$X160))</f>
        <v/>
      </c>
      <c r="AR160" s="13">
        <f>IF(_epmOfflineCondition_,0,EPMSaveDataOnly(AN160,,AN$29,AN$25,AN$26,AN$31,AN$32,$AA$37,AR$14,AR$15,AR$16,AR$17,AR$18,$X160))</f>
        <v/>
      </c>
      <c r="AS160" s="384" t="n"/>
    </row>
    <row r="161" hidden="1" ht="15.75" customHeight="1" s="1181">
      <c r="A161" s="384" t="n"/>
      <c r="B161" s="384" t="n"/>
      <c r="C161" s="384" t="n"/>
      <c r="D161" s="384" t="n"/>
      <c r="E161" s="384" t="n"/>
      <c r="F161" s="384" t="n"/>
      <c r="G161" s="384" t="n"/>
      <c r="H161" s="384" t="n"/>
      <c r="I161" s="384" t="n"/>
      <c r="J161" s="384" t="n"/>
      <c r="K161" s="384" t="n"/>
      <c r="L161" s="384" t="n"/>
      <c r="M161" s="384" t="n"/>
      <c r="N161" s="384" t="n"/>
      <c r="O161" s="384" t="n"/>
      <c r="P161" s="384" t="n"/>
      <c r="Q161" s="384" t="n"/>
      <c r="R161" s="384" t="n"/>
      <c r="S161" s="384" t="n"/>
      <c r="T161" s="384" t="n"/>
      <c r="U161" s="384" t="n"/>
      <c r="V161" s="384" t="n"/>
      <c r="W161" s="384" t="n"/>
      <c r="X161" s="645">
        <f>IF(_epmOfflineCondition_,"I_E100107",EPMOlapMemberO("[C_INTERCO].[PARENTH1].[I_E100107]","","I_E100107","","000"))</f>
        <v/>
      </c>
      <c r="Y161" s="870">
        <f>IF(_epmOfflineCondition_,"深圳京能融资租赁有限公司",EPMMemberDesc(X161))</f>
        <v/>
      </c>
      <c r="Z161" s="1302" t="n"/>
      <c r="AA161" s="1302" t="n"/>
      <c r="AB161" s="858" t="n"/>
      <c r="AC161" s="1302" t="n"/>
      <c r="AD161" s="1302" t="n"/>
      <c r="AE161" s="1302" t="inlineStr"/>
      <c r="AF161" s="1302" t="inlineStr"/>
      <c r="AG161" s="1302" t="inlineStr"/>
      <c r="AH161" s="1302" t="n"/>
      <c r="AI161" s="1302" t="n"/>
      <c r="AJ161" s="1302" t="n"/>
      <c r="AK161" s="1302">
        <f>AI161-AJ161</f>
        <v/>
      </c>
      <c r="AL161" s="858" t="n"/>
      <c r="AM161" s="1297" t="inlineStr"/>
      <c r="AN161" s="1298" t="n"/>
      <c r="AO161" s="13">
        <f>IF(_epmOfflineCondition_,0,EPMSaveDataOnly(AB161,,AB$29,AB$25,AB$26,AB$31,AB$32,$AA$37,AO$14,AO$15,AO$16,AO$17,AO$18,X161))</f>
        <v/>
      </c>
      <c r="AP161" s="13">
        <f>IF(_epmOfflineCondition_,0,EPMSaveDataOnly(AL161,,AL$29,AL$25,AL$26,AL$31,AL$32,$AA$37,AP$14,AP$15,AP$16,AP$17,AP$18,$X161))</f>
        <v/>
      </c>
      <c r="AQ161" s="13">
        <f>IF(_epmOfflineCondition_,0,EPMSaveData(AM161,,AM$29,AM$25,AM$26,$C$6,AM$32,$AA$37,AQ$14,AQ$15,AQ$16,AQ$17,AQ$18,$X161))</f>
        <v/>
      </c>
      <c r="AR161" s="13">
        <f>IF(_epmOfflineCondition_,0,EPMSaveDataOnly(AN161,,AN$29,AN$25,AN$26,AN$31,AN$32,$AA$37,AR$14,AR$15,AR$16,AR$17,AR$18,$X161))</f>
        <v/>
      </c>
      <c r="AS161" s="384" t="n"/>
    </row>
    <row r="162" hidden="1" ht="15.75" customHeight="1" s="1181">
      <c r="A162" s="384" t="n"/>
      <c r="B162" s="384" t="n"/>
      <c r="C162" s="384" t="n"/>
      <c r="D162" s="384" t="n"/>
      <c r="E162" s="384" t="n"/>
      <c r="F162" s="384" t="n"/>
      <c r="G162" s="384" t="n"/>
      <c r="H162" s="384" t="n"/>
      <c r="I162" s="384" t="n"/>
      <c r="J162" s="384" t="n"/>
      <c r="K162" s="384" t="n"/>
      <c r="L162" s="384" t="n"/>
      <c r="M162" s="384" t="n"/>
      <c r="N162" s="384" t="n"/>
      <c r="O162" s="384" t="n"/>
      <c r="P162" s="384" t="n"/>
      <c r="Q162" s="384" t="n"/>
      <c r="R162" s="384" t="n"/>
      <c r="S162" s="384" t="n"/>
      <c r="T162" s="384" t="n"/>
      <c r="U162" s="384" t="n"/>
      <c r="V162" s="384" t="n"/>
      <c r="W162" s="384" t="n"/>
      <c r="X162" s="645">
        <f>IF(_epmOfflineCondition_,"I_E100108",EPMOlapMemberO("[C_INTERCO].[PARENTH1].[I_E100108]","","I_E100108","","000"))</f>
        <v/>
      </c>
      <c r="Y162" s="870">
        <f>IF(_epmOfflineCondition_,"京能服务管理有限公司",EPMMemberDesc(X162))</f>
        <v/>
      </c>
      <c r="Z162" s="1302" t="n"/>
      <c r="AA162" s="1302" t="n"/>
      <c r="AB162" s="858" t="n"/>
      <c r="AC162" s="1302" t="n"/>
      <c r="AD162" s="1302" t="n"/>
      <c r="AE162" s="1302" t="inlineStr"/>
      <c r="AF162" s="1302" t="inlineStr"/>
      <c r="AG162" s="1302" t="inlineStr"/>
      <c r="AH162" s="1302" t="n"/>
      <c r="AI162" s="1302" t="n"/>
      <c r="AJ162" s="1302" t="n"/>
      <c r="AK162" s="1302">
        <f>AI162-AJ162</f>
        <v/>
      </c>
      <c r="AL162" s="858" t="n"/>
      <c r="AM162" s="1297" t="inlineStr"/>
      <c r="AN162" s="1298" t="n"/>
      <c r="AO162" s="13">
        <f>IF(_epmOfflineCondition_,0,EPMSaveDataOnly(AB162,,AB$29,AB$25,AB$26,AB$31,AB$32,$AA$37,AO$14,AO$15,AO$16,AO$17,AO$18,X162))</f>
        <v/>
      </c>
      <c r="AP162" s="13">
        <f>IF(_epmOfflineCondition_,0,EPMSaveDataOnly(AL162,,AL$29,AL$25,AL$26,AL$31,AL$32,$AA$37,AP$14,AP$15,AP$16,AP$17,AP$18,$X162))</f>
        <v/>
      </c>
      <c r="AQ162" s="13">
        <f>IF(_epmOfflineCondition_,0,EPMSaveData(AM162,,AM$29,AM$25,AM$26,$C$6,AM$32,$AA$37,AQ$14,AQ$15,AQ$16,AQ$17,AQ$18,$X162))</f>
        <v/>
      </c>
      <c r="AR162" s="13">
        <f>IF(_epmOfflineCondition_,0,EPMSaveDataOnly(AN162,,AN$29,AN$25,AN$26,AN$31,AN$32,$AA$37,AR$14,AR$15,AR$16,AR$17,AR$18,$X162))</f>
        <v/>
      </c>
      <c r="AS162" s="384" t="n"/>
    </row>
    <row r="163" hidden="1" ht="15.75" customHeight="1" s="1181">
      <c r="A163" s="384" t="n"/>
      <c r="B163" s="384" t="n"/>
      <c r="C163" s="384" t="n"/>
      <c r="D163" s="384" t="n"/>
      <c r="E163" s="384" t="n"/>
      <c r="F163" s="384" t="n"/>
      <c r="G163" s="384" t="n"/>
      <c r="H163" s="384" t="n"/>
      <c r="I163" s="384" t="n"/>
      <c r="J163" s="384" t="n"/>
      <c r="K163" s="384" t="n"/>
      <c r="L163" s="384" t="n"/>
      <c r="M163" s="384" t="n"/>
      <c r="N163" s="384" t="n"/>
      <c r="O163" s="384" t="n"/>
      <c r="P163" s="384" t="n"/>
      <c r="Q163" s="384" t="n"/>
      <c r="R163" s="384" t="n"/>
      <c r="S163" s="384" t="n"/>
      <c r="T163" s="384" t="n"/>
      <c r="U163" s="384" t="n"/>
      <c r="V163" s="384" t="n"/>
      <c r="W163" s="384" t="n"/>
      <c r="X163" s="645">
        <f>IF(_epmOfflineCondition_,"I_E100109",EPMOlapMemberO("[C_INTERCO].[PARENTH1].[I_E100109]","","I_E100109","","000"))</f>
        <v/>
      </c>
      <c r="Y163" s="870">
        <f>IF(_epmOfflineCondition_,"京能电力后勤服务有限公司-2024年5月注销",EPMMemberDesc(X163))</f>
        <v/>
      </c>
      <c r="Z163" s="1302" t="n"/>
      <c r="AA163" s="1302" t="n"/>
      <c r="AB163" s="858" t="n"/>
      <c r="AC163" s="1302" t="n"/>
      <c r="AD163" s="1302" t="n"/>
      <c r="AE163" s="1302" t="inlineStr"/>
      <c r="AF163" s="1302" t="inlineStr"/>
      <c r="AG163" s="1302" t="inlineStr"/>
      <c r="AH163" s="1302" t="n"/>
      <c r="AI163" s="1302" t="n"/>
      <c r="AJ163" s="1302" t="n"/>
      <c r="AK163" s="1302">
        <f>AI163-AJ163</f>
        <v/>
      </c>
      <c r="AL163" s="858" t="n"/>
      <c r="AM163" s="1297" t="inlineStr"/>
      <c r="AN163" s="1298" t="n"/>
      <c r="AO163" s="13">
        <f>IF(_epmOfflineCondition_,0,EPMSaveDataOnly(AB163,,AB$29,AB$25,AB$26,AB$31,AB$32,$AA$37,AO$14,AO$15,AO$16,AO$17,AO$18,X163))</f>
        <v/>
      </c>
      <c r="AP163" s="13">
        <f>IF(_epmOfflineCondition_,0,EPMSaveDataOnly(AL163,,AL$29,AL$25,AL$26,AL$31,AL$32,$AA$37,AP$14,AP$15,AP$16,AP$17,AP$18,$X163))</f>
        <v/>
      </c>
      <c r="AQ163" s="13">
        <f>IF(_epmOfflineCondition_,0,EPMSaveData(AM163,,AM$29,AM$25,AM$26,$C$6,AM$32,$AA$37,AQ$14,AQ$15,AQ$16,AQ$17,AQ$18,$X163))</f>
        <v/>
      </c>
      <c r="AR163" s="13">
        <f>IF(_epmOfflineCondition_,0,EPMSaveDataOnly(AN163,,AN$29,AN$25,AN$26,AN$31,AN$32,$AA$37,AR$14,AR$15,AR$16,AR$17,AR$18,$X163))</f>
        <v/>
      </c>
      <c r="AS163" s="384" t="n"/>
    </row>
    <row r="164" hidden="1" ht="15.75" customHeight="1" s="1181">
      <c r="A164" s="384" t="n"/>
      <c r="B164" s="384" t="n"/>
      <c r="C164" s="384" t="n"/>
      <c r="D164" s="384" t="n"/>
      <c r="E164" s="384" t="n"/>
      <c r="F164" s="384" t="n"/>
      <c r="G164" s="384" t="n"/>
      <c r="H164" s="384" t="n"/>
      <c r="I164" s="384" t="n"/>
      <c r="J164" s="384" t="n"/>
      <c r="K164" s="384" t="n"/>
      <c r="L164" s="384" t="n"/>
      <c r="M164" s="384" t="n"/>
      <c r="N164" s="384" t="n"/>
      <c r="O164" s="384" t="n"/>
      <c r="P164" s="384" t="n"/>
      <c r="Q164" s="384" t="n"/>
      <c r="R164" s="384" t="n"/>
      <c r="S164" s="384" t="n"/>
      <c r="T164" s="384" t="n"/>
      <c r="U164" s="384" t="n"/>
      <c r="V164" s="384" t="n"/>
      <c r="W164" s="384" t="n"/>
      <c r="X164" s="645">
        <f>IF(_epmOfflineCondition_,"I_E100118",EPMOlapMemberO("[C_INTERCO].[PARENTH1].[I_E100118]","","I_E100118","","000"))</f>
        <v/>
      </c>
      <c r="Y164" s="870">
        <f>IF(_epmOfflineCondition_,"京能服务管理有限公司北京餐饮分公司",EPMMemberDesc(X164))</f>
        <v/>
      </c>
      <c r="Z164" s="1302" t="n"/>
      <c r="AA164" s="1302" t="n"/>
      <c r="AB164" s="858" t="n"/>
      <c r="AC164" s="1302" t="n"/>
      <c r="AD164" s="1302" t="n"/>
      <c r="AE164" s="1302" t="inlineStr"/>
      <c r="AF164" s="1302" t="inlineStr"/>
      <c r="AG164" s="1302" t="inlineStr"/>
      <c r="AH164" s="1302" t="n"/>
      <c r="AI164" s="1302" t="n"/>
      <c r="AJ164" s="1302" t="n"/>
      <c r="AK164" s="1302">
        <f>AI164-AJ164</f>
        <v/>
      </c>
      <c r="AL164" s="858" t="n"/>
      <c r="AM164" s="1297" t="inlineStr"/>
      <c r="AN164" s="1298" t="n"/>
      <c r="AO164" s="13">
        <f>IF(_epmOfflineCondition_,0,EPMSaveDataOnly(AB164,,AB$29,AB$25,AB$26,AB$31,AB$32,$AA$37,AO$14,AO$15,AO$16,AO$17,AO$18,X164))</f>
        <v/>
      </c>
      <c r="AP164" s="13">
        <f>IF(_epmOfflineCondition_,0,EPMSaveDataOnly(AL164,,AL$29,AL$25,AL$26,AL$31,AL$32,$AA$37,AP$14,AP$15,AP$16,AP$17,AP$18,$X164))</f>
        <v/>
      </c>
      <c r="AQ164" s="13">
        <f>IF(_epmOfflineCondition_,0,EPMSaveData(AM164,,AM$29,AM$25,AM$26,$C$6,AM$32,$AA$37,AQ$14,AQ$15,AQ$16,AQ$17,AQ$18,$X164))</f>
        <v/>
      </c>
      <c r="AR164" s="13">
        <f>IF(_epmOfflineCondition_,0,EPMSaveDataOnly(AN164,,AN$29,AN$25,AN$26,AN$31,AN$32,$AA$37,AR$14,AR$15,AR$16,AR$17,AR$18,$X164))</f>
        <v/>
      </c>
      <c r="AS164" s="384" t="n"/>
    </row>
    <row r="165" hidden="1" ht="15.75" customHeight="1" s="1181">
      <c r="A165" s="384" t="n"/>
      <c r="B165" s="384" t="n"/>
      <c r="C165" s="384" t="n"/>
      <c r="D165" s="384" t="n"/>
      <c r="E165" s="384" t="n"/>
      <c r="F165" s="384" t="n"/>
      <c r="G165" s="384" t="n"/>
      <c r="H165" s="384" t="n"/>
      <c r="I165" s="384" t="n"/>
      <c r="J165" s="384" t="n"/>
      <c r="K165" s="384" t="n"/>
      <c r="L165" s="384" t="n"/>
      <c r="M165" s="384" t="n"/>
      <c r="N165" s="384" t="n"/>
      <c r="O165" s="384" t="n"/>
      <c r="P165" s="384" t="n"/>
      <c r="Q165" s="384" t="n"/>
      <c r="R165" s="384" t="n"/>
      <c r="S165" s="384" t="n"/>
      <c r="T165" s="384" t="n"/>
      <c r="U165" s="384" t="n"/>
      <c r="V165" s="384" t="n"/>
      <c r="W165" s="384" t="n"/>
      <c r="X165" s="645">
        <f>IF(_epmOfflineCondition_,"I_E100128",EPMOlapMemberO("[C_INTERCO].[PARENTH1].[I_E100128]","","I_E100128","","000"))</f>
        <v/>
      </c>
      <c r="Y165" s="870">
        <f>IF(_epmOfflineCondition_,"京能电力科技环保有限公司-2024年12月注销",EPMMemberDesc(X165))</f>
        <v/>
      </c>
      <c r="Z165" s="1302" t="n"/>
      <c r="AA165" s="1302" t="n"/>
      <c r="AB165" s="858" t="n"/>
      <c r="AC165" s="1302" t="n"/>
      <c r="AD165" s="1302" t="n"/>
      <c r="AE165" s="1302" t="inlineStr"/>
      <c r="AF165" s="1302" t="inlineStr"/>
      <c r="AG165" s="1302" t="inlineStr"/>
      <c r="AH165" s="1302" t="n"/>
      <c r="AI165" s="1302" t="n"/>
      <c r="AJ165" s="1302" t="n"/>
      <c r="AK165" s="1302">
        <f>AI165-AJ165</f>
        <v/>
      </c>
      <c r="AL165" s="858" t="n"/>
      <c r="AM165" s="1297" t="inlineStr"/>
      <c r="AN165" s="1298" t="n"/>
      <c r="AO165" s="13">
        <f>IF(_epmOfflineCondition_,0,EPMSaveDataOnly(AB165,,AB$29,AB$25,AB$26,AB$31,AB$32,$AA$37,AO$14,AO$15,AO$16,AO$17,AO$18,X165))</f>
        <v/>
      </c>
      <c r="AP165" s="13">
        <f>IF(_epmOfflineCondition_,0,EPMSaveDataOnly(AL165,,AL$29,AL$25,AL$26,AL$31,AL$32,$AA$37,AP$14,AP$15,AP$16,AP$17,AP$18,$X165))</f>
        <v/>
      </c>
      <c r="AQ165" s="13">
        <f>IF(_epmOfflineCondition_,0,EPMSaveData(AM165,,AM$29,AM$25,AM$26,$C$6,AM$32,$AA$37,AQ$14,AQ$15,AQ$16,AQ$17,AQ$18,$X165))</f>
        <v/>
      </c>
      <c r="AR165" s="13">
        <f>IF(_epmOfflineCondition_,0,EPMSaveDataOnly(AN165,,AN$29,AN$25,AN$26,AN$31,AN$32,$AA$37,AR$14,AR$15,AR$16,AR$17,AR$18,$X165))</f>
        <v/>
      </c>
      <c r="AS165" s="384" t="n"/>
    </row>
    <row r="166" hidden="1" ht="15.75" customHeight="1" s="1181">
      <c r="A166" s="384" t="n"/>
      <c r="B166" s="384" t="n"/>
      <c r="C166" s="384" t="n"/>
      <c r="D166" s="384" t="n"/>
      <c r="E166" s="384" t="n"/>
      <c r="F166" s="384" t="n"/>
      <c r="G166" s="384" t="n"/>
      <c r="H166" s="384" t="n"/>
      <c r="I166" s="384" t="n"/>
      <c r="J166" s="384" t="n"/>
      <c r="K166" s="384" t="n"/>
      <c r="L166" s="384" t="n"/>
      <c r="M166" s="384" t="n"/>
      <c r="N166" s="384" t="n"/>
      <c r="O166" s="384" t="n"/>
      <c r="P166" s="384" t="n"/>
      <c r="Q166" s="384" t="n"/>
      <c r="R166" s="384" t="n"/>
      <c r="S166" s="384" t="n"/>
      <c r="T166" s="384" t="n"/>
      <c r="U166" s="384" t="n"/>
      <c r="V166" s="384" t="n"/>
      <c r="W166" s="384" t="n"/>
      <c r="X166" s="645">
        <f>IF(_epmOfflineCondition_,"I_E100130",EPMOlapMemberO("[C_INTERCO].[PARENTH1].[I_E100130]","","I_E100130","","000"))</f>
        <v/>
      </c>
      <c r="Y166" s="870">
        <f>IF(_epmOfflineCondition_,"内蒙古岱海旅游学校-2024年12月注销",EPMMemberDesc(X166))</f>
        <v/>
      </c>
      <c r="Z166" s="1302" t="n"/>
      <c r="AA166" s="1302" t="n"/>
      <c r="AB166" s="858" t="n"/>
      <c r="AC166" s="1302" t="n"/>
      <c r="AD166" s="1302" t="n"/>
      <c r="AE166" s="1302" t="inlineStr"/>
      <c r="AF166" s="1302" t="inlineStr"/>
      <c r="AG166" s="1302" t="inlineStr"/>
      <c r="AH166" s="1302" t="n"/>
      <c r="AI166" s="1302" t="n"/>
      <c r="AJ166" s="1302" t="n"/>
      <c r="AK166" s="1302">
        <f>AI166-AJ166</f>
        <v/>
      </c>
      <c r="AL166" s="858" t="n"/>
      <c r="AM166" s="1297" t="inlineStr"/>
      <c r="AN166" s="1298" t="n"/>
      <c r="AO166" s="13">
        <f>IF(_epmOfflineCondition_,0,EPMSaveDataOnly(AB166,,AB$29,AB$25,AB$26,AB$31,AB$32,$AA$37,AO$14,AO$15,AO$16,AO$17,AO$18,X166))</f>
        <v/>
      </c>
      <c r="AP166" s="13">
        <f>IF(_epmOfflineCondition_,0,EPMSaveDataOnly(AL166,,AL$29,AL$25,AL$26,AL$31,AL$32,$AA$37,AP$14,AP$15,AP$16,AP$17,AP$18,$X166))</f>
        <v/>
      </c>
      <c r="AQ166" s="13">
        <f>IF(_epmOfflineCondition_,0,EPMSaveData(AM166,,AM$29,AM$25,AM$26,$C$6,AM$32,$AA$37,AQ$14,AQ$15,AQ$16,AQ$17,AQ$18,$X166))</f>
        <v/>
      </c>
      <c r="AR166" s="13">
        <f>IF(_epmOfflineCondition_,0,EPMSaveDataOnly(AN166,,AN$29,AN$25,AN$26,AN$31,AN$32,$AA$37,AR$14,AR$15,AR$16,AR$17,AR$18,$X166))</f>
        <v/>
      </c>
      <c r="AS166" s="384" t="n"/>
    </row>
    <row r="167" hidden="1" ht="15.75" customHeight="1" s="1181">
      <c r="A167" s="384" t="n"/>
      <c r="B167" s="384" t="n"/>
      <c r="C167" s="384" t="n"/>
      <c r="D167" s="384" t="n"/>
      <c r="E167" s="384" t="n"/>
      <c r="F167" s="384" t="n"/>
      <c r="G167" s="384" t="n"/>
      <c r="H167" s="384" t="n"/>
      <c r="I167" s="384" t="n"/>
      <c r="J167" s="384" t="n"/>
      <c r="K167" s="384" t="n"/>
      <c r="L167" s="384" t="n"/>
      <c r="M167" s="384" t="n"/>
      <c r="N167" s="384" t="n"/>
      <c r="O167" s="384" t="n"/>
      <c r="P167" s="384" t="n"/>
      <c r="Q167" s="384" t="n"/>
      <c r="R167" s="384" t="n"/>
      <c r="S167" s="384" t="n"/>
      <c r="T167" s="384" t="n"/>
      <c r="U167" s="384" t="n"/>
      <c r="V167" s="384" t="n"/>
      <c r="W167" s="384" t="n"/>
      <c r="X167" s="645">
        <f>IF(_epmOfflineCondition_,"I_E100131",EPMOlapMemberO("[C_INTERCO].[PARENTH1].[I_E100131]","","I_E100131","","000"))</f>
        <v/>
      </c>
      <c r="Y167" s="870">
        <f>IF(_epmOfflineCondition_,"内蒙古岱电房地产开发有限公司",EPMMemberDesc(X167))</f>
        <v/>
      </c>
      <c r="Z167" s="1302" t="n"/>
      <c r="AA167" s="1302" t="n"/>
      <c r="AB167" s="858" t="n"/>
      <c r="AC167" s="1302" t="n"/>
      <c r="AD167" s="1302" t="n"/>
      <c r="AE167" s="1302" t="inlineStr"/>
      <c r="AF167" s="1302" t="inlineStr"/>
      <c r="AG167" s="1302" t="inlineStr"/>
      <c r="AH167" s="1302" t="n"/>
      <c r="AI167" s="1302" t="n"/>
      <c r="AJ167" s="1302" t="n"/>
      <c r="AK167" s="1302">
        <f>AI167-AJ167</f>
        <v/>
      </c>
      <c r="AL167" s="858" t="n"/>
      <c r="AM167" s="1297" t="inlineStr"/>
      <c r="AN167" s="1298" t="n"/>
      <c r="AO167" s="13">
        <f>IF(_epmOfflineCondition_,0,EPMSaveDataOnly(AB167,,AB$29,AB$25,AB$26,AB$31,AB$32,$AA$37,AO$14,AO$15,AO$16,AO$17,AO$18,X167))</f>
        <v/>
      </c>
      <c r="AP167" s="13">
        <f>IF(_epmOfflineCondition_,0,EPMSaveDataOnly(AL167,,AL$29,AL$25,AL$26,AL$31,AL$32,$AA$37,AP$14,AP$15,AP$16,AP$17,AP$18,$X167))</f>
        <v/>
      </c>
      <c r="AQ167" s="13">
        <f>IF(_epmOfflineCondition_,0,EPMSaveData(AM167,,AM$29,AM$25,AM$26,$C$6,AM$32,$AA$37,AQ$14,AQ$15,AQ$16,AQ$17,AQ$18,$X167))</f>
        <v/>
      </c>
      <c r="AR167" s="13">
        <f>IF(_epmOfflineCondition_,0,EPMSaveDataOnly(AN167,,AN$29,AN$25,AN$26,AN$31,AN$32,$AA$37,AR$14,AR$15,AR$16,AR$17,AR$18,$X167))</f>
        <v/>
      </c>
      <c r="AS167" s="384" t="n"/>
    </row>
    <row r="168" hidden="1" ht="15.75" customHeight="1" s="1181">
      <c r="A168" s="384" t="n"/>
      <c r="B168" s="384" t="n"/>
      <c r="C168" s="384" t="n"/>
      <c r="D168" s="384" t="n"/>
      <c r="E168" s="384" t="n"/>
      <c r="F168" s="384" t="n"/>
      <c r="G168" s="384" t="n"/>
      <c r="H168" s="384" t="n"/>
      <c r="I168" s="384" t="n"/>
      <c r="J168" s="384" t="n"/>
      <c r="K168" s="384" t="n"/>
      <c r="L168" s="384" t="n"/>
      <c r="M168" s="384" t="n"/>
      <c r="N168" s="384" t="n"/>
      <c r="O168" s="384" t="n"/>
      <c r="P168" s="384" t="n"/>
      <c r="Q168" s="384" t="n"/>
      <c r="R168" s="384" t="n"/>
      <c r="S168" s="384" t="n"/>
      <c r="T168" s="384" t="n"/>
      <c r="U168" s="384" t="n"/>
      <c r="V168" s="384" t="n"/>
      <c r="W168" s="384" t="n"/>
      <c r="X168" s="645">
        <f>IF(_epmOfflineCondition_,"I_E100135",EPMOlapMemberO("[C_INTERCO].[PARENTH1].[I_E100135]","","I_E100135","","000"))</f>
        <v/>
      </c>
      <c r="Y168" s="870">
        <f>IF(_epmOfflineCondition_,"京能电力涿州科技环保有限公司",EPMMemberDesc(X168))</f>
        <v/>
      </c>
      <c r="Z168" s="1302" t="n"/>
      <c r="AA168" s="1302" t="n"/>
      <c r="AB168" s="858" t="n"/>
      <c r="AC168" s="1302" t="n"/>
      <c r="AD168" s="1302" t="n"/>
      <c r="AE168" s="1302" t="inlineStr"/>
      <c r="AF168" s="1302" t="inlineStr"/>
      <c r="AG168" s="1302" t="inlineStr"/>
      <c r="AH168" s="1302" t="n"/>
      <c r="AI168" s="1302" t="n"/>
      <c r="AJ168" s="1302" t="n"/>
      <c r="AK168" s="1302">
        <f>AI168-AJ168</f>
        <v/>
      </c>
      <c r="AL168" s="858" t="n"/>
      <c r="AM168" s="1297" t="inlineStr"/>
      <c r="AN168" s="1298" t="n"/>
      <c r="AO168" s="13">
        <f>IF(_epmOfflineCondition_,0,EPMSaveDataOnly(AB168,,AB$29,AB$25,AB$26,AB$31,AB$32,$AA$37,AO$14,AO$15,AO$16,AO$17,AO$18,X168))</f>
        <v/>
      </c>
      <c r="AP168" s="13">
        <f>IF(_epmOfflineCondition_,0,EPMSaveDataOnly(AL168,,AL$29,AL$25,AL$26,AL$31,AL$32,$AA$37,AP$14,AP$15,AP$16,AP$17,AP$18,$X168))</f>
        <v/>
      </c>
      <c r="AQ168" s="13">
        <f>IF(_epmOfflineCondition_,0,EPMSaveData(AM168,,AM$29,AM$25,AM$26,$C$6,AM$32,$AA$37,AQ$14,AQ$15,AQ$16,AQ$17,AQ$18,$X168))</f>
        <v/>
      </c>
      <c r="AR168" s="13">
        <f>IF(_epmOfflineCondition_,0,EPMSaveDataOnly(AN168,,AN$29,AN$25,AN$26,AN$31,AN$32,$AA$37,AR$14,AR$15,AR$16,AR$17,AR$18,$X168))</f>
        <v/>
      </c>
      <c r="AS168" s="384" t="n"/>
    </row>
    <row r="169" hidden="1" ht="15.75" customHeight="1" s="1181">
      <c r="A169" s="384" t="n"/>
      <c r="B169" s="384" t="n"/>
      <c r="C169" s="384" t="n"/>
      <c r="D169" s="384" t="n"/>
      <c r="E169" s="384" t="n"/>
      <c r="F169" s="384" t="n"/>
      <c r="G169" s="384" t="n"/>
      <c r="H169" s="384" t="n"/>
      <c r="I169" s="384" t="n"/>
      <c r="J169" s="384" t="n"/>
      <c r="K169" s="384" t="n"/>
      <c r="L169" s="384" t="n"/>
      <c r="M169" s="384" t="n"/>
      <c r="N169" s="384" t="n"/>
      <c r="O169" s="384" t="n"/>
      <c r="P169" s="384" t="n"/>
      <c r="Q169" s="384" t="n"/>
      <c r="R169" s="384" t="n"/>
      <c r="S169" s="384" t="n"/>
      <c r="T169" s="384" t="n"/>
      <c r="U169" s="384" t="n"/>
      <c r="V169" s="384" t="n"/>
      <c r="W169" s="384" t="n"/>
      <c r="X169" s="645">
        <f>IF(_epmOfflineCondition_,"I_E100136",EPMOlapMemberO("[C_INTERCO].[PARENTH1].[I_E100136]","","I_E100136","","000"))</f>
        <v/>
      </c>
      <c r="Y169" s="870">
        <f>IF(_epmOfflineCondition_,"京能电力涿州科技环保有限公司北京分公司",EPMMemberDesc(X169))</f>
        <v/>
      </c>
      <c r="Z169" s="1302" t="n"/>
      <c r="AA169" s="1302" t="n"/>
      <c r="AB169" s="858" t="n"/>
      <c r="AC169" s="1302" t="n"/>
      <c r="AD169" s="1302" t="n"/>
      <c r="AE169" s="1302" t="inlineStr"/>
      <c r="AF169" s="1302" t="inlineStr"/>
      <c r="AG169" s="1302" t="inlineStr"/>
      <c r="AH169" s="1302" t="n"/>
      <c r="AI169" s="1302" t="n"/>
      <c r="AJ169" s="1302" t="n"/>
      <c r="AK169" s="1302">
        <f>AI169-AJ169</f>
        <v/>
      </c>
      <c r="AL169" s="858" t="n"/>
      <c r="AM169" s="1297" t="inlineStr"/>
      <c r="AN169" s="1298" t="n"/>
      <c r="AO169" s="13">
        <f>IF(_epmOfflineCondition_,0,EPMSaveDataOnly(AB169,,AB$29,AB$25,AB$26,AB$31,AB$32,$AA$37,AO$14,AO$15,AO$16,AO$17,AO$18,X169))</f>
        <v/>
      </c>
      <c r="AP169" s="13">
        <f>IF(_epmOfflineCondition_,0,EPMSaveDataOnly(AL169,,AL$29,AL$25,AL$26,AL$31,AL$32,$AA$37,AP$14,AP$15,AP$16,AP$17,AP$18,$X169))</f>
        <v/>
      </c>
      <c r="AQ169" s="13">
        <f>IF(_epmOfflineCondition_,0,EPMSaveData(AM169,,AM$29,AM$25,AM$26,$C$6,AM$32,$AA$37,AQ$14,AQ$15,AQ$16,AQ$17,AQ$18,$X169))</f>
        <v/>
      </c>
      <c r="AR169" s="13">
        <f>IF(_epmOfflineCondition_,0,EPMSaveDataOnly(AN169,,AN$29,AN$25,AN$26,AN$31,AN$32,$AA$37,AR$14,AR$15,AR$16,AR$17,AR$18,$X169))</f>
        <v/>
      </c>
      <c r="AS169" s="384" t="n"/>
    </row>
    <row r="170" hidden="1" ht="15.75" customHeight="1" s="1181">
      <c r="A170" s="384" t="n"/>
      <c r="B170" s="384" t="n"/>
      <c r="C170" s="384" t="n"/>
      <c r="D170" s="384" t="n"/>
      <c r="E170" s="384" t="n"/>
      <c r="F170" s="384" t="n"/>
      <c r="G170" s="384" t="n"/>
      <c r="H170" s="384" t="n"/>
      <c r="I170" s="384" t="n"/>
      <c r="J170" s="384" t="n"/>
      <c r="K170" s="384" t="n"/>
      <c r="L170" s="384" t="n"/>
      <c r="M170" s="384" t="n"/>
      <c r="N170" s="384" t="n"/>
      <c r="O170" s="384" t="n"/>
      <c r="P170" s="384" t="n"/>
      <c r="Q170" s="384" t="n"/>
      <c r="R170" s="384" t="n"/>
      <c r="S170" s="384" t="n"/>
      <c r="T170" s="384" t="n"/>
      <c r="U170" s="384" t="n"/>
      <c r="V170" s="384" t="n"/>
      <c r="W170" s="384" t="n"/>
      <c r="X170" s="645">
        <f>IF(_epmOfflineCondition_,"I_E100138",EPMOlapMemberO("[C_INTERCO].[PARENTH1].[I_E100138]","","I_E100138","","000"))</f>
        <v/>
      </c>
      <c r="Y170" s="870">
        <f>IF(_epmOfflineCondition_,"京能服务管理有限公司察哈尔右翼中旗石灰石分公司",EPMMemberDesc(X170))</f>
        <v/>
      </c>
      <c r="Z170" s="1302" t="n"/>
      <c r="AA170" s="1302" t="n"/>
      <c r="AB170" s="858" t="n"/>
      <c r="AC170" s="1302" t="n"/>
      <c r="AD170" s="1302" t="n"/>
      <c r="AE170" s="1302" t="inlineStr"/>
      <c r="AF170" s="1302" t="inlineStr"/>
      <c r="AG170" s="1302" t="inlineStr"/>
      <c r="AH170" s="1302" t="n"/>
      <c r="AI170" s="1302" t="n"/>
      <c r="AJ170" s="1302" t="n"/>
      <c r="AK170" s="1302">
        <f>AI170-AJ170</f>
        <v/>
      </c>
      <c r="AL170" s="858" t="n"/>
      <c r="AM170" s="1297" t="inlineStr"/>
      <c r="AN170" s="1298" t="n"/>
      <c r="AO170" s="13">
        <f>IF(_epmOfflineCondition_,0,EPMSaveDataOnly(AB170,,AB$29,AB$25,AB$26,AB$31,AB$32,$AA$37,AO$14,AO$15,AO$16,AO$17,AO$18,X170))</f>
        <v/>
      </c>
      <c r="AP170" s="13">
        <f>IF(_epmOfflineCondition_,0,EPMSaveDataOnly(AL170,,AL$29,AL$25,AL$26,AL$31,AL$32,$AA$37,AP$14,AP$15,AP$16,AP$17,AP$18,$X170))</f>
        <v/>
      </c>
      <c r="AQ170" s="13">
        <f>IF(_epmOfflineCondition_,0,EPMSaveData(AM170,,AM$29,AM$25,AM$26,$C$6,AM$32,$AA$37,AQ$14,AQ$15,AQ$16,AQ$17,AQ$18,$X170))</f>
        <v/>
      </c>
      <c r="AR170" s="13">
        <f>IF(_epmOfflineCondition_,0,EPMSaveDataOnly(AN170,,AN$29,AN$25,AN$26,AN$31,AN$32,$AA$37,AR$14,AR$15,AR$16,AR$17,AR$18,$X170))</f>
        <v/>
      </c>
      <c r="AS170" s="384" t="n"/>
    </row>
    <row r="171" hidden="1" ht="15.75" customHeight="1" s="1181">
      <c r="A171" s="384" t="n"/>
      <c r="B171" s="384" t="n"/>
      <c r="C171" s="384" t="n"/>
      <c r="D171" s="384" t="n"/>
      <c r="E171" s="384" t="n"/>
      <c r="F171" s="384" t="n"/>
      <c r="G171" s="384" t="n"/>
      <c r="H171" s="384" t="n"/>
      <c r="I171" s="384" t="n"/>
      <c r="J171" s="384" t="n"/>
      <c r="K171" s="384" t="n"/>
      <c r="L171" s="384" t="n"/>
      <c r="M171" s="384" t="n"/>
      <c r="N171" s="384" t="n"/>
      <c r="O171" s="384" t="n"/>
      <c r="P171" s="384" t="n"/>
      <c r="Q171" s="384" t="n"/>
      <c r="R171" s="384" t="n"/>
      <c r="S171" s="384" t="n"/>
      <c r="T171" s="384" t="n"/>
      <c r="U171" s="384" t="n"/>
      <c r="V171" s="384" t="n"/>
      <c r="W171" s="384" t="n"/>
      <c r="X171" s="645">
        <f>IF(_epmOfflineCondition_,"I_E100139",EPMOlapMemberO("[C_INTERCO].[PARENTH1].[I_E100139]","","I_E100139","","000"))</f>
        <v/>
      </c>
      <c r="Y171" s="870">
        <f>IF(_epmOfflineCondition_,"京能电力后勤服务有限公司右玉石料厂",EPMMemberDesc(X171))</f>
        <v/>
      </c>
      <c r="Z171" s="1302" t="n"/>
      <c r="AA171" s="1302" t="n"/>
      <c r="AB171" s="858" t="n"/>
      <c r="AC171" s="1302" t="n"/>
      <c r="AD171" s="1302" t="n"/>
      <c r="AE171" s="1302" t="inlineStr"/>
      <c r="AF171" s="1302" t="inlineStr"/>
      <c r="AG171" s="1302" t="inlineStr"/>
      <c r="AH171" s="1302" t="n"/>
      <c r="AI171" s="1302" t="n"/>
      <c r="AJ171" s="1302" t="n"/>
      <c r="AK171" s="1302">
        <f>AI171-AJ171</f>
        <v/>
      </c>
      <c r="AL171" s="858" t="n"/>
      <c r="AM171" s="1297" t="inlineStr"/>
      <c r="AN171" s="1298" t="n"/>
      <c r="AO171" s="13">
        <f>IF(_epmOfflineCondition_,0,EPMSaveDataOnly(AB171,,AB$29,AB$25,AB$26,AB$31,AB$32,$AA$37,AO$14,AO$15,AO$16,AO$17,AO$18,X171))</f>
        <v/>
      </c>
      <c r="AP171" s="13">
        <f>IF(_epmOfflineCondition_,0,EPMSaveDataOnly(AL171,,AL$29,AL$25,AL$26,AL$31,AL$32,$AA$37,AP$14,AP$15,AP$16,AP$17,AP$18,$X171))</f>
        <v/>
      </c>
      <c r="AQ171" s="13">
        <f>IF(_epmOfflineCondition_,0,EPMSaveData(AM171,,AM$29,AM$25,AM$26,$C$6,AM$32,$AA$37,AQ$14,AQ$15,AQ$16,AQ$17,AQ$18,$X171))</f>
        <v/>
      </c>
      <c r="AR171" s="13">
        <f>IF(_epmOfflineCondition_,0,EPMSaveDataOnly(AN171,,AN$29,AN$25,AN$26,AN$31,AN$32,$AA$37,AR$14,AR$15,AR$16,AR$17,AR$18,$X171))</f>
        <v/>
      </c>
      <c r="AS171" s="384" t="n"/>
    </row>
    <row r="172" hidden="1" ht="15.75" customHeight="1" s="1181">
      <c r="A172" s="384" t="n"/>
      <c r="B172" s="384" t="n"/>
      <c r="C172" s="384" t="n"/>
      <c r="D172" s="384" t="n"/>
      <c r="E172" s="384" t="n"/>
      <c r="F172" s="384" t="n"/>
      <c r="G172" s="384" t="n"/>
      <c r="H172" s="384" t="n"/>
      <c r="I172" s="384" t="n"/>
      <c r="J172" s="384" t="n"/>
      <c r="K172" s="384" t="n"/>
      <c r="L172" s="384" t="n"/>
      <c r="M172" s="384" t="n"/>
      <c r="N172" s="384" t="n"/>
      <c r="O172" s="384" t="n"/>
      <c r="P172" s="384" t="n"/>
      <c r="Q172" s="384" t="n"/>
      <c r="R172" s="384" t="n"/>
      <c r="S172" s="384" t="n"/>
      <c r="T172" s="384" t="n"/>
      <c r="U172" s="384" t="n"/>
      <c r="V172" s="384" t="n"/>
      <c r="W172" s="384" t="n"/>
      <c r="X172" s="645">
        <f>IF(_epmOfflineCondition_,"I_E100140",EPMOlapMemberO("[C_INTERCO].[PARENTH1].[I_E100140]","","I_E100140","","000"))</f>
        <v/>
      </c>
      <c r="Y172" s="870">
        <f>IF(_epmOfflineCondition_,"京能电力后勤服务有限公司石灰石分公司",EPMMemberDesc(X172))</f>
        <v/>
      </c>
      <c r="Z172" s="1302" t="n"/>
      <c r="AA172" s="1302" t="n"/>
      <c r="AB172" s="858" t="n"/>
      <c r="AC172" s="1302" t="n"/>
      <c r="AD172" s="1302" t="n"/>
      <c r="AE172" s="1302" t="inlineStr"/>
      <c r="AF172" s="1302" t="inlineStr"/>
      <c r="AG172" s="1302" t="inlineStr"/>
      <c r="AH172" s="1302" t="n"/>
      <c r="AI172" s="1302" t="n"/>
      <c r="AJ172" s="1302" t="n"/>
      <c r="AK172" s="1302">
        <f>AI172-AJ172</f>
        <v/>
      </c>
      <c r="AL172" s="858" t="n"/>
      <c r="AM172" s="1297" t="inlineStr"/>
      <c r="AN172" s="1298" t="n"/>
      <c r="AO172" s="13">
        <f>IF(_epmOfflineCondition_,0,EPMSaveDataOnly(AB172,,AB$29,AB$25,AB$26,AB$31,AB$32,$AA$37,AO$14,AO$15,AO$16,AO$17,AO$18,X172))</f>
        <v/>
      </c>
      <c r="AP172" s="13">
        <f>IF(_epmOfflineCondition_,0,EPMSaveDataOnly(AL172,,AL$29,AL$25,AL$26,AL$31,AL$32,$AA$37,AP$14,AP$15,AP$16,AP$17,AP$18,$X172))</f>
        <v/>
      </c>
      <c r="AQ172" s="13">
        <f>IF(_epmOfflineCondition_,0,EPMSaveData(AM172,,AM$29,AM$25,AM$26,$C$6,AM$32,$AA$37,AQ$14,AQ$15,AQ$16,AQ$17,AQ$18,$X172))</f>
        <v/>
      </c>
      <c r="AR172" s="13">
        <f>IF(_epmOfflineCondition_,0,EPMSaveDataOnly(AN172,,AN$29,AN$25,AN$26,AN$31,AN$32,$AA$37,AR$14,AR$15,AR$16,AR$17,AR$18,$X172))</f>
        <v/>
      </c>
      <c r="AS172" s="384" t="n"/>
    </row>
    <row r="173" hidden="1" ht="15.75" customHeight="1" s="1181">
      <c r="A173" s="384" t="n"/>
      <c r="B173" s="384" t="n"/>
      <c r="C173" s="384" t="n"/>
      <c r="D173" s="384" t="n"/>
      <c r="E173" s="384" t="n"/>
      <c r="F173" s="384" t="n"/>
      <c r="G173" s="384" t="n"/>
      <c r="H173" s="384" t="n"/>
      <c r="I173" s="384" t="n"/>
      <c r="J173" s="384" t="n"/>
      <c r="K173" s="384" t="n"/>
      <c r="L173" s="384" t="n"/>
      <c r="M173" s="384" t="n"/>
      <c r="N173" s="384" t="n"/>
      <c r="O173" s="384" t="n"/>
      <c r="P173" s="384" t="n"/>
      <c r="Q173" s="384" t="n"/>
      <c r="R173" s="384" t="n"/>
      <c r="S173" s="384" t="n"/>
      <c r="T173" s="384" t="n"/>
      <c r="U173" s="384" t="n"/>
      <c r="V173" s="384" t="n"/>
      <c r="W173" s="384" t="n"/>
      <c r="X173" s="645">
        <f>IF(_epmOfflineCondition_,"I_E100145",EPMOlapMemberO("[C_INTERCO].[PARENTH1].[I_E100145]","","I_E100145","","000"))</f>
        <v/>
      </c>
      <c r="Y173" s="870">
        <f>IF(_epmOfflineCondition_,"北京京能电力股份有限公司",EPMMemberDesc(X173))</f>
        <v/>
      </c>
      <c r="Z173" s="1302" t="n"/>
      <c r="AA173" s="1302" t="n"/>
      <c r="AB173" s="858" t="n"/>
      <c r="AC173" s="1302" t="n"/>
      <c r="AD173" s="1302" t="n"/>
      <c r="AE173" s="1302" t="inlineStr"/>
      <c r="AF173" s="1302" t="inlineStr"/>
      <c r="AG173" s="1302" t="inlineStr"/>
      <c r="AH173" s="1302" t="n"/>
      <c r="AI173" s="1302" t="n"/>
      <c r="AJ173" s="1302" t="n"/>
      <c r="AK173" s="1302">
        <f>AI173-AJ173</f>
        <v/>
      </c>
      <c r="AL173" s="858" t="n"/>
      <c r="AM173" s="1297" t="inlineStr"/>
      <c r="AN173" s="1298" t="n"/>
      <c r="AO173" s="13">
        <f>IF(_epmOfflineCondition_,0,EPMSaveDataOnly(AB173,,AB$29,AB$25,AB$26,AB$31,AB$32,$AA$37,AO$14,AO$15,AO$16,AO$17,AO$18,X173))</f>
        <v/>
      </c>
      <c r="AP173" s="13">
        <f>IF(_epmOfflineCondition_,0,EPMSaveDataOnly(AL173,,AL$29,AL$25,AL$26,AL$31,AL$32,$AA$37,AP$14,AP$15,AP$16,AP$17,AP$18,$X173))</f>
        <v/>
      </c>
      <c r="AQ173" s="13">
        <f>IF(_epmOfflineCondition_,0,EPMSaveData(AM173,,AM$29,AM$25,AM$26,$C$6,AM$32,$AA$37,AQ$14,AQ$15,AQ$16,AQ$17,AQ$18,$X173))</f>
        <v/>
      </c>
      <c r="AR173" s="13">
        <f>IF(_epmOfflineCondition_,0,EPMSaveDataOnly(AN173,,AN$29,AN$25,AN$26,AN$31,AN$32,$AA$37,AR$14,AR$15,AR$16,AR$17,AR$18,$X173))</f>
        <v/>
      </c>
      <c r="AS173" s="384" t="n"/>
    </row>
    <row r="174" hidden="1" ht="15.75" customHeight="1" s="1181">
      <c r="A174" s="384" t="n"/>
      <c r="B174" s="384" t="n"/>
      <c r="C174" s="384" t="n"/>
      <c r="D174" s="384" t="n"/>
      <c r="E174" s="384" t="n"/>
      <c r="F174" s="384" t="n"/>
      <c r="G174" s="384" t="n"/>
      <c r="H174" s="384" t="n"/>
      <c r="I174" s="384" t="n"/>
      <c r="J174" s="384" t="n"/>
      <c r="K174" s="384" t="n"/>
      <c r="L174" s="384" t="n"/>
      <c r="M174" s="384" t="n"/>
      <c r="N174" s="384" t="n"/>
      <c r="O174" s="384" t="n"/>
      <c r="P174" s="384" t="n"/>
      <c r="Q174" s="384" t="n"/>
      <c r="R174" s="384" t="n"/>
      <c r="S174" s="384" t="n"/>
      <c r="T174" s="384" t="n"/>
      <c r="U174" s="384" t="n"/>
      <c r="V174" s="384" t="n"/>
      <c r="W174" s="384" t="n"/>
      <c r="X174" s="645">
        <f>IF(_epmOfflineCondition_,"I_E100146",EPMOlapMemberO("[C_INTERCO].[PARENTH1].[I_E100146]","","I_E100146","","000"))</f>
        <v/>
      </c>
      <c r="Y174" s="870">
        <f>IF(_epmOfflineCondition_,"北京京能电力股份有限公司石景山热电厂",EPMMemberDesc(X174))</f>
        <v/>
      </c>
      <c r="Z174" s="1302" t="n"/>
      <c r="AA174" s="1302" t="n"/>
      <c r="AB174" s="858" t="n"/>
      <c r="AC174" s="1302" t="n"/>
      <c r="AD174" s="1302" t="n"/>
      <c r="AE174" s="1302" t="inlineStr"/>
      <c r="AF174" s="1302" t="inlineStr"/>
      <c r="AG174" s="1302" t="inlineStr"/>
      <c r="AH174" s="1302" t="n"/>
      <c r="AI174" s="1302" t="n"/>
      <c r="AJ174" s="1302" t="n"/>
      <c r="AK174" s="1302">
        <f>AI174-AJ174</f>
        <v/>
      </c>
      <c r="AL174" s="858" t="n"/>
      <c r="AM174" s="1297" t="inlineStr"/>
      <c r="AN174" s="1298" t="n"/>
      <c r="AO174" s="13">
        <f>IF(_epmOfflineCondition_,0,EPMSaveDataOnly(AB174,,AB$29,AB$25,AB$26,AB$31,AB$32,$AA$37,AO$14,AO$15,AO$16,AO$17,AO$18,X174))</f>
        <v/>
      </c>
      <c r="AP174" s="13">
        <f>IF(_epmOfflineCondition_,0,EPMSaveDataOnly(AL174,,AL$29,AL$25,AL$26,AL$31,AL$32,$AA$37,AP$14,AP$15,AP$16,AP$17,AP$18,$X174))</f>
        <v/>
      </c>
      <c r="AQ174" s="13">
        <f>IF(_epmOfflineCondition_,0,EPMSaveData(AM174,,AM$29,AM$25,AM$26,$C$6,AM$32,$AA$37,AQ$14,AQ$15,AQ$16,AQ$17,AQ$18,$X174))</f>
        <v/>
      </c>
      <c r="AR174" s="13">
        <f>IF(_epmOfflineCondition_,0,EPMSaveDataOnly(AN174,,AN$29,AN$25,AN$26,AN$31,AN$32,$AA$37,AR$14,AR$15,AR$16,AR$17,AR$18,$X174))</f>
        <v/>
      </c>
      <c r="AS174" s="384" t="n"/>
    </row>
    <row r="175" hidden="1" ht="15.75" customHeight="1" s="1181">
      <c r="A175" s="384" t="n"/>
      <c r="B175" s="384" t="n"/>
      <c r="C175" s="384" t="n"/>
      <c r="D175" s="384" t="n"/>
      <c r="E175" s="384" t="n"/>
      <c r="F175" s="384" t="n"/>
      <c r="G175" s="384" t="n"/>
      <c r="H175" s="384" t="n"/>
      <c r="I175" s="384" t="n"/>
      <c r="J175" s="384" t="n"/>
      <c r="K175" s="384" t="n"/>
      <c r="L175" s="384" t="n"/>
      <c r="M175" s="384" t="n"/>
      <c r="N175" s="384" t="n"/>
      <c r="O175" s="384" t="n"/>
      <c r="P175" s="384" t="n"/>
      <c r="Q175" s="384" t="n"/>
      <c r="R175" s="384" t="n"/>
      <c r="S175" s="384" t="n"/>
      <c r="T175" s="384" t="n"/>
      <c r="U175" s="384" t="n"/>
      <c r="V175" s="384" t="n"/>
      <c r="W175" s="384" t="n"/>
      <c r="X175" s="645">
        <f>IF(_epmOfflineCondition_,"I_E100147",EPMOlapMemberO("[C_INTERCO].[PARENTH1].[I_E100147]","","I_E100147","","000"))</f>
        <v/>
      </c>
      <c r="Y175" s="870">
        <f>IF(_epmOfflineCondition_,"北京京能电力股份有限公司综合能源分公司",EPMMemberDesc(X175))</f>
        <v/>
      </c>
      <c r="Z175" s="1302" t="n"/>
      <c r="AA175" s="1302" t="n"/>
      <c r="AB175" s="858" t="n"/>
      <c r="AC175" s="1302" t="n"/>
      <c r="AD175" s="1302" t="n"/>
      <c r="AE175" s="1302" t="inlineStr"/>
      <c r="AF175" s="1302" t="inlineStr"/>
      <c r="AG175" s="1302" t="inlineStr"/>
      <c r="AH175" s="1302" t="n"/>
      <c r="AI175" s="1302" t="n"/>
      <c r="AJ175" s="1302" t="n"/>
      <c r="AK175" s="1302">
        <f>AI175-AJ175</f>
        <v/>
      </c>
      <c r="AL175" s="858" t="n"/>
      <c r="AM175" s="1297" t="inlineStr"/>
      <c r="AN175" s="1298" t="n"/>
      <c r="AO175" s="13">
        <f>IF(_epmOfflineCondition_,0,EPMSaveDataOnly(AB175,,AB$29,AB$25,AB$26,AB$31,AB$32,$AA$37,AO$14,AO$15,AO$16,AO$17,AO$18,X175))</f>
        <v/>
      </c>
      <c r="AP175" s="13">
        <f>IF(_epmOfflineCondition_,0,EPMSaveDataOnly(AL175,,AL$29,AL$25,AL$26,AL$31,AL$32,$AA$37,AP$14,AP$15,AP$16,AP$17,AP$18,$X175))</f>
        <v/>
      </c>
      <c r="AQ175" s="13">
        <f>IF(_epmOfflineCondition_,0,EPMSaveData(AM175,,AM$29,AM$25,AM$26,$C$6,AM$32,$AA$37,AQ$14,AQ$15,AQ$16,AQ$17,AQ$18,$X175))</f>
        <v/>
      </c>
      <c r="AR175" s="13">
        <f>IF(_epmOfflineCondition_,0,EPMSaveDataOnly(AN175,,AN$29,AN$25,AN$26,AN$31,AN$32,$AA$37,AR$14,AR$15,AR$16,AR$17,AR$18,$X175))</f>
        <v/>
      </c>
      <c r="AS175" s="384" t="n"/>
    </row>
    <row r="176" hidden="1" ht="15.75" customHeight="1" s="1181">
      <c r="A176" s="384" t="n"/>
      <c r="B176" s="384" t="n"/>
      <c r="C176" s="384" t="n"/>
      <c r="D176" s="384" t="n"/>
      <c r="E176" s="384" t="n"/>
      <c r="F176" s="384" t="n"/>
      <c r="G176" s="384" t="n"/>
      <c r="H176" s="384" t="n"/>
      <c r="I176" s="384" t="n"/>
      <c r="J176" s="384" t="n"/>
      <c r="K176" s="384" t="n"/>
      <c r="L176" s="384" t="n"/>
      <c r="M176" s="384" t="n"/>
      <c r="N176" s="384" t="n"/>
      <c r="O176" s="384" t="n"/>
      <c r="P176" s="384" t="n"/>
      <c r="Q176" s="384" t="n"/>
      <c r="R176" s="384" t="n"/>
      <c r="S176" s="384" t="n"/>
      <c r="T176" s="384" t="n"/>
      <c r="U176" s="384" t="n"/>
      <c r="V176" s="384" t="n"/>
      <c r="W176" s="384" t="n"/>
      <c r="X176" s="645">
        <f>IF(_epmOfflineCondition_,"I_E100148",EPMOlapMemberO("[C_INTERCO].[PARENTH1].[I_E100148]","","I_E100148","","000"))</f>
        <v/>
      </c>
      <c r="Y176" s="870">
        <f>IF(_epmOfflineCondition_,"北京京能电力股份有限公司工程管理分公司",EPMMemberDesc(X176))</f>
        <v/>
      </c>
      <c r="Z176" s="1302" t="n"/>
      <c r="AA176" s="1302" t="n"/>
      <c r="AB176" s="858" t="n"/>
      <c r="AC176" s="1302" t="n"/>
      <c r="AD176" s="1302" t="n"/>
      <c r="AE176" s="1302" t="inlineStr"/>
      <c r="AF176" s="1302" t="inlineStr"/>
      <c r="AG176" s="1302" t="inlineStr"/>
      <c r="AH176" s="1302" t="n"/>
      <c r="AI176" s="1302" t="n"/>
      <c r="AJ176" s="1302" t="n"/>
      <c r="AK176" s="1302">
        <f>AI176-AJ176</f>
        <v/>
      </c>
      <c r="AL176" s="858" t="n"/>
      <c r="AM176" s="1297" t="inlineStr"/>
      <c r="AN176" s="1298" t="n"/>
      <c r="AO176" s="13">
        <f>IF(_epmOfflineCondition_,0,EPMSaveDataOnly(AB176,,AB$29,AB$25,AB$26,AB$31,AB$32,$AA$37,AO$14,AO$15,AO$16,AO$17,AO$18,X176))</f>
        <v/>
      </c>
      <c r="AP176" s="13">
        <f>IF(_epmOfflineCondition_,0,EPMSaveDataOnly(AL176,,AL$29,AL$25,AL$26,AL$31,AL$32,$AA$37,AP$14,AP$15,AP$16,AP$17,AP$18,$X176))</f>
        <v/>
      </c>
      <c r="AQ176" s="13">
        <f>IF(_epmOfflineCondition_,0,EPMSaveData(AM176,,AM$29,AM$25,AM$26,$C$6,AM$32,$AA$37,AQ$14,AQ$15,AQ$16,AQ$17,AQ$18,$X176))</f>
        <v/>
      </c>
      <c r="AR176" s="13">
        <f>IF(_epmOfflineCondition_,0,EPMSaveDataOnly(AN176,,AN$29,AN$25,AN$26,AN$31,AN$32,$AA$37,AR$14,AR$15,AR$16,AR$17,AR$18,$X176))</f>
        <v/>
      </c>
      <c r="AS176" s="384" t="n"/>
    </row>
    <row r="177" hidden="1" ht="15.75" customHeight="1" s="1181">
      <c r="A177" s="384" t="n"/>
      <c r="B177" s="384" t="n"/>
      <c r="C177" s="384" t="n"/>
      <c r="D177" s="384" t="n"/>
      <c r="E177" s="384" t="n"/>
      <c r="F177" s="384" t="n"/>
      <c r="G177" s="384" t="n"/>
      <c r="H177" s="384" t="n"/>
      <c r="I177" s="384" t="n"/>
      <c r="J177" s="384" t="n"/>
      <c r="K177" s="384" t="n"/>
      <c r="L177" s="384" t="n"/>
      <c r="M177" s="384" t="n"/>
      <c r="N177" s="384" t="n"/>
      <c r="O177" s="384" t="n"/>
      <c r="P177" s="384" t="n"/>
      <c r="Q177" s="384" t="n"/>
      <c r="R177" s="384" t="n"/>
      <c r="S177" s="384" t="n"/>
      <c r="T177" s="384" t="n"/>
      <c r="U177" s="384" t="n"/>
      <c r="V177" s="384" t="n"/>
      <c r="W177" s="384" t="n"/>
      <c r="X177" s="645">
        <f>IF(_epmOfflineCondition_,"I_E100149",EPMOlapMemberO("[C_INTERCO].[PARENTH1].[I_E100149]","","I_E100149","","000"))</f>
        <v/>
      </c>
      <c r="Y177" s="870">
        <f>IF(_epmOfflineCondition_,"北京京能电力燃料有限公司",EPMMemberDesc(X177))</f>
        <v/>
      </c>
      <c r="Z177" s="1302" t="n"/>
      <c r="AA177" s="1302" t="n"/>
      <c r="AB177" s="858" t="n"/>
      <c r="AC177" s="1302" t="n"/>
      <c r="AD177" s="1302" t="n"/>
      <c r="AE177" s="1302" t="inlineStr"/>
      <c r="AF177" s="1302" t="inlineStr"/>
      <c r="AG177" s="1302" t="inlineStr"/>
      <c r="AH177" s="1302" t="n"/>
      <c r="AI177" s="1302" t="n"/>
      <c r="AJ177" s="1302" t="n"/>
      <c r="AK177" s="1302">
        <f>AI177-AJ177</f>
        <v/>
      </c>
      <c r="AL177" s="858" t="n"/>
      <c r="AM177" s="1297" t="inlineStr"/>
      <c r="AN177" s="1298" t="n"/>
      <c r="AO177" s="13">
        <f>IF(_epmOfflineCondition_,0,EPMSaveDataOnly(AB177,,AB$29,AB$25,AB$26,AB$31,AB$32,$AA$37,AO$14,AO$15,AO$16,AO$17,AO$18,X177))</f>
        <v/>
      </c>
      <c r="AP177" s="13">
        <f>IF(_epmOfflineCondition_,0,EPMSaveDataOnly(AL177,,AL$29,AL$25,AL$26,AL$31,AL$32,$AA$37,AP$14,AP$15,AP$16,AP$17,AP$18,$X177))</f>
        <v/>
      </c>
      <c r="AQ177" s="13">
        <f>IF(_epmOfflineCondition_,0,EPMSaveData(AM177,,AM$29,AM$25,AM$26,$C$6,AM$32,$AA$37,AQ$14,AQ$15,AQ$16,AQ$17,AQ$18,$X177))</f>
        <v/>
      </c>
      <c r="AR177" s="13">
        <f>IF(_epmOfflineCondition_,0,EPMSaveDataOnly(AN177,,AN$29,AN$25,AN$26,AN$31,AN$32,$AA$37,AR$14,AR$15,AR$16,AR$17,AR$18,$X177))</f>
        <v/>
      </c>
      <c r="AS177" s="384" t="n"/>
    </row>
    <row r="178" hidden="1" ht="15.75" customHeight="1" s="1181">
      <c r="A178" s="384" t="n"/>
      <c r="B178" s="384" t="n"/>
      <c r="C178" s="384" t="n"/>
      <c r="D178" s="384" t="n"/>
      <c r="E178" s="384" t="n"/>
      <c r="F178" s="384" t="n"/>
      <c r="G178" s="384" t="n"/>
      <c r="H178" s="384" t="n"/>
      <c r="I178" s="384" t="n"/>
      <c r="J178" s="384" t="n"/>
      <c r="K178" s="384" t="n"/>
      <c r="L178" s="384" t="n"/>
      <c r="M178" s="384" t="n"/>
      <c r="N178" s="384" t="n"/>
      <c r="O178" s="384" t="n"/>
      <c r="P178" s="384" t="n"/>
      <c r="Q178" s="384" t="n"/>
      <c r="R178" s="384" t="n"/>
      <c r="S178" s="384" t="n"/>
      <c r="T178" s="384" t="n"/>
      <c r="U178" s="384" t="n"/>
      <c r="V178" s="384" t="n"/>
      <c r="W178" s="384" t="n"/>
      <c r="X178" s="645">
        <f>IF(_epmOfflineCondition_,"I_E100150",EPMOlapMemberO("[C_INTERCO].[PARENTH1].[I_E100150]","","I_E100150","","000"))</f>
        <v/>
      </c>
      <c r="Y178" s="870">
        <f>IF(_epmOfflineCondition_,"内蒙古岱海发电有限责任公司",EPMMemberDesc(X178))</f>
        <v/>
      </c>
      <c r="Z178" s="1302" t="n"/>
      <c r="AA178" s="1302" t="n"/>
      <c r="AB178" s="858" t="n"/>
      <c r="AC178" s="1302" t="n"/>
      <c r="AD178" s="1302" t="n"/>
      <c r="AE178" s="1302" t="inlineStr"/>
      <c r="AF178" s="1302" t="inlineStr"/>
      <c r="AG178" s="1302" t="inlineStr"/>
      <c r="AH178" s="1302" t="n"/>
      <c r="AI178" s="1302" t="n"/>
      <c r="AJ178" s="1302" t="n"/>
      <c r="AK178" s="1302">
        <f>AI178-AJ178</f>
        <v/>
      </c>
      <c r="AL178" s="858" t="n"/>
      <c r="AM178" s="1297" t="inlineStr"/>
      <c r="AN178" s="1298" t="n"/>
      <c r="AO178" s="13">
        <f>IF(_epmOfflineCondition_,0,EPMSaveDataOnly(AB178,,AB$29,AB$25,AB$26,AB$31,AB$32,$AA$37,AO$14,AO$15,AO$16,AO$17,AO$18,X178))</f>
        <v/>
      </c>
      <c r="AP178" s="13">
        <f>IF(_epmOfflineCondition_,0,EPMSaveDataOnly(AL178,,AL$29,AL$25,AL$26,AL$31,AL$32,$AA$37,AP$14,AP$15,AP$16,AP$17,AP$18,$X178))</f>
        <v/>
      </c>
      <c r="AQ178" s="13">
        <f>IF(_epmOfflineCondition_,0,EPMSaveData(AM178,,AM$29,AM$25,AM$26,$C$6,AM$32,$AA$37,AQ$14,AQ$15,AQ$16,AQ$17,AQ$18,$X178))</f>
        <v/>
      </c>
      <c r="AR178" s="13">
        <f>IF(_epmOfflineCondition_,0,EPMSaveDataOnly(AN178,,AN$29,AN$25,AN$26,AN$31,AN$32,$AA$37,AR$14,AR$15,AR$16,AR$17,AR$18,$X178))</f>
        <v/>
      </c>
      <c r="AS178" s="384" t="n"/>
    </row>
    <row r="179" hidden="1" ht="15.75" customHeight="1" s="1181">
      <c r="A179" s="384" t="n"/>
      <c r="B179" s="384" t="n"/>
      <c r="C179" s="384" t="n"/>
      <c r="D179" s="384" t="n"/>
      <c r="E179" s="384" t="n"/>
      <c r="F179" s="384" t="n"/>
      <c r="G179" s="384" t="n"/>
      <c r="H179" s="384" t="n"/>
      <c r="I179" s="384" t="n"/>
      <c r="J179" s="384" t="n"/>
      <c r="K179" s="384" t="n"/>
      <c r="L179" s="384" t="n"/>
      <c r="M179" s="384" t="n"/>
      <c r="N179" s="384" t="n"/>
      <c r="O179" s="384" t="n"/>
      <c r="P179" s="384" t="n"/>
      <c r="Q179" s="384" t="n"/>
      <c r="R179" s="384" t="n"/>
      <c r="S179" s="384" t="n"/>
      <c r="T179" s="384" t="n"/>
      <c r="U179" s="384" t="n"/>
      <c r="V179" s="384" t="n"/>
      <c r="W179" s="384" t="n"/>
      <c r="X179" s="645">
        <f>IF(_epmOfflineCondition_,"I_E100151",EPMOlapMemberO("[C_INTERCO].[PARENTH1].[I_E100151]","","I_E100151","","000"))</f>
        <v/>
      </c>
      <c r="Y179" s="870">
        <f>IF(_epmOfflineCondition_,"山西漳山发电有限责任公司",EPMMemberDesc(X179))</f>
        <v/>
      </c>
      <c r="Z179" s="1302" t="n"/>
      <c r="AA179" s="1302" t="n"/>
      <c r="AB179" s="858" t="n"/>
      <c r="AC179" s="1302" t="n"/>
      <c r="AD179" s="1302" t="n"/>
      <c r="AE179" s="1302" t="inlineStr"/>
      <c r="AF179" s="1302" t="inlineStr"/>
      <c r="AG179" s="1302" t="inlineStr"/>
      <c r="AH179" s="1302" t="n"/>
      <c r="AI179" s="1302" t="n"/>
      <c r="AJ179" s="1302" t="n"/>
      <c r="AK179" s="1302">
        <f>AI179-AJ179</f>
        <v/>
      </c>
      <c r="AL179" s="858" t="n"/>
      <c r="AM179" s="1297" t="inlineStr"/>
      <c r="AN179" s="1298" t="n"/>
      <c r="AO179" s="13">
        <f>IF(_epmOfflineCondition_,0,EPMSaveDataOnly(AB179,,AB$29,AB$25,AB$26,AB$31,AB$32,$AA$37,AO$14,AO$15,AO$16,AO$17,AO$18,X179))</f>
        <v/>
      </c>
      <c r="AP179" s="13">
        <f>IF(_epmOfflineCondition_,0,EPMSaveDataOnly(AL179,,AL$29,AL$25,AL$26,AL$31,AL$32,$AA$37,AP$14,AP$15,AP$16,AP$17,AP$18,$X179))</f>
        <v/>
      </c>
      <c r="AQ179" s="13">
        <f>IF(_epmOfflineCondition_,0,EPMSaveData(AM179,,AM$29,AM$25,AM$26,$C$6,AM$32,$AA$37,AQ$14,AQ$15,AQ$16,AQ$17,AQ$18,$X179))</f>
        <v/>
      </c>
      <c r="AR179" s="13">
        <f>IF(_epmOfflineCondition_,0,EPMSaveDataOnly(AN179,,AN$29,AN$25,AN$26,AN$31,AN$32,$AA$37,AR$14,AR$15,AR$16,AR$17,AR$18,$X179))</f>
        <v/>
      </c>
      <c r="AS179" s="384" t="n"/>
    </row>
    <row r="180" hidden="1" ht="15.75" customHeight="1" s="1181">
      <c r="A180" s="384" t="n"/>
      <c r="B180" s="384" t="n"/>
      <c r="C180" s="384" t="n"/>
      <c r="D180" s="384" t="n"/>
      <c r="E180" s="384" t="n"/>
      <c r="F180" s="384" t="n"/>
      <c r="G180" s="384" t="n"/>
      <c r="H180" s="384" t="n"/>
      <c r="I180" s="384" t="n"/>
      <c r="J180" s="384" t="n"/>
      <c r="K180" s="384" t="n"/>
      <c r="L180" s="384" t="n"/>
      <c r="M180" s="384" t="n"/>
      <c r="N180" s="384" t="n"/>
      <c r="O180" s="384" t="n"/>
      <c r="P180" s="384" t="n"/>
      <c r="Q180" s="384" t="n"/>
      <c r="R180" s="384" t="n"/>
      <c r="S180" s="384" t="n"/>
      <c r="T180" s="384" t="n"/>
      <c r="U180" s="384" t="n"/>
      <c r="V180" s="384" t="n"/>
      <c r="W180" s="384" t="n"/>
      <c r="X180" s="645">
        <f>IF(_epmOfflineCondition_,"I_E100152",EPMOlapMemberO("[C_INTERCO].[PARENTH1].[I_E100152]","","I_E100152","","000"))</f>
        <v/>
      </c>
      <c r="Y180" s="870">
        <f>IF(_epmOfflineCondition_,"宁夏京能宁东发电有限责任公司",EPMMemberDesc(X180))</f>
        <v/>
      </c>
      <c r="Z180" s="1302" t="n"/>
      <c r="AA180" s="1302" t="n"/>
      <c r="AB180" s="858" t="n"/>
      <c r="AC180" s="1302" t="n"/>
      <c r="AD180" s="1302" t="n"/>
      <c r="AE180" s="1302" t="inlineStr"/>
      <c r="AF180" s="1302" t="inlineStr"/>
      <c r="AG180" s="1302" t="inlineStr"/>
      <c r="AH180" s="1302" t="n"/>
      <c r="AI180" s="1302" t="n"/>
      <c r="AJ180" s="1302" t="n"/>
      <c r="AK180" s="1302">
        <f>AI180-AJ180</f>
        <v/>
      </c>
      <c r="AL180" s="858" t="n"/>
      <c r="AM180" s="1297" t="inlineStr"/>
      <c r="AN180" s="1298" t="n"/>
      <c r="AO180" s="13">
        <f>IF(_epmOfflineCondition_,0,EPMSaveDataOnly(AB180,,AB$29,AB$25,AB$26,AB$31,AB$32,$AA$37,AO$14,AO$15,AO$16,AO$17,AO$18,X180))</f>
        <v/>
      </c>
      <c r="AP180" s="13">
        <f>IF(_epmOfflineCondition_,0,EPMSaveDataOnly(AL180,,AL$29,AL$25,AL$26,AL$31,AL$32,$AA$37,AP$14,AP$15,AP$16,AP$17,AP$18,$X180))</f>
        <v/>
      </c>
      <c r="AQ180" s="13">
        <f>IF(_epmOfflineCondition_,0,EPMSaveData(AM180,,AM$29,AM$25,AM$26,$C$6,AM$32,$AA$37,AQ$14,AQ$15,AQ$16,AQ$17,AQ$18,$X180))</f>
        <v/>
      </c>
      <c r="AR180" s="13">
        <f>IF(_epmOfflineCondition_,0,EPMSaveDataOnly(AN180,,AN$29,AN$25,AN$26,AN$31,AN$32,$AA$37,AR$14,AR$15,AR$16,AR$17,AR$18,$X180))</f>
        <v/>
      </c>
      <c r="AS180" s="384" t="n"/>
    </row>
    <row r="181" hidden="1" ht="15.75" customHeight="1" s="1181">
      <c r="A181" s="384" t="n"/>
      <c r="B181" s="384" t="n"/>
      <c r="C181" s="384" t="n"/>
      <c r="D181" s="384" t="n"/>
      <c r="E181" s="384" t="n"/>
      <c r="F181" s="384" t="n"/>
      <c r="G181" s="384" t="n"/>
      <c r="H181" s="384" t="n"/>
      <c r="I181" s="384" t="n"/>
      <c r="J181" s="384" t="n"/>
      <c r="K181" s="384" t="n"/>
      <c r="L181" s="384" t="n"/>
      <c r="M181" s="384" t="n"/>
      <c r="N181" s="384" t="n"/>
      <c r="O181" s="384" t="n"/>
      <c r="P181" s="384" t="n"/>
      <c r="Q181" s="384" t="n"/>
      <c r="R181" s="384" t="n"/>
      <c r="S181" s="384" t="n"/>
      <c r="T181" s="384" t="n"/>
      <c r="U181" s="384" t="n"/>
      <c r="V181" s="384" t="n"/>
      <c r="W181" s="384" t="n"/>
      <c r="X181" s="645">
        <f>IF(_epmOfflineCondition_,"I_E100154",EPMOlapMemberO("[C_INTERCO].[PARENTH1].[I_E100154]","","I_E100154","","000"))</f>
        <v/>
      </c>
      <c r="Y181" s="870">
        <f>IF(_epmOfflineCondition_,"内蒙古京隆发电有限责任公司",EPMMemberDesc(X181))</f>
        <v/>
      </c>
      <c r="Z181" s="1302" t="n"/>
      <c r="AA181" s="1302" t="n"/>
      <c r="AB181" s="858" t="n"/>
      <c r="AC181" s="1302" t="n"/>
      <c r="AD181" s="1302" t="n"/>
      <c r="AE181" s="1302" t="inlineStr"/>
      <c r="AF181" s="1302" t="inlineStr"/>
      <c r="AG181" s="1302" t="inlineStr"/>
      <c r="AH181" s="1302" t="n"/>
      <c r="AI181" s="1302" t="n"/>
      <c r="AJ181" s="1302" t="n"/>
      <c r="AK181" s="1302">
        <f>AI181-AJ181</f>
        <v/>
      </c>
      <c r="AL181" s="858" t="n"/>
      <c r="AM181" s="1297" t="inlineStr"/>
      <c r="AN181" s="1298" t="n"/>
      <c r="AO181" s="13">
        <f>IF(_epmOfflineCondition_,0,EPMSaveDataOnly(AB181,,AB$29,AB$25,AB$26,AB$31,AB$32,$AA$37,AO$14,AO$15,AO$16,AO$17,AO$18,X181))</f>
        <v/>
      </c>
      <c r="AP181" s="13">
        <f>IF(_epmOfflineCondition_,0,EPMSaveDataOnly(AL181,,AL$29,AL$25,AL$26,AL$31,AL$32,$AA$37,AP$14,AP$15,AP$16,AP$17,AP$18,$X181))</f>
        <v/>
      </c>
      <c r="AQ181" s="13">
        <f>IF(_epmOfflineCondition_,0,EPMSaveData(AM181,,AM$29,AM$25,AM$26,$C$6,AM$32,$AA$37,AQ$14,AQ$15,AQ$16,AQ$17,AQ$18,$X181))</f>
        <v/>
      </c>
      <c r="AR181" s="13">
        <f>IF(_epmOfflineCondition_,0,EPMSaveDataOnly(AN181,,AN$29,AN$25,AN$26,AN$31,AN$32,$AA$37,AR$14,AR$15,AR$16,AR$17,AR$18,$X181))</f>
        <v/>
      </c>
      <c r="AS181" s="384" t="n"/>
    </row>
    <row r="182" hidden="1" ht="15.75" customHeight="1" s="1181">
      <c r="A182" s="384" t="n"/>
      <c r="B182" s="384" t="n"/>
      <c r="C182" s="384" t="n"/>
      <c r="D182" s="384" t="n"/>
      <c r="E182" s="384" t="n"/>
      <c r="F182" s="384" t="n"/>
      <c r="G182" s="384" t="n"/>
      <c r="H182" s="384" t="n"/>
      <c r="I182" s="384" t="n"/>
      <c r="J182" s="384" t="n"/>
      <c r="K182" s="384" t="n"/>
      <c r="L182" s="384" t="n"/>
      <c r="M182" s="384" t="n"/>
      <c r="N182" s="384" t="n"/>
      <c r="O182" s="384" t="n"/>
      <c r="P182" s="384" t="n"/>
      <c r="Q182" s="384" t="n"/>
      <c r="R182" s="384" t="n"/>
      <c r="S182" s="384" t="n"/>
      <c r="T182" s="384" t="n"/>
      <c r="U182" s="384" t="n"/>
      <c r="V182" s="384" t="n"/>
      <c r="W182" s="384" t="n"/>
      <c r="X182" s="645">
        <f>IF(_epmOfflineCondition_,"I_E100155",EPMOlapMemberO("[C_INTERCO].[PARENTH1].[I_E100155]","","I_E100155","","000"))</f>
        <v/>
      </c>
      <c r="Y182" s="870">
        <f>IF(_epmOfflineCondition_,"内蒙古华宁热电有限公司",EPMMemberDesc(X182))</f>
        <v/>
      </c>
      <c r="Z182" s="1302" t="n"/>
      <c r="AA182" s="1302" t="n"/>
      <c r="AB182" s="858" t="n"/>
      <c r="AC182" s="1302" t="n"/>
      <c r="AD182" s="1302" t="n"/>
      <c r="AE182" s="1302" t="inlineStr"/>
      <c r="AF182" s="1302" t="inlineStr"/>
      <c r="AG182" s="1302" t="inlineStr"/>
      <c r="AH182" s="1302" t="n"/>
      <c r="AI182" s="1302" t="n"/>
      <c r="AJ182" s="1302" t="n"/>
      <c r="AK182" s="1302">
        <f>AI182-AJ182</f>
        <v/>
      </c>
      <c r="AL182" s="858" t="n"/>
      <c r="AM182" s="1297" t="inlineStr"/>
      <c r="AN182" s="1298" t="n"/>
      <c r="AO182" s="13">
        <f>IF(_epmOfflineCondition_,0,EPMSaveDataOnly(AB182,,AB$29,AB$25,AB$26,AB$31,AB$32,$AA$37,AO$14,AO$15,AO$16,AO$17,AO$18,X182))</f>
        <v/>
      </c>
      <c r="AP182" s="13">
        <f>IF(_epmOfflineCondition_,0,EPMSaveDataOnly(AL182,,AL$29,AL$25,AL$26,AL$31,AL$32,$AA$37,AP$14,AP$15,AP$16,AP$17,AP$18,$X182))</f>
        <v/>
      </c>
      <c r="AQ182" s="13">
        <f>IF(_epmOfflineCondition_,0,EPMSaveData(AM182,,AM$29,AM$25,AM$26,$C$6,AM$32,$AA$37,AQ$14,AQ$15,AQ$16,AQ$17,AQ$18,$X182))</f>
        <v/>
      </c>
      <c r="AR182" s="13">
        <f>IF(_epmOfflineCondition_,0,EPMSaveDataOnly(AN182,,AN$29,AN$25,AN$26,AN$31,AN$32,$AA$37,AR$14,AR$15,AR$16,AR$17,AR$18,$X182))</f>
        <v/>
      </c>
      <c r="AS182" s="384" t="n"/>
    </row>
    <row r="183" hidden="1" ht="15.75" customHeight="1" s="1181">
      <c r="A183" s="384" t="n"/>
      <c r="B183" s="384" t="n"/>
      <c r="C183" s="384" t="n"/>
      <c r="D183" s="384" t="n"/>
      <c r="E183" s="384" t="n"/>
      <c r="F183" s="384" t="n"/>
      <c r="G183" s="384" t="n"/>
      <c r="H183" s="384" t="n"/>
      <c r="I183" s="384" t="n"/>
      <c r="J183" s="384" t="n"/>
      <c r="K183" s="384" t="n"/>
      <c r="L183" s="384" t="n"/>
      <c r="M183" s="384" t="n"/>
      <c r="N183" s="384" t="n"/>
      <c r="O183" s="384" t="n"/>
      <c r="P183" s="384" t="n"/>
      <c r="Q183" s="384" t="n"/>
      <c r="R183" s="384" t="n"/>
      <c r="S183" s="384" t="n"/>
      <c r="T183" s="384" t="n"/>
      <c r="U183" s="384" t="n"/>
      <c r="V183" s="384" t="n"/>
      <c r="W183" s="384" t="n"/>
      <c r="X183" s="645">
        <f>IF(_epmOfflineCondition_,"I_E100156",EPMOlapMemberO("[C_INTERCO].[PARENTH1].[I_E100156]","","I_E100156","","000"))</f>
        <v/>
      </c>
      <c r="Y183" s="870">
        <f>IF(_epmOfflineCondition_,"京能（锡林郭勒）发电有限公司",EPMMemberDesc(X183))</f>
        <v/>
      </c>
      <c r="Z183" s="1302" t="n"/>
      <c r="AA183" s="1302" t="n"/>
      <c r="AB183" s="858" t="n"/>
      <c r="AC183" s="1302" t="n"/>
      <c r="AD183" s="1302" t="n"/>
      <c r="AE183" s="1302" t="inlineStr"/>
      <c r="AF183" s="1302" t="inlineStr"/>
      <c r="AG183" s="1302" t="inlineStr"/>
      <c r="AH183" s="1302" t="n"/>
      <c r="AI183" s="1302" t="n"/>
      <c r="AJ183" s="1302" t="n"/>
      <c r="AK183" s="1302">
        <f>AI183-AJ183</f>
        <v/>
      </c>
      <c r="AL183" s="858" t="n"/>
      <c r="AM183" s="1297" t="inlineStr"/>
      <c r="AN183" s="1298" t="n"/>
      <c r="AO183" s="13">
        <f>IF(_epmOfflineCondition_,0,EPMSaveDataOnly(AB183,,AB$29,AB$25,AB$26,AB$31,AB$32,$AA$37,AO$14,AO$15,AO$16,AO$17,AO$18,X183))</f>
        <v/>
      </c>
      <c r="AP183" s="13">
        <f>IF(_epmOfflineCondition_,0,EPMSaveDataOnly(AL183,,AL$29,AL$25,AL$26,AL$31,AL$32,$AA$37,AP$14,AP$15,AP$16,AP$17,AP$18,$X183))</f>
        <v/>
      </c>
      <c r="AQ183" s="13">
        <f>IF(_epmOfflineCondition_,0,EPMSaveData(AM183,,AM$29,AM$25,AM$26,$C$6,AM$32,$AA$37,AQ$14,AQ$15,AQ$16,AQ$17,AQ$18,$X183))</f>
        <v/>
      </c>
      <c r="AR183" s="13">
        <f>IF(_epmOfflineCondition_,0,EPMSaveDataOnly(AN183,,AN$29,AN$25,AN$26,AN$31,AN$32,$AA$37,AR$14,AR$15,AR$16,AR$17,AR$18,$X183))</f>
        <v/>
      </c>
      <c r="AS183" s="384" t="n"/>
    </row>
    <row r="184" hidden="1" ht="15.75" customHeight="1" s="1181">
      <c r="A184" s="384" t="n"/>
      <c r="B184" s="384" t="n"/>
      <c r="C184" s="384" t="n"/>
      <c r="D184" s="384" t="n"/>
      <c r="E184" s="384" t="n"/>
      <c r="F184" s="384" t="n"/>
      <c r="G184" s="384" t="n"/>
      <c r="H184" s="384" t="n"/>
      <c r="I184" s="384" t="n"/>
      <c r="J184" s="384" t="n"/>
      <c r="K184" s="384" t="n"/>
      <c r="L184" s="384" t="n"/>
      <c r="M184" s="384" t="n"/>
      <c r="N184" s="384" t="n"/>
      <c r="O184" s="384" t="n"/>
      <c r="P184" s="384" t="n"/>
      <c r="Q184" s="384" t="n"/>
      <c r="R184" s="384" t="n"/>
      <c r="S184" s="384" t="n"/>
      <c r="T184" s="384" t="n"/>
      <c r="U184" s="384" t="n"/>
      <c r="V184" s="384" t="n"/>
      <c r="W184" s="384" t="n"/>
      <c r="X184" s="645">
        <f>IF(_epmOfflineCondition_,"I_E100157",EPMOlapMemberO("[C_INTERCO].[PARENTH1].[I_E100157]","","I_E100157","","000"))</f>
        <v/>
      </c>
      <c r="Y184" s="870">
        <f>IF(_epmOfflineCondition_,"内蒙古京泰发电有限责任公司",EPMMemberDesc(X184))</f>
        <v/>
      </c>
      <c r="Z184" s="1302" t="n"/>
      <c r="AA184" s="1302" t="n"/>
      <c r="AB184" s="858" t="n"/>
      <c r="AC184" s="1302" t="n"/>
      <c r="AD184" s="1302" t="n"/>
      <c r="AE184" s="1302" t="inlineStr"/>
      <c r="AF184" s="1302" t="inlineStr"/>
      <c r="AG184" s="1302" t="inlineStr"/>
      <c r="AH184" s="1302" t="n"/>
      <c r="AI184" s="1302" t="n"/>
      <c r="AJ184" s="1302" t="n"/>
      <c r="AK184" s="1302">
        <f>AI184-AJ184</f>
        <v/>
      </c>
      <c r="AL184" s="858" t="n"/>
      <c r="AM184" s="1297" t="inlineStr"/>
      <c r="AN184" s="1298" t="n"/>
      <c r="AO184" s="13">
        <f>IF(_epmOfflineCondition_,0,EPMSaveDataOnly(AB184,,AB$29,AB$25,AB$26,AB$31,AB$32,$AA$37,AO$14,AO$15,AO$16,AO$17,AO$18,X184))</f>
        <v/>
      </c>
      <c r="AP184" s="13">
        <f>IF(_epmOfflineCondition_,0,EPMSaveDataOnly(AL184,,AL$29,AL$25,AL$26,AL$31,AL$32,$AA$37,AP$14,AP$15,AP$16,AP$17,AP$18,$X184))</f>
        <v/>
      </c>
      <c r="AQ184" s="13">
        <f>IF(_epmOfflineCondition_,0,EPMSaveData(AM184,,AM$29,AM$25,AM$26,$C$6,AM$32,$AA$37,AQ$14,AQ$15,AQ$16,AQ$17,AQ$18,$X184))</f>
        <v/>
      </c>
      <c r="AR184" s="13">
        <f>IF(_epmOfflineCondition_,0,EPMSaveDataOnly(AN184,,AN$29,AN$25,AN$26,AN$31,AN$32,$AA$37,AR$14,AR$15,AR$16,AR$17,AR$18,$X184))</f>
        <v/>
      </c>
      <c r="AS184" s="384" t="n"/>
    </row>
    <row r="185" hidden="1" ht="15.75" customHeight="1" s="1181">
      <c r="A185" s="384" t="n"/>
      <c r="B185" s="384" t="n"/>
      <c r="C185" s="384" t="n"/>
      <c r="D185" s="384" t="n"/>
      <c r="E185" s="384" t="n"/>
      <c r="F185" s="384" t="n"/>
      <c r="G185" s="384" t="n"/>
      <c r="H185" s="384" t="n"/>
      <c r="I185" s="384" t="n"/>
      <c r="J185" s="384" t="n"/>
      <c r="K185" s="384" t="n"/>
      <c r="L185" s="384" t="n"/>
      <c r="M185" s="384" t="n"/>
      <c r="N185" s="384" t="n"/>
      <c r="O185" s="384" t="n"/>
      <c r="P185" s="384" t="n"/>
      <c r="Q185" s="384" t="n"/>
      <c r="R185" s="384" t="n"/>
      <c r="S185" s="384" t="n"/>
      <c r="T185" s="384" t="n"/>
      <c r="U185" s="384" t="n"/>
      <c r="V185" s="384" t="n"/>
      <c r="W185" s="384" t="n"/>
      <c r="X185" s="645">
        <f>IF(_epmOfflineCondition_,"I_E100159",EPMOlapMemberO("[C_INTERCO].[PARENTH1].[I_E100159]","","I_E100159","","000"))</f>
        <v/>
      </c>
      <c r="Y185" s="870">
        <f>IF(_epmOfflineCondition_,"内蒙古京海煤矸石发电有限责任公司",EPMMemberDesc(X185))</f>
        <v/>
      </c>
      <c r="Z185" s="1302" t="n"/>
      <c r="AA185" s="1302" t="n"/>
      <c r="AB185" s="858" t="n"/>
      <c r="AC185" s="1302" t="n"/>
      <c r="AD185" s="1302" t="n"/>
      <c r="AE185" s="1302" t="inlineStr"/>
      <c r="AF185" s="1302" t="inlineStr"/>
      <c r="AG185" s="1302" t="inlineStr"/>
      <c r="AH185" s="1302" t="n"/>
      <c r="AI185" s="1302" t="n"/>
      <c r="AJ185" s="1302" t="n"/>
      <c r="AK185" s="1302">
        <f>AI185-AJ185</f>
        <v/>
      </c>
      <c r="AL185" s="858" t="n"/>
      <c r="AM185" s="1297" t="inlineStr"/>
      <c r="AN185" s="1298" t="n"/>
      <c r="AO185" s="13">
        <f>IF(_epmOfflineCondition_,0,EPMSaveDataOnly(AB185,,AB$29,AB$25,AB$26,AB$31,AB$32,$AA$37,AO$14,AO$15,AO$16,AO$17,AO$18,X185))</f>
        <v/>
      </c>
      <c r="AP185" s="13">
        <f>IF(_epmOfflineCondition_,0,EPMSaveDataOnly(AL185,,AL$29,AL$25,AL$26,AL$31,AL$32,$AA$37,AP$14,AP$15,AP$16,AP$17,AP$18,$X185))</f>
        <v/>
      </c>
      <c r="AQ185" s="13">
        <f>IF(_epmOfflineCondition_,0,EPMSaveData(AM185,,AM$29,AM$25,AM$26,$C$6,AM$32,$AA$37,AQ$14,AQ$15,AQ$16,AQ$17,AQ$18,$X185))</f>
        <v/>
      </c>
      <c r="AR185" s="13">
        <f>IF(_epmOfflineCondition_,0,EPMSaveDataOnly(AN185,,AN$29,AN$25,AN$26,AN$31,AN$32,$AA$37,AR$14,AR$15,AR$16,AR$17,AR$18,$X185))</f>
        <v/>
      </c>
      <c r="AS185" s="384" t="n"/>
    </row>
    <row r="186" hidden="1" ht="15.75" customHeight="1" s="1181">
      <c r="A186" s="384" t="n"/>
      <c r="B186" s="384" t="n"/>
      <c r="C186" s="384" t="n"/>
      <c r="D186" s="384" t="n"/>
      <c r="E186" s="384" t="n"/>
      <c r="F186" s="384" t="n"/>
      <c r="G186" s="384" t="n"/>
      <c r="H186" s="384" t="n"/>
      <c r="I186" s="384" t="n"/>
      <c r="J186" s="384" t="n"/>
      <c r="K186" s="384" t="n"/>
      <c r="L186" s="384" t="n"/>
      <c r="M186" s="384" t="n"/>
      <c r="N186" s="384" t="n"/>
      <c r="O186" s="384" t="n"/>
      <c r="P186" s="384" t="n"/>
      <c r="Q186" s="384" t="n"/>
      <c r="R186" s="384" t="n"/>
      <c r="S186" s="384" t="n"/>
      <c r="T186" s="384" t="n"/>
      <c r="U186" s="384" t="n"/>
      <c r="V186" s="384" t="n"/>
      <c r="W186" s="384" t="n"/>
      <c r="X186" s="645">
        <f>IF(_epmOfflineCondition_,"I_E100162",EPMOlapMemberO("[C_INTERCO].[PARENTH1].[I_E100162]","","I_E100162","","000"))</f>
        <v/>
      </c>
      <c r="Y186" s="870">
        <f>IF(_epmOfflineCondition_,"山西京玉发电有限责任公司",EPMMemberDesc(X186))</f>
        <v/>
      </c>
      <c r="Z186" s="1302" t="n"/>
      <c r="AA186" s="1302" t="n"/>
      <c r="AB186" s="858" t="n"/>
      <c r="AC186" s="1302" t="n"/>
      <c r="AD186" s="1302" t="n"/>
      <c r="AE186" s="1302" t="inlineStr"/>
      <c r="AF186" s="1302" t="inlineStr"/>
      <c r="AG186" s="1302" t="inlineStr"/>
      <c r="AH186" s="1302" t="n"/>
      <c r="AI186" s="1302" t="n"/>
      <c r="AJ186" s="1302" t="n"/>
      <c r="AK186" s="1302">
        <f>AI186-AJ186</f>
        <v/>
      </c>
      <c r="AL186" s="858" t="n"/>
      <c r="AM186" s="1297" t="inlineStr"/>
      <c r="AN186" s="1298" t="n"/>
      <c r="AO186" s="13">
        <f>IF(_epmOfflineCondition_,0,EPMSaveDataOnly(AB186,,AB$29,AB$25,AB$26,AB$31,AB$32,$AA$37,AO$14,AO$15,AO$16,AO$17,AO$18,X186))</f>
        <v/>
      </c>
      <c r="AP186" s="13">
        <f>IF(_epmOfflineCondition_,0,EPMSaveDataOnly(AL186,,AL$29,AL$25,AL$26,AL$31,AL$32,$AA$37,AP$14,AP$15,AP$16,AP$17,AP$18,$X186))</f>
        <v/>
      </c>
      <c r="AQ186" s="13">
        <f>IF(_epmOfflineCondition_,0,EPMSaveData(AM186,,AM$29,AM$25,AM$26,$C$6,AM$32,$AA$37,AQ$14,AQ$15,AQ$16,AQ$17,AQ$18,$X186))</f>
        <v/>
      </c>
      <c r="AR186" s="13">
        <f>IF(_epmOfflineCondition_,0,EPMSaveDataOnly(AN186,,AN$29,AN$25,AN$26,AN$31,AN$32,$AA$37,AR$14,AR$15,AR$16,AR$17,AR$18,$X186))</f>
        <v/>
      </c>
      <c r="AS186" s="384" t="n"/>
    </row>
    <row r="187" hidden="1" ht="15.75" customHeight="1" s="1181">
      <c r="A187" s="384" t="n"/>
      <c r="B187" s="384" t="n"/>
      <c r="C187" s="384" t="n"/>
      <c r="D187" s="384" t="n"/>
      <c r="E187" s="384" t="n"/>
      <c r="F187" s="384" t="n"/>
      <c r="G187" s="384" t="n"/>
      <c r="H187" s="384" t="n"/>
      <c r="I187" s="384" t="n"/>
      <c r="J187" s="384" t="n"/>
      <c r="K187" s="384" t="n"/>
      <c r="L187" s="384" t="n"/>
      <c r="M187" s="384" t="n"/>
      <c r="N187" s="384" t="n"/>
      <c r="O187" s="384" t="n"/>
      <c r="P187" s="384" t="n"/>
      <c r="Q187" s="384" t="n"/>
      <c r="R187" s="384" t="n"/>
      <c r="S187" s="384" t="n"/>
      <c r="T187" s="384" t="n"/>
      <c r="U187" s="384" t="n"/>
      <c r="V187" s="384" t="n"/>
      <c r="W187" s="384" t="n"/>
      <c r="X187" s="645">
        <f>IF(_epmOfflineCondition_,"I_E100163",EPMOlapMemberO("[C_INTERCO].[PARENTH1].[I_E100163]","","I_E100163","","000"))</f>
        <v/>
      </c>
      <c r="Y187" s="870">
        <f>IF(_epmOfflineCondition_,"右玉县京玉污水处理有限责任公司",EPMMemberDesc(X187))</f>
        <v/>
      </c>
      <c r="Z187" s="1302" t="n"/>
      <c r="AA187" s="1302" t="n"/>
      <c r="AB187" s="858" t="n"/>
      <c r="AC187" s="1302" t="n"/>
      <c r="AD187" s="1302" t="n"/>
      <c r="AE187" s="1302" t="inlineStr"/>
      <c r="AF187" s="1302" t="inlineStr"/>
      <c r="AG187" s="1302" t="inlineStr"/>
      <c r="AH187" s="1302" t="n"/>
      <c r="AI187" s="1302" t="n"/>
      <c r="AJ187" s="1302" t="n"/>
      <c r="AK187" s="1302">
        <f>AI187-AJ187</f>
        <v/>
      </c>
      <c r="AL187" s="858" t="n"/>
      <c r="AM187" s="1297" t="inlineStr"/>
      <c r="AN187" s="1298" t="n"/>
      <c r="AO187" s="13">
        <f>IF(_epmOfflineCondition_,0,EPMSaveDataOnly(AB187,,AB$29,AB$25,AB$26,AB$31,AB$32,$AA$37,AO$14,AO$15,AO$16,AO$17,AO$18,X187))</f>
        <v/>
      </c>
      <c r="AP187" s="13">
        <f>IF(_epmOfflineCondition_,0,EPMSaveDataOnly(AL187,,AL$29,AL$25,AL$26,AL$31,AL$32,$AA$37,AP$14,AP$15,AP$16,AP$17,AP$18,$X187))</f>
        <v/>
      </c>
      <c r="AQ187" s="13">
        <f>IF(_epmOfflineCondition_,0,EPMSaveData(AM187,,AM$29,AM$25,AM$26,$C$6,AM$32,$AA$37,AQ$14,AQ$15,AQ$16,AQ$17,AQ$18,$X187))</f>
        <v/>
      </c>
      <c r="AR187" s="13">
        <f>IF(_epmOfflineCondition_,0,EPMSaveDataOnly(AN187,,AN$29,AN$25,AN$26,AN$31,AN$32,$AA$37,AR$14,AR$15,AR$16,AR$17,AR$18,$X187))</f>
        <v/>
      </c>
      <c r="AS187" s="384" t="n"/>
    </row>
    <row r="188" hidden="1" ht="15.75" customHeight="1" s="1181">
      <c r="A188" s="384" t="n"/>
      <c r="B188" s="384" t="n"/>
      <c r="C188" s="384" t="n"/>
      <c r="D188" s="384" t="n"/>
      <c r="E188" s="384" t="n"/>
      <c r="F188" s="384" t="n"/>
      <c r="G188" s="384" t="n"/>
      <c r="H188" s="384" t="n"/>
      <c r="I188" s="384" t="n"/>
      <c r="J188" s="384" t="n"/>
      <c r="K188" s="384" t="n"/>
      <c r="L188" s="384" t="n"/>
      <c r="M188" s="384" t="n"/>
      <c r="N188" s="384" t="n"/>
      <c r="O188" s="384" t="n"/>
      <c r="P188" s="384" t="n"/>
      <c r="Q188" s="384" t="n"/>
      <c r="R188" s="384" t="n"/>
      <c r="S188" s="384" t="n"/>
      <c r="T188" s="384" t="n"/>
      <c r="U188" s="384" t="n"/>
      <c r="V188" s="384" t="n"/>
      <c r="W188" s="384" t="n"/>
      <c r="X188" s="645">
        <f>IF(_epmOfflineCondition_,"I_E100164",EPMOlapMemberO("[C_INTERCO].[PARENTH1].[I_E100164]","","I_E100164","","000"))</f>
        <v/>
      </c>
      <c r="Y188" s="870">
        <f>IF(_epmOfflineCondition_,"山西京同热电有限公司",EPMMemberDesc(X188))</f>
        <v/>
      </c>
      <c r="Z188" s="1302" t="n"/>
      <c r="AA188" s="1302" t="n"/>
      <c r="AB188" s="858" t="n"/>
      <c r="AC188" s="1302" t="n"/>
      <c r="AD188" s="1302" t="n"/>
      <c r="AE188" s="1302" t="inlineStr"/>
      <c r="AF188" s="1302" t="inlineStr"/>
      <c r="AG188" s="1302" t="inlineStr"/>
      <c r="AH188" s="1302" t="n"/>
      <c r="AI188" s="1302" t="n"/>
      <c r="AJ188" s="1302" t="n"/>
      <c r="AK188" s="1302">
        <f>AI188-AJ188</f>
        <v/>
      </c>
      <c r="AL188" s="858" t="n"/>
      <c r="AM188" s="1297" t="inlineStr"/>
      <c r="AN188" s="1298" t="n"/>
      <c r="AO188" s="13">
        <f>IF(_epmOfflineCondition_,0,EPMSaveDataOnly(AB188,,AB$29,AB$25,AB$26,AB$31,AB$32,$AA$37,AO$14,AO$15,AO$16,AO$17,AO$18,X188))</f>
        <v/>
      </c>
      <c r="AP188" s="13">
        <f>IF(_epmOfflineCondition_,0,EPMSaveDataOnly(AL188,,AL$29,AL$25,AL$26,AL$31,AL$32,$AA$37,AP$14,AP$15,AP$16,AP$17,AP$18,$X188))</f>
        <v/>
      </c>
      <c r="AQ188" s="13">
        <f>IF(_epmOfflineCondition_,0,EPMSaveData(AM188,,AM$29,AM$25,AM$26,$C$6,AM$32,$AA$37,AQ$14,AQ$15,AQ$16,AQ$17,AQ$18,$X188))</f>
        <v/>
      </c>
      <c r="AR188" s="13">
        <f>IF(_epmOfflineCondition_,0,EPMSaveDataOnly(AN188,,AN$29,AN$25,AN$26,AN$31,AN$32,$AA$37,AR$14,AR$15,AR$16,AR$17,AR$18,$X188))</f>
        <v/>
      </c>
      <c r="AS188" s="384" t="n"/>
    </row>
    <row r="189" hidden="1" ht="15.75" customHeight="1" s="1181">
      <c r="A189" s="384" t="n"/>
      <c r="B189" s="384" t="n"/>
      <c r="C189" s="384" t="n"/>
      <c r="D189" s="384" t="n"/>
      <c r="E189" s="384" t="n"/>
      <c r="F189" s="384" t="n"/>
      <c r="G189" s="384" t="n"/>
      <c r="H189" s="384" t="n"/>
      <c r="I189" s="384" t="n"/>
      <c r="J189" s="384" t="n"/>
      <c r="K189" s="384" t="n"/>
      <c r="L189" s="384" t="n"/>
      <c r="M189" s="384" t="n"/>
      <c r="N189" s="384" t="n"/>
      <c r="O189" s="384" t="n"/>
      <c r="P189" s="384" t="n"/>
      <c r="Q189" s="384" t="n"/>
      <c r="R189" s="384" t="n"/>
      <c r="S189" s="384" t="n"/>
      <c r="T189" s="384" t="n"/>
      <c r="U189" s="384" t="n"/>
      <c r="V189" s="384" t="n"/>
      <c r="W189" s="384" t="n"/>
      <c r="X189" s="645">
        <f>IF(_epmOfflineCondition_,"I_E100165",EPMOlapMemberO("[C_INTERCO].[PARENTH1].[I_E100165]","","I_E100165","","000"))</f>
        <v/>
      </c>
      <c r="Y189" s="870">
        <f>IF(_epmOfflineCondition_,"内蒙古京能康巴什热电有限公司",EPMMemberDesc(X189))</f>
        <v/>
      </c>
      <c r="Z189" s="1302" t="n"/>
      <c r="AA189" s="1302" t="n"/>
      <c r="AB189" s="858" t="n"/>
      <c r="AC189" s="1302" t="n"/>
      <c r="AD189" s="1302" t="n"/>
      <c r="AE189" s="1302" t="inlineStr"/>
      <c r="AF189" s="1302" t="inlineStr"/>
      <c r="AG189" s="1302" t="inlineStr"/>
      <c r="AH189" s="1302" t="n"/>
      <c r="AI189" s="1302" t="n"/>
      <c r="AJ189" s="1302" t="n"/>
      <c r="AK189" s="1302">
        <f>AI189-AJ189</f>
        <v/>
      </c>
      <c r="AL189" s="858" t="n"/>
      <c r="AM189" s="1297" t="inlineStr"/>
      <c r="AN189" s="1298" t="n"/>
      <c r="AO189" s="13">
        <f>IF(_epmOfflineCondition_,0,EPMSaveDataOnly(AB189,,AB$29,AB$25,AB$26,AB$31,AB$32,$AA$37,AO$14,AO$15,AO$16,AO$17,AO$18,X189))</f>
        <v/>
      </c>
      <c r="AP189" s="13">
        <f>IF(_epmOfflineCondition_,0,EPMSaveDataOnly(AL189,,AL$29,AL$25,AL$26,AL$31,AL$32,$AA$37,AP$14,AP$15,AP$16,AP$17,AP$18,$X189))</f>
        <v/>
      </c>
      <c r="AQ189" s="13">
        <f>IF(_epmOfflineCondition_,0,EPMSaveData(AM189,,AM$29,AM$25,AM$26,$C$6,AM$32,$AA$37,AQ$14,AQ$15,AQ$16,AQ$17,AQ$18,$X189))</f>
        <v/>
      </c>
      <c r="AR189" s="13">
        <f>IF(_epmOfflineCondition_,0,EPMSaveDataOnly(AN189,,AN$29,AN$25,AN$26,AN$31,AN$32,$AA$37,AR$14,AR$15,AR$16,AR$17,AR$18,$X189))</f>
        <v/>
      </c>
      <c r="AS189" s="384" t="n"/>
    </row>
    <row r="190" hidden="1" ht="15.75" customHeight="1" s="1181">
      <c r="A190" s="384" t="n"/>
      <c r="B190" s="384" t="n"/>
      <c r="C190" s="384" t="n"/>
      <c r="D190" s="384" t="n"/>
      <c r="E190" s="384" t="n"/>
      <c r="F190" s="384" t="n"/>
      <c r="G190" s="384" t="n"/>
      <c r="H190" s="384" t="n"/>
      <c r="I190" s="384" t="n"/>
      <c r="J190" s="384" t="n"/>
      <c r="K190" s="384" t="n"/>
      <c r="L190" s="384" t="n"/>
      <c r="M190" s="384" t="n"/>
      <c r="N190" s="384" t="n"/>
      <c r="O190" s="384" t="n"/>
      <c r="P190" s="384" t="n"/>
      <c r="Q190" s="384" t="n"/>
      <c r="R190" s="384" t="n"/>
      <c r="S190" s="384" t="n"/>
      <c r="T190" s="384" t="n"/>
      <c r="U190" s="384" t="n"/>
      <c r="V190" s="384" t="n"/>
      <c r="W190" s="384" t="n"/>
      <c r="X190" s="645">
        <f>IF(_epmOfflineCondition_,"I_E100166",EPMOlapMemberO("[C_INTERCO].[PARENTH1].[I_E100166]","","I_E100166","","000"))</f>
        <v/>
      </c>
      <c r="Y190" s="870">
        <f>IF(_epmOfflineCondition_,"内蒙古京能盛乐热电有限公司",EPMMemberDesc(X190))</f>
        <v/>
      </c>
      <c r="Z190" s="1302" t="n"/>
      <c r="AA190" s="1302" t="n"/>
      <c r="AB190" s="858" t="n"/>
      <c r="AC190" s="1302" t="n"/>
      <c r="AD190" s="1302" t="n"/>
      <c r="AE190" s="1302" t="inlineStr"/>
      <c r="AF190" s="1302" t="inlineStr"/>
      <c r="AG190" s="1302" t="inlineStr"/>
      <c r="AH190" s="1302" t="n"/>
      <c r="AI190" s="1302" t="n"/>
      <c r="AJ190" s="1302" t="n"/>
      <c r="AK190" s="1302">
        <f>AI190-AJ190</f>
        <v/>
      </c>
      <c r="AL190" s="858" t="n"/>
      <c r="AM190" s="1297" t="inlineStr"/>
      <c r="AN190" s="1298" t="n"/>
      <c r="AO190" s="13">
        <f>IF(_epmOfflineCondition_,0,EPMSaveDataOnly(AB190,,AB$29,AB$25,AB$26,AB$31,AB$32,$AA$37,AO$14,AO$15,AO$16,AO$17,AO$18,X190))</f>
        <v/>
      </c>
      <c r="AP190" s="13">
        <f>IF(_epmOfflineCondition_,0,EPMSaveDataOnly(AL190,,AL$29,AL$25,AL$26,AL$31,AL$32,$AA$37,AP$14,AP$15,AP$16,AP$17,AP$18,$X190))</f>
        <v/>
      </c>
      <c r="AQ190" s="13">
        <f>IF(_epmOfflineCondition_,0,EPMSaveData(AM190,,AM$29,AM$25,AM$26,$C$6,AM$32,$AA$37,AQ$14,AQ$15,AQ$16,AQ$17,AQ$18,$X190))</f>
        <v/>
      </c>
      <c r="AR190" s="13">
        <f>IF(_epmOfflineCondition_,0,EPMSaveDataOnly(AN190,,AN$29,AN$25,AN$26,AN$31,AN$32,$AA$37,AR$14,AR$15,AR$16,AR$17,AR$18,$X190))</f>
        <v/>
      </c>
      <c r="AS190" s="384" t="n"/>
    </row>
    <row r="191" hidden="1" ht="15.75" customHeight="1" s="1181">
      <c r="A191" s="384" t="n"/>
      <c r="B191" s="384" t="n"/>
      <c r="C191" s="384" t="n"/>
      <c r="D191" s="384" t="n"/>
      <c r="E191" s="384" t="n"/>
      <c r="F191" s="384" t="n"/>
      <c r="G191" s="384" t="n"/>
      <c r="H191" s="384" t="n"/>
      <c r="I191" s="384" t="n"/>
      <c r="J191" s="384" t="n"/>
      <c r="K191" s="384" t="n"/>
      <c r="L191" s="384" t="n"/>
      <c r="M191" s="384" t="n"/>
      <c r="N191" s="384" t="n"/>
      <c r="O191" s="384" t="n"/>
      <c r="P191" s="384" t="n"/>
      <c r="Q191" s="384" t="n"/>
      <c r="R191" s="384" t="n"/>
      <c r="S191" s="384" t="n"/>
      <c r="T191" s="384" t="n"/>
      <c r="U191" s="384" t="n"/>
      <c r="V191" s="384" t="n"/>
      <c r="W191" s="384" t="n"/>
      <c r="X191" s="645">
        <f>IF(_epmOfflineCondition_,"I_E100167",EPMOlapMemberO("[C_INTERCO].[PARENTH1].[I_E100167]","","I_E100167","","000"))</f>
        <v/>
      </c>
      <c r="Y191" s="870">
        <f>IF(_epmOfflineCondition_,"内蒙古京宁热电有限责任公司",EPMMemberDesc(X191))</f>
        <v/>
      </c>
      <c r="Z191" s="1302" t="n"/>
      <c r="AA191" s="1302" t="n"/>
      <c r="AB191" s="858" t="n"/>
      <c r="AC191" s="1302" t="n"/>
      <c r="AD191" s="1302" t="n"/>
      <c r="AE191" s="1302" t="inlineStr"/>
      <c r="AF191" s="1302" t="inlineStr"/>
      <c r="AG191" s="1302" t="inlineStr"/>
      <c r="AH191" s="1302" t="n"/>
      <c r="AI191" s="1302" t="n"/>
      <c r="AJ191" s="1302" t="n"/>
      <c r="AK191" s="1302">
        <f>AI191-AJ191</f>
        <v/>
      </c>
      <c r="AL191" s="858" t="n"/>
      <c r="AM191" s="1297" t="inlineStr"/>
      <c r="AN191" s="1298" t="n"/>
      <c r="AO191" s="13">
        <f>IF(_epmOfflineCondition_,0,EPMSaveDataOnly(AB191,,AB$29,AB$25,AB$26,AB$31,AB$32,$AA$37,AO$14,AO$15,AO$16,AO$17,AO$18,X191))</f>
        <v/>
      </c>
      <c r="AP191" s="13">
        <f>IF(_epmOfflineCondition_,0,EPMSaveDataOnly(AL191,,AL$29,AL$25,AL$26,AL$31,AL$32,$AA$37,AP$14,AP$15,AP$16,AP$17,AP$18,$X191))</f>
        <v/>
      </c>
      <c r="AQ191" s="13">
        <f>IF(_epmOfflineCondition_,0,EPMSaveData(AM191,,AM$29,AM$25,AM$26,$C$6,AM$32,$AA$37,AQ$14,AQ$15,AQ$16,AQ$17,AQ$18,$X191))</f>
        <v/>
      </c>
      <c r="AR191" s="13">
        <f>IF(_epmOfflineCondition_,0,EPMSaveDataOnly(AN191,,AN$29,AN$25,AN$26,AN$31,AN$32,$AA$37,AR$14,AR$15,AR$16,AR$17,AR$18,$X191))</f>
        <v/>
      </c>
      <c r="AS191" s="384" t="n"/>
    </row>
    <row r="192" hidden="1" ht="15.75" customHeight="1" s="1181">
      <c r="A192" s="384" t="n"/>
      <c r="B192" s="384" t="n"/>
      <c r="C192" s="384" t="n"/>
      <c r="D192" s="384" t="n"/>
      <c r="E192" s="384" t="n"/>
      <c r="F192" s="384" t="n"/>
      <c r="G192" s="384" t="n"/>
      <c r="H192" s="384" t="n"/>
      <c r="I192" s="384" t="n"/>
      <c r="J192" s="384" t="n"/>
      <c r="K192" s="384" t="n"/>
      <c r="L192" s="384" t="n"/>
      <c r="M192" s="384" t="n"/>
      <c r="N192" s="384" t="n"/>
      <c r="O192" s="384" t="n"/>
      <c r="P192" s="384" t="n"/>
      <c r="Q192" s="384" t="n"/>
      <c r="R192" s="384" t="n"/>
      <c r="S192" s="384" t="n"/>
      <c r="T192" s="384" t="n"/>
      <c r="U192" s="384" t="n"/>
      <c r="V192" s="384" t="n"/>
      <c r="W192" s="384" t="n"/>
      <c r="X192" s="645">
        <f>IF(_epmOfflineCondition_,"I_E100168",EPMOlapMemberO("[C_INTERCO].[PARENTH1].[I_E100168]","","I_E100168","","000"))</f>
        <v/>
      </c>
      <c r="Y192" s="870">
        <f>IF(_epmOfflineCondition_,"河北涿州京源热电有限责任公司",EPMMemberDesc(X192))</f>
        <v/>
      </c>
      <c r="Z192" s="1302" t="n"/>
      <c r="AA192" s="1302" t="n"/>
      <c r="AB192" s="858" t="n"/>
      <c r="AC192" s="1302" t="n"/>
      <c r="AD192" s="1302" t="n"/>
      <c r="AE192" s="1302" t="inlineStr"/>
      <c r="AF192" s="1302" t="inlineStr"/>
      <c r="AG192" s="1302" t="inlineStr"/>
      <c r="AH192" s="1302" t="n"/>
      <c r="AI192" s="1302" t="n"/>
      <c r="AJ192" s="1302" t="n"/>
      <c r="AK192" s="1302">
        <f>AI192-AJ192</f>
        <v/>
      </c>
      <c r="AL192" s="858" t="n"/>
      <c r="AM192" s="1297" t="inlineStr"/>
      <c r="AN192" s="1298" t="n"/>
      <c r="AO192" s="13">
        <f>IF(_epmOfflineCondition_,0,EPMSaveDataOnly(AB192,,AB$29,AB$25,AB$26,AB$31,AB$32,$AA$37,AO$14,AO$15,AO$16,AO$17,AO$18,X192))</f>
        <v/>
      </c>
      <c r="AP192" s="13">
        <f>IF(_epmOfflineCondition_,0,EPMSaveDataOnly(AL192,,AL$29,AL$25,AL$26,AL$31,AL$32,$AA$37,AP$14,AP$15,AP$16,AP$17,AP$18,$X192))</f>
        <v/>
      </c>
      <c r="AQ192" s="13">
        <f>IF(_epmOfflineCondition_,0,EPMSaveData(AM192,,AM$29,AM$25,AM$26,$C$6,AM$32,$AA$37,AQ$14,AQ$15,AQ$16,AQ$17,AQ$18,$X192))</f>
        <v/>
      </c>
      <c r="AR192" s="13">
        <f>IF(_epmOfflineCondition_,0,EPMSaveDataOnly(AN192,,AN$29,AN$25,AN$26,AN$31,AN$32,$AA$37,AR$14,AR$15,AR$16,AR$17,AR$18,$X192))</f>
        <v/>
      </c>
      <c r="AS192" s="384" t="n"/>
    </row>
    <row r="193" hidden="1" ht="15.75" customHeight="1" s="1181">
      <c r="A193" s="384" t="n"/>
      <c r="B193" s="384" t="n"/>
      <c r="C193" s="384" t="n"/>
      <c r="D193" s="384" t="n"/>
      <c r="E193" s="384" t="n"/>
      <c r="F193" s="384" t="n"/>
      <c r="G193" s="384" t="n"/>
      <c r="H193" s="384" t="n"/>
      <c r="I193" s="384" t="n"/>
      <c r="J193" s="384" t="n"/>
      <c r="K193" s="384" t="n"/>
      <c r="L193" s="384" t="n"/>
      <c r="M193" s="384" t="n"/>
      <c r="N193" s="384" t="n"/>
      <c r="O193" s="384" t="n"/>
      <c r="P193" s="384" t="n"/>
      <c r="Q193" s="384" t="n"/>
      <c r="R193" s="384" t="n"/>
      <c r="S193" s="384" t="n"/>
      <c r="T193" s="384" t="n"/>
      <c r="U193" s="384" t="n"/>
      <c r="V193" s="384" t="n"/>
      <c r="W193" s="384" t="n"/>
      <c r="X193" s="645">
        <f>IF(_epmOfflineCondition_,"I_E100169",EPMOlapMemberO("[C_INTERCO].[PARENTH1].[I_E100169]","","I_E100169","","000"))</f>
        <v/>
      </c>
      <c r="Y193" s="870">
        <f>IF(_epmOfflineCondition_,"京能十堰热电有限公司",EPMMemberDesc(X193))</f>
        <v/>
      </c>
      <c r="Z193" s="1302" t="n"/>
      <c r="AA193" s="1302" t="n"/>
      <c r="AB193" s="858" t="n"/>
      <c r="AC193" s="1302" t="n"/>
      <c r="AD193" s="1302" t="n"/>
      <c r="AE193" s="1302" t="inlineStr"/>
      <c r="AF193" s="1302" t="inlineStr"/>
      <c r="AG193" s="1302" t="inlineStr"/>
      <c r="AH193" s="1302" t="n"/>
      <c r="AI193" s="1302" t="n"/>
      <c r="AJ193" s="1302" t="n"/>
      <c r="AK193" s="1302">
        <f>AI193-AJ193</f>
        <v/>
      </c>
      <c r="AL193" s="858" t="n"/>
      <c r="AM193" s="1297" t="inlineStr"/>
      <c r="AN193" s="1298" t="n"/>
      <c r="AO193" s="13">
        <f>IF(_epmOfflineCondition_,0,EPMSaveDataOnly(AB193,,AB$29,AB$25,AB$26,AB$31,AB$32,$AA$37,AO$14,AO$15,AO$16,AO$17,AO$18,X193))</f>
        <v/>
      </c>
      <c r="AP193" s="13">
        <f>IF(_epmOfflineCondition_,0,EPMSaveDataOnly(AL193,,AL$29,AL$25,AL$26,AL$31,AL$32,$AA$37,AP$14,AP$15,AP$16,AP$17,AP$18,$X193))</f>
        <v/>
      </c>
      <c r="AQ193" s="13">
        <f>IF(_epmOfflineCondition_,0,EPMSaveData(AM193,,AM$29,AM$25,AM$26,$C$6,AM$32,$AA$37,AQ$14,AQ$15,AQ$16,AQ$17,AQ$18,$X193))</f>
        <v/>
      </c>
      <c r="AR193" s="13">
        <f>IF(_epmOfflineCondition_,0,EPMSaveDataOnly(AN193,,AN$29,AN$25,AN$26,AN$31,AN$32,$AA$37,AR$14,AR$15,AR$16,AR$17,AR$18,$X193))</f>
        <v/>
      </c>
      <c r="AS193" s="384" t="n"/>
    </row>
    <row r="194" hidden="1" ht="15.75" customHeight="1" s="1181">
      <c r="A194" s="384" t="n"/>
      <c r="B194" s="384" t="n"/>
      <c r="C194" s="384" t="n"/>
      <c r="D194" s="384" t="n"/>
      <c r="E194" s="384" t="n"/>
      <c r="F194" s="384" t="n"/>
      <c r="G194" s="384" t="n"/>
      <c r="H194" s="384" t="n"/>
      <c r="I194" s="384" t="n"/>
      <c r="J194" s="384" t="n"/>
      <c r="K194" s="384" t="n"/>
      <c r="L194" s="384" t="n"/>
      <c r="M194" s="384" t="n"/>
      <c r="N194" s="384" t="n"/>
      <c r="O194" s="384" t="n"/>
      <c r="P194" s="384" t="n"/>
      <c r="Q194" s="384" t="n"/>
      <c r="R194" s="384" t="n"/>
      <c r="S194" s="384" t="n"/>
      <c r="T194" s="384" t="n"/>
      <c r="U194" s="384" t="n"/>
      <c r="V194" s="384" t="n"/>
      <c r="W194" s="384" t="n"/>
      <c r="X194" s="645">
        <f>IF(_epmOfflineCondition_,"I_E100170",EPMOlapMemberO("[C_INTERCO].[PARENTH1].[I_E100170]","","I_E100170","","000"))</f>
        <v/>
      </c>
      <c r="Y194" s="870">
        <f>IF(_epmOfflineCondition_,"京能（赤峰）能源发展有限公司",EPMMemberDesc(X194))</f>
        <v/>
      </c>
      <c r="Z194" s="1302" t="n"/>
      <c r="AA194" s="1302" t="n"/>
      <c r="AB194" s="858" t="n"/>
      <c r="AC194" s="1302" t="n"/>
      <c r="AD194" s="1302" t="n"/>
      <c r="AE194" s="1302" t="inlineStr"/>
      <c r="AF194" s="1302" t="inlineStr"/>
      <c r="AG194" s="1302" t="inlineStr"/>
      <c r="AH194" s="1302" t="n"/>
      <c r="AI194" s="1302" t="n"/>
      <c r="AJ194" s="1302" t="n"/>
      <c r="AK194" s="1302">
        <f>AI194-AJ194</f>
        <v/>
      </c>
      <c r="AL194" s="858" t="n"/>
      <c r="AM194" s="1297" t="inlineStr"/>
      <c r="AN194" s="1298" t="n"/>
      <c r="AO194" s="13">
        <f>IF(_epmOfflineCondition_,0,EPMSaveDataOnly(AB194,,AB$29,AB$25,AB$26,AB$31,AB$32,$AA$37,AO$14,AO$15,AO$16,AO$17,AO$18,X194))</f>
        <v/>
      </c>
      <c r="AP194" s="13">
        <f>IF(_epmOfflineCondition_,0,EPMSaveDataOnly(AL194,,AL$29,AL$25,AL$26,AL$31,AL$32,$AA$37,AP$14,AP$15,AP$16,AP$17,AP$18,$X194))</f>
        <v/>
      </c>
      <c r="AQ194" s="13">
        <f>IF(_epmOfflineCondition_,0,EPMSaveData(AM194,,AM$29,AM$25,AM$26,$C$6,AM$32,$AA$37,AQ$14,AQ$15,AQ$16,AQ$17,AQ$18,$X194))</f>
        <v/>
      </c>
      <c r="AR194" s="13">
        <f>IF(_epmOfflineCondition_,0,EPMSaveDataOnly(AN194,,AN$29,AN$25,AN$26,AN$31,AN$32,$AA$37,AR$14,AR$15,AR$16,AR$17,AR$18,$X194))</f>
        <v/>
      </c>
      <c r="AS194" s="384" t="n"/>
    </row>
    <row r="195" hidden="1" ht="15.75" customHeight="1" s="1181">
      <c r="A195" s="384" t="n"/>
      <c r="B195" s="384" t="n"/>
      <c r="C195" s="384" t="n"/>
      <c r="D195" s="384" t="n"/>
      <c r="E195" s="384" t="n"/>
      <c r="F195" s="384" t="n"/>
      <c r="G195" s="384" t="n"/>
      <c r="H195" s="384" t="n"/>
      <c r="I195" s="384" t="n"/>
      <c r="J195" s="384" t="n"/>
      <c r="K195" s="384" t="n"/>
      <c r="L195" s="384" t="n"/>
      <c r="M195" s="384" t="n"/>
      <c r="N195" s="384" t="n"/>
      <c r="O195" s="384" t="n"/>
      <c r="P195" s="384" t="n"/>
      <c r="Q195" s="384" t="n"/>
      <c r="R195" s="384" t="n"/>
      <c r="S195" s="384" t="n"/>
      <c r="T195" s="384" t="n"/>
      <c r="U195" s="384" t="n"/>
      <c r="V195" s="384" t="n"/>
      <c r="W195" s="384" t="n"/>
      <c r="X195" s="645">
        <f>IF(_epmOfflineCondition_,"I_E100171",EPMOlapMemberO("[C_INTERCO].[PARENTH1].[I_E100171]","","I_E100171","","000"))</f>
        <v/>
      </c>
      <c r="Y195" s="870">
        <f>IF(_epmOfflineCondition_,"内蒙古京能双欣发电有限公司",EPMMemberDesc(X195))</f>
        <v/>
      </c>
      <c r="Z195" s="1302" t="n"/>
      <c r="AA195" s="1302" t="n"/>
      <c r="AB195" s="858" t="n"/>
      <c r="AC195" s="1302" t="n"/>
      <c r="AD195" s="1302" t="n"/>
      <c r="AE195" s="1302" t="inlineStr"/>
      <c r="AF195" s="1302" t="inlineStr"/>
      <c r="AG195" s="1302" t="inlineStr"/>
      <c r="AH195" s="1302" t="n"/>
      <c r="AI195" s="1302" t="n"/>
      <c r="AJ195" s="1302" t="n"/>
      <c r="AK195" s="1302">
        <f>AI195-AJ195</f>
        <v/>
      </c>
      <c r="AL195" s="858" t="n"/>
      <c r="AM195" s="1297" t="inlineStr"/>
      <c r="AN195" s="1298" t="n"/>
      <c r="AO195" s="13">
        <f>IF(_epmOfflineCondition_,0,EPMSaveDataOnly(AB195,,AB$29,AB$25,AB$26,AB$31,AB$32,$AA$37,AO$14,AO$15,AO$16,AO$17,AO$18,X195))</f>
        <v/>
      </c>
      <c r="AP195" s="13">
        <f>IF(_epmOfflineCondition_,0,EPMSaveDataOnly(AL195,,AL$29,AL$25,AL$26,AL$31,AL$32,$AA$37,AP$14,AP$15,AP$16,AP$17,AP$18,$X195))</f>
        <v/>
      </c>
      <c r="AQ195" s="13">
        <f>IF(_epmOfflineCondition_,0,EPMSaveData(AM195,,AM$29,AM$25,AM$26,$C$6,AM$32,$AA$37,AQ$14,AQ$15,AQ$16,AQ$17,AQ$18,$X195))</f>
        <v/>
      </c>
      <c r="AR195" s="13">
        <f>IF(_epmOfflineCondition_,0,EPMSaveDataOnly(AN195,,AN$29,AN$25,AN$26,AN$31,AN$32,$AA$37,AR$14,AR$15,AR$16,AR$17,AR$18,$X195))</f>
        <v/>
      </c>
      <c r="AS195" s="384" t="n"/>
    </row>
    <row r="196" hidden="1" ht="15.75" customHeight="1" s="1181">
      <c r="A196" s="384" t="n"/>
      <c r="B196" s="384" t="n"/>
      <c r="C196" s="384" t="n"/>
      <c r="D196" s="384" t="n"/>
      <c r="E196" s="384" t="n"/>
      <c r="F196" s="384" t="n"/>
      <c r="G196" s="384" t="n"/>
      <c r="H196" s="384" t="n"/>
      <c r="I196" s="384" t="n"/>
      <c r="J196" s="384" t="n"/>
      <c r="K196" s="384" t="n"/>
      <c r="L196" s="384" t="n"/>
      <c r="M196" s="384" t="n"/>
      <c r="N196" s="384" t="n"/>
      <c r="O196" s="384" t="n"/>
      <c r="P196" s="384" t="n"/>
      <c r="Q196" s="384" t="n"/>
      <c r="R196" s="384" t="n"/>
      <c r="S196" s="384" t="n"/>
      <c r="T196" s="384" t="n"/>
      <c r="U196" s="384" t="n"/>
      <c r="V196" s="384" t="n"/>
      <c r="W196" s="384" t="n"/>
      <c r="X196" s="645">
        <f>IF(_epmOfflineCondition_,"I_E100172",EPMOlapMemberO("[C_INTERCO].[PARENTH1].[I_E100172]","","I_E100172","","000"))</f>
        <v/>
      </c>
      <c r="Y196" s="870">
        <f>IF(_epmOfflineCondition_,"山西京能吕临发电有限公司",EPMMemberDesc(X196))</f>
        <v/>
      </c>
      <c r="Z196" s="1302" t="n"/>
      <c r="AA196" s="1302" t="n"/>
      <c r="AB196" s="858" t="n"/>
      <c r="AC196" s="1302" t="n"/>
      <c r="AD196" s="1302" t="n"/>
      <c r="AE196" s="1302" t="inlineStr"/>
      <c r="AF196" s="1302" t="inlineStr"/>
      <c r="AG196" s="1302" t="inlineStr"/>
      <c r="AH196" s="1302" t="n"/>
      <c r="AI196" s="1302" t="n"/>
      <c r="AJ196" s="1302" t="n"/>
      <c r="AK196" s="1302">
        <f>AI196-AJ196</f>
        <v/>
      </c>
      <c r="AL196" s="858" t="n"/>
      <c r="AM196" s="1297" t="inlineStr"/>
      <c r="AN196" s="1298" t="n"/>
      <c r="AO196" s="13">
        <f>IF(_epmOfflineCondition_,0,EPMSaveDataOnly(AB196,,AB$29,AB$25,AB$26,AB$31,AB$32,$AA$37,AO$14,AO$15,AO$16,AO$17,AO$18,X196))</f>
        <v/>
      </c>
      <c r="AP196" s="13">
        <f>IF(_epmOfflineCondition_,0,EPMSaveDataOnly(AL196,,AL$29,AL$25,AL$26,AL$31,AL$32,$AA$37,AP$14,AP$15,AP$16,AP$17,AP$18,$X196))</f>
        <v/>
      </c>
      <c r="AQ196" s="13">
        <f>IF(_epmOfflineCondition_,0,EPMSaveData(AM196,,AM$29,AM$25,AM$26,$C$6,AM$32,$AA$37,AQ$14,AQ$15,AQ$16,AQ$17,AQ$18,$X196))</f>
        <v/>
      </c>
      <c r="AR196" s="13">
        <f>IF(_epmOfflineCondition_,0,EPMSaveDataOnly(AN196,,AN$29,AN$25,AN$26,AN$31,AN$32,$AA$37,AR$14,AR$15,AR$16,AR$17,AR$18,$X196))</f>
        <v/>
      </c>
      <c r="AS196" s="384" t="n"/>
    </row>
    <row r="197" hidden="1" ht="15.75" customHeight="1" s="1181">
      <c r="A197" s="384" t="n"/>
      <c r="B197" s="384" t="n"/>
      <c r="C197" s="384" t="n"/>
      <c r="D197" s="384" t="n"/>
      <c r="E197" s="384" t="n"/>
      <c r="F197" s="384" t="n"/>
      <c r="G197" s="384" t="n"/>
      <c r="H197" s="384" t="n"/>
      <c r="I197" s="384" t="n"/>
      <c r="J197" s="384" t="n"/>
      <c r="K197" s="384" t="n"/>
      <c r="L197" s="384" t="n"/>
      <c r="M197" s="384" t="n"/>
      <c r="N197" s="384" t="n"/>
      <c r="O197" s="384" t="n"/>
      <c r="P197" s="384" t="n"/>
      <c r="Q197" s="384" t="n"/>
      <c r="R197" s="384" t="n"/>
      <c r="S197" s="384" t="n"/>
      <c r="T197" s="384" t="n"/>
      <c r="U197" s="384" t="n"/>
      <c r="V197" s="384" t="n"/>
      <c r="W197" s="384" t="n"/>
      <c r="X197" s="645">
        <f>IF(_epmOfflineCondition_,"I_E100173",EPMOlapMemberO("[C_INTERCO].[PARENTH1].[I_E100173]","","I_E100173","","000"))</f>
        <v/>
      </c>
      <c r="Y197" s="870">
        <f>IF(_epmOfflineCondition_,"京能秦皇岛热电有限公司",EPMMemberDesc(X197))</f>
        <v/>
      </c>
      <c r="Z197" s="1302" t="n"/>
      <c r="AA197" s="1302" t="n"/>
      <c r="AB197" s="858" t="n"/>
      <c r="AC197" s="1302" t="n"/>
      <c r="AD197" s="1302" t="n"/>
      <c r="AE197" s="1302" t="inlineStr"/>
      <c r="AF197" s="1302" t="inlineStr"/>
      <c r="AG197" s="1302" t="inlineStr"/>
      <c r="AH197" s="1302" t="n"/>
      <c r="AI197" s="1302" t="n"/>
      <c r="AJ197" s="1302" t="n"/>
      <c r="AK197" s="1302">
        <f>AI197-AJ197</f>
        <v/>
      </c>
      <c r="AL197" s="858" t="n"/>
      <c r="AM197" s="1297" t="inlineStr"/>
      <c r="AN197" s="1298" t="n"/>
      <c r="AO197" s="13">
        <f>IF(_epmOfflineCondition_,0,EPMSaveDataOnly(AB197,,AB$29,AB$25,AB$26,AB$31,AB$32,$AA$37,AO$14,AO$15,AO$16,AO$17,AO$18,X197))</f>
        <v/>
      </c>
      <c r="AP197" s="13">
        <f>IF(_epmOfflineCondition_,0,EPMSaveDataOnly(AL197,,AL$29,AL$25,AL$26,AL$31,AL$32,$AA$37,AP$14,AP$15,AP$16,AP$17,AP$18,$X197))</f>
        <v/>
      </c>
      <c r="AQ197" s="13">
        <f>IF(_epmOfflineCondition_,0,EPMSaveData(AM197,,AM$29,AM$25,AM$26,$C$6,AM$32,$AA$37,AQ$14,AQ$15,AQ$16,AQ$17,AQ$18,$X197))</f>
        <v/>
      </c>
      <c r="AR197" s="13">
        <f>IF(_epmOfflineCondition_,0,EPMSaveDataOnly(AN197,,AN$29,AN$25,AN$26,AN$31,AN$32,$AA$37,AR$14,AR$15,AR$16,AR$17,AR$18,$X197))</f>
        <v/>
      </c>
      <c r="AS197" s="384" t="n"/>
    </row>
    <row r="198" hidden="1" ht="15.75" customHeight="1" s="1181">
      <c r="A198" s="384" t="n"/>
      <c r="B198" s="384" t="n"/>
      <c r="C198" s="384" t="n"/>
      <c r="D198" s="384" t="n"/>
      <c r="E198" s="384" t="n"/>
      <c r="F198" s="384" t="n"/>
      <c r="G198" s="384" t="n"/>
      <c r="H198" s="384" t="n"/>
      <c r="I198" s="384" t="n"/>
      <c r="J198" s="384" t="n"/>
      <c r="K198" s="384" t="n"/>
      <c r="L198" s="384" t="n"/>
      <c r="M198" s="384" t="n"/>
      <c r="N198" s="384" t="n"/>
      <c r="O198" s="384" t="n"/>
      <c r="P198" s="384" t="n"/>
      <c r="Q198" s="384" t="n"/>
      <c r="R198" s="384" t="n"/>
      <c r="S198" s="384" t="n"/>
      <c r="T198" s="384" t="n"/>
      <c r="U198" s="384" t="n"/>
      <c r="V198" s="384" t="n"/>
      <c r="W198" s="384" t="n"/>
      <c r="X198" s="645">
        <f>IF(_epmOfflineCondition_,"I_E100174",EPMOlapMemberO("[C_INTERCO].[PARENTH1].[I_E100174]","","I_E100174","","000"))</f>
        <v/>
      </c>
      <c r="Y198" s="870">
        <f>IF(_epmOfflineCondition_,"河南京能滑州热电有限责任公司",EPMMemberDesc(X198))</f>
        <v/>
      </c>
      <c r="Z198" s="1302" t="n"/>
      <c r="AA198" s="1302" t="n"/>
      <c r="AB198" s="858" t="n"/>
      <c r="AC198" s="1302" t="n"/>
      <c r="AD198" s="1302" t="n"/>
      <c r="AE198" s="1302" t="inlineStr"/>
      <c r="AF198" s="1302" t="inlineStr"/>
      <c r="AG198" s="1302" t="inlineStr"/>
      <c r="AH198" s="1302" t="n"/>
      <c r="AI198" s="1302" t="n"/>
      <c r="AJ198" s="1302" t="n"/>
      <c r="AK198" s="1302">
        <f>AI198-AJ198</f>
        <v/>
      </c>
      <c r="AL198" s="858" t="n"/>
      <c r="AM198" s="1297" t="inlineStr"/>
      <c r="AN198" s="1298" t="n"/>
      <c r="AO198" s="13">
        <f>IF(_epmOfflineCondition_,0,EPMSaveDataOnly(AB198,,AB$29,AB$25,AB$26,AB$31,AB$32,$AA$37,AO$14,AO$15,AO$16,AO$17,AO$18,X198))</f>
        <v/>
      </c>
      <c r="AP198" s="13">
        <f>IF(_epmOfflineCondition_,0,EPMSaveDataOnly(AL198,,AL$29,AL$25,AL$26,AL$31,AL$32,$AA$37,AP$14,AP$15,AP$16,AP$17,AP$18,$X198))</f>
        <v/>
      </c>
      <c r="AQ198" s="13">
        <f>IF(_epmOfflineCondition_,0,EPMSaveData(AM198,,AM$29,AM$25,AM$26,$C$6,AM$32,$AA$37,AQ$14,AQ$15,AQ$16,AQ$17,AQ$18,$X198))</f>
        <v/>
      </c>
      <c r="AR198" s="13">
        <f>IF(_epmOfflineCondition_,0,EPMSaveDataOnly(AN198,,AN$29,AN$25,AN$26,AN$31,AN$32,$AA$37,AR$14,AR$15,AR$16,AR$17,AR$18,$X198))</f>
        <v/>
      </c>
      <c r="AS198" s="384" t="n"/>
    </row>
    <row r="199" hidden="1" ht="15.75" customHeight="1" s="1181">
      <c r="A199" s="384" t="n"/>
      <c r="B199" s="384" t="n"/>
      <c r="C199" s="384" t="n"/>
      <c r="D199" s="384" t="n"/>
      <c r="E199" s="384" t="n"/>
      <c r="F199" s="384" t="n"/>
      <c r="G199" s="384" t="n"/>
      <c r="H199" s="384" t="n"/>
      <c r="I199" s="384" t="n"/>
      <c r="J199" s="384" t="n"/>
      <c r="K199" s="384" t="n"/>
      <c r="L199" s="384" t="n"/>
      <c r="M199" s="384" t="n"/>
      <c r="N199" s="384" t="n"/>
      <c r="O199" s="384" t="n"/>
      <c r="P199" s="384" t="n"/>
      <c r="Q199" s="384" t="n"/>
      <c r="R199" s="384" t="n"/>
      <c r="S199" s="384" t="n"/>
      <c r="T199" s="384" t="n"/>
      <c r="U199" s="384" t="n"/>
      <c r="V199" s="384" t="n"/>
      <c r="W199" s="384" t="n"/>
      <c r="X199" s="645">
        <f>IF(_epmOfflineCondition_,"I_E100175",EPMOlapMemberO("[C_INTERCO].[PARENTH1].[I_E100175]","","I_E100175","","000"))</f>
        <v/>
      </c>
      <c r="Y199" s="870">
        <f>IF(_epmOfflineCondition_,"江西宜春京能热电有限责任公司",EPMMemberDesc(X199))</f>
        <v/>
      </c>
      <c r="Z199" s="1302" t="n"/>
      <c r="AA199" s="1302" t="n"/>
      <c r="AB199" s="858" t="n"/>
      <c r="AC199" s="1302" t="n"/>
      <c r="AD199" s="1302" t="n"/>
      <c r="AE199" s="1302" t="inlineStr"/>
      <c r="AF199" s="1302" t="inlineStr"/>
      <c r="AG199" s="1302" t="inlineStr"/>
      <c r="AH199" s="1302" t="n"/>
      <c r="AI199" s="1302" t="n"/>
      <c r="AJ199" s="1302" t="n"/>
      <c r="AK199" s="1302">
        <f>AI199-AJ199</f>
        <v/>
      </c>
      <c r="AL199" s="858" t="n"/>
      <c r="AM199" s="1297" t="inlineStr"/>
      <c r="AN199" s="1298" t="n"/>
      <c r="AO199" s="13">
        <f>IF(_epmOfflineCondition_,0,EPMSaveDataOnly(AB199,,AB$29,AB$25,AB$26,AB$31,AB$32,$AA$37,AO$14,AO$15,AO$16,AO$17,AO$18,X199))</f>
        <v/>
      </c>
      <c r="AP199" s="13">
        <f>IF(_epmOfflineCondition_,0,EPMSaveDataOnly(AL199,,AL$29,AL$25,AL$26,AL$31,AL$32,$AA$37,AP$14,AP$15,AP$16,AP$17,AP$18,$X199))</f>
        <v/>
      </c>
      <c r="AQ199" s="13">
        <f>IF(_epmOfflineCondition_,0,EPMSaveData(AM199,,AM$29,AM$25,AM$26,$C$6,AM$32,$AA$37,AQ$14,AQ$15,AQ$16,AQ$17,AQ$18,$X199))</f>
        <v/>
      </c>
      <c r="AR199" s="13">
        <f>IF(_epmOfflineCondition_,0,EPMSaveDataOnly(AN199,,AN$29,AN$25,AN$26,AN$31,AN$32,$AA$37,AR$14,AR$15,AR$16,AR$17,AR$18,$X199))</f>
        <v/>
      </c>
      <c r="AS199" s="384" t="n"/>
    </row>
    <row r="200" hidden="1" ht="15.75" customHeight="1" s="1181">
      <c r="A200" s="384" t="n"/>
      <c r="B200" s="384" t="n"/>
      <c r="C200" s="384" t="n"/>
      <c r="D200" s="384" t="n"/>
      <c r="E200" s="384" t="n"/>
      <c r="F200" s="384" t="n"/>
      <c r="G200" s="384" t="n"/>
      <c r="H200" s="384" t="n"/>
      <c r="I200" s="384" t="n"/>
      <c r="J200" s="384" t="n"/>
      <c r="K200" s="384" t="n"/>
      <c r="L200" s="384" t="n"/>
      <c r="M200" s="384" t="n"/>
      <c r="N200" s="384" t="n"/>
      <c r="O200" s="384" t="n"/>
      <c r="P200" s="384" t="n"/>
      <c r="Q200" s="384" t="n"/>
      <c r="R200" s="384" t="n"/>
      <c r="S200" s="384" t="n"/>
      <c r="T200" s="384" t="n"/>
      <c r="U200" s="384" t="n"/>
      <c r="V200" s="384" t="n"/>
      <c r="W200" s="384" t="n"/>
      <c r="X200" s="645">
        <f>IF(_epmOfflineCondition_,"I_E100177",EPMOlapMemberO("[C_INTERCO].[PARENTH1].[I_E100177]","","I_E100177","","000"))</f>
        <v/>
      </c>
      <c r="Y200" s="870">
        <f>IF(_epmOfflineCondition_,"青岛京能智汇综合能源有限公司",EPMMemberDesc(X200))</f>
        <v/>
      </c>
      <c r="Z200" s="1302" t="n"/>
      <c r="AA200" s="1302" t="n"/>
      <c r="AB200" s="858" t="n"/>
      <c r="AC200" s="1302" t="n"/>
      <c r="AD200" s="1302" t="n"/>
      <c r="AE200" s="1302" t="inlineStr"/>
      <c r="AF200" s="1302" t="inlineStr"/>
      <c r="AG200" s="1302" t="inlineStr"/>
      <c r="AH200" s="1302" t="n"/>
      <c r="AI200" s="1302" t="n"/>
      <c r="AJ200" s="1302" t="n"/>
      <c r="AK200" s="1302">
        <f>AI200-AJ200</f>
        <v/>
      </c>
      <c r="AL200" s="858" t="n"/>
      <c r="AM200" s="1297" t="inlineStr"/>
      <c r="AN200" s="1298" t="n"/>
      <c r="AO200" s="13">
        <f>IF(_epmOfflineCondition_,0,EPMSaveDataOnly(AB200,,AB$29,AB$25,AB$26,AB$31,AB$32,$AA$37,AO$14,AO$15,AO$16,AO$17,AO$18,X200))</f>
        <v/>
      </c>
      <c r="AP200" s="13">
        <f>IF(_epmOfflineCondition_,0,EPMSaveDataOnly(AL200,,AL$29,AL$25,AL$26,AL$31,AL$32,$AA$37,AP$14,AP$15,AP$16,AP$17,AP$18,$X200))</f>
        <v/>
      </c>
      <c r="AQ200" s="13">
        <f>IF(_epmOfflineCondition_,0,EPMSaveData(AM200,,AM$29,AM$25,AM$26,$C$6,AM$32,$AA$37,AQ$14,AQ$15,AQ$16,AQ$17,AQ$18,$X200))</f>
        <v/>
      </c>
      <c r="AR200" s="13">
        <f>IF(_epmOfflineCondition_,0,EPMSaveDataOnly(AN200,,AN$29,AN$25,AN$26,AN$31,AN$32,$AA$37,AR$14,AR$15,AR$16,AR$17,AR$18,$X200))</f>
        <v/>
      </c>
      <c r="AS200" s="384" t="n"/>
    </row>
    <row r="201" hidden="1" ht="15.75" customHeight="1" s="1181">
      <c r="A201" s="384" t="n"/>
      <c r="B201" s="384" t="n"/>
      <c r="C201" s="384" t="n"/>
      <c r="D201" s="384" t="n"/>
      <c r="E201" s="384" t="n"/>
      <c r="F201" s="384" t="n"/>
      <c r="G201" s="384" t="n"/>
      <c r="H201" s="384" t="n"/>
      <c r="I201" s="384" t="n"/>
      <c r="J201" s="384" t="n"/>
      <c r="K201" s="384" t="n"/>
      <c r="L201" s="384" t="n"/>
      <c r="M201" s="384" t="n"/>
      <c r="N201" s="384" t="n"/>
      <c r="O201" s="384" t="n"/>
      <c r="P201" s="384" t="n"/>
      <c r="Q201" s="384" t="n"/>
      <c r="R201" s="384" t="n"/>
      <c r="S201" s="384" t="n"/>
      <c r="T201" s="384" t="n"/>
      <c r="U201" s="384" t="n"/>
      <c r="V201" s="384" t="n"/>
      <c r="W201" s="384" t="n"/>
      <c r="X201" s="645">
        <f>IF(_epmOfflineCondition_,"I_E100179",EPMOlapMemberO("[C_INTERCO].[PARENTH1].[I_E100179]","","I_E100179","","000"))</f>
        <v/>
      </c>
      <c r="Y201" s="870">
        <f>IF(_epmOfflineCondition_,"山西京能售电有限责任公司",EPMMemberDesc(X201))</f>
        <v/>
      </c>
      <c r="Z201" s="1302" t="n"/>
      <c r="AA201" s="1302" t="n"/>
      <c r="AB201" s="858" t="n"/>
      <c r="AC201" s="1302" t="n"/>
      <c r="AD201" s="1302" t="n"/>
      <c r="AE201" s="1302" t="inlineStr"/>
      <c r="AF201" s="1302" t="inlineStr"/>
      <c r="AG201" s="1302" t="inlineStr"/>
      <c r="AH201" s="1302" t="n"/>
      <c r="AI201" s="1302" t="n"/>
      <c r="AJ201" s="1302" t="n"/>
      <c r="AK201" s="1302">
        <f>AI201-AJ201</f>
        <v/>
      </c>
      <c r="AL201" s="858" t="n"/>
      <c r="AM201" s="1297" t="inlineStr"/>
      <c r="AN201" s="1298" t="n"/>
      <c r="AO201" s="13">
        <f>IF(_epmOfflineCondition_,0,EPMSaveDataOnly(AB201,,AB$29,AB$25,AB$26,AB$31,AB$32,$AA$37,AO$14,AO$15,AO$16,AO$17,AO$18,X201))</f>
        <v/>
      </c>
      <c r="AP201" s="13">
        <f>IF(_epmOfflineCondition_,0,EPMSaveDataOnly(AL201,,AL$29,AL$25,AL$26,AL$31,AL$32,$AA$37,AP$14,AP$15,AP$16,AP$17,AP$18,$X201))</f>
        <v/>
      </c>
      <c r="AQ201" s="13">
        <f>IF(_epmOfflineCondition_,0,EPMSaveData(AM201,,AM$29,AM$25,AM$26,$C$6,AM$32,$AA$37,AQ$14,AQ$15,AQ$16,AQ$17,AQ$18,$X201))</f>
        <v/>
      </c>
      <c r="AR201" s="13">
        <f>IF(_epmOfflineCondition_,0,EPMSaveDataOnly(AN201,,AN$29,AN$25,AN$26,AN$31,AN$32,$AA$37,AR$14,AR$15,AR$16,AR$17,AR$18,$X201))</f>
        <v/>
      </c>
      <c r="AS201" s="384" t="n"/>
    </row>
    <row r="202" hidden="1" ht="15.75" customHeight="1" s="1181">
      <c r="A202" s="384" t="n"/>
      <c r="B202" s="384" t="n"/>
      <c r="C202" s="384" t="n"/>
      <c r="D202" s="384" t="n"/>
      <c r="E202" s="384" t="n"/>
      <c r="F202" s="384" t="n"/>
      <c r="G202" s="384" t="n"/>
      <c r="H202" s="384" t="n"/>
      <c r="I202" s="384" t="n"/>
      <c r="J202" s="384" t="n"/>
      <c r="K202" s="384" t="n"/>
      <c r="L202" s="384" t="n"/>
      <c r="M202" s="384" t="n"/>
      <c r="N202" s="384" t="n"/>
      <c r="O202" s="384" t="n"/>
      <c r="P202" s="384" t="n"/>
      <c r="Q202" s="384" t="n"/>
      <c r="R202" s="384" t="n"/>
      <c r="S202" s="384" t="n"/>
      <c r="T202" s="384" t="n"/>
      <c r="U202" s="384" t="n"/>
      <c r="V202" s="384" t="n"/>
      <c r="W202" s="384" t="n"/>
      <c r="X202" s="645">
        <f>IF(_epmOfflineCondition_,"I_E100180",EPMOlapMemberO("[C_INTERCO].[PARENTH1].[I_E100180]","","I_E100180","","000"))</f>
        <v/>
      </c>
      <c r="Y202" s="870">
        <f>IF(_epmOfflineCondition_,"内蒙古京能能源开发有限责任公司",EPMMemberDesc(X202))</f>
        <v/>
      </c>
      <c r="Z202" s="1302" t="n"/>
      <c r="AA202" s="1302" t="n"/>
      <c r="AB202" s="858" t="n"/>
      <c r="AC202" s="1302" t="n"/>
      <c r="AD202" s="1302" t="n"/>
      <c r="AE202" s="1302" t="inlineStr"/>
      <c r="AF202" s="1302" t="inlineStr"/>
      <c r="AG202" s="1302" t="inlineStr"/>
      <c r="AH202" s="1302" t="n"/>
      <c r="AI202" s="1302" t="n"/>
      <c r="AJ202" s="1302" t="n"/>
      <c r="AK202" s="1302">
        <f>AI202-AJ202</f>
        <v/>
      </c>
      <c r="AL202" s="858" t="n"/>
      <c r="AM202" s="1297" t="inlineStr"/>
      <c r="AN202" s="1298" t="n"/>
      <c r="AO202" s="13">
        <f>IF(_epmOfflineCondition_,0,EPMSaveDataOnly(AB202,,AB$29,AB$25,AB$26,AB$31,AB$32,$AA$37,AO$14,AO$15,AO$16,AO$17,AO$18,X202))</f>
        <v/>
      </c>
      <c r="AP202" s="13">
        <f>IF(_epmOfflineCondition_,0,EPMSaveDataOnly(AL202,,AL$29,AL$25,AL$26,AL$31,AL$32,$AA$37,AP$14,AP$15,AP$16,AP$17,AP$18,$X202))</f>
        <v/>
      </c>
      <c r="AQ202" s="13">
        <f>IF(_epmOfflineCondition_,0,EPMSaveData(AM202,,AM$29,AM$25,AM$26,$C$6,AM$32,$AA$37,AQ$14,AQ$15,AQ$16,AQ$17,AQ$18,$X202))</f>
        <v/>
      </c>
      <c r="AR202" s="13">
        <f>IF(_epmOfflineCondition_,0,EPMSaveDataOnly(AN202,,AN$29,AN$25,AN$26,AN$31,AN$32,$AA$37,AR$14,AR$15,AR$16,AR$17,AR$18,$X202))</f>
        <v/>
      </c>
      <c r="AS202" s="384" t="n"/>
    </row>
    <row r="203" hidden="1" ht="15.75" customHeight="1" s="1181">
      <c r="A203" s="384" t="n"/>
      <c r="B203" s="384" t="n"/>
      <c r="C203" s="384" t="n"/>
      <c r="D203" s="384" t="n"/>
      <c r="E203" s="384" t="n"/>
      <c r="F203" s="384" t="n"/>
      <c r="G203" s="384" t="n"/>
      <c r="H203" s="384" t="n"/>
      <c r="I203" s="384" t="n"/>
      <c r="J203" s="384" t="n"/>
      <c r="K203" s="384" t="n"/>
      <c r="L203" s="384" t="n"/>
      <c r="M203" s="384" t="n"/>
      <c r="N203" s="384" t="n"/>
      <c r="O203" s="384" t="n"/>
      <c r="P203" s="384" t="n"/>
      <c r="Q203" s="384" t="n"/>
      <c r="R203" s="384" t="n"/>
      <c r="S203" s="384" t="n"/>
      <c r="T203" s="384" t="n"/>
      <c r="U203" s="384" t="n"/>
      <c r="V203" s="384" t="n"/>
      <c r="W203" s="384" t="n"/>
      <c r="X203" s="645">
        <f>IF(_epmOfflineCondition_,"I_E100181",EPMOlapMemberO("[C_INTERCO].[PARENTH1].[I_E100181]","","I_E100181","","000"))</f>
        <v/>
      </c>
      <c r="Y203" s="870">
        <f>IF(_epmOfflineCondition_,"内蒙古京能能源服务有限公司",EPMMemberDesc(X203))</f>
        <v/>
      </c>
      <c r="Z203" s="1302" t="n"/>
      <c r="AA203" s="1302" t="n"/>
      <c r="AB203" s="858" t="n"/>
      <c r="AC203" s="1302" t="n"/>
      <c r="AD203" s="1302" t="n"/>
      <c r="AE203" s="1302" t="inlineStr"/>
      <c r="AF203" s="1302" t="inlineStr"/>
      <c r="AG203" s="1302" t="inlineStr"/>
      <c r="AH203" s="1302" t="n"/>
      <c r="AI203" s="1302" t="n"/>
      <c r="AJ203" s="1302" t="n"/>
      <c r="AK203" s="1302">
        <f>AI203-AJ203</f>
        <v/>
      </c>
      <c r="AL203" s="858" t="n"/>
      <c r="AM203" s="1297" t="inlineStr"/>
      <c r="AN203" s="1298" t="n"/>
      <c r="AO203" s="13">
        <f>IF(_epmOfflineCondition_,0,EPMSaveDataOnly(AB203,,AB$29,AB$25,AB$26,AB$31,AB$32,$AA$37,AO$14,AO$15,AO$16,AO$17,AO$18,X203))</f>
        <v/>
      </c>
      <c r="AP203" s="13">
        <f>IF(_epmOfflineCondition_,0,EPMSaveDataOnly(AL203,,AL$29,AL$25,AL$26,AL$31,AL$32,$AA$37,AP$14,AP$15,AP$16,AP$17,AP$18,$X203))</f>
        <v/>
      </c>
      <c r="AQ203" s="13">
        <f>IF(_epmOfflineCondition_,0,EPMSaveData(AM203,,AM$29,AM$25,AM$26,$C$6,AM$32,$AA$37,AQ$14,AQ$15,AQ$16,AQ$17,AQ$18,$X203))</f>
        <v/>
      </c>
      <c r="AR203" s="13">
        <f>IF(_epmOfflineCondition_,0,EPMSaveDataOnly(AN203,,AN$29,AN$25,AN$26,AN$31,AN$32,$AA$37,AR$14,AR$15,AR$16,AR$17,AR$18,$X203))</f>
        <v/>
      </c>
      <c r="AS203" s="384" t="n"/>
    </row>
    <row r="204" hidden="1" ht="15.75" customHeight="1" s="1181">
      <c r="A204" s="384" t="n"/>
      <c r="B204" s="384" t="n"/>
      <c r="C204" s="384" t="n"/>
      <c r="D204" s="384" t="n"/>
      <c r="E204" s="384" t="n"/>
      <c r="F204" s="384" t="n"/>
      <c r="G204" s="384" t="n"/>
      <c r="H204" s="384" t="n"/>
      <c r="I204" s="384" t="n"/>
      <c r="J204" s="384" t="n"/>
      <c r="K204" s="384" t="n"/>
      <c r="L204" s="384" t="n"/>
      <c r="M204" s="384" t="n"/>
      <c r="N204" s="384" t="n"/>
      <c r="O204" s="384" t="n"/>
      <c r="P204" s="384" t="n"/>
      <c r="Q204" s="384" t="n"/>
      <c r="R204" s="384" t="n"/>
      <c r="S204" s="384" t="n"/>
      <c r="T204" s="384" t="n"/>
      <c r="U204" s="384" t="n"/>
      <c r="V204" s="384" t="n"/>
      <c r="W204" s="384" t="n"/>
      <c r="X204" s="645">
        <f>IF(_epmOfflineCondition_,"I_E100182",EPMOlapMemberO("[C_INTERCO].[PARENTH1].[I_E100182]","","I_E100182","","000"))</f>
        <v/>
      </c>
      <c r="Y204" s="870">
        <f>IF(_epmOfflineCondition_,"内蒙古京能检修工程管理有限公司",EPMMemberDesc(X204))</f>
        <v/>
      </c>
      <c r="Z204" s="1302" t="n"/>
      <c r="AA204" s="1302" t="n"/>
      <c r="AB204" s="858" t="n"/>
      <c r="AC204" s="1302" t="n"/>
      <c r="AD204" s="1302" t="n"/>
      <c r="AE204" s="1302" t="inlineStr"/>
      <c r="AF204" s="1302" t="inlineStr"/>
      <c r="AG204" s="1302" t="inlineStr"/>
      <c r="AH204" s="1302" t="n"/>
      <c r="AI204" s="1302" t="n"/>
      <c r="AJ204" s="1302" t="n"/>
      <c r="AK204" s="1302">
        <f>AI204-AJ204</f>
        <v/>
      </c>
      <c r="AL204" s="858" t="n"/>
      <c r="AM204" s="1297" t="inlineStr"/>
      <c r="AN204" s="1298" t="n"/>
      <c r="AO204" s="13">
        <f>IF(_epmOfflineCondition_,0,EPMSaveDataOnly(AB204,,AB$29,AB$25,AB$26,AB$31,AB$32,$AA$37,AO$14,AO$15,AO$16,AO$17,AO$18,X204))</f>
        <v/>
      </c>
      <c r="AP204" s="13">
        <f>IF(_epmOfflineCondition_,0,EPMSaveDataOnly(AL204,,AL$29,AL$25,AL$26,AL$31,AL$32,$AA$37,AP$14,AP$15,AP$16,AP$17,AP$18,$X204))</f>
        <v/>
      </c>
      <c r="AQ204" s="13">
        <f>IF(_epmOfflineCondition_,0,EPMSaveData(AM204,,AM$29,AM$25,AM$26,$C$6,AM$32,$AA$37,AQ$14,AQ$15,AQ$16,AQ$17,AQ$18,$X204))</f>
        <v/>
      </c>
      <c r="AR204" s="13">
        <f>IF(_epmOfflineCondition_,0,EPMSaveDataOnly(AN204,,AN$29,AN$25,AN$26,AN$31,AN$32,$AA$37,AR$14,AR$15,AR$16,AR$17,AR$18,$X204))</f>
        <v/>
      </c>
      <c r="AS204" s="384" t="n"/>
    </row>
    <row r="205" hidden="1" ht="15.75" customHeight="1" s="1181">
      <c r="A205" s="384" t="n"/>
      <c r="B205" s="384" t="n"/>
      <c r="C205" s="384" t="n"/>
      <c r="D205" s="384" t="n"/>
      <c r="E205" s="384" t="n"/>
      <c r="F205" s="384" t="n"/>
      <c r="G205" s="384" t="n"/>
      <c r="H205" s="384" t="n"/>
      <c r="I205" s="384" t="n"/>
      <c r="J205" s="384" t="n"/>
      <c r="K205" s="384" t="n"/>
      <c r="L205" s="384" t="n"/>
      <c r="M205" s="384" t="n"/>
      <c r="N205" s="384" t="n"/>
      <c r="O205" s="384" t="n"/>
      <c r="P205" s="384" t="n"/>
      <c r="Q205" s="384" t="n"/>
      <c r="R205" s="384" t="n"/>
      <c r="S205" s="384" t="n"/>
      <c r="T205" s="384" t="n"/>
      <c r="U205" s="384" t="n"/>
      <c r="V205" s="384" t="n"/>
      <c r="W205" s="384" t="n"/>
      <c r="X205" s="645">
        <f>IF(_epmOfflineCondition_,"I_E100183",EPMOlapMemberO("[C_INTERCO].[PARENTH1].[I_E100183]","","I_E100183","","000"))</f>
        <v/>
      </c>
      <c r="Y205" s="870">
        <f>IF(_epmOfflineCondition_,"内蒙古兴海电力服务有限责任公司",EPMMemberDesc(X205))</f>
        <v/>
      </c>
      <c r="Z205" s="1302" t="n"/>
      <c r="AA205" s="1302" t="n"/>
      <c r="AB205" s="858" t="n"/>
      <c r="AC205" s="1302" t="n"/>
      <c r="AD205" s="1302" t="n"/>
      <c r="AE205" s="1302" t="inlineStr"/>
      <c r="AF205" s="1302" t="inlineStr"/>
      <c r="AG205" s="1302" t="inlineStr"/>
      <c r="AH205" s="1302" t="n"/>
      <c r="AI205" s="1302" t="n"/>
      <c r="AJ205" s="1302" t="n"/>
      <c r="AK205" s="1302">
        <f>AI205-AJ205</f>
        <v/>
      </c>
      <c r="AL205" s="858" t="n"/>
      <c r="AM205" s="1297" t="inlineStr"/>
      <c r="AN205" s="1298" t="n"/>
      <c r="AO205" s="13">
        <f>IF(_epmOfflineCondition_,0,EPMSaveDataOnly(AB205,,AB$29,AB$25,AB$26,AB$31,AB$32,$AA$37,AO$14,AO$15,AO$16,AO$17,AO$18,X205))</f>
        <v/>
      </c>
      <c r="AP205" s="13">
        <f>IF(_epmOfflineCondition_,0,EPMSaveDataOnly(AL205,,AL$29,AL$25,AL$26,AL$31,AL$32,$AA$37,AP$14,AP$15,AP$16,AP$17,AP$18,$X205))</f>
        <v/>
      </c>
      <c r="AQ205" s="13">
        <f>IF(_epmOfflineCondition_,0,EPMSaveData(AM205,,AM$29,AM$25,AM$26,$C$6,AM$32,$AA$37,AQ$14,AQ$15,AQ$16,AQ$17,AQ$18,$X205))</f>
        <v/>
      </c>
      <c r="AR205" s="13">
        <f>IF(_epmOfflineCondition_,0,EPMSaveDataOnly(AN205,,AN$29,AN$25,AN$26,AN$31,AN$32,$AA$37,AR$14,AR$15,AR$16,AR$17,AR$18,$X205))</f>
        <v/>
      </c>
      <c r="AS205" s="384" t="n"/>
    </row>
    <row r="206" hidden="1" ht="15.75" customHeight="1" s="1181">
      <c r="A206" s="384" t="n"/>
      <c r="B206" s="384" t="n"/>
      <c r="C206" s="384" t="n"/>
      <c r="D206" s="384" t="n"/>
      <c r="E206" s="384" t="n"/>
      <c r="F206" s="384" t="n"/>
      <c r="G206" s="384" t="n"/>
      <c r="H206" s="384" t="n"/>
      <c r="I206" s="384" t="n"/>
      <c r="J206" s="384" t="n"/>
      <c r="K206" s="384" t="n"/>
      <c r="L206" s="384" t="n"/>
      <c r="M206" s="384" t="n"/>
      <c r="N206" s="384" t="n"/>
      <c r="O206" s="384" t="n"/>
      <c r="P206" s="384" t="n"/>
      <c r="Q206" s="384" t="n"/>
      <c r="R206" s="384" t="n"/>
      <c r="S206" s="384" t="n"/>
      <c r="T206" s="384" t="n"/>
      <c r="U206" s="384" t="n"/>
      <c r="V206" s="384" t="n"/>
      <c r="W206" s="384" t="n"/>
      <c r="X206" s="645">
        <f>IF(_epmOfflineCondition_,"I_E100185",EPMOlapMemberO("[C_INTERCO].[PARENTH1].[I_E100185]","","I_E100185","","000"))</f>
        <v/>
      </c>
      <c r="Y206" s="870">
        <f>IF(_epmOfflineCondition_,"河南通源热力有限公司",EPMMemberDesc(X206))</f>
        <v/>
      </c>
      <c r="Z206" s="1302" t="n"/>
      <c r="AA206" s="1302" t="n"/>
      <c r="AB206" s="858" t="n"/>
      <c r="AC206" s="1302" t="n"/>
      <c r="AD206" s="1302" t="n"/>
      <c r="AE206" s="1302" t="inlineStr"/>
      <c r="AF206" s="1302" t="inlineStr"/>
      <c r="AG206" s="1302" t="inlineStr"/>
      <c r="AH206" s="1302" t="n"/>
      <c r="AI206" s="1302" t="n"/>
      <c r="AJ206" s="1302" t="n"/>
      <c r="AK206" s="1302">
        <f>AI206-AJ206</f>
        <v/>
      </c>
      <c r="AL206" s="858" t="n"/>
      <c r="AM206" s="1297" t="inlineStr"/>
      <c r="AN206" s="1298" t="n"/>
      <c r="AO206" s="13">
        <f>IF(_epmOfflineCondition_,0,EPMSaveDataOnly(AB206,,AB$29,AB$25,AB$26,AB$31,AB$32,$AA$37,AO$14,AO$15,AO$16,AO$17,AO$18,X206))</f>
        <v/>
      </c>
      <c r="AP206" s="13">
        <f>IF(_epmOfflineCondition_,0,EPMSaveDataOnly(AL206,,AL$29,AL$25,AL$26,AL$31,AL$32,$AA$37,AP$14,AP$15,AP$16,AP$17,AP$18,$X206))</f>
        <v/>
      </c>
      <c r="AQ206" s="13">
        <f>IF(_epmOfflineCondition_,0,EPMSaveData(AM206,,AM$29,AM$25,AM$26,$C$6,AM$32,$AA$37,AQ$14,AQ$15,AQ$16,AQ$17,AQ$18,$X206))</f>
        <v/>
      </c>
      <c r="AR206" s="13">
        <f>IF(_epmOfflineCondition_,0,EPMSaveDataOnly(AN206,,AN$29,AN$25,AN$26,AN$31,AN$32,$AA$37,AR$14,AR$15,AR$16,AR$17,AR$18,$X206))</f>
        <v/>
      </c>
      <c r="AS206" s="384" t="n"/>
    </row>
    <row r="207" hidden="1" ht="15.75" customHeight="1" s="1181">
      <c r="A207" s="384" t="n"/>
      <c r="B207" s="384" t="n"/>
      <c r="C207" s="384" t="n"/>
      <c r="D207" s="384" t="n"/>
      <c r="E207" s="384" t="n"/>
      <c r="F207" s="384" t="n"/>
      <c r="G207" s="384" t="n"/>
      <c r="H207" s="384" t="n"/>
      <c r="I207" s="384" t="n"/>
      <c r="J207" s="384" t="n"/>
      <c r="K207" s="384" t="n"/>
      <c r="L207" s="384" t="n"/>
      <c r="M207" s="384" t="n"/>
      <c r="N207" s="384" t="n"/>
      <c r="O207" s="384" t="n"/>
      <c r="P207" s="384" t="n"/>
      <c r="Q207" s="384" t="n"/>
      <c r="R207" s="384" t="n"/>
      <c r="S207" s="384" t="n"/>
      <c r="T207" s="384" t="n"/>
      <c r="U207" s="384" t="n"/>
      <c r="V207" s="384" t="n"/>
      <c r="W207" s="384" t="n"/>
      <c r="X207" s="645">
        <f>IF(_epmOfflineCondition_,"I_E100186",EPMOlapMemberO("[C_INTERCO].[PARENTH1].[I_E100186]","","I_E100186","","000"))</f>
        <v/>
      </c>
      <c r="Y207" s="870">
        <f>IF(_epmOfflineCondition_,"京能东风（十堰）能源发展有限公司",EPMMemberDesc(X207))</f>
        <v/>
      </c>
      <c r="Z207" s="1302" t="n"/>
      <c r="AA207" s="1302" t="n"/>
      <c r="AB207" s="858" t="n"/>
      <c r="AC207" s="1302" t="n"/>
      <c r="AD207" s="1302" t="n"/>
      <c r="AE207" s="1302" t="inlineStr"/>
      <c r="AF207" s="1302" t="inlineStr"/>
      <c r="AG207" s="1302" t="inlineStr"/>
      <c r="AH207" s="1302" t="n"/>
      <c r="AI207" s="1302" t="n"/>
      <c r="AJ207" s="1302" t="n"/>
      <c r="AK207" s="1302">
        <f>AI207-AJ207</f>
        <v/>
      </c>
      <c r="AL207" s="858" t="n"/>
      <c r="AM207" s="1297" t="inlineStr"/>
      <c r="AN207" s="1298" t="n"/>
      <c r="AO207" s="13">
        <f>IF(_epmOfflineCondition_,0,EPMSaveDataOnly(AB207,,AB$29,AB$25,AB$26,AB$31,AB$32,$AA$37,AO$14,AO$15,AO$16,AO$17,AO$18,X207))</f>
        <v/>
      </c>
      <c r="AP207" s="13">
        <f>IF(_epmOfflineCondition_,0,EPMSaveDataOnly(AL207,,AL$29,AL$25,AL$26,AL$31,AL$32,$AA$37,AP$14,AP$15,AP$16,AP$17,AP$18,$X207))</f>
        <v/>
      </c>
      <c r="AQ207" s="13">
        <f>IF(_epmOfflineCondition_,0,EPMSaveData(AM207,,AM$29,AM$25,AM$26,$C$6,AM$32,$AA$37,AQ$14,AQ$15,AQ$16,AQ$17,AQ$18,$X207))</f>
        <v/>
      </c>
      <c r="AR207" s="13">
        <f>IF(_epmOfflineCondition_,0,EPMSaveDataOnly(AN207,,AN$29,AN$25,AN$26,AN$31,AN$32,$AA$37,AR$14,AR$15,AR$16,AR$17,AR$18,$X207))</f>
        <v/>
      </c>
      <c r="AS207" s="384" t="n"/>
    </row>
    <row r="208" hidden="1" ht="15.75" customHeight="1" s="1181">
      <c r="A208" s="384" t="n"/>
      <c r="B208" s="384" t="n"/>
      <c r="C208" s="384" t="n"/>
      <c r="D208" s="384" t="n"/>
      <c r="E208" s="384" t="n"/>
      <c r="F208" s="384" t="n"/>
      <c r="G208" s="384" t="n"/>
      <c r="H208" s="384" t="n"/>
      <c r="I208" s="384" t="n"/>
      <c r="J208" s="384" t="n"/>
      <c r="K208" s="384" t="n"/>
      <c r="L208" s="384" t="n"/>
      <c r="M208" s="384" t="n"/>
      <c r="N208" s="384" t="n"/>
      <c r="O208" s="384" t="n"/>
      <c r="P208" s="384" t="n"/>
      <c r="Q208" s="384" t="n"/>
      <c r="R208" s="384" t="n"/>
      <c r="S208" s="384" t="n"/>
      <c r="T208" s="384" t="n"/>
      <c r="U208" s="384" t="n"/>
      <c r="V208" s="384" t="n"/>
      <c r="W208" s="384" t="n"/>
      <c r="X208" s="645">
        <f>IF(_epmOfflineCondition_,"I_E100189",EPMOlapMemberO("[C_INTERCO].[PARENTH1].[I_E100189]","","I_E100189","","000"))</f>
        <v/>
      </c>
      <c r="Y208" s="870">
        <f>IF(_epmOfflineCondition_,"京能锡林郭勒能源有限公司",EPMMemberDesc(X208))</f>
        <v/>
      </c>
      <c r="Z208" s="1302" t="n"/>
      <c r="AA208" s="1302" t="n"/>
      <c r="AB208" s="858" t="n"/>
      <c r="AC208" s="1302" t="n"/>
      <c r="AD208" s="1302" t="n"/>
      <c r="AE208" s="1302" t="inlineStr"/>
      <c r="AF208" s="1302" t="inlineStr"/>
      <c r="AG208" s="1302" t="inlineStr"/>
      <c r="AH208" s="1302" t="n"/>
      <c r="AI208" s="1302" t="n"/>
      <c r="AJ208" s="1302" t="n"/>
      <c r="AK208" s="1302">
        <f>AI208-AJ208</f>
        <v/>
      </c>
      <c r="AL208" s="858" t="n"/>
      <c r="AM208" s="1297" t="inlineStr"/>
      <c r="AN208" s="1298" t="n"/>
      <c r="AO208" s="13">
        <f>IF(_epmOfflineCondition_,0,EPMSaveDataOnly(AB208,,AB$29,AB$25,AB$26,AB$31,AB$32,$AA$37,AO$14,AO$15,AO$16,AO$17,AO$18,X208))</f>
        <v/>
      </c>
      <c r="AP208" s="13">
        <f>IF(_epmOfflineCondition_,0,EPMSaveDataOnly(AL208,,AL$29,AL$25,AL$26,AL$31,AL$32,$AA$37,AP$14,AP$15,AP$16,AP$17,AP$18,$X208))</f>
        <v/>
      </c>
      <c r="AQ208" s="13">
        <f>IF(_epmOfflineCondition_,0,EPMSaveData(AM208,,AM$29,AM$25,AM$26,$C$6,AM$32,$AA$37,AQ$14,AQ$15,AQ$16,AQ$17,AQ$18,$X208))</f>
        <v/>
      </c>
      <c r="AR208" s="13">
        <f>IF(_epmOfflineCondition_,0,EPMSaveDataOnly(AN208,,AN$29,AN$25,AN$26,AN$31,AN$32,$AA$37,AR$14,AR$15,AR$16,AR$17,AR$18,$X208))</f>
        <v/>
      </c>
      <c r="AS208" s="384" t="n"/>
    </row>
    <row r="209" hidden="1" ht="15.75" customHeight="1" s="1181">
      <c r="A209" s="384" t="n"/>
      <c r="B209" s="384" t="n"/>
      <c r="C209" s="384" t="n"/>
      <c r="D209" s="384" t="n"/>
      <c r="E209" s="384" t="n"/>
      <c r="F209" s="384" t="n"/>
      <c r="G209" s="384" t="n"/>
      <c r="H209" s="384" t="n"/>
      <c r="I209" s="384" t="n"/>
      <c r="J209" s="384" t="n"/>
      <c r="K209" s="384" t="n"/>
      <c r="L209" s="384" t="n"/>
      <c r="M209" s="384" t="n"/>
      <c r="N209" s="384" t="n"/>
      <c r="O209" s="384" t="n"/>
      <c r="P209" s="384" t="n"/>
      <c r="Q209" s="384" t="n"/>
      <c r="R209" s="384" t="n"/>
      <c r="S209" s="384" t="n"/>
      <c r="T209" s="384" t="n"/>
      <c r="U209" s="384" t="n"/>
      <c r="V209" s="384" t="n"/>
      <c r="W209" s="384" t="n"/>
      <c r="X209" s="645">
        <f>IF(_epmOfflineCondition_,"I_E100191",EPMOlapMemberO("[C_INTERCO].[PARENTH1].[I_E100191]","","I_E100191","","000"))</f>
        <v/>
      </c>
      <c r="Y209" s="870">
        <f>IF(_epmOfflineCondition_,"北京乐多港发展有限公司",EPMMemberDesc(X209))</f>
        <v/>
      </c>
      <c r="Z209" s="1302" t="n"/>
      <c r="AA209" s="1302" t="n"/>
      <c r="AB209" s="858" t="n"/>
      <c r="AC209" s="1302" t="n"/>
      <c r="AD209" s="1302" t="n"/>
      <c r="AE209" s="1302" t="inlineStr"/>
      <c r="AF209" s="1302" t="inlineStr"/>
      <c r="AG209" s="1302" t="inlineStr"/>
      <c r="AH209" s="1302" t="n"/>
      <c r="AI209" s="1302" t="n"/>
      <c r="AJ209" s="1302" t="n"/>
      <c r="AK209" s="1302">
        <f>AI209-AJ209</f>
        <v/>
      </c>
      <c r="AL209" s="858" t="n"/>
      <c r="AM209" s="1297" t="inlineStr"/>
      <c r="AN209" s="1298" t="n"/>
      <c r="AO209" s="13">
        <f>IF(_epmOfflineCondition_,0,EPMSaveDataOnly(AB209,,AB$29,AB$25,AB$26,AB$31,AB$32,$AA$37,AO$14,AO$15,AO$16,AO$17,AO$18,X209))</f>
        <v/>
      </c>
      <c r="AP209" s="13">
        <f>IF(_epmOfflineCondition_,0,EPMSaveDataOnly(AL209,,AL$29,AL$25,AL$26,AL$31,AL$32,$AA$37,AP$14,AP$15,AP$16,AP$17,AP$18,$X209))</f>
        <v/>
      </c>
      <c r="AQ209" s="13">
        <f>IF(_epmOfflineCondition_,0,EPMSaveData(AM209,,AM$29,AM$25,AM$26,$C$6,AM$32,$AA$37,AQ$14,AQ$15,AQ$16,AQ$17,AQ$18,$X209))</f>
        <v/>
      </c>
      <c r="AR209" s="13">
        <f>IF(_epmOfflineCondition_,0,EPMSaveDataOnly(AN209,,AN$29,AN$25,AN$26,AN$31,AN$32,$AA$37,AR$14,AR$15,AR$16,AR$17,AR$18,$X209))</f>
        <v/>
      </c>
      <c r="AS209" s="384" t="n"/>
    </row>
    <row r="210" hidden="1" ht="15.75" customHeight="1" s="1181">
      <c r="A210" s="384" t="n"/>
      <c r="B210" s="384" t="n"/>
      <c r="C210" s="384" t="n"/>
      <c r="D210" s="384" t="n"/>
      <c r="E210" s="384" t="n"/>
      <c r="F210" s="384" t="n"/>
      <c r="G210" s="384" t="n"/>
      <c r="H210" s="384" t="n"/>
      <c r="I210" s="384" t="n"/>
      <c r="J210" s="384" t="n"/>
      <c r="K210" s="384" t="n"/>
      <c r="L210" s="384" t="n"/>
      <c r="M210" s="384" t="n"/>
      <c r="N210" s="384" t="n"/>
      <c r="O210" s="384" t="n"/>
      <c r="P210" s="384" t="n"/>
      <c r="Q210" s="384" t="n"/>
      <c r="R210" s="384" t="n"/>
      <c r="S210" s="384" t="n"/>
      <c r="T210" s="384" t="n"/>
      <c r="U210" s="384" t="n"/>
      <c r="V210" s="384" t="n"/>
      <c r="W210" s="384" t="n"/>
      <c r="X210" s="645">
        <f>IF(_epmOfflineCondition_,"I_E100192",EPMOlapMemberO("[C_INTERCO].[PARENTH1].[I_E100192]","","I_E100192","","000"))</f>
        <v/>
      </c>
      <c r="Y210" s="870">
        <f>IF(_epmOfflineCondition_,"北京乐多港发展有限公司文化旅游分公司",EPMMemberDesc(X210))</f>
        <v/>
      </c>
      <c r="Z210" s="1302" t="n"/>
      <c r="AA210" s="1302" t="n"/>
      <c r="AB210" s="858" t="n"/>
      <c r="AC210" s="1302" t="n"/>
      <c r="AD210" s="1302" t="n"/>
      <c r="AE210" s="1302" t="inlineStr"/>
      <c r="AF210" s="1302" t="inlineStr"/>
      <c r="AG210" s="1302" t="inlineStr"/>
      <c r="AH210" s="1302" t="n"/>
      <c r="AI210" s="1302" t="n"/>
      <c r="AJ210" s="1302" t="n"/>
      <c r="AK210" s="1302">
        <f>AI210-AJ210</f>
        <v/>
      </c>
      <c r="AL210" s="858" t="n"/>
      <c r="AM210" s="1297" t="inlineStr"/>
      <c r="AN210" s="1298" t="n"/>
      <c r="AO210" s="13">
        <f>IF(_epmOfflineCondition_,0,EPMSaveDataOnly(AB210,,AB$29,AB$25,AB$26,AB$31,AB$32,$AA$37,AO$14,AO$15,AO$16,AO$17,AO$18,X210))</f>
        <v/>
      </c>
      <c r="AP210" s="13">
        <f>IF(_epmOfflineCondition_,0,EPMSaveDataOnly(AL210,,AL$29,AL$25,AL$26,AL$31,AL$32,$AA$37,AP$14,AP$15,AP$16,AP$17,AP$18,$X210))</f>
        <v/>
      </c>
      <c r="AQ210" s="13">
        <f>IF(_epmOfflineCondition_,0,EPMSaveData(AM210,,AM$29,AM$25,AM$26,$C$6,AM$32,$AA$37,AQ$14,AQ$15,AQ$16,AQ$17,AQ$18,$X210))</f>
        <v/>
      </c>
      <c r="AR210" s="13">
        <f>IF(_epmOfflineCondition_,0,EPMSaveDataOnly(AN210,,AN$29,AN$25,AN$26,AN$31,AN$32,$AA$37,AR$14,AR$15,AR$16,AR$17,AR$18,$X210))</f>
        <v/>
      </c>
      <c r="AS210" s="384" t="n"/>
    </row>
    <row r="211" hidden="1" ht="15.75" customHeight="1" s="1181">
      <c r="A211" s="384" t="n"/>
      <c r="B211" s="384" t="n"/>
      <c r="C211" s="384" t="n"/>
      <c r="D211" s="384" t="n"/>
      <c r="E211" s="384" t="n"/>
      <c r="F211" s="384" t="n"/>
      <c r="G211" s="384" t="n"/>
      <c r="H211" s="384" t="n"/>
      <c r="I211" s="384" t="n"/>
      <c r="J211" s="384" t="n"/>
      <c r="K211" s="384" t="n"/>
      <c r="L211" s="384" t="n"/>
      <c r="M211" s="384" t="n"/>
      <c r="N211" s="384" t="n"/>
      <c r="O211" s="384" t="n"/>
      <c r="P211" s="384" t="n"/>
      <c r="Q211" s="384" t="n"/>
      <c r="R211" s="384" t="n"/>
      <c r="S211" s="384" t="n"/>
      <c r="T211" s="384" t="n"/>
      <c r="U211" s="384" t="n"/>
      <c r="V211" s="384" t="n"/>
      <c r="W211" s="384" t="n"/>
      <c r="X211" s="645">
        <f>IF(_epmOfflineCondition_,"I_E100193",EPMOlapMemberO("[C_INTERCO].[PARENTH1].[I_E100193]","","I_E100193","","000"))</f>
        <v/>
      </c>
      <c r="Y211" s="870">
        <f>IF(_epmOfflineCondition_,"北京乐多港发展有限公司商业分公司",EPMMemberDesc(X211))</f>
        <v/>
      </c>
      <c r="Z211" s="1302" t="n"/>
      <c r="AA211" s="1302" t="n"/>
      <c r="AB211" s="858" t="n"/>
      <c r="AC211" s="1302" t="n"/>
      <c r="AD211" s="1302" t="n"/>
      <c r="AE211" s="1302" t="inlineStr"/>
      <c r="AF211" s="1302" t="inlineStr"/>
      <c r="AG211" s="1302" t="inlineStr"/>
      <c r="AH211" s="1302" t="n"/>
      <c r="AI211" s="1302" t="n"/>
      <c r="AJ211" s="1302" t="n"/>
      <c r="AK211" s="1302">
        <f>AI211-AJ211</f>
        <v/>
      </c>
      <c r="AL211" s="858" t="n"/>
      <c r="AM211" s="1297" t="inlineStr"/>
      <c r="AN211" s="1298" t="n"/>
      <c r="AO211" s="13">
        <f>IF(_epmOfflineCondition_,0,EPMSaveDataOnly(AB211,,AB$29,AB$25,AB$26,AB$31,AB$32,$AA$37,AO$14,AO$15,AO$16,AO$17,AO$18,X211))</f>
        <v/>
      </c>
      <c r="AP211" s="13">
        <f>IF(_epmOfflineCondition_,0,EPMSaveDataOnly(AL211,,AL$29,AL$25,AL$26,AL$31,AL$32,$AA$37,AP$14,AP$15,AP$16,AP$17,AP$18,$X211))</f>
        <v/>
      </c>
      <c r="AQ211" s="13">
        <f>IF(_epmOfflineCondition_,0,EPMSaveData(AM211,,AM$29,AM$25,AM$26,$C$6,AM$32,$AA$37,AQ$14,AQ$15,AQ$16,AQ$17,AQ$18,$X211))</f>
        <v/>
      </c>
      <c r="AR211" s="13">
        <f>IF(_epmOfflineCondition_,0,EPMSaveDataOnly(AN211,,AN$29,AN$25,AN$26,AN$31,AN$32,$AA$37,AR$14,AR$15,AR$16,AR$17,AR$18,$X211))</f>
        <v/>
      </c>
      <c r="AS211" s="384" t="n"/>
    </row>
    <row r="212" hidden="1" ht="15.75" customHeight="1" s="1181">
      <c r="A212" s="384" t="n"/>
      <c r="B212" s="384" t="n"/>
      <c r="C212" s="384" t="n"/>
      <c r="D212" s="384" t="n"/>
      <c r="E212" s="384" t="n"/>
      <c r="F212" s="384" t="n"/>
      <c r="G212" s="384" t="n"/>
      <c r="H212" s="384" t="n"/>
      <c r="I212" s="384" t="n"/>
      <c r="J212" s="384" t="n"/>
      <c r="K212" s="384" t="n"/>
      <c r="L212" s="384" t="n"/>
      <c r="M212" s="384" t="n"/>
      <c r="N212" s="384" t="n"/>
      <c r="O212" s="384" t="n"/>
      <c r="P212" s="384" t="n"/>
      <c r="Q212" s="384" t="n"/>
      <c r="R212" s="384" t="n"/>
      <c r="S212" s="384" t="n"/>
      <c r="T212" s="384" t="n"/>
      <c r="U212" s="384" t="n"/>
      <c r="V212" s="384" t="n"/>
      <c r="W212" s="384" t="n"/>
      <c r="X212" s="645">
        <f>IF(_epmOfflineCondition_,"I_E100194",EPMOlapMemberO("[C_INTERCO].[PARENTH1].[I_E100194]","","I_E100194","","000"))</f>
        <v/>
      </c>
      <c r="Y212" s="870">
        <f>IF(_epmOfflineCondition_,"北京乐多港发展有限公司乐多港万豪酒店分公司",EPMMemberDesc(X212))</f>
        <v/>
      </c>
      <c r="Z212" s="1302" t="n"/>
      <c r="AA212" s="1302" t="n"/>
      <c r="AB212" s="858" t="n"/>
      <c r="AC212" s="1302" t="n"/>
      <c r="AD212" s="1302" t="n"/>
      <c r="AE212" s="1302" t="inlineStr"/>
      <c r="AF212" s="1302" t="inlineStr"/>
      <c r="AG212" s="1302" t="inlineStr"/>
      <c r="AH212" s="1302" t="n"/>
      <c r="AI212" s="1302" t="n"/>
      <c r="AJ212" s="1302" t="n"/>
      <c r="AK212" s="1302">
        <f>AI212-AJ212</f>
        <v/>
      </c>
      <c r="AL212" s="858" t="n"/>
      <c r="AM212" s="1297" t="inlineStr"/>
      <c r="AN212" s="1298" t="n"/>
      <c r="AO212" s="13">
        <f>IF(_epmOfflineCondition_,0,EPMSaveDataOnly(AB212,,AB$29,AB$25,AB$26,AB$31,AB$32,$AA$37,AO$14,AO$15,AO$16,AO$17,AO$18,X212))</f>
        <v/>
      </c>
      <c r="AP212" s="13">
        <f>IF(_epmOfflineCondition_,0,EPMSaveDataOnly(AL212,,AL$29,AL$25,AL$26,AL$31,AL$32,$AA$37,AP$14,AP$15,AP$16,AP$17,AP$18,$X212))</f>
        <v/>
      </c>
      <c r="AQ212" s="13">
        <f>IF(_epmOfflineCondition_,0,EPMSaveData(AM212,,AM$29,AM$25,AM$26,$C$6,AM$32,$AA$37,AQ$14,AQ$15,AQ$16,AQ$17,AQ$18,$X212))</f>
        <v/>
      </c>
      <c r="AR212" s="13">
        <f>IF(_epmOfflineCondition_,0,EPMSaveDataOnly(AN212,,AN$29,AN$25,AN$26,AN$31,AN$32,$AA$37,AR$14,AR$15,AR$16,AR$17,AR$18,$X212))</f>
        <v/>
      </c>
      <c r="AS212" s="384" t="n"/>
    </row>
    <row r="213" hidden="1" ht="15.75" customHeight="1" s="1181">
      <c r="A213" s="384" t="n"/>
      <c r="B213" s="384" t="n"/>
      <c r="C213" s="384" t="n"/>
      <c r="D213" s="384" t="n"/>
      <c r="E213" s="384" t="n"/>
      <c r="F213" s="384" t="n"/>
      <c r="G213" s="384" t="n"/>
      <c r="H213" s="384" t="n"/>
      <c r="I213" s="384" t="n"/>
      <c r="J213" s="384" t="n"/>
      <c r="K213" s="384" t="n"/>
      <c r="L213" s="384" t="n"/>
      <c r="M213" s="384" t="n"/>
      <c r="N213" s="384" t="n"/>
      <c r="O213" s="384" t="n"/>
      <c r="P213" s="384" t="n"/>
      <c r="Q213" s="384" t="n"/>
      <c r="R213" s="384" t="n"/>
      <c r="S213" s="384" t="n"/>
      <c r="T213" s="384" t="n"/>
      <c r="U213" s="384" t="n"/>
      <c r="V213" s="384" t="n"/>
      <c r="W213" s="384" t="n"/>
      <c r="X213" s="645">
        <f>IF(_epmOfflineCondition_,"I_E100195",EPMOlapMemberO("[C_INTERCO].[PARENTH1].[I_E100195]","","I_E100195","","000"))</f>
        <v/>
      </c>
      <c r="Y213" s="870">
        <f>IF(_epmOfflineCondition_,"北京京能高新能源科技有限公司",EPMMemberDesc(X213))</f>
        <v/>
      </c>
      <c r="Z213" s="1302" t="n"/>
      <c r="AA213" s="1302" t="n"/>
      <c r="AB213" s="858" t="n"/>
      <c r="AC213" s="1302" t="n"/>
      <c r="AD213" s="1302" t="n"/>
      <c r="AE213" s="1302" t="inlineStr"/>
      <c r="AF213" s="1302" t="inlineStr"/>
      <c r="AG213" s="1302" t="inlineStr"/>
      <c r="AH213" s="1302" t="n"/>
      <c r="AI213" s="1302" t="n"/>
      <c r="AJ213" s="1302" t="n"/>
      <c r="AK213" s="1302">
        <f>AI213-AJ213</f>
        <v/>
      </c>
      <c r="AL213" s="858" t="n"/>
      <c r="AM213" s="1297" t="inlineStr"/>
      <c r="AN213" s="1298" t="n"/>
      <c r="AO213" s="13">
        <f>IF(_epmOfflineCondition_,0,EPMSaveDataOnly(AB213,,AB$29,AB$25,AB$26,AB$31,AB$32,$AA$37,AO$14,AO$15,AO$16,AO$17,AO$18,X213))</f>
        <v/>
      </c>
      <c r="AP213" s="13">
        <f>IF(_epmOfflineCondition_,0,EPMSaveDataOnly(AL213,,AL$29,AL$25,AL$26,AL$31,AL$32,$AA$37,AP$14,AP$15,AP$16,AP$17,AP$18,$X213))</f>
        <v/>
      </c>
      <c r="AQ213" s="13">
        <f>IF(_epmOfflineCondition_,0,EPMSaveData(AM213,,AM$29,AM$25,AM$26,$C$6,AM$32,$AA$37,AQ$14,AQ$15,AQ$16,AQ$17,AQ$18,$X213))</f>
        <v/>
      </c>
      <c r="AR213" s="13">
        <f>IF(_epmOfflineCondition_,0,EPMSaveDataOnly(AN213,,AN$29,AN$25,AN$26,AN$31,AN$32,$AA$37,AR$14,AR$15,AR$16,AR$17,AR$18,$X213))</f>
        <v/>
      </c>
      <c r="AS213" s="384" t="n"/>
    </row>
    <row r="214" hidden="1" ht="15.75" customHeight="1" s="1181">
      <c r="A214" s="384" t="n"/>
      <c r="B214" s="384" t="n"/>
      <c r="C214" s="384" t="n"/>
      <c r="D214" s="384" t="n"/>
      <c r="E214" s="384" t="n"/>
      <c r="F214" s="384" t="n"/>
      <c r="G214" s="384" t="n"/>
      <c r="H214" s="384" t="n"/>
      <c r="I214" s="384" t="n"/>
      <c r="J214" s="384" t="n"/>
      <c r="K214" s="384" t="n"/>
      <c r="L214" s="384" t="n"/>
      <c r="M214" s="384" t="n"/>
      <c r="N214" s="384" t="n"/>
      <c r="O214" s="384" t="n"/>
      <c r="P214" s="384" t="n"/>
      <c r="Q214" s="384" t="n"/>
      <c r="R214" s="384" t="n"/>
      <c r="S214" s="384" t="n"/>
      <c r="T214" s="384" t="n"/>
      <c r="U214" s="384" t="n"/>
      <c r="V214" s="384" t="n"/>
      <c r="W214" s="384" t="n"/>
      <c r="X214" s="645">
        <f>IF(_epmOfflineCondition_,"I_E100197",EPMOlapMemberO("[C_INTERCO].[PARENTH1].[I_E100197]","","I_E100197","","000"))</f>
        <v/>
      </c>
      <c r="Y214" s="870">
        <f>IF(_epmOfflineCondition_,"北京国际电气工程有限责任公司",EPMMemberDesc(X214))</f>
        <v/>
      </c>
      <c r="Z214" s="1302" t="n"/>
      <c r="AA214" s="1302" t="n"/>
      <c r="AB214" s="858" t="n"/>
      <c r="AC214" s="1302" t="n"/>
      <c r="AD214" s="1302" t="n"/>
      <c r="AE214" s="1302" t="inlineStr"/>
      <c r="AF214" s="1302" t="inlineStr"/>
      <c r="AG214" s="1302" t="inlineStr"/>
      <c r="AH214" s="1302" t="n"/>
      <c r="AI214" s="1302" t="n"/>
      <c r="AJ214" s="1302" t="n"/>
      <c r="AK214" s="1302">
        <f>AI214-AJ214</f>
        <v/>
      </c>
      <c r="AL214" s="858" t="n"/>
      <c r="AM214" s="1297" t="inlineStr"/>
      <c r="AN214" s="1298" t="n"/>
      <c r="AO214" s="13">
        <f>IF(_epmOfflineCondition_,0,EPMSaveDataOnly(AB214,,AB$29,AB$25,AB$26,AB$31,AB$32,$AA$37,AO$14,AO$15,AO$16,AO$17,AO$18,X214))</f>
        <v/>
      </c>
      <c r="AP214" s="13">
        <f>IF(_epmOfflineCondition_,0,EPMSaveDataOnly(AL214,,AL$29,AL$25,AL$26,AL$31,AL$32,$AA$37,AP$14,AP$15,AP$16,AP$17,AP$18,$X214))</f>
        <v/>
      </c>
      <c r="AQ214" s="13">
        <f>IF(_epmOfflineCondition_,0,EPMSaveData(AM214,,AM$29,AM$25,AM$26,$C$6,AM$32,$AA$37,AQ$14,AQ$15,AQ$16,AQ$17,AQ$18,$X214))</f>
        <v/>
      </c>
      <c r="AR214" s="13">
        <f>IF(_epmOfflineCondition_,0,EPMSaveDataOnly(AN214,,AN$29,AN$25,AN$26,AN$31,AN$32,$AA$37,AR$14,AR$15,AR$16,AR$17,AR$18,$X214))</f>
        <v/>
      </c>
      <c r="AS214" s="384" t="n"/>
    </row>
    <row r="215" hidden="1" ht="15.75" customHeight="1" s="1181">
      <c r="A215" s="384" t="n"/>
      <c r="B215" s="384" t="n"/>
      <c r="C215" s="384" t="n"/>
      <c r="D215" s="384" t="n"/>
      <c r="E215" s="384" t="n"/>
      <c r="F215" s="384" t="n"/>
      <c r="G215" s="384" t="n"/>
      <c r="H215" s="384" t="n"/>
      <c r="I215" s="384" t="n"/>
      <c r="J215" s="384" t="n"/>
      <c r="K215" s="384" t="n"/>
      <c r="L215" s="384" t="n"/>
      <c r="M215" s="384" t="n"/>
      <c r="N215" s="384" t="n"/>
      <c r="O215" s="384" t="n"/>
      <c r="P215" s="384" t="n"/>
      <c r="Q215" s="384" t="n"/>
      <c r="R215" s="384" t="n"/>
      <c r="S215" s="384" t="n"/>
      <c r="T215" s="384" t="n"/>
      <c r="U215" s="384" t="n"/>
      <c r="V215" s="384" t="n"/>
      <c r="W215" s="384" t="n"/>
      <c r="X215" s="645">
        <f>IF(_epmOfflineCondition_,"I_E100198",EPMOlapMemberO("[C_INTERCO].[PARENTH1].[I_E100198]","","I_E100198","","000"))</f>
        <v/>
      </c>
      <c r="Y215" s="870">
        <f>IF(_epmOfflineCondition_,"北京京能信息技术有限公司",EPMMemberDesc(X215))</f>
        <v/>
      </c>
      <c r="Z215" s="1302" t="n"/>
      <c r="AA215" s="1302" t="n"/>
      <c r="AB215" s="858" t="n"/>
      <c r="AC215" s="1302" t="n"/>
      <c r="AD215" s="1302" t="n"/>
      <c r="AE215" s="1302" t="inlineStr"/>
      <c r="AF215" s="1302" t="inlineStr"/>
      <c r="AG215" s="1302" t="inlineStr"/>
      <c r="AH215" s="1302" t="n"/>
      <c r="AI215" s="1302" t="n"/>
      <c r="AJ215" s="1302" t="n"/>
      <c r="AK215" s="1302">
        <f>AI215-AJ215</f>
        <v/>
      </c>
      <c r="AL215" s="858" t="n"/>
      <c r="AM215" s="1297" t="inlineStr"/>
      <c r="AN215" s="1298" t="n"/>
      <c r="AO215" s="13">
        <f>IF(_epmOfflineCondition_,0,EPMSaveDataOnly(AB215,,AB$29,AB$25,AB$26,AB$31,AB$32,$AA$37,AO$14,AO$15,AO$16,AO$17,AO$18,X215))</f>
        <v/>
      </c>
      <c r="AP215" s="13">
        <f>IF(_epmOfflineCondition_,0,EPMSaveDataOnly(AL215,,AL$29,AL$25,AL$26,AL$31,AL$32,$AA$37,AP$14,AP$15,AP$16,AP$17,AP$18,$X215))</f>
        <v/>
      </c>
      <c r="AQ215" s="13">
        <f>IF(_epmOfflineCondition_,0,EPMSaveData(AM215,,AM$29,AM$25,AM$26,$C$6,AM$32,$AA$37,AQ$14,AQ$15,AQ$16,AQ$17,AQ$18,$X215))</f>
        <v/>
      </c>
      <c r="AR215" s="13">
        <f>IF(_epmOfflineCondition_,0,EPMSaveDataOnly(AN215,,AN$29,AN$25,AN$26,AN$31,AN$32,$AA$37,AR$14,AR$15,AR$16,AR$17,AR$18,$X215))</f>
        <v/>
      </c>
      <c r="AS215" s="384" t="n"/>
    </row>
    <row r="216" hidden="1" ht="15.75" customHeight="1" s="1181">
      <c r="A216" s="384" t="n"/>
      <c r="B216" s="384" t="n"/>
      <c r="C216" s="384" t="n"/>
      <c r="D216" s="384" t="n"/>
      <c r="E216" s="384" t="n"/>
      <c r="F216" s="384" t="n"/>
      <c r="G216" s="384" t="n"/>
      <c r="H216" s="384" t="n"/>
      <c r="I216" s="384" t="n"/>
      <c r="J216" s="384" t="n"/>
      <c r="K216" s="384" t="n"/>
      <c r="L216" s="384" t="n"/>
      <c r="M216" s="384" t="n"/>
      <c r="N216" s="384" t="n"/>
      <c r="O216" s="384" t="n"/>
      <c r="P216" s="384" t="n"/>
      <c r="Q216" s="384" t="n"/>
      <c r="R216" s="384" t="n"/>
      <c r="S216" s="384" t="n"/>
      <c r="T216" s="384" t="n"/>
      <c r="U216" s="384" t="n"/>
      <c r="V216" s="384" t="n"/>
      <c r="W216" s="384" t="n"/>
      <c r="X216" s="645">
        <f>IF(_epmOfflineCondition_,"I_E100199",EPMOlapMemberO("[C_INTERCO].[PARENTH1].[I_E100199]","","I_E100199","","000"))</f>
        <v/>
      </c>
      <c r="Y216" s="870">
        <f>IF(_epmOfflineCondition_,"北京京能国际能源技术有限公司",EPMMemberDesc(X216))</f>
        <v/>
      </c>
      <c r="Z216" s="1302" t="n"/>
      <c r="AA216" s="1302" t="n"/>
      <c r="AB216" s="858" t="n"/>
      <c r="AC216" s="1302" t="n"/>
      <c r="AD216" s="1302" t="n"/>
      <c r="AE216" s="1302" t="inlineStr"/>
      <c r="AF216" s="1302" t="inlineStr"/>
      <c r="AG216" s="1302" t="inlineStr"/>
      <c r="AH216" s="1302" t="n"/>
      <c r="AI216" s="1302" t="n"/>
      <c r="AJ216" s="1302" t="n"/>
      <c r="AK216" s="1302">
        <f>AI216-AJ216</f>
        <v/>
      </c>
      <c r="AL216" s="858" t="n"/>
      <c r="AM216" s="1297" t="inlineStr"/>
      <c r="AN216" s="1298" t="n"/>
      <c r="AO216" s="13">
        <f>IF(_epmOfflineCondition_,0,EPMSaveDataOnly(AB216,,AB$29,AB$25,AB$26,AB$31,AB$32,$AA$37,AO$14,AO$15,AO$16,AO$17,AO$18,X216))</f>
        <v/>
      </c>
      <c r="AP216" s="13">
        <f>IF(_epmOfflineCondition_,0,EPMSaveDataOnly(AL216,,AL$29,AL$25,AL$26,AL$31,AL$32,$AA$37,AP$14,AP$15,AP$16,AP$17,AP$18,$X216))</f>
        <v/>
      </c>
      <c r="AQ216" s="13">
        <f>IF(_epmOfflineCondition_,0,EPMSaveData(AM216,,AM$29,AM$25,AM$26,$C$6,AM$32,$AA$37,AQ$14,AQ$15,AQ$16,AQ$17,AQ$18,$X216))</f>
        <v/>
      </c>
      <c r="AR216" s="13">
        <f>IF(_epmOfflineCondition_,0,EPMSaveDataOnly(AN216,,AN$29,AN$25,AN$26,AN$31,AN$32,$AA$37,AR$14,AR$15,AR$16,AR$17,AR$18,$X216))</f>
        <v/>
      </c>
      <c r="AS216" s="384" t="n"/>
    </row>
    <row r="217" hidden="1" ht="15.75" customHeight="1" s="1181">
      <c r="A217" s="384" t="n"/>
      <c r="B217" s="384" t="n"/>
      <c r="C217" s="384" t="n"/>
      <c r="D217" s="384" t="n"/>
      <c r="E217" s="384" t="n"/>
      <c r="F217" s="384" t="n"/>
      <c r="G217" s="384" t="n"/>
      <c r="H217" s="384" t="n"/>
      <c r="I217" s="384" t="n"/>
      <c r="J217" s="384" t="n"/>
      <c r="K217" s="384" t="n"/>
      <c r="L217" s="384" t="n"/>
      <c r="M217" s="384" t="n"/>
      <c r="N217" s="384" t="n"/>
      <c r="O217" s="384" t="n"/>
      <c r="P217" s="384" t="n"/>
      <c r="Q217" s="384" t="n"/>
      <c r="R217" s="384" t="n"/>
      <c r="S217" s="384" t="n"/>
      <c r="T217" s="384" t="n"/>
      <c r="U217" s="384" t="n"/>
      <c r="V217" s="384" t="n"/>
      <c r="W217" s="384" t="n"/>
      <c r="X217" s="645">
        <f>IF(_epmOfflineCondition_,"I_E100200",EPMOlapMemberO("[C_INTERCO].[PARENTH1].[I_E100200]","","I_E100200","","000"))</f>
        <v/>
      </c>
      <c r="Y217" s="870">
        <f>IF(_epmOfflineCondition_,"北京京能能源技术研究有限责任公司",EPMMemberDesc(X217))</f>
        <v/>
      </c>
      <c r="Z217" s="1302" t="n"/>
      <c r="AA217" s="1302" t="n"/>
      <c r="AB217" s="858" t="n"/>
      <c r="AC217" s="1302" t="n"/>
      <c r="AD217" s="1302" t="n"/>
      <c r="AE217" s="1302" t="inlineStr"/>
      <c r="AF217" s="1302" t="inlineStr"/>
      <c r="AG217" s="1302" t="inlineStr"/>
      <c r="AH217" s="1302" t="n"/>
      <c r="AI217" s="1302" t="n"/>
      <c r="AJ217" s="1302" t="n"/>
      <c r="AK217" s="1302">
        <f>AI217-AJ217</f>
        <v/>
      </c>
      <c r="AL217" s="858" t="n"/>
      <c r="AM217" s="1297" t="inlineStr"/>
      <c r="AN217" s="1298" t="n"/>
      <c r="AO217" s="13">
        <f>IF(_epmOfflineCondition_,0,EPMSaveDataOnly(AB217,,AB$29,AB$25,AB$26,AB$31,AB$32,$AA$37,AO$14,AO$15,AO$16,AO$17,AO$18,X217))</f>
        <v/>
      </c>
      <c r="AP217" s="13">
        <f>IF(_epmOfflineCondition_,0,EPMSaveDataOnly(AL217,,AL$29,AL$25,AL$26,AL$31,AL$32,$AA$37,AP$14,AP$15,AP$16,AP$17,AP$18,$X217))</f>
        <v/>
      </c>
      <c r="AQ217" s="13">
        <f>IF(_epmOfflineCondition_,0,EPMSaveData(AM217,,AM$29,AM$25,AM$26,$C$6,AM$32,$AA$37,AQ$14,AQ$15,AQ$16,AQ$17,AQ$18,$X217))</f>
        <v/>
      </c>
      <c r="AR217" s="13">
        <f>IF(_epmOfflineCondition_,0,EPMSaveDataOnly(AN217,,AN$29,AN$25,AN$26,AN$31,AN$32,$AA$37,AR$14,AR$15,AR$16,AR$17,AR$18,$X217))</f>
        <v/>
      </c>
      <c r="AS217" s="384" t="n"/>
    </row>
    <row r="218" hidden="1" ht="15.75" customHeight="1" s="1181">
      <c r="A218" s="384" t="n"/>
      <c r="B218" s="384" t="n"/>
      <c r="C218" s="384" t="n"/>
      <c r="D218" s="384" t="n"/>
      <c r="E218" s="384" t="n"/>
      <c r="F218" s="384" t="n"/>
      <c r="G218" s="384" t="n"/>
      <c r="H218" s="384" t="n"/>
      <c r="I218" s="384" t="n"/>
      <c r="J218" s="384" t="n"/>
      <c r="K218" s="384" t="n"/>
      <c r="L218" s="384" t="n"/>
      <c r="M218" s="384" t="n"/>
      <c r="N218" s="384" t="n"/>
      <c r="O218" s="384" t="n"/>
      <c r="P218" s="384" t="n"/>
      <c r="Q218" s="384" t="n"/>
      <c r="R218" s="384" t="n"/>
      <c r="S218" s="384" t="n"/>
      <c r="T218" s="384" t="n"/>
      <c r="U218" s="384" t="n"/>
      <c r="V218" s="384" t="n"/>
      <c r="W218" s="384" t="n"/>
      <c r="X218" s="645">
        <f>IF(_epmOfflineCondition_,"I_E100201",EPMOlapMemberO("[C_INTERCO].[PARENTH1].[I_E100201]","","I_E100201","","000"))</f>
        <v/>
      </c>
      <c r="Y218" s="870">
        <f>IF(_epmOfflineCondition_,"北京昊华能源股份有限公司",EPMMemberDesc(X218))</f>
        <v/>
      </c>
      <c r="Z218" s="1302" t="n"/>
      <c r="AA218" s="1302" t="n"/>
      <c r="AB218" s="858" t="n"/>
      <c r="AC218" s="1302" t="n"/>
      <c r="AD218" s="1302" t="n"/>
      <c r="AE218" s="1302" t="inlineStr"/>
      <c r="AF218" s="1302" t="inlineStr"/>
      <c r="AG218" s="1302" t="inlineStr"/>
      <c r="AH218" s="1302" t="n"/>
      <c r="AI218" s="1302" t="n"/>
      <c r="AJ218" s="1302" t="n"/>
      <c r="AK218" s="1302">
        <f>AI218-AJ218</f>
        <v/>
      </c>
      <c r="AL218" s="858" t="n"/>
      <c r="AM218" s="1297" t="inlineStr"/>
      <c r="AN218" s="1298" t="n"/>
      <c r="AO218" s="13">
        <f>IF(_epmOfflineCondition_,0,EPMSaveDataOnly(AB218,,AB$29,AB$25,AB$26,AB$31,AB$32,$AA$37,AO$14,AO$15,AO$16,AO$17,AO$18,X218))</f>
        <v/>
      </c>
      <c r="AP218" s="13">
        <f>IF(_epmOfflineCondition_,0,EPMSaveDataOnly(AL218,,AL$29,AL$25,AL$26,AL$31,AL$32,$AA$37,AP$14,AP$15,AP$16,AP$17,AP$18,$X218))</f>
        <v/>
      </c>
      <c r="AQ218" s="13">
        <f>IF(_epmOfflineCondition_,0,EPMSaveData(AM218,,AM$29,AM$25,AM$26,$C$6,AM$32,$AA$37,AQ$14,AQ$15,AQ$16,AQ$17,AQ$18,$X218))</f>
        <v/>
      </c>
      <c r="AR218" s="13">
        <f>IF(_epmOfflineCondition_,0,EPMSaveDataOnly(AN218,,AN$29,AN$25,AN$26,AN$31,AN$32,$AA$37,AR$14,AR$15,AR$16,AR$17,AR$18,$X218))</f>
        <v/>
      </c>
      <c r="AS218" s="384" t="n"/>
    </row>
    <row r="219" hidden="1" ht="15.75" customHeight="1" s="1181">
      <c r="A219" s="384" t="n"/>
      <c r="B219" s="384" t="n"/>
      <c r="C219" s="384" t="n"/>
      <c r="D219" s="384" t="n"/>
      <c r="E219" s="384" t="n"/>
      <c r="F219" s="384" t="n"/>
      <c r="G219" s="384" t="n"/>
      <c r="H219" s="384" t="n"/>
      <c r="I219" s="384" t="n"/>
      <c r="J219" s="384" t="n"/>
      <c r="K219" s="384" t="n"/>
      <c r="L219" s="384" t="n"/>
      <c r="M219" s="384" t="n"/>
      <c r="N219" s="384" t="n"/>
      <c r="O219" s="384" t="n"/>
      <c r="P219" s="384" t="n"/>
      <c r="Q219" s="384" t="n"/>
      <c r="R219" s="384" t="n"/>
      <c r="S219" s="384" t="n"/>
      <c r="T219" s="384" t="n"/>
      <c r="U219" s="384" t="n"/>
      <c r="V219" s="384" t="n"/>
      <c r="W219" s="384" t="n"/>
      <c r="X219" s="645">
        <f>IF(_epmOfflineCondition_,"I_E100202",EPMOlapMemberO("[C_INTERCO].[PARENTH1].[I_E100202]","","I_E100202","","000"))</f>
        <v/>
      </c>
      <c r="Y219" s="870">
        <f>IF(_epmOfflineCondition_,"鄂尔多斯市昊华精煤有限责任公司",EPMMemberDesc(X219))</f>
        <v/>
      </c>
      <c r="Z219" s="1302" t="n"/>
      <c r="AA219" s="1302" t="n"/>
      <c r="AB219" s="858" t="n"/>
      <c r="AC219" s="1302" t="n"/>
      <c r="AD219" s="1302" t="n"/>
      <c r="AE219" s="1302" t="inlineStr"/>
      <c r="AF219" s="1302" t="inlineStr"/>
      <c r="AG219" s="1302" t="inlineStr"/>
      <c r="AH219" s="1302" t="n"/>
      <c r="AI219" s="1302" t="n"/>
      <c r="AJ219" s="1302" t="n"/>
      <c r="AK219" s="1302">
        <f>AI219-AJ219</f>
        <v/>
      </c>
      <c r="AL219" s="858" t="n"/>
      <c r="AM219" s="1297" t="inlineStr"/>
      <c r="AN219" s="1298" t="n"/>
      <c r="AO219" s="13">
        <f>IF(_epmOfflineCondition_,0,EPMSaveDataOnly(AB219,,AB$29,AB$25,AB$26,AB$31,AB$32,$AA$37,AO$14,AO$15,AO$16,AO$17,AO$18,X219))</f>
        <v/>
      </c>
      <c r="AP219" s="13">
        <f>IF(_epmOfflineCondition_,0,EPMSaveDataOnly(AL219,,AL$29,AL$25,AL$26,AL$31,AL$32,$AA$37,AP$14,AP$15,AP$16,AP$17,AP$18,$X219))</f>
        <v/>
      </c>
      <c r="AQ219" s="13">
        <f>IF(_epmOfflineCondition_,0,EPMSaveData(AM219,,AM$29,AM$25,AM$26,$C$6,AM$32,$AA$37,AQ$14,AQ$15,AQ$16,AQ$17,AQ$18,$X219))</f>
        <v/>
      </c>
      <c r="AR219" s="13">
        <f>IF(_epmOfflineCondition_,0,EPMSaveDataOnly(AN219,,AN$29,AN$25,AN$26,AN$31,AN$32,$AA$37,AR$14,AR$15,AR$16,AR$17,AR$18,$X219))</f>
        <v/>
      </c>
      <c r="AS219" s="384" t="n"/>
    </row>
    <row r="220" hidden="1" ht="15.75" customHeight="1" s="1181">
      <c r="A220" s="384" t="n"/>
      <c r="B220" s="384" t="n"/>
      <c r="C220" s="384" t="n"/>
      <c r="D220" s="384" t="n"/>
      <c r="E220" s="384" t="n"/>
      <c r="F220" s="384" t="n"/>
      <c r="G220" s="384" t="n"/>
      <c r="H220" s="384" t="n"/>
      <c r="I220" s="384" t="n"/>
      <c r="J220" s="384" t="n"/>
      <c r="K220" s="384" t="n"/>
      <c r="L220" s="384" t="n"/>
      <c r="M220" s="384" t="n"/>
      <c r="N220" s="384" t="n"/>
      <c r="O220" s="384" t="n"/>
      <c r="P220" s="384" t="n"/>
      <c r="Q220" s="384" t="n"/>
      <c r="R220" s="384" t="n"/>
      <c r="S220" s="384" t="n"/>
      <c r="T220" s="384" t="n"/>
      <c r="U220" s="384" t="n"/>
      <c r="V220" s="384" t="n"/>
      <c r="W220" s="384" t="n"/>
      <c r="X220" s="645">
        <f>IF(_epmOfflineCondition_,"I_E100203",EPMOlapMemberO("[C_INTERCO].[PARENTH1].[I_E100203]","","I_E100203","","000"))</f>
        <v/>
      </c>
      <c r="Y220" s="870">
        <f>IF(_epmOfflineCondition_,"杭锦旗西部能源开发有限公司",EPMMemberDesc(X220))</f>
        <v/>
      </c>
      <c r="Z220" s="1302" t="n"/>
      <c r="AA220" s="1302" t="n"/>
      <c r="AB220" s="858" t="n"/>
      <c r="AC220" s="1302" t="n"/>
      <c r="AD220" s="1302" t="n"/>
      <c r="AE220" s="1302" t="inlineStr"/>
      <c r="AF220" s="1302" t="inlineStr"/>
      <c r="AG220" s="1302" t="inlineStr"/>
      <c r="AH220" s="1302" t="n"/>
      <c r="AI220" s="1302" t="n"/>
      <c r="AJ220" s="1302" t="n"/>
      <c r="AK220" s="1302">
        <f>AI220-AJ220</f>
        <v/>
      </c>
      <c r="AL220" s="858" t="n"/>
      <c r="AM220" s="1297" t="inlineStr"/>
      <c r="AN220" s="1298" t="n"/>
      <c r="AO220" s="13">
        <f>IF(_epmOfflineCondition_,0,EPMSaveDataOnly(AB220,,AB$29,AB$25,AB$26,AB$31,AB$32,$AA$37,AO$14,AO$15,AO$16,AO$17,AO$18,X220))</f>
        <v/>
      </c>
      <c r="AP220" s="13">
        <f>IF(_epmOfflineCondition_,0,EPMSaveDataOnly(AL220,,AL$29,AL$25,AL$26,AL$31,AL$32,$AA$37,AP$14,AP$15,AP$16,AP$17,AP$18,$X220))</f>
        <v/>
      </c>
      <c r="AQ220" s="13">
        <f>IF(_epmOfflineCondition_,0,EPMSaveData(AM220,,AM$29,AM$25,AM$26,$C$6,AM$32,$AA$37,AQ$14,AQ$15,AQ$16,AQ$17,AQ$18,$X220))</f>
        <v/>
      </c>
      <c r="AR220" s="13">
        <f>IF(_epmOfflineCondition_,0,EPMSaveDataOnly(AN220,,AN$29,AN$25,AN$26,AN$31,AN$32,$AA$37,AR$14,AR$15,AR$16,AR$17,AR$18,$X220))</f>
        <v/>
      </c>
      <c r="AS220" s="384" t="n"/>
    </row>
    <row r="221" hidden="1" ht="15.75" customHeight="1" s="1181">
      <c r="A221" s="384" t="n"/>
      <c r="B221" s="384" t="n"/>
      <c r="C221" s="384" t="n"/>
      <c r="D221" s="384" t="n"/>
      <c r="E221" s="384" t="n"/>
      <c r="F221" s="384" t="n"/>
      <c r="G221" s="384" t="n"/>
      <c r="H221" s="384" t="n"/>
      <c r="I221" s="384" t="n"/>
      <c r="J221" s="384" t="n"/>
      <c r="K221" s="384" t="n"/>
      <c r="L221" s="384" t="n"/>
      <c r="M221" s="384" t="n"/>
      <c r="N221" s="384" t="n"/>
      <c r="O221" s="384" t="n"/>
      <c r="P221" s="384" t="n"/>
      <c r="Q221" s="384" t="n"/>
      <c r="R221" s="384" t="n"/>
      <c r="S221" s="384" t="n"/>
      <c r="T221" s="384" t="n"/>
      <c r="U221" s="384" t="n"/>
      <c r="V221" s="384" t="n"/>
      <c r="W221" s="384" t="n"/>
      <c r="X221" s="645">
        <f>IF(_epmOfflineCondition_,"I_E100204",EPMOlapMemberO("[C_INTERCO].[PARENTH1].[I_E100204]","","I_E100204","","000"))</f>
        <v/>
      </c>
      <c r="Y221" s="870">
        <f>IF(_epmOfflineCondition_,"鄂尔多斯市昊华红庆梁矿业有限公司",EPMMemberDesc(X221))</f>
        <v/>
      </c>
      <c r="Z221" s="1302" t="n"/>
      <c r="AA221" s="1302" t="n"/>
      <c r="AB221" s="858" t="n"/>
      <c r="AC221" s="1302" t="n"/>
      <c r="AD221" s="1302" t="n"/>
      <c r="AE221" s="1302" t="inlineStr"/>
      <c r="AF221" s="1302" t="inlineStr"/>
      <c r="AG221" s="1302" t="inlineStr"/>
      <c r="AH221" s="1302" t="n"/>
      <c r="AI221" s="1302" t="n"/>
      <c r="AJ221" s="1302" t="n"/>
      <c r="AK221" s="1302">
        <f>AI221-AJ221</f>
        <v/>
      </c>
      <c r="AL221" s="858" t="n"/>
      <c r="AM221" s="1297" t="inlineStr"/>
      <c r="AN221" s="1298" t="n"/>
      <c r="AO221" s="13">
        <f>IF(_epmOfflineCondition_,0,EPMSaveDataOnly(AB221,,AB$29,AB$25,AB$26,AB$31,AB$32,$AA$37,AO$14,AO$15,AO$16,AO$17,AO$18,X221))</f>
        <v/>
      </c>
      <c r="AP221" s="13">
        <f>IF(_epmOfflineCondition_,0,EPMSaveDataOnly(AL221,,AL$29,AL$25,AL$26,AL$31,AL$32,$AA$37,AP$14,AP$15,AP$16,AP$17,AP$18,$X221))</f>
        <v/>
      </c>
      <c r="AQ221" s="13">
        <f>IF(_epmOfflineCondition_,0,EPMSaveData(AM221,,AM$29,AM$25,AM$26,$C$6,AM$32,$AA$37,AQ$14,AQ$15,AQ$16,AQ$17,AQ$18,$X221))</f>
        <v/>
      </c>
      <c r="AR221" s="13">
        <f>IF(_epmOfflineCondition_,0,EPMSaveDataOnly(AN221,,AN$29,AN$25,AN$26,AN$31,AN$32,$AA$37,AR$14,AR$15,AR$16,AR$17,AR$18,$X221))</f>
        <v/>
      </c>
      <c r="AS221" s="384" t="n"/>
    </row>
    <row r="222" hidden="1" ht="15.75" customHeight="1" s="1181">
      <c r="A222" s="384" t="n"/>
      <c r="B222" s="384" t="n"/>
      <c r="C222" s="384" t="n"/>
      <c r="D222" s="384" t="n"/>
      <c r="E222" s="384" t="n"/>
      <c r="F222" s="384" t="n"/>
      <c r="G222" s="384" t="n"/>
      <c r="H222" s="384" t="n"/>
      <c r="I222" s="384" t="n"/>
      <c r="J222" s="384" t="n"/>
      <c r="K222" s="384" t="n"/>
      <c r="L222" s="384" t="n"/>
      <c r="M222" s="384" t="n"/>
      <c r="N222" s="384" t="n"/>
      <c r="O222" s="384" t="n"/>
      <c r="P222" s="384" t="n"/>
      <c r="Q222" s="384" t="n"/>
      <c r="R222" s="384" t="n"/>
      <c r="S222" s="384" t="n"/>
      <c r="T222" s="384" t="n"/>
      <c r="U222" s="384" t="n"/>
      <c r="V222" s="384" t="n"/>
      <c r="W222" s="384" t="n"/>
      <c r="X222" s="645">
        <f>IF(_epmOfflineCondition_,"I_E100205",EPMOlapMemberO("[C_INTERCO].[PARENTH1].[I_E100205]","","I_E100205","","000"))</f>
        <v/>
      </c>
      <c r="Y222" s="870">
        <f>IF(_epmOfflineCondition_,"宁夏红墩子煤业有限公司",EPMMemberDesc(X222))</f>
        <v/>
      </c>
      <c r="Z222" s="1302" t="n"/>
      <c r="AA222" s="1302" t="n"/>
      <c r="AB222" s="858" t="n"/>
      <c r="AC222" s="1302" t="n"/>
      <c r="AD222" s="1302" t="n"/>
      <c r="AE222" s="1302" t="inlineStr"/>
      <c r="AF222" s="1302" t="inlineStr"/>
      <c r="AG222" s="1302" t="inlineStr"/>
      <c r="AH222" s="1302" t="n"/>
      <c r="AI222" s="1302" t="n"/>
      <c r="AJ222" s="1302" t="n"/>
      <c r="AK222" s="1302">
        <f>AI222-AJ222</f>
        <v/>
      </c>
      <c r="AL222" s="858" t="n"/>
      <c r="AM222" s="1297" t="inlineStr"/>
      <c r="AN222" s="1298" t="n"/>
      <c r="AO222" s="13">
        <f>IF(_epmOfflineCondition_,0,EPMSaveDataOnly(AB222,,AB$29,AB$25,AB$26,AB$31,AB$32,$AA$37,AO$14,AO$15,AO$16,AO$17,AO$18,X222))</f>
        <v/>
      </c>
      <c r="AP222" s="13">
        <f>IF(_epmOfflineCondition_,0,EPMSaveDataOnly(AL222,,AL$29,AL$25,AL$26,AL$31,AL$32,$AA$37,AP$14,AP$15,AP$16,AP$17,AP$18,$X222))</f>
        <v/>
      </c>
      <c r="AQ222" s="13">
        <f>IF(_epmOfflineCondition_,0,EPMSaveData(AM222,,AM$29,AM$25,AM$26,$C$6,AM$32,$AA$37,AQ$14,AQ$15,AQ$16,AQ$17,AQ$18,$X222))</f>
        <v/>
      </c>
      <c r="AR222" s="13">
        <f>IF(_epmOfflineCondition_,0,EPMSaveDataOnly(AN222,,AN$29,AN$25,AN$26,AN$31,AN$32,$AA$37,AR$14,AR$15,AR$16,AR$17,AR$18,$X222))</f>
        <v/>
      </c>
      <c r="AS222" s="384" t="n"/>
    </row>
    <row r="223" hidden="1" ht="15.75" customHeight="1" s="1181">
      <c r="A223" s="384" t="n"/>
      <c r="B223" s="384" t="n"/>
      <c r="C223" s="384" t="n"/>
      <c r="D223" s="384" t="n"/>
      <c r="E223" s="384" t="n"/>
      <c r="F223" s="384" t="n"/>
      <c r="G223" s="384" t="n"/>
      <c r="H223" s="384" t="n"/>
      <c r="I223" s="384" t="n"/>
      <c r="J223" s="384" t="n"/>
      <c r="K223" s="384" t="n"/>
      <c r="L223" s="384" t="n"/>
      <c r="M223" s="384" t="n"/>
      <c r="N223" s="384" t="n"/>
      <c r="O223" s="384" t="n"/>
      <c r="P223" s="384" t="n"/>
      <c r="Q223" s="384" t="n"/>
      <c r="R223" s="384" t="n"/>
      <c r="S223" s="384" t="n"/>
      <c r="T223" s="384" t="n"/>
      <c r="U223" s="384" t="n"/>
      <c r="V223" s="384" t="n"/>
      <c r="W223" s="384" t="n"/>
      <c r="X223" s="645">
        <f>IF(_epmOfflineCondition_,"I_E100207",EPMOlapMemberO("[C_INTERCO].[PARENTH1].[I_E100207]","","I_E100207","","000"))</f>
        <v/>
      </c>
      <c r="Y223" s="870">
        <f>IF(_epmOfflineCondition_,"鄂尔多斯市昊华国泰化工有限公司",EPMMemberDesc(X223))</f>
        <v/>
      </c>
      <c r="Z223" s="1302" t="n"/>
      <c r="AA223" s="1302" t="n"/>
      <c r="AB223" s="858" t="n"/>
      <c r="AC223" s="1302" t="n"/>
      <c r="AD223" s="1302" t="n"/>
      <c r="AE223" s="1302" t="inlineStr"/>
      <c r="AF223" s="1302" t="inlineStr"/>
      <c r="AG223" s="1302" t="inlineStr"/>
      <c r="AH223" s="1302" t="n"/>
      <c r="AI223" s="1302" t="n"/>
      <c r="AJ223" s="1302" t="n"/>
      <c r="AK223" s="1302">
        <f>AI223-AJ223</f>
        <v/>
      </c>
      <c r="AL223" s="858" t="n"/>
      <c r="AM223" s="1297" t="inlineStr"/>
      <c r="AN223" s="1298" t="n"/>
      <c r="AO223" s="13">
        <f>IF(_epmOfflineCondition_,0,EPMSaveDataOnly(AB223,,AB$29,AB$25,AB$26,AB$31,AB$32,$AA$37,AO$14,AO$15,AO$16,AO$17,AO$18,X223))</f>
        <v/>
      </c>
      <c r="AP223" s="13">
        <f>IF(_epmOfflineCondition_,0,EPMSaveDataOnly(AL223,,AL$29,AL$25,AL$26,AL$31,AL$32,$AA$37,AP$14,AP$15,AP$16,AP$17,AP$18,$X223))</f>
        <v/>
      </c>
      <c r="AQ223" s="13">
        <f>IF(_epmOfflineCondition_,0,EPMSaveData(AM223,,AM$29,AM$25,AM$26,$C$6,AM$32,$AA$37,AQ$14,AQ$15,AQ$16,AQ$17,AQ$18,$X223))</f>
        <v/>
      </c>
      <c r="AR223" s="13">
        <f>IF(_epmOfflineCondition_,0,EPMSaveDataOnly(AN223,,AN$29,AN$25,AN$26,AN$31,AN$32,$AA$37,AR$14,AR$15,AR$16,AR$17,AR$18,$X223))</f>
        <v/>
      </c>
      <c r="AS223" s="384" t="n"/>
    </row>
    <row r="224" hidden="1" ht="15.75" customHeight="1" s="1181">
      <c r="A224" s="384" t="n"/>
      <c r="B224" s="384" t="n"/>
      <c r="C224" s="384" t="n"/>
      <c r="D224" s="384" t="n"/>
      <c r="E224" s="384" t="n"/>
      <c r="F224" s="384" t="n"/>
      <c r="G224" s="384" t="n"/>
      <c r="H224" s="384" t="n"/>
      <c r="I224" s="384" t="n"/>
      <c r="J224" s="384" t="n"/>
      <c r="K224" s="384" t="n"/>
      <c r="L224" s="384" t="n"/>
      <c r="M224" s="384" t="n"/>
      <c r="N224" s="384" t="n"/>
      <c r="O224" s="384" t="n"/>
      <c r="P224" s="384" t="n"/>
      <c r="Q224" s="384" t="n"/>
      <c r="R224" s="384" t="n"/>
      <c r="S224" s="384" t="n"/>
      <c r="T224" s="384" t="n"/>
      <c r="U224" s="384" t="n"/>
      <c r="V224" s="384" t="n"/>
      <c r="W224" s="384" t="n"/>
      <c r="X224" s="645">
        <f>IF(_epmOfflineCondition_,"I_E100208",EPMOlapMemberO("[C_INTERCO].[PARENTH1].[I_E100208]","","I_E100208","","000"))</f>
        <v/>
      </c>
      <c r="Y224" s="870">
        <f>IF(_epmOfflineCondition_,"鄂尔多斯市东铜铁路物流有限公司",EPMMemberDesc(X224))</f>
        <v/>
      </c>
      <c r="Z224" s="1302" t="n"/>
      <c r="AA224" s="1302" t="n"/>
      <c r="AB224" s="858" t="n"/>
      <c r="AC224" s="1302" t="n"/>
      <c r="AD224" s="1302" t="n"/>
      <c r="AE224" s="1302" t="inlineStr"/>
      <c r="AF224" s="1302" t="inlineStr"/>
      <c r="AG224" s="1302" t="inlineStr"/>
      <c r="AH224" s="1302" t="n"/>
      <c r="AI224" s="1302" t="n"/>
      <c r="AJ224" s="1302" t="n"/>
      <c r="AK224" s="1302">
        <f>AI224-AJ224</f>
        <v/>
      </c>
      <c r="AL224" s="858" t="n"/>
      <c r="AM224" s="1297" t="inlineStr"/>
      <c r="AN224" s="1298" t="n"/>
      <c r="AO224" s="13">
        <f>IF(_epmOfflineCondition_,0,EPMSaveDataOnly(AB224,,AB$29,AB$25,AB$26,AB$31,AB$32,$AA$37,AO$14,AO$15,AO$16,AO$17,AO$18,X224))</f>
        <v/>
      </c>
      <c r="AP224" s="13">
        <f>IF(_epmOfflineCondition_,0,EPMSaveDataOnly(AL224,,AL$29,AL$25,AL$26,AL$31,AL$32,$AA$37,AP$14,AP$15,AP$16,AP$17,AP$18,$X224))</f>
        <v/>
      </c>
      <c r="AQ224" s="13">
        <f>IF(_epmOfflineCondition_,0,EPMSaveData(AM224,,AM$29,AM$25,AM$26,$C$6,AM$32,$AA$37,AQ$14,AQ$15,AQ$16,AQ$17,AQ$18,$X224))</f>
        <v/>
      </c>
      <c r="AR224" s="13">
        <f>IF(_epmOfflineCondition_,0,EPMSaveDataOnly(AN224,,AN$29,AN$25,AN$26,AN$31,AN$32,$AA$37,AR$14,AR$15,AR$16,AR$17,AR$18,$X224))</f>
        <v/>
      </c>
      <c r="AS224" s="384" t="n"/>
    </row>
    <row r="225" hidden="1" ht="15.75" customHeight="1" s="1181">
      <c r="A225" s="384" t="n"/>
      <c r="B225" s="384" t="n"/>
      <c r="C225" s="384" t="n"/>
      <c r="D225" s="384" t="n"/>
      <c r="E225" s="384" t="n"/>
      <c r="F225" s="384" t="n"/>
      <c r="G225" s="384" t="n"/>
      <c r="H225" s="384" t="n"/>
      <c r="I225" s="384" t="n"/>
      <c r="J225" s="384" t="n"/>
      <c r="K225" s="384" t="n"/>
      <c r="L225" s="384" t="n"/>
      <c r="M225" s="384" t="n"/>
      <c r="N225" s="384" t="n"/>
      <c r="O225" s="384" t="n"/>
      <c r="P225" s="384" t="n"/>
      <c r="Q225" s="384" t="n"/>
      <c r="R225" s="384" t="n"/>
      <c r="S225" s="384" t="n"/>
      <c r="T225" s="384" t="n"/>
      <c r="U225" s="384" t="n"/>
      <c r="V225" s="384" t="n"/>
      <c r="W225" s="384" t="n"/>
      <c r="X225" s="645">
        <f>IF(_epmOfflineCondition_,"I_E100209",EPMOlapMemberO("[C_INTERCO].[PARENTH1].[I_E100209]","","I_E100209","","000"))</f>
        <v/>
      </c>
      <c r="Y225" s="870">
        <f>IF(_epmOfflineCondition_,"鄂尔多斯市昊华鑫通物资有限责任公司",EPMMemberDesc(X225))</f>
        <v/>
      </c>
      <c r="Z225" s="1302" t="n"/>
      <c r="AA225" s="1302" t="n"/>
      <c r="AB225" s="858" t="n"/>
      <c r="AC225" s="1302" t="n"/>
      <c r="AD225" s="1302" t="n"/>
      <c r="AE225" s="1302" t="inlineStr"/>
      <c r="AF225" s="1302" t="inlineStr"/>
      <c r="AG225" s="1302" t="inlineStr"/>
      <c r="AH225" s="1302" t="n"/>
      <c r="AI225" s="1302" t="n"/>
      <c r="AJ225" s="1302" t="n"/>
      <c r="AK225" s="1302">
        <f>AI225-AJ225</f>
        <v/>
      </c>
      <c r="AL225" s="858" t="n"/>
      <c r="AM225" s="1297" t="inlineStr"/>
      <c r="AN225" s="1298" t="n"/>
      <c r="AO225" s="13">
        <f>IF(_epmOfflineCondition_,0,EPMSaveDataOnly(AB225,,AB$29,AB$25,AB$26,AB$31,AB$32,$AA$37,AO$14,AO$15,AO$16,AO$17,AO$18,X225))</f>
        <v/>
      </c>
      <c r="AP225" s="13">
        <f>IF(_epmOfflineCondition_,0,EPMSaveDataOnly(AL225,,AL$29,AL$25,AL$26,AL$31,AL$32,$AA$37,AP$14,AP$15,AP$16,AP$17,AP$18,$X225))</f>
        <v/>
      </c>
      <c r="AQ225" s="13">
        <f>IF(_epmOfflineCondition_,0,EPMSaveData(AM225,,AM$29,AM$25,AM$26,$C$6,AM$32,$AA$37,AQ$14,AQ$15,AQ$16,AQ$17,AQ$18,$X225))</f>
        <v/>
      </c>
      <c r="AR225" s="13">
        <f>IF(_epmOfflineCondition_,0,EPMSaveDataOnly(AN225,,AN$29,AN$25,AN$26,AN$31,AN$32,$AA$37,AR$14,AR$15,AR$16,AR$17,AR$18,$X225))</f>
        <v/>
      </c>
      <c r="AS225" s="384" t="n"/>
    </row>
    <row r="226" hidden="1" ht="15.75" customHeight="1" s="1181">
      <c r="A226" s="384" t="n"/>
      <c r="B226" s="384" t="n"/>
      <c r="C226" s="384" t="n"/>
      <c r="D226" s="384" t="n"/>
      <c r="E226" s="384" t="n"/>
      <c r="F226" s="384" t="n"/>
      <c r="G226" s="384" t="n"/>
      <c r="H226" s="384" t="n"/>
      <c r="I226" s="384" t="n"/>
      <c r="J226" s="384" t="n"/>
      <c r="K226" s="384" t="n"/>
      <c r="L226" s="384" t="n"/>
      <c r="M226" s="384" t="n"/>
      <c r="N226" s="384" t="n"/>
      <c r="O226" s="384" t="n"/>
      <c r="P226" s="384" t="n"/>
      <c r="Q226" s="384" t="n"/>
      <c r="R226" s="384" t="n"/>
      <c r="S226" s="384" t="n"/>
      <c r="T226" s="384" t="n"/>
      <c r="U226" s="384" t="n"/>
      <c r="V226" s="384" t="n"/>
      <c r="W226" s="384" t="n"/>
      <c r="X226" s="645">
        <f>IF(_epmOfflineCondition_,"I_E100210",EPMOlapMemberO("[C_INTERCO].[PARENTH1].[I_E100210]","","I_E100210","","000"))</f>
        <v/>
      </c>
      <c r="Y226" s="870">
        <f>IF(_epmOfflineCondition_,"北京昊华鑫达商贸有限公司",EPMMemberDesc(X226))</f>
        <v/>
      </c>
      <c r="Z226" s="1302" t="n"/>
      <c r="AA226" s="1302" t="n"/>
      <c r="AB226" s="858" t="n"/>
      <c r="AC226" s="1302" t="n"/>
      <c r="AD226" s="1302" t="n"/>
      <c r="AE226" s="1302" t="inlineStr"/>
      <c r="AF226" s="1302" t="inlineStr"/>
      <c r="AG226" s="1302" t="inlineStr"/>
      <c r="AH226" s="1302" t="n"/>
      <c r="AI226" s="1302" t="n"/>
      <c r="AJ226" s="1302" t="n"/>
      <c r="AK226" s="1302">
        <f>AI226-AJ226</f>
        <v/>
      </c>
      <c r="AL226" s="858" t="n"/>
      <c r="AM226" s="1297" t="inlineStr"/>
      <c r="AN226" s="1298" t="n"/>
      <c r="AO226" s="13">
        <f>IF(_epmOfflineCondition_,0,EPMSaveDataOnly(AB226,,AB$29,AB$25,AB$26,AB$31,AB$32,$AA$37,AO$14,AO$15,AO$16,AO$17,AO$18,X226))</f>
        <v/>
      </c>
      <c r="AP226" s="13">
        <f>IF(_epmOfflineCondition_,0,EPMSaveDataOnly(AL226,,AL$29,AL$25,AL$26,AL$31,AL$32,$AA$37,AP$14,AP$15,AP$16,AP$17,AP$18,$X226))</f>
        <v/>
      </c>
      <c r="AQ226" s="13">
        <f>IF(_epmOfflineCondition_,0,EPMSaveData(AM226,,AM$29,AM$25,AM$26,$C$6,AM$32,$AA$37,AQ$14,AQ$15,AQ$16,AQ$17,AQ$18,$X226))</f>
        <v/>
      </c>
      <c r="AR226" s="13">
        <f>IF(_epmOfflineCondition_,0,EPMSaveDataOnly(AN226,,AN$29,AN$25,AN$26,AN$31,AN$32,$AA$37,AR$14,AR$15,AR$16,AR$17,AR$18,$X226))</f>
        <v/>
      </c>
      <c r="AS226" s="384" t="n"/>
    </row>
    <row r="227" hidden="1" ht="15.75" customHeight="1" s="1181">
      <c r="A227" s="384" t="n"/>
      <c r="B227" s="384" t="n"/>
      <c r="C227" s="384" t="n"/>
      <c r="D227" s="384" t="n"/>
      <c r="E227" s="384" t="n"/>
      <c r="F227" s="384" t="n"/>
      <c r="G227" s="384" t="n"/>
      <c r="H227" s="384" t="n"/>
      <c r="I227" s="384" t="n"/>
      <c r="J227" s="384" t="n"/>
      <c r="K227" s="384" t="n"/>
      <c r="L227" s="384" t="n"/>
      <c r="M227" s="384" t="n"/>
      <c r="N227" s="384" t="n"/>
      <c r="O227" s="384" t="n"/>
      <c r="P227" s="384" t="n"/>
      <c r="Q227" s="384" t="n"/>
      <c r="R227" s="384" t="n"/>
      <c r="S227" s="384" t="n"/>
      <c r="T227" s="384" t="n"/>
      <c r="U227" s="384" t="n"/>
      <c r="V227" s="384" t="n"/>
      <c r="W227" s="384" t="n"/>
      <c r="X227" s="645">
        <f>IF(_epmOfflineCondition_,"I_E100211",EPMOlapMemberO("[C_INTERCO].[PARENTH1].[I_E100211]","","I_E100211","","000"))</f>
        <v/>
      </c>
      <c r="Y227" s="870">
        <f>IF(_epmOfflineCondition_,"北京昊华能源股份有限公司企业管理分公司",EPMMemberDesc(X227))</f>
        <v/>
      </c>
      <c r="Z227" s="1302" t="n"/>
      <c r="AA227" s="1302" t="n"/>
      <c r="AB227" s="858" t="n"/>
      <c r="AC227" s="1302" t="n"/>
      <c r="AD227" s="1302" t="n"/>
      <c r="AE227" s="1302" t="inlineStr"/>
      <c r="AF227" s="1302" t="inlineStr"/>
      <c r="AG227" s="1302" t="inlineStr"/>
      <c r="AH227" s="1302" t="n"/>
      <c r="AI227" s="1302" t="n"/>
      <c r="AJ227" s="1302" t="n"/>
      <c r="AK227" s="1302">
        <f>AI227-AJ227</f>
        <v/>
      </c>
      <c r="AL227" s="858" t="n"/>
      <c r="AM227" s="1297" t="inlineStr"/>
      <c r="AN227" s="1298" t="n"/>
      <c r="AO227" s="13">
        <f>IF(_epmOfflineCondition_,0,EPMSaveDataOnly(AB227,,AB$29,AB$25,AB$26,AB$31,AB$32,$AA$37,AO$14,AO$15,AO$16,AO$17,AO$18,X227))</f>
        <v/>
      </c>
      <c r="AP227" s="13">
        <f>IF(_epmOfflineCondition_,0,EPMSaveDataOnly(AL227,,AL$29,AL$25,AL$26,AL$31,AL$32,$AA$37,AP$14,AP$15,AP$16,AP$17,AP$18,$X227))</f>
        <v/>
      </c>
      <c r="AQ227" s="13">
        <f>IF(_epmOfflineCondition_,0,EPMSaveData(AM227,,AM$29,AM$25,AM$26,$C$6,AM$32,$AA$37,AQ$14,AQ$15,AQ$16,AQ$17,AQ$18,$X227))</f>
        <v/>
      </c>
      <c r="AR227" s="13">
        <f>IF(_epmOfflineCondition_,0,EPMSaveDataOnly(AN227,,AN$29,AN$25,AN$26,AN$31,AN$32,$AA$37,AR$14,AR$15,AR$16,AR$17,AR$18,$X227))</f>
        <v/>
      </c>
      <c r="AS227" s="384" t="n"/>
    </row>
    <row r="228" hidden="1" ht="15.75" customHeight="1" s="1181">
      <c r="A228" s="384" t="n"/>
      <c r="B228" s="384" t="n"/>
      <c r="C228" s="384" t="n"/>
      <c r="D228" s="384" t="n"/>
      <c r="E228" s="384" t="n"/>
      <c r="F228" s="384" t="n"/>
      <c r="G228" s="384" t="n"/>
      <c r="H228" s="384" t="n"/>
      <c r="I228" s="384" t="n"/>
      <c r="J228" s="384" t="n"/>
      <c r="K228" s="384" t="n"/>
      <c r="L228" s="384" t="n"/>
      <c r="M228" s="384" t="n"/>
      <c r="N228" s="384" t="n"/>
      <c r="O228" s="384" t="n"/>
      <c r="P228" s="384" t="n"/>
      <c r="Q228" s="384" t="n"/>
      <c r="R228" s="384" t="n"/>
      <c r="S228" s="384" t="n"/>
      <c r="T228" s="384" t="n"/>
      <c r="U228" s="384" t="n"/>
      <c r="V228" s="384" t="n"/>
      <c r="W228" s="384" t="n"/>
      <c r="X228" s="645">
        <f>IF(_epmOfflineCondition_,"I_E100212",EPMOlapMemberO("[C_INTERCO].[PARENTH1].[I_E100212]","","I_E100212","","000"))</f>
        <v/>
      </c>
      <c r="Y228" s="870">
        <f>IF(_epmOfflineCondition_,"北京昊华能源股份有限公司长沟峪煤矿",EPMMemberDesc(X228))</f>
        <v/>
      </c>
      <c r="Z228" s="1302" t="n"/>
      <c r="AA228" s="1302" t="n"/>
      <c r="AB228" s="858" t="n"/>
      <c r="AC228" s="1302" t="n"/>
      <c r="AD228" s="1302" t="n"/>
      <c r="AE228" s="1302" t="inlineStr"/>
      <c r="AF228" s="1302" t="inlineStr"/>
      <c r="AG228" s="1302" t="inlineStr"/>
      <c r="AH228" s="1302" t="n"/>
      <c r="AI228" s="1302" t="n"/>
      <c r="AJ228" s="1302" t="n"/>
      <c r="AK228" s="1302">
        <f>AI228-AJ228</f>
        <v/>
      </c>
      <c r="AL228" s="858" t="n"/>
      <c r="AM228" s="1297" t="inlineStr"/>
      <c r="AN228" s="1298" t="n"/>
      <c r="AO228" s="13">
        <f>IF(_epmOfflineCondition_,0,EPMSaveDataOnly(AB228,,AB$29,AB$25,AB$26,AB$31,AB$32,$AA$37,AO$14,AO$15,AO$16,AO$17,AO$18,X228))</f>
        <v/>
      </c>
      <c r="AP228" s="13">
        <f>IF(_epmOfflineCondition_,0,EPMSaveDataOnly(AL228,,AL$29,AL$25,AL$26,AL$31,AL$32,$AA$37,AP$14,AP$15,AP$16,AP$17,AP$18,$X228))</f>
        <v/>
      </c>
      <c r="AQ228" s="13">
        <f>IF(_epmOfflineCondition_,0,EPMSaveData(AM228,,AM$29,AM$25,AM$26,$C$6,AM$32,$AA$37,AQ$14,AQ$15,AQ$16,AQ$17,AQ$18,$X228))</f>
        <v/>
      </c>
      <c r="AR228" s="13">
        <f>IF(_epmOfflineCondition_,0,EPMSaveDataOnly(AN228,,AN$29,AN$25,AN$26,AN$31,AN$32,$AA$37,AR$14,AR$15,AR$16,AR$17,AR$18,$X228))</f>
        <v/>
      </c>
      <c r="AS228" s="384" t="n"/>
    </row>
    <row r="229" hidden="1" ht="15.75" customHeight="1" s="1181">
      <c r="A229" s="384" t="n"/>
      <c r="B229" s="384" t="n"/>
      <c r="C229" s="384" t="n"/>
      <c r="D229" s="384" t="n"/>
      <c r="E229" s="384" t="n"/>
      <c r="F229" s="384" t="n"/>
      <c r="G229" s="384" t="n"/>
      <c r="H229" s="384" t="n"/>
      <c r="I229" s="384" t="n"/>
      <c r="J229" s="384" t="n"/>
      <c r="K229" s="384" t="n"/>
      <c r="L229" s="384" t="n"/>
      <c r="M229" s="384" t="n"/>
      <c r="N229" s="384" t="n"/>
      <c r="O229" s="384" t="n"/>
      <c r="P229" s="384" t="n"/>
      <c r="Q229" s="384" t="n"/>
      <c r="R229" s="384" t="n"/>
      <c r="S229" s="384" t="n"/>
      <c r="T229" s="384" t="n"/>
      <c r="U229" s="384" t="n"/>
      <c r="V229" s="384" t="n"/>
      <c r="W229" s="384" t="n"/>
      <c r="X229" s="645">
        <f>IF(_epmOfflineCondition_,"I_E100213",EPMOlapMemberO("[C_INTERCO].[PARENTH1].[I_E100213]","","I_E100213","","000"))</f>
        <v/>
      </c>
      <c r="Y229" s="870">
        <f>IF(_epmOfflineCondition_,"北京昊华能源股份有限公司木城涧煤矿",EPMMemberDesc(X229))</f>
        <v/>
      </c>
      <c r="Z229" s="1302" t="n"/>
      <c r="AA229" s="1302" t="n"/>
      <c r="AB229" s="858" t="n"/>
      <c r="AC229" s="1302" t="n"/>
      <c r="AD229" s="1302" t="n"/>
      <c r="AE229" s="1302" t="inlineStr"/>
      <c r="AF229" s="1302" t="inlineStr"/>
      <c r="AG229" s="1302" t="inlineStr"/>
      <c r="AH229" s="1302" t="n"/>
      <c r="AI229" s="1302" t="n"/>
      <c r="AJ229" s="1302" t="n"/>
      <c r="AK229" s="1302">
        <f>AI229-AJ229</f>
        <v/>
      </c>
      <c r="AL229" s="858" t="n"/>
      <c r="AM229" s="1297" t="inlineStr"/>
      <c r="AN229" s="1298" t="n"/>
      <c r="AO229" s="13">
        <f>IF(_epmOfflineCondition_,0,EPMSaveDataOnly(AB229,,AB$29,AB$25,AB$26,AB$31,AB$32,$AA$37,AO$14,AO$15,AO$16,AO$17,AO$18,X229))</f>
        <v/>
      </c>
      <c r="AP229" s="13">
        <f>IF(_epmOfflineCondition_,0,EPMSaveDataOnly(AL229,,AL$29,AL$25,AL$26,AL$31,AL$32,$AA$37,AP$14,AP$15,AP$16,AP$17,AP$18,$X229))</f>
        <v/>
      </c>
      <c r="AQ229" s="13">
        <f>IF(_epmOfflineCondition_,0,EPMSaveData(AM229,,AM$29,AM$25,AM$26,$C$6,AM$32,$AA$37,AQ$14,AQ$15,AQ$16,AQ$17,AQ$18,$X229))</f>
        <v/>
      </c>
      <c r="AR229" s="13">
        <f>IF(_epmOfflineCondition_,0,EPMSaveDataOnly(AN229,,AN$29,AN$25,AN$26,AN$31,AN$32,$AA$37,AR$14,AR$15,AR$16,AR$17,AR$18,$X229))</f>
        <v/>
      </c>
      <c r="AS229" s="384" t="n"/>
    </row>
    <row r="230" hidden="1" ht="15.75" customHeight="1" s="1181">
      <c r="A230" s="384" t="n"/>
      <c r="B230" s="384" t="n"/>
      <c r="C230" s="384" t="n"/>
      <c r="D230" s="384" t="n"/>
      <c r="E230" s="384" t="n"/>
      <c r="F230" s="384" t="n"/>
      <c r="G230" s="384" t="n"/>
      <c r="H230" s="384" t="n"/>
      <c r="I230" s="384" t="n"/>
      <c r="J230" s="384" t="n"/>
      <c r="K230" s="384" t="n"/>
      <c r="L230" s="384" t="n"/>
      <c r="M230" s="384" t="n"/>
      <c r="N230" s="384" t="n"/>
      <c r="O230" s="384" t="n"/>
      <c r="P230" s="384" t="n"/>
      <c r="Q230" s="384" t="n"/>
      <c r="R230" s="384" t="n"/>
      <c r="S230" s="384" t="n"/>
      <c r="T230" s="384" t="n"/>
      <c r="U230" s="384" t="n"/>
      <c r="V230" s="384" t="n"/>
      <c r="W230" s="384" t="n"/>
      <c r="X230" s="645">
        <f>IF(_epmOfflineCondition_,"I_E100214",EPMOlapMemberO("[C_INTERCO].[PARENTH1].[I_E100214]","","I_E100214","","000"))</f>
        <v/>
      </c>
      <c r="Y230" s="870">
        <f>IF(_epmOfflineCondition_,"北京昊华能源股份有限公司大安山煤矿",EPMMemberDesc(X230))</f>
        <v/>
      </c>
      <c r="Z230" s="1302" t="n"/>
      <c r="AA230" s="1302" t="n"/>
      <c r="AB230" s="858" t="n"/>
      <c r="AC230" s="1302" t="n"/>
      <c r="AD230" s="1302" t="n"/>
      <c r="AE230" s="1302" t="inlineStr"/>
      <c r="AF230" s="1302" t="inlineStr"/>
      <c r="AG230" s="1302" t="inlineStr"/>
      <c r="AH230" s="1302" t="n"/>
      <c r="AI230" s="1302" t="n"/>
      <c r="AJ230" s="1302" t="n"/>
      <c r="AK230" s="1302">
        <f>AI230-AJ230</f>
        <v/>
      </c>
      <c r="AL230" s="858" t="n"/>
      <c r="AM230" s="1297" t="inlineStr"/>
      <c r="AN230" s="1298" t="n"/>
      <c r="AO230" s="13">
        <f>IF(_epmOfflineCondition_,0,EPMSaveDataOnly(AB230,,AB$29,AB$25,AB$26,AB$31,AB$32,$AA$37,AO$14,AO$15,AO$16,AO$17,AO$18,X230))</f>
        <v/>
      </c>
      <c r="AP230" s="13">
        <f>IF(_epmOfflineCondition_,0,EPMSaveDataOnly(AL230,,AL$29,AL$25,AL$26,AL$31,AL$32,$AA$37,AP$14,AP$15,AP$16,AP$17,AP$18,$X230))</f>
        <v/>
      </c>
      <c r="AQ230" s="13">
        <f>IF(_epmOfflineCondition_,0,EPMSaveData(AM230,,AM$29,AM$25,AM$26,$C$6,AM$32,$AA$37,AQ$14,AQ$15,AQ$16,AQ$17,AQ$18,$X230))</f>
        <v/>
      </c>
      <c r="AR230" s="13">
        <f>IF(_epmOfflineCondition_,0,EPMSaveDataOnly(AN230,,AN$29,AN$25,AN$26,AN$31,AN$32,$AA$37,AR$14,AR$15,AR$16,AR$17,AR$18,$X230))</f>
        <v/>
      </c>
      <c r="AS230" s="384" t="n"/>
    </row>
    <row r="231" hidden="1" ht="15.75" customHeight="1" s="1181">
      <c r="A231" s="384" t="n"/>
      <c r="B231" s="384" t="n"/>
      <c r="C231" s="384" t="n"/>
      <c r="D231" s="384" t="n"/>
      <c r="E231" s="384" t="n"/>
      <c r="F231" s="384" t="n"/>
      <c r="G231" s="384" t="n"/>
      <c r="H231" s="384" t="n"/>
      <c r="I231" s="384" t="n"/>
      <c r="J231" s="384" t="n"/>
      <c r="K231" s="384" t="n"/>
      <c r="L231" s="384" t="n"/>
      <c r="M231" s="384" t="n"/>
      <c r="N231" s="384" t="n"/>
      <c r="O231" s="384" t="n"/>
      <c r="P231" s="384" t="n"/>
      <c r="Q231" s="384" t="n"/>
      <c r="R231" s="384" t="n"/>
      <c r="S231" s="384" t="n"/>
      <c r="T231" s="384" t="n"/>
      <c r="U231" s="384" t="n"/>
      <c r="V231" s="384" t="n"/>
      <c r="W231" s="384" t="n"/>
      <c r="X231" s="645">
        <f>IF(_epmOfflineCondition_,"I_E100215",EPMOlapMemberO("[C_INTERCO].[PARENTH1].[I_E100215]","","I_E100215","","000"))</f>
        <v/>
      </c>
      <c r="Y231" s="870">
        <f>IF(_epmOfflineCondition_,"北京昊华能源股份有限公司大台煤矿",EPMMemberDesc(X231))</f>
        <v/>
      </c>
      <c r="Z231" s="1302" t="n"/>
      <c r="AA231" s="1302" t="n"/>
      <c r="AB231" s="858" t="n"/>
      <c r="AC231" s="1302" t="n"/>
      <c r="AD231" s="1302" t="n"/>
      <c r="AE231" s="1302" t="inlineStr"/>
      <c r="AF231" s="1302" t="inlineStr"/>
      <c r="AG231" s="1302" t="inlineStr"/>
      <c r="AH231" s="1302" t="n"/>
      <c r="AI231" s="1302" t="n"/>
      <c r="AJ231" s="1302" t="n"/>
      <c r="AK231" s="1302">
        <f>AI231-AJ231</f>
        <v/>
      </c>
      <c r="AL231" s="858" t="n"/>
      <c r="AM231" s="1297" t="inlineStr"/>
      <c r="AN231" s="1298" t="n"/>
      <c r="AO231" s="13">
        <f>IF(_epmOfflineCondition_,0,EPMSaveDataOnly(AB231,,AB$29,AB$25,AB$26,AB$31,AB$32,$AA$37,AO$14,AO$15,AO$16,AO$17,AO$18,X231))</f>
        <v/>
      </c>
      <c r="AP231" s="13">
        <f>IF(_epmOfflineCondition_,0,EPMSaveDataOnly(AL231,,AL$29,AL$25,AL$26,AL$31,AL$32,$AA$37,AP$14,AP$15,AP$16,AP$17,AP$18,$X231))</f>
        <v/>
      </c>
      <c r="AQ231" s="13">
        <f>IF(_epmOfflineCondition_,0,EPMSaveData(AM231,,AM$29,AM$25,AM$26,$C$6,AM$32,$AA$37,AQ$14,AQ$15,AQ$16,AQ$17,AQ$18,$X231))</f>
        <v/>
      </c>
      <c r="AR231" s="13">
        <f>IF(_epmOfflineCondition_,0,EPMSaveDataOnly(AN231,,AN$29,AN$25,AN$26,AN$31,AN$32,$AA$37,AR$14,AR$15,AR$16,AR$17,AR$18,$X231))</f>
        <v/>
      </c>
      <c r="AS231" s="384" t="n"/>
    </row>
    <row r="232" hidden="1" ht="15.75" customHeight="1" s="1181">
      <c r="A232" s="384" t="n"/>
      <c r="B232" s="384" t="n"/>
      <c r="C232" s="384" t="n"/>
      <c r="D232" s="384" t="n"/>
      <c r="E232" s="384" t="n"/>
      <c r="F232" s="384" t="n"/>
      <c r="G232" s="384" t="n"/>
      <c r="H232" s="384" t="n"/>
      <c r="I232" s="384" t="n"/>
      <c r="J232" s="384" t="n"/>
      <c r="K232" s="384" t="n"/>
      <c r="L232" s="384" t="n"/>
      <c r="M232" s="384" t="n"/>
      <c r="N232" s="384" t="n"/>
      <c r="O232" s="384" t="n"/>
      <c r="P232" s="384" t="n"/>
      <c r="Q232" s="384" t="n"/>
      <c r="R232" s="384" t="n"/>
      <c r="S232" s="384" t="n"/>
      <c r="T232" s="384" t="n"/>
      <c r="U232" s="384" t="n"/>
      <c r="V232" s="384" t="n"/>
      <c r="W232" s="384" t="n"/>
      <c r="X232" s="645">
        <f>IF(_epmOfflineCondition_,"I_E100216",EPMOlapMemberO("[C_INTERCO].[PARENTH1].[I_E100216]","","I_E100216","","000"))</f>
        <v/>
      </c>
      <c r="Y232" s="870">
        <f>IF(_epmOfflineCondition_,"昊华能源国际（香港）有限公司",EPMMemberDesc(X232))</f>
        <v/>
      </c>
      <c r="Z232" s="1302" t="n"/>
      <c r="AA232" s="1302" t="n"/>
      <c r="AB232" s="858" t="n"/>
      <c r="AC232" s="1302" t="n"/>
      <c r="AD232" s="1302" t="n"/>
      <c r="AE232" s="1302" t="inlineStr"/>
      <c r="AF232" s="1302" t="inlineStr"/>
      <c r="AG232" s="1302" t="inlineStr"/>
      <c r="AH232" s="1302" t="n"/>
      <c r="AI232" s="1302" t="n"/>
      <c r="AJ232" s="1302" t="n"/>
      <c r="AK232" s="1302">
        <f>AI232-AJ232</f>
        <v/>
      </c>
      <c r="AL232" s="858" t="n"/>
      <c r="AM232" s="1297" t="inlineStr"/>
      <c r="AN232" s="1298" t="n"/>
      <c r="AO232" s="13">
        <f>IF(_epmOfflineCondition_,0,EPMSaveDataOnly(AB232,,AB$29,AB$25,AB$26,AB$31,AB$32,$AA$37,AO$14,AO$15,AO$16,AO$17,AO$18,X232))</f>
        <v/>
      </c>
      <c r="AP232" s="13">
        <f>IF(_epmOfflineCondition_,0,EPMSaveDataOnly(AL232,,AL$29,AL$25,AL$26,AL$31,AL$32,$AA$37,AP$14,AP$15,AP$16,AP$17,AP$18,$X232))</f>
        <v/>
      </c>
      <c r="AQ232" s="13">
        <f>IF(_epmOfflineCondition_,0,EPMSaveData(AM232,,AM$29,AM$25,AM$26,$C$6,AM$32,$AA$37,AQ$14,AQ$15,AQ$16,AQ$17,AQ$18,$X232))</f>
        <v/>
      </c>
      <c r="AR232" s="13">
        <f>IF(_epmOfflineCondition_,0,EPMSaveDataOnly(AN232,,AN$29,AN$25,AN$26,AN$31,AN$32,$AA$37,AR$14,AR$15,AR$16,AR$17,AR$18,$X232))</f>
        <v/>
      </c>
      <c r="AS232" s="384" t="n"/>
    </row>
    <row r="233" hidden="1" ht="15.75" customHeight="1" s="1181">
      <c r="A233" s="384" t="n"/>
      <c r="B233" s="384" t="n"/>
      <c r="C233" s="384" t="n"/>
      <c r="D233" s="384" t="n"/>
      <c r="E233" s="384" t="n"/>
      <c r="F233" s="384" t="n"/>
      <c r="G233" s="384" t="n"/>
      <c r="H233" s="384" t="n"/>
      <c r="I233" s="384" t="n"/>
      <c r="J233" s="384" t="n"/>
      <c r="K233" s="384" t="n"/>
      <c r="L233" s="384" t="n"/>
      <c r="M233" s="384" t="n"/>
      <c r="N233" s="384" t="n"/>
      <c r="O233" s="384" t="n"/>
      <c r="P233" s="384" t="n"/>
      <c r="Q233" s="384" t="n"/>
      <c r="R233" s="384" t="n"/>
      <c r="S233" s="384" t="n"/>
      <c r="T233" s="384" t="n"/>
      <c r="U233" s="384" t="n"/>
      <c r="V233" s="384" t="n"/>
      <c r="W233" s="384" t="n"/>
      <c r="X233" s="645">
        <f>IF(_epmOfflineCondition_,"I_E100220",EPMOlapMemberO("[C_INTERCO].[PARENTH1].[I_E100220]","","I_E100220","","000"))</f>
        <v/>
      </c>
      <c r="Y233" s="870">
        <f>IF(_epmOfflineCondition_,"新疆京能建设投资有限公司",EPMMemberDesc(X233))</f>
        <v/>
      </c>
      <c r="Z233" s="1302" t="n"/>
      <c r="AA233" s="1302" t="n"/>
      <c r="AB233" s="858" t="n"/>
      <c r="AC233" s="1302" t="n"/>
      <c r="AD233" s="1302" t="n"/>
      <c r="AE233" s="1302" t="inlineStr"/>
      <c r="AF233" s="1302" t="inlineStr"/>
      <c r="AG233" s="1302" t="inlineStr"/>
      <c r="AH233" s="1302" t="n"/>
      <c r="AI233" s="1302" t="n"/>
      <c r="AJ233" s="1302" t="n"/>
      <c r="AK233" s="1302">
        <f>AI233-AJ233</f>
        <v/>
      </c>
      <c r="AL233" s="858" t="n"/>
      <c r="AM233" s="1297" t="inlineStr"/>
      <c r="AN233" s="1298" t="n"/>
      <c r="AO233" s="13">
        <f>IF(_epmOfflineCondition_,0,EPMSaveDataOnly(AB233,,AB$29,AB$25,AB$26,AB$31,AB$32,$AA$37,AO$14,AO$15,AO$16,AO$17,AO$18,X233))</f>
        <v/>
      </c>
      <c r="AP233" s="13">
        <f>IF(_epmOfflineCondition_,0,EPMSaveDataOnly(AL233,,AL$29,AL$25,AL$26,AL$31,AL$32,$AA$37,AP$14,AP$15,AP$16,AP$17,AP$18,$X233))</f>
        <v/>
      </c>
      <c r="AQ233" s="13">
        <f>IF(_epmOfflineCondition_,0,EPMSaveData(AM233,,AM$29,AM$25,AM$26,$C$6,AM$32,$AA$37,AQ$14,AQ$15,AQ$16,AQ$17,AQ$18,$X233))</f>
        <v/>
      </c>
      <c r="AR233" s="13">
        <f>IF(_epmOfflineCondition_,0,EPMSaveDataOnly(AN233,,AN$29,AN$25,AN$26,AN$31,AN$32,$AA$37,AR$14,AR$15,AR$16,AR$17,AR$18,$X233))</f>
        <v/>
      </c>
      <c r="AS233" s="384" t="n"/>
    </row>
    <row r="234" hidden="1" ht="15.75" customHeight="1" s="1181">
      <c r="A234" s="384" t="n"/>
      <c r="B234" s="384" t="n"/>
      <c r="C234" s="384" t="n"/>
      <c r="D234" s="384" t="n"/>
      <c r="E234" s="384" t="n"/>
      <c r="F234" s="384" t="n"/>
      <c r="G234" s="384" t="n"/>
      <c r="H234" s="384" t="n"/>
      <c r="I234" s="384" t="n"/>
      <c r="J234" s="384" t="n"/>
      <c r="K234" s="384" t="n"/>
      <c r="L234" s="384" t="n"/>
      <c r="M234" s="384" t="n"/>
      <c r="N234" s="384" t="n"/>
      <c r="O234" s="384" t="n"/>
      <c r="P234" s="384" t="n"/>
      <c r="Q234" s="384" t="n"/>
      <c r="R234" s="384" t="n"/>
      <c r="S234" s="384" t="n"/>
      <c r="T234" s="384" t="n"/>
      <c r="U234" s="384" t="n"/>
      <c r="V234" s="384" t="n"/>
      <c r="W234" s="384" t="n"/>
      <c r="X234" s="645">
        <f>IF(_epmOfflineCondition_,"I_E100221",EPMOlapMemberO("[C_INTERCO].[PARENTH1].[I_E100221]","","I_E100221","","000"))</f>
        <v/>
      </c>
      <c r="Y234" s="870">
        <f>IF(_epmOfflineCondition_,"内蒙古京能锡林煤化有限责任公司",EPMMemberDesc(X234))</f>
        <v/>
      </c>
      <c r="Z234" s="1302" t="n"/>
      <c r="AA234" s="1302" t="n"/>
      <c r="AB234" s="858" t="n"/>
      <c r="AC234" s="1302" t="n"/>
      <c r="AD234" s="1302" t="n"/>
      <c r="AE234" s="1302" t="inlineStr"/>
      <c r="AF234" s="1302" t="inlineStr"/>
      <c r="AG234" s="1302" t="inlineStr"/>
      <c r="AH234" s="1302" t="n"/>
      <c r="AI234" s="1302" t="n"/>
      <c r="AJ234" s="1302" t="n"/>
      <c r="AK234" s="1302">
        <f>AI234-AJ234</f>
        <v/>
      </c>
      <c r="AL234" s="858" t="n"/>
      <c r="AM234" s="1297" t="inlineStr"/>
      <c r="AN234" s="1298" t="n"/>
      <c r="AO234" s="13">
        <f>IF(_epmOfflineCondition_,0,EPMSaveDataOnly(AB234,,AB$29,AB$25,AB$26,AB$31,AB$32,$AA$37,AO$14,AO$15,AO$16,AO$17,AO$18,X234))</f>
        <v/>
      </c>
      <c r="AP234" s="13">
        <f>IF(_epmOfflineCondition_,0,EPMSaveDataOnly(AL234,,AL$29,AL$25,AL$26,AL$31,AL$32,$AA$37,AP$14,AP$15,AP$16,AP$17,AP$18,$X234))</f>
        <v/>
      </c>
      <c r="AQ234" s="13">
        <f>IF(_epmOfflineCondition_,0,EPMSaveData(AM234,,AM$29,AM$25,AM$26,$C$6,AM$32,$AA$37,AQ$14,AQ$15,AQ$16,AQ$17,AQ$18,$X234))</f>
        <v/>
      </c>
      <c r="AR234" s="13">
        <f>IF(_epmOfflineCondition_,0,EPMSaveDataOnly(AN234,,AN$29,AN$25,AN$26,AN$31,AN$32,$AA$37,AR$14,AR$15,AR$16,AR$17,AR$18,$X234))</f>
        <v/>
      </c>
      <c r="AS234" s="384" t="n"/>
    </row>
    <row r="235" hidden="1" ht="15.75" customHeight="1" s="1181">
      <c r="A235" s="384" t="n"/>
      <c r="B235" s="384" t="n"/>
      <c r="C235" s="384" t="n"/>
      <c r="D235" s="384" t="n"/>
      <c r="E235" s="384" t="n"/>
      <c r="F235" s="384" t="n"/>
      <c r="G235" s="384" t="n"/>
      <c r="H235" s="384" t="n"/>
      <c r="I235" s="384" t="n"/>
      <c r="J235" s="384" t="n"/>
      <c r="K235" s="384" t="n"/>
      <c r="L235" s="384" t="n"/>
      <c r="M235" s="384" t="n"/>
      <c r="N235" s="384" t="n"/>
      <c r="O235" s="384" t="n"/>
      <c r="P235" s="384" t="n"/>
      <c r="Q235" s="384" t="n"/>
      <c r="R235" s="384" t="n"/>
      <c r="S235" s="384" t="n"/>
      <c r="T235" s="384" t="n"/>
      <c r="U235" s="384" t="n"/>
      <c r="V235" s="384" t="n"/>
      <c r="W235" s="384" t="n"/>
      <c r="X235" s="645">
        <f>IF(_epmOfflineCondition_,"I_E100222",EPMOlapMemberO("[C_INTERCO].[PARENTH1].[I_E100222]","","I_E100222","","000"))</f>
        <v/>
      </c>
      <c r="Y235" s="870">
        <f>IF(_epmOfflineCondition_,"北京市热力集团有限责任公司",EPMMemberDesc(X235))</f>
        <v/>
      </c>
      <c r="Z235" s="1302" t="n"/>
      <c r="AA235" s="1302" t="n"/>
      <c r="AB235" s="858" t="n"/>
      <c r="AC235" s="1302" t="n"/>
      <c r="AD235" s="1302" t="n"/>
      <c r="AE235" s="1302" t="inlineStr"/>
      <c r="AF235" s="1302" t="inlineStr"/>
      <c r="AG235" s="1302" t="inlineStr"/>
      <c r="AH235" s="1302" t="n"/>
      <c r="AI235" s="1302" t="n"/>
      <c r="AJ235" s="1302" t="n"/>
      <c r="AK235" s="1302">
        <f>AI235-AJ235</f>
        <v/>
      </c>
      <c r="AL235" s="858" t="n"/>
      <c r="AM235" s="1297" t="inlineStr"/>
      <c r="AN235" s="1298" t="n"/>
      <c r="AO235" s="13">
        <f>IF(_epmOfflineCondition_,0,EPMSaveDataOnly(AB235,,AB$29,AB$25,AB$26,AB$31,AB$32,$AA$37,AO$14,AO$15,AO$16,AO$17,AO$18,X235))</f>
        <v/>
      </c>
      <c r="AP235" s="13">
        <f>IF(_epmOfflineCondition_,0,EPMSaveDataOnly(AL235,,AL$29,AL$25,AL$26,AL$31,AL$32,$AA$37,AP$14,AP$15,AP$16,AP$17,AP$18,$X235))</f>
        <v/>
      </c>
      <c r="AQ235" s="13">
        <f>IF(_epmOfflineCondition_,0,EPMSaveData(AM235,,AM$29,AM$25,AM$26,$C$6,AM$32,$AA$37,AQ$14,AQ$15,AQ$16,AQ$17,AQ$18,$X235))</f>
        <v/>
      </c>
      <c r="AR235" s="13">
        <f>IF(_epmOfflineCondition_,0,EPMSaveDataOnly(AN235,,AN$29,AN$25,AN$26,AN$31,AN$32,$AA$37,AR$14,AR$15,AR$16,AR$17,AR$18,$X235))</f>
        <v/>
      </c>
      <c r="AS235" s="384" t="n"/>
    </row>
    <row r="236" hidden="1" ht="15.75" customHeight="1" s="1181">
      <c r="A236" s="384" t="n"/>
      <c r="B236" s="384" t="n"/>
      <c r="C236" s="384" t="n"/>
      <c r="D236" s="384" t="n"/>
      <c r="E236" s="384" t="n"/>
      <c r="F236" s="384" t="n"/>
      <c r="G236" s="384" t="n"/>
      <c r="H236" s="384" t="n"/>
      <c r="I236" s="384" t="n"/>
      <c r="J236" s="384" t="n"/>
      <c r="K236" s="384" t="n"/>
      <c r="L236" s="384" t="n"/>
      <c r="M236" s="384" t="n"/>
      <c r="N236" s="384" t="n"/>
      <c r="O236" s="384" t="n"/>
      <c r="P236" s="384" t="n"/>
      <c r="Q236" s="384" t="n"/>
      <c r="R236" s="384" t="n"/>
      <c r="S236" s="384" t="n"/>
      <c r="T236" s="384" t="n"/>
      <c r="U236" s="384" t="n"/>
      <c r="V236" s="384" t="n"/>
      <c r="W236" s="384" t="n"/>
      <c r="X236" s="645">
        <f>IF(_epmOfflineCondition_,"I_E100223",EPMOlapMemberO("[C_INTERCO].[PARENTH1].[I_E100223]","","I_E100223","","000"))</f>
        <v/>
      </c>
      <c r="Y236" s="870">
        <f>IF(_epmOfflineCondition_,"北京市热力集团有限责任公司东城分公司",EPMMemberDesc(X236))</f>
        <v/>
      </c>
      <c r="Z236" s="1302" t="n"/>
      <c r="AA236" s="1302" t="n"/>
      <c r="AB236" s="858" t="n"/>
      <c r="AC236" s="1302" t="n"/>
      <c r="AD236" s="1302" t="n"/>
      <c r="AE236" s="1302" t="inlineStr"/>
      <c r="AF236" s="1302" t="inlineStr"/>
      <c r="AG236" s="1302" t="inlineStr"/>
      <c r="AH236" s="1302" t="n"/>
      <c r="AI236" s="1302" t="n"/>
      <c r="AJ236" s="1302" t="n"/>
      <c r="AK236" s="1302">
        <f>AI236-AJ236</f>
        <v/>
      </c>
      <c r="AL236" s="858" t="n"/>
      <c r="AM236" s="1297" t="inlineStr"/>
      <c r="AN236" s="1298" t="n"/>
      <c r="AO236" s="13">
        <f>IF(_epmOfflineCondition_,0,EPMSaveDataOnly(AB236,,AB$29,AB$25,AB$26,AB$31,AB$32,$AA$37,AO$14,AO$15,AO$16,AO$17,AO$18,X236))</f>
        <v/>
      </c>
      <c r="AP236" s="13">
        <f>IF(_epmOfflineCondition_,0,EPMSaveDataOnly(AL236,,AL$29,AL$25,AL$26,AL$31,AL$32,$AA$37,AP$14,AP$15,AP$16,AP$17,AP$18,$X236))</f>
        <v/>
      </c>
      <c r="AQ236" s="13">
        <f>IF(_epmOfflineCondition_,0,EPMSaveData(AM236,,AM$29,AM$25,AM$26,$C$6,AM$32,$AA$37,AQ$14,AQ$15,AQ$16,AQ$17,AQ$18,$X236))</f>
        <v/>
      </c>
      <c r="AR236" s="13">
        <f>IF(_epmOfflineCondition_,0,EPMSaveDataOnly(AN236,,AN$29,AN$25,AN$26,AN$31,AN$32,$AA$37,AR$14,AR$15,AR$16,AR$17,AR$18,$X236))</f>
        <v/>
      </c>
      <c r="AS236" s="384" t="n"/>
    </row>
    <row r="237" hidden="1" ht="15.75" customHeight="1" s="1181">
      <c r="A237" s="384" t="n"/>
      <c r="B237" s="384" t="n"/>
      <c r="C237" s="384" t="n"/>
      <c r="D237" s="384" t="n"/>
      <c r="E237" s="384" t="n"/>
      <c r="F237" s="384" t="n"/>
      <c r="G237" s="384" t="n"/>
      <c r="H237" s="384" t="n"/>
      <c r="I237" s="384" t="n"/>
      <c r="J237" s="384" t="n"/>
      <c r="K237" s="384" t="n"/>
      <c r="L237" s="384" t="n"/>
      <c r="M237" s="384" t="n"/>
      <c r="N237" s="384" t="n"/>
      <c r="O237" s="384" t="n"/>
      <c r="P237" s="384" t="n"/>
      <c r="Q237" s="384" t="n"/>
      <c r="R237" s="384" t="n"/>
      <c r="S237" s="384" t="n"/>
      <c r="T237" s="384" t="n"/>
      <c r="U237" s="384" t="n"/>
      <c r="V237" s="384" t="n"/>
      <c r="W237" s="384" t="n"/>
      <c r="X237" s="645">
        <f>IF(_epmOfflineCondition_,"I_E100224",EPMOlapMemberO("[C_INTERCO].[PARENTH1].[I_E100224]","","I_E100224","","000"))</f>
        <v/>
      </c>
      <c r="Y237" s="870">
        <f>IF(_epmOfflineCondition_,"北京市热力集团有限责任公司西城分公司",EPMMemberDesc(X237))</f>
        <v/>
      </c>
      <c r="Z237" s="1302" t="n"/>
      <c r="AA237" s="1302" t="n"/>
      <c r="AB237" s="858" t="n"/>
      <c r="AC237" s="1302" t="n"/>
      <c r="AD237" s="1302" t="n"/>
      <c r="AE237" s="1302" t="inlineStr"/>
      <c r="AF237" s="1302" t="inlineStr"/>
      <c r="AG237" s="1302" t="inlineStr"/>
      <c r="AH237" s="1302" t="n"/>
      <c r="AI237" s="1302" t="n"/>
      <c r="AJ237" s="1302" t="n"/>
      <c r="AK237" s="1302">
        <f>AI237-AJ237</f>
        <v/>
      </c>
      <c r="AL237" s="858" t="n"/>
      <c r="AM237" s="1297" t="inlineStr"/>
      <c r="AN237" s="1298" t="n"/>
      <c r="AO237" s="13">
        <f>IF(_epmOfflineCondition_,0,EPMSaveDataOnly(AB237,,AB$29,AB$25,AB$26,AB$31,AB$32,$AA$37,AO$14,AO$15,AO$16,AO$17,AO$18,X237))</f>
        <v/>
      </c>
      <c r="AP237" s="13">
        <f>IF(_epmOfflineCondition_,0,EPMSaveDataOnly(AL237,,AL$29,AL$25,AL$26,AL$31,AL$32,$AA$37,AP$14,AP$15,AP$16,AP$17,AP$18,$X237))</f>
        <v/>
      </c>
      <c r="AQ237" s="13">
        <f>IF(_epmOfflineCondition_,0,EPMSaveData(AM237,,AM$29,AM$25,AM$26,$C$6,AM$32,$AA$37,AQ$14,AQ$15,AQ$16,AQ$17,AQ$18,$X237))</f>
        <v/>
      </c>
      <c r="AR237" s="13">
        <f>IF(_epmOfflineCondition_,0,EPMSaveDataOnly(AN237,,AN$29,AN$25,AN$26,AN$31,AN$32,$AA$37,AR$14,AR$15,AR$16,AR$17,AR$18,$X237))</f>
        <v/>
      </c>
      <c r="AS237" s="384" t="n"/>
    </row>
    <row r="238" hidden="1" ht="15.75" customHeight="1" s="1181">
      <c r="A238" s="384" t="n"/>
      <c r="B238" s="384" t="n"/>
      <c r="C238" s="384" t="n"/>
      <c r="D238" s="384" t="n"/>
      <c r="E238" s="384" t="n"/>
      <c r="F238" s="384" t="n"/>
      <c r="G238" s="384" t="n"/>
      <c r="H238" s="384" t="n"/>
      <c r="I238" s="384" t="n"/>
      <c r="J238" s="384" t="n"/>
      <c r="K238" s="384" t="n"/>
      <c r="L238" s="384" t="n"/>
      <c r="M238" s="384" t="n"/>
      <c r="N238" s="384" t="n"/>
      <c r="O238" s="384" t="n"/>
      <c r="P238" s="384" t="n"/>
      <c r="Q238" s="384" t="n"/>
      <c r="R238" s="384" t="n"/>
      <c r="S238" s="384" t="n"/>
      <c r="T238" s="384" t="n"/>
      <c r="U238" s="384" t="n"/>
      <c r="V238" s="384" t="n"/>
      <c r="W238" s="384" t="n"/>
      <c r="X238" s="645">
        <f>IF(_epmOfflineCondition_,"I_E100225",EPMOlapMemberO("[C_INTERCO].[PARENTH1].[I_E100225]","","I_E100225","","000"))</f>
        <v/>
      </c>
      <c r="Y238" s="870">
        <f>IF(_epmOfflineCondition_,"北京市热力集团有限责任公司朝阳第一分公司",EPMMemberDesc(X238))</f>
        <v/>
      </c>
      <c r="Z238" s="1302" t="n"/>
      <c r="AA238" s="1302" t="n"/>
      <c r="AB238" s="858" t="n"/>
      <c r="AC238" s="1302" t="n"/>
      <c r="AD238" s="1302" t="n"/>
      <c r="AE238" s="1302" t="inlineStr"/>
      <c r="AF238" s="1302" t="inlineStr"/>
      <c r="AG238" s="1302" t="inlineStr"/>
      <c r="AH238" s="1302" t="n"/>
      <c r="AI238" s="1302" t="n"/>
      <c r="AJ238" s="1302" t="n"/>
      <c r="AK238" s="1302">
        <f>AI238-AJ238</f>
        <v/>
      </c>
      <c r="AL238" s="858" t="n"/>
      <c r="AM238" s="1297" t="inlineStr"/>
      <c r="AN238" s="1298" t="n"/>
      <c r="AO238" s="13">
        <f>IF(_epmOfflineCondition_,0,EPMSaveDataOnly(AB238,,AB$29,AB$25,AB$26,AB$31,AB$32,$AA$37,AO$14,AO$15,AO$16,AO$17,AO$18,X238))</f>
        <v/>
      </c>
      <c r="AP238" s="13">
        <f>IF(_epmOfflineCondition_,0,EPMSaveDataOnly(AL238,,AL$29,AL$25,AL$26,AL$31,AL$32,$AA$37,AP$14,AP$15,AP$16,AP$17,AP$18,$X238))</f>
        <v/>
      </c>
      <c r="AQ238" s="13">
        <f>IF(_epmOfflineCondition_,0,EPMSaveData(AM238,,AM$29,AM$25,AM$26,$C$6,AM$32,$AA$37,AQ$14,AQ$15,AQ$16,AQ$17,AQ$18,$X238))</f>
        <v/>
      </c>
      <c r="AR238" s="13">
        <f>IF(_epmOfflineCondition_,0,EPMSaveDataOnly(AN238,,AN$29,AN$25,AN$26,AN$31,AN$32,$AA$37,AR$14,AR$15,AR$16,AR$17,AR$18,$X238))</f>
        <v/>
      </c>
      <c r="AS238" s="384" t="n"/>
    </row>
    <row r="239" hidden="1" ht="15.75" customHeight="1" s="1181">
      <c r="A239" s="384" t="n"/>
      <c r="B239" s="384" t="n"/>
      <c r="C239" s="384" t="n"/>
      <c r="D239" s="384" t="n"/>
      <c r="E239" s="384" t="n"/>
      <c r="F239" s="384" t="n"/>
      <c r="G239" s="384" t="n"/>
      <c r="H239" s="384" t="n"/>
      <c r="I239" s="384" t="n"/>
      <c r="J239" s="384" t="n"/>
      <c r="K239" s="384" t="n"/>
      <c r="L239" s="384" t="n"/>
      <c r="M239" s="384" t="n"/>
      <c r="N239" s="384" t="n"/>
      <c r="O239" s="384" t="n"/>
      <c r="P239" s="384" t="n"/>
      <c r="Q239" s="384" t="n"/>
      <c r="R239" s="384" t="n"/>
      <c r="S239" s="384" t="n"/>
      <c r="T239" s="384" t="n"/>
      <c r="U239" s="384" t="n"/>
      <c r="V239" s="384" t="n"/>
      <c r="W239" s="384" t="n"/>
      <c r="X239" s="645">
        <f>IF(_epmOfflineCondition_,"I_E100226",EPMOlapMemberO("[C_INTERCO].[PARENTH1].[I_E100226]","","I_E100226","","000"))</f>
        <v/>
      </c>
      <c r="Y239" s="870">
        <f>IF(_epmOfflineCondition_,"北京市热力集团有限责任公司朝阳第二分公司",EPMMemberDesc(X239))</f>
        <v/>
      </c>
      <c r="Z239" s="1302" t="n"/>
      <c r="AA239" s="1302" t="n"/>
      <c r="AB239" s="858" t="n"/>
      <c r="AC239" s="1302" t="n"/>
      <c r="AD239" s="1302" t="n"/>
      <c r="AE239" s="1302" t="inlineStr"/>
      <c r="AF239" s="1302" t="inlineStr"/>
      <c r="AG239" s="1302" t="inlineStr"/>
      <c r="AH239" s="1302" t="n"/>
      <c r="AI239" s="1302" t="n"/>
      <c r="AJ239" s="1302" t="n"/>
      <c r="AK239" s="1302">
        <f>AI239-AJ239</f>
        <v/>
      </c>
      <c r="AL239" s="858" t="n"/>
      <c r="AM239" s="1297" t="inlineStr"/>
      <c r="AN239" s="1298" t="n"/>
      <c r="AO239" s="13">
        <f>IF(_epmOfflineCondition_,0,EPMSaveDataOnly(AB239,,AB$29,AB$25,AB$26,AB$31,AB$32,$AA$37,AO$14,AO$15,AO$16,AO$17,AO$18,X239))</f>
        <v/>
      </c>
      <c r="AP239" s="13">
        <f>IF(_epmOfflineCondition_,0,EPMSaveDataOnly(AL239,,AL$29,AL$25,AL$26,AL$31,AL$32,$AA$37,AP$14,AP$15,AP$16,AP$17,AP$18,$X239))</f>
        <v/>
      </c>
      <c r="AQ239" s="13">
        <f>IF(_epmOfflineCondition_,0,EPMSaveData(AM239,,AM$29,AM$25,AM$26,$C$6,AM$32,$AA$37,AQ$14,AQ$15,AQ$16,AQ$17,AQ$18,$X239))</f>
        <v/>
      </c>
      <c r="AR239" s="13">
        <f>IF(_epmOfflineCondition_,0,EPMSaveDataOnly(AN239,,AN$29,AN$25,AN$26,AN$31,AN$32,$AA$37,AR$14,AR$15,AR$16,AR$17,AR$18,$X239))</f>
        <v/>
      </c>
      <c r="AS239" s="384" t="n"/>
    </row>
    <row r="240" hidden="1" ht="15.75" customHeight="1" s="1181">
      <c r="A240" s="384" t="n"/>
      <c r="B240" s="384" t="n"/>
      <c r="C240" s="384" t="n"/>
      <c r="D240" s="384" t="n"/>
      <c r="E240" s="384" t="n"/>
      <c r="F240" s="384" t="n"/>
      <c r="G240" s="384" t="n"/>
      <c r="H240" s="384" t="n"/>
      <c r="I240" s="384" t="n"/>
      <c r="J240" s="384" t="n"/>
      <c r="K240" s="384" t="n"/>
      <c r="L240" s="384" t="n"/>
      <c r="M240" s="384" t="n"/>
      <c r="N240" s="384" t="n"/>
      <c r="O240" s="384" t="n"/>
      <c r="P240" s="384" t="n"/>
      <c r="Q240" s="384" t="n"/>
      <c r="R240" s="384" t="n"/>
      <c r="S240" s="384" t="n"/>
      <c r="T240" s="384" t="n"/>
      <c r="U240" s="384" t="n"/>
      <c r="V240" s="384" t="n"/>
      <c r="W240" s="384" t="n"/>
      <c r="X240" s="645">
        <f>IF(_epmOfflineCondition_,"I_E100227",EPMOlapMemberO("[C_INTERCO].[PARENTH1].[I_E100227]","","I_E100227","","000"))</f>
        <v/>
      </c>
      <c r="Y240" s="870">
        <f>IF(_epmOfflineCondition_,"北京市热力集团有限责任公司海淀分公司",EPMMemberDesc(X240))</f>
        <v/>
      </c>
      <c r="Z240" s="1302" t="n"/>
      <c r="AA240" s="1302" t="n"/>
      <c r="AB240" s="858" t="n"/>
      <c r="AC240" s="1302" t="n"/>
      <c r="AD240" s="1302" t="n"/>
      <c r="AE240" s="1302" t="inlineStr"/>
      <c r="AF240" s="1302" t="inlineStr"/>
      <c r="AG240" s="1302" t="inlineStr"/>
      <c r="AH240" s="1302" t="n"/>
      <c r="AI240" s="1302" t="n"/>
      <c r="AJ240" s="1302" t="n"/>
      <c r="AK240" s="1302">
        <f>AI240-AJ240</f>
        <v/>
      </c>
      <c r="AL240" s="858" t="n"/>
      <c r="AM240" s="1297" t="inlineStr"/>
      <c r="AN240" s="1298" t="n"/>
      <c r="AO240" s="13">
        <f>IF(_epmOfflineCondition_,0,EPMSaveDataOnly(AB240,,AB$29,AB$25,AB$26,AB$31,AB$32,$AA$37,AO$14,AO$15,AO$16,AO$17,AO$18,X240))</f>
        <v/>
      </c>
      <c r="AP240" s="13">
        <f>IF(_epmOfflineCondition_,0,EPMSaveDataOnly(AL240,,AL$29,AL$25,AL$26,AL$31,AL$32,$AA$37,AP$14,AP$15,AP$16,AP$17,AP$18,$X240))</f>
        <v/>
      </c>
      <c r="AQ240" s="13">
        <f>IF(_epmOfflineCondition_,0,EPMSaveData(AM240,,AM$29,AM$25,AM$26,$C$6,AM$32,$AA$37,AQ$14,AQ$15,AQ$16,AQ$17,AQ$18,$X240))</f>
        <v/>
      </c>
      <c r="AR240" s="13">
        <f>IF(_epmOfflineCondition_,0,EPMSaveDataOnly(AN240,,AN$29,AN$25,AN$26,AN$31,AN$32,$AA$37,AR$14,AR$15,AR$16,AR$17,AR$18,$X240))</f>
        <v/>
      </c>
      <c r="AS240" s="384" t="n"/>
    </row>
    <row r="241" hidden="1" ht="15.75" customHeight="1" s="1181">
      <c r="A241" s="384" t="n"/>
      <c r="B241" s="384" t="n"/>
      <c r="C241" s="384" t="n"/>
      <c r="D241" s="384" t="n"/>
      <c r="E241" s="384" t="n"/>
      <c r="F241" s="384" t="n"/>
      <c r="G241" s="384" t="n"/>
      <c r="H241" s="384" t="n"/>
      <c r="I241" s="384" t="n"/>
      <c r="J241" s="384" t="n"/>
      <c r="K241" s="384" t="n"/>
      <c r="L241" s="384" t="n"/>
      <c r="M241" s="384" t="n"/>
      <c r="N241" s="384" t="n"/>
      <c r="O241" s="384" t="n"/>
      <c r="P241" s="384" t="n"/>
      <c r="Q241" s="384" t="n"/>
      <c r="R241" s="384" t="n"/>
      <c r="S241" s="384" t="n"/>
      <c r="T241" s="384" t="n"/>
      <c r="U241" s="384" t="n"/>
      <c r="V241" s="384" t="n"/>
      <c r="W241" s="384" t="n"/>
      <c r="X241" s="645">
        <f>IF(_epmOfflineCondition_,"I_E100228",EPMOlapMemberO("[C_INTERCO].[PARENTH1].[I_E100228]","","I_E100228","","000"))</f>
        <v/>
      </c>
      <c r="Y241" s="870">
        <f>IF(_epmOfflineCondition_,"北京市热力集团有限责任公司丰台分公司",EPMMemberDesc(X241))</f>
        <v/>
      </c>
      <c r="Z241" s="1302" t="n"/>
      <c r="AA241" s="1302" t="n"/>
      <c r="AB241" s="858" t="n"/>
      <c r="AC241" s="1302" t="n"/>
      <c r="AD241" s="1302" t="n"/>
      <c r="AE241" s="1302" t="inlineStr"/>
      <c r="AF241" s="1302" t="inlineStr"/>
      <c r="AG241" s="1302" t="inlineStr"/>
      <c r="AH241" s="1302" t="n"/>
      <c r="AI241" s="1302" t="n"/>
      <c r="AJ241" s="1302" t="n"/>
      <c r="AK241" s="1302">
        <f>AI241-AJ241</f>
        <v/>
      </c>
      <c r="AL241" s="858" t="n"/>
      <c r="AM241" s="1297" t="inlineStr"/>
      <c r="AN241" s="1298" t="n"/>
      <c r="AO241" s="13">
        <f>IF(_epmOfflineCondition_,0,EPMSaveDataOnly(AB241,,AB$29,AB$25,AB$26,AB$31,AB$32,$AA$37,AO$14,AO$15,AO$16,AO$17,AO$18,X241))</f>
        <v/>
      </c>
      <c r="AP241" s="13">
        <f>IF(_epmOfflineCondition_,0,EPMSaveDataOnly(AL241,,AL$29,AL$25,AL$26,AL$31,AL$32,$AA$37,AP$14,AP$15,AP$16,AP$17,AP$18,$X241))</f>
        <v/>
      </c>
      <c r="AQ241" s="13">
        <f>IF(_epmOfflineCondition_,0,EPMSaveData(AM241,,AM$29,AM$25,AM$26,$C$6,AM$32,$AA$37,AQ$14,AQ$15,AQ$16,AQ$17,AQ$18,$X241))</f>
        <v/>
      </c>
      <c r="AR241" s="13">
        <f>IF(_epmOfflineCondition_,0,EPMSaveDataOnly(AN241,,AN$29,AN$25,AN$26,AN$31,AN$32,$AA$37,AR$14,AR$15,AR$16,AR$17,AR$18,$X241))</f>
        <v/>
      </c>
      <c r="AS241" s="384" t="n"/>
    </row>
    <row r="242" hidden="1" ht="15.75" customHeight="1" s="1181">
      <c r="A242" s="384" t="n"/>
      <c r="B242" s="384" t="n"/>
      <c r="C242" s="384" t="n"/>
      <c r="D242" s="384" t="n"/>
      <c r="E242" s="384" t="n"/>
      <c r="F242" s="384" t="n"/>
      <c r="G242" s="384" t="n"/>
      <c r="H242" s="384" t="n"/>
      <c r="I242" s="384" t="n"/>
      <c r="J242" s="384" t="n"/>
      <c r="K242" s="384" t="n"/>
      <c r="L242" s="384" t="n"/>
      <c r="M242" s="384" t="n"/>
      <c r="N242" s="384" t="n"/>
      <c r="O242" s="384" t="n"/>
      <c r="P242" s="384" t="n"/>
      <c r="Q242" s="384" t="n"/>
      <c r="R242" s="384" t="n"/>
      <c r="S242" s="384" t="n"/>
      <c r="T242" s="384" t="n"/>
      <c r="U242" s="384" t="n"/>
      <c r="V242" s="384" t="n"/>
      <c r="W242" s="384" t="n"/>
      <c r="X242" s="645">
        <f>IF(_epmOfflineCondition_,"I_E100229",EPMOlapMemberO("[C_INTERCO].[PARENTH1].[I_E100229]","","I_E100229","","000"))</f>
        <v/>
      </c>
      <c r="Y242" s="870">
        <f>IF(_epmOfflineCondition_,"北京市热力集团有限责任公司石景山分公司",EPMMemberDesc(X242))</f>
        <v/>
      </c>
      <c r="Z242" s="1302" t="n"/>
      <c r="AA242" s="1302" t="n"/>
      <c r="AB242" s="858" t="n"/>
      <c r="AC242" s="1302" t="n"/>
      <c r="AD242" s="1302" t="n"/>
      <c r="AE242" s="1302" t="inlineStr"/>
      <c r="AF242" s="1302" t="inlineStr"/>
      <c r="AG242" s="1302" t="inlineStr"/>
      <c r="AH242" s="1302" t="n"/>
      <c r="AI242" s="1302" t="n"/>
      <c r="AJ242" s="1302" t="n"/>
      <c r="AK242" s="1302">
        <f>AI242-AJ242</f>
        <v/>
      </c>
      <c r="AL242" s="858" t="n"/>
      <c r="AM242" s="1297" t="inlineStr"/>
      <c r="AN242" s="1298" t="n"/>
      <c r="AO242" s="13">
        <f>IF(_epmOfflineCondition_,0,EPMSaveDataOnly(AB242,,AB$29,AB$25,AB$26,AB$31,AB$32,$AA$37,AO$14,AO$15,AO$16,AO$17,AO$18,X242))</f>
        <v/>
      </c>
      <c r="AP242" s="13">
        <f>IF(_epmOfflineCondition_,0,EPMSaveDataOnly(AL242,,AL$29,AL$25,AL$26,AL$31,AL$32,$AA$37,AP$14,AP$15,AP$16,AP$17,AP$18,$X242))</f>
        <v/>
      </c>
      <c r="AQ242" s="13">
        <f>IF(_epmOfflineCondition_,0,EPMSaveData(AM242,,AM$29,AM$25,AM$26,$C$6,AM$32,$AA$37,AQ$14,AQ$15,AQ$16,AQ$17,AQ$18,$X242))</f>
        <v/>
      </c>
      <c r="AR242" s="13">
        <f>IF(_epmOfflineCondition_,0,EPMSaveDataOnly(AN242,,AN$29,AN$25,AN$26,AN$31,AN$32,$AA$37,AR$14,AR$15,AR$16,AR$17,AR$18,$X242))</f>
        <v/>
      </c>
      <c r="AS242" s="384" t="n"/>
    </row>
    <row r="243" hidden="1" s="1181">
      <c r="A243" s="384" t="n"/>
      <c r="B243" s="384" t="n"/>
      <c r="C243" s="384" t="n"/>
      <c r="D243" s="384" t="n"/>
      <c r="E243" s="384" t="n"/>
      <c r="F243" s="384" t="n"/>
      <c r="G243" s="384" t="n"/>
      <c r="H243" s="384" t="n"/>
      <c r="I243" s="384" t="n"/>
      <c r="J243" s="384" t="n"/>
      <c r="K243" s="384" t="n"/>
      <c r="L243" s="384" t="n"/>
      <c r="M243" s="384" t="n"/>
      <c r="N243" s="384" t="n"/>
      <c r="O243" s="384" t="n"/>
      <c r="P243" s="384" t="n"/>
      <c r="Q243" s="384" t="n"/>
      <c r="R243" s="384" t="n"/>
      <c r="S243" s="384" t="n"/>
      <c r="T243" s="384" t="n"/>
      <c r="U243" s="384" t="n"/>
      <c r="V243" s="384" t="n"/>
      <c r="W243" s="384" t="n"/>
      <c r="X243" s="645">
        <f>IF(_epmOfflineCondition_,"I_E100230",EPMOlapMemberO("[C_INTERCO].[PARENTH1].[I_E100230]","","I_E100230","","000"))</f>
        <v/>
      </c>
      <c r="Y243" s="870">
        <f>IF(_epmOfflineCondition_,"北京市热力集团有限责任公司门头沟分公司",EPMMemberDesc(X243))</f>
        <v/>
      </c>
      <c r="Z243" s="1302" t="n"/>
      <c r="AA243" s="1302" t="n"/>
      <c r="AB243" s="858" t="n"/>
      <c r="AC243" s="1302" t="n"/>
      <c r="AD243" s="1302" t="n"/>
      <c r="AE243" s="1302" t="inlineStr"/>
      <c r="AF243" s="1302" t="inlineStr"/>
      <c r="AG243" s="1302" t="inlineStr"/>
      <c r="AH243" s="1302" t="n"/>
      <c r="AI243" s="1302" t="n"/>
      <c r="AJ243" s="1302" t="n"/>
      <c r="AK243" s="1302">
        <f>AI243-AJ243</f>
        <v/>
      </c>
      <c r="AL243" s="858" t="n"/>
      <c r="AM243" s="1297" t="inlineStr"/>
      <c r="AN243" s="1298" t="n"/>
      <c r="AO243" s="13">
        <f>IF(_epmOfflineCondition_,0,EPMSaveDataOnly(AB243,,AB$29,AB$25,AB$26,AB$31,AB$32,$AA$37,AO$14,AO$15,AO$16,AO$17,AO$18,X243))</f>
        <v/>
      </c>
      <c r="AP243" s="13">
        <f>IF(_epmOfflineCondition_,0,EPMSaveDataOnly(AL243,,AL$29,AL$25,AL$26,AL$31,AL$32,$AA$37,AP$14,AP$15,AP$16,AP$17,AP$18,$X243))</f>
        <v/>
      </c>
      <c r="AQ243" s="13">
        <f>IF(_epmOfflineCondition_,0,EPMSaveData(AM243,,AM$29,AM$25,AM$26,$C$6,AM$32,$AA$37,AQ$14,AQ$15,AQ$16,AQ$17,AQ$18,$X243))</f>
        <v/>
      </c>
      <c r="AR243" s="13">
        <f>IF(_epmOfflineCondition_,0,EPMSaveDataOnly(AN243,,AN$29,AN$25,AN$26,AN$31,AN$32,$AA$37,AR$14,AR$15,AR$16,AR$17,AR$18,$X243))</f>
        <v/>
      </c>
      <c r="AS243" s="384" t="n"/>
    </row>
    <row r="244" hidden="1" ht="15.75" customHeight="1" s="1181">
      <c r="A244" s="384" t="n"/>
      <c r="B244" s="384" t="n"/>
      <c r="C244" s="384" t="n"/>
      <c r="D244" s="384" t="n"/>
      <c r="E244" s="384" t="n"/>
      <c r="F244" s="384" t="n"/>
      <c r="G244" s="384" t="n"/>
      <c r="H244" s="384" t="n"/>
      <c r="I244" s="384" t="n"/>
      <c r="J244" s="384" t="n"/>
      <c r="K244" s="384" t="n"/>
      <c r="L244" s="384" t="n"/>
      <c r="M244" s="384" t="n"/>
      <c r="N244" s="384" t="n"/>
      <c r="O244" s="384" t="n"/>
      <c r="P244" s="384" t="n"/>
      <c r="Q244" s="384" t="n"/>
      <c r="R244" s="384" t="n"/>
      <c r="S244" s="384" t="n"/>
      <c r="T244" s="384" t="n"/>
      <c r="U244" s="384" t="n"/>
      <c r="V244" s="384" t="n"/>
      <c r="W244" s="384" t="n"/>
      <c r="X244" s="645">
        <f>IF(_epmOfflineCondition_,"I_E100231",EPMOlapMemberO("[C_INTERCO].[PARENTH1].[I_E100231]","","I_E100231","","000"))</f>
        <v/>
      </c>
      <c r="Y244" s="870">
        <f>IF(_epmOfflineCondition_,"北京市热力集团有限责任公司输配分公司",EPMMemberDesc(X244))</f>
        <v/>
      </c>
      <c r="Z244" s="1302" t="n"/>
      <c r="AA244" s="1302" t="n"/>
      <c r="AB244" s="858" t="n"/>
      <c r="AC244" s="1302" t="n"/>
      <c r="AD244" s="1302" t="n"/>
      <c r="AE244" s="1302" t="inlineStr"/>
      <c r="AF244" s="1302" t="inlineStr"/>
      <c r="AG244" s="1302" t="inlineStr"/>
      <c r="AH244" s="1302" t="n"/>
      <c r="AI244" s="1302" t="n"/>
      <c r="AJ244" s="1302" t="n"/>
      <c r="AK244" s="1302">
        <f>AI244-AJ244</f>
        <v/>
      </c>
      <c r="AL244" s="858" t="n"/>
      <c r="AM244" s="1297" t="inlineStr"/>
      <c r="AN244" s="1298" t="n"/>
      <c r="AO244" s="13">
        <f>IF(_epmOfflineCondition_,0,EPMSaveDataOnly(AB244,,AB$29,AB$25,AB$26,AB$31,AB$32,$AA$37,AO$14,AO$15,AO$16,AO$17,AO$18,X244))</f>
        <v/>
      </c>
      <c r="AP244" s="13">
        <f>IF(_epmOfflineCondition_,0,EPMSaveDataOnly(AL244,,AL$29,AL$25,AL$26,AL$31,AL$32,$AA$37,AP$14,AP$15,AP$16,AP$17,AP$18,$X244))</f>
        <v/>
      </c>
      <c r="AQ244" s="13">
        <f>IF(_epmOfflineCondition_,0,EPMSaveData(AM244,,AM$29,AM$25,AM$26,$C$6,AM$32,$AA$37,AQ$14,AQ$15,AQ$16,AQ$17,AQ$18,$X244))</f>
        <v/>
      </c>
      <c r="AR244" s="13">
        <f>IF(_epmOfflineCondition_,0,EPMSaveDataOnly(AN244,,AN$29,AN$25,AN$26,AN$31,AN$32,$AA$37,AR$14,AR$15,AR$16,AR$17,AR$18,$X244))</f>
        <v/>
      </c>
      <c r="AS244" s="384" t="n"/>
    </row>
    <row r="245" hidden="1" ht="15.75" customHeight="1" s="1181">
      <c r="A245" s="384" t="n"/>
      <c r="B245" s="384" t="n"/>
      <c r="C245" s="384" t="n"/>
      <c r="D245" s="384" t="n"/>
      <c r="E245" s="384" t="n"/>
      <c r="F245" s="384" t="n"/>
      <c r="G245" s="384" t="n"/>
      <c r="H245" s="384" t="n"/>
      <c r="I245" s="384" t="n"/>
      <c r="J245" s="384" t="n"/>
      <c r="K245" s="384" t="n"/>
      <c r="L245" s="384" t="n"/>
      <c r="M245" s="384" t="n"/>
      <c r="N245" s="384" t="n"/>
      <c r="O245" s="384" t="n"/>
      <c r="P245" s="384" t="n"/>
      <c r="Q245" s="384" t="n"/>
      <c r="R245" s="384" t="n"/>
      <c r="S245" s="384" t="n"/>
      <c r="T245" s="384" t="n"/>
      <c r="U245" s="384" t="n"/>
      <c r="V245" s="384" t="n"/>
      <c r="W245" s="384" t="n"/>
      <c r="X245" s="645">
        <f>IF(_epmOfflineCondition_,"I_E100233",EPMOlapMemberO("[C_INTERCO].[PARENTH1].[I_E100233]","","I_E100233","","000"))</f>
        <v/>
      </c>
      <c r="Y245" s="870">
        <f>IF(_epmOfflineCondition_,"北京市热力工程设计有限责任公司",EPMMemberDesc(X245))</f>
        <v/>
      </c>
      <c r="Z245" s="1302" t="n"/>
      <c r="AA245" s="1302" t="n"/>
      <c r="AB245" s="858" t="n"/>
      <c r="AC245" s="1302" t="n"/>
      <c r="AD245" s="1302" t="n"/>
      <c r="AE245" s="1302" t="inlineStr"/>
      <c r="AF245" s="1302" t="inlineStr"/>
      <c r="AG245" s="1302" t="inlineStr"/>
      <c r="AH245" s="1302" t="n"/>
      <c r="AI245" s="1302" t="n"/>
      <c r="AJ245" s="1302" t="n"/>
      <c r="AK245" s="1302">
        <f>AI245-AJ245</f>
        <v/>
      </c>
      <c r="AL245" s="858" t="n"/>
      <c r="AM245" s="1297" t="inlineStr"/>
      <c r="AN245" s="1298" t="n"/>
      <c r="AO245" s="13">
        <f>IF(_epmOfflineCondition_,0,EPMSaveDataOnly(AB245,,AB$29,AB$25,AB$26,AB$31,AB$32,$AA$37,AO$14,AO$15,AO$16,AO$17,AO$18,X245))</f>
        <v/>
      </c>
      <c r="AP245" s="13">
        <f>IF(_epmOfflineCondition_,0,EPMSaveDataOnly(AL245,,AL$29,AL$25,AL$26,AL$31,AL$32,$AA$37,AP$14,AP$15,AP$16,AP$17,AP$18,$X245))</f>
        <v/>
      </c>
      <c r="AQ245" s="13">
        <f>IF(_epmOfflineCondition_,0,EPMSaveData(AM245,,AM$29,AM$25,AM$26,$C$6,AM$32,$AA$37,AQ$14,AQ$15,AQ$16,AQ$17,AQ$18,$X245))</f>
        <v/>
      </c>
      <c r="AR245" s="13">
        <f>IF(_epmOfflineCondition_,0,EPMSaveDataOnly(AN245,,AN$29,AN$25,AN$26,AN$31,AN$32,$AA$37,AR$14,AR$15,AR$16,AR$17,AR$18,$X245))</f>
        <v/>
      </c>
      <c r="AS245" s="384" t="n"/>
    </row>
    <row r="246" hidden="1" ht="15.75" customHeight="1" s="1181">
      <c r="A246" s="384" t="n"/>
      <c r="B246" s="384" t="n"/>
      <c r="C246" s="384" t="n"/>
      <c r="D246" s="384" t="n"/>
      <c r="E246" s="384" t="n"/>
      <c r="F246" s="384" t="n"/>
      <c r="G246" s="384" t="n"/>
      <c r="H246" s="384" t="n"/>
      <c r="I246" s="384" t="n"/>
      <c r="J246" s="384" t="n"/>
      <c r="K246" s="384" t="n"/>
      <c r="L246" s="384" t="n"/>
      <c r="M246" s="384" t="n"/>
      <c r="N246" s="384" t="n"/>
      <c r="O246" s="384" t="n"/>
      <c r="P246" s="384" t="n"/>
      <c r="Q246" s="384" t="n"/>
      <c r="R246" s="384" t="n"/>
      <c r="S246" s="384" t="n"/>
      <c r="T246" s="384" t="n"/>
      <c r="U246" s="384" t="n"/>
      <c r="V246" s="384" t="n"/>
      <c r="W246" s="384" t="n"/>
      <c r="X246" s="645">
        <f>IF(_epmOfflineCondition_,"I_E100234",EPMOlapMemberO("[C_INTERCO].[PARENTH1].[I_E100234]","","I_E100234","","000"))</f>
        <v/>
      </c>
      <c r="Y246" s="870">
        <f>IF(_epmOfflineCondition_,"北京市特得热力技术发展有限责任公司",EPMMemberDesc(X246))</f>
        <v/>
      </c>
      <c r="Z246" s="1302" t="n"/>
      <c r="AA246" s="1302" t="n"/>
      <c r="AB246" s="858" t="n"/>
      <c r="AC246" s="1302" t="n"/>
      <c r="AD246" s="1302" t="n"/>
      <c r="AE246" s="1302" t="inlineStr"/>
      <c r="AF246" s="1302" t="inlineStr"/>
      <c r="AG246" s="1302" t="inlineStr"/>
      <c r="AH246" s="1302" t="n"/>
      <c r="AI246" s="1302" t="n"/>
      <c r="AJ246" s="1302" t="n"/>
      <c r="AK246" s="1302">
        <f>AI246-AJ246</f>
        <v/>
      </c>
      <c r="AL246" s="858" t="n"/>
      <c r="AM246" s="1297" t="inlineStr"/>
      <c r="AN246" s="1298" t="n"/>
      <c r="AO246" s="13">
        <f>IF(_epmOfflineCondition_,0,EPMSaveDataOnly(AB246,,AB$29,AB$25,AB$26,AB$31,AB$32,$AA$37,AO$14,AO$15,AO$16,AO$17,AO$18,X246))</f>
        <v/>
      </c>
      <c r="AP246" s="13">
        <f>IF(_epmOfflineCondition_,0,EPMSaveDataOnly(AL246,,AL$29,AL$25,AL$26,AL$31,AL$32,$AA$37,AP$14,AP$15,AP$16,AP$17,AP$18,$X246))</f>
        <v/>
      </c>
      <c r="AQ246" s="13">
        <f>IF(_epmOfflineCondition_,0,EPMSaveData(AM246,,AM$29,AM$25,AM$26,$C$6,AM$32,$AA$37,AQ$14,AQ$15,AQ$16,AQ$17,AQ$18,$X246))</f>
        <v/>
      </c>
      <c r="AR246" s="13">
        <f>IF(_epmOfflineCondition_,0,EPMSaveDataOnly(AN246,,AN$29,AN$25,AN$26,AN$31,AN$32,$AA$37,AR$14,AR$15,AR$16,AR$17,AR$18,$X246))</f>
        <v/>
      </c>
      <c r="AS246" s="384" t="n"/>
    </row>
    <row r="247" hidden="1" ht="15.75" customHeight="1" s="1181">
      <c r="A247" s="384" t="n"/>
      <c r="B247" s="384" t="n"/>
      <c r="C247" s="384" t="n"/>
      <c r="D247" s="384" t="n"/>
      <c r="E247" s="384" t="n"/>
      <c r="F247" s="384" t="n"/>
      <c r="G247" s="384" t="n"/>
      <c r="H247" s="384" t="n"/>
      <c r="I247" s="384" t="n"/>
      <c r="J247" s="384" t="n"/>
      <c r="K247" s="384" t="n"/>
      <c r="L247" s="384" t="n"/>
      <c r="M247" s="384" t="n"/>
      <c r="N247" s="384" t="n"/>
      <c r="O247" s="384" t="n"/>
      <c r="P247" s="384" t="n"/>
      <c r="Q247" s="384" t="n"/>
      <c r="R247" s="384" t="n"/>
      <c r="S247" s="384" t="n"/>
      <c r="T247" s="384" t="n"/>
      <c r="U247" s="384" t="n"/>
      <c r="V247" s="384" t="n"/>
      <c r="W247" s="384" t="n"/>
      <c r="X247" s="645">
        <f>IF(_epmOfflineCondition_,"I_E100235",EPMOlapMemberO("[C_INTERCO].[PARENTH1].[I_E100235]","","I_E100235","","000"))</f>
        <v/>
      </c>
      <c r="Y247" s="870">
        <f>IF(_epmOfflineCondition_,"北京热力市政工程建设有限公司",EPMMemberDesc(X247))</f>
        <v/>
      </c>
      <c r="Z247" s="1302" t="n"/>
      <c r="AA247" s="1302" t="n"/>
      <c r="AB247" s="858" t="n"/>
      <c r="AC247" s="1302" t="n"/>
      <c r="AD247" s="1302" t="n"/>
      <c r="AE247" s="1302" t="inlineStr"/>
      <c r="AF247" s="1302" t="inlineStr"/>
      <c r="AG247" s="1302" t="inlineStr"/>
      <c r="AH247" s="1302" t="n"/>
      <c r="AI247" s="1302" t="n"/>
      <c r="AJ247" s="1302" t="n"/>
      <c r="AK247" s="1302">
        <f>AI247-AJ247</f>
        <v/>
      </c>
      <c r="AL247" s="858" t="n"/>
      <c r="AM247" s="1297" t="inlineStr"/>
      <c r="AN247" s="1298" t="n"/>
      <c r="AO247" s="13">
        <f>IF(_epmOfflineCondition_,0,EPMSaveDataOnly(AB247,,AB$29,AB$25,AB$26,AB$31,AB$32,$AA$37,AO$14,AO$15,AO$16,AO$17,AO$18,X247))</f>
        <v/>
      </c>
      <c r="AP247" s="13">
        <f>IF(_epmOfflineCondition_,0,EPMSaveDataOnly(AL247,,AL$29,AL$25,AL$26,AL$31,AL$32,$AA$37,AP$14,AP$15,AP$16,AP$17,AP$18,$X247))</f>
        <v/>
      </c>
      <c r="AQ247" s="13">
        <f>IF(_epmOfflineCondition_,0,EPMSaveData(AM247,,AM$29,AM$25,AM$26,$C$6,AM$32,$AA$37,AQ$14,AQ$15,AQ$16,AQ$17,AQ$18,$X247))</f>
        <v/>
      </c>
      <c r="AR247" s="13">
        <f>IF(_epmOfflineCondition_,0,EPMSaveDataOnly(AN247,,AN$29,AN$25,AN$26,AN$31,AN$32,$AA$37,AR$14,AR$15,AR$16,AR$17,AR$18,$X247))</f>
        <v/>
      </c>
      <c r="AS247" s="384" t="n"/>
    </row>
    <row r="248" hidden="1" ht="15.75" customHeight="1" s="1181">
      <c r="A248" s="384" t="n"/>
      <c r="B248" s="384" t="n"/>
      <c r="C248" s="384" t="n"/>
      <c r="D248" s="384" t="n"/>
      <c r="E248" s="384" t="n"/>
      <c r="F248" s="384" t="n"/>
      <c r="G248" s="384" t="n"/>
      <c r="H248" s="384" t="n"/>
      <c r="I248" s="384" t="n"/>
      <c r="J248" s="384" t="n"/>
      <c r="K248" s="384" t="n"/>
      <c r="L248" s="384" t="n"/>
      <c r="M248" s="384" t="n"/>
      <c r="N248" s="384" t="n"/>
      <c r="O248" s="384" t="n"/>
      <c r="P248" s="384" t="n"/>
      <c r="Q248" s="384" t="n"/>
      <c r="R248" s="384" t="n"/>
      <c r="S248" s="384" t="n"/>
      <c r="T248" s="384" t="n"/>
      <c r="U248" s="384" t="n"/>
      <c r="V248" s="384" t="n"/>
      <c r="W248" s="384" t="n"/>
      <c r="X248" s="645">
        <f>IF(_epmOfflineCondition_,"I_E100236",EPMOlapMemberO("[C_INTERCO].[PARENTH1].[I_E100236]","","I_E100236","","000"))</f>
        <v/>
      </c>
      <c r="Y248" s="870">
        <f>IF(_epmOfflineCondition_,"北京热力智能控制技术有限责任公司",EPMMemberDesc(X248))</f>
        <v/>
      </c>
      <c r="Z248" s="1302" t="n"/>
      <c r="AA248" s="1302" t="n"/>
      <c r="AB248" s="858" t="n"/>
      <c r="AC248" s="1302" t="n"/>
      <c r="AD248" s="1302" t="n"/>
      <c r="AE248" s="1302" t="inlineStr"/>
      <c r="AF248" s="1302" t="inlineStr"/>
      <c r="AG248" s="1302" t="inlineStr"/>
      <c r="AH248" s="1302" t="n"/>
      <c r="AI248" s="1302" t="n"/>
      <c r="AJ248" s="1302" t="n"/>
      <c r="AK248" s="1302">
        <f>AI248-AJ248</f>
        <v/>
      </c>
      <c r="AL248" s="858" t="n"/>
      <c r="AM248" s="1297" t="inlineStr"/>
      <c r="AN248" s="1298" t="n"/>
      <c r="AO248" s="13">
        <f>IF(_epmOfflineCondition_,0,EPMSaveDataOnly(AB248,,AB$29,AB$25,AB$26,AB$31,AB$32,$AA$37,AO$14,AO$15,AO$16,AO$17,AO$18,X248))</f>
        <v/>
      </c>
      <c r="AP248" s="13">
        <f>IF(_epmOfflineCondition_,0,EPMSaveDataOnly(AL248,,AL$29,AL$25,AL$26,AL$31,AL$32,$AA$37,AP$14,AP$15,AP$16,AP$17,AP$18,$X248))</f>
        <v/>
      </c>
      <c r="AQ248" s="13">
        <f>IF(_epmOfflineCondition_,0,EPMSaveData(AM248,,AM$29,AM$25,AM$26,$C$6,AM$32,$AA$37,AQ$14,AQ$15,AQ$16,AQ$17,AQ$18,$X248))</f>
        <v/>
      </c>
      <c r="AR248" s="13">
        <f>IF(_epmOfflineCondition_,0,EPMSaveDataOnly(AN248,,AN$29,AN$25,AN$26,AN$31,AN$32,$AA$37,AR$14,AR$15,AR$16,AR$17,AR$18,$X248))</f>
        <v/>
      </c>
      <c r="AS248" s="384" t="n"/>
    </row>
    <row r="249" hidden="1" ht="15.75" customHeight="1" s="1181">
      <c r="A249" s="384" t="n"/>
      <c r="B249" s="384" t="n"/>
      <c r="C249" s="384" t="n"/>
      <c r="D249" s="384" t="n"/>
      <c r="E249" s="384" t="n"/>
      <c r="F249" s="384" t="n"/>
      <c r="G249" s="384" t="n"/>
      <c r="H249" s="384" t="n"/>
      <c r="I249" s="384" t="n"/>
      <c r="J249" s="384" t="n"/>
      <c r="K249" s="384" t="n"/>
      <c r="L249" s="384" t="n"/>
      <c r="M249" s="384" t="n"/>
      <c r="N249" s="384" t="n"/>
      <c r="O249" s="384" t="n"/>
      <c r="P249" s="384" t="n"/>
      <c r="Q249" s="384" t="n"/>
      <c r="R249" s="384" t="n"/>
      <c r="S249" s="384" t="n"/>
      <c r="T249" s="384" t="n"/>
      <c r="U249" s="384" t="n"/>
      <c r="V249" s="384" t="n"/>
      <c r="W249" s="384" t="n"/>
      <c r="X249" s="645">
        <f>IF(_epmOfflineCondition_,"I_E100237",EPMOlapMemberO("[C_INTERCO].[PARENTH1].[I_E100237]","","I_E100237","","000"))</f>
        <v/>
      </c>
      <c r="Y249" s="870">
        <f>IF(_epmOfflineCondition_,"北京金光眼特种设备检验检测有限公司",EPMMemberDesc(X249))</f>
        <v/>
      </c>
      <c r="Z249" s="1302" t="n"/>
      <c r="AA249" s="1302" t="n"/>
      <c r="AB249" s="858" t="n"/>
      <c r="AC249" s="1302" t="n"/>
      <c r="AD249" s="1302" t="n"/>
      <c r="AE249" s="1302" t="inlineStr"/>
      <c r="AF249" s="1302" t="inlineStr"/>
      <c r="AG249" s="1302" t="inlineStr"/>
      <c r="AH249" s="1302" t="n"/>
      <c r="AI249" s="1302" t="n"/>
      <c r="AJ249" s="1302" t="n"/>
      <c r="AK249" s="1302">
        <f>AI249-AJ249</f>
        <v/>
      </c>
      <c r="AL249" s="858" t="n"/>
      <c r="AM249" s="1297" t="inlineStr"/>
      <c r="AN249" s="1298" t="n"/>
      <c r="AO249" s="13">
        <f>IF(_epmOfflineCondition_,0,EPMSaveDataOnly(AB249,,AB$29,AB$25,AB$26,AB$31,AB$32,$AA$37,AO$14,AO$15,AO$16,AO$17,AO$18,X249))</f>
        <v/>
      </c>
      <c r="AP249" s="13">
        <f>IF(_epmOfflineCondition_,0,EPMSaveDataOnly(AL249,,AL$29,AL$25,AL$26,AL$31,AL$32,$AA$37,AP$14,AP$15,AP$16,AP$17,AP$18,$X249))</f>
        <v/>
      </c>
      <c r="AQ249" s="13">
        <f>IF(_epmOfflineCondition_,0,EPMSaveData(AM249,,AM$29,AM$25,AM$26,$C$6,AM$32,$AA$37,AQ$14,AQ$15,AQ$16,AQ$17,AQ$18,$X249))</f>
        <v/>
      </c>
      <c r="AR249" s="13">
        <f>IF(_epmOfflineCondition_,0,EPMSaveDataOnly(AN249,,AN$29,AN$25,AN$26,AN$31,AN$32,$AA$37,AR$14,AR$15,AR$16,AR$17,AR$18,$X249))</f>
        <v/>
      </c>
      <c r="AS249" s="384" t="n"/>
    </row>
    <row r="250" hidden="1" ht="15.75" customHeight="1" s="1181">
      <c r="A250" s="384" t="n"/>
      <c r="B250" s="384" t="n"/>
      <c r="C250" s="384" t="n"/>
      <c r="D250" s="384" t="n"/>
      <c r="E250" s="384" t="n"/>
      <c r="F250" s="384" t="n"/>
      <c r="G250" s="384" t="n"/>
      <c r="H250" s="384" t="n"/>
      <c r="I250" s="384" t="n"/>
      <c r="J250" s="384" t="n"/>
      <c r="K250" s="384" t="n"/>
      <c r="L250" s="384" t="n"/>
      <c r="M250" s="384" t="n"/>
      <c r="N250" s="384" t="n"/>
      <c r="O250" s="384" t="n"/>
      <c r="P250" s="384" t="n"/>
      <c r="Q250" s="384" t="n"/>
      <c r="R250" s="384" t="n"/>
      <c r="S250" s="384" t="n"/>
      <c r="T250" s="384" t="n"/>
      <c r="U250" s="384" t="n"/>
      <c r="V250" s="384" t="n"/>
      <c r="W250" s="384" t="n"/>
      <c r="X250" s="645">
        <f>IF(_epmOfflineCondition_,"I_E100238",EPMOlapMemberO("[C_INTERCO].[PARENTH1].[I_E100238]","","I_E100238","","000"))</f>
        <v/>
      </c>
      <c r="Y250" s="870">
        <f>IF(_epmOfflineCondition_,"北京热力装备制造有限公司",EPMMemberDesc(X250))</f>
        <v/>
      </c>
      <c r="Z250" s="1302" t="n"/>
      <c r="AA250" s="1302" t="n"/>
      <c r="AB250" s="858" t="n"/>
      <c r="AC250" s="1302" t="n"/>
      <c r="AD250" s="1302" t="n"/>
      <c r="AE250" s="1302" t="inlineStr"/>
      <c r="AF250" s="1302" t="inlineStr"/>
      <c r="AG250" s="1302" t="inlineStr"/>
      <c r="AH250" s="1302" t="n"/>
      <c r="AI250" s="1302" t="n"/>
      <c r="AJ250" s="1302" t="n"/>
      <c r="AK250" s="1302">
        <f>AI250-AJ250</f>
        <v/>
      </c>
      <c r="AL250" s="858" t="n"/>
      <c r="AM250" s="1297" t="inlineStr"/>
      <c r="AN250" s="1298" t="n"/>
      <c r="AO250" s="13">
        <f>IF(_epmOfflineCondition_,0,EPMSaveDataOnly(AB250,,AB$29,AB$25,AB$26,AB$31,AB$32,$AA$37,AO$14,AO$15,AO$16,AO$17,AO$18,X250))</f>
        <v/>
      </c>
      <c r="AP250" s="13">
        <f>IF(_epmOfflineCondition_,0,EPMSaveDataOnly(AL250,,AL$29,AL$25,AL$26,AL$31,AL$32,$AA$37,AP$14,AP$15,AP$16,AP$17,AP$18,$X250))</f>
        <v/>
      </c>
      <c r="AQ250" s="13">
        <f>IF(_epmOfflineCondition_,0,EPMSaveData(AM250,,AM$29,AM$25,AM$26,$C$6,AM$32,$AA$37,AQ$14,AQ$15,AQ$16,AQ$17,AQ$18,$X250))</f>
        <v/>
      </c>
      <c r="AR250" s="13">
        <f>IF(_epmOfflineCondition_,0,EPMSaveDataOnly(AN250,,AN$29,AN$25,AN$26,AN$31,AN$32,$AA$37,AR$14,AR$15,AR$16,AR$17,AR$18,$X250))</f>
        <v/>
      </c>
      <c r="AS250" s="384" t="n"/>
    </row>
    <row r="251" hidden="1" ht="15.75" customHeight="1" s="1181">
      <c r="A251" s="384" t="n"/>
      <c r="B251" s="384" t="n"/>
      <c r="C251" s="384" t="n"/>
      <c r="D251" s="384" t="n"/>
      <c r="E251" s="384" t="n"/>
      <c r="F251" s="384" t="n"/>
      <c r="G251" s="384" t="n"/>
      <c r="H251" s="384" t="n"/>
      <c r="I251" s="384" t="n"/>
      <c r="J251" s="384" t="n"/>
      <c r="K251" s="384" t="n"/>
      <c r="L251" s="384" t="n"/>
      <c r="M251" s="384" t="n"/>
      <c r="N251" s="384" t="n"/>
      <c r="O251" s="384" t="n"/>
      <c r="P251" s="384" t="n"/>
      <c r="Q251" s="384" t="n"/>
      <c r="R251" s="384" t="n"/>
      <c r="S251" s="384" t="n"/>
      <c r="T251" s="384" t="n"/>
      <c r="U251" s="384" t="n"/>
      <c r="V251" s="384" t="n"/>
      <c r="W251" s="384" t="n"/>
      <c r="X251" s="645">
        <f>IF(_epmOfflineCondition_,"I_E100239",EPMOlapMemberO("[C_INTERCO].[PARENTH1].[I_E100239]","","I_E100239","","000"))</f>
        <v/>
      </c>
      <c r="Y251" s="870">
        <f>IF(_epmOfflineCondition_,"北京特洁能环保技术发展有限公司",EPMMemberDesc(X251))</f>
        <v/>
      </c>
      <c r="Z251" s="1302" t="n"/>
      <c r="AA251" s="1302" t="n"/>
      <c r="AB251" s="858" t="n"/>
      <c r="AC251" s="1302" t="n"/>
      <c r="AD251" s="1302" t="n"/>
      <c r="AE251" s="1302" t="inlineStr"/>
      <c r="AF251" s="1302" t="inlineStr"/>
      <c r="AG251" s="1302" t="inlineStr"/>
      <c r="AH251" s="1302" t="n"/>
      <c r="AI251" s="1302" t="n"/>
      <c r="AJ251" s="1302" t="n"/>
      <c r="AK251" s="1302">
        <f>AI251-AJ251</f>
        <v/>
      </c>
      <c r="AL251" s="858" t="n"/>
      <c r="AM251" s="1297" t="inlineStr"/>
      <c r="AN251" s="1298" t="n"/>
      <c r="AO251" s="13">
        <f>IF(_epmOfflineCondition_,0,EPMSaveDataOnly(AB251,,AB$29,AB$25,AB$26,AB$31,AB$32,$AA$37,AO$14,AO$15,AO$16,AO$17,AO$18,X251))</f>
        <v/>
      </c>
      <c r="AP251" s="13">
        <f>IF(_epmOfflineCondition_,0,EPMSaveDataOnly(AL251,,AL$29,AL$25,AL$26,AL$31,AL$32,$AA$37,AP$14,AP$15,AP$16,AP$17,AP$18,$X251))</f>
        <v/>
      </c>
      <c r="AQ251" s="13">
        <f>IF(_epmOfflineCondition_,0,EPMSaveData(AM251,,AM$29,AM$25,AM$26,$C$6,AM$32,$AA$37,AQ$14,AQ$15,AQ$16,AQ$17,AQ$18,$X251))</f>
        <v/>
      </c>
      <c r="AR251" s="13">
        <f>IF(_epmOfflineCondition_,0,EPMSaveDataOnly(AN251,,AN$29,AN$25,AN$26,AN$31,AN$32,$AA$37,AR$14,AR$15,AR$16,AR$17,AR$18,$X251))</f>
        <v/>
      </c>
      <c r="AS251" s="384" t="n"/>
    </row>
    <row r="252" hidden="1" ht="15.75" customHeight="1" s="1181">
      <c r="A252" s="384" t="n"/>
      <c r="B252" s="384" t="n"/>
      <c r="C252" s="384" t="n"/>
      <c r="D252" s="384" t="n"/>
      <c r="E252" s="384" t="n"/>
      <c r="F252" s="384" t="n"/>
      <c r="G252" s="384" t="n"/>
      <c r="H252" s="384" t="n"/>
      <c r="I252" s="384" t="n"/>
      <c r="J252" s="384" t="n"/>
      <c r="K252" s="384" t="n"/>
      <c r="L252" s="384" t="n"/>
      <c r="M252" s="384" t="n"/>
      <c r="N252" s="384" t="n"/>
      <c r="O252" s="384" t="n"/>
      <c r="P252" s="384" t="n"/>
      <c r="Q252" s="384" t="n"/>
      <c r="R252" s="384" t="n"/>
      <c r="S252" s="384" t="n"/>
      <c r="T252" s="384" t="n"/>
      <c r="U252" s="384" t="n"/>
      <c r="V252" s="384" t="n"/>
      <c r="W252" s="384" t="n"/>
      <c r="X252" s="645">
        <f>IF(_epmOfflineCondition_,"I_E100241",EPMOlapMemberO("[C_INTERCO].[PARENTH1].[I_E100241]","","I_E100241","","000"))</f>
        <v/>
      </c>
      <c r="Y252" s="870">
        <f>IF(_epmOfflineCondition_,"北京热力特佳物业管理有限责任公司",EPMMemberDesc(X252))</f>
        <v/>
      </c>
      <c r="Z252" s="1302" t="n"/>
      <c r="AA252" s="1302" t="n"/>
      <c r="AB252" s="858" t="n"/>
      <c r="AC252" s="1302" t="n"/>
      <c r="AD252" s="1302" t="n"/>
      <c r="AE252" s="1302" t="inlineStr"/>
      <c r="AF252" s="1302" t="inlineStr"/>
      <c r="AG252" s="1302" t="inlineStr"/>
      <c r="AH252" s="1302" t="n"/>
      <c r="AI252" s="1302" t="n"/>
      <c r="AJ252" s="1302" t="n"/>
      <c r="AK252" s="1302">
        <f>AI252-AJ252</f>
        <v/>
      </c>
      <c r="AL252" s="858" t="n"/>
      <c r="AM252" s="1297" t="inlineStr"/>
      <c r="AN252" s="1298" t="n"/>
      <c r="AO252" s="13">
        <f>IF(_epmOfflineCondition_,0,EPMSaveDataOnly(AB252,,AB$29,AB$25,AB$26,AB$31,AB$32,$AA$37,AO$14,AO$15,AO$16,AO$17,AO$18,X252))</f>
        <v/>
      </c>
      <c r="AP252" s="13">
        <f>IF(_epmOfflineCondition_,0,EPMSaveDataOnly(AL252,,AL$29,AL$25,AL$26,AL$31,AL$32,$AA$37,AP$14,AP$15,AP$16,AP$17,AP$18,$X252))</f>
        <v/>
      </c>
      <c r="AQ252" s="13">
        <f>IF(_epmOfflineCondition_,0,EPMSaveData(AM252,,AM$29,AM$25,AM$26,$C$6,AM$32,$AA$37,AQ$14,AQ$15,AQ$16,AQ$17,AQ$18,$X252))</f>
        <v/>
      </c>
      <c r="AR252" s="13">
        <f>IF(_epmOfflineCondition_,0,EPMSaveDataOnly(AN252,,AN$29,AN$25,AN$26,AN$31,AN$32,$AA$37,AR$14,AR$15,AR$16,AR$17,AR$18,$X252))</f>
        <v/>
      </c>
      <c r="AS252" s="384" t="n"/>
    </row>
    <row r="253" hidden="1" s="1181">
      <c r="A253" s="384" t="n"/>
      <c r="B253" s="384" t="n"/>
      <c r="C253" s="384" t="n"/>
      <c r="D253" s="384" t="n"/>
      <c r="E253" s="384" t="n"/>
      <c r="F253" s="384" t="n"/>
      <c r="G253" s="384" t="n"/>
      <c r="H253" s="384" t="n"/>
      <c r="I253" s="384" t="n"/>
      <c r="J253" s="384" t="n"/>
      <c r="K253" s="384" t="n"/>
      <c r="L253" s="384" t="n"/>
      <c r="M253" s="384" t="n"/>
      <c r="N253" s="384" t="n"/>
      <c r="O253" s="384" t="n"/>
      <c r="P253" s="384" t="n"/>
      <c r="Q253" s="384" t="n"/>
      <c r="R253" s="384" t="n"/>
      <c r="S253" s="384" t="n"/>
      <c r="T253" s="384" t="n"/>
      <c r="U253" s="384" t="n"/>
      <c r="V253" s="384" t="n"/>
      <c r="W253" s="384" t="n"/>
      <c r="X253" s="645">
        <f>IF(_epmOfflineCondition_,"I_E100243",EPMOlapMemberO("[C_INTERCO].[PARENTH1].[I_E100243]","","I_E100243","","000"))</f>
        <v/>
      </c>
      <c r="Y253" s="870">
        <f>IF(_epmOfflineCondition_,"北京科利源热电有限公司-2025年1月注销",EPMMemberDesc(X253))</f>
        <v/>
      </c>
      <c r="Z253" s="1302" t="n"/>
      <c r="AA253" s="1302" t="n"/>
      <c r="AB253" s="858" t="n"/>
      <c r="AC253" s="1302" t="n"/>
      <c r="AD253" s="1302" t="n"/>
      <c r="AE253" s="1302" t="inlineStr"/>
      <c r="AF253" s="1302" t="inlineStr"/>
      <c r="AG253" s="1302" t="inlineStr"/>
      <c r="AH253" s="1302" t="n"/>
      <c r="AI253" s="1302" t="n"/>
      <c r="AJ253" s="1302" t="n"/>
      <c r="AK253" s="1302">
        <f>AI253-AJ253</f>
        <v/>
      </c>
      <c r="AL253" s="858" t="n"/>
      <c r="AM253" s="1297" t="inlineStr"/>
      <c r="AN253" s="1298" t="n"/>
      <c r="AO253" s="13">
        <f>IF(_epmOfflineCondition_,0,EPMSaveDataOnly(AB253,,AB$29,AB$25,AB$26,AB$31,AB$32,$AA$37,AO$14,AO$15,AO$16,AO$17,AO$18,X253))</f>
        <v/>
      </c>
      <c r="AP253" s="13">
        <f>IF(_epmOfflineCondition_,0,EPMSaveDataOnly(AL253,,AL$29,AL$25,AL$26,AL$31,AL$32,$AA$37,AP$14,AP$15,AP$16,AP$17,AP$18,$X253))</f>
        <v/>
      </c>
      <c r="AQ253" s="13">
        <f>IF(_epmOfflineCondition_,0,EPMSaveData(AM253,,AM$29,AM$25,AM$26,$C$6,AM$32,$AA$37,AQ$14,AQ$15,AQ$16,AQ$17,AQ$18,$X253))</f>
        <v/>
      </c>
      <c r="AR253" s="13">
        <f>IF(_epmOfflineCondition_,0,EPMSaveDataOnly(AN253,,AN$29,AN$25,AN$26,AN$31,AN$32,$AA$37,AR$14,AR$15,AR$16,AR$17,AR$18,$X253))</f>
        <v/>
      </c>
      <c r="AS253" s="384" t="n"/>
    </row>
    <row r="254" hidden="1" s="1181">
      <c r="A254" s="384" t="n"/>
      <c r="B254" s="384" t="n"/>
      <c r="C254" s="384" t="n"/>
      <c r="D254" s="384" t="n"/>
      <c r="E254" s="384" t="n"/>
      <c r="F254" s="384" t="n"/>
      <c r="G254" s="384" t="n"/>
      <c r="H254" s="384" t="n"/>
      <c r="I254" s="384" t="n"/>
      <c r="J254" s="384" t="n"/>
      <c r="K254" s="384" t="n"/>
      <c r="L254" s="384" t="n"/>
      <c r="M254" s="384" t="n"/>
      <c r="N254" s="384" t="n"/>
      <c r="O254" s="384" t="n"/>
      <c r="P254" s="384" t="n"/>
      <c r="Q254" s="384" t="n"/>
      <c r="R254" s="384" t="n"/>
      <c r="S254" s="384" t="n"/>
      <c r="T254" s="384" t="n"/>
      <c r="U254" s="384" t="n"/>
      <c r="V254" s="384" t="n"/>
      <c r="W254" s="384" t="n"/>
      <c r="X254" s="645">
        <f>IF(_epmOfflineCondition_,"I_E100244",EPMOlapMemberO("[C_INTERCO].[PARENTH1].[I_E100244]","","I_E100244","","000"))</f>
        <v/>
      </c>
      <c r="Y254" s="870">
        <f>IF(_epmOfflineCondition_,"北京京能延庆热力有限责任公司",EPMMemberDesc(X254))</f>
        <v/>
      </c>
      <c r="Z254" s="1302" t="n"/>
      <c r="AA254" s="1302" t="n"/>
      <c r="AB254" s="858" t="n"/>
      <c r="AC254" s="1302" t="n"/>
      <c r="AD254" s="1302" t="n"/>
      <c r="AE254" s="1302" t="inlineStr"/>
      <c r="AF254" s="1302" t="inlineStr"/>
      <c r="AG254" s="1302" t="inlineStr"/>
      <c r="AH254" s="1302" t="n"/>
      <c r="AI254" s="1302" t="n"/>
      <c r="AJ254" s="1302" t="n"/>
      <c r="AK254" s="1302">
        <f>AI254-AJ254</f>
        <v/>
      </c>
      <c r="AL254" s="858" t="n"/>
      <c r="AM254" s="1297" t="inlineStr"/>
      <c r="AN254" s="1298" t="n"/>
      <c r="AO254" s="13">
        <f>IF(_epmOfflineCondition_,0,EPMSaveDataOnly(AB254,,AB$29,AB$25,AB$26,AB$31,AB$32,$AA$37,AO$14,AO$15,AO$16,AO$17,AO$18,X254))</f>
        <v/>
      </c>
      <c r="AP254" s="13">
        <f>IF(_epmOfflineCondition_,0,EPMSaveDataOnly(AL254,,AL$29,AL$25,AL$26,AL$31,AL$32,$AA$37,AP$14,AP$15,AP$16,AP$17,AP$18,$X254))</f>
        <v/>
      </c>
      <c r="AQ254" s="13">
        <f>IF(_epmOfflineCondition_,0,EPMSaveData(AM254,,AM$29,AM$25,AM$26,$C$6,AM$32,$AA$37,AQ$14,AQ$15,AQ$16,AQ$17,AQ$18,$X254))</f>
        <v/>
      </c>
      <c r="AR254" s="13">
        <f>IF(_epmOfflineCondition_,0,EPMSaveDataOnly(AN254,,AN$29,AN$25,AN$26,AN$31,AN$32,$AA$37,AR$14,AR$15,AR$16,AR$17,AR$18,$X254))</f>
        <v/>
      </c>
      <c r="AS254" s="384" t="n"/>
    </row>
    <row r="255" hidden="1" s="1181">
      <c r="A255" s="384" t="n"/>
      <c r="B255" s="384" t="n"/>
      <c r="C255" s="384" t="n"/>
      <c r="D255" s="384" t="n"/>
      <c r="E255" s="384" t="n"/>
      <c r="F255" s="384" t="n"/>
      <c r="G255" s="384" t="n"/>
      <c r="H255" s="384" t="n"/>
      <c r="I255" s="384" t="n"/>
      <c r="J255" s="384" t="n"/>
      <c r="K255" s="384" t="n"/>
      <c r="L255" s="384" t="n"/>
      <c r="M255" s="384" t="n"/>
      <c r="N255" s="384" t="n"/>
      <c r="O255" s="384" t="n"/>
      <c r="P255" s="384" t="n"/>
      <c r="Q255" s="384" t="n"/>
      <c r="R255" s="384" t="n"/>
      <c r="S255" s="384" t="n"/>
      <c r="T255" s="384" t="n"/>
      <c r="U255" s="384" t="n"/>
      <c r="V255" s="384" t="n"/>
      <c r="W255" s="384" t="n"/>
      <c r="X255" s="645">
        <f>IF(_epmOfflineCondition_,"I_E100245",EPMOlapMemberO("[C_INTERCO].[PARENTH1].[I_E100245]","","I_E100245","","000"))</f>
        <v/>
      </c>
      <c r="Y255" s="870">
        <f>IF(_epmOfflineCondition_,"北京市特诚热力有限责任公司",EPMMemberDesc(X255))</f>
        <v/>
      </c>
      <c r="Z255" s="1302" t="n"/>
      <c r="AA255" s="1302" t="n"/>
      <c r="AB255" s="858" t="n"/>
      <c r="AC255" s="1302" t="n"/>
      <c r="AD255" s="1302" t="n"/>
      <c r="AE255" s="1302" t="inlineStr"/>
      <c r="AF255" s="1302" t="inlineStr"/>
      <c r="AG255" s="1302" t="inlineStr"/>
      <c r="AH255" s="1302" t="n"/>
      <c r="AI255" s="1302" t="n"/>
      <c r="AJ255" s="1302" t="n"/>
      <c r="AK255" s="1302">
        <f>AI255-AJ255</f>
        <v/>
      </c>
      <c r="AL255" s="858" t="n"/>
      <c r="AM255" s="1297" t="inlineStr"/>
      <c r="AN255" s="1298" t="n"/>
      <c r="AO255" s="13">
        <f>IF(_epmOfflineCondition_,0,EPMSaveDataOnly(AB255,,AB$29,AB$25,AB$26,AB$31,AB$32,$AA$37,AO$14,AO$15,AO$16,AO$17,AO$18,X255))</f>
        <v/>
      </c>
      <c r="AP255" s="13">
        <f>IF(_epmOfflineCondition_,0,EPMSaveDataOnly(AL255,,AL$29,AL$25,AL$26,AL$31,AL$32,$AA$37,AP$14,AP$15,AP$16,AP$17,AP$18,$X255))</f>
        <v/>
      </c>
      <c r="AQ255" s="13">
        <f>IF(_epmOfflineCondition_,0,EPMSaveData(AM255,,AM$29,AM$25,AM$26,$C$6,AM$32,$AA$37,AQ$14,AQ$15,AQ$16,AQ$17,AQ$18,$X255))</f>
        <v/>
      </c>
      <c r="AR255" s="13">
        <f>IF(_epmOfflineCondition_,0,EPMSaveDataOnly(AN255,,AN$29,AN$25,AN$26,AN$31,AN$32,$AA$37,AR$14,AR$15,AR$16,AR$17,AR$18,$X255))</f>
        <v/>
      </c>
      <c r="AS255" s="384" t="n"/>
    </row>
    <row r="256" hidden="1" s="1181">
      <c r="A256" s="384" t="n"/>
      <c r="B256" s="384" t="n"/>
      <c r="C256" s="384" t="n"/>
      <c r="D256" s="384" t="n"/>
      <c r="E256" s="384" t="n"/>
      <c r="F256" s="384" t="n"/>
      <c r="G256" s="384" t="n"/>
      <c r="H256" s="384" t="n"/>
      <c r="I256" s="384" t="n"/>
      <c r="J256" s="384" t="n"/>
      <c r="K256" s="384" t="n"/>
      <c r="L256" s="384" t="n"/>
      <c r="M256" s="384" t="n"/>
      <c r="N256" s="384" t="n"/>
      <c r="O256" s="384" t="n"/>
      <c r="P256" s="384" t="n"/>
      <c r="Q256" s="384" t="n"/>
      <c r="R256" s="384" t="n"/>
      <c r="S256" s="384" t="n"/>
      <c r="T256" s="384" t="n"/>
      <c r="U256" s="384" t="n"/>
      <c r="V256" s="384" t="n"/>
      <c r="W256" s="384" t="n"/>
      <c r="X256" s="645">
        <f>IF(_epmOfflineCondition_,"I_E100246",EPMOlapMemberO("[C_INTERCO].[PARENTH1].[I_E100246]","","I_E100246","","000"))</f>
        <v/>
      </c>
      <c r="Y256" s="870">
        <f>IF(_epmOfflineCondition_,"京热（潜江）热力有限责任公司",EPMMemberDesc(X256))</f>
        <v/>
      </c>
      <c r="Z256" s="1302" t="n"/>
      <c r="AA256" s="1302" t="n"/>
      <c r="AB256" s="858" t="n"/>
      <c r="AC256" s="1302" t="n"/>
      <c r="AD256" s="1302" t="n"/>
      <c r="AE256" s="1302" t="inlineStr"/>
      <c r="AF256" s="1302" t="inlineStr"/>
      <c r="AG256" s="1302" t="inlineStr"/>
      <c r="AH256" s="1302" t="n"/>
      <c r="AI256" s="1302" t="n"/>
      <c r="AJ256" s="1302" t="n"/>
      <c r="AK256" s="1302">
        <f>AI256-AJ256</f>
        <v/>
      </c>
      <c r="AL256" s="858" t="n"/>
      <c r="AM256" s="1297" t="inlineStr"/>
      <c r="AN256" s="1298" t="n"/>
      <c r="AO256" s="13">
        <f>IF(_epmOfflineCondition_,0,EPMSaveDataOnly(AB256,,AB$29,AB$25,AB$26,AB$31,AB$32,$AA$37,AO$14,AO$15,AO$16,AO$17,AO$18,X256))</f>
        <v/>
      </c>
      <c r="AP256" s="13">
        <f>IF(_epmOfflineCondition_,0,EPMSaveDataOnly(AL256,,AL$29,AL$25,AL$26,AL$31,AL$32,$AA$37,AP$14,AP$15,AP$16,AP$17,AP$18,$X256))</f>
        <v/>
      </c>
      <c r="AQ256" s="13">
        <f>IF(_epmOfflineCondition_,0,EPMSaveData(AM256,,AM$29,AM$25,AM$26,$C$6,AM$32,$AA$37,AQ$14,AQ$15,AQ$16,AQ$17,AQ$18,$X256))</f>
        <v/>
      </c>
      <c r="AR256" s="13">
        <f>IF(_epmOfflineCondition_,0,EPMSaveDataOnly(AN256,,AN$29,AN$25,AN$26,AN$31,AN$32,$AA$37,AR$14,AR$15,AR$16,AR$17,AR$18,$X256))</f>
        <v/>
      </c>
      <c r="AS256" s="384" t="n"/>
    </row>
    <row r="257" hidden="1" s="1181">
      <c r="A257" s="384" t="n"/>
      <c r="B257" s="384" t="n"/>
      <c r="C257" s="384" t="n"/>
      <c r="D257" s="384" t="n"/>
      <c r="E257" s="384" t="n"/>
      <c r="F257" s="384" t="n"/>
      <c r="G257" s="384" t="n"/>
      <c r="H257" s="384" t="n"/>
      <c r="I257" s="384" t="n"/>
      <c r="J257" s="384" t="n"/>
      <c r="K257" s="384" t="n"/>
      <c r="L257" s="384" t="n"/>
      <c r="M257" s="384" t="n"/>
      <c r="N257" s="384" t="n"/>
      <c r="O257" s="384" t="n"/>
      <c r="P257" s="384" t="n"/>
      <c r="Q257" s="384" t="n"/>
      <c r="R257" s="384" t="n"/>
      <c r="S257" s="384" t="n"/>
      <c r="T257" s="384" t="n"/>
      <c r="U257" s="384" t="n"/>
      <c r="V257" s="384" t="n"/>
      <c r="W257" s="384" t="n"/>
      <c r="X257" s="645">
        <f>IF(_epmOfflineCondition_,"I_E100247",EPMOlapMemberO("[C_INTERCO].[PARENTH1].[I_E100247]","","I_E100247","","000"))</f>
        <v/>
      </c>
      <c r="Y257" s="870">
        <f>IF(_epmOfflineCondition_,"涿州市京热热力有限责任公司",EPMMemberDesc(X257))</f>
        <v/>
      </c>
      <c r="Z257" s="1302" t="n"/>
      <c r="AA257" s="1302" t="n"/>
      <c r="AB257" s="858" t="n"/>
      <c r="AC257" s="1302" t="n"/>
      <c r="AD257" s="1302" t="n"/>
      <c r="AE257" s="1302" t="inlineStr"/>
      <c r="AF257" s="1302" t="inlineStr"/>
      <c r="AG257" s="1302" t="inlineStr"/>
      <c r="AH257" s="1302" t="n"/>
      <c r="AI257" s="1302" t="n"/>
      <c r="AJ257" s="1302" t="n"/>
      <c r="AK257" s="1302">
        <f>AI257-AJ257</f>
        <v/>
      </c>
      <c r="AL257" s="858" t="n"/>
      <c r="AM257" s="1297" t="inlineStr"/>
      <c r="AN257" s="1298" t="n"/>
      <c r="AO257" s="13">
        <f>IF(_epmOfflineCondition_,0,EPMSaveDataOnly(AB257,,AB$29,AB$25,AB$26,AB$31,AB$32,$AA$37,AO$14,AO$15,AO$16,AO$17,AO$18,X257))</f>
        <v/>
      </c>
      <c r="AP257" s="13">
        <f>IF(_epmOfflineCondition_,0,EPMSaveDataOnly(AL257,,AL$29,AL$25,AL$26,AL$31,AL$32,$AA$37,AP$14,AP$15,AP$16,AP$17,AP$18,$X257))</f>
        <v/>
      </c>
      <c r="AQ257" s="13">
        <f>IF(_epmOfflineCondition_,0,EPMSaveData(AM257,,AM$29,AM$25,AM$26,$C$6,AM$32,$AA$37,AQ$14,AQ$15,AQ$16,AQ$17,AQ$18,$X257))</f>
        <v/>
      </c>
      <c r="AR257" s="13">
        <f>IF(_epmOfflineCondition_,0,EPMSaveDataOnly(AN257,,AN$29,AN$25,AN$26,AN$31,AN$32,$AA$37,AR$14,AR$15,AR$16,AR$17,AR$18,$X257))</f>
        <v/>
      </c>
      <c r="AS257" s="384" t="n"/>
    </row>
    <row r="258" hidden="1" s="1181">
      <c r="A258" s="384" t="n"/>
      <c r="B258" s="384" t="n"/>
      <c r="C258" s="384" t="n"/>
      <c r="D258" s="384" t="n"/>
      <c r="E258" s="384" t="n"/>
      <c r="F258" s="384" t="n"/>
      <c r="G258" s="384" t="n"/>
      <c r="H258" s="384" t="n"/>
      <c r="I258" s="384" t="n"/>
      <c r="J258" s="384" t="n"/>
      <c r="K258" s="384" t="n"/>
      <c r="L258" s="384" t="n"/>
      <c r="M258" s="384" t="n"/>
      <c r="N258" s="384" t="n"/>
      <c r="O258" s="384" t="n"/>
      <c r="P258" s="384" t="n"/>
      <c r="Q258" s="384" t="n"/>
      <c r="R258" s="384" t="n"/>
      <c r="S258" s="384" t="n"/>
      <c r="T258" s="384" t="n"/>
      <c r="U258" s="384" t="n"/>
      <c r="V258" s="384" t="n"/>
      <c r="W258" s="384" t="n"/>
      <c r="X258" s="645">
        <f>IF(_epmOfflineCondition_,"I_E100249",EPMOlapMemberO("[C_INTERCO].[PARENTH1].[I_E100249]","","I_E100249","","000"))</f>
        <v/>
      </c>
      <c r="Y258" s="870">
        <f>IF(_epmOfflineCondition_,"京热（乌兰察布）热力有限责任公司",EPMMemberDesc(X258))</f>
        <v/>
      </c>
      <c r="Z258" s="1302" t="n"/>
      <c r="AA258" s="1302" t="n"/>
      <c r="AB258" s="858" t="n"/>
      <c r="AC258" s="1302" t="n"/>
      <c r="AD258" s="1302" t="n"/>
      <c r="AE258" s="1302" t="inlineStr"/>
      <c r="AF258" s="1302" t="inlineStr"/>
      <c r="AG258" s="1302" t="inlineStr"/>
      <c r="AH258" s="1302" t="n"/>
      <c r="AI258" s="1302" t="n"/>
      <c r="AJ258" s="1302" t="n"/>
      <c r="AK258" s="1302">
        <f>AI258-AJ258</f>
        <v/>
      </c>
      <c r="AL258" s="858" t="n"/>
      <c r="AM258" s="1297" t="inlineStr"/>
      <c r="AN258" s="1298" t="n"/>
      <c r="AO258" s="13">
        <f>IF(_epmOfflineCondition_,0,EPMSaveDataOnly(AB258,,AB$29,AB$25,AB$26,AB$31,AB$32,$AA$37,AO$14,AO$15,AO$16,AO$17,AO$18,X258))</f>
        <v/>
      </c>
      <c r="AP258" s="13">
        <f>IF(_epmOfflineCondition_,0,EPMSaveDataOnly(AL258,,AL$29,AL$25,AL$26,AL$31,AL$32,$AA$37,AP$14,AP$15,AP$16,AP$17,AP$18,$X258))</f>
        <v/>
      </c>
      <c r="AQ258" s="13">
        <f>IF(_epmOfflineCondition_,0,EPMSaveData(AM258,,AM$29,AM$25,AM$26,$C$6,AM$32,$AA$37,AQ$14,AQ$15,AQ$16,AQ$17,AQ$18,$X258))</f>
        <v/>
      </c>
      <c r="AR258" s="13">
        <f>IF(_epmOfflineCondition_,0,EPMSaveDataOnly(AN258,,AN$29,AN$25,AN$26,AN$31,AN$32,$AA$37,AR$14,AR$15,AR$16,AR$17,AR$18,$X258))</f>
        <v/>
      </c>
      <c r="AS258" s="384" t="n"/>
    </row>
    <row r="259" hidden="1" s="1181">
      <c r="A259" s="384" t="n"/>
      <c r="B259" s="384" t="n"/>
      <c r="C259" s="384" t="n"/>
      <c r="D259" s="384" t="n"/>
      <c r="E259" s="384" t="n"/>
      <c r="F259" s="384" t="n"/>
      <c r="G259" s="384" t="n"/>
      <c r="H259" s="384" t="n"/>
      <c r="I259" s="384" t="n"/>
      <c r="J259" s="384" t="n"/>
      <c r="K259" s="384" t="n"/>
      <c r="L259" s="384" t="n"/>
      <c r="M259" s="384" t="n"/>
      <c r="N259" s="384" t="n"/>
      <c r="O259" s="384" t="n"/>
      <c r="P259" s="384" t="n"/>
      <c r="Q259" s="384" t="n"/>
      <c r="R259" s="384" t="n"/>
      <c r="S259" s="384" t="n"/>
      <c r="T259" s="384" t="n"/>
      <c r="U259" s="384" t="n"/>
      <c r="V259" s="384" t="n"/>
      <c r="W259" s="384" t="n"/>
      <c r="X259" s="645">
        <f>IF(_epmOfflineCondition_,"I_E100251",EPMOlapMemberO("[C_INTERCO].[PARENTH1].[I_E100251]","","I_E100251","","000"))</f>
        <v/>
      </c>
      <c r="Y259" s="870">
        <f>IF(_epmOfflineCondition_,"北京市热力职业技能培训学校",EPMMemberDesc(X259))</f>
        <v/>
      </c>
      <c r="Z259" s="1302" t="n"/>
      <c r="AA259" s="1302" t="n"/>
      <c r="AB259" s="858" t="n"/>
      <c r="AC259" s="1302" t="n"/>
      <c r="AD259" s="1302" t="n"/>
      <c r="AE259" s="1302" t="inlineStr"/>
      <c r="AF259" s="1302" t="inlineStr"/>
      <c r="AG259" s="1302" t="inlineStr"/>
      <c r="AH259" s="1302" t="n"/>
      <c r="AI259" s="1302" t="n"/>
      <c r="AJ259" s="1302" t="n"/>
      <c r="AK259" s="1302">
        <f>AI259-AJ259</f>
        <v/>
      </c>
      <c r="AL259" s="858" t="n"/>
      <c r="AM259" s="1297" t="inlineStr"/>
      <c r="AN259" s="1298" t="n"/>
      <c r="AO259" s="13">
        <f>IF(_epmOfflineCondition_,0,EPMSaveDataOnly(AB259,,AB$29,AB$25,AB$26,AB$31,AB$32,$AA$37,AO$14,AO$15,AO$16,AO$17,AO$18,X259))</f>
        <v/>
      </c>
      <c r="AP259" s="13">
        <f>IF(_epmOfflineCondition_,0,EPMSaveDataOnly(AL259,,AL$29,AL$25,AL$26,AL$31,AL$32,$AA$37,AP$14,AP$15,AP$16,AP$17,AP$18,$X259))</f>
        <v/>
      </c>
      <c r="AQ259" s="13">
        <f>IF(_epmOfflineCondition_,0,EPMSaveData(AM259,,AM$29,AM$25,AM$26,$C$6,AM$32,$AA$37,AQ$14,AQ$15,AQ$16,AQ$17,AQ$18,$X259))</f>
        <v/>
      </c>
      <c r="AR259" s="13">
        <f>IF(_epmOfflineCondition_,0,EPMSaveDataOnly(AN259,,AN$29,AN$25,AN$26,AN$31,AN$32,$AA$37,AR$14,AR$15,AR$16,AR$17,AR$18,$X259))</f>
        <v/>
      </c>
      <c r="AS259" s="384" t="n"/>
    </row>
    <row r="260" hidden="1" s="1181">
      <c r="A260" s="384" t="n"/>
      <c r="B260" s="384" t="n"/>
      <c r="C260" s="384" t="n"/>
      <c r="D260" s="384" t="n"/>
      <c r="E260" s="384" t="n"/>
      <c r="F260" s="384" t="n"/>
      <c r="G260" s="384" t="n"/>
      <c r="H260" s="384" t="n"/>
      <c r="I260" s="384" t="n"/>
      <c r="J260" s="384" t="n"/>
      <c r="K260" s="384" t="n"/>
      <c r="L260" s="384" t="n"/>
      <c r="M260" s="384" t="n"/>
      <c r="N260" s="384" t="n"/>
      <c r="O260" s="384" t="n"/>
      <c r="P260" s="384" t="n"/>
      <c r="Q260" s="384" t="n"/>
      <c r="R260" s="384" t="n"/>
      <c r="S260" s="384" t="n"/>
      <c r="T260" s="384" t="n"/>
      <c r="U260" s="384" t="n"/>
      <c r="V260" s="384" t="n"/>
      <c r="W260" s="384" t="n"/>
      <c r="X260" s="645">
        <f>IF(_epmOfflineCondition_,"I_E100252",EPMOlapMemberO("[C_INTERCO].[PARENTH1].[I_E100252]","","I_E100252","","000"))</f>
        <v/>
      </c>
      <c r="Y260" s="870">
        <f>IF(_epmOfflineCondition_,"三河新源供热有限公司",EPMMemberDesc(X260))</f>
        <v/>
      </c>
      <c r="Z260" s="1302" t="n"/>
      <c r="AA260" s="1302" t="n"/>
      <c r="AB260" s="858" t="n"/>
      <c r="AC260" s="1302" t="n"/>
      <c r="AD260" s="1302" t="n"/>
      <c r="AE260" s="1302" t="inlineStr"/>
      <c r="AF260" s="1302" t="inlineStr"/>
      <c r="AG260" s="1302" t="inlineStr"/>
      <c r="AH260" s="1302" t="n"/>
      <c r="AI260" s="1302" t="n"/>
      <c r="AJ260" s="1302" t="n"/>
      <c r="AK260" s="1302">
        <f>AI260-AJ260</f>
        <v/>
      </c>
      <c r="AL260" s="858" t="n"/>
      <c r="AM260" s="1297" t="inlineStr"/>
      <c r="AN260" s="1298" t="n"/>
      <c r="AO260" s="13">
        <f>IF(_epmOfflineCondition_,0,EPMSaveDataOnly(AB260,,AB$29,AB$25,AB$26,AB$31,AB$32,$AA$37,AO$14,AO$15,AO$16,AO$17,AO$18,X260))</f>
        <v/>
      </c>
      <c r="AP260" s="13">
        <f>IF(_epmOfflineCondition_,0,EPMSaveDataOnly(AL260,,AL$29,AL$25,AL$26,AL$31,AL$32,$AA$37,AP$14,AP$15,AP$16,AP$17,AP$18,$X260))</f>
        <v/>
      </c>
      <c r="AQ260" s="13">
        <f>IF(_epmOfflineCondition_,0,EPMSaveData(AM260,,AM$29,AM$25,AM$26,$C$6,AM$32,$AA$37,AQ$14,AQ$15,AQ$16,AQ$17,AQ$18,$X260))</f>
        <v/>
      </c>
      <c r="AR260" s="13">
        <f>IF(_epmOfflineCondition_,0,EPMSaveDataOnly(AN260,,AN$29,AN$25,AN$26,AN$31,AN$32,$AA$37,AR$14,AR$15,AR$16,AR$17,AR$18,$X260))</f>
        <v/>
      </c>
      <c r="AS260" s="384" t="n"/>
    </row>
    <row r="261" hidden="1" ht="15.75" customHeight="1" s="1181">
      <c r="A261" s="384" t="n"/>
      <c r="B261" s="384" t="n"/>
      <c r="C261" s="384" t="n"/>
      <c r="D261" s="384" t="n"/>
      <c r="E261" s="384" t="n"/>
      <c r="F261" s="384" t="n"/>
      <c r="G261" s="384" t="n"/>
      <c r="H261" s="384" t="n"/>
      <c r="I261" s="384" t="n"/>
      <c r="J261" s="384" t="n"/>
      <c r="K261" s="384" t="n"/>
      <c r="L261" s="384" t="n"/>
      <c r="M261" s="384" t="n"/>
      <c r="N261" s="384" t="n"/>
      <c r="O261" s="384" t="n"/>
      <c r="P261" s="384" t="n"/>
      <c r="Q261" s="384" t="n"/>
      <c r="R261" s="384" t="n"/>
      <c r="S261" s="384" t="n"/>
      <c r="T261" s="384" t="n"/>
      <c r="U261" s="384" t="n"/>
      <c r="V261" s="384" t="n"/>
      <c r="W261" s="384" t="n"/>
      <c r="X261" s="645">
        <f>IF(_epmOfflineCondition_,"I_E100253",EPMOlapMemberO("[C_INTERCO].[PARENTH1].[I_E100253]","","I_E100253","","000"))</f>
        <v/>
      </c>
      <c r="Y261" s="870">
        <f>IF(_epmOfflineCondition_,"抚松京热热力有限责任公司",EPMMemberDesc(X261))</f>
        <v/>
      </c>
      <c r="Z261" s="1302" t="n"/>
      <c r="AA261" s="1302" t="n"/>
      <c r="AB261" s="858" t="n"/>
      <c r="AC261" s="1302" t="n"/>
      <c r="AD261" s="1302" t="n"/>
      <c r="AE261" s="1302" t="inlineStr"/>
      <c r="AF261" s="1302" t="inlineStr"/>
      <c r="AG261" s="1302" t="inlineStr"/>
      <c r="AH261" s="1302" t="n"/>
      <c r="AI261" s="1302" t="n"/>
      <c r="AJ261" s="1302" t="n"/>
      <c r="AK261" s="1302">
        <f>AI261-AJ261</f>
        <v/>
      </c>
      <c r="AL261" s="858" t="n"/>
      <c r="AM261" s="1297" t="inlineStr"/>
      <c r="AN261" s="1298" t="n"/>
      <c r="AO261" s="13">
        <f>IF(_epmOfflineCondition_,0,EPMSaveDataOnly(AB261,,AB$29,AB$25,AB$26,AB$31,AB$32,$AA$37,AO$14,AO$15,AO$16,AO$17,AO$18,X261))</f>
        <v/>
      </c>
      <c r="AP261" s="13">
        <f>IF(_epmOfflineCondition_,0,EPMSaveDataOnly(AL261,,AL$29,AL$25,AL$26,AL$31,AL$32,$AA$37,AP$14,AP$15,AP$16,AP$17,AP$18,$X261))</f>
        <v/>
      </c>
      <c r="AQ261" s="13">
        <f>IF(_epmOfflineCondition_,0,EPMSaveData(AM261,,AM$29,AM$25,AM$26,$C$6,AM$32,$AA$37,AQ$14,AQ$15,AQ$16,AQ$17,AQ$18,$X261))</f>
        <v/>
      </c>
      <c r="AR261" s="13">
        <f>IF(_epmOfflineCondition_,0,EPMSaveDataOnly(AN261,,AN$29,AN$25,AN$26,AN$31,AN$32,$AA$37,AR$14,AR$15,AR$16,AR$17,AR$18,$X261))</f>
        <v/>
      </c>
      <c r="AS261" s="384" t="n"/>
    </row>
    <row r="262" hidden="1" ht="15.75" customHeight="1" s="1181">
      <c r="A262" s="384" t="n"/>
      <c r="B262" s="384" t="n"/>
      <c r="C262" s="384" t="n"/>
      <c r="D262" s="384" t="n"/>
      <c r="E262" s="384" t="n"/>
      <c r="F262" s="384" t="n"/>
      <c r="G262" s="384" t="n"/>
      <c r="H262" s="384" t="n"/>
      <c r="I262" s="384" t="n"/>
      <c r="J262" s="384" t="n"/>
      <c r="K262" s="384" t="n"/>
      <c r="L262" s="384" t="n"/>
      <c r="M262" s="384" t="n"/>
      <c r="N262" s="384" t="n"/>
      <c r="O262" s="384" t="n"/>
      <c r="P262" s="384" t="n"/>
      <c r="Q262" s="384" t="n"/>
      <c r="R262" s="384" t="n"/>
      <c r="S262" s="384" t="n"/>
      <c r="T262" s="384" t="n"/>
      <c r="U262" s="384" t="n"/>
      <c r="V262" s="384" t="n"/>
      <c r="W262" s="384" t="n"/>
      <c r="X262" s="645">
        <f>IF(_epmOfflineCondition_,"I_E100254",EPMOlapMemberO("[C_INTERCO].[PARENTH1].[I_E100254]","","I_E100254","","000"))</f>
        <v/>
      </c>
      <c r="Y262" s="870">
        <f>IF(_epmOfflineCondition_,"京能大同热力有限公司",EPMMemberDesc(X262))</f>
        <v/>
      </c>
      <c r="Z262" s="1302" t="n"/>
      <c r="AA262" s="1302" t="n"/>
      <c r="AB262" s="858" t="n"/>
      <c r="AC262" s="1302" t="n"/>
      <c r="AD262" s="1302" t="n"/>
      <c r="AE262" s="1302" t="inlineStr"/>
      <c r="AF262" s="1302" t="inlineStr"/>
      <c r="AG262" s="1302" t="inlineStr"/>
      <c r="AH262" s="1302" t="n"/>
      <c r="AI262" s="1302" t="n"/>
      <c r="AJ262" s="1302" t="n"/>
      <c r="AK262" s="1302">
        <f>AI262-AJ262</f>
        <v/>
      </c>
      <c r="AL262" s="858" t="n"/>
      <c r="AM262" s="1297" t="inlineStr"/>
      <c r="AN262" s="1298" t="n"/>
      <c r="AO262" s="13">
        <f>IF(_epmOfflineCondition_,0,EPMSaveDataOnly(AB262,,AB$29,AB$25,AB$26,AB$31,AB$32,$AA$37,AO$14,AO$15,AO$16,AO$17,AO$18,X262))</f>
        <v/>
      </c>
      <c r="AP262" s="13">
        <f>IF(_epmOfflineCondition_,0,EPMSaveDataOnly(AL262,,AL$29,AL$25,AL$26,AL$31,AL$32,$AA$37,AP$14,AP$15,AP$16,AP$17,AP$18,$X262))</f>
        <v/>
      </c>
      <c r="AQ262" s="13">
        <f>IF(_epmOfflineCondition_,0,EPMSaveData(AM262,,AM$29,AM$25,AM$26,$C$6,AM$32,$AA$37,AQ$14,AQ$15,AQ$16,AQ$17,AQ$18,$X262))</f>
        <v/>
      </c>
      <c r="AR262" s="13">
        <f>IF(_epmOfflineCondition_,0,EPMSaveDataOnly(AN262,,AN$29,AN$25,AN$26,AN$31,AN$32,$AA$37,AR$14,AR$15,AR$16,AR$17,AR$18,$X262))</f>
        <v/>
      </c>
      <c r="AS262" s="384" t="n"/>
    </row>
    <row r="263" hidden="1" ht="15.75" customHeight="1" s="1181">
      <c r="A263" s="384" t="n"/>
      <c r="B263" s="384" t="n"/>
      <c r="C263" s="384" t="n"/>
      <c r="D263" s="384" t="n"/>
      <c r="E263" s="384" t="n"/>
      <c r="F263" s="384" t="n"/>
      <c r="G263" s="384" t="n"/>
      <c r="H263" s="384" t="n"/>
      <c r="I263" s="384" t="n"/>
      <c r="J263" s="384" t="n"/>
      <c r="K263" s="384" t="n"/>
      <c r="L263" s="384" t="n"/>
      <c r="M263" s="384" t="n"/>
      <c r="N263" s="384" t="n"/>
      <c r="O263" s="384" t="n"/>
      <c r="P263" s="384" t="n"/>
      <c r="Q263" s="384" t="n"/>
      <c r="R263" s="384" t="n"/>
      <c r="S263" s="384" t="n"/>
      <c r="T263" s="384" t="n"/>
      <c r="U263" s="384" t="n"/>
      <c r="V263" s="384" t="n"/>
      <c r="W263" s="384" t="n"/>
      <c r="X263" s="645">
        <f>IF(_epmOfflineCondition_,"I_E100255",EPMOlapMemberO("[C_INTERCO].[PARENTH1].[I_E100255]","","I_E100255","","000"))</f>
        <v/>
      </c>
      <c r="Y263" s="870">
        <f>IF(_epmOfflineCondition_,"北京华热科技发展有限公司",EPMMemberDesc(X263))</f>
        <v/>
      </c>
      <c r="Z263" s="1302" t="n"/>
      <c r="AA263" s="1302" t="n"/>
      <c r="AB263" s="858" t="n"/>
      <c r="AC263" s="1302" t="n"/>
      <c r="AD263" s="1302" t="n"/>
      <c r="AE263" s="1302" t="inlineStr"/>
      <c r="AF263" s="1302" t="inlineStr"/>
      <c r="AG263" s="1302" t="inlineStr"/>
      <c r="AH263" s="1302" t="n"/>
      <c r="AI263" s="1302" t="n"/>
      <c r="AJ263" s="1302" t="n"/>
      <c r="AK263" s="1302">
        <f>AI263-AJ263</f>
        <v/>
      </c>
      <c r="AL263" s="858" t="n"/>
      <c r="AM263" s="1297" t="inlineStr"/>
      <c r="AN263" s="1298" t="n"/>
      <c r="AO263" s="13">
        <f>IF(_epmOfflineCondition_,0,EPMSaveDataOnly(AB263,,AB$29,AB$25,AB$26,AB$31,AB$32,$AA$37,AO$14,AO$15,AO$16,AO$17,AO$18,X263))</f>
        <v/>
      </c>
      <c r="AP263" s="13">
        <f>IF(_epmOfflineCondition_,0,EPMSaveDataOnly(AL263,,AL$29,AL$25,AL$26,AL$31,AL$32,$AA$37,AP$14,AP$15,AP$16,AP$17,AP$18,$X263))</f>
        <v/>
      </c>
      <c r="AQ263" s="13">
        <f>IF(_epmOfflineCondition_,0,EPMSaveData(AM263,,AM$29,AM$25,AM$26,$C$6,AM$32,$AA$37,AQ$14,AQ$15,AQ$16,AQ$17,AQ$18,$X263))</f>
        <v/>
      </c>
      <c r="AR263" s="13">
        <f>IF(_epmOfflineCondition_,0,EPMSaveDataOnly(AN263,,AN$29,AN$25,AN$26,AN$31,AN$32,$AA$37,AR$14,AR$15,AR$16,AR$17,AR$18,$X263))</f>
        <v/>
      </c>
      <c r="AS263" s="384" t="n"/>
    </row>
    <row r="264" hidden="1" ht="15.75" customHeight="1" s="1181">
      <c r="A264" s="384" t="n"/>
      <c r="B264" s="384" t="n"/>
      <c r="C264" s="384" t="n"/>
      <c r="D264" s="384" t="n"/>
      <c r="E264" s="384" t="n"/>
      <c r="F264" s="384" t="n"/>
      <c r="G264" s="384" t="n"/>
      <c r="H264" s="384" t="n"/>
      <c r="I264" s="384" t="n"/>
      <c r="J264" s="384" t="n"/>
      <c r="K264" s="384" t="n"/>
      <c r="L264" s="384" t="n"/>
      <c r="M264" s="384" t="n"/>
      <c r="N264" s="384" t="n"/>
      <c r="O264" s="384" t="n"/>
      <c r="P264" s="384" t="n"/>
      <c r="Q264" s="384" t="n"/>
      <c r="R264" s="384" t="n"/>
      <c r="S264" s="384" t="n"/>
      <c r="T264" s="384" t="n"/>
      <c r="U264" s="384" t="n"/>
      <c r="V264" s="384" t="n"/>
      <c r="W264" s="384" t="n"/>
      <c r="X264" s="645">
        <f>IF(_epmOfflineCondition_,"I_E100256",EPMOlapMemberO("[C_INTERCO].[PARENTH1].[I_E100256]","","I_E100256","","000"))</f>
        <v/>
      </c>
      <c r="Y264" s="870">
        <f>IF(_epmOfflineCondition_,"北京特泽热力工程设计有限责任公司",EPMMemberDesc(X264))</f>
        <v/>
      </c>
      <c r="Z264" s="1302" t="n"/>
      <c r="AA264" s="1302" t="n"/>
      <c r="AB264" s="858" t="n"/>
      <c r="AC264" s="1302" t="n"/>
      <c r="AD264" s="1302" t="n"/>
      <c r="AE264" s="1302" t="inlineStr"/>
      <c r="AF264" s="1302" t="inlineStr"/>
      <c r="AG264" s="1302" t="inlineStr"/>
      <c r="AH264" s="1302" t="n"/>
      <c r="AI264" s="1302" t="n"/>
      <c r="AJ264" s="1302" t="n"/>
      <c r="AK264" s="1302">
        <f>AI264-AJ264</f>
        <v/>
      </c>
      <c r="AL264" s="858" t="n"/>
      <c r="AM264" s="1297" t="inlineStr"/>
      <c r="AN264" s="1298" t="n"/>
      <c r="AO264" s="13">
        <f>IF(_epmOfflineCondition_,0,EPMSaveDataOnly(AB264,,AB$29,AB$25,AB$26,AB$31,AB$32,$AA$37,AO$14,AO$15,AO$16,AO$17,AO$18,X264))</f>
        <v/>
      </c>
      <c r="AP264" s="13">
        <f>IF(_epmOfflineCondition_,0,EPMSaveDataOnly(AL264,,AL$29,AL$25,AL$26,AL$31,AL$32,$AA$37,AP$14,AP$15,AP$16,AP$17,AP$18,$X264))</f>
        <v/>
      </c>
      <c r="AQ264" s="13">
        <f>IF(_epmOfflineCondition_,0,EPMSaveData(AM264,,AM$29,AM$25,AM$26,$C$6,AM$32,$AA$37,AQ$14,AQ$15,AQ$16,AQ$17,AQ$18,$X264))</f>
        <v/>
      </c>
      <c r="AR264" s="13">
        <f>IF(_epmOfflineCondition_,0,EPMSaveDataOnly(AN264,,AN$29,AN$25,AN$26,AN$31,AN$32,$AA$37,AR$14,AR$15,AR$16,AR$17,AR$18,$X264))</f>
        <v/>
      </c>
      <c r="AS264" s="384" t="n"/>
    </row>
    <row r="265" hidden="1" ht="15.75" customHeight="1" s="1181">
      <c r="A265" s="384" t="n"/>
      <c r="B265" s="384" t="n"/>
      <c r="C265" s="384" t="n"/>
      <c r="D265" s="384" t="n"/>
      <c r="E265" s="384" t="n"/>
      <c r="F265" s="384" t="n"/>
      <c r="G265" s="384" t="n"/>
      <c r="H265" s="384" t="n"/>
      <c r="I265" s="384" t="n"/>
      <c r="J265" s="384" t="n"/>
      <c r="K265" s="384" t="n"/>
      <c r="L265" s="384" t="n"/>
      <c r="M265" s="384" t="n"/>
      <c r="N265" s="384" t="n"/>
      <c r="O265" s="384" t="n"/>
      <c r="P265" s="384" t="n"/>
      <c r="Q265" s="384" t="n"/>
      <c r="R265" s="384" t="n"/>
      <c r="S265" s="384" t="n"/>
      <c r="T265" s="384" t="n"/>
      <c r="U265" s="384" t="n"/>
      <c r="V265" s="384" t="n"/>
      <c r="W265" s="384" t="n"/>
      <c r="X265" s="645">
        <f>IF(_epmOfflineCondition_,"I_E100257",EPMOlapMemberO("[C_INTERCO].[PARENTH1].[I_E100257]","","I_E100257","","000"))</f>
        <v/>
      </c>
      <c r="Y265" s="870">
        <f>IF(_epmOfflineCondition_,"北京金马特诚供暖有限责任公司（2024年8月注销）",EPMMemberDesc(X265))</f>
        <v/>
      </c>
      <c r="Z265" s="1302" t="n"/>
      <c r="AA265" s="1302" t="n"/>
      <c r="AB265" s="858" t="n"/>
      <c r="AC265" s="1302" t="n"/>
      <c r="AD265" s="1302" t="n"/>
      <c r="AE265" s="1302" t="inlineStr"/>
      <c r="AF265" s="1302" t="inlineStr"/>
      <c r="AG265" s="1302" t="inlineStr"/>
      <c r="AH265" s="1302" t="n"/>
      <c r="AI265" s="1302" t="n"/>
      <c r="AJ265" s="1302" t="n"/>
      <c r="AK265" s="1302">
        <f>AI265-AJ265</f>
        <v/>
      </c>
      <c r="AL265" s="858" t="n"/>
      <c r="AM265" s="1297" t="inlineStr"/>
      <c r="AN265" s="1298" t="n"/>
      <c r="AO265" s="13">
        <f>IF(_epmOfflineCondition_,0,EPMSaveDataOnly(AB265,,AB$29,AB$25,AB$26,AB$31,AB$32,$AA$37,AO$14,AO$15,AO$16,AO$17,AO$18,X265))</f>
        <v/>
      </c>
      <c r="AP265" s="13">
        <f>IF(_epmOfflineCondition_,0,EPMSaveDataOnly(AL265,,AL$29,AL$25,AL$26,AL$31,AL$32,$AA$37,AP$14,AP$15,AP$16,AP$17,AP$18,$X265))</f>
        <v/>
      </c>
      <c r="AQ265" s="13">
        <f>IF(_epmOfflineCondition_,0,EPMSaveData(AM265,,AM$29,AM$25,AM$26,$C$6,AM$32,$AA$37,AQ$14,AQ$15,AQ$16,AQ$17,AQ$18,$X265))</f>
        <v/>
      </c>
      <c r="AR265" s="13">
        <f>IF(_epmOfflineCondition_,0,EPMSaveDataOnly(AN265,,AN$29,AN$25,AN$26,AN$31,AN$32,$AA$37,AR$14,AR$15,AR$16,AR$17,AR$18,$X265))</f>
        <v/>
      </c>
      <c r="AS265" s="384" t="n"/>
    </row>
    <row r="266" hidden="1" ht="15.75" customHeight="1" s="1181">
      <c r="A266" s="384" t="n"/>
      <c r="B266" s="384" t="n"/>
      <c r="C266" s="384" t="n"/>
      <c r="D266" s="384" t="n"/>
      <c r="E266" s="384" t="n"/>
      <c r="F266" s="384" t="n"/>
      <c r="G266" s="384" t="n"/>
      <c r="H266" s="384" t="n"/>
      <c r="I266" s="384" t="n"/>
      <c r="J266" s="384" t="n"/>
      <c r="K266" s="384" t="n"/>
      <c r="L266" s="384" t="n"/>
      <c r="M266" s="384" t="n"/>
      <c r="N266" s="384" t="n"/>
      <c r="O266" s="384" t="n"/>
      <c r="P266" s="384" t="n"/>
      <c r="Q266" s="384" t="n"/>
      <c r="R266" s="384" t="n"/>
      <c r="S266" s="384" t="n"/>
      <c r="T266" s="384" t="n"/>
      <c r="U266" s="384" t="n"/>
      <c r="V266" s="384" t="n"/>
      <c r="W266" s="384" t="n"/>
      <c r="X266" s="645">
        <f>IF(_epmOfflineCondition_,"I_E100258",EPMOlapMemberO("[C_INTERCO].[PARENTH1].[I_E100258]","","I_E100258","","000"))</f>
        <v/>
      </c>
      <c r="Y266" s="870">
        <f>IF(_epmOfflineCondition_,"北京京诚供热有限责任公司",EPMMemberDesc(X266))</f>
        <v/>
      </c>
      <c r="Z266" s="1302" t="n"/>
      <c r="AA266" s="1302" t="n"/>
      <c r="AB266" s="858" t="n"/>
      <c r="AC266" s="1302" t="n"/>
      <c r="AD266" s="1302" t="n"/>
      <c r="AE266" s="1302" t="inlineStr"/>
      <c r="AF266" s="1302" t="inlineStr"/>
      <c r="AG266" s="1302" t="inlineStr"/>
      <c r="AH266" s="1302" t="n"/>
      <c r="AI266" s="1302" t="n"/>
      <c r="AJ266" s="1302" t="n"/>
      <c r="AK266" s="1302">
        <f>AI266-AJ266</f>
        <v/>
      </c>
      <c r="AL266" s="858" t="n"/>
      <c r="AM266" s="1297" t="inlineStr"/>
      <c r="AN266" s="1298" t="n"/>
      <c r="AO266" s="13">
        <f>IF(_epmOfflineCondition_,0,EPMSaveDataOnly(AB266,,AB$29,AB$25,AB$26,AB$31,AB$32,$AA$37,AO$14,AO$15,AO$16,AO$17,AO$18,X266))</f>
        <v/>
      </c>
      <c r="AP266" s="13">
        <f>IF(_epmOfflineCondition_,0,EPMSaveDataOnly(AL266,,AL$29,AL$25,AL$26,AL$31,AL$32,$AA$37,AP$14,AP$15,AP$16,AP$17,AP$18,$X266))</f>
        <v/>
      </c>
      <c r="AQ266" s="13">
        <f>IF(_epmOfflineCondition_,0,EPMSaveData(AM266,,AM$29,AM$25,AM$26,$C$6,AM$32,$AA$37,AQ$14,AQ$15,AQ$16,AQ$17,AQ$18,$X266))</f>
        <v/>
      </c>
      <c r="AR266" s="13">
        <f>IF(_epmOfflineCondition_,0,EPMSaveDataOnly(AN266,,AN$29,AN$25,AN$26,AN$31,AN$32,$AA$37,AR$14,AR$15,AR$16,AR$17,AR$18,$X266))</f>
        <v/>
      </c>
      <c r="AS266" s="384" t="n"/>
    </row>
    <row r="267" hidden="1" s="1181">
      <c r="A267" s="384" t="n"/>
      <c r="B267" s="384" t="n"/>
      <c r="C267" s="384" t="n"/>
      <c r="D267" s="384" t="n"/>
      <c r="E267" s="384" t="n"/>
      <c r="F267" s="384" t="n"/>
      <c r="G267" s="384" t="n"/>
      <c r="H267" s="384" t="n"/>
      <c r="I267" s="384" t="n"/>
      <c r="J267" s="384" t="n"/>
      <c r="K267" s="384" t="n"/>
      <c r="L267" s="384" t="n"/>
      <c r="M267" s="384" t="n"/>
      <c r="N267" s="384" t="n"/>
      <c r="O267" s="384" t="n"/>
      <c r="P267" s="384" t="n"/>
      <c r="Q267" s="384" t="n"/>
      <c r="R267" s="384" t="n"/>
      <c r="S267" s="384" t="n"/>
      <c r="T267" s="384" t="n"/>
      <c r="U267" s="384" t="n"/>
      <c r="V267" s="384" t="n"/>
      <c r="W267" s="384" t="n"/>
      <c r="X267" s="645">
        <f>IF(_epmOfflineCondition_,"I_E100259",EPMOlapMemberO("[C_INTERCO].[PARENTH1].[I_E100259]","","I_E100259","","000"))</f>
        <v/>
      </c>
      <c r="Y267" s="870">
        <f>IF(_epmOfflineCondition_,"北京京能热力发展有限公司",EPMMemberDesc(X267))</f>
        <v/>
      </c>
      <c r="Z267" s="1302" t="n"/>
      <c r="AA267" s="1302" t="n"/>
      <c r="AB267" s="858" t="n"/>
      <c r="AC267" s="1302" t="n"/>
      <c r="AD267" s="1302" t="n"/>
      <c r="AE267" s="1302" t="inlineStr"/>
      <c r="AF267" s="1302" t="inlineStr"/>
      <c r="AG267" s="1302" t="inlineStr"/>
      <c r="AH267" s="1302" t="n"/>
      <c r="AI267" s="1302" t="n"/>
      <c r="AJ267" s="1302" t="n"/>
      <c r="AK267" s="1302">
        <f>AI267-AJ267</f>
        <v/>
      </c>
      <c r="AL267" s="858" t="n"/>
      <c r="AM267" s="1297" t="inlineStr"/>
      <c r="AN267" s="1298" t="n"/>
      <c r="AO267" s="13">
        <f>IF(_epmOfflineCondition_,0,EPMSaveDataOnly(AB267,,AB$29,AB$25,AB$26,AB$31,AB$32,$AA$37,AO$14,AO$15,AO$16,AO$17,AO$18,X267))</f>
        <v/>
      </c>
      <c r="AP267" s="13">
        <f>IF(_epmOfflineCondition_,0,EPMSaveDataOnly(AL267,,AL$29,AL$25,AL$26,AL$31,AL$32,$AA$37,AP$14,AP$15,AP$16,AP$17,AP$18,$X267))</f>
        <v/>
      </c>
      <c r="AQ267" s="13">
        <f>IF(_epmOfflineCondition_,0,EPMSaveData(AM267,,AM$29,AM$25,AM$26,$C$6,AM$32,$AA$37,AQ$14,AQ$15,AQ$16,AQ$17,AQ$18,$X267))</f>
        <v/>
      </c>
      <c r="AR267" s="13">
        <f>IF(_epmOfflineCondition_,0,EPMSaveDataOnly(AN267,,AN$29,AN$25,AN$26,AN$31,AN$32,$AA$37,AR$14,AR$15,AR$16,AR$17,AR$18,$X267))</f>
        <v/>
      </c>
      <c r="AS267" s="384" t="n"/>
    </row>
    <row r="268" hidden="1" s="1181">
      <c r="A268" s="384" t="n"/>
      <c r="B268" s="384" t="n"/>
      <c r="C268" s="384" t="n"/>
      <c r="D268" s="384" t="n"/>
      <c r="E268" s="384" t="n"/>
      <c r="F268" s="384" t="n"/>
      <c r="G268" s="384" t="n"/>
      <c r="H268" s="384" t="n"/>
      <c r="I268" s="384" t="n"/>
      <c r="J268" s="384" t="n"/>
      <c r="K268" s="384" t="n"/>
      <c r="L268" s="384" t="n"/>
      <c r="M268" s="384" t="n"/>
      <c r="N268" s="384" t="n"/>
      <c r="O268" s="384" t="n"/>
      <c r="P268" s="384" t="n"/>
      <c r="Q268" s="384" t="n"/>
      <c r="R268" s="384" t="n"/>
      <c r="S268" s="384" t="n"/>
      <c r="T268" s="384" t="n"/>
      <c r="U268" s="384" t="n"/>
      <c r="V268" s="384" t="n"/>
      <c r="W268" s="384" t="n"/>
      <c r="X268" s="645">
        <f>IF(_epmOfflineCondition_,"I_E100260",EPMOlapMemberO("[C_INTERCO].[PARENTH1].[I_E100260]","","I_E100260","","000"))</f>
        <v/>
      </c>
      <c r="Y268" s="870">
        <f>IF(_epmOfflineCondition_,"北京京能房山热力供应有限公司",EPMMemberDesc(X268))</f>
        <v/>
      </c>
      <c r="Z268" s="1302" t="n"/>
      <c r="AA268" s="1302" t="n"/>
      <c r="AB268" s="858" t="n"/>
      <c r="AC268" s="1302" t="n"/>
      <c r="AD268" s="1302" t="n"/>
      <c r="AE268" s="1302" t="inlineStr"/>
      <c r="AF268" s="1302" t="inlineStr"/>
      <c r="AG268" s="1302" t="inlineStr"/>
      <c r="AH268" s="1302" t="n"/>
      <c r="AI268" s="1302" t="n"/>
      <c r="AJ268" s="1302" t="n"/>
      <c r="AK268" s="1302">
        <f>AI268-AJ268</f>
        <v/>
      </c>
      <c r="AL268" s="858" t="n"/>
      <c r="AM268" s="1297" t="inlineStr"/>
      <c r="AN268" s="1298" t="n"/>
      <c r="AO268" s="13">
        <f>IF(_epmOfflineCondition_,0,EPMSaveDataOnly(AB268,,AB$29,AB$25,AB$26,AB$31,AB$32,$AA$37,AO$14,AO$15,AO$16,AO$17,AO$18,X268))</f>
        <v/>
      </c>
      <c r="AP268" s="13">
        <f>IF(_epmOfflineCondition_,0,EPMSaveDataOnly(AL268,,AL$29,AL$25,AL$26,AL$31,AL$32,$AA$37,AP$14,AP$15,AP$16,AP$17,AP$18,$X268))</f>
        <v/>
      </c>
      <c r="AQ268" s="13">
        <f>IF(_epmOfflineCondition_,0,EPMSaveData(AM268,,AM$29,AM$25,AM$26,$C$6,AM$32,$AA$37,AQ$14,AQ$15,AQ$16,AQ$17,AQ$18,$X268))</f>
        <v/>
      </c>
      <c r="AR268" s="13">
        <f>IF(_epmOfflineCondition_,0,EPMSaveDataOnly(AN268,,AN$29,AN$25,AN$26,AN$31,AN$32,$AA$37,AR$14,AR$15,AR$16,AR$17,AR$18,$X268))</f>
        <v/>
      </c>
      <c r="AS268" s="384" t="n"/>
    </row>
    <row r="269" hidden="1" s="1181">
      <c r="A269" s="384" t="n"/>
      <c r="B269" s="384" t="n"/>
      <c r="C269" s="384" t="n"/>
      <c r="D269" s="384" t="n"/>
      <c r="E269" s="384" t="n"/>
      <c r="F269" s="384" t="n"/>
      <c r="G269" s="384" t="n"/>
      <c r="H269" s="384" t="n"/>
      <c r="I269" s="384" t="n"/>
      <c r="J269" s="384" t="n"/>
      <c r="K269" s="384" t="n"/>
      <c r="L269" s="384" t="n"/>
      <c r="M269" s="384" t="n"/>
      <c r="N269" s="384" t="n"/>
      <c r="O269" s="384" t="n"/>
      <c r="P269" s="384" t="n"/>
      <c r="Q269" s="384" t="n"/>
      <c r="R269" s="384" t="n"/>
      <c r="S269" s="384" t="n"/>
      <c r="T269" s="384" t="n"/>
      <c r="U269" s="384" t="n"/>
      <c r="V269" s="384" t="n"/>
      <c r="W269" s="384" t="n"/>
      <c r="X269" s="645">
        <f>IF(_epmOfflineCondition_,"I_E100261",EPMOlapMemberO("[C_INTERCO].[PARENTH1].[I_E100261]","","I_E100261","","000"))</f>
        <v/>
      </c>
      <c r="Y269" s="870">
        <f>IF(_epmOfflineCondition_,"北京京能恒星能源科技有限公司",EPMMemberDesc(X269))</f>
        <v/>
      </c>
      <c r="Z269" s="1302" t="n"/>
      <c r="AA269" s="1302" t="n"/>
      <c r="AB269" s="858" t="n"/>
      <c r="AC269" s="1302" t="n"/>
      <c r="AD269" s="1302" t="n"/>
      <c r="AE269" s="1302" t="inlineStr"/>
      <c r="AF269" s="1302" t="inlineStr"/>
      <c r="AG269" s="1302" t="inlineStr"/>
      <c r="AH269" s="1302" t="n"/>
      <c r="AI269" s="1302" t="n"/>
      <c r="AJ269" s="1302" t="n"/>
      <c r="AK269" s="1302">
        <f>AI269-AJ269</f>
        <v/>
      </c>
      <c r="AL269" s="858" t="n"/>
      <c r="AM269" s="1297" t="inlineStr"/>
      <c r="AN269" s="1298" t="n"/>
      <c r="AO269" s="13">
        <f>IF(_epmOfflineCondition_,0,EPMSaveDataOnly(AB269,,AB$29,AB$25,AB$26,AB$31,AB$32,$AA$37,AO$14,AO$15,AO$16,AO$17,AO$18,X269))</f>
        <v/>
      </c>
      <c r="AP269" s="13">
        <f>IF(_epmOfflineCondition_,0,EPMSaveDataOnly(AL269,,AL$29,AL$25,AL$26,AL$31,AL$32,$AA$37,AP$14,AP$15,AP$16,AP$17,AP$18,$X269))</f>
        <v/>
      </c>
      <c r="AQ269" s="13">
        <f>IF(_epmOfflineCondition_,0,EPMSaveData(AM269,,AM$29,AM$25,AM$26,$C$6,AM$32,$AA$37,AQ$14,AQ$15,AQ$16,AQ$17,AQ$18,$X269))</f>
        <v/>
      </c>
      <c r="AR269" s="13">
        <f>IF(_epmOfflineCondition_,0,EPMSaveDataOnly(AN269,,AN$29,AN$25,AN$26,AN$31,AN$32,$AA$37,AR$14,AR$15,AR$16,AR$17,AR$18,$X269))</f>
        <v/>
      </c>
      <c r="AS269" s="384" t="n"/>
    </row>
    <row r="270" hidden="1" ht="15.75" customHeight="1" s="1181">
      <c r="A270" s="384" t="n"/>
      <c r="B270" s="384" t="n"/>
      <c r="C270" s="384" t="n"/>
      <c r="D270" s="384" t="n"/>
      <c r="E270" s="384" t="n"/>
      <c r="F270" s="384" t="n"/>
      <c r="G270" s="384" t="n"/>
      <c r="H270" s="384" t="n"/>
      <c r="I270" s="384" t="n"/>
      <c r="J270" s="384" t="n"/>
      <c r="K270" s="384" t="n"/>
      <c r="L270" s="384" t="n"/>
      <c r="M270" s="384" t="n"/>
      <c r="N270" s="384" t="n"/>
      <c r="O270" s="384" t="n"/>
      <c r="P270" s="384" t="n"/>
      <c r="Q270" s="384" t="n"/>
      <c r="R270" s="384" t="n"/>
      <c r="S270" s="384" t="n"/>
      <c r="T270" s="384" t="n"/>
      <c r="U270" s="384" t="n"/>
      <c r="V270" s="384" t="n"/>
      <c r="W270" s="384" t="n"/>
      <c r="X270" s="645">
        <f>IF(_epmOfflineCondition_,"I_E100262",EPMOlapMemberO("[C_INTERCO].[PARENTH1].[I_E100262]","","I_E100262","","000"))</f>
        <v/>
      </c>
      <c r="Y270" s="870">
        <f>IF(_epmOfflineCondition_,"廊坊市华源盛世热力有限公司",EPMMemberDesc(X270))</f>
        <v/>
      </c>
      <c r="Z270" s="1302" t="n"/>
      <c r="AA270" s="1302" t="n"/>
      <c r="AB270" s="858" t="n"/>
      <c r="AC270" s="1302" t="n"/>
      <c r="AD270" s="1302" t="n"/>
      <c r="AE270" s="1302" t="inlineStr"/>
      <c r="AF270" s="1302" t="inlineStr"/>
      <c r="AG270" s="1302" t="inlineStr"/>
      <c r="AH270" s="1302" t="n"/>
      <c r="AI270" s="1302" t="n"/>
      <c r="AJ270" s="1302" t="n"/>
      <c r="AK270" s="1302">
        <f>AI270-AJ270</f>
        <v/>
      </c>
      <c r="AL270" s="858" t="n"/>
      <c r="AM270" s="1297" t="inlineStr"/>
      <c r="AN270" s="1298" t="n"/>
      <c r="AO270" s="13">
        <f>IF(_epmOfflineCondition_,0,EPMSaveDataOnly(AB270,,AB$29,AB$25,AB$26,AB$31,AB$32,$AA$37,AO$14,AO$15,AO$16,AO$17,AO$18,X270))</f>
        <v/>
      </c>
      <c r="AP270" s="13">
        <f>IF(_epmOfflineCondition_,0,EPMSaveDataOnly(AL270,,AL$29,AL$25,AL$26,AL$31,AL$32,$AA$37,AP$14,AP$15,AP$16,AP$17,AP$18,$X270))</f>
        <v/>
      </c>
      <c r="AQ270" s="13">
        <f>IF(_epmOfflineCondition_,0,EPMSaveData(AM270,,AM$29,AM$25,AM$26,$C$6,AM$32,$AA$37,AQ$14,AQ$15,AQ$16,AQ$17,AQ$18,$X270))</f>
        <v/>
      </c>
      <c r="AR270" s="13">
        <f>IF(_epmOfflineCondition_,0,EPMSaveDataOnly(AN270,,AN$29,AN$25,AN$26,AN$31,AN$32,$AA$37,AR$14,AR$15,AR$16,AR$17,AR$18,$X270))</f>
        <v/>
      </c>
      <c r="AS270" s="384" t="n"/>
    </row>
    <row r="271" hidden="1" s="1181">
      <c r="A271" s="384" t="n"/>
      <c r="B271" s="384" t="n"/>
      <c r="C271" s="384" t="n"/>
      <c r="D271" s="384" t="n"/>
      <c r="E271" s="384" t="n"/>
      <c r="F271" s="384" t="n"/>
      <c r="G271" s="384" t="n"/>
      <c r="H271" s="384" t="n"/>
      <c r="I271" s="384" t="n"/>
      <c r="J271" s="384" t="n"/>
      <c r="K271" s="384" t="n"/>
      <c r="L271" s="384" t="n"/>
      <c r="M271" s="384" t="n"/>
      <c r="N271" s="384" t="n"/>
      <c r="O271" s="384" t="n"/>
      <c r="P271" s="384" t="n"/>
      <c r="Q271" s="384" t="n"/>
      <c r="R271" s="384" t="n"/>
      <c r="S271" s="384" t="n"/>
      <c r="T271" s="384" t="n"/>
      <c r="U271" s="384" t="n"/>
      <c r="V271" s="384" t="n"/>
      <c r="W271" s="384" t="n"/>
      <c r="X271" s="645">
        <f>IF(_epmOfflineCondition_,"I_E100268",EPMOlapMemberO("[C_INTERCO].[PARENTH1].[I_E100268]","","I_E100268","","000"))</f>
        <v/>
      </c>
      <c r="Y271" s="870">
        <f>IF(_epmOfflineCondition_,"北京京煤集团有限责任公司",EPMMemberDesc(X271))</f>
        <v/>
      </c>
      <c r="Z271" s="1302" t="n"/>
      <c r="AA271" s="1302" t="n"/>
      <c r="AB271" s="858" t="n"/>
      <c r="AC271" s="1302" t="n"/>
      <c r="AD271" s="1302" t="n"/>
      <c r="AE271" s="1302" t="inlineStr"/>
      <c r="AF271" s="1302" t="inlineStr"/>
      <c r="AG271" s="1302" t="inlineStr"/>
      <c r="AH271" s="1302" t="n"/>
      <c r="AI271" s="1302" t="n"/>
      <c r="AJ271" s="1302" t="n"/>
      <c r="AK271" s="1302">
        <f>AI271-AJ271</f>
        <v/>
      </c>
      <c r="AL271" s="858" t="n"/>
      <c r="AM271" s="1297" t="inlineStr"/>
      <c r="AN271" s="1298" t="n"/>
      <c r="AO271" s="13">
        <f>IF(_epmOfflineCondition_,0,EPMSaveDataOnly(AB271,,AB$29,AB$25,AB$26,AB$31,AB$32,$AA$37,AO$14,AO$15,AO$16,AO$17,AO$18,X271))</f>
        <v/>
      </c>
      <c r="AP271" s="13">
        <f>IF(_epmOfflineCondition_,0,EPMSaveDataOnly(AL271,,AL$29,AL$25,AL$26,AL$31,AL$32,$AA$37,AP$14,AP$15,AP$16,AP$17,AP$18,$X271))</f>
        <v/>
      </c>
      <c r="AQ271" s="13">
        <f>IF(_epmOfflineCondition_,0,EPMSaveData(AM271,,AM$29,AM$25,AM$26,$C$6,AM$32,$AA$37,AQ$14,AQ$15,AQ$16,AQ$17,AQ$18,$X271))</f>
        <v/>
      </c>
      <c r="AR271" s="13">
        <f>IF(_epmOfflineCondition_,0,EPMSaveDataOnly(AN271,,AN$29,AN$25,AN$26,AN$31,AN$32,$AA$37,AR$14,AR$15,AR$16,AR$17,AR$18,$X271))</f>
        <v/>
      </c>
      <c r="AS271" s="384" t="n"/>
    </row>
    <row r="272" hidden="1" s="1181">
      <c r="A272" s="384" t="n"/>
      <c r="B272" s="384" t="n"/>
      <c r="C272" s="384" t="n"/>
      <c r="D272" s="384" t="n"/>
      <c r="E272" s="384" t="n"/>
      <c r="F272" s="384" t="n"/>
      <c r="G272" s="384" t="n"/>
      <c r="H272" s="384" t="n"/>
      <c r="I272" s="384" t="n"/>
      <c r="J272" s="384" t="n"/>
      <c r="K272" s="384" t="n"/>
      <c r="L272" s="384" t="n"/>
      <c r="M272" s="384" t="n"/>
      <c r="N272" s="384" t="n"/>
      <c r="O272" s="384" t="n"/>
      <c r="P272" s="384" t="n"/>
      <c r="Q272" s="384" t="n"/>
      <c r="R272" s="384" t="n"/>
      <c r="S272" s="384" t="n"/>
      <c r="T272" s="384" t="n"/>
      <c r="U272" s="384" t="n"/>
      <c r="V272" s="384" t="n"/>
      <c r="W272" s="384" t="n"/>
      <c r="X272" s="645">
        <f>IF(_epmOfflineCondition_,"I_E100269",EPMOlapMemberO("[C_INTERCO].[PARENTH1].[I_E100269]","","I_E100269","","000"))</f>
        <v/>
      </c>
      <c r="Y272" s="870">
        <f>IF(_epmOfflineCondition_,"北京京煤集团有限责任公司企业管理中心",EPMMemberDesc(X272))</f>
        <v/>
      </c>
      <c r="Z272" s="1302" t="n"/>
      <c r="AA272" s="1302" t="n"/>
      <c r="AB272" s="858" t="n"/>
      <c r="AC272" s="1302" t="n"/>
      <c r="AD272" s="1302" t="n"/>
      <c r="AE272" s="1302" t="inlineStr"/>
      <c r="AF272" s="1302" t="inlineStr"/>
      <c r="AG272" s="1302" t="inlineStr"/>
      <c r="AH272" s="1302" t="n"/>
      <c r="AI272" s="1302" t="n"/>
      <c r="AJ272" s="1302" t="n"/>
      <c r="AK272" s="1302">
        <f>AI272-AJ272</f>
        <v/>
      </c>
      <c r="AL272" s="858" t="n"/>
      <c r="AM272" s="1297" t="inlineStr"/>
      <c r="AN272" s="1298" t="n"/>
      <c r="AO272" s="13">
        <f>IF(_epmOfflineCondition_,0,EPMSaveDataOnly(AB272,,AB$29,AB$25,AB$26,AB$31,AB$32,$AA$37,AO$14,AO$15,AO$16,AO$17,AO$18,X272))</f>
        <v/>
      </c>
      <c r="AP272" s="13">
        <f>IF(_epmOfflineCondition_,0,EPMSaveDataOnly(AL272,,AL$29,AL$25,AL$26,AL$31,AL$32,$AA$37,AP$14,AP$15,AP$16,AP$17,AP$18,$X272))</f>
        <v/>
      </c>
      <c r="AQ272" s="13">
        <f>IF(_epmOfflineCondition_,0,EPMSaveData(AM272,,AM$29,AM$25,AM$26,$C$6,AM$32,$AA$37,AQ$14,AQ$15,AQ$16,AQ$17,AQ$18,$X272))</f>
        <v/>
      </c>
      <c r="AR272" s="13">
        <f>IF(_epmOfflineCondition_,0,EPMSaveDataOnly(AN272,,AN$29,AN$25,AN$26,AN$31,AN$32,$AA$37,AR$14,AR$15,AR$16,AR$17,AR$18,$X272))</f>
        <v/>
      </c>
      <c r="AS272" s="384" t="n"/>
    </row>
    <row r="273" hidden="1" s="1181">
      <c r="A273" s="384" t="n"/>
      <c r="B273" s="384" t="n"/>
      <c r="C273" s="384" t="n"/>
      <c r="D273" s="384" t="n"/>
      <c r="E273" s="384" t="n"/>
      <c r="F273" s="384" t="n"/>
      <c r="G273" s="384" t="n"/>
      <c r="H273" s="384" t="n"/>
      <c r="I273" s="384" t="n"/>
      <c r="J273" s="384" t="n"/>
      <c r="K273" s="384" t="n"/>
      <c r="L273" s="384" t="n"/>
      <c r="M273" s="384" t="n"/>
      <c r="N273" s="384" t="n"/>
      <c r="O273" s="384" t="n"/>
      <c r="P273" s="384" t="n"/>
      <c r="Q273" s="384" t="n"/>
      <c r="R273" s="384" t="n"/>
      <c r="S273" s="384" t="n"/>
      <c r="T273" s="384" t="n"/>
      <c r="U273" s="384" t="n"/>
      <c r="V273" s="384" t="n"/>
      <c r="W273" s="384" t="n"/>
      <c r="X273" s="645">
        <f>IF(_epmOfflineCondition_,"I_E100270",EPMOlapMemberO("[C_INTERCO].[PARENTH1].[I_E100270]","","I_E100270","","000"))</f>
        <v/>
      </c>
      <c r="Y273" s="870">
        <f>IF(_epmOfflineCondition_,"北京京煤集团有限责任公司物业管理分公司",EPMMemberDesc(X273))</f>
        <v/>
      </c>
      <c r="Z273" s="1302" t="n"/>
      <c r="AA273" s="1302" t="n"/>
      <c r="AB273" s="858" t="n"/>
      <c r="AC273" s="1302" t="n"/>
      <c r="AD273" s="1302" t="n"/>
      <c r="AE273" s="1302" t="inlineStr"/>
      <c r="AF273" s="1302" t="inlineStr"/>
      <c r="AG273" s="1302" t="inlineStr"/>
      <c r="AH273" s="1302" t="n"/>
      <c r="AI273" s="1302" t="n"/>
      <c r="AJ273" s="1302" t="n"/>
      <c r="AK273" s="1302">
        <f>AI273-AJ273</f>
        <v/>
      </c>
      <c r="AL273" s="858" t="n"/>
      <c r="AM273" s="1297" t="inlineStr"/>
      <c r="AN273" s="1298" t="n"/>
      <c r="AO273" s="13">
        <f>IF(_epmOfflineCondition_,0,EPMSaveDataOnly(AB273,,AB$29,AB$25,AB$26,AB$31,AB$32,$AA$37,AO$14,AO$15,AO$16,AO$17,AO$18,X273))</f>
        <v/>
      </c>
      <c r="AP273" s="13">
        <f>IF(_epmOfflineCondition_,0,EPMSaveDataOnly(AL273,,AL$29,AL$25,AL$26,AL$31,AL$32,$AA$37,AP$14,AP$15,AP$16,AP$17,AP$18,$X273))</f>
        <v/>
      </c>
      <c r="AQ273" s="13">
        <f>IF(_epmOfflineCondition_,0,EPMSaveData(AM273,,AM$29,AM$25,AM$26,$C$6,AM$32,$AA$37,AQ$14,AQ$15,AQ$16,AQ$17,AQ$18,$X273))</f>
        <v/>
      </c>
      <c r="AR273" s="13">
        <f>IF(_epmOfflineCondition_,0,EPMSaveDataOnly(AN273,,AN$29,AN$25,AN$26,AN$31,AN$32,$AA$37,AR$14,AR$15,AR$16,AR$17,AR$18,$X273))</f>
        <v/>
      </c>
      <c r="AS273" s="384" t="n"/>
    </row>
    <row r="274" hidden="1" s="1181">
      <c r="A274" s="384" t="n"/>
      <c r="B274" s="384" t="n"/>
      <c r="C274" s="384" t="n"/>
      <c r="D274" s="384" t="n"/>
      <c r="E274" s="384" t="n"/>
      <c r="F274" s="384" t="n"/>
      <c r="G274" s="384" t="n"/>
      <c r="H274" s="384" t="n"/>
      <c r="I274" s="384" t="n"/>
      <c r="J274" s="384" t="n"/>
      <c r="K274" s="384" t="n"/>
      <c r="L274" s="384" t="n"/>
      <c r="M274" s="384" t="n"/>
      <c r="N274" s="384" t="n"/>
      <c r="O274" s="384" t="n"/>
      <c r="P274" s="384" t="n"/>
      <c r="Q274" s="384" t="n"/>
      <c r="R274" s="384" t="n"/>
      <c r="S274" s="384" t="n"/>
      <c r="T274" s="384" t="n"/>
      <c r="U274" s="384" t="n"/>
      <c r="V274" s="384" t="n"/>
      <c r="W274" s="384" t="n"/>
      <c r="X274" s="645">
        <f>IF(_epmOfflineCondition_,"I_E100271",EPMOlapMemberO("[C_INTERCO].[PARENTH1].[I_E100271]","","I_E100271","","000"))</f>
        <v/>
      </c>
      <c r="Y274" s="870">
        <f>IF(_epmOfflineCondition_,"北京京煤集团有限责任公司门城物业管理分公司",EPMMemberDesc(X274))</f>
        <v/>
      </c>
      <c r="Z274" s="1302" t="n"/>
      <c r="AA274" s="1302" t="n"/>
      <c r="AB274" s="858" t="n"/>
      <c r="AC274" s="1302" t="n"/>
      <c r="AD274" s="1302" t="n"/>
      <c r="AE274" s="1302" t="inlineStr"/>
      <c r="AF274" s="1302" t="inlineStr"/>
      <c r="AG274" s="1302" t="inlineStr"/>
      <c r="AH274" s="1302" t="n"/>
      <c r="AI274" s="1302" t="n"/>
      <c r="AJ274" s="1302" t="n"/>
      <c r="AK274" s="1302">
        <f>AI274-AJ274</f>
        <v/>
      </c>
      <c r="AL274" s="858" t="n"/>
      <c r="AM274" s="1297" t="inlineStr"/>
      <c r="AN274" s="1298" t="n"/>
      <c r="AO274" s="13">
        <f>IF(_epmOfflineCondition_,0,EPMSaveDataOnly(AB274,,AB$29,AB$25,AB$26,AB$31,AB$32,$AA$37,AO$14,AO$15,AO$16,AO$17,AO$18,X274))</f>
        <v/>
      </c>
      <c r="AP274" s="13">
        <f>IF(_epmOfflineCondition_,0,EPMSaveDataOnly(AL274,,AL$29,AL$25,AL$26,AL$31,AL$32,$AA$37,AP$14,AP$15,AP$16,AP$17,AP$18,$X274))</f>
        <v/>
      </c>
      <c r="AQ274" s="13">
        <f>IF(_epmOfflineCondition_,0,EPMSaveData(AM274,,AM$29,AM$25,AM$26,$C$6,AM$32,$AA$37,AQ$14,AQ$15,AQ$16,AQ$17,AQ$18,$X274))</f>
        <v/>
      </c>
      <c r="AR274" s="13">
        <f>IF(_epmOfflineCondition_,0,EPMSaveDataOnly(AN274,,AN$29,AN$25,AN$26,AN$31,AN$32,$AA$37,AR$14,AR$15,AR$16,AR$17,AR$18,$X274))</f>
        <v/>
      </c>
      <c r="AS274" s="384" t="n"/>
    </row>
    <row r="275" hidden="1" ht="15.75" customHeight="1" s="1181">
      <c r="A275" s="384" t="n"/>
      <c r="B275" s="384" t="n"/>
      <c r="C275" s="384" t="n"/>
      <c r="D275" s="384" t="n"/>
      <c r="E275" s="384" t="n"/>
      <c r="F275" s="384" t="n"/>
      <c r="G275" s="384" t="n"/>
      <c r="H275" s="384" t="n"/>
      <c r="I275" s="384" t="n"/>
      <c r="J275" s="384" t="n"/>
      <c r="K275" s="384" t="n"/>
      <c r="L275" s="384" t="n"/>
      <c r="M275" s="384" t="n"/>
      <c r="N275" s="384" t="n"/>
      <c r="O275" s="384" t="n"/>
      <c r="P275" s="384" t="n"/>
      <c r="Q275" s="384" t="n"/>
      <c r="R275" s="384" t="n"/>
      <c r="S275" s="384" t="n"/>
      <c r="T275" s="384" t="n"/>
      <c r="U275" s="384" t="n"/>
      <c r="V275" s="384" t="n"/>
      <c r="W275" s="384" t="n"/>
      <c r="X275" s="645">
        <f>IF(_epmOfflineCondition_,"I_E100272",EPMOlapMemberO("[C_INTERCO].[PARENTH1].[I_E100272]","","I_E100272","","000"))</f>
        <v/>
      </c>
      <c r="Y275" s="870">
        <f>IF(_epmOfflineCondition_,"北京京煤集团有限责任公司王平物业分公司",EPMMemberDesc(X275))</f>
        <v/>
      </c>
      <c r="Z275" s="1302" t="n"/>
      <c r="AA275" s="1302" t="n"/>
      <c r="AB275" s="858" t="n"/>
      <c r="AC275" s="1302" t="n"/>
      <c r="AD275" s="1302" t="n"/>
      <c r="AE275" s="1302" t="inlineStr"/>
      <c r="AF275" s="1302" t="inlineStr"/>
      <c r="AG275" s="1302" t="inlineStr"/>
      <c r="AH275" s="1302" t="n"/>
      <c r="AI275" s="1302" t="n"/>
      <c r="AJ275" s="1302" t="n"/>
      <c r="AK275" s="1302">
        <f>AI275-AJ275</f>
        <v/>
      </c>
      <c r="AL275" s="858" t="n"/>
      <c r="AM275" s="1297" t="inlineStr"/>
      <c r="AN275" s="1298" t="n"/>
      <c r="AO275" s="13">
        <f>IF(_epmOfflineCondition_,0,EPMSaveDataOnly(AB275,,AB$29,AB$25,AB$26,AB$31,AB$32,$AA$37,AO$14,AO$15,AO$16,AO$17,AO$18,X275))</f>
        <v/>
      </c>
      <c r="AP275" s="13">
        <f>IF(_epmOfflineCondition_,0,EPMSaveDataOnly(AL275,,AL$29,AL$25,AL$26,AL$31,AL$32,$AA$37,AP$14,AP$15,AP$16,AP$17,AP$18,$X275))</f>
        <v/>
      </c>
      <c r="AQ275" s="13">
        <f>IF(_epmOfflineCondition_,0,EPMSaveData(AM275,,AM$29,AM$25,AM$26,$C$6,AM$32,$AA$37,AQ$14,AQ$15,AQ$16,AQ$17,AQ$18,$X275))</f>
        <v/>
      </c>
      <c r="AR275" s="13">
        <f>IF(_epmOfflineCondition_,0,EPMSaveDataOnly(AN275,,AN$29,AN$25,AN$26,AN$31,AN$32,$AA$37,AR$14,AR$15,AR$16,AR$17,AR$18,$X275))</f>
        <v/>
      </c>
      <c r="AS275" s="384" t="n"/>
    </row>
    <row r="276" hidden="1" ht="15.75" customHeight="1" s="1181">
      <c r="A276" s="384" t="n"/>
      <c r="B276" s="384" t="n"/>
      <c r="C276" s="384" t="n"/>
      <c r="D276" s="384" t="n"/>
      <c r="E276" s="384" t="n"/>
      <c r="F276" s="384" t="n"/>
      <c r="G276" s="384" t="n"/>
      <c r="H276" s="384" t="n"/>
      <c r="I276" s="384" t="n"/>
      <c r="J276" s="384" t="n"/>
      <c r="K276" s="384" t="n"/>
      <c r="L276" s="384" t="n"/>
      <c r="M276" s="384" t="n"/>
      <c r="N276" s="384" t="n"/>
      <c r="O276" s="384" t="n"/>
      <c r="P276" s="384" t="n"/>
      <c r="Q276" s="384" t="n"/>
      <c r="R276" s="384" t="n"/>
      <c r="S276" s="384" t="n"/>
      <c r="T276" s="384" t="n"/>
      <c r="U276" s="384" t="n"/>
      <c r="V276" s="384" t="n"/>
      <c r="W276" s="384" t="n"/>
      <c r="X276" s="645">
        <f>IF(_epmOfflineCondition_,"I_E100273",EPMOlapMemberO("[C_INTERCO].[PARENTH1].[I_E100273]","","I_E100273","","000"))</f>
        <v/>
      </c>
      <c r="Y276" s="870">
        <f>IF(_epmOfflineCondition_,"北京京煤集团有限责任公司三竹物业管理分公司",EPMMemberDesc(X276))</f>
        <v/>
      </c>
      <c r="Z276" s="1302" t="n"/>
      <c r="AA276" s="1302" t="n"/>
      <c r="AB276" s="858" t="n"/>
      <c r="AC276" s="1302" t="n"/>
      <c r="AD276" s="1302" t="n"/>
      <c r="AE276" s="1302" t="inlineStr"/>
      <c r="AF276" s="1302" t="inlineStr"/>
      <c r="AG276" s="1302" t="inlineStr"/>
      <c r="AH276" s="1302" t="n"/>
      <c r="AI276" s="1302" t="n"/>
      <c r="AJ276" s="1302" t="n"/>
      <c r="AK276" s="1302">
        <f>AI276-AJ276</f>
        <v/>
      </c>
      <c r="AL276" s="858" t="n"/>
      <c r="AM276" s="1297" t="inlineStr"/>
      <c r="AN276" s="1298" t="n"/>
      <c r="AO276" s="13">
        <f>IF(_epmOfflineCondition_,0,EPMSaveDataOnly(AB276,,AB$29,AB$25,AB$26,AB$31,AB$32,$AA$37,AO$14,AO$15,AO$16,AO$17,AO$18,X276))</f>
        <v/>
      </c>
      <c r="AP276" s="13">
        <f>IF(_epmOfflineCondition_,0,EPMSaveDataOnly(AL276,,AL$29,AL$25,AL$26,AL$31,AL$32,$AA$37,AP$14,AP$15,AP$16,AP$17,AP$18,$X276))</f>
        <v/>
      </c>
      <c r="AQ276" s="13">
        <f>IF(_epmOfflineCondition_,0,EPMSaveData(AM276,,AM$29,AM$25,AM$26,$C$6,AM$32,$AA$37,AQ$14,AQ$15,AQ$16,AQ$17,AQ$18,$X276))</f>
        <v/>
      </c>
      <c r="AR276" s="13">
        <f>IF(_epmOfflineCondition_,0,EPMSaveDataOnly(AN276,,AN$29,AN$25,AN$26,AN$31,AN$32,$AA$37,AR$14,AR$15,AR$16,AR$17,AR$18,$X276))</f>
        <v/>
      </c>
      <c r="AS276" s="384" t="n"/>
    </row>
    <row r="277" hidden="1" ht="15.75" customHeight="1" s="1181">
      <c r="A277" s="384" t="n"/>
      <c r="B277" s="384" t="n"/>
      <c r="C277" s="384" t="n"/>
      <c r="D277" s="384" t="n"/>
      <c r="E277" s="384" t="n"/>
      <c r="F277" s="384" t="n"/>
      <c r="G277" s="384" t="n"/>
      <c r="H277" s="384" t="n"/>
      <c r="I277" s="384" t="n"/>
      <c r="J277" s="384" t="n"/>
      <c r="K277" s="384" t="n"/>
      <c r="L277" s="384" t="n"/>
      <c r="M277" s="384" t="n"/>
      <c r="N277" s="384" t="n"/>
      <c r="O277" s="384" t="n"/>
      <c r="P277" s="384" t="n"/>
      <c r="Q277" s="384" t="n"/>
      <c r="R277" s="384" t="n"/>
      <c r="S277" s="384" t="n"/>
      <c r="T277" s="384" t="n"/>
      <c r="U277" s="384" t="n"/>
      <c r="V277" s="384" t="n"/>
      <c r="W277" s="384" t="n"/>
      <c r="X277" s="645">
        <f>IF(_epmOfflineCondition_,"I_E100274",EPMOlapMemberO("[C_INTERCO].[PARENTH1].[I_E100274]","","I_E100274","","000"))</f>
        <v/>
      </c>
      <c r="Y277" s="870">
        <f>IF(_epmOfflineCondition_,"北京乘美乡居文化旅游发展有限公司",EPMMemberDesc(X277))</f>
        <v/>
      </c>
      <c r="Z277" s="1302" t="n"/>
      <c r="AA277" s="1302" t="n"/>
      <c r="AB277" s="858" t="n"/>
      <c r="AC277" s="1302" t="n"/>
      <c r="AD277" s="1302" t="n"/>
      <c r="AE277" s="1302" t="inlineStr"/>
      <c r="AF277" s="1302" t="inlineStr"/>
      <c r="AG277" s="1302" t="inlineStr"/>
      <c r="AH277" s="1302" t="n"/>
      <c r="AI277" s="1302" t="n"/>
      <c r="AJ277" s="1302" t="n"/>
      <c r="AK277" s="1302">
        <f>AI277-AJ277</f>
        <v/>
      </c>
      <c r="AL277" s="858" t="n"/>
      <c r="AM277" s="1297" t="inlineStr"/>
      <c r="AN277" s="1298" t="n"/>
      <c r="AO277" s="13">
        <f>IF(_epmOfflineCondition_,0,EPMSaveDataOnly(AB277,,AB$29,AB$25,AB$26,AB$31,AB$32,$AA$37,AO$14,AO$15,AO$16,AO$17,AO$18,X277))</f>
        <v/>
      </c>
      <c r="AP277" s="13">
        <f>IF(_epmOfflineCondition_,0,EPMSaveDataOnly(AL277,,AL$29,AL$25,AL$26,AL$31,AL$32,$AA$37,AP$14,AP$15,AP$16,AP$17,AP$18,$X277))</f>
        <v/>
      </c>
      <c r="AQ277" s="13">
        <f>IF(_epmOfflineCondition_,0,EPMSaveData(AM277,,AM$29,AM$25,AM$26,$C$6,AM$32,$AA$37,AQ$14,AQ$15,AQ$16,AQ$17,AQ$18,$X277))</f>
        <v/>
      </c>
      <c r="AR277" s="13">
        <f>IF(_epmOfflineCondition_,0,EPMSaveDataOnly(AN277,,AN$29,AN$25,AN$26,AN$31,AN$32,$AA$37,AR$14,AR$15,AR$16,AR$17,AR$18,$X277))</f>
        <v/>
      </c>
      <c r="AS277" s="384" t="n"/>
    </row>
    <row r="278" hidden="1" ht="15.75" customHeight="1" s="1181">
      <c r="A278" s="384" t="n"/>
      <c r="B278" s="384" t="n"/>
      <c r="C278" s="384" t="n"/>
      <c r="D278" s="384" t="n"/>
      <c r="E278" s="384" t="n"/>
      <c r="F278" s="384" t="n"/>
      <c r="G278" s="384" t="n"/>
      <c r="H278" s="384" t="n"/>
      <c r="I278" s="384" t="n"/>
      <c r="J278" s="384" t="n"/>
      <c r="K278" s="384" t="n"/>
      <c r="L278" s="384" t="n"/>
      <c r="M278" s="384" t="n"/>
      <c r="N278" s="384" t="n"/>
      <c r="O278" s="384" t="n"/>
      <c r="P278" s="384" t="n"/>
      <c r="Q278" s="384" t="n"/>
      <c r="R278" s="384" t="n"/>
      <c r="S278" s="384" t="n"/>
      <c r="T278" s="384" t="n"/>
      <c r="U278" s="384" t="n"/>
      <c r="V278" s="384" t="n"/>
      <c r="W278" s="384" t="n"/>
      <c r="X278" s="645">
        <f>IF(_epmOfflineCondition_,"I_E100275",EPMOlapMemberO("[C_INTERCO].[PARENTH1].[I_E100275]","","I_E100275","","000"))</f>
        <v/>
      </c>
      <c r="Y278" s="870">
        <f>IF(_epmOfflineCondition_,"北京京能房产租赁经营有限责任公司丰台分公司",EPMMemberDesc(X278))</f>
        <v/>
      </c>
      <c r="Z278" s="1302" t="n"/>
      <c r="AA278" s="1302" t="n"/>
      <c r="AB278" s="858" t="n"/>
      <c r="AC278" s="1302" t="n"/>
      <c r="AD278" s="1302" t="n"/>
      <c r="AE278" s="1302" t="inlineStr"/>
      <c r="AF278" s="1302" t="inlineStr"/>
      <c r="AG278" s="1302" t="inlineStr"/>
      <c r="AH278" s="1302" t="n"/>
      <c r="AI278" s="1302" t="n"/>
      <c r="AJ278" s="1302" t="n"/>
      <c r="AK278" s="1302">
        <f>AI278-AJ278</f>
        <v/>
      </c>
      <c r="AL278" s="858" t="n"/>
      <c r="AM278" s="1297" t="inlineStr"/>
      <c r="AN278" s="1298" t="n"/>
      <c r="AO278" s="13">
        <f>IF(_epmOfflineCondition_,0,EPMSaveDataOnly(AB278,,AB$29,AB$25,AB$26,AB$31,AB$32,$AA$37,AO$14,AO$15,AO$16,AO$17,AO$18,X278))</f>
        <v/>
      </c>
      <c r="AP278" s="13">
        <f>IF(_epmOfflineCondition_,0,EPMSaveDataOnly(AL278,,AL$29,AL$25,AL$26,AL$31,AL$32,$AA$37,AP$14,AP$15,AP$16,AP$17,AP$18,$X278))</f>
        <v/>
      </c>
      <c r="AQ278" s="13">
        <f>IF(_epmOfflineCondition_,0,EPMSaveData(AM278,,AM$29,AM$25,AM$26,$C$6,AM$32,$AA$37,AQ$14,AQ$15,AQ$16,AQ$17,AQ$18,$X278))</f>
        <v/>
      </c>
      <c r="AR278" s="13">
        <f>IF(_epmOfflineCondition_,0,EPMSaveDataOnly(AN278,,AN$29,AN$25,AN$26,AN$31,AN$32,$AA$37,AR$14,AR$15,AR$16,AR$17,AR$18,$X278))</f>
        <v/>
      </c>
      <c r="AS278" s="384" t="n"/>
    </row>
    <row r="279" hidden="1" ht="15.75" customHeight="1" s="1181">
      <c r="A279" s="384" t="n"/>
      <c r="B279" s="384" t="n"/>
      <c r="C279" s="384" t="n"/>
      <c r="D279" s="384" t="n"/>
      <c r="E279" s="384" t="n"/>
      <c r="F279" s="384" t="n"/>
      <c r="G279" s="384" t="n"/>
      <c r="H279" s="384" t="n"/>
      <c r="I279" s="384" t="n"/>
      <c r="J279" s="384" t="n"/>
      <c r="K279" s="384" t="n"/>
      <c r="L279" s="384" t="n"/>
      <c r="M279" s="384" t="n"/>
      <c r="N279" s="384" t="n"/>
      <c r="O279" s="384" t="n"/>
      <c r="P279" s="384" t="n"/>
      <c r="Q279" s="384" t="n"/>
      <c r="R279" s="384" t="n"/>
      <c r="S279" s="384" t="n"/>
      <c r="T279" s="384" t="n"/>
      <c r="U279" s="384" t="n"/>
      <c r="V279" s="384" t="n"/>
      <c r="W279" s="384" t="n"/>
      <c r="X279" s="645">
        <f>IF(_epmOfflineCondition_,"I_E100277",EPMOlapMemberO("[C_INTERCO].[PARENTH1].[I_E100277]","","I_E100277","","000"))</f>
        <v/>
      </c>
      <c r="Y279" s="870">
        <f>IF(_epmOfflineCondition_,"北京金泰利达房屋租赁有限公司",EPMMemberDesc(X279))</f>
        <v/>
      </c>
      <c r="Z279" s="1302" t="n"/>
      <c r="AA279" s="1302" t="n"/>
      <c r="AB279" s="858" t="n"/>
      <c r="AC279" s="1302" t="n"/>
      <c r="AD279" s="1302" t="n"/>
      <c r="AE279" s="1302" t="inlineStr"/>
      <c r="AF279" s="1302" t="inlineStr"/>
      <c r="AG279" s="1302" t="inlineStr"/>
      <c r="AH279" s="1302" t="n"/>
      <c r="AI279" s="1302" t="n"/>
      <c r="AJ279" s="1302" t="n"/>
      <c r="AK279" s="1302">
        <f>AI279-AJ279</f>
        <v/>
      </c>
      <c r="AL279" s="858" t="n"/>
      <c r="AM279" s="1297" t="inlineStr"/>
      <c r="AN279" s="1298" t="n"/>
      <c r="AO279" s="13">
        <f>IF(_epmOfflineCondition_,0,EPMSaveDataOnly(AB279,,AB$29,AB$25,AB$26,AB$31,AB$32,$AA$37,AO$14,AO$15,AO$16,AO$17,AO$18,X279))</f>
        <v/>
      </c>
      <c r="AP279" s="13">
        <f>IF(_epmOfflineCondition_,0,EPMSaveDataOnly(AL279,,AL$29,AL$25,AL$26,AL$31,AL$32,$AA$37,AP$14,AP$15,AP$16,AP$17,AP$18,$X279))</f>
        <v/>
      </c>
      <c r="AQ279" s="13">
        <f>IF(_epmOfflineCondition_,0,EPMSaveData(AM279,,AM$29,AM$25,AM$26,$C$6,AM$32,$AA$37,AQ$14,AQ$15,AQ$16,AQ$17,AQ$18,$X279))</f>
        <v/>
      </c>
      <c r="AR279" s="13">
        <f>IF(_epmOfflineCondition_,0,EPMSaveDataOnly(AN279,,AN$29,AN$25,AN$26,AN$31,AN$32,$AA$37,AR$14,AR$15,AR$16,AR$17,AR$18,$X279))</f>
        <v/>
      </c>
      <c r="AS279" s="384" t="n"/>
    </row>
    <row r="280" hidden="1" ht="15.75" customHeight="1" s="1181">
      <c r="A280" s="384" t="n"/>
      <c r="B280" s="384" t="n"/>
      <c r="C280" s="384" t="n"/>
      <c r="D280" s="384" t="n"/>
      <c r="E280" s="384" t="n"/>
      <c r="F280" s="384" t="n"/>
      <c r="G280" s="384" t="n"/>
      <c r="H280" s="384" t="n"/>
      <c r="I280" s="384" t="n"/>
      <c r="J280" s="384" t="n"/>
      <c r="K280" s="384" t="n"/>
      <c r="L280" s="384" t="n"/>
      <c r="M280" s="384" t="n"/>
      <c r="N280" s="384" t="n"/>
      <c r="O280" s="384" t="n"/>
      <c r="P280" s="384" t="n"/>
      <c r="Q280" s="384" t="n"/>
      <c r="R280" s="384" t="n"/>
      <c r="S280" s="384" t="n"/>
      <c r="T280" s="384" t="n"/>
      <c r="U280" s="384" t="n"/>
      <c r="V280" s="384" t="n"/>
      <c r="W280" s="384" t="n"/>
      <c r="X280" s="645">
        <f>IF(_epmOfflineCondition_,"I_E100278",EPMOlapMemberO("[C_INTERCO].[PARENTH1].[I_E100278]","","I_E100278","","000"))</f>
        <v/>
      </c>
      <c r="Y280" s="870">
        <f>IF(_epmOfflineCondition_,"北京金泰之家聚隆宾馆有限公司",EPMMemberDesc(X280))</f>
        <v/>
      </c>
      <c r="Z280" s="1302" t="n"/>
      <c r="AA280" s="1302" t="n"/>
      <c r="AB280" s="858" t="n"/>
      <c r="AC280" s="1302" t="n"/>
      <c r="AD280" s="1302" t="n"/>
      <c r="AE280" s="1302" t="inlineStr"/>
      <c r="AF280" s="1302" t="inlineStr"/>
      <c r="AG280" s="1302" t="inlineStr"/>
      <c r="AH280" s="1302" t="n"/>
      <c r="AI280" s="1302" t="n"/>
      <c r="AJ280" s="1302" t="n"/>
      <c r="AK280" s="1302">
        <f>AI280-AJ280</f>
        <v/>
      </c>
      <c r="AL280" s="858" t="n"/>
      <c r="AM280" s="1297" t="inlineStr"/>
      <c r="AN280" s="1298" t="n"/>
      <c r="AO280" s="13">
        <f>IF(_epmOfflineCondition_,0,EPMSaveDataOnly(AB280,,AB$29,AB$25,AB$26,AB$31,AB$32,$AA$37,AO$14,AO$15,AO$16,AO$17,AO$18,X280))</f>
        <v/>
      </c>
      <c r="AP280" s="13">
        <f>IF(_epmOfflineCondition_,0,EPMSaveDataOnly(AL280,,AL$29,AL$25,AL$26,AL$31,AL$32,$AA$37,AP$14,AP$15,AP$16,AP$17,AP$18,$X280))</f>
        <v/>
      </c>
      <c r="AQ280" s="13">
        <f>IF(_epmOfflineCondition_,0,EPMSaveData(AM280,,AM$29,AM$25,AM$26,$C$6,AM$32,$AA$37,AQ$14,AQ$15,AQ$16,AQ$17,AQ$18,$X280))</f>
        <v/>
      </c>
      <c r="AR280" s="13">
        <f>IF(_epmOfflineCondition_,0,EPMSaveDataOnly(AN280,,AN$29,AN$25,AN$26,AN$31,AN$32,$AA$37,AR$14,AR$15,AR$16,AR$17,AR$18,$X280))</f>
        <v/>
      </c>
      <c r="AS280" s="384" t="n"/>
    </row>
    <row r="281" hidden="1" ht="15.75" customHeight="1" s="1181">
      <c r="A281" s="384" t="n"/>
      <c r="B281" s="384" t="n"/>
      <c r="C281" s="384" t="n"/>
      <c r="D281" s="384" t="n"/>
      <c r="E281" s="384" t="n"/>
      <c r="F281" s="384" t="n"/>
      <c r="G281" s="384" t="n"/>
      <c r="H281" s="384" t="n"/>
      <c r="I281" s="384" t="n"/>
      <c r="J281" s="384" t="n"/>
      <c r="K281" s="384" t="n"/>
      <c r="L281" s="384" t="n"/>
      <c r="M281" s="384" t="n"/>
      <c r="N281" s="384" t="n"/>
      <c r="O281" s="384" t="n"/>
      <c r="P281" s="384" t="n"/>
      <c r="Q281" s="384" t="n"/>
      <c r="R281" s="384" t="n"/>
      <c r="S281" s="384" t="n"/>
      <c r="T281" s="384" t="n"/>
      <c r="U281" s="384" t="n"/>
      <c r="V281" s="384" t="n"/>
      <c r="W281" s="384" t="n"/>
      <c r="X281" s="645">
        <f>IF(_epmOfflineCondition_,"I_E100279",EPMOlapMemberO("[C_INTERCO].[PARENTH1].[I_E100279]","","I_E100279","","000"))</f>
        <v/>
      </c>
      <c r="Y281" s="870">
        <f>IF(_epmOfflineCondition_,"北京金泰翔达投资管理有限公司",EPMMemberDesc(X281))</f>
        <v/>
      </c>
      <c r="Z281" s="1302" t="n"/>
      <c r="AA281" s="1302" t="n"/>
      <c r="AB281" s="858" t="n"/>
      <c r="AC281" s="1302" t="n"/>
      <c r="AD281" s="1302" t="n"/>
      <c r="AE281" s="1302" t="inlineStr"/>
      <c r="AF281" s="1302" t="inlineStr"/>
      <c r="AG281" s="1302" t="inlineStr"/>
      <c r="AH281" s="1302" t="n"/>
      <c r="AI281" s="1302" t="n"/>
      <c r="AJ281" s="1302" t="n"/>
      <c r="AK281" s="1302">
        <f>AI281-AJ281</f>
        <v/>
      </c>
      <c r="AL281" s="858" t="n"/>
      <c r="AM281" s="1297" t="inlineStr"/>
      <c r="AN281" s="1298" t="n"/>
      <c r="AO281" s="13">
        <f>IF(_epmOfflineCondition_,0,EPMSaveDataOnly(AB281,,AB$29,AB$25,AB$26,AB$31,AB$32,$AA$37,AO$14,AO$15,AO$16,AO$17,AO$18,X281))</f>
        <v/>
      </c>
      <c r="AP281" s="13">
        <f>IF(_epmOfflineCondition_,0,EPMSaveDataOnly(AL281,,AL$29,AL$25,AL$26,AL$31,AL$32,$AA$37,AP$14,AP$15,AP$16,AP$17,AP$18,$X281))</f>
        <v/>
      </c>
      <c r="AQ281" s="13">
        <f>IF(_epmOfflineCondition_,0,EPMSaveData(AM281,,AM$29,AM$25,AM$26,$C$6,AM$32,$AA$37,AQ$14,AQ$15,AQ$16,AQ$17,AQ$18,$X281))</f>
        <v/>
      </c>
      <c r="AR281" s="13">
        <f>IF(_epmOfflineCondition_,0,EPMSaveDataOnly(AN281,,AN$29,AN$25,AN$26,AN$31,AN$32,$AA$37,AR$14,AR$15,AR$16,AR$17,AR$18,$X281))</f>
        <v/>
      </c>
      <c r="AS281" s="384" t="n"/>
    </row>
    <row r="282" hidden="1" ht="15.75" customHeight="1" s="1181">
      <c r="A282" s="384" t="n"/>
      <c r="B282" s="384" t="n"/>
      <c r="C282" s="384" t="n"/>
      <c r="D282" s="384" t="n"/>
      <c r="E282" s="384" t="n"/>
      <c r="F282" s="384" t="n"/>
      <c r="G282" s="384" t="n"/>
      <c r="H282" s="384" t="n"/>
      <c r="I282" s="384" t="n"/>
      <c r="J282" s="384" t="n"/>
      <c r="K282" s="384" t="n"/>
      <c r="L282" s="384" t="n"/>
      <c r="M282" s="384" t="n"/>
      <c r="N282" s="384" t="n"/>
      <c r="O282" s="384" t="n"/>
      <c r="P282" s="384" t="n"/>
      <c r="Q282" s="384" t="n"/>
      <c r="R282" s="384" t="n"/>
      <c r="S282" s="384" t="n"/>
      <c r="T282" s="384" t="n"/>
      <c r="U282" s="384" t="n"/>
      <c r="V282" s="384" t="n"/>
      <c r="W282" s="384" t="n"/>
      <c r="X282" s="645">
        <f>IF(_epmOfflineCondition_,"I_E100280",EPMOlapMemberO("[C_INTERCO].[PARENTH1].[I_E100280]","","I_E100280","","000"))</f>
        <v/>
      </c>
      <c r="Y282" s="870">
        <f>IF(_epmOfflineCondition_,"海南金泰旅业开发有限公司-2025年1月注销",EPMMemberDesc(X282))</f>
        <v/>
      </c>
      <c r="Z282" s="1302" t="n"/>
      <c r="AA282" s="1302" t="n"/>
      <c r="AB282" s="858" t="n"/>
      <c r="AC282" s="1302" t="n"/>
      <c r="AD282" s="1302" t="n"/>
      <c r="AE282" s="1302" t="inlineStr"/>
      <c r="AF282" s="1302" t="inlineStr"/>
      <c r="AG282" s="1302" t="inlineStr"/>
      <c r="AH282" s="1302" t="n"/>
      <c r="AI282" s="1302" t="n"/>
      <c r="AJ282" s="1302" t="n"/>
      <c r="AK282" s="1302">
        <f>AI282-AJ282</f>
        <v/>
      </c>
      <c r="AL282" s="858" t="n"/>
      <c r="AM282" s="1297" t="inlineStr"/>
      <c r="AN282" s="1298" t="n"/>
      <c r="AO282" s="13">
        <f>IF(_epmOfflineCondition_,0,EPMSaveDataOnly(AB282,,AB$29,AB$25,AB$26,AB$31,AB$32,$AA$37,AO$14,AO$15,AO$16,AO$17,AO$18,X282))</f>
        <v/>
      </c>
      <c r="AP282" s="13">
        <f>IF(_epmOfflineCondition_,0,EPMSaveDataOnly(AL282,,AL$29,AL$25,AL$26,AL$31,AL$32,$AA$37,AP$14,AP$15,AP$16,AP$17,AP$18,$X282))</f>
        <v/>
      </c>
      <c r="AQ282" s="13">
        <f>IF(_epmOfflineCondition_,0,EPMSaveData(AM282,,AM$29,AM$25,AM$26,$C$6,AM$32,$AA$37,AQ$14,AQ$15,AQ$16,AQ$17,AQ$18,$X282))</f>
        <v/>
      </c>
      <c r="AR282" s="13">
        <f>IF(_epmOfflineCondition_,0,EPMSaveDataOnly(AN282,,AN$29,AN$25,AN$26,AN$31,AN$32,$AA$37,AR$14,AR$15,AR$16,AR$17,AR$18,$X282))</f>
        <v/>
      </c>
      <c r="AS282" s="384" t="n"/>
    </row>
    <row r="283" hidden="1" ht="15.75" customHeight="1" s="1181">
      <c r="A283" s="384" t="n"/>
      <c r="B283" s="384" t="n"/>
      <c r="C283" s="384" t="n"/>
      <c r="D283" s="384" t="n"/>
      <c r="E283" s="384" t="n"/>
      <c r="F283" s="384" t="n"/>
      <c r="G283" s="384" t="n"/>
      <c r="H283" s="384" t="n"/>
      <c r="I283" s="384" t="n"/>
      <c r="J283" s="384" t="n"/>
      <c r="K283" s="384" t="n"/>
      <c r="L283" s="384" t="n"/>
      <c r="M283" s="384" t="n"/>
      <c r="N283" s="384" t="n"/>
      <c r="O283" s="384" t="n"/>
      <c r="P283" s="384" t="n"/>
      <c r="Q283" s="384" t="n"/>
      <c r="R283" s="384" t="n"/>
      <c r="S283" s="384" t="n"/>
      <c r="T283" s="384" t="n"/>
      <c r="U283" s="384" t="n"/>
      <c r="V283" s="384" t="n"/>
      <c r="W283" s="384" t="n"/>
      <c r="X283" s="645">
        <f>IF(_epmOfflineCondition_,"I_E100281",EPMOlapMemberO("[C_INTERCO].[PARENTH1].[I_E100281]","","I_E100281","","000"))</f>
        <v/>
      </c>
      <c r="Y283" s="870">
        <f>IF(_epmOfflineCondition_,"北京京煤化工有限公司",EPMMemberDesc(X283))</f>
        <v/>
      </c>
      <c r="Z283" s="1302" t="n"/>
      <c r="AA283" s="1302" t="n"/>
      <c r="AB283" s="858" t="n"/>
      <c r="AC283" s="1302" t="n"/>
      <c r="AD283" s="1302" t="n"/>
      <c r="AE283" s="1302" t="inlineStr"/>
      <c r="AF283" s="1302" t="inlineStr"/>
      <c r="AG283" s="1302" t="inlineStr"/>
      <c r="AH283" s="1302" t="n"/>
      <c r="AI283" s="1302" t="n"/>
      <c r="AJ283" s="1302" t="n"/>
      <c r="AK283" s="1302">
        <f>AI283-AJ283</f>
        <v/>
      </c>
      <c r="AL283" s="858" t="n"/>
      <c r="AM283" s="1297" t="inlineStr"/>
      <c r="AN283" s="1298" t="n"/>
      <c r="AO283" s="13">
        <f>IF(_epmOfflineCondition_,0,EPMSaveDataOnly(AB283,,AB$29,AB$25,AB$26,AB$31,AB$32,$AA$37,AO$14,AO$15,AO$16,AO$17,AO$18,X283))</f>
        <v/>
      </c>
      <c r="AP283" s="13">
        <f>IF(_epmOfflineCondition_,0,EPMSaveDataOnly(AL283,,AL$29,AL$25,AL$26,AL$31,AL$32,$AA$37,AP$14,AP$15,AP$16,AP$17,AP$18,$X283))</f>
        <v/>
      </c>
      <c r="AQ283" s="13">
        <f>IF(_epmOfflineCondition_,0,EPMSaveData(AM283,,AM$29,AM$25,AM$26,$C$6,AM$32,$AA$37,AQ$14,AQ$15,AQ$16,AQ$17,AQ$18,$X283))</f>
        <v/>
      </c>
      <c r="AR283" s="13">
        <f>IF(_epmOfflineCondition_,0,EPMSaveDataOnly(AN283,,AN$29,AN$25,AN$26,AN$31,AN$32,$AA$37,AR$14,AR$15,AR$16,AR$17,AR$18,$X283))</f>
        <v/>
      </c>
      <c r="AS283" s="384" t="n"/>
    </row>
    <row r="284" hidden="1" ht="15.75" customHeight="1" s="1181">
      <c r="A284" s="384" t="n"/>
      <c r="B284" s="384" t="n"/>
      <c r="C284" s="384" t="n"/>
      <c r="D284" s="384" t="n"/>
      <c r="E284" s="384" t="n"/>
      <c r="F284" s="384" t="n"/>
      <c r="G284" s="384" t="n"/>
      <c r="H284" s="384" t="n"/>
      <c r="I284" s="384" t="n"/>
      <c r="J284" s="384" t="n"/>
      <c r="K284" s="384" t="n"/>
      <c r="L284" s="384" t="n"/>
      <c r="M284" s="384" t="n"/>
      <c r="N284" s="384" t="n"/>
      <c r="O284" s="384" t="n"/>
      <c r="P284" s="384" t="n"/>
      <c r="Q284" s="384" t="n"/>
      <c r="R284" s="384" t="n"/>
      <c r="S284" s="384" t="n"/>
      <c r="T284" s="384" t="n"/>
      <c r="U284" s="384" t="n"/>
      <c r="V284" s="384" t="n"/>
      <c r="W284" s="384" t="n"/>
      <c r="X284" s="645">
        <f>IF(_epmOfflineCondition_,"I_E100288",EPMOlapMemberO("[C_INTERCO].[PARENTH1].[I_E100288]","","I_E100288","","000"))</f>
        <v/>
      </c>
      <c r="Y284" s="870">
        <f>IF(_epmOfflineCondition_,"北京科技高级技术学校",EPMMemberDesc(X284))</f>
        <v/>
      </c>
      <c r="Z284" s="1302" t="n"/>
      <c r="AA284" s="1302" t="n"/>
      <c r="AB284" s="858" t="n"/>
      <c r="AC284" s="1302" t="n"/>
      <c r="AD284" s="1302" t="n"/>
      <c r="AE284" s="1302" t="inlineStr"/>
      <c r="AF284" s="1302" t="inlineStr"/>
      <c r="AG284" s="1302" t="inlineStr"/>
      <c r="AH284" s="1302" t="n"/>
      <c r="AI284" s="1302" t="n"/>
      <c r="AJ284" s="1302" t="n"/>
      <c r="AK284" s="1302">
        <f>AI284-AJ284</f>
        <v/>
      </c>
      <c r="AL284" s="858" t="n"/>
      <c r="AM284" s="1297" t="inlineStr"/>
      <c r="AN284" s="1298" t="n"/>
      <c r="AO284" s="13">
        <f>IF(_epmOfflineCondition_,0,EPMSaveDataOnly(AB284,,AB$29,AB$25,AB$26,AB$31,AB$32,$AA$37,AO$14,AO$15,AO$16,AO$17,AO$18,X284))</f>
        <v/>
      </c>
      <c r="AP284" s="13">
        <f>IF(_epmOfflineCondition_,0,EPMSaveDataOnly(AL284,,AL$29,AL$25,AL$26,AL$31,AL$32,$AA$37,AP$14,AP$15,AP$16,AP$17,AP$18,$X284))</f>
        <v/>
      </c>
      <c r="AQ284" s="13">
        <f>IF(_epmOfflineCondition_,0,EPMSaveData(AM284,,AM$29,AM$25,AM$26,$C$6,AM$32,$AA$37,AQ$14,AQ$15,AQ$16,AQ$17,AQ$18,$X284))</f>
        <v/>
      </c>
      <c r="AR284" s="13">
        <f>IF(_epmOfflineCondition_,0,EPMSaveDataOnly(AN284,,AN$29,AN$25,AN$26,AN$31,AN$32,$AA$37,AR$14,AR$15,AR$16,AR$17,AR$18,$X284))</f>
        <v/>
      </c>
      <c r="AS284" s="384" t="n"/>
    </row>
    <row r="285" hidden="1" ht="15.75" customHeight="1" s="1181">
      <c r="A285" s="384" t="n"/>
      <c r="B285" s="384" t="n"/>
      <c r="C285" s="384" t="n"/>
      <c r="D285" s="384" t="n"/>
      <c r="E285" s="384" t="n"/>
      <c r="F285" s="384" t="n"/>
      <c r="G285" s="384" t="n"/>
      <c r="H285" s="384" t="n"/>
      <c r="I285" s="384" t="n"/>
      <c r="J285" s="384" t="n"/>
      <c r="K285" s="384" t="n"/>
      <c r="L285" s="384" t="n"/>
      <c r="M285" s="384" t="n"/>
      <c r="N285" s="384" t="n"/>
      <c r="O285" s="384" t="n"/>
      <c r="P285" s="384" t="n"/>
      <c r="Q285" s="384" t="n"/>
      <c r="R285" s="384" t="n"/>
      <c r="S285" s="384" t="n"/>
      <c r="T285" s="384" t="n"/>
      <c r="U285" s="384" t="n"/>
      <c r="V285" s="384" t="n"/>
      <c r="W285" s="384" t="n"/>
      <c r="X285" s="645">
        <f>IF(_epmOfflineCondition_,"I_E100289",EPMOlapMemberO("[C_INTERCO].[PARENTH1].[I_E100289]","","I_E100289","","000"))</f>
        <v/>
      </c>
      <c r="Y285" s="870">
        <f>IF(_epmOfflineCondition_,"北京京煤集团有限责任公司教育培训中心",EPMMemberDesc(X285))</f>
        <v/>
      </c>
      <c r="Z285" s="1302" t="n"/>
      <c r="AA285" s="1302" t="n"/>
      <c r="AB285" s="858" t="n"/>
      <c r="AC285" s="1302" t="n"/>
      <c r="AD285" s="1302" t="n"/>
      <c r="AE285" s="1302" t="inlineStr"/>
      <c r="AF285" s="1302" t="inlineStr"/>
      <c r="AG285" s="1302" t="inlineStr"/>
      <c r="AH285" s="1302" t="n"/>
      <c r="AI285" s="1302" t="n"/>
      <c r="AJ285" s="1302" t="n"/>
      <c r="AK285" s="1302">
        <f>AI285-AJ285</f>
        <v/>
      </c>
      <c r="AL285" s="858" t="n"/>
      <c r="AM285" s="1297" t="inlineStr"/>
      <c r="AN285" s="1298" t="n"/>
      <c r="AO285" s="13">
        <f>IF(_epmOfflineCondition_,0,EPMSaveDataOnly(AB285,,AB$29,AB$25,AB$26,AB$31,AB$32,$AA$37,AO$14,AO$15,AO$16,AO$17,AO$18,X285))</f>
        <v/>
      </c>
      <c r="AP285" s="13">
        <f>IF(_epmOfflineCondition_,0,EPMSaveDataOnly(AL285,,AL$29,AL$25,AL$26,AL$31,AL$32,$AA$37,AP$14,AP$15,AP$16,AP$17,AP$18,$X285))</f>
        <v/>
      </c>
      <c r="AQ285" s="13">
        <f>IF(_epmOfflineCondition_,0,EPMSaveData(AM285,,AM$29,AM$25,AM$26,$C$6,AM$32,$AA$37,AQ$14,AQ$15,AQ$16,AQ$17,AQ$18,$X285))</f>
        <v/>
      </c>
      <c r="AR285" s="13">
        <f>IF(_epmOfflineCondition_,0,EPMSaveDataOnly(AN285,,AN$29,AN$25,AN$26,AN$31,AN$32,$AA$37,AR$14,AR$15,AR$16,AR$17,AR$18,$X285))</f>
        <v/>
      </c>
      <c r="AS285" s="384" t="n"/>
    </row>
    <row r="286" hidden="1" ht="15.75" customHeight="1" s="1181">
      <c r="A286" s="384" t="n"/>
      <c r="B286" s="384" t="n"/>
      <c r="C286" s="384" t="n"/>
      <c r="D286" s="384" t="n"/>
      <c r="E286" s="384" t="n"/>
      <c r="F286" s="384" t="n"/>
      <c r="G286" s="384" t="n"/>
      <c r="H286" s="384" t="n"/>
      <c r="I286" s="384" t="n"/>
      <c r="J286" s="384" t="n"/>
      <c r="K286" s="384" t="n"/>
      <c r="L286" s="384" t="n"/>
      <c r="M286" s="384" t="n"/>
      <c r="N286" s="384" t="n"/>
      <c r="O286" s="384" t="n"/>
      <c r="P286" s="384" t="n"/>
      <c r="Q286" s="384" t="n"/>
      <c r="R286" s="384" t="n"/>
      <c r="S286" s="384" t="n"/>
      <c r="T286" s="384" t="n"/>
      <c r="U286" s="384" t="n"/>
      <c r="V286" s="384" t="n"/>
      <c r="W286" s="384" t="n"/>
      <c r="X286" s="645">
        <f>IF(_epmOfflineCondition_,"I_E100290",EPMOlapMemberO("[C_INTERCO].[PARENTH1].[I_E100290]","","I_E100290","","000"))</f>
        <v/>
      </c>
      <c r="Y286" s="870">
        <f>IF(_epmOfflineCondition_,"北京市第四十九职业技能鉴定所",EPMMemberDesc(X286))</f>
        <v/>
      </c>
      <c r="Z286" s="1302" t="n"/>
      <c r="AA286" s="1302" t="n"/>
      <c r="AB286" s="858" t="n"/>
      <c r="AC286" s="1302" t="n"/>
      <c r="AD286" s="1302" t="n"/>
      <c r="AE286" s="1302" t="inlineStr"/>
      <c r="AF286" s="1302" t="inlineStr"/>
      <c r="AG286" s="1302" t="inlineStr"/>
      <c r="AH286" s="1302" t="n"/>
      <c r="AI286" s="1302" t="n"/>
      <c r="AJ286" s="1302" t="n"/>
      <c r="AK286" s="1302">
        <f>AI286-AJ286</f>
        <v/>
      </c>
      <c r="AL286" s="858" t="n"/>
      <c r="AM286" s="1297" t="inlineStr"/>
      <c r="AN286" s="1298" t="n"/>
      <c r="AO286" s="13">
        <f>IF(_epmOfflineCondition_,0,EPMSaveDataOnly(AB286,,AB$29,AB$25,AB$26,AB$31,AB$32,$AA$37,AO$14,AO$15,AO$16,AO$17,AO$18,X286))</f>
        <v/>
      </c>
      <c r="AP286" s="13">
        <f>IF(_epmOfflineCondition_,0,EPMSaveDataOnly(AL286,,AL$29,AL$25,AL$26,AL$31,AL$32,$AA$37,AP$14,AP$15,AP$16,AP$17,AP$18,$X286))</f>
        <v/>
      </c>
      <c r="AQ286" s="13">
        <f>IF(_epmOfflineCondition_,0,EPMSaveData(AM286,,AM$29,AM$25,AM$26,$C$6,AM$32,$AA$37,AQ$14,AQ$15,AQ$16,AQ$17,AQ$18,$X286))</f>
        <v/>
      </c>
      <c r="AR286" s="13">
        <f>IF(_epmOfflineCondition_,0,EPMSaveDataOnly(AN286,,AN$29,AN$25,AN$26,AN$31,AN$32,$AA$37,AR$14,AR$15,AR$16,AR$17,AR$18,$X286))</f>
        <v/>
      </c>
      <c r="AS286" s="384" t="n"/>
    </row>
    <row r="287" hidden="1" ht="15.75" customHeight="1" s="1181">
      <c r="A287" s="384" t="n"/>
      <c r="B287" s="384" t="n"/>
      <c r="C287" s="384" t="n"/>
      <c r="D287" s="384" t="n"/>
      <c r="E287" s="384" t="n"/>
      <c r="F287" s="384" t="n"/>
      <c r="G287" s="384" t="n"/>
      <c r="H287" s="384" t="n"/>
      <c r="I287" s="384" t="n"/>
      <c r="J287" s="384" t="n"/>
      <c r="K287" s="384" t="n"/>
      <c r="L287" s="384" t="n"/>
      <c r="M287" s="384" t="n"/>
      <c r="N287" s="384" t="n"/>
      <c r="O287" s="384" t="n"/>
      <c r="P287" s="384" t="n"/>
      <c r="Q287" s="384" t="n"/>
      <c r="R287" s="384" t="n"/>
      <c r="S287" s="384" t="n"/>
      <c r="T287" s="384" t="n"/>
      <c r="U287" s="384" t="n"/>
      <c r="V287" s="384" t="n"/>
      <c r="W287" s="384" t="n"/>
      <c r="X287" s="645">
        <f>IF(_epmOfflineCondition_,"I_E100291",EPMOlapMemberO("[C_INTERCO].[PARENTH1].[I_E100291]","","I_E100291","","000"))</f>
        <v/>
      </c>
      <c r="Y287" s="870">
        <f>IF(_epmOfflineCondition_,"北京市门头沟区科技职业技能培训学校",EPMMemberDesc(X287))</f>
        <v/>
      </c>
      <c r="Z287" s="1302" t="n"/>
      <c r="AA287" s="1302" t="n"/>
      <c r="AB287" s="858" t="n"/>
      <c r="AC287" s="1302" t="n"/>
      <c r="AD287" s="1302" t="n"/>
      <c r="AE287" s="1302" t="inlineStr"/>
      <c r="AF287" s="1302" t="inlineStr"/>
      <c r="AG287" s="1302" t="inlineStr"/>
      <c r="AH287" s="1302" t="n"/>
      <c r="AI287" s="1302" t="n"/>
      <c r="AJ287" s="1302" t="n"/>
      <c r="AK287" s="1302">
        <f>AI287-AJ287</f>
        <v/>
      </c>
      <c r="AL287" s="858" t="n"/>
      <c r="AM287" s="1297" t="inlineStr"/>
      <c r="AN287" s="1298" t="n"/>
      <c r="AO287" s="13">
        <f>IF(_epmOfflineCondition_,0,EPMSaveDataOnly(AB287,,AB$29,AB$25,AB$26,AB$31,AB$32,$AA$37,AO$14,AO$15,AO$16,AO$17,AO$18,X287))</f>
        <v/>
      </c>
      <c r="AP287" s="13">
        <f>IF(_epmOfflineCondition_,0,EPMSaveDataOnly(AL287,,AL$29,AL$25,AL$26,AL$31,AL$32,$AA$37,AP$14,AP$15,AP$16,AP$17,AP$18,$X287))</f>
        <v/>
      </c>
      <c r="AQ287" s="13">
        <f>IF(_epmOfflineCondition_,0,EPMSaveData(AM287,,AM$29,AM$25,AM$26,$C$6,AM$32,$AA$37,AQ$14,AQ$15,AQ$16,AQ$17,AQ$18,$X287))</f>
        <v/>
      </c>
      <c r="AR287" s="13">
        <f>IF(_epmOfflineCondition_,0,EPMSaveDataOnly(AN287,,AN$29,AN$25,AN$26,AN$31,AN$32,$AA$37,AR$14,AR$15,AR$16,AR$17,AR$18,$X287))</f>
        <v/>
      </c>
      <c r="AS287" s="384" t="n"/>
    </row>
    <row r="288" hidden="1" ht="15.75" customHeight="1" s="1181">
      <c r="A288" s="384" t="n"/>
      <c r="B288" s="384" t="n"/>
      <c r="C288" s="384" t="n"/>
      <c r="D288" s="384" t="n"/>
      <c r="E288" s="384" t="n"/>
      <c r="F288" s="384" t="n"/>
      <c r="G288" s="384" t="n"/>
      <c r="H288" s="384" t="n"/>
      <c r="I288" s="384" t="n"/>
      <c r="J288" s="384" t="n"/>
      <c r="K288" s="384" t="n"/>
      <c r="L288" s="384" t="n"/>
      <c r="M288" s="384" t="n"/>
      <c r="N288" s="384" t="n"/>
      <c r="O288" s="384" t="n"/>
      <c r="P288" s="384" t="n"/>
      <c r="Q288" s="384" t="n"/>
      <c r="R288" s="384" t="n"/>
      <c r="S288" s="384" t="n"/>
      <c r="T288" s="384" t="n"/>
      <c r="U288" s="384" t="n"/>
      <c r="V288" s="384" t="n"/>
      <c r="W288" s="384" t="n"/>
      <c r="X288" s="645">
        <f>IF(_epmOfflineCondition_,"I_E100293",EPMOlapMemberO("[C_INTERCO].[PARENTH1].[I_E100293]","","I_E100293","","000"))</f>
        <v/>
      </c>
      <c r="Y288" s="870">
        <f>IF(_epmOfflineCondition_,"北京京能酒店管理有限公司",EPMMemberDesc(X288))</f>
        <v/>
      </c>
      <c r="Z288" s="1302" t="n"/>
      <c r="AA288" s="1302" t="n"/>
      <c r="AB288" s="858" t="n"/>
      <c r="AC288" s="1302" t="n"/>
      <c r="AD288" s="1302" t="n"/>
      <c r="AE288" s="1302" t="inlineStr"/>
      <c r="AF288" s="1302" t="inlineStr"/>
      <c r="AG288" s="1302" t="inlineStr"/>
      <c r="AH288" s="1302" t="n"/>
      <c r="AI288" s="1302" t="n"/>
      <c r="AJ288" s="1302" t="n"/>
      <c r="AK288" s="1302">
        <f>AI288-AJ288</f>
        <v/>
      </c>
      <c r="AL288" s="858" t="n"/>
      <c r="AM288" s="1297" t="inlineStr"/>
      <c r="AN288" s="1298" t="n"/>
      <c r="AO288" s="13">
        <f>IF(_epmOfflineCondition_,0,EPMSaveDataOnly(AB288,,AB$29,AB$25,AB$26,AB$31,AB$32,$AA$37,AO$14,AO$15,AO$16,AO$17,AO$18,X288))</f>
        <v/>
      </c>
      <c r="AP288" s="13">
        <f>IF(_epmOfflineCondition_,0,EPMSaveDataOnly(AL288,,AL$29,AL$25,AL$26,AL$31,AL$32,$AA$37,AP$14,AP$15,AP$16,AP$17,AP$18,$X288))</f>
        <v/>
      </c>
      <c r="AQ288" s="13">
        <f>IF(_epmOfflineCondition_,0,EPMSaveData(AM288,,AM$29,AM$25,AM$26,$C$6,AM$32,$AA$37,AQ$14,AQ$15,AQ$16,AQ$17,AQ$18,$X288))</f>
        <v/>
      </c>
      <c r="AR288" s="13">
        <f>IF(_epmOfflineCondition_,0,EPMSaveDataOnly(AN288,,AN$29,AN$25,AN$26,AN$31,AN$32,$AA$37,AR$14,AR$15,AR$16,AR$17,AR$18,$X288))</f>
        <v/>
      </c>
      <c r="AS288" s="384" t="n"/>
    </row>
    <row r="289" hidden="1" ht="15.75" customHeight="1" s="1181">
      <c r="A289" s="384" t="n"/>
      <c r="B289" s="384" t="n"/>
      <c r="C289" s="384" t="n"/>
      <c r="D289" s="384" t="n"/>
      <c r="E289" s="384" t="n"/>
      <c r="F289" s="384" t="n"/>
      <c r="G289" s="384" t="n"/>
      <c r="H289" s="384" t="n"/>
      <c r="I289" s="384" t="n"/>
      <c r="J289" s="384" t="n"/>
      <c r="K289" s="384" t="n"/>
      <c r="L289" s="384" t="n"/>
      <c r="M289" s="384" t="n"/>
      <c r="N289" s="384" t="n"/>
      <c r="O289" s="384" t="n"/>
      <c r="P289" s="384" t="n"/>
      <c r="Q289" s="384" t="n"/>
      <c r="R289" s="384" t="n"/>
      <c r="S289" s="384" t="n"/>
      <c r="T289" s="384" t="n"/>
      <c r="U289" s="384" t="n"/>
      <c r="V289" s="384" t="n"/>
      <c r="W289" s="384" t="n"/>
      <c r="X289" s="645">
        <f>IF(_epmOfflineCondition_,"I_E100294",EPMOlapMemberO("[C_INTERCO].[PARENTH1].[I_E100294]","","I_E100294","","000"))</f>
        <v/>
      </c>
      <c r="Y289" s="870">
        <f>IF(_epmOfflineCondition_,"北京金泰国际会展有限公司",EPMMemberDesc(X289))</f>
        <v/>
      </c>
      <c r="Z289" s="1302" t="n"/>
      <c r="AA289" s="1302" t="n"/>
      <c r="AB289" s="858" t="n"/>
      <c r="AC289" s="1302" t="n"/>
      <c r="AD289" s="1302" t="n"/>
      <c r="AE289" s="1302" t="inlineStr"/>
      <c r="AF289" s="1302" t="inlineStr"/>
      <c r="AG289" s="1302" t="inlineStr"/>
      <c r="AH289" s="1302" t="n"/>
      <c r="AI289" s="1302" t="n"/>
      <c r="AJ289" s="1302" t="n"/>
      <c r="AK289" s="1302">
        <f>AI289-AJ289</f>
        <v/>
      </c>
      <c r="AL289" s="858" t="n"/>
      <c r="AM289" s="1297" t="inlineStr"/>
      <c r="AN289" s="1298" t="n"/>
      <c r="AO289" s="13">
        <f>IF(_epmOfflineCondition_,0,EPMSaveDataOnly(AB289,,AB$29,AB$25,AB$26,AB$31,AB$32,$AA$37,AO$14,AO$15,AO$16,AO$17,AO$18,X289))</f>
        <v/>
      </c>
      <c r="AP289" s="13">
        <f>IF(_epmOfflineCondition_,0,EPMSaveDataOnly(AL289,,AL$29,AL$25,AL$26,AL$31,AL$32,$AA$37,AP$14,AP$15,AP$16,AP$17,AP$18,$X289))</f>
        <v/>
      </c>
      <c r="AQ289" s="13">
        <f>IF(_epmOfflineCondition_,0,EPMSaveData(AM289,,AM$29,AM$25,AM$26,$C$6,AM$32,$AA$37,AQ$14,AQ$15,AQ$16,AQ$17,AQ$18,$X289))</f>
        <v/>
      </c>
      <c r="AR289" s="13">
        <f>IF(_epmOfflineCondition_,0,EPMSaveDataOnly(AN289,,AN$29,AN$25,AN$26,AN$31,AN$32,$AA$37,AR$14,AR$15,AR$16,AR$17,AR$18,$X289))</f>
        <v/>
      </c>
      <c r="AS289" s="384" t="n"/>
    </row>
    <row r="290" hidden="1" ht="15.75" customHeight="1" s="1181">
      <c r="A290" s="384" t="n"/>
      <c r="B290" s="384" t="n"/>
      <c r="C290" s="384" t="n"/>
      <c r="D290" s="384" t="n"/>
      <c r="E290" s="384" t="n"/>
      <c r="F290" s="384" t="n"/>
      <c r="G290" s="384" t="n"/>
      <c r="H290" s="384" t="n"/>
      <c r="I290" s="384" t="n"/>
      <c r="J290" s="384" t="n"/>
      <c r="K290" s="384" t="n"/>
      <c r="L290" s="384" t="n"/>
      <c r="M290" s="384" t="n"/>
      <c r="N290" s="384" t="n"/>
      <c r="O290" s="384" t="n"/>
      <c r="P290" s="384" t="n"/>
      <c r="Q290" s="384" t="n"/>
      <c r="R290" s="384" t="n"/>
      <c r="S290" s="384" t="n"/>
      <c r="T290" s="384" t="n"/>
      <c r="U290" s="384" t="n"/>
      <c r="V290" s="384" t="n"/>
      <c r="W290" s="384" t="n"/>
      <c r="X290" s="645">
        <f>IF(_epmOfflineCondition_,"I_E100295",EPMOlapMemberO("[C_INTERCO].[PARENTH1].[I_E100295]","","I_E100295","","000"))</f>
        <v/>
      </c>
      <c r="Y290" s="870">
        <f>IF(_epmOfflineCondition_,"北京京能房产租赁经营有限责任公司海博分公司",EPMMemberDesc(X290))</f>
        <v/>
      </c>
      <c r="Z290" s="1302" t="n"/>
      <c r="AA290" s="1302" t="n"/>
      <c r="AB290" s="858" t="n"/>
      <c r="AC290" s="1302" t="n"/>
      <c r="AD290" s="1302" t="n"/>
      <c r="AE290" s="1302" t="inlineStr"/>
      <c r="AF290" s="1302" t="inlineStr"/>
      <c r="AG290" s="1302" t="inlineStr"/>
      <c r="AH290" s="1302" t="n"/>
      <c r="AI290" s="1302" t="n"/>
      <c r="AJ290" s="1302" t="n"/>
      <c r="AK290" s="1302">
        <f>AI290-AJ290</f>
        <v/>
      </c>
      <c r="AL290" s="858" t="n"/>
      <c r="AM290" s="1297" t="inlineStr"/>
      <c r="AN290" s="1298" t="n"/>
      <c r="AO290" s="13">
        <f>IF(_epmOfflineCondition_,0,EPMSaveDataOnly(AB290,,AB$29,AB$25,AB$26,AB$31,AB$32,$AA$37,AO$14,AO$15,AO$16,AO$17,AO$18,X290))</f>
        <v/>
      </c>
      <c r="AP290" s="13">
        <f>IF(_epmOfflineCondition_,0,EPMSaveDataOnly(AL290,,AL$29,AL$25,AL$26,AL$31,AL$32,$AA$37,AP$14,AP$15,AP$16,AP$17,AP$18,$X290))</f>
        <v/>
      </c>
      <c r="AQ290" s="13">
        <f>IF(_epmOfflineCondition_,0,EPMSaveData(AM290,,AM$29,AM$25,AM$26,$C$6,AM$32,$AA$37,AQ$14,AQ$15,AQ$16,AQ$17,AQ$18,$X290))</f>
        <v/>
      </c>
      <c r="AR290" s="13">
        <f>IF(_epmOfflineCondition_,0,EPMSaveDataOnly(AN290,,AN$29,AN$25,AN$26,AN$31,AN$32,$AA$37,AR$14,AR$15,AR$16,AR$17,AR$18,$X290))</f>
        <v/>
      </c>
      <c r="AS290" s="384" t="n"/>
    </row>
    <row r="291" hidden="1" ht="15.75" customHeight="1" s="1181">
      <c r="A291" s="384" t="n"/>
      <c r="B291" s="384" t="n"/>
      <c r="C291" s="384" t="n"/>
      <c r="D291" s="384" t="n"/>
      <c r="E291" s="384" t="n"/>
      <c r="F291" s="384" t="n"/>
      <c r="G291" s="384" t="n"/>
      <c r="H291" s="384" t="n"/>
      <c r="I291" s="384" t="n"/>
      <c r="J291" s="384" t="n"/>
      <c r="K291" s="384" t="n"/>
      <c r="L291" s="384" t="n"/>
      <c r="M291" s="384" t="n"/>
      <c r="N291" s="384" t="n"/>
      <c r="O291" s="384" t="n"/>
      <c r="P291" s="384" t="n"/>
      <c r="Q291" s="384" t="n"/>
      <c r="R291" s="384" t="n"/>
      <c r="S291" s="384" t="n"/>
      <c r="T291" s="384" t="n"/>
      <c r="U291" s="384" t="n"/>
      <c r="V291" s="384" t="n"/>
      <c r="W291" s="384" t="n"/>
      <c r="X291" s="645">
        <f>IF(_epmOfflineCondition_,"I_E100296",EPMOlapMemberO("[C_INTERCO].[PARENTH1].[I_E100296]","","I_E100296","","000"))</f>
        <v/>
      </c>
      <c r="Y291" s="870">
        <f>IF(_epmOfflineCondition_,"北京金泰之家宾馆有限公司",EPMMemberDesc(X291))</f>
        <v/>
      </c>
      <c r="Z291" s="1302" t="n"/>
      <c r="AA291" s="1302" t="n"/>
      <c r="AB291" s="858" t="n"/>
      <c r="AC291" s="1302" t="n"/>
      <c r="AD291" s="1302" t="n"/>
      <c r="AE291" s="1302" t="inlineStr"/>
      <c r="AF291" s="1302" t="inlineStr"/>
      <c r="AG291" s="1302" t="inlineStr"/>
      <c r="AH291" s="1302" t="n"/>
      <c r="AI291" s="1302" t="n"/>
      <c r="AJ291" s="1302" t="n"/>
      <c r="AK291" s="1302">
        <f>AI291-AJ291</f>
        <v/>
      </c>
      <c r="AL291" s="858" t="n"/>
      <c r="AM291" s="1297" t="inlineStr"/>
      <c r="AN291" s="1298" t="n"/>
      <c r="AO291" s="13">
        <f>IF(_epmOfflineCondition_,0,EPMSaveDataOnly(AB291,,AB$29,AB$25,AB$26,AB$31,AB$32,$AA$37,AO$14,AO$15,AO$16,AO$17,AO$18,X291))</f>
        <v/>
      </c>
      <c r="AP291" s="13">
        <f>IF(_epmOfflineCondition_,0,EPMSaveDataOnly(AL291,,AL$29,AL$25,AL$26,AL$31,AL$32,$AA$37,AP$14,AP$15,AP$16,AP$17,AP$18,$X291))</f>
        <v/>
      </c>
      <c r="AQ291" s="13">
        <f>IF(_epmOfflineCondition_,0,EPMSaveData(AM291,,AM$29,AM$25,AM$26,$C$6,AM$32,$AA$37,AQ$14,AQ$15,AQ$16,AQ$17,AQ$18,$X291))</f>
        <v/>
      </c>
      <c r="AR291" s="13">
        <f>IF(_epmOfflineCondition_,0,EPMSaveDataOnly(AN291,,AN$29,AN$25,AN$26,AN$31,AN$32,$AA$37,AR$14,AR$15,AR$16,AR$17,AR$18,$X291))</f>
        <v/>
      </c>
      <c r="AS291" s="384" t="n"/>
    </row>
    <row r="292" hidden="1" ht="15.75" customHeight="1" s="1181">
      <c r="A292" s="384" t="n"/>
      <c r="B292" s="384" t="n"/>
      <c r="C292" s="384" t="n"/>
      <c r="D292" s="384" t="n"/>
      <c r="E292" s="384" t="n"/>
      <c r="F292" s="384" t="n"/>
      <c r="G292" s="384" t="n"/>
      <c r="H292" s="384" t="n"/>
      <c r="I292" s="384" t="n"/>
      <c r="J292" s="384" t="n"/>
      <c r="K292" s="384" t="n"/>
      <c r="L292" s="384" t="n"/>
      <c r="M292" s="384" t="n"/>
      <c r="N292" s="384" t="n"/>
      <c r="O292" s="384" t="n"/>
      <c r="P292" s="384" t="n"/>
      <c r="Q292" s="384" t="n"/>
      <c r="R292" s="384" t="n"/>
      <c r="S292" s="384" t="n"/>
      <c r="T292" s="384" t="n"/>
      <c r="U292" s="384" t="n"/>
      <c r="V292" s="384" t="n"/>
      <c r="W292" s="384" t="n"/>
      <c r="X292" s="645">
        <f>IF(_epmOfflineCondition_,"I_E100297",EPMOlapMemberO("[C_INTERCO].[PARENTH1].[I_E100297]","","I_E100297","","000"))</f>
        <v/>
      </c>
      <c r="Y292" s="870">
        <f>IF(_epmOfflineCondition_,"北京金泰之家宾馆有限公司北京站店",EPMMemberDesc(X292))</f>
        <v/>
      </c>
      <c r="Z292" s="1302" t="n"/>
      <c r="AA292" s="1302" t="n"/>
      <c r="AB292" s="858" t="n"/>
      <c r="AC292" s="1302" t="n"/>
      <c r="AD292" s="1302" t="n"/>
      <c r="AE292" s="1302" t="inlineStr"/>
      <c r="AF292" s="1302" t="inlineStr"/>
      <c r="AG292" s="1302" t="inlineStr"/>
      <c r="AH292" s="1302" t="n"/>
      <c r="AI292" s="1302" t="n"/>
      <c r="AJ292" s="1302" t="n"/>
      <c r="AK292" s="1302">
        <f>AI292-AJ292</f>
        <v/>
      </c>
      <c r="AL292" s="858" t="n"/>
      <c r="AM292" s="1297" t="inlineStr"/>
      <c r="AN292" s="1298" t="n"/>
      <c r="AO292" s="13">
        <f>IF(_epmOfflineCondition_,0,EPMSaveDataOnly(AB292,,AB$29,AB$25,AB$26,AB$31,AB$32,$AA$37,AO$14,AO$15,AO$16,AO$17,AO$18,X292))</f>
        <v/>
      </c>
      <c r="AP292" s="13">
        <f>IF(_epmOfflineCondition_,0,EPMSaveDataOnly(AL292,,AL$29,AL$25,AL$26,AL$31,AL$32,$AA$37,AP$14,AP$15,AP$16,AP$17,AP$18,$X292))</f>
        <v/>
      </c>
      <c r="AQ292" s="13">
        <f>IF(_epmOfflineCondition_,0,EPMSaveData(AM292,,AM$29,AM$25,AM$26,$C$6,AM$32,$AA$37,AQ$14,AQ$15,AQ$16,AQ$17,AQ$18,$X292))</f>
        <v/>
      </c>
      <c r="AR292" s="13">
        <f>IF(_epmOfflineCondition_,0,EPMSaveDataOnly(AN292,,AN$29,AN$25,AN$26,AN$31,AN$32,$AA$37,AR$14,AR$15,AR$16,AR$17,AR$18,$X292))</f>
        <v/>
      </c>
      <c r="AS292" s="384" t="n"/>
    </row>
    <row r="293" hidden="1" ht="15.75" customHeight="1" s="1181">
      <c r="A293" s="384" t="n"/>
      <c r="B293" s="384" t="n"/>
      <c r="C293" s="384" t="n"/>
      <c r="D293" s="384" t="n"/>
      <c r="E293" s="384" t="n"/>
      <c r="F293" s="384" t="n"/>
      <c r="G293" s="384" t="n"/>
      <c r="H293" s="384" t="n"/>
      <c r="I293" s="384" t="n"/>
      <c r="J293" s="384" t="n"/>
      <c r="K293" s="384" t="n"/>
      <c r="L293" s="384" t="n"/>
      <c r="M293" s="384" t="n"/>
      <c r="N293" s="384" t="n"/>
      <c r="O293" s="384" t="n"/>
      <c r="P293" s="384" t="n"/>
      <c r="Q293" s="384" t="n"/>
      <c r="R293" s="384" t="n"/>
      <c r="S293" s="384" t="n"/>
      <c r="T293" s="384" t="n"/>
      <c r="U293" s="384" t="n"/>
      <c r="V293" s="384" t="n"/>
      <c r="W293" s="384" t="n"/>
      <c r="X293" s="645">
        <f>IF(_epmOfflineCondition_,"I_E100298",EPMOlapMemberO("[C_INTERCO].[PARENTH1].[I_E100298]","","I_E100298","","000"))</f>
        <v/>
      </c>
      <c r="Y293" s="870">
        <f>IF(_epmOfflineCondition_,"北京金泰汇民出租汽车有限公司",EPMMemberDesc(X293))</f>
        <v/>
      </c>
      <c r="Z293" s="1302" t="n"/>
      <c r="AA293" s="1302" t="n"/>
      <c r="AB293" s="858" t="n"/>
      <c r="AC293" s="1302" t="n"/>
      <c r="AD293" s="1302" t="n"/>
      <c r="AE293" s="1302" t="inlineStr"/>
      <c r="AF293" s="1302" t="inlineStr"/>
      <c r="AG293" s="1302" t="inlineStr"/>
      <c r="AH293" s="1302" t="n"/>
      <c r="AI293" s="1302" t="n"/>
      <c r="AJ293" s="1302" t="n"/>
      <c r="AK293" s="1302">
        <f>AI293-AJ293</f>
        <v/>
      </c>
      <c r="AL293" s="858" t="n"/>
      <c r="AM293" s="1297" t="inlineStr"/>
      <c r="AN293" s="1298" t="n"/>
      <c r="AO293" s="13">
        <f>IF(_epmOfflineCondition_,0,EPMSaveDataOnly(AB293,,AB$29,AB$25,AB$26,AB$31,AB$32,$AA$37,AO$14,AO$15,AO$16,AO$17,AO$18,X293))</f>
        <v/>
      </c>
      <c r="AP293" s="13">
        <f>IF(_epmOfflineCondition_,0,EPMSaveDataOnly(AL293,,AL$29,AL$25,AL$26,AL$31,AL$32,$AA$37,AP$14,AP$15,AP$16,AP$17,AP$18,$X293))</f>
        <v/>
      </c>
      <c r="AQ293" s="13">
        <f>IF(_epmOfflineCondition_,0,EPMSaveData(AM293,,AM$29,AM$25,AM$26,$C$6,AM$32,$AA$37,AQ$14,AQ$15,AQ$16,AQ$17,AQ$18,$X293))</f>
        <v/>
      </c>
      <c r="AR293" s="13">
        <f>IF(_epmOfflineCondition_,0,EPMSaveDataOnly(AN293,,AN$29,AN$25,AN$26,AN$31,AN$32,$AA$37,AR$14,AR$15,AR$16,AR$17,AR$18,$X293))</f>
        <v/>
      </c>
      <c r="AS293" s="384" t="n"/>
    </row>
    <row r="294" hidden="1" ht="15.75" customHeight="1" s="1181">
      <c r="A294" s="384" t="n"/>
      <c r="B294" s="384" t="n"/>
      <c r="C294" s="384" t="n"/>
      <c r="D294" s="384" t="n"/>
      <c r="E294" s="384" t="n"/>
      <c r="F294" s="384" t="n"/>
      <c r="G294" s="384" t="n"/>
      <c r="H294" s="384" t="n"/>
      <c r="I294" s="384" t="n"/>
      <c r="J294" s="384" t="n"/>
      <c r="K294" s="384" t="n"/>
      <c r="L294" s="384" t="n"/>
      <c r="M294" s="384" t="n"/>
      <c r="N294" s="384" t="n"/>
      <c r="O294" s="384" t="n"/>
      <c r="P294" s="384" t="n"/>
      <c r="Q294" s="384" t="n"/>
      <c r="R294" s="384" t="n"/>
      <c r="S294" s="384" t="n"/>
      <c r="T294" s="384" t="n"/>
      <c r="U294" s="384" t="n"/>
      <c r="V294" s="384" t="n"/>
      <c r="W294" s="384" t="n"/>
      <c r="X294" s="645">
        <f>IF(_epmOfflineCondition_,"I_E100299",EPMOlapMemberO("[C_INTERCO].[PARENTH1].[I_E100299]","","I_E100299","","000"))</f>
        <v/>
      </c>
      <c r="Y294" s="870">
        <f>IF(_epmOfflineCondition_,"北京金泰福龙餐饮有限公司",EPMMemberDesc(X294))</f>
        <v/>
      </c>
      <c r="Z294" s="1302" t="n"/>
      <c r="AA294" s="1302" t="n"/>
      <c r="AB294" s="858" t="n"/>
      <c r="AC294" s="1302" t="n"/>
      <c r="AD294" s="1302" t="n"/>
      <c r="AE294" s="1302" t="inlineStr"/>
      <c r="AF294" s="1302" t="inlineStr"/>
      <c r="AG294" s="1302" t="inlineStr"/>
      <c r="AH294" s="1302" t="n"/>
      <c r="AI294" s="1302" t="n"/>
      <c r="AJ294" s="1302" t="n"/>
      <c r="AK294" s="1302">
        <f>AI294-AJ294</f>
        <v/>
      </c>
      <c r="AL294" s="858" t="n"/>
      <c r="AM294" s="1297" t="inlineStr"/>
      <c r="AN294" s="1298" t="n"/>
      <c r="AO294" s="13">
        <f>IF(_epmOfflineCondition_,0,EPMSaveDataOnly(AB294,,AB$29,AB$25,AB$26,AB$31,AB$32,$AA$37,AO$14,AO$15,AO$16,AO$17,AO$18,X294))</f>
        <v/>
      </c>
      <c r="AP294" s="13">
        <f>IF(_epmOfflineCondition_,0,EPMSaveDataOnly(AL294,,AL$29,AL$25,AL$26,AL$31,AL$32,$AA$37,AP$14,AP$15,AP$16,AP$17,AP$18,$X294))</f>
        <v/>
      </c>
      <c r="AQ294" s="13">
        <f>IF(_epmOfflineCondition_,0,EPMSaveData(AM294,,AM$29,AM$25,AM$26,$C$6,AM$32,$AA$37,AQ$14,AQ$15,AQ$16,AQ$17,AQ$18,$X294))</f>
        <v/>
      </c>
      <c r="AR294" s="13">
        <f>IF(_epmOfflineCondition_,0,EPMSaveDataOnly(AN294,,AN$29,AN$25,AN$26,AN$31,AN$32,$AA$37,AR$14,AR$15,AR$16,AR$17,AR$18,$X294))</f>
        <v/>
      </c>
      <c r="AS294" s="384" t="n"/>
    </row>
    <row r="295" hidden="1" ht="15.75" customHeight="1" s="1181">
      <c r="A295" s="384" t="n"/>
      <c r="B295" s="384" t="n"/>
      <c r="C295" s="384" t="n"/>
      <c r="D295" s="384" t="n"/>
      <c r="E295" s="384" t="n"/>
      <c r="F295" s="384" t="n"/>
      <c r="G295" s="384" t="n"/>
      <c r="H295" s="384" t="n"/>
      <c r="I295" s="384" t="n"/>
      <c r="J295" s="384" t="n"/>
      <c r="K295" s="384" t="n"/>
      <c r="L295" s="384" t="n"/>
      <c r="M295" s="384" t="n"/>
      <c r="N295" s="384" t="n"/>
      <c r="O295" s="384" t="n"/>
      <c r="P295" s="384" t="n"/>
      <c r="Q295" s="384" t="n"/>
      <c r="R295" s="384" t="n"/>
      <c r="S295" s="384" t="n"/>
      <c r="T295" s="384" t="n"/>
      <c r="U295" s="384" t="n"/>
      <c r="V295" s="384" t="n"/>
      <c r="W295" s="384" t="n"/>
      <c r="X295" s="645">
        <f>IF(_epmOfflineCondition_,"I_E100300",EPMOlapMemberO("[C_INTERCO].[PARENTH1].[I_E100300]","","I_E100300","","000"))</f>
        <v/>
      </c>
      <c r="Y295" s="870">
        <f>IF(_epmOfflineCondition_,"北京京西晨光饭店有限责任公司",EPMMemberDesc(X295))</f>
        <v/>
      </c>
      <c r="Z295" s="1302" t="n"/>
      <c r="AA295" s="1302" t="n"/>
      <c r="AB295" s="858" t="n"/>
      <c r="AC295" s="1302" t="n"/>
      <c r="AD295" s="1302" t="n"/>
      <c r="AE295" s="1302" t="inlineStr"/>
      <c r="AF295" s="1302" t="inlineStr"/>
      <c r="AG295" s="1302" t="inlineStr"/>
      <c r="AH295" s="1302" t="n"/>
      <c r="AI295" s="1302" t="n"/>
      <c r="AJ295" s="1302" t="n"/>
      <c r="AK295" s="1302">
        <f>AI295-AJ295</f>
        <v/>
      </c>
      <c r="AL295" s="858" t="n"/>
      <c r="AM295" s="1297" t="inlineStr"/>
      <c r="AN295" s="1298" t="n"/>
      <c r="AO295" s="13">
        <f>IF(_epmOfflineCondition_,0,EPMSaveDataOnly(AB295,,AB$29,AB$25,AB$26,AB$31,AB$32,$AA$37,AO$14,AO$15,AO$16,AO$17,AO$18,X295))</f>
        <v/>
      </c>
      <c r="AP295" s="13">
        <f>IF(_epmOfflineCondition_,0,EPMSaveDataOnly(AL295,,AL$29,AL$25,AL$26,AL$31,AL$32,$AA$37,AP$14,AP$15,AP$16,AP$17,AP$18,$X295))</f>
        <v/>
      </c>
      <c r="AQ295" s="13">
        <f>IF(_epmOfflineCondition_,0,EPMSaveData(AM295,,AM$29,AM$25,AM$26,$C$6,AM$32,$AA$37,AQ$14,AQ$15,AQ$16,AQ$17,AQ$18,$X295))</f>
        <v/>
      </c>
      <c r="AR295" s="13">
        <f>IF(_epmOfflineCondition_,0,EPMSaveDataOnly(AN295,,AN$29,AN$25,AN$26,AN$31,AN$32,$AA$37,AR$14,AR$15,AR$16,AR$17,AR$18,$X295))</f>
        <v/>
      </c>
      <c r="AS295" s="384" t="n"/>
    </row>
    <row r="296" hidden="1" ht="15.75" customHeight="1" s="1181">
      <c r="A296" s="384" t="n"/>
      <c r="B296" s="384" t="n"/>
      <c r="C296" s="384" t="n"/>
      <c r="D296" s="384" t="n"/>
      <c r="E296" s="384" t="n"/>
      <c r="F296" s="384" t="n"/>
      <c r="G296" s="384" t="n"/>
      <c r="H296" s="384" t="n"/>
      <c r="I296" s="384" t="n"/>
      <c r="J296" s="384" t="n"/>
      <c r="K296" s="384" t="n"/>
      <c r="L296" s="384" t="n"/>
      <c r="M296" s="384" t="n"/>
      <c r="N296" s="384" t="n"/>
      <c r="O296" s="384" t="n"/>
      <c r="P296" s="384" t="n"/>
      <c r="Q296" s="384" t="n"/>
      <c r="R296" s="384" t="n"/>
      <c r="S296" s="384" t="n"/>
      <c r="T296" s="384" t="n"/>
      <c r="U296" s="384" t="n"/>
      <c r="V296" s="384" t="n"/>
      <c r="W296" s="384" t="n"/>
      <c r="X296" s="645">
        <f>IF(_epmOfflineCondition_,"I_E100301",EPMOlapMemberO("[C_INTERCO].[PARENTH1].[I_E100301]","","I_E100301","","000"))</f>
        <v/>
      </c>
      <c r="Y296" s="870">
        <f>IF(_epmOfflineCondition_,"北京金泰梅苑宾馆有限公司",EPMMemberDesc(X296))</f>
        <v/>
      </c>
      <c r="Z296" s="1302" t="n"/>
      <c r="AA296" s="1302" t="n"/>
      <c r="AB296" s="858" t="n"/>
      <c r="AC296" s="1302" t="n"/>
      <c r="AD296" s="1302" t="n"/>
      <c r="AE296" s="1302" t="inlineStr"/>
      <c r="AF296" s="1302" t="inlineStr"/>
      <c r="AG296" s="1302" t="inlineStr"/>
      <c r="AH296" s="1302" t="n"/>
      <c r="AI296" s="1302" t="n"/>
      <c r="AJ296" s="1302" t="n"/>
      <c r="AK296" s="1302">
        <f>AI296-AJ296</f>
        <v/>
      </c>
      <c r="AL296" s="858" t="n"/>
      <c r="AM296" s="1297" t="inlineStr"/>
      <c r="AN296" s="1298" t="n"/>
      <c r="AO296" s="13">
        <f>IF(_epmOfflineCondition_,0,EPMSaveDataOnly(AB296,,AB$29,AB$25,AB$26,AB$31,AB$32,$AA$37,AO$14,AO$15,AO$16,AO$17,AO$18,X296))</f>
        <v/>
      </c>
      <c r="AP296" s="13">
        <f>IF(_epmOfflineCondition_,0,EPMSaveDataOnly(AL296,,AL$29,AL$25,AL$26,AL$31,AL$32,$AA$37,AP$14,AP$15,AP$16,AP$17,AP$18,$X296))</f>
        <v/>
      </c>
      <c r="AQ296" s="13">
        <f>IF(_epmOfflineCondition_,0,EPMSaveData(AM296,,AM$29,AM$25,AM$26,$C$6,AM$32,$AA$37,AQ$14,AQ$15,AQ$16,AQ$17,AQ$18,$X296))</f>
        <v/>
      </c>
      <c r="AR296" s="13">
        <f>IF(_epmOfflineCondition_,0,EPMSaveDataOnly(AN296,,AN$29,AN$25,AN$26,AN$31,AN$32,$AA$37,AR$14,AR$15,AR$16,AR$17,AR$18,$X296))</f>
        <v/>
      </c>
      <c r="AS296" s="384" t="n"/>
    </row>
    <row r="297" hidden="1" ht="15.75" customHeight="1" s="1181">
      <c r="A297" s="384" t="n"/>
      <c r="B297" s="384" t="n"/>
      <c r="C297" s="384" t="n"/>
      <c r="D297" s="384" t="n"/>
      <c r="E297" s="384" t="n"/>
      <c r="F297" s="384" t="n"/>
      <c r="G297" s="384" t="n"/>
      <c r="H297" s="384" t="n"/>
      <c r="I297" s="384" t="n"/>
      <c r="J297" s="384" t="n"/>
      <c r="K297" s="384" t="n"/>
      <c r="L297" s="384" t="n"/>
      <c r="M297" s="384" t="n"/>
      <c r="N297" s="384" t="n"/>
      <c r="O297" s="384" t="n"/>
      <c r="P297" s="384" t="n"/>
      <c r="Q297" s="384" t="n"/>
      <c r="R297" s="384" t="n"/>
      <c r="S297" s="384" t="n"/>
      <c r="T297" s="384" t="n"/>
      <c r="U297" s="384" t="n"/>
      <c r="V297" s="384" t="n"/>
      <c r="W297" s="384" t="n"/>
      <c r="X297" s="645">
        <f>IF(_epmOfflineCondition_,"I_E100302",EPMOlapMemberO("[C_INTERCO].[PARENTH1].[I_E100302]","","I_E100302","","000"))</f>
        <v/>
      </c>
      <c r="Y297" s="870">
        <f>IF(_epmOfflineCondition_,"北京京辉高尔夫俱乐部有限公司",EPMMemberDesc(X297))</f>
        <v/>
      </c>
      <c r="Z297" s="1302" t="n"/>
      <c r="AA297" s="1302" t="n"/>
      <c r="AB297" s="858" t="n"/>
      <c r="AC297" s="1302" t="n"/>
      <c r="AD297" s="1302" t="n"/>
      <c r="AE297" s="1302" t="inlineStr"/>
      <c r="AF297" s="1302" t="inlineStr"/>
      <c r="AG297" s="1302" t="inlineStr"/>
      <c r="AH297" s="1302" t="n"/>
      <c r="AI297" s="1302" t="n"/>
      <c r="AJ297" s="1302" t="n"/>
      <c r="AK297" s="1302">
        <f>AI297-AJ297</f>
        <v/>
      </c>
      <c r="AL297" s="858" t="n"/>
      <c r="AM297" s="1297" t="inlineStr"/>
      <c r="AN297" s="1298" t="n"/>
      <c r="AO297" s="13">
        <f>IF(_epmOfflineCondition_,0,EPMSaveDataOnly(AB297,,AB$29,AB$25,AB$26,AB$31,AB$32,$AA$37,AO$14,AO$15,AO$16,AO$17,AO$18,X297))</f>
        <v/>
      </c>
      <c r="AP297" s="13">
        <f>IF(_epmOfflineCondition_,0,EPMSaveDataOnly(AL297,,AL$29,AL$25,AL$26,AL$31,AL$32,$AA$37,AP$14,AP$15,AP$16,AP$17,AP$18,$X297))</f>
        <v/>
      </c>
      <c r="AQ297" s="13">
        <f>IF(_epmOfflineCondition_,0,EPMSaveData(AM297,,AM$29,AM$25,AM$26,$C$6,AM$32,$AA$37,AQ$14,AQ$15,AQ$16,AQ$17,AQ$18,$X297))</f>
        <v/>
      </c>
      <c r="AR297" s="13">
        <f>IF(_epmOfflineCondition_,0,EPMSaveDataOnly(AN297,,AN$29,AN$25,AN$26,AN$31,AN$32,$AA$37,AR$14,AR$15,AR$16,AR$17,AR$18,$X297))</f>
        <v/>
      </c>
      <c r="AS297" s="384" t="n"/>
    </row>
    <row r="298" hidden="1" ht="15.75" customHeight="1" s="1181">
      <c r="A298" s="384" t="n"/>
      <c r="B298" s="384" t="n"/>
      <c r="C298" s="384" t="n"/>
      <c r="D298" s="384" t="n"/>
      <c r="E298" s="384" t="n"/>
      <c r="F298" s="384" t="n"/>
      <c r="G298" s="384" t="n"/>
      <c r="H298" s="384" t="n"/>
      <c r="I298" s="384" t="n"/>
      <c r="J298" s="384" t="n"/>
      <c r="K298" s="384" t="n"/>
      <c r="L298" s="384" t="n"/>
      <c r="M298" s="384" t="n"/>
      <c r="N298" s="384" t="n"/>
      <c r="O298" s="384" t="n"/>
      <c r="P298" s="384" t="n"/>
      <c r="Q298" s="384" t="n"/>
      <c r="R298" s="384" t="n"/>
      <c r="S298" s="384" t="n"/>
      <c r="T298" s="384" t="n"/>
      <c r="U298" s="384" t="n"/>
      <c r="V298" s="384" t="n"/>
      <c r="W298" s="384" t="n"/>
      <c r="X298" s="645">
        <f>IF(_epmOfflineCondition_,"I_E100304",EPMOlapMemberO("[C_INTERCO].[PARENTH1].[I_E100304]","","I_E100304","","000"))</f>
        <v/>
      </c>
      <c r="Y298" s="870">
        <f>IF(_epmOfflineCondition_,"贵州华联旅业有限责任公司",EPMMemberDesc(X298))</f>
        <v/>
      </c>
      <c r="Z298" s="1302" t="n"/>
      <c r="AA298" s="1302" t="n"/>
      <c r="AB298" s="858" t="n"/>
      <c r="AC298" s="1302" t="n"/>
      <c r="AD298" s="1302" t="n"/>
      <c r="AE298" s="1302" t="inlineStr"/>
      <c r="AF298" s="1302" t="inlineStr"/>
      <c r="AG298" s="1302" t="inlineStr"/>
      <c r="AH298" s="1302" t="n"/>
      <c r="AI298" s="1302" t="n"/>
      <c r="AJ298" s="1302" t="n"/>
      <c r="AK298" s="1302">
        <f>AI298-AJ298</f>
        <v/>
      </c>
      <c r="AL298" s="858" t="n"/>
      <c r="AM298" s="1297" t="inlineStr"/>
      <c r="AN298" s="1298" t="n"/>
      <c r="AO298" s="13">
        <f>IF(_epmOfflineCondition_,0,EPMSaveDataOnly(AB298,,AB$29,AB$25,AB$26,AB$31,AB$32,$AA$37,AO$14,AO$15,AO$16,AO$17,AO$18,X298))</f>
        <v/>
      </c>
      <c r="AP298" s="13">
        <f>IF(_epmOfflineCondition_,0,EPMSaveDataOnly(AL298,,AL$29,AL$25,AL$26,AL$31,AL$32,$AA$37,AP$14,AP$15,AP$16,AP$17,AP$18,$X298))</f>
        <v/>
      </c>
      <c r="AQ298" s="13">
        <f>IF(_epmOfflineCondition_,0,EPMSaveData(AM298,,AM$29,AM$25,AM$26,$C$6,AM$32,$AA$37,AQ$14,AQ$15,AQ$16,AQ$17,AQ$18,$X298))</f>
        <v/>
      </c>
      <c r="AR298" s="13">
        <f>IF(_epmOfflineCondition_,0,EPMSaveDataOnly(AN298,,AN$29,AN$25,AN$26,AN$31,AN$32,$AA$37,AR$14,AR$15,AR$16,AR$17,AR$18,$X298))</f>
        <v/>
      </c>
      <c r="AS298" s="384" t="n"/>
    </row>
    <row r="299" hidden="1" ht="15.75" customHeight="1" s="1181">
      <c r="A299" s="384" t="n"/>
      <c r="B299" s="384" t="n"/>
      <c r="C299" s="384" t="n"/>
      <c r="D299" s="384" t="n"/>
      <c r="E299" s="384" t="n"/>
      <c r="F299" s="384" t="n"/>
      <c r="G299" s="384" t="n"/>
      <c r="H299" s="384" t="n"/>
      <c r="I299" s="384" t="n"/>
      <c r="J299" s="384" t="n"/>
      <c r="K299" s="384" t="n"/>
      <c r="L299" s="384" t="n"/>
      <c r="M299" s="384" t="n"/>
      <c r="N299" s="384" t="n"/>
      <c r="O299" s="384" t="n"/>
      <c r="P299" s="384" t="n"/>
      <c r="Q299" s="384" t="n"/>
      <c r="R299" s="384" t="n"/>
      <c r="S299" s="384" t="n"/>
      <c r="T299" s="384" t="n"/>
      <c r="U299" s="384" t="n"/>
      <c r="V299" s="384" t="n"/>
      <c r="W299" s="384" t="n"/>
      <c r="X299" s="645">
        <f>IF(_epmOfflineCondition_,"I_E100305",EPMOlapMemberO("[C_INTERCO].[PARENTH1].[I_E100305]","","I_E100305","","000"))</f>
        <v/>
      </c>
      <c r="Y299" s="870">
        <f>IF(_epmOfflineCondition_,"北京金泰之家通华苑饭店有限公司",EPMMemberDesc(X299))</f>
        <v/>
      </c>
      <c r="Z299" s="1302" t="n"/>
      <c r="AA299" s="1302" t="n"/>
      <c r="AB299" s="858" t="n"/>
      <c r="AC299" s="1302" t="n"/>
      <c r="AD299" s="1302" t="n"/>
      <c r="AE299" s="1302" t="inlineStr"/>
      <c r="AF299" s="1302" t="inlineStr"/>
      <c r="AG299" s="1302" t="inlineStr"/>
      <c r="AH299" s="1302" t="n"/>
      <c r="AI299" s="1302" t="n"/>
      <c r="AJ299" s="1302" t="n"/>
      <c r="AK299" s="1302">
        <f>AI299-AJ299</f>
        <v/>
      </c>
      <c r="AL299" s="858" t="n"/>
      <c r="AM299" s="1297" t="inlineStr"/>
      <c r="AN299" s="1298" t="n"/>
      <c r="AO299" s="13">
        <f>IF(_epmOfflineCondition_,0,EPMSaveDataOnly(AB299,,AB$29,AB$25,AB$26,AB$31,AB$32,$AA$37,AO$14,AO$15,AO$16,AO$17,AO$18,X299))</f>
        <v/>
      </c>
      <c r="AP299" s="13">
        <f>IF(_epmOfflineCondition_,0,EPMSaveDataOnly(AL299,,AL$29,AL$25,AL$26,AL$31,AL$32,$AA$37,AP$14,AP$15,AP$16,AP$17,AP$18,$X299))</f>
        <v/>
      </c>
      <c r="AQ299" s="13">
        <f>IF(_epmOfflineCondition_,0,EPMSaveData(AM299,,AM$29,AM$25,AM$26,$C$6,AM$32,$AA$37,AQ$14,AQ$15,AQ$16,AQ$17,AQ$18,$X299))</f>
        <v/>
      </c>
      <c r="AR299" s="13">
        <f>IF(_epmOfflineCondition_,0,EPMSaveDataOnly(AN299,,AN$29,AN$25,AN$26,AN$31,AN$32,$AA$37,AR$14,AR$15,AR$16,AR$17,AR$18,$X299))</f>
        <v/>
      </c>
      <c r="AS299" s="384" t="n"/>
    </row>
    <row r="300" hidden="1" ht="15.75" customHeight="1" s="1181">
      <c r="A300" s="384" t="n"/>
      <c r="B300" s="384" t="n"/>
      <c r="C300" s="384" t="n"/>
      <c r="D300" s="384" t="n"/>
      <c r="E300" s="384" t="n"/>
      <c r="F300" s="384" t="n"/>
      <c r="G300" s="384" t="n"/>
      <c r="H300" s="384" t="n"/>
      <c r="I300" s="384" t="n"/>
      <c r="J300" s="384" t="n"/>
      <c r="K300" s="384" t="n"/>
      <c r="L300" s="384" t="n"/>
      <c r="M300" s="384" t="n"/>
      <c r="N300" s="384" t="n"/>
      <c r="O300" s="384" t="n"/>
      <c r="P300" s="384" t="n"/>
      <c r="Q300" s="384" t="n"/>
      <c r="R300" s="384" t="n"/>
      <c r="S300" s="384" t="n"/>
      <c r="T300" s="384" t="n"/>
      <c r="U300" s="384" t="n"/>
      <c r="V300" s="384" t="n"/>
      <c r="W300" s="384" t="n"/>
      <c r="X300" s="645">
        <f>IF(_epmOfflineCondition_,"I_E100306",EPMOlapMemberO("[C_INTERCO].[PARENTH1].[I_E100306]","","I_E100306","","000"))</f>
        <v/>
      </c>
      <c r="Y300" s="870">
        <f>IF(_epmOfflineCondition_,"宁夏京能创业房地产开发有限公司",EPMMemberDesc(X300))</f>
        <v/>
      </c>
      <c r="Z300" s="1302" t="n"/>
      <c r="AA300" s="1302" t="n"/>
      <c r="AB300" s="858" t="n"/>
      <c r="AC300" s="1302" t="n"/>
      <c r="AD300" s="1302" t="n"/>
      <c r="AE300" s="1302" t="inlineStr"/>
      <c r="AF300" s="1302" t="inlineStr"/>
      <c r="AG300" s="1302" t="inlineStr"/>
      <c r="AH300" s="1302" t="n"/>
      <c r="AI300" s="1302" t="n"/>
      <c r="AJ300" s="1302" t="n"/>
      <c r="AK300" s="1302">
        <f>AI300-AJ300</f>
        <v/>
      </c>
      <c r="AL300" s="858" t="n"/>
      <c r="AM300" s="1297" t="inlineStr"/>
      <c r="AN300" s="1298" t="n"/>
      <c r="AO300" s="13">
        <f>IF(_epmOfflineCondition_,0,EPMSaveDataOnly(AB300,,AB$29,AB$25,AB$26,AB$31,AB$32,$AA$37,AO$14,AO$15,AO$16,AO$17,AO$18,X300))</f>
        <v/>
      </c>
      <c r="AP300" s="13">
        <f>IF(_epmOfflineCondition_,0,EPMSaveDataOnly(AL300,,AL$29,AL$25,AL$26,AL$31,AL$32,$AA$37,AP$14,AP$15,AP$16,AP$17,AP$18,$X300))</f>
        <v/>
      </c>
      <c r="AQ300" s="13">
        <f>IF(_epmOfflineCondition_,0,EPMSaveData(AM300,,AM$29,AM$25,AM$26,$C$6,AM$32,$AA$37,AQ$14,AQ$15,AQ$16,AQ$17,AQ$18,$X300))</f>
        <v/>
      </c>
      <c r="AR300" s="13">
        <f>IF(_epmOfflineCondition_,0,EPMSaveDataOnly(AN300,,AN$29,AN$25,AN$26,AN$31,AN$32,$AA$37,AR$14,AR$15,AR$16,AR$17,AR$18,$X300))</f>
        <v/>
      </c>
      <c r="AS300" s="384" t="n"/>
    </row>
    <row r="301" hidden="1" ht="15.75" customHeight="1" s="1181">
      <c r="A301" s="384" t="n"/>
      <c r="B301" s="384" t="n"/>
      <c r="C301" s="384" t="n"/>
      <c r="D301" s="384" t="n"/>
      <c r="E301" s="384" t="n"/>
      <c r="F301" s="384" t="n"/>
      <c r="G301" s="384" t="n"/>
      <c r="H301" s="384" t="n"/>
      <c r="I301" s="384" t="n"/>
      <c r="J301" s="384" t="n"/>
      <c r="K301" s="384" t="n"/>
      <c r="L301" s="384" t="n"/>
      <c r="M301" s="384" t="n"/>
      <c r="N301" s="384" t="n"/>
      <c r="O301" s="384" t="n"/>
      <c r="P301" s="384" t="n"/>
      <c r="Q301" s="384" t="n"/>
      <c r="R301" s="384" t="n"/>
      <c r="S301" s="384" t="n"/>
      <c r="T301" s="384" t="n"/>
      <c r="U301" s="384" t="n"/>
      <c r="V301" s="384" t="n"/>
      <c r="W301" s="384" t="n"/>
      <c r="X301" s="645">
        <f>IF(_epmOfflineCondition_,"I_E100307",EPMOlapMemberO("[C_INTERCO].[PARENTH1].[I_E100307]","","I_E100307","","000"))</f>
        <v/>
      </c>
      <c r="Y301" s="870">
        <f>IF(_epmOfflineCondition_,"北京京能房产租赁经营有限责任公司汽车贸易分公司",EPMMemberDesc(X301))</f>
        <v/>
      </c>
      <c r="Z301" s="1302" t="n"/>
      <c r="AA301" s="1302" t="n"/>
      <c r="AB301" s="858" t="n"/>
      <c r="AC301" s="1302" t="n"/>
      <c r="AD301" s="1302" t="n"/>
      <c r="AE301" s="1302" t="inlineStr"/>
      <c r="AF301" s="1302" t="inlineStr"/>
      <c r="AG301" s="1302" t="inlineStr"/>
      <c r="AH301" s="1302" t="n"/>
      <c r="AI301" s="1302" t="n"/>
      <c r="AJ301" s="1302" t="n"/>
      <c r="AK301" s="1302">
        <f>AI301-AJ301</f>
        <v/>
      </c>
      <c r="AL301" s="858" t="n"/>
      <c r="AM301" s="1297" t="inlineStr"/>
      <c r="AN301" s="1298" t="n"/>
      <c r="AO301" s="13">
        <f>IF(_epmOfflineCondition_,0,EPMSaveDataOnly(AB301,,AB$29,AB$25,AB$26,AB$31,AB$32,$AA$37,AO$14,AO$15,AO$16,AO$17,AO$18,X301))</f>
        <v/>
      </c>
      <c r="AP301" s="13">
        <f>IF(_epmOfflineCondition_,0,EPMSaveDataOnly(AL301,,AL$29,AL$25,AL$26,AL$31,AL$32,$AA$37,AP$14,AP$15,AP$16,AP$17,AP$18,$X301))</f>
        <v/>
      </c>
      <c r="AQ301" s="13">
        <f>IF(_epmOfflineCondition_,0,EPMSaveData(AM301,,AM$29,AM$25,AM$26,$C$6,AM$32,$AA$37,AQ$14,AQ$15,AQ$16,AQ$17,AQ$18,$X301))</f>
        <v/>
      </c>
      <c r="AR301" s="13">
        <f>IF(_epmOfflineCondition_,0,EPMSaveDataOnly(AN301,,AN$29,AN$25,AN$26,AN$31,AN$32,$AA$37,AR$14,AR$15,AR$16,AR$17,AR$18,$X301))</f>
        <v/>
      </c>
      <c r="AS301" s="384" t="n"/>
    </row>
    <row r="302" hidden="1" ht="15.75" customHeight="1" s="1181">
      <c r="A302" s="384" t="n"/>
      <c r="B302" s="384" t="n"/>
      <c r="C302" s="384" t="n"/>
      <c r="D302" s="384" t="n"/>
      <c r="E302" s="384" t="n"/>
      <c r="F302" s="384" t="n"/>
      <c r="G302" s="384" t="n"/>
      <c r="H302" s="384" t="n"/>
      <c r="I302" s="384" t="n"/>
      <c r="J302" s="384" t="n"/>
      <c r="K302" s="384" t="n"/>
      <c r="L302" s="384" t="n"/>
      <c r="M302" s="384" t="n"/>
      <c r="N302" s="384" t="n"/>
      <c r="O302" s="384" t="n"/>
      <c r="P302" s="384" t="n"/>
      <c r="Q302" s="384" t="n"/>
      <c r="R302" s="384" t="n"/>
      <c r="S302" s="384" t="n"/>
      <c r="T302" s="384" t="n"/>
      <c r="U302" s="384" t="n"/>
      <c r="V302" s="384" t="n"/>
      <c r="W302" s="384" t="n"/>
      <c r="X302" s="645">
        <f>IF(_epmOfflineCondition_,"I_E100312",EPMOlapMemberO("[C_INTERCO].[PARENTH1].[I_E100312]","","I_E100312","","000"))</f>
        <v/>
      </c>
      <c r="Y302" s="870">
        <f>IF(_epmOfflineCondition_,"北京京能房产租赁经营有限责任公司咨询服务中心",EPMMemberDesc(X302))</f>
        <v/>
      </c>
      <c r="Z302" s="1302" t="n"/>
      <c r="AA302" s="1302" t="n"/>
      <c r="AB302" s="858" t="n"/>
      <c r="AC302" s="1302" t="n"/>
      <c r="AD302" s="1302" t="n"/>
      <c r="AE302" s="1302" t="inlineStr"/>
      <c r="AF302" s="1302" t="inlineStr"/>
      <c r="AG302" s="1302" t="inlineStr"/>
      <c r="AH302" s="1302" t="n"/>
      <c r="AI302" s="1302" t="n"/>
      <c r="AJ302" s="1302" t="n"/>
      <c r="AK302" s="1302">
        <f>AI302-AJ302</f>
        <v/>
      </c>
      <c r="AL302" s="858" t="n"/>
      <c r="AM302" s="1297" t="inlineStr"/>
      <c r="AN302" s="1298" t="n"/>
      <c r="AO302" s="13">
        <f>IF(_epmOfflineCondition_,0,EPMSaveDataOnly(AB302,,AB$29,AB$25,AB$26,AB$31,AB$32,$AA$37,AO$14,AO$15,AO$16,AO$17,AO$18,X302))</f>
        <v/>
      </c>
      <c r="AP302" s="13">
        <f>IF(_epmOfflineCondition_,0,EPMSaveDataOnly(AL302,,AL$29,AL$25,AL$26,AL$31,AL$32,$AA$37,AP$14,AP$15,AP$16,AP$17,AP$18,$X302))</f>
        <v/>
      </c>
      <c r="AQ302" s="13">
        <f>IF(_epmOfflineCondition_,0,EPMSaveData(AM302,,AM$29,AM$25,AM$26,$C$6,AM$32,$AA$37,AQ$14,AQ$15,AQ$16,AQ$17,AQ$18,$X302))</f>
        <v/>
      </c>
      <c r="AR302" s="13">
        <f>IF(_epmOfflineCondition_,0,EPMSaveDataOnly(AN302,,AN$29,AN$25,AN$26,AN$31,AN$32,$AA$37,AR$14,AR$15,AR$16,AR$17,AR$18,$X302))</f>
        <v/>
      </c>
      <c r="AS302" s="384" t="n"/>
    </row>
    <row r="303" hidden="1" ht="15.75" customHeight="1" s="1181">
      <c r="A303" s="384" t="n"/>
      <c r="B303" s="384" t="n"/>
      <c r="C303" s="384" t="n"/>
      <c r="D303" s="384" t="n"/>
      <c r="E303" s="384" t="n"/>
      <c r="F303" s="384" t="n"/>
      <c r="G303" s="384" t="n"/>
      <c r="H303" s="384" t="n"/>
      <c r="I303" s="384" t="n"/>
      <c r="J303" s="384" t="n"/>
      <c r="K303" s="384" t="n"/>
      <c r="L303" s="384" t="n"/>
      <c r="M303" s="384" t="n"/>
      <c r="N303" s="384" t="n"/>
      <c r="O303" s="384" t="n"/>
      <c r="P303" s="384" t="n"/>
      <c r="Q303" s="384" t="n"/>
      <c r="R303" s="384" t="n"/>
      <c r="S303" s="384" t="n"/>
      <c r="T303" s="384" t="n"/>
      <c r="U303" s="384" t="n"/>
      <c r="V303" s="384" t="n"/>
      <c r="W303" s="384" t="n"/>
      <c r="X303" s="645">
        <f>IF(_epmOfflineCondition_,"I_E100314",EPMOlapMemberO("[C_INTERCO].[PARENTH1].[I_E100314]","","I_E100314","","000"))</f>
        <v/>
      </c>
      <c r="Y303" s="870">
        <f>IF(_epmOfflineCondition_,"北京金泰恒业燃料有限公司",EPMMemberDesc(X303))</f>
        <v/>
      </c>
      <c r="Z303" s="1302" t="n"/>
      <c r="AA303" s="1302" t="n"/>
      <c r="AB303" s="858" t="n"/>
      <c r="AC303" s="1302" t="n"/>
      <c r="AD303" s="1302" t="n"/>
      <c r="AE303" s="1302" t="inlineStr"/>
      <c r="AF303" s="1302" t="inlineStr"/>
      <c r="AG303" s="1302" t="inlineStr"/>
      <c r="AH303" s="1302" t="n"/>
      <c r="AI303" s="1302" t="n"/>
      <c r="AJ303" s="1302" t="n"/>
      <c r="AK303" s="1302">
        <f>AI303-AJ303</f>
        <v/>
      </c>
      <c r="AL303" s="858" t="n"/>
      <c r="AM303" s="1297" t="inlineStr"/>
      <c r="AN303" s="1298" t="n"/>
      <c r="AO303" s="13">
        <f>IF(_epmOfflineCondition_,0,EPMSaveDataOnly(AB303,,AB$29,AB$25,AB$26,AB$31,AB$32,$AA$37,AO$14,AO$15,AO$16,AO$17,AO$18,X303))</f>
        <v/>
      </c>
      <c r="AP303" s="13">
        <f>IF(_epmOfflineCondition_,0,EPMSaveDataOnly(AL303,,AL$29,AL$25,AL$26,AL$31,AL$32,$AA$37,AP$14,AP$15,AP$16,AP$17,AP$18,$X303))</f>
        <v/>
      </c>
      <c r="AQ303" s="13">
        <f>IF(_epmOfflineCondition_,0,EPMSaveData(AM303,,AM$29,AM$25,AM$26,$C$6,AM$32,$AA$37,AQ$14,AQ$15,AQ$16,AQ$17,AQ$18,$X303))</f>
        <v/>
      </c>
      <c r="AR303" s="13">
        <f>IF(_epmOfflineCondition_,0,EPMSaveDataOnly(AN303,,AN$29,AN$25,AN$26,AN$31,AN$32,$AA$37,AR$14,AR$15,AR$16,AR$17,AR$18,$X303))</f>
        <v/>
      </c>
      <c r="AS303" s="384" t="n"/>
    </row>
    <row r="304" hidden="1" ht="15.75" customHeight="1" s="1181">
      <c r="A304" s="384" t="n"/>
      <c r="B304" s="384" t="n"/>
      <c r="C304" s="384" t="n"/>
      <c r="D304" s="384" t="n"/>
      <c r="E304" s="384" t="n"/>
      <c r="F304" s="384" t="n"/>
      <c r="G304" s="384" t="n"/>
      <c r="H304" s="384" t="n"/>
      <c r="I304" s="384" t="n"/>
      <c r="J304" s="384" t="n"/>
      <c r="K304" s="384" t="n"/>
      <c r="L304" s="384" t="n"/>
      <c r="M304" s="384" t="n"/>
      <c r="N304" s="384" t="n"/>
      <c r="O304" s="384" t="n"/>
      <c r="P304" s="384" t="n"/>
      <c r="Q304" s="384" t="n"/>
      <c r="R304" s="384" t="n"/>
      <c r="S304" s="384" t="n"/>
      <c r="T304" s="384" t="n"/>
      <c r="U304" s="384" t="n"/>
      <c r="V304" s="384" t="n"/>
      <c r="W304" s="384" t="n"/>
      <c r="X304" s="645">
        <f>IF(_epmOfflineCondition_,"I_E100317",EPMOlapMemberO("[C_INTERCO].[PARENTH1].[I_E100317]","","I_E100317","","000"))</f>
        <v/>
      </c>
      <c r="Y304" s="870">
        <f>IF(_epmOfflineCondition_,"北京京煤文旅发展有限公司",EPMMemberDesc(X304))</f>
        <v/>
      </c>
      <c r="Z304" s="1302" t="n"/>
      <c r="AA304" s="1302" t="n"/>
      <c r="AB304" s="858" t="n"/>
      <c r="AC304" s="1302" t="n"/>
      <c r="AD304" s="1302" t="n"/>
      <c r="AE304" s="1302" t="inlineStr"/>
      <c r="AF304" s="1302" t="inlineStr"/>
      <c r="AG304" s="1302" t="inlineStr"/>
      <c r="AH304" s="1302" t="n"/>
      <c r="AI304" s="1302" t="n"/>
      <c r="AJ304" s="1302" t="n"/>
      <c r="AK304" s="1302">
        <f>AI304-AJ304</f>
        <v/>
      </c>
      <c r="AL304" s="858" t="n"/>
      <c r="AM304" s="1297" t="inlineStr"/>
      <c r="AN304" s="1298" t="n"/>
      <c r="AO304" s="13">
        <f>IF(_epmOfflineCondition_,0,EPMSaveDataOnly(AB304,,AB$29,AB$25,AB$26,AB$31,AB$32,$AA$37,AO$14,AO$15,AO$16,AO$17,AO$18,X304))</f>
        <v/>
      </c>
      <c r="AP304" s="13">
        <f>IF(_epmOfflineCondition_,0,EPMSaveDataOnly(AL304,,AL$29,AL$25,AL$26,AL$31,AL$32,$AA$37,AP$14,AP$15,AP$16,AP$17,AP$18,$X304))</f>
        <v/>
      </c>
      <c r="AQ304" s="13">
        <f>IF(_epmOfflineCondition_,0,EPMSaveData(AM304,,AM$29,AM$25,AM$26,$C$6,AM$32,$AA$37,AQ$14,AQ$15,AQ$16,AQ$17,AQ$18,$X304))</f>
        <v/>
      </c>
      <c r="AR304" s="13">
        <f>IF(_epmOfflineCondition_,0,EPMSaveDataOnly(AN304,,AN$29,AN$25,AN$26,AN$31,AN$32,$AA$37,AR$14,AR$15,AR$16,AR$17,AR$18,$X304))</f>
        <v/>
      </c>
      <c r="AS304" s="384" t="n"/>
    </row>
    <row r="305" hidden="1" ht="15.75" customHeight="1" s="1181">
      <c r="A305" s="384" t="n"/>
      <c r="B305" s="384" t="n"/>
      <c r="C305" s="384" t="n"/>
      <c r="D305" s="384" t="n"/>
      <c r="E305" s="384" t="n"/>
      <c r="F305" s="384" t="n"/>
      <c r="G305" s="384" t="n"/>
      <c r="H305" s="384" t="n"/>
      <c r="I305" s="384" t="n"/>
      <c r="J305" s="384" t="n"/>
      <c r="K305" s="384" t="n"/>
      <c r="L305" s="384" t="n"/>
      <c r="M305" s="384" t="n"/>
      <c r="N305" s="384" t="n"/>
      <c r="O305" s="384" t="n"/>
      <c r="P305" s="384" t="n"/>
      <c r="Q305" s="384" t="n"/>
      <c r="R305" s="384" t="n"/>
      <c r="S305" s="384" t="n"/>
      <c r="T305" s="384" t="n"/>
      <c r="U305" s="384" t="n"/>
      <c r="V305" s="384" t="n"/>
      <c r="W305" s="384" t="n"/>
      <c r="X305" s="645">
        <f>IF(_epmOfflineCondition_,"I_E100318",EPMOlapMemberO("[C_INTERCO].[PARENTH1].[I_E100318]","","I_E100318","","000"))</f>
        <v/>
      </c>
      <c r="Y305" s="870">
        <f>IF(_epmOfflineCondition_,"北京京能房产租赁经营有限责任公司煤炭分公司",EPMMemberDesc(X305))</f>
        <v/>
      </c>
      <c r="Z305" s="1302" t="n"/>
      <c r="AA305" s="1302" t="n"/>
      <c r="AB305" s="858" t="n"/>
      <c r="AC305" s="1302" t="n"/>
      <c r="AD305" s="1302" t="n"/>
      <c r="AE305" s="1302" t="inlineStr"/>
      <c r="AF305" s="1302" t="inlineStr"/>
      <c r="AG305" s="1302" t="inlineStr"/>
      <c r="AH305" s="1302" t="n"/>
      <c r="AI305" s="1302" t="n"/>
      <c r="AJ305" s="1302" t="n"/>
      <c r="AK305" s="1302">
        <f>AI305-AJ305</f>
        <v/>
      </c>
      <c r="AL305" s="858" t="n"/>
      <c r="AM305" s="1297" t="inlineStr"/>
      <c r="AN305" s="1298" t="n"/>
      <c r="AO305" s="13">
        <f>IF(_epmOfflineCondition_,0,EPMSaveDataOnly(AB305,,AB$29,AB$25,AB$26,AB$31,AB$32,$AA$37,AO$14,AO$15,AO$16,AO$17,AO$18,X305))</f>
        <v/>
      </c>
      <c r="AP305" s="13">
        <f>IF(_epmOfflineCondition_,0,EPMSaveDataOnly(AL305,,AL$29,AL$25,AL$26,AL$31,AL$32,$AA$37,AP$14,AP$15,AP$16,AP$17,AP$18,$X305))</f>
        <v/>
      </c>
      <c r="AQ305" s="13">
        <f>IF(_epmOfflineCondition_,0,EPMSaveData(AM305,,AM$29,AM$25,AM$26,$C$6,AM$32,$AA$37,AQ$14,AQ$15,AQ$16,AQ$17,AQ$18,$X305))</f>
        <v/>
      </c>
      <c r="AR305" s="13">
        <f>IF(_epmOfflineCondition_,0,EPMSaveDataOnly(AN305,,AN$29,AN$25,AN$26,AN$31,AN$32,$AA$37,AR$14,AR$15,AR$16,AR$17,AR$18,$X305))</f>
        <v/>
      </c>
      <c r="AS305" s="384" t="n"/>
    </row>
    <row r="306" hidden="1" ht="15.75" customHeight="1" s="1181">
      <c r="A306" s="384" t="n"/>
      <c r="B306" s="384" t="n"/>
      <c r="C306" s="384" t="n"/>
      <c r="D306" s="384" t="n"/>
      <c r="E306" s="384" t="n"/>
      <c r="F306" s="384" t="n"/>
      <c r="G306" s="384" t="n"/>
      <c r="H306" s="384" t="n"/>
      <c r="I306" s="384" t="n"/>
      <c r="J306" s="384" t="n"/>
      <c r="K306" s="384" t="n"/>
      <c r="L306" s="384" t="n"/>
      <c r="M306" s="384" t="n"/>
      <c r="N306" s="384" t="n"/>
      <c r="O306" s="384" t="n"/>
      <c r="P306" s="384" t="n"/>
      <c r="Q306" s="384" t="n"/>
      <c r="R306" s="384" t="n"/>
      <c r="S306" s="384" t="n"/>
      <c r="T306" s="384" t="n"/>
      <c r="U306" s="384" t="n"/>
      <c r="V306" s="384" t="n"/>
      <c r="W306" s="384" t="n"/>
      <c r="X306" s="645">
        <f>IF(_epmOfflineCondition_,"I_E100320",EPMOlapMemberO("[C_INTERCO].[PARENTH1].[I_E100320]","","I_E100320","","000"))</f>
        <v/>
      </c>
      <c r="Y306" s="870">
        <f>IF(_epmOfflineCondition_,"北京市天创房地产开发有限公司",EPMMemberDesc(X306))</f>
        <v/>
      </c>
      <c r="Z306" s="1302" t="n"/>
      <c r="AA306" s="1302" t="n"/>
      <c r="AB306" s="858" t="n"/>
      <c r="AC306" s="1302" t="n"/>
      <c r="AD306" s="1302" t="n"/>
      <c r="AE306" s="1302" t="inlineStr"/>
      <c r="AF306" s="1302" t="inlineStr"/>
      <c r="AG306" s="1302" t="inlineStr"/>
      <c r="AH306" s="1302" t="n"/>
      <c r="AI306" s="1302" t="n"/>
      <c r="AJ306" s="1302" t="n"/>
      <c r="AK306" s="1302">
        <f>AI306-AJ306</f>
        <v/>
      </c>
      <c r="AL306" s="858" t="n"/>
      <c r="AM306" s="1297" t="inlineStr"/>
      <c r="AN306" s="1298" t="n"/>
      <c r="AO306" s="13">
        <f>IF(_epmOfflineCondition_,0,EPMSaveDataOnly(AB306,,AB$29,AB$25,AB$26,AB$31,AB$32,$AA$37,AO$14,AO$15,AO$16,AO$17,AO$18,X306))</f>
        <v/>
      </c>
      <c r="AP306" s="13">
        <f>IF(_epmOfflineCondition_,0,EPMSaveDataOnly(AL306,,AL$29,AL$25,AL$26,AL$31,AL$32,$AA$37,AP$14,AP$15,AP$16,AP$17,AP$18,$X306))</f>
        <v/>
      </c>
      <c r="AQ306" s="13">
        <f>IF(_epmOfflineCondition_,0,EPMSaveData(AM306,,AM$29,AM$25,AM$26,$C$6,AM$32,$AA$37,AQ$14,AQ$15,AQ$16,AQ$17,AQ$18,$X306))</f>
        <v/>
      </c>
      <c r="AR306" s="13">
        <f>IF(_epmOfflineCondition_,0,EPMSaveDataOnly(AN306,,AN$29,AN$25,AN$26,AN$31,AN$32,$AA$37,AR$14,AR$15,AR$16,AR$17,AR$18,$X306))</f>
        <v/>
      </c>
      <c r="AS306" s="384" t="n"/>
    </row>
    <row r="307" hidden="1" ht="15.75" customHeight="1" s="1181">
      <c r="A307" s="384" t="n"/>
      <c r="B307" s="384" t="n"/>
      <c r="C307" s="384" t="n"/>
      <c r="D307" s="384" t="n"/>
      <c r="E307" s="384" t="n"/>
      <c r="F307" s="384" t="n"/>
      <c r="G307" s="384" t="n"/>
      <c r="H307" s="384" t="n"/>
      <c r="I307" s="384" t="n"/>
      <c r="J307" s="384" t="n"/>
      <c r="K307" s="384" t="n"/>
      <c r="L307" s="384" t="n"/>
      <c r="M307" s="384" t="n"/>
      <c r="N307" s="384" t="n"/>
      <c r="O307" s="384" t="n"/>
      <c r="P307" s="384" t="n"/>
      <c r="Q307" s="384" t="n"/>
      <c r="R307" s="384" t="n"/>
      <c r="S307" s="384" t="n"/>
      <c r="T307" s="384" t="n"/>
      <c r="U307" s="384" t="n"/>
      <c r="V307" s="384" t="n"/>
      <c r="W307" s="384" t="n"/>
      <c r="X307" s="645">
        <f>IF(_epmOfflineCondition_,"I_E100321",EPMOlapMemberO("[C_INTERCO].[PARENTH1].[I_E100321]","","I_E100321","","000"))</f>
        <v/>
      </c>
      <c r="Y307" s="870">
        <f>IF(_epmOfflineCondition_,"北京京能天泰房地产开发有限公司",EPMMemberDesc(X307))</f>
        <v/>
      </c>
      <c r="Z307" s="1302" t="n"/>
      <c r="AA307" s="1302" t="n"/>
      <c r="AB307" s="858" t="n"/>
      <c r="AC307" s="1302" t="n"/>
      <c r="AD307" s="1302" t="n"/>
      <c r="AE307" s="1302" t="inlineStr"/>
      <c r="AF307" s="1302" t="inlineStr"/>
      <c r="AG307" s="1302" t="inlineStr"/>
      <c r="AH307" s="1302" t="n"/>
      <c r="AI307" s="1302" t="n"/>
      <c r="AJ307" s="1302" t="n"/>
      <c r="AK307" s="1302">
        <f>AI307-AJ307</f>
        <v/>
      </c>
      <c r="AL307" s="858" t="n"/>
      <c r="AM307" s="1297" t="inlineStr"/>
      <c r="AN307" s="1298" t="n"/>
      <c r="AO307" s="13">
        <f>IF(_epmOfflineCondition_,0,EPMSaveDataOnly(AB307,,AB$29,AB$25,AB$26,AB$31,AB$32,$AA$37,AO$14,AO$15,AO$16,AO$17,AO$18,X307))</f>
        <v/>
      </c>
      <c r="AP307" s="13">
        <f>IF(_epmOfflineCondition_,0,EPMSaveDataOnly(AL307,,AL$29,AL$25,AL$26,AL$31,AL$32,$AA$37,AP$14,AP$15,AP$16,AP$17,AP$18,$X307))</f>
        <v/>
      </c>
      <c r="AQ307" s="13">
        <f>IF(_epmOfflineCondition_,0,EPMSaveData(AM307,,AM$29,AM$25,AM$26,$C$6,AM$32,$AA$37,AQ$14,AQ$15,AQ$16,AQ$17,AQ$18,$X307))</f>
        <v/>
      </c>
      <c r="AR307" s="13">
        <f>IF(_epmOfflineCondition_,0,EPMSaveDataOnly(AN307,,AN$29,AN$25,AN$26,AN$31,AN$32,$AA$37,AR$14,AR$15,AR$16,AR$17,AR$18,$X307))</f>
        <v/>
      </c>
      <c r="AS307" s="384" t="n"/>
    </row>
    <row r="308" hidden="1" ht="15.75" customHeight="1" s="1181">
      <c r="A308" s="384" t="n"/>
      <c r="B308" s="384" t="n"/>
      <c r="C308" s="384" t="n"/>
      <c r="D308" s="384" t="n"/>
      <c r="E308" s="384" t="n"/>
      <c r="F308" s="384" t="n"/>
      <c r="G308" s="384" t="n"/>
      <c r="H308" s="384" t="n"/>
      <c r="I308" s="384" t="n"/>
      <c r="J308" s="384" t="n"/>
      <c r="K308" s="384" t="n"/>
      <c r="L308" s="384" t="n"/>
      <c r="M308" s="384" t="n"/>
      <c r="N308" s="384" t="n"/>
      <c r="O308" s="384" t="n"/>
      <c r="P308" s="384" t="n"/>
      <c r="Q308" s="384" t="n"/>
      <c r="R308" s="384" t="n"/>
      <c r="S308" s="384" t="n"/>
      <c r="T308" s="384" t="n"/>
      <c r="U308" s="384" t="n"/>
      <c r="V308" s="384" t="n"/>
      <c r="W308" s="384" t="n"/>
      <c r="X308" s="645">
        <f>IF(_epmOfflineCondition_,"I_E100324",EPMOlapMemberO("[C_INTERCO].[PARENTH1].[I_E100324]","","I_E100324","","000"))</f>
        <v/>
      </c>
      <c r="Y308" s="870">
        <f>IF(_epmOfflineCondition_,"北京京能房产租赁经营有限责任公司西城分公司",EPMMemberDesc(X308))</f>
        <v/>
      </c>
      <c r="Z308" s="1302" t="n"/>
      <c r="AA308" s="1302" t="n"/>
      <c r="AB308" s="858" t="n"/>
      <c r="AC308" s="1302" t="n"/>
      <c r="AD308" s="1302" t="n"/>
      <c r="AE308" s="1302" t="inlineStr"/>
      <c r="AF308" s="1302" t="inlineStr"/>
      <c r="AG308" s="1302" t="inlineStr"/>
      <c r="AH308" s="1302" t="n"/>
      <c r="AI308" s="1302" t="n"/>
      <c r="AJ308" s="1302" t="n"/>
      <c r="AK308" s="1302">
        <f>AI308-AJ308</f>
        <v/>
      </c>
      <c r="AL308" s="858" t="n"/>
      <c r="AM308" s="1297" t="inlineStr"/>
      <c r="AN308" s="1298" t="n"/>
      <c r="AO308" s="13">
        <f>IF(_epmOfflineCondition_,0,EPMSaveDataOnly(AB308,,AB$29,AB$25,AB$26,AB$31,AB$32,$AA$37,AO$14,AO$15,AO$16,AO$17,AO$18,X308))</f>
        <v/>
      </c>
      <c r="AP308" s="13">
        <f>IF(_epmOfflineCondition_,0,EPMSaveDataOnly(AL308,,AL$29,AL$25,AL$26,AL$31,AL$32,$AA$37,AP$14,AP$15,AP$16,AP$17,AP$18,$X308))</f>
        <v/>
      </c>
      <c r="AQ308" s="13">
        <f>IF(_epmOfflineCondition_,0,EPMSaveData(AM308,,AM$29,AM$25,AM$26,$C$6,AM$32,$AA$37,AQ$14,AQ$15,AQ$16,AQ$17,AQ$18,$X308))</f>
        <v/>
      </c>
      <c r="AR308" s="13">
        <f>IF(_epmOfflineCondition_,0,EPMSaveDataOnly(AN308,,AN$29,AN$25,AN$26,AN$31,AN$32,$AA$37,AR$14,AR$15,AR$16,AR$17,AR$18,$X308))</f>
        <v/>
      </c>
      <c r="AS308" s="384" t="n"/>
    </row>
    <row r="309" hidden="1" ht="15.75" customHeight="1" s="1181">
      <c r="A309" s="384" t="n"/>
      <c r="B309" s="384" t="n"/>
      <c r="C309" s="384" t="n"/>
      <c r="D309" s="384" t="n"/>
      <c r="E309" s="384" t="n"/>
      <c r="F309" s="384" t="n"/>
      <c r="G309" s="384" t="n"/>
      <c r="H309" s="384" t="n"/>
      <c r="I309" s="384" t="n"/>
      <c r="J309" s="384" t="n"/>
      <c r="K309" s="384" t="n"/>
      <c r="L309" s="384" t="n"/>
      <c r="M309" s="384" t="n"/>
      <c r="N309" s="384" t="n"/>
      <c r="O309" s="384" t="n"/>
      <c r="P309" s="384" t="n"/>
      <c r="Q309" s="384" t="n"/>
      <c r="R309" s="384" t="n"/>
      <c r="S309" s="384" t="n"/>
      <c r="T309" s="384" t="n"/>
      <c r="U309" s="384" t="n"/>
      <c r="V309" s="384" t="n"/>
      <c r="W309" s="384" t="n"/>
      <c r="X309" s="645">
        <f>IF(_epmOfflineCondition_,"I_E100325",EPMOlapMemberO("[C_INTERCO].[PARENTH1].[I_E100325]","","I_E100325","","000"))</f>
        <v/>
      </c>
      <c r="Y309" s="870">
        <f>IF(_epmOfflineCondition_,"北京京能房产租赁经营有限责任公司东城分公司",EPMMemberDesc(X309))</f>
        <v/>
      </c>
      <c r="Z309" s="1302" t="n"/>
      <c r="AA309" s="1302" t="n"/>
      <c r="AB309" s="858" t="n"/>
      <c r="AC309" s="1302" t="n"/>
      <c r="AD309" s="1302" t="n"/>
      <c r="AE309" s="1302" t="inlineStr"/>
      <c r="AF309" s="1302" t="inlineStr"/>
      <c r="AG309" s="1302" t="inlineStr"/>
      <c r="AH309" s="1302" t="n"/>
      <c r="AI309" s="1302" t="n"/>
      <c r="AJ309" s="1302" t="n"/>
      <c r="AK309" s="1302">
        <f>AI309-AJ309</f>
        <v/>
      </c>
      <c r="AL309" s="858" t="n"/>
      <c r="AM309" s="1297" t="inlineStr"/>
      <c r="AN309" s="1298" t="n"/>
      <c r="AO309" s="13">
        <f>IF(_epmOfflineCondition_,0,EPMSaveDataOnly(AB309,,AB$29,AB$25,AB$26,AB$31,AB$32,$AA$37,AO$14,AO$15,AO$16,AO$17,AO$18,X309))</f>
        <v/>
      </c>
      <c r="AP309" s="13">
        <f>IF(_epmOfflineCondition_,0,EPMSaveDataOnly(AL309,,AL$29,AL$25,AL$26,AL$31,AL$32,$AA$37,AP$14,AP$15,AP$16,AP$17,AP$18,$X309))</f>
        <v/>
      </c>
      <c r="AQ309" s="13">
        <f>IF(_epmOfflineCondition_,0,EPMSaveData(AM309,,AM$29,AM$25,AM$26,$C$6,AM$32,$AA$37,AQ$14,AQ$15,AQ$16,AQ$17,AQ$18,$X309))</f>
        <v/>
      </c>
      <c r="AR309" s="13">
        <f>IF(_epmOfflineCondition_,0,EPMSaveDataOnly(AN309,,AN$29,AN$25,AN$26,AN$31,AN$32,$AA$37,AR$14,AR$15,AR$16,AR$17,AR$18,$X309))</f>
        <v/>
      </c>
      <c r="AS309" s="384" t="n"/>
    </row>
    <row r="310" hidden="1" ht="15.75" customHeight="1" s="1181">
      <c r="A310" s="384" t="n"/>
      <c r="B310" s="384" t="n"/>
      <c r="C310" s="384" t="n"/>
      <c r="D310" s="384" t="n"/>
      <c r="E310" s="384" t="n"/>
      <c r="F310" s="384" t="n"/>
      <c r="G310" s="384" t="n"/>
      <c r="H310" s="384" t="n"/>
      <c r="I310" s="384" t="n"/>
      <c r="J310" s="384" t="n"/>
      <c r="K310" s="384" t="n"/>
      <c r="L310" s="384" t="n"/>
      <c r="M310" s="384" t="n"/>
      <c r="N310" s="384" t="n"/>
      <c r="O310" s="384" t="n"/>
      <c r="P310" s="384" t="n"/>
      <c r="Q310" s="384" t="n"/>
      <c r="R310" s="384" t="n"/>
      <c r="S310" s="384" t="n"/>
      <c r="T310" s="384" t="n"/>
      <c r="U310" s="384" t="n"/>
      <c r="V310" s="384" t="n"/>
      <c r="W310" s="384" t="n"/>
      <c r="X310" s="645">
        <f>IF(_epmOfflineCondition_,"I_E100326",EPMOlapMemberO("[C_INTERCO].[PARENTH1].[I_E100326]","","I_E100326","","000"))</f>
        <v/>
      </c>
      <c r="Y310" s="870">
        <f>IF(_epmOfflineCondition_,"北京金泰通华商贸有限责任公司",EPMMemberDesc(X310))</f>
        <v/>
      </c>
      <c r="Z310" s="1302" t="n"/>
      <c r="AA310" s="1302" t="n"/>
      <c r="AB310" s="858" t="n"/>
      <c r="AC310" s="1302" t="n"/>
      <c r="AD310" s="1302" t="n"/>
      <c r="AE310" s="1302" t="inlineStr"/>
      <c r="AF310" s="1302" t="inlineStr"/>
      <c r="AG310" s="1302" t="inlineStr"/>
      <c r="AH310" s="1302" t="n"/>
      <c r="AI310" s="1302" t="n"/>
      <c r="AJ310" s="1302" t="n"/>
      <c r="AK310" s="1302">
        <f>AI310-AJ310</f>
        <v/>
      </c>
      <c r="AL310" s="858" t="n"/>
      <c r="AM310" s="1297" t="inlineStr"/>
      <c r="AN310" s="1298" t="n"/>
      <c r="AO310" s="13">
        <f>IF(_epmOfflineCondition_,0,EPMSaveDataOnly(AB310,,AB$29,AB$25,AB$26,AB$31,AB$32,$AA$37,AO$14,AO$15,AO$16,AO$17,AO$18,X310))</f>
        <v/>
      </c>
      <c r="AP310" s="13">
        <f>IF(_epmOfflineCondition_,0,EPMSaveDataOnly(AL310,,AL$29,AL$25,AL$26,AL$31,AL$32,$AA$37,AP$14,AP$15,AP$16,AP$17,AP$18,$X310))</f>
        <v/>
      </c>
      <c r="AQ310" s="13">
        <f>IF(_epmOfflineCondition_,0,EPMSaveData(AM310,,AM$29,AM$25,AM$26,$C$6,AM$32,$AA$37,AQ$14,AQ$15,AQ$16,AQ$17,AQ$18,$X310))</f>
        <v/>
      </c>
      <c r="AR310" s="13">
        <f>IF(_epmOfflineCondition_,0,EPMSaveDataOnly(AN310,,AN$29,AN$25,AN$26,AN$31,AN$32,$AA$37,AR$14,AR$15,AR$16,AR$17,AR$18,$X310))</f>
        <v/>
      </c>
      <c r="AS310" s="384" t="n"/>
    </row>
    <row r="311" hidden="1" ht="15.75" customHeight="1" s="1181">
      <c r="A311" s="384" t="n"/>
      <c r="B311" s="384" t="n"/>
      <c r="C311" s="384" t="n"/>
      <c r="D311" s="384" t="n"/>
      <c r="E311" s="384" t="n"/>
      <c r="F311" s="384" t="n"/>
      <c r="G311" s="384" t="n"/>
      <c r="H311" s="384" t="n"/>
      <c r="I311" s="384" t="n"/>
      <c r="J311" s="384" t="n"/>
      <c r="K311" s="384" t="n"/>
      <c r="L311" s="384" t="n"/>
      <c r="M311" s="384" t="n"/>
      <c r="N311" s="384" t="n"/>
      <c r="O311" s="384" t="n"/>
      <c r="P311" s="384" t="n"/>
      <c r="Q311" s="384" t="n"/>
      <c r="R311" s="384" t="n"/>
      <c r="S311" s="384" t="n"/>
      <c r="T311" s="384" t="n"/>
      <c r="U311" s="384" t="n"/>
      <c r="V311" s="384" t="n"/>
      <c r="W311" s="384" t="n"/>
      <c r="X311" s="645">
        <f>IF(_epmOfflineCondition_,"I_E100327",EPMOlapMemberO("[C_INTERCO].[PARENTH1].[I_E100327]","","I_E100327","","000"))</f>
        <v/>
      </c>
      <c r="Y311" s="870">
        <f>IF(_epmOfflineCondition_,"北京金泰诚信经贸有限公司",EPMMemberDesc(X311))</f>
        <v/>
      </c>
      <c r="Z311" s="1302" t="n"/>
      <c r="AA311" s="1302" t="n"/>
      <c r="AB311" s="858" t="n"/>
      <c r="AC311" s="1302" t="n"/>
      <c r="AD311" s="1302" t="n"/>
      <c r="AE311" s="1302" t="inlineStr"/>
      <c r="AF311" s="1302" t="inlineStr"/>
      <c r="AG311" s="1302" t="inlineStr"/>
      <c r="AH311" s="1302" t="n"/>
      <c r="AI311" s="1302" t="n"/>
      <c r="AJ311" s="1302" t="n"/>
      <c r="AK311" s="1302">
        <f>AI311-AJ311</f>
        <v/>
      </c>
      <c r="AL311" s="858" t="n"/>
      <c r="AM311" s="1297" t="inlineStr"/>
      <c r="AN311" s="1298" t="n"/>
      <c r="AO311" s="13">
        <f>IF(_epmOfflineCondition_,0,EPMSaveDataOnly(AB311,,AB$29,AB$25,AB$26,AB$31,AB$32,$AA$37,AO$14,AO$15,AO$16,AO$17,AO$18,X311))</f>
        <v/>
      </c>
      <c r="AP311" s="13">
        <f>IF(_epmOfflineCondition_,0,EPMSaveDataOnly(AL311,,AL$29,AL$25,AL$26,AL$31,AL$32,$AA$37,AP$14,AP$15,AP$16,AP$17,AP$18,$X311))</f>
        <v/>
      </c>
      <c r="AQ311" s="13">
        <f>IF(_epmOfflineCondition_,0,EPMSaveData(AM311,,AM$29,AM$25,AM$26,$C$6,AM$32,$AA$37,AQ$14,AQ$15,AQ$16,AQ$17,AQ$18,$X311))</f>
        <v/>
      </c>
      <c r="AR311" s="13">
        <f>IF(_epmOfflineCondition_,0,EPMSaveDataOnly(AN311,,AN$29,AN$25,AN$26,AN$31,AN$32,$AA$37,AR$14,AR$15,AR$16,AR$17,AR$18,$X311))</f>
        <v/>
      </c>
      <c r="AS311" s="384" t="n"/>
    </row>
    <row r="312" hidden="1" ht="15.75" customHeight="1" s="1181">
      <c r="A312" s="384" t="n"/>
      <c r="B312" s="384" t="n"/>
      <c r="C312" s="384" t="n"/>
      <c r="D312" s="384" t="n"/>
      <c r="E312" s="384" t="n"/>
      <c r="F312" s="384" t="n"/>
      <c r="G312" s="384" t="n"/>
      <c r="H312" s="384" t="n"/>
      <c r="I312" s="384" t="n"/>
      <c r="J312" s="384" t="n"/>
      <c r="K312" s="384" t="n"/>
      <c r="L312" s="384" t="n"/>
      <c r="M312" s="384" t="n"/>
      <c r="N312" s="384" t="n"/>
      <c r="O312" s="384" t="n"/>
      <c r="P312" s="384" t="n"/>
      <c r="Q312" s="384" t="n"/>
      <c r="R312" s="384" t="n"/>
      <c r="S312" s="384" t="n"/>
      <c r="T312" s="384" t="n"/>
      <c r="U312" s="384" t="n"/>
      <c r="V312" s="384" t="n"/>
      <c r="W312" s="384" t="n"/>
      <c r="X312" s="645">
        <f>IF(_epmOfflineCondition_,"I_E100328",EPMOlapMemberO("[C_INTERCO].[PARENTH1].[I_E100328]","","I_E100328","","000"))</f>
        <v/>
      </c>
      <c r="Y312" s="870">
        <f>IF(_epmOfflineCondition_,"北京稻香村花市食品有限责任公司",EPMMemberDesc(X312))</f>
        <v/>
      </c>
      <c r="Z312" s="1302" t="n"/>
      <c r="AA312" s="1302" t="n"/>
      <c r="AB312" s="858" t="n"/>
      <c r="AC312" s="1302" t="n"/>
      <c r="AD312" s="1302" t="n"/>
      <c r="AE312" s="1302" t="inlineStr"/>
      <c r="AF312" s="1302" t="inlineStr"/>
      <c r="AG312" s="1302" t="inlineStr"/>
      <c r="AH312" s="1302" t="n"/>
      <c r="AI312" s="1302" t="n"/>
      <c r="AJ312" s="1302" t="n"/>
      <c r="AK312" s="1302">
        <f>AI312-AJ312</f>
        <v/>
      </c>
      <c r="AL312" s="858" t="n"/>
      <c r="AM312" s="1297" t="inlineStr"/>
      <c r="AN312" s="1298" t="n"/>
      <c r="AO312" s="13">
        <f>IF(_epmOfflineCondition_,0,EPMSaveDataOnly(AB312,,AB$29,AB$25,AB$26,AB$31,AB$32,$AA$37,AO$14,AO$15,AO$16,AO$17,AO$18,X312))</f>
        <v/>
      </c>
      <c r="AP312" s="13">
        <f>IF(_epmOfflineCondition_,0,EPMSaveDataOnly(AL312,,AL$29,AL$25,AL$26,AL$31,AL$32,$AA$37,AP$14,AP$15,AP$16,AP$17,AP$18,$X312))</f>
        <v/>
      </c>
      <c r="AQ312" s="13">
        <f>IF(_epmOfflineCondition_,0,EPMSaveData(AM312,,AM$29,AM$25,AM$26,$C$6,AM$32,$AA$37,AQ$14,AQ$15,AQ$16,AQ$17,AQ$18,$X312))</f>
        <v/>
      </c>
      <c r="AR312" s="13">
        <f>IF(_epmOfflineCondition_,0,EPMSaveDataOnly(AN312,,AN$29,AN$25,AN$26,AN$31,AN$32,$AA$37,AR$14,AR$15,AR$16,AR$17,AR$18,$X312))</f>
        <v/>
      </c>
      <c r="AS312" s="384" t="n"/>
    </row>
    <row r="313" hidden="1" ht="15.75" customHeight="1" s="1181">
      <c r="A313" s="384" t="n"/>
      <c r="B313" s="384" t="n"/>
      <c r="C313" s="384" t="n"/>
      <c r="D313" s="384" t="n"/>
      <c r="E313" s="384" t="n"/>
      <c r="F313" s="384" t="n"/>
      <c r="G313" s="384" t="n"/>
      <c r="H313" s="384" t="n"/>
      <c r="I313" s="384" t="n"/>
      <c r="J313" s="384" t="n"/>
      <c r="K313" s="384" t="n"/>
      <c r="L313" s="384" t="n"/>
      <c r="M313" s="384" t="n"/>
      <c r="N313" s="384" t="n"/>
      <c r="O313" s="384" t="n"/>
      <c r="P313" s="384" t="n"/>
      <c r="Q313" s="384" t="n"/>
      <c r="R313" s="384" t="n"/>
      <c r="S313" s="384" t="n"/>
      <c r="T313" s="384" t="n"/>
      <c r="U313" s="384" t="n"/>
      <c r="V313" s="384" t="n"/>
      <c r="W313" s="384" t="n"/>
      <c r="X313" s="645">
        <f>IF(_epmOfflineCondition_,"I_E100329",EPMOlapMemberO("[C_INTERCO].[PARENTH1].[I_E100329]","","I_E100329","","000"))</f>
        <v/>
      </c>
      <c r="Y313" s="870">
        <f>IF(_epmOfflineCondition_,"北京金泰汇通商贸有限公司",EPMMemberDesc(X313))</f>
        <v/>
      </c>
      <c r="Z313" s="1302" t="n"/>
      <c r="AA313" s="1302" t="n"/>
      <c r="AB313" s="858" t="n"/>
      <c r="AC313" s="1302" t="n"/>
      <c r="AD313" s="1302" t="n"/>
      <c r="AE313" s="1302" t="inlineStr"/>
      <c r="AF313" s="1302" t="inlineStr"/>
      <c r="AG313" s="1302" t="inlineStr"/>
      <c r="AH313" s="1302" t="n"/>
      <c r="AI313" s="1302" t="n"/>
      <c r="AJ313" s="1302" t="n"/>
      <c r="AK313" s="1302">
        <f>AI313-AJ313</f>
        <v/>
      </c>
      <c r="AL313" s="858" t="n"/>
      <c r="AM313" s="1297" t="inlineStr"/>
      <c r="AN313" s="1298" t="n"/>
      <c r="AO313" s="13">
        <f>IF(_epmOfflineCondition_,0,EPMSaveDataOnly(AB313,,AB$29,AB$25,AB$26,AB$31,AB$32,$AA$37,AO$14,AO$15,AO$16,AO$17,AO$18,X313))</f>
        <v/>
      </c>
      <c r="AP313" s="13">
        <f>IF(_epmOfflineCondition_,0,EPMSaveDataOnly(AL313,,AL$29,AL$25,AL$26,AL$31,AL$32,$AA$37,AP$14,AP$15,AP$16,AP$17,AP$18,$X313))</f>
        <v/>
      </c>
      <c r="AQ313" s="13">
        <f>IF(_epmOfflineCondition_,0,EPMSaveData(AM313,,AM$29,AM$25,AM$26,$C$6,AM$32,$AA$37,AQ$14,AQ$15,AQ$16,AQ$17,AQ$18,$X313))</f>
        <v/>
      </c>
      <c r="AR313" s="13">
        <f>IF(_epmOfflineCondition_,0,EPMSaveDataOnly(AN313,,AN$29,AN$25,AN$26,AN$31,AN$32,$AA$37,AR$14,AR$15,AR$16,AR$17,AR$18,$X313))</f>
        <v/>
      </c>
      <c r="AS313" s="384" t="n"/>
    </row>
    <row r="314" hidden="1" ht="15.75" customHeight="1" s="1181">
      <c r="A314" s="384" t="n"/>
      <c r="B314" s="384" t="n"/>
      <c r="C314" s="384" t="n"/>
      <c r="D314" s="384" t="n"/>
      <c r="E314" s="384" t="n"/>
      <c r="F314" s="384" t="n"/>
      <c r="G314" s="384" t="n"/>
      <c r="H314" s="384" t="n"/>
      <c r="I314" s="384" t="n"/>
      <c r="J314" s="384" t="n"/>
      <c r="K314" s="384" t="n"/>
      <c r="L314" s="384" t="n"/>
      <c r="M314" s="384" t="n"/>
      <c r="N314" s="384" t="n"/>
      <c r="O314" s="384" t="n"/>
      <c r="P314" s="384" t="n"/>
      <c r="Q314" s="384" t="n"/>
      <c r="R314" s="384" t="n"/>
      <c r="S314" s="384" t="n"/>
      <c r="T314" s="384" t="n"/>
      <c r="U314" s="384" t="n"/>
      <c r="V314" s="384" t="n"/>
      <c r="W314" s="384" t="n"/>
      <c r="X314" s="645">
        <f>IF(_epmOfflineCondition_,"I_E100332",EPMOlapMemberO("[C_INTERCO].[PARENTH1].[I_E100332]","","I_E100332","","000"))</f>
        <v/>
      </c>
      <c r="Y314" s="870">
        <f>IF(_epmOfflineCondition_,"北京鑫华源机械制造有限责任公司",EPMMemberDesc(X314))</f>
        <v/>
      </c>
      <c r="Z314" s="1302" t="n"/>
      <c r="AA314" s="1302" t="n"/>
      <c r="AB314" s="858" t="n"/>
      <c r="AC314" s="1302" t="n"/>
      <c r="AD314" s="1302" t="n"/>
      <c r="AE314" s="1302" t="inlineStr"/>
      <c r="AF314" s="1302" t="inlineStr"/>
      <c r="AG314" s="1302" t="inlineStr"/>
      <c r="AH314" s="1302" t="n"/>
      <c r="AI314" s="1302" t="n"/>
      <c r="AJ314" s="1302" t="n"/>
      <c r="AK314" s="1302">
        <f>AI314-AJ314</f>
        <v/>
      </c>
      <c r="AL314" s="858" t="n"/>
      <c r="AM314" s="1297" t="inlineStr"/>
      <c r="AN314" s="1298" t="n"/>
      <c r="AO314" s="13">
        <f>IF(_epmOfflineCondition_,0,EPMSaveDataOnly(AB314,,AB$29,AB$25,AB$26,AB$31,AB$32,$AA$37,AO$14,AO$15,AO$16,AO$17,AO$18,X314))</f>
        <v/>
      </c>
      <c r="AP314" s="13">
        <f>IF(_epmOfflineCondition_,0,EPMSaveDataOnly(AL314,,AL$29,AL$25,AL$26,AL$31,AL$32,$AA$37,AP$14,AP$15,AP$16,AP$17,AP$18,$X314))</f>
        <v/>
      </c>
      <c r="AQ314" s="13">
        <f>IF(_epmOfflineCondition_,0,EPMSaveData(AM314,,AM$29,AM$25,AM$26,$C$6,AM$32,$AA$37,AQ$14,AQ$15,AQ$16,AQ$17,AQ$18,$X314))</f>
        <v/>
      </c>
      <c r="AR314" s="13">
        <f>IF(_epmOfflineCondition_,0,EPMSaveDataOnly(AN314,,AN$29,AN$25,AN$26,AN$31,AN$32,$AA$37,AR$14,AR$15,AR$16,AR$17,AR$18,$X314))</f>
        <v/>
      </c>
      <c r="AS314" s="384" t="n"/>
    </row>
    <row r="315" hidden="1" ht="15.75" customHeight="1" s="1181">
      <c r="A315" s="384" t="n"/>
      <c r="B315" s="384" t="n"/>
      <c r="C315" s="384" t="n"/>
      <c r="D315" s="384" t="n"/>
      <c r="E315" s="384" t="n"/>
      <c r="F315" s="384" t="n"/>
      <c r="G315" s="384" t="n"/>
      <c r="H315" s="384" t="n"/>
      <c r="I315" s="384" t="n"/>
      <c r="J315" s="384" t="n"/>
      <c r="K315" s="384" t="n"/>
      <c r="L315" s="384" t="n"/>
      <c r="M315" s="384" t="n"/>
      <c r="N315" s="384" t="n"/>
      <c r="O315" s="384" t="n"/>
      <c r="P315" s="384" t="n"/>
      <c r="Q315" s="384" t="n"/>
      <c r="R315" s="384" t="n"/>
      <c r="S315" s="384" t="n"/>
      <c r="T315" s="384" t="n"/>
      <c r="U315" s="384" t="n"/>
      <c r="V315" s="384" t="n"/>
      <c r="W315" s="384" t="n"/>
      <c r="X315" s="645">
        <f>IF(_epmOfflineCondition_,"I_E100333",EPMOlapMemberO("[C_INTERCO].[PARENTH1].[I_E100333]","","I_E100333","","000"))</f>
        <v/>
      </c>
      <c r="Y315" s="870">
        <f>IF(_epmOfflineCondition_,"安徽马钢智能立体停车设备有限公司（2024.08注销）",EPMMemberDesc(X315))</f>
        <v/>
      </c>
      <c r="Z315" s="1302" t="n"/>
      <c r="AA315" s="1302" t="n"/>
      <c r="AB315" s="858" t="n"/>
      <c r="AC315" s="1302" t="n"/>
      <c r="AD315" s="1302" t="n"/>
      <c r="AE315" s="1302" t="inlineStr"/>
      <c r="AF315" s="1302" t="inlineStr"/>
      <c r="AG315" s="1302" t="inlineStr"/>
      <c r="AH315" s="1302" t="n"/>
      <c r="AI315" s="1302" t="n"/>
      <c r="AJ315" s="1302" t="n"/>
      <c r="AK315" s="1302">
        <f>AI315-AJ315</f>
        <v/>
      </c>
      <c r="AL315" s="858" t="n"/>
      <c r="AM315" s="1297" t="inlineStr"/>
      <c r="AN315" s="1298" t="n"/>
      <c r="AO315" s="13">
        <f>IF(_epmOfflineCondition_,0,EPMSaveDataOnly(AB315,,AB$29,AB$25,AB$26,AB$31,AB$32,$AA$37,AO$14,AO$15,AO$16,AO$17,AO$18,X315))</f>
        <v/>
      </c>
      <c r="AP315" s="13">
        <f>IF(_epmOfflineCondition_,0,EPMSaveDataOnly(AL315,,AL$29,AL$25,AL$26,AL$31,AL$32,$AA$37,AP$14,AP$15,AP$16,AP$17,AP$18,$X315))</f>
        <v/>
      </c>
      <c r="AQ315" s="13">
        <f>IF(_epmOfflineCondition_,0,EPMSaveData(AM315,,AM$29,AM$25,AM$26,$C$6,AM$32,$AA$37,AQ$14,AQ$15,AQ$16,AQ$17,AQ$18,$X315))</f>
        <v/>
      </c>
      <c r="AR315" s="13">
        <f>IF(_epmOfflineCondition_,0,EPMSaveDataOnly(AN315,,AN$29,AN$25,AN$26,AN$31,AN$32,$AA$37,AR$14,AR$15,AR$16,AR$17,AR$18,$X315))</f>
        <v/>
      </c>
      <c r="AS315" s="384" t="n"/>
    </row>
    <row r="316" hidden="1" ht="15.75" customHeight="1" s="1181">
      <c r="A316" s="384" t="n"/>
      <c r="B316" s="384" t="n"/>
      <c r="C316" s="384" t="n"/>
      <c r="D316" s="384" t="n"/>
      <c r="E316" s="384" t="n"/>
      <c r="F316" s="384" t="n"/>
      <c r="G316" s="384" t="n"/>
      <c r="H316" s="384" t="n"/>
      <c r="I316" s="384" t="n"/>
      <c r="J316" s="384" t="n"/>
      <c r="K316" s="384" t="n"/>
      <c r="L316" s="384" t="n"/>
      <c r="M316" s="384" t="n"/>
      <c r="N316" s="384" t="n"/>
      <c r="O316" s="384" t="n"/>
      <c r="P316" s="384" t="n"/>
      <c r="Q316" s="384" t="n"/>
      <c r="R316" s="384" t="n"/>
      <c r="S316" s="384" t="n"/>
      <c r="T316" s="384" t="n"/>
      <c r="U316" s="384" t="n"/>
      <c r="V316" s="384" t="n"/>
      <c r="W316" s="384" t="n"/>
      <c r="X316" s="645">
        <f>IF(_epmOfflineCondition_,"I_E100334",EPMOlapMemberO("[C_INTERCO].[PARENTH1].[I_E100334]","","I_E100334","","000"))</f>
        <v/>
      </c>
      <c r="Y316" s="870">
        <f>IF(_epmOfflineCondition_,"鑫华源曹妃甸智能停车设备制造有限责任公司",EPMMemberDesc(X316))</f>
        <v/>
      </c>
      <c r="Z316" s="1302" t="n"/>
      <c r="AA316" s="1302" t="n"/>
      <c r="AB316" s="858" t="n"/>
      <c r="AC316" s="1302" t="n"/>
      <c r="AD316" s="1302" t="n"/>
      <c r="AE316" s="1302" t="inlineStr"/>
      <c r="AF316" s="1302" t="inlineStr"/>
      <c r="AG316" s="1302" t="inlineStr"/>
      <c r="AH316" s="1302" t="n"/>
      <c r="AI316" s="1302" t="n"/>
      <c r="AJ316" s="1302" t="n"/>
      <c r="AK316" s="1302">
        <f>AI316-AJ316</f>
        <v/>
      </c>
      <c r="AL316" s="858" t="n"/>
      <c r="AM316" s="1297" t="inlineStr"/>
      <c r="AN316" s="1298" t="n"/>
      <c r="AO316" s="13">
        <f>IF(_epmOfflineCondition_,0,EPMSaveDataOnly(AB316,,AB$29,AB$25,AB$26,AB$31,AB$32,$AA$37,AO$14,AO$15,AO$16,AO$17,AO$18,X316))</f>
        <v/>
      </c>
      <c r="AP316" s="13">
        <f>IF(_epmOfflineCondition_,0,EPMSaveDataOnly(AL316,,AL$29,AL$25,AL$26,AL$31,AL$32,$AA$37,AP$14,AP$15,AP$16,AP$17,AP$18,$X316))</f>
        <v/>
      </c>
      <c r="AQ316" s="13">
        <f>IF(_epmOfflineCondition_,0,EPMSaveData(AM316,,AM$29,AM$25,AM$26,$C$6,AM$32,$AA$37,AQ$14,AQ$15,AQ$16,AQ$17,AQ$18,$X316))</f>
        <v/>
      </c>
      <c r="AR316" s="13">
        <f>IF(_epmOfflineCondition_,0,EPMSaveDataOnly(AN316,,AN$29,AN$25,AN$26,AN$31,AN$32,$AA$37,AR$14,AR$15,AR$16,AR$17,AR$18,$X316))</f>
        <v/>
      </c>
      <c r="AS316" s="384" t="n"/>
    </row>
    <row r="317" hidden="1" ht="15.75" customHeight="1" s="1181">
      <c r="A317" s="384" t="n"/>
      <c r="B317" s="384" t="n"/>
      <c r="C317" s="384" t="n"/>
      <c r="D317" s="384" t="n"/>
      <c r="E317" s="384" t="n"/>
      <c r="F317" s="384" t="n"/>
      <c r="G317" s="384" t="n"/>
      <c r="H317" s="384" t="n"/>
      <c r="I317" s="384" t="n"/>
      <c r="J317" s="384" t="n"/>
      <c r="K317" s="384" t="n"/>
      <c r="L317" s="384" t="n"/>
      <c r="M317" s="384" t="n"/>
      <c r="N317" s="384" t="n"/>
      <c r="O317" s="384" t="n"/>
      <c r="P317" s="384" t="n"/>
      <c r="Q317" s="384" t="n"/>
      <c r="R317" s="384" t="n"/>
      <c r="S317" s="384" t="n"/>
      <c r="T317" s="384" t="n"/>
      <c r="U317" s="384" t="n"/>
      <c r="V317" s="384" t="n"/>
      <c r="W317" s="384" t="n"/>
      <c r="X317" s="645">
        <f>IF(_epmOfflineCondition_,"I_E100344",EPMOlapMemberO("[C_INTERCO].[PARENTH1].[I_E100344]","","I_E100344","","000"))</f>
        <v/>
      </c>
      <c r="Y317" s="870">
        <f>IF(_epmOfflineCondition_,"北京京煤集团总医院",EPMMemberDesc(X317))</f>
        <v/>
      </c>
      <c r="Z317" s="1302" t="n"/>
      <c r="AA317" s="1302" t="n"/>
      <c r="AB317" s="858" t="n"/>
      <c r="AC317" s="1302" t="n"/>
      <c r="AD317" s="1302" t="n"/>
      <c r="AE317" s="1302" t="inlineStr"/>
      <c r="AF317" s="1302" t="inlineStr"/>
      <c r="AG317" s="1302" t="inlineStr"/>
      <c r="AH317" s="1302" t="n"/>
      <c r="AI317" s="1302" t="n"/>
      <c r="AJ317" s="1302" t="n"/>
      <c r="AK317" s="1302">
        <f>AI317-AJ317</f>
        <v/>
      </c>
      <c r="AL317" s="858" t="n"/>
      <c r="AM317" s="1297" t="inlineStr"/>
      <c r="AN317" s="1298" t="n"/>
      <c r="AO317" s="13">
        <f>IF(_epmOfflineCondition_,0,EPMSaveDataOnly(AB317,,AB$29,AB$25,AB$26,AB$31,AB$32,$AA$37,AO$14,AO$15,AO$16,AO$17,AO$18,X317))</f>
        <v/>
      </c>
      <c r="AP317" s="13">
        <f>IF(_epmOfflineCondition_,0,EPMSaveDataOnly(AL317,,AL$29,AL$25,AL$26,AL$31,AL$32,$AA$37,AP$14,AP$15,AP$16,AP$17,AP$18,$X317))</f>
        <v/>
      </c>
      <c r="AQ317" s="13">
        <f>IF(_epmOfflineCondition_,0,EPMSaveData(AM317,,AM$29,AM$25,AM$26,$C$6,AM$32,$AA$37,AQ$14,AQ$15,AQ$16,AQ$17,AQ$18,$X317))</f>
        <v/>
      </c>
      <c r="AR317" s="13">
        <f>IF(_epmOfflineCondition_,0,EPMSaveDataOnly(AN317,,AN$29,AN$25,AN$26,AN$31,AN$32,$AA$37,AR$14,AR$15,AR$16,AR$17,AR$18,$X317))</f>
        <v/>
      </c>
      <c r="AS317" s="384" t="n"/>
    </row>
    <row r="318" hidden="1" ht="15.75" customHeight="1" s="1181">
      <c r="A318" s="384" t="n"/>
      <c r="B318" s="384" t="n"/>
      <c r="C318" s="384" t="n"/>
      <c r="D318" s="384" t="n"/>
      <c r="E318" s="384" t="n"/>
      <c r="F318" s="384" t="n"/>
      <c r="G318" s="384" t="n"/>
      <c r="H318" s="384" t="n"/>
      <c r="I318" s="384" t="n"/>
      <c r="J318" s="384" t="n"/>
      <c r="K318" s="384" t="n"/>
      <c r="L318" s="384" t="n"/>
      <c r="M318" s="384" t="n"/>
      <c r="N318" s="384" t="n"/>
      <c r="O318" s="384" t="n"/>
      <c r="P318" s="384" t="n"/>
      <c r="Q318" s="384" t="n"/>
      <c r="R318" s="384" t="n"/>
      <c r="S318" s="384" t="n"/>
      <c r="T318" s="384" t="n"/>
      <c r="U318" s="384" t="n"/>
      <c r="V318" s="384" t="n"/>
      <c r="W318" s="384" t="n"/>
      <c r="X318" s="645">
        <f>IF(_epmOfflineCondition_,"I_E100345",EPMOlapMemberO("[C_INTERCO].[PARENTH1].[I_E100345]","","I_E100345","","000"))</f>
        <v/>
      </c>
      <c r="Y318" s="870">
        <f>IF(_epmOfflineCondition_,"北京京能颐寿养老服务有限公司",EPMMemberDesc(X318))</f>
        <v/>
      </c>
      <c r="Z318" s="1302" t="n"/>
      <c r="AA318" s="1302" t="n"/>
      <c r="AB318" s="858" t="n"/>
      <c r="AC318" s="1302" t="n"/>
      <c r="AD318" s="1302" t="n"/>
      <c r="AE318" s="1302" t="inlineStr"/>
      <c r="AF318" s="1302" t="inlineStr"/>
      <c r="AG318" s="1302" t="inlineStr"/>
      <c r="AH318" s="1302" t="n"/>
      <c r="AI318" s="1302" t="n"/>
      <c r="AJ318" s="1302" t="n"/>
      <c r="AK318" s="1302">
        <f>AI318-AJ318</f>
        <v/>
      </c>
      <c r="AL318" s="858" t="n"/>
      <c r="AM318" s="1297" t="inlineStr"/>
      <c r="AN318" s="1298" t="n"/>
      <c r="AO318" s="13">
        <f>IF(_epmOfflineCondition_,0,EPMSaveDataOnly(AB318,,AB$29,AB$25,AB$26,AB$31,AB$32,$AA$37,AO$14,AO$15,AO$16,AO$17,AO$18,X318))</f>
        <v/>
      </c>
      <c r="AP318" s="13">
        <f>IF(_epmOfflineCondition_,0,EPMSaveDataOnly(AL318,,AL$29,AL$25,AL$26,AL$31,AL$32,$AA$37,AP$14,AP$15,AP$16,AP$17,AP$18,$X318))</f>
        <v/>
      </c>
      <c r="AQ318" s="13">
        <f>IF(_epmOfflineCondition_,0,EPMSaveData(AM318,,AM$29,AM$25,AM$26,$C$6,AM$32,$AA$37,AQ$14,AQ$15,AQ$16,AQ$17,AQ$18,$X318))</f>
        <v/>
      </c>
      <c r="AR318" s="13">
        <f>IF(_epmOfflineCondition_,0,EPMSaveDataOnly(AN318,,AN$29,AN$25,AN$26,AN$31,AN$32,$AA$37,AR$14,AR$15,AR$16,AR$17,AR$18,$X318))</f>
        <v/>
      </c>
      <c r="AS318" s="384" t="n"/>
    </row>
    <row r="319" hidden="1" ht="15.75" customHeight="1" s="1181">
      <c r="A319" s="384" t="n"/>
      <c r="B319" s="384" t="n"/>
      <c r="C319" s="384" t="n"/>
      <c r="D319" s="384" t="n"/>
      <c r="E319" s="384" t="n"/>
      <c r="F319" s="384" t="n"/>
      <c r="G319" s="384" t="n"/>
      <c r="H319" s="384" t="n"/>
      <c r="I319" s="384" t="n"/>
      <c r="J319" s="384" t="n"/>
      <c r="K319" s="384" t="n"/>
      <c r="L319" s="384" t="n"/>
      <c r="M319" s="384" t="n"/>
      <c r="N319" s="384" t="n"/>
      <c r="O319" s="384" t="n"/>
      <c r="P319" s="384" t="n"/>
      <c r="Q319" s="384" t="n"/>
      <c r="R319" s="384" t="n"/>
      <c r="S319" s="384" t="n"/>
      <c r="T319" s="384" t="n"/>
      <c r="U319" s="384" t="n"/>
      <c r="V319" s="384" t="n"/>
      <c r="W319" s="384" t="n"/>
      <c r="X319" s="645">
        <f>IF(_epmOfflineCondition_,"I_E100346",EPMOlapMemberO("[C_INTERCO].[PARENTH1].[I_E100346]","","I_E100346","","000"))</f>
        <v/>
      </c>
      <c r="Y319" s="870">
        <f>IF(_epmOfflineCondition_,"北京颐寿轩敬老院",EPMMemberDesc(X319))</f>
        <v/>
      </c>
      <c r="Z319" s="1302" t="n"/>
      <c r="AA319" s="1302" t="n"/>
      <c r="AB319" s="858" t="n"/>
      <c r="AC319" s="1302" t="n"/>
      <c r="AD319" s="1302" t="n"/>
      <c r="AE319" s="1302" t="inlineStr"/>
      <c r="AF319" s="1302" t="inlineStr"/>
      <c r="AG319" s="1302" t="inlineStr"/>
      <c r="AH319" s="1302" t="n"/>
      <c r="AI319" s="1302" t="n"/>
      <c r="AJ319" s="1302" t="n"/>
      <c r="AK319" s="1302">
        <f>AI319-AJ319</f>
        <v/>
      </c>
      <c r="AL319" s="858" t="n"/>
      <c r="AM319" s="1297" t="inlineStr"/>
      <c r="AN319" s="1298" t="n"/>
      <c r="AO319" s="13">
        <f>IF(_epmOfflineCondition_,0,EPMSaveDataOnly(AB319,,AB$29,AB$25,AB$26,AB$31,AB$32,$AA$37,AO$14,AO$15,AO$16,AO$17,AO$18,X319))</f>
        <v/>
      </c>
      <c r="AP319" s="13">
        <f>IF(_epmOfflineCondition_,0,EPMSaveDataOnly(AL319,,AL$29,AL$25,AL$26,AL$31,AL$32,$AA$37,AP$14,AP$15,AP$16,AP$17,AP$18,$X319))</f>
        <v/>
      </c>
      <c r="AQ319" s="13">
        <f>IF(_epmOfflineCondition_,0,EPMSaveData(AM319,,AM$29,AM$25,AM$26,$C$6,AM$32,$AA$37,AQ$14,AQ$15,AQ$16,AQ$17,AQ$18,$X319))</f>
        <v/>
      </c>
      <c r="AR319" s="13">
        <f>IF(_epmOfflineCondition_,0,EPMSaveDataOnly(AN319,,AN$29,AN$25,AN$26,AN$31,AN$32,$AA$37,AR$14,AR$15,AR$16,AR$17,AR$18,$X319))</f>
        <v/>
      </c>
      <c r="AS319" s="384" t="n"/>
    </row>
    <row r="320" hidden="1" ht="15.75" customHeight="1" s="1181">
      <c r="A320" s="384" t="n"/>
      <c r="B320" s="384" t="n"/>
      <c r="C320" s="384" t="n"/>
      <c r="D320" s="384" t="n"/>
      <c r="E320" s="384" t="n"/>
      <c r="F320" s="384" t="n"/>
      <c r="G320" s="384" t="n"/>
      <c r="H320" s="384" t="n"/>
      <c r="I320" s="384" t="n"/>
      <c r="J320" s="384" t="n"/>
      <c r="K320" s="384" t="n"/>
      <c r="L320" s="384" t="n"/>
      <c r="M320" s="384" t="n"/>
      <c r="N320" s="384" t="n"/>
      <c r="O320" s="384" t="n"/>
      <c r="P320" s="384" t="n"/>
      <c r="Q320" s="384" t="n"/>
      <c r="R320" s="384" t="n"/>
      <c r="S320" s="384" t="n"/>
      <c r="T320" s="384" t="n"/>
      <c r="U320" s="384" t="n"/>
      <c r="V320" s="384" t="n"/>
      <c r="W320" s="384" t="n"/>
      <c r="X320" s="645">
        <f>IF(_epmOfflineCondition_,"I_E100349",EPMOlapMemberO("[C_INTERCO].[PARENTH1].[I_E100349]","","I_E100349","","000"))</f>
        <v/>
      </c>
      <c r="Y320" s="870">
        <f>IF(_epmOfflineCondition_,"北京金泰恒业晟通商贸有限公司",EPMMemberDesc(X320))</f>
        <v/>
      </c>
      <c r="Z320" s="1302" t="n"/>
      <c r="AA320" s="1302" t="n"/>
      <c r="AB320" s="858" t="n"/>
      <c r="AC320" s="1302" t="n"/>
      <c r="AD320" s="1302" t="n"/>
      <c r="AE320" s="1302" t="inlineStr"/>
      <c r="AF320" s="1302" t="inlineStr"/>
      <c r="AG320" s="1302" t="inlineStr"/>
      <c r="AH320" s="1302" t="n"/>
      <c r="AI320" s="1302" t="n"/>
      <c r="AJ320" s="1302" t="n"/>
      <c r="AK320" s="1302">
        <f>AI320-AJ320</f>
        <v/>
      </c>
      <c r="AL320" s="858" t="n"/>
      <c r="AM320" s="1297" t="inlineStr"/>
      <c r="AN320" s="1298" t="n"/>
      <c r="AO320" s="13">
        <f>IF(_epmOfflineCondition_,0,EPMSaveDataOnly(AB320,,AB$29,AB$25,AB$26,AB$31,AB$32,$AA$37,AO$14,AO$15,AO$16,AO$17,AO$18,X320))</f>
        <v/>
      </c>
      <c r="AP320" s="13">
        <f>IF(_epmOfflineCondition_,0,EPMSaveDataOnly(AL320,,AL$29,AL$25,AL$26,AL$31,AL$32,$AA$37,AP$14,AP$15,AP$16,AP$17,AP$18,$X320))</f>
        <v/>
      </c>
      <c r="AQ320" s="13">
        <f>IF(_epmOfflineCondition_,0,EPMSaveData(AM320,,AM$29,AM$25,AM$26,$C$6,AM$32,$AA$37,AQ$14,AQ$15,AQ$16,AQ$17,AQ$18,$X320))</f>
        <v/>
      </c>
      <c r="AR320" s="13">
        <f>IF(_epmOfflineCondition_,0,EPMSaveDataOnly(AN320,,AN$29,AN$25,AN$26,AN$31,AN$32,$AA$37,AR$14,AR$15,AR$16,AR$17,AR$18,$X320))</f>
        <v/>
      </c>
      <c r="AS320" s="384" t="n"/>
    </row>
    <row r="321" hidden="1" ht="15.75" customHeight="1" s="1181">
      <c r="A321" s="384" t="n"/>
      <c r="B321" s="384" t="n"/>
      <c r="C321" s="384" t="n"/>
      <c r="D321" s="384" t="n"/>
      <c r="E321" s="384" t="n"/>
      <c r="F321" s="384" t="n"/>
      <c r="G321" s="384" t="n"/>
      <c r="H321" s="384" t="n"/>
      <c r="I321" s="384" t="n"/>
      <c r="J321" s="384" t="n"/>
      <c r="K321" s="384" t="n"/>
      <c r="L321" s="384" t="n"/>
      <c r="M321" s="384" t="n"/>
      <c r="N321" s="384" t="n"/>
      <c r="O321" s="384" t="n"/>
      <c r="P321" s="384" t="n"/>
      <c r="Q321" s="384" t="n"/>
      <c r="R321" s="384" t="n"/>
      <c r="S321" s="384" t="n"/>
      <c r="T321" s="384" t="n"/>
      <c r="U321" s="384" t="n"/>
      <c r="V321" s="384" t="n"/>
      <c r="W321" s="384" t="n"/>
      <c r="X321" s="645">
        <f>IF(_epmOfflineCondition_,"I_E100351",EPMOlapMemberO("[C_INTERCO].[PARENTH1].[I_E100351]","","I_E100351","","000"))</f>
        <v/>
      </c>
      <c r="Y321" s="870">
        <f>IF(_epmOfflineCondition_,"北京京能房产租赁经营有限责任公司海淀分公司",EPMMemberDesc(X321))</f>
        <v/>
      </c>
      <c r="Z321" s="1302" t="n"/>
      <c r="AA321" s="1302" t="n"/>
      <c r="AB321" s="858" t="n"/>
      <c r="AC321" s="1302" t="n"/>
      <c r="AD321" s="1302" t="n"/>
      <c r="AE321" s="1302" t="inlineStr"/>
      <c r="AF321" s="1302" t="inlineStr"/>
      <c r="AG321" s="1302" t="inlineStr"/>
      <c r="AH321" s="1302" t="n"/>
      <c r="AI321" s="1302" t="n"/>
      <c r="AJ321" s="1302" t="n"/>
      <c r="AK321" s="1302">
        <f>AI321-AJ321</f>
        <v/>
      </c>
      <c r="AL321" s="858" t="n"/>
      <c r="AM321" s="1297" t="inlineStr"/>
      <c r="AN321" s="1298" t="n"/>
      <c r="AO321" s="13">
        <f>IF(_epmOfflineCondition_,0,EPMSaveDataOnly(AB321,,AB$29,AB$25,AB$26,AB$31,AB$32,$AA$37,AO$14,AO$15,AO$16,AO$17,AO$18,X321))</f>
        <v/>
      </c>
      <c r="AP321" s="13">
        <f>IF(_epmOfflineCondition_,0,EPMSaveDataOnly(AL321,,AL$29,AL$25,AL$26,AL$31,AL$32,$AA$37,AP$14,AP$15,AP$16,AP$17,AP$18,$X321))</f>
        <v/>
      </c>
      <c r="AQ321" s="13">
        <f>IF(_epmOfflineCondition_,0,EPMSaveData(AM321,,AM$29,AM$25,AM$26,$C$6,AM$32,$AA$37,AQ$14,AQ$15,AQ$16,AQ$17,AQ$18,$X321))</f>
        <v/>
      </c>
      <c r="AR321" s="13">
        <f>IF(_epmOfflineCondition_,0,EPMSaveDataOnly(AN321,,AN$29,AN$25,AN$26,AN$31,AN$32,$AA$37,AR$14,AR$15,AR$16,AR$17,AR$18,$X321))</f>
        <v/>
      </c>
      <c r="AS321" s="384" t="n"/>
    </row>
    <row r="322" hidden="1" ht="15.75" customHeight="1" s="1181">
      <c r="A322" s="384" t="n"/>
      <c r="B322" s="384" t="n"/>
      <c r="C322" s="384" t="n"/>
      <c r="D322" s="384" t="n"/>
      <c r="E322" s="384" t="n"/>
      <c r="F322" s="384" t="n"/>
      <c r="G322" s="384" t="n"/>
      <c r="H322" s="384" t="n"/>
      <c r="I322" s="384" t="n"/>
      <c r="J322" s="384" t="n"/>
      <c r="K322" s="384" t="n"/>
      <c r="L322" s="384" t="n"/>
      <c r="M322" s="384" t="n"/>
      <c r="N322" s="384" t="n"/>
      <c r="O322" s="384" t="n"/>
      <c r="P322" s="384" t="n"/>
      <c r="Q322" s="384" t="n"/>
      <c r="R322" s="384" t="n"/>
      <c r="S322" s="384" t="n"/>
      <c r="T322" s="384" t="n"/>
      <c r="U322" s="384" t="n"/>
      <c r="V322" s="384" t="n"/>
      <c r="W322" s="384" t="n"/>
      <c r="X322" s="645">
        <f>IF(_epmOfflineCondition_,"I_E100352",EPMOlapMemberO("[C_INTERCO].[PARENTH1].[I_E100352]","","I_E100352","","000"))</f>
        <v/>
      </c>
      <c r="Y322" s="870">
        <f>IF(_epmOfflineCondition_,"北京京能房产租赁经营有限责任公司房屋租赁分公司",EPMMemberDesc(X322))</f>
        <v/>
      </c>
      <c r="Z322" s="1302" t="n"/>
      <c r="AA322" s="1302" t="n"/>
      <c r="AB322" s="858" t="n"/>
      <c r="AC322" s="1302" t="n"/>
      <c r="AD322" s="1302" t="n"/>
      <c r="AE322" s="1302" t="inlineStr"/>
      <c r="AF322" s="1302" t="inlineStr"/>
      <c r="AG322" s="1302" t="inlineStr"/>
      <c r="AH322" s="1302" t="n"/>
      <c r="AI322" s="1302" t="n"/>
      <c r="AJ322" s="1302" t="n"/>
      <c r="AK322" s="1302">
        <f>AI322-AJ322</f>
        <v/>
      </c>
      <c r="AL322" s="858" t="n"/>
      <c r="AM322" s="1297" t="inlineStr"/>
      <c r="AN322" s="1298" t="n"/>
      <c r="AO322" s="13">
        <f>IF(_epmOfflineCondition_,0,EPMSaveDataOnly(AB322,,AB$29,AB$25,AB$26,AB$31,AB$32,$AA$37,AO$14,AO$15,AO$16,AO$17,AO$18,X322))</f>
        <v/>
      </c>
      <c r="AP322" s="13">
        <f>IF(_epmOfflineCondition_,0,EPMSaveDataOnly(AL322,,AL$29,AL$25,AL$26,AL$31,AL$32,$AA$37,AP$14,AP$15,AP$16,AP$17,AP$18,$X322))</f>
        <v/>
      </c>
      <c r="AQ322" s="13">
        <f>IF(_epmOfflineCondition_,0,EPMSaveData(AM322,,AM$29,AM$25,AM$26,$C$6,AM$32,$AA$37,AQ$14,AQ$15,AQ$16,AQ$17,AQ$18,$X322))</f>
        <v/>
      </c>
      <c r="AR322" s="13">
        <f>IF(_epmOfflineCondition_,0,EPMSaveDataOnly(AN322,,AN$29,AN$25,AN$26,AN$31,AN$32,$AA$37,AR$14,AR$15,AR$16,AR$17,AR$18,$X322))</f>
        <v/>
      </c>
      <c r="AS322" s="384" t="n"/>
    </row>
    <row r="323" hidden="1" ht="15.75" customHeight="1" s="1181">
      <c r="A323" s="384" t="n"/>
      <c r="B323" s="384" t="n"/>
      <c r="C323" s="384" t="n"/>
      <c r="D323" s="384" t="n"/>
      <c r="E323" s="384" t="n"/>
      <c r="F323" s="384" t="n"/>
      <c r="G323" s="384" t="n"/>
      <c r="H323" s="384" t="n"/>
      <c r="I323" s="384" t="n"/>
      <c r="J323" s="384" t="n"/>
      <c r="K323" s="384" t="n"/>
      <c r="L323" s="384" t="n"/>
      <c r="M323" s="384" t="n"/>
      <c r="N323" s="384" t="n"/>
      <c r="O323" s="384" t="n"/>
      <c r="P323" s="384" t="n"/>
      <c r="Q323" s="384" t="n"/>
      <c r="R323" s="384" t="n"/>
      <c r="S323" s="384" t="n"/>
      <c r="T323" s="384" t="n"/>
      <c r="U323" s="384" t="n"/>
      <c r="V323" s="384" t="n"/>
      <c r="W323" s="384" t="n"/>
      <c r="X323" s="645">
        <f>IF(_epmOfflineCondition_,"I_E100353",EPMOlapMemberO("[C_INTERCO].[PARENTH1].[I_E100353]","","I_E100353","","000"))</f>
        <v/>
      </c>
      <c r="Y323" s="870">
        <f>IF(_epmOfflineCondition_,"北京京能房产租赁经营有限责任公司",EPMMemberDesc(X323))</f>
        <v/>
      </c>
      <c r="Z323" s="1302" t="n"/>
      <c r="AA323" s="1302" t="n"/>
      <c r="AB323" s="858" t="n"/>
      <c r="AC323" s="1302" t="n"/>
      <c r="AD323" s="1302" t="n"/>
      <c r="AE323" s="1302" t="inlineStr"/>
      <c r="AF323" s="1302" t="inlineStr"/>
      <c r="AG323" s="1302" t="inlineStr"/>
      <c r="AH323" s="1302" t="n"/>
      <c r="AI323" s="1302" t="n"/>
      <c r="AJ323" s="1302" t="n"/>
      <c r="AK323" s="1302">
        <f>AI323-AJ323</f>
        <v/>
      </c>
      <c r="AL323" s="858" t="n"/>
      <c r="AM323" s="1297" t="inlineStr"/>
      <c r="AN323" s="1298" t="n"/>
      <c r="AO323" s="13">
        <f>IF(_epmOfflineCondition_,0,EPMSaveDataOnly(AB323,,AB$29,AB$25,AB$26,AB$31,AB$32,$AA$37,AO$14,AO$15,AO$16,AO$17,AO$18,X323))</f>
        <v/>
      </c>
      <c r="AP323" s="13">
        <f>IF(_epmOfflineCondition_,0,EPMSaveDataOnly(AL323,,AL$29,AL$25,AL$26,AL$31,AL$32,$AA$37,AP$14,AP$15,AP$16,AP$17,AP$18,$X323))</f>
        <v/>
      </c>
      <c r="AQ323" s="13">
        <f>IF(_epmOfflineCondition_,0,EPMSaveData(AM323,,AM$29,AM$25,AM$26,$C$6,AM$32,$AA$37,AQ$14,AQ$15,AQ$16,AQ$17,AQ$18,$X323))</f>
        <v/>
      </c>
      <c r="AR323" s="13">
        <f>IF(_epmOfflineCondition_,0,EPMSaveDataOnly(AN323,,AN$29,AN$25,AN$26,AN$31,AN$32,$AA$37,AR$14,AR$15,AR$16,AR$17,AR$18,$X323))</f>
        <v/>
      </c>
      <c r="AS323" s="384" t="n"/>
    </row>
    <row r="324" hidden="1" ht="15.75" customHeight="1" s="1181">
      <c r="A324" s="384" t="n"/>
      <c r="B324" s="384" t="n"/>
      <c r="C324" s="384" t="n"/>
      <c r="D324" s="384" t="n"/>
      <c r="E324" s="384" t="n"/>
      <c r="F324" s="384" t="n"/>
      <c r="G324" s="384" t="n"/>
      <c r="H324" s="384" t="n"/>
      <c r="I324" s="384" t="n"/>
      <c r="J324" s="384" t="n"/>
      <c r="K324" s="384" t="n"/>
      <c r="L324" s="384" t="n"/>
      <c r="M324" s="384" t="n"/>
      <c r="N324" s="384" t="n"/>
      <c r="O324" s="384" t="n"/>
      <c r="P324" s="384" t="n"/>
      <c r="Q324" s="384" t="n"/>
      <c r="R324" s="384" t="n"/>
      <c r="S324" s="384" t="n"/>
      <c r="T324" s="384" t="n"/>
      <c r="U324" s="384" t="n"/>
      <c r="V324" s="384" t="n"/>
      <c r="W324" s="384" t="n"/>
      <c r="X324" s="645">
        <f>IF(_epmOfflineCondition_,"I_E100354",EPMOlapMemberO("[C_INTERCO].[PARENTH1].[I_E100354]","","I_E100354","","000"))</f>
        <v/>
      </c>
      <c r="Y324" s="870">
        <f>IF(_epmOfflineCondition_,"北京金质生活商贸有限责任公司",EPMMemberDesc(X324))</f>
        <v/>
      </c>
      <c r="Z324" s="1302" t="n"/>
      <c r="AA324" s="1302" t="n"/>
      <c r="AB324" s="858" t="n"/>
      <c r="AC324" s="1302" t="n"/>
      <c r="AD324" s="1302" t="n"/>
      <c r="AE324" s="1302" t="inlineStr"/>
      <c r="AF324" s="1302" t="inlineStr"/>
      <c r="AG324" s="1302" t="inlineStr"/>
      <c r="AH324" s="1302" t="n"/>
      <c r="AI324" s="1302" t="n"/>
      <c r="AJ324" s="1302" t="n"/>
      <c r="AK324" s="1302">
        <f>AI324-AJ324</f>
        <v/>
      </c>
      <c r="AL324" s="858" t="n"/>
      <c r="AM324" s="1297" t="inlineStr"/>
      <c r="AN324" s="1298" t="n"/>
      <c r="AO324" s="13">
        <f>IF(_epmOfflineCondition_,0,EPMSaveDataOnly(AB324,,AB$29,AB$25,AB$26,AB$31,AB$32,$AA$37,AO$14,AO$15,AO$16,AO$17,AO$18,X324))</f>
        <v/>
      </c>
      <c r="AP324" s="13">
        <f>IF(_epmOfflineCondition_,0,EPMSaveDataOnly(AL324,,AL$29,AL$25,AL$26,AL$31,AL$32,$AA$37,AP$14,AP$15,AP$16,AP$17,AP$18,$X324))</f>
        <v/>
      </c>
      <c r="AQ324" s="13">
        <f>IF(_epmOfflineCondition_,0,EPMSaveData(AM324,,AM$29,AM$25,AM$26,$C$6,AM$32,$AA$37,AQ$14,AQ$15,AQ$16,AQ$17,AQ$18,$X324))</f>
        <v/>
      </c>
      <c r="AR324" s="13">
        <f>IF(_epmOfflineCondition_,0,EPMSaveDataOnly(AN324,,AN$29,AN$25,AN$26,AN$31,AN$32,$AA$37,AR$14,AR$15,AR$16,AR$17,AR$18,$X324))</f>
        <v/>
      </c>
      <c r="AS324" s="384" t="n"/>
    </row>
    <row r="325" hidden="1" ht="15.75" customHeight="1" s="1181">
      <c r="A325" s="384" t="n"/>
      <c r="B325" s="384" t="n"/>
      <c r="C325" s="384" t="n"/>
      <c r="D325" s="384" t="n"/>
      <c r="E325" s="384" t="n"/>
      <c r="F325" s="384" t="n"/>
      <c r="G325" s="384" t="n"/>
      <c r="H325" s="384" t="n"/>
      <c r="I325" s="384" t="n"/>
      <c r="J325" s="384" t="n"/>
      <c r="K325" s="384" t="n"/>
      <c r="L325" s="384" t="n"/>
      <c r="M325" s="384" t="n"/>
      <c r="N325" s="384" t="n"/>
      <c r="O325" s="384" t="n"/>
      <c r="P325" s="384" t="n"/>
      <c r="Q325" s="384" t="n"/>
      <c r="R325" s="384" t="n"/>
      <c r="S325" s="384" t="n"/>
      <c r="T325" s="384" t="n"/>
      <c r="U325" s="384" t="n"/>
      <c r="V325" s="384" t="n"/>
      <c r="W325" s="384" t="n"/>
      <c r="X325" s="645">
        <f>IF(_epmOfflineCondition_,"I_E100362",EPMOlapMemberO("[C_INTERCO].[PARENTH1].[I_E100362]","","I_E100362","","000"))</f>
        <v/>
      </c>
      <c r="Y325" s="870">
        <f>IF(_epmOfflineCondition_,"北京金泰物业管理有限公司",EPMMemberDesc(X325))</f>
        <v/>
      </c>
      <c r="Z325" s="1302" t="n"/>
      <c r="AA325" s="1302" t="n"/>
      <c r="AB325" s="858" t="n"/>
      <c r="AC325" s="1302" t="n"/>
      <c r="AD325" s="1302" t="n"/>
      <c r="AE325" s="1302" t="inlineStr"/>
      <c r="AF325" s="1302" t="inlineStr"/>
      <c r="AG325" s="1302" t="inlineStr"/>
      <c r="AH325" s="1302" t="n"/>
      <c r="AI325" s="1302" t="n"/>
      <c r="AJ325" s="1302" t="n"/>
      <c r="AK325" s="1302">
        <f>AI325-AJ325</f>
        <v/>
      </c>
      <c r="AL325" s="858" t="n"/>
      <c r="AM325" s="1297" t="inlineStr"/>
      <c r="AN325" s="1298" t="n"/>
      <c r="AO325" s="13">
        <f>IF(_epmOfflineCondition_,0,EPMSaveDataOnly(AB325,,AB$29,AB$25,AB$26,AB$31,AB$32,$AA$37,AO$14,AO$15,AO$16,AO$17,AO$18,X325))</f>
        <v/>
      </c>
      <c r="AP325" s="13">
        <f>IF(_epmOfflineCondition_,0,EPMSaveDataOnly(AL325,,AL$29,AL$25,AL$26,AL$31,AL$32,$AA$37,AP$14,AP$15,AP$16,AP$17,AP$18,$X325))</f>
        <v/>
      </c>
      <c r="AQ325" s="13">
        <f>IF(_epmOfflineCondition_,0,EPMSaveData(AM325,,AM$29,AM$25,AM$26,$C$6,AM$32,$AA$37,AQ$14,AQ$15,AQ$16,AQ$17,AQ$18,$X325))</f>
        <v/>
      </c>
      <c r="AR325" s="13">
        <f>IF(_epmOfflineCondition_,0,EPMSaveDataOnly(AN325,,AN$29,AN$25,AN$26,AN$31,AN$32,$AA$37,AR$14,AR$15,AR$16,AR$17,AR$18,$X325))</f>
        <v/>
      </c>
      <c r="AS325" s="384" t="n"/>
    </row>
    <row r="326" hidden="1" ht="15.75" customHeight="1" s="1181">
      <c r="A326" s="384" t="n"/>
      <c r="B326" s="384" t="n"/>
      <c r="C326" s="384" t="n"/>
      <c r="D326" s="384" t="n"/>
      <c r="E326" s="384" t="n"/>
      <c r="F326" s="384" t="n"/>
      <c r="G326" s="384" t="n"/>
      <c r="H326" s="384" t="n"/>
      <c r="I326" s="384" t="n"/>
      <c r="J326" s="384" t="n"/>
      <c r="K326" s="384" t="n"/>
      <c r="L326" s="384" t="n"/>
      <c r="M326" s="384" t="n"/>
      <c r="N326" s="384" t="n"/>
      <c r="O326" s="384" t="n"/>
      <c r="P326" s="384" t="n"/>
      <c r="Q326" s="384" t="n"/>
      <c r="R326" s="384" t="n"/>
      <c r="S326" s="384" t="n"/>
      <c r="T326" s="384" t="n"/>
      <c r="U326" s="384" t="n"/>
      <c r="V326" s="384" t="n"/>
      <c r="W326" s="384" t="n"/>
      <c r="X326" s="645">
        <f>IF(_epmOfflineCondition_,"I_E100364",EPMOlapMemberO("[C_INTERCO].[PARENTH1].[I_E100364]","","I_E100364","","000"))</f>
        <v/>
      </c>
      <c r="Y326" s="870">
        <f>IF(_epmOfflineCondition_,"北京金泰港物流有限公司",EPMMemberDesc(X326))</f>
        <v/>
      </c>
      <c r="Z326" s="1302" t="n"/>
      <c r="AA326" s="1302" t="n"/>
      <c r="AB326" s="858" t="n"/>
      <c r="AC326" s="1302" t="n"/>
      <c r="AD326" s="1302" t="n"/>
      <c r="AE326" s="1302" t="inlineStr"/>
      <c r="AF326" s="1302" t="inlineStr"/>
      <c r="AG326" s="1302" t="inlineStr"/>
      <c r="AH326" s="1302" t="n"/>
      <c r="AI326" s="1302" t="n"/>
      <c r="AJ326" s="1302" t="n"/>
      <c r="AK326" s="1302">
        <f>AI326-AJ326</f>
        <v/>
      </c>
      <c r="AL326" s="858" t="n"/>
      <c r="AM326" s="1297" t="inlineStr"/>
      <c r="AN326" s="1298" t="n"/>
      <c r="AO326" s="13">
        <f>IF(_epmOfflineCondition_,0,EPMSaveDataOnly(AB326,,AB$29,AB$25,AB$26,AB$31,AB$32,$AA$37,AO$14,AO$15,AO$16,AO$17,AO$18,X326))</f>
        <v/>
      </c>
      <c r="AP326" s="13">
        <f>IF(_epmOfflineCondition_,0,EPMSaveDataOnly(AL326,,AL$29,AL$25,AL$26,AL$31,AL$32,$AA$37,AP$14,AP$15,AP$16,AP$17,AP$18,$X326))</f>
        <v/>
      </c>
      <c r="AQ326" s="13">
        <f>IF(_epmOfflineCondition_,0,EPMSaveData(AM326,,AM$29,AM$25,AM$26,$C$6,AM$32,$AA$37,AQ$14,AQ$15,AQ$16,AQ$17,AQ$18,$X326))</f>
        <v/>
      </c>
      <c r="AR326" s="13">
        <f>IF(_epmOfflineCondition_,0,EPMSaveDataOnly(AN326,,AN$29,AN$25,AN$26,AN$31,AN$32,$AA$37,AR$14,AR$15,AR$16,AR$17,AR$18,$X326))</f>
        <v/>
      </c>
      <c r="AS326" s="384" t="n"/>
    </row>
    <row r="327" hidden="1" ht="15.75" customHeight="1" s="1181">
      <c r="A327" s="384" t="n"/>
      <c r="B327" s="384" t="n"/>
      <c r="C327" s="384" t="n"/>
      <c r="D327" s="384" t="n"/>
      <c r="E327" s="384" t="n"/>
      <c r="F327" s="384" t="n"/>
      <c r="G327" s="384" t="n"/>
      <c r="H327" s="384" t="n"/>
      <c r="I327" s="384" t="n"/>
      <c r="J327" s="384" t="n"/>
      <c r="K327" s="384" t="n"/>
      <c r="L327" s="384" t="n"/>
      <c r="M327" s="384" t="n"/>
      <c r="N327" s="384" t="n"/>
      <c r="O327" s="384" t="n"/>
      <c r="P327" s="384" t="n"/>
      <c r="Q327" s="384" t="n"/>
      <c r="R327" s="384" t="n"/>
      <c r="S327" s="384" t="n"/>
      <c r="T327" s="384" t="n"/>
      <c r="U327" s="384" t="n"/>
      <c r="V327" s="384" t="n"/>
      <c r="W327" s="384" t="n"/>
      <c r="X327" s="645">
        <f>IF(_epmOfflineCondition_,"I_E100365",EPMOlapMemberO("[C_INTERCO].[PARENTH1].[I_E100365]","","I_E100365","","000"))</f>
        <v/>
      </c>
      <c r="Y327" s="870">
        <f>IF(_epmOfflineCondition_,"北京京煤集团有限责任公司三河综合厂",EPMMemberDesc(X327))</f>
        <v/>
      </c>
      <c r="Z327" s="1302" t="n"/>
      <c r="AA327" s="1302" t="n"/>
      <c r="AB327" s="858" t="n"/>
      <c r="AC327" s="1302" t="n"/>
      <c r="AD327" s="1302" t="n"/>
      <c r="AE327" s="1302" t="inlineStr"/>
      <c r="AF327" s="1302" t="inlineStr"/>
      <c r="AG327" s="1302" t="inlineStr"/>
      <c r="AH327" s="1302" t="n"/>
      <c r="AI327" s="1302" t="n"/>
      <c r="AJ327" s="1302" t="n"/>
      <c r="AK327" s="1302">
        <f>AI327-AJ327</f>
        <v/>
      </c>
      <c r="AL327" s="858" t="n"/>
      <c r="AM327" s="1297" t="inlineStr"/>
      <c r="AN327" s="1298" t="n"/>
      <c r="AO327" s="13">
        <f>IF(_epmOfflineCondition_,0,EPMSaveDataOnly(AB327,,AB$29,AB$25,AB$26,AB$31,AB$32,$AA$37,AO$14,AO$15,AO$16,AO$17,AO$18,X327))</f>
        <v/>
      </c>
      <c r="AP327" s="13">
        <f>IF(_epmOfflineCondition_,0,EPMSaveDataOnly(AL327,,AL$29,AL$25,AL$26,AL$31,AL$32,$AA$37,AP$14,AP$15,AP$16,AP$17,AP$18,$X327))</f>
        <v/>
      </c>
      <c r="AQ327" s="13">
        <f>IF(_epmOfflineCondition_,0,EPMSaveData(AM327,,AM$29,AM$25,AM$26,$C$6,AM$32,$AA$37,AQ$14,AQ$15,AQ$16,AQ$17,AQ$18,$X327))</f>
        <v/>
      </c>
      <c r="AR327" s="13">
        <f>IF(_epmOfflineCondition_,0,EPMSaveDataOnly(AN327,,AN$29,AN$25,AN$26,AN$31,AN$32,$AA$37,AR$14,AR$15,AR$16,AR$17,AR$18,$X327))</f>
        <v/>
      </c>
      <c r="AS327" s="384" t="n"/>
    </row>
    <row r="328" hidden="1" ht="15.75" customHeight="1" s="1181">
      <c r="A328" s="384" t="n"/>
      <c r="B328" s="384" t="n"/>
      <c r="C328" s="384" t="n"/>
      <c r="D328" s="384" t="n"/>
      <c r="E328" s="384" t="n"/>
      <c r="F328" s="384" t="n"/>
      <c r="G328" s="384" t="n"/>
      <c r="H328" s="384" t="n"/>
      <c r="I328" s="384" t="n"/>
      <c r="J328" s="384" t="n"/>
      <c r="K328" s="384" t="n"/>
      <c r="L328" s="384" t="n"/>
      <c r="M328" s="384" t="n"/>
      <c r="N328" s="384" t="n"/>
      <c r="O328" s="384" t="n"/>
      <c r="P328" s="384" t="n"/>
      <c r="Q328" s="384" t="n"/>
      <c r="R328" s="384" t="n"/>
      <c r="S328" s="384" t="n"/>
      <c r="T328" s="384" t="n"/>
      <c r="U328" s="384" t="n"/>
      <c r="V328" s="384" t="n"/>
      <c r="W328" s="384" t="n"/>
      <c r="X328" s="645">
        <f>IF(_epmOfflineCondition_,"I_E100369",EPMOlapMemberO("[C_INTERCO].[PARENTH1].[I_E100369]","","I_E100369","","000"))</f>
        <v/>
      </c>
      <c r="Y328" s="870">
        <f>IF(_epmOfflineCondition_,"中国共产党北京能源集团有限责任公司委员会党校",EPMMemberDesc(X328))</f>
        <v/>
      </c>
      <c r="Z328" s="1302" t="n"/>
      <c r="AA328" s="1302" t="n"/>
      <c r="AB328" s="858" t="n"/>
      <c r="AC328" s="1302" t="n"/>
      <c r="AD328" s="1302" t="n"/>
      <c r="AE328" s="1302" t="inlineStr"/>
      <c r="AF328" s="1302" t="inlineStr"/>
      <c r="AG328" s="1302" t="inlineStr"/>
      <c r="AH328" s="1302" t="n"/>
      <c r="AI328" s="1302" t="n"/>
      <c r="AJ328" s="1302" t="n"/>
      <c r="AK328" s="1302">
        <f>AI328-AJ328</f>
        <v/>
      </c>
      <c r="AL328" s="858" t="n"/>
      <c r="AM328" s="1297" t="inlineStr"/>
      <c r="AN328" s="1298" t="n"/>
      <c r="AO328" s="13">
        <f>IF(_epmOfflineCondition_,0,EPMSaveDataOnly(AB328,,AB$29,AB$25,AB$26,AB$31,AB$32,$AA$37,AO$14,AO$15,AO$16,AO$17,AO$18,X328))</f>
        <v/>
      </c>
      <c r="AP328" s="13">
        <f>IF(_epmOfflineCondition_,0,EPMSaveDataOnly(AL328,,AL$29,AL$25,AL$26,AL$31,AL$32,$AA$37,AP$14,AP$15,AP$16,AP$17,AP$18,$X328))</f>
        <v/>
      </c>
      <c r="AQ328" s="13">
        <f>IF(_epmOfflineCondition_,0,EPMSaveData(AM328,,AM$29,AM$25,AM$26,$C$6,AM$32,$AA$37,AQ$14,AQ$15,AQ$16,AQ$17,AQ$18,$X328))</f>
        <v/>
      </c>
      <c r="AR328" s="13">
        <f>IF(_epmOfflineCondition_,0,EPMSaveDataOnly(AN328,,AN$29,AN$25,AN$26,AN$31,AN$32,$AA$37,AR$14,AR$15,AR$16,AR$17,AR$18,$X328))</f>
        <v/>
      </c>
      <c r="AS328" s="384" t="n"/>
    </row>
    <row r="329" hidden="1" ht="15.75" customHeight="1" s="1181">
      <c r="A329" s="384" t="n"/>
      <c r="B329" s="384" t="n"/>
      <c r="C329" s="384" t="n"/>
      <c r="D329" s="384" t="n"/>
      <c r="E329" s="384" t="n"/>
      <c r="F329" s="384" t="n"/>
      <c r="G329" s="384" t="n"/>
      <c r="H329" s="384" t="n"/>
      <c r="I329" s="384" t="n"/>
      <c r="J329" s="384" t="n"/>
      <c r="K329" s="384" t="n"/>
      <c r="L329" s="384" t="n"/>
      <c r="M329" s="384" t="n"/>
      <c r="N329" s="384" t="n"/>
      <c r="O329" s="384" t="n"/>
      <c r="P329" s="384" t="n"/>
      <c r="Q329" s="384" t="n"/>
      <c r="R329" s="384" t="n"/>
      <c r="S329" s="384" t="n"/>
      <c r="T329" s="384" t="n"/>
      <c r="U329" s="384" t="n"/>
      <c r="V329" s="384" t="n"/>
      <c r="W329" s="384" t="n"/>
      <c r="X329" s="645">
        <f>IF(_epmOfflineCondition_,"I_E100370",EPMOlapMemberO("[C_INTERCO].[PARENTH1].[I_E100370]","","I_E100370","","000"))</f>
        <v/>
      </c>
      <c r="Y329" s="870">
        <f>IF(_epmOfflineCondition_,"北京市门头沟区京煤集团教育培训中心职工培训学校",EPMMemberDesc(X329))</f>
        <v/>
      </c>
      <c r="Z329" s="1302" t="n"/>
      <c r="AA329" s="1302" t="n"/>
      <c r="AB329" s="858" t="n"/>
      <c r="AC329" s="1302" t="n"/>
      <c r="AD329" s="1302" t="n"/>
      <c r="AE329" s="1302" t="inlineStr"/>
      <c r="AF329" s="1302" t="inlineStr"/>
      <c r="AG329" s="1302" t="inlineStr"/>
      <c r="AH329" s="1302" t="n"/>
      <c r="AI329" s="1302" t="n"/>
      <c r="AJ329" s="1302" t="n"/>
      <c r="AK329" s="1302">
        <f>AI329-AJ329</f>
        <v/>
      </c>
      <c r="AL329" s="858" t="n"/>
      <c r="AM329" s="1297" t="inlineStr"/>
      <c r="AN329" s="1298" t="n"/>
      <c r="AO329" s="13">
        <f>IF(_epmOfflineCondition_,0,EPMSaveDataOnly(AB329,,AB$29,AB$25,AB$26,AB$31,AB$32,$AA$37,AO$14,AO$15,AO$16,AO$17,AO$18,X329))</f>
        <v/>
      </c>
      <c r="AP329" s="13">
        <f>IF(_epmOfflineCondition_,0,EPMSaveDataOnly(AL329,,AL$29,AL$25,AL$26,AL$31,AL$32,$AA$37,AP$14,AP$15,AP$16,AP$17,AP$18,$X329))</f>
        <v/>
      </c>
      <c r="AQ329" s="13">
        <f>IF(_epmOfflineCondition_,0,EPMSaveData(AM329,,AM$29,AM$25,AM$26,$C$6,AM$32,$AA$37,AQ$14,AQ$15,AQ$16,AQ$17,AQ$18,$X329))</f>
        <v/>
      </c>
      <c r="AR329" s="13">
        <f>IF(_epmOfflineCondition_,0,EPMSaveDataOnly(AN329,,AN$29,AN$25,AN$26,AN$31,AN$32,$AA$37,AR$14,AR$15,AR$16,AR$17,AR$18,$X329))</f>
        <v/>
      </c>
      <c r="AS329" s="384" t="n"/>
    </row>
    <row r="330" hidden="1" ht="15.75" customHeight="1" s="1181">
      <c r="A330" s="384" t="n"/>
      <c r="B330" s="384" t="n"/>
      <c r="C330" s="384" t="n"/>
      <c r="D330" s="384" t="n"/>
      <c r="E330" s="384" t="n"/>
      <c r="F330" s="384" t="n"/>
      <c r="G330" s="384" t="n"/>
      <c r="H330" s="384" t="n"/>
      <c r="I330" s="384" t="n"/>
      <c r="J330" s="384" t="n"/>
      <c r="K330" s="384" t="n"/>
      <c r="L330" s="384" t="n"/>
      <c r="M330" s="384" t="n"/>
      <c r="N330" s="384" t="n"/>
      <c r="O330" s="384" t="n"/>
      <c r="P330" s="384" t="n"/>
      <c r="Q330" s="384" t="n"/>
      <c r="R330" s="384" t="n"/>
      <c r="S330" s="384" t="n"/>
      <c r="T330" s="384" t="n"/>
      <c r="U330" s="384" t="n"/>
      <c r="V330" s="384" t="n"/>
      <c r="W330" s="384" t="n"/>
      <c r="X330" s="645">
        <f>IF(_epmOfflineCondition_,"I_E100371",EPMOlapMemberO("[C_INTERCO].[PARENTH1].[I_E100371]","","I_E100371","","000"))</f>
        <v/>
      </c>
      <c r="Y330" s="870">
        <f>IF(_epmOfflineCondition_,"北京京能科技有限公司",EPMMemberDesc(X330))</f>
        <v/>
      </c>
      <c r="Z330" s="1302" t="n"/>
      <c r="AA330" s="1302" t="n"/>
      <c r="AB330" s="858" t="n"/>
      <c r="AC330" s="1302" t="n"/>
      <c r="AD330" s="1302" t="n"/>
      <c r="AE330" s="1302" t="inlineStr"/>
      <c r="AF330" s="1302" t="inlineStr"/>
      <c r="AG330" s="1302" t="inlineStr"/>
      <c r="AH330" s="1302" t="n"/>
      <c r="AI330" s="1302" t="n"/>
      <c r="AJ330" s="1302" t="n"/>
      <c r="AK330" s="1302">
        <f>AI330-AJ330</f>
        <v/>
      </c>
      <c r="AL330" s="858" t="n"/>
      <c r="AM330" s="1297" t="inlineStr"/>
      <c r="AN330" s="1298" t="n"/>
      <c r="AO330" s="13">
        <f>IF(_epmOfflineCondition_,0,EPMSaveDataOnly(AB330,,AB$29,AB$25,AB$26,AB$31,AB$32,$AA$37,AO$14,AO$15,AO$16,AO$17,AO$18,X330))</f>
        <v/>
      </c>
      <c r="AP330" s="13">
        <f>IF(_epmOfflineCondition_,0,EPMSaveDataOnly(AL330,,AL$29,AL$25,AL$26,AL$31,AL$32,$AA$37,AP$14,AP$15,AP$16,AP$17,AP$18,$X330))</f>
        <v/>
      </c>
      <c r="AQ330" s="13">
        <f>IF(_epmOfflineCondition_,0,EPMSaveData(AM330,,AM$29,AM$25,AM$26,$C$6,AM$32,$AA$37,AQ$14,AQ$15,AQ$16,AQ$17,AQ$18,$X330))</f>
        <v/>
      </c>
      <c r="AR330" s="13">
        <f>IF(_epmOfflineCondition_,0,EPMSaveDataOnly(AN330,,AN$29,AN$25,AN$26,AN$31,AN$32,$AA$37,AR$14,AR$15,AR$16,AR$17,AR$18,$X330))</f>
        <v/>
      </c>
      <c r="AS330" s="384" t="n"/>
    </row>
    <row r="331" hidden="1" ht="15.75" customHeight="1" s="1181">
      <c r="A331" s="384" t="n"/>
      <c r="B331" s="384" t="n"/>
      <c r="C331" s="384" t="n"/>
      <c r="D331" s="384" t="n"/>
      <c r="E331" s="384" t="n"/>
      <c r="F331" s="384" t="n"/>
      <c r="G331" s="384" t="n"/>
      <c r="H331" s="384" t="n"/>
      <c r="I331" s="384" t="n"/>
      <c r="J331" s="384" t="n"/>
      <c r="K331" s="384" t="n"/>
      <c r="L331" s="384" t="n"/>
      <c r="M331" s="384" t="n"/>
      <c r="N331" s="384" t="n"/>
      <c r="O331" s="384" t="n"/>
      <c r="P331" s="384" t="n"/>
      <c r="Q331" s="384" t="n"/>
      <c r="R331" s="384" t="n"/>
      <c r="S331" s="384" t="n"/>
      <c r="T331" s="384" t="n"/>
      <c r="U331" s="384" t="n"/>
      <c r="V331" s="384" t="n"/>
      <c r="W331" s="384" t="n"/>
      <c r="X331" s="645">
        <f>IF(_epmOfflineCondition_,"I_E100374",EPMOlapMemberO("[C_INTERCO].[PARENTH1].[I_E100374]","","I_E100374","","000"))</f>
        <v/>
      </c>
      <c r="Y331" s="870">
        <f>IF(_epmOfflineCondition_,"北京源深联众环保科技有限责任公司",EPMMemberDesc(X331))</f>
        <v/>
      </c>
      <c r="Z331" s="1302" t="n"/>
      <c r="AA331" s="1302" t="n"/>
      <c r="AB331" s="858" t="n"/>
      <c r="AC331" s="1302" t="n"/>
      <c r="AD331" s="1302" t="n"/>
      <c r="AE331" s="1302" t="inlineStr"/>
      <c r="AF331" s="1302" t="inlineStr"/>
      <c r="AG331" s="1302" t="inlineStr"/>
      <c r="AH331" s="1302" t="n"/>
      <c r="AI331" s="1302" t="n"/>
      <c r="AJ331" s="1302" t="n"/>
      <c r="AK331" s="1302">
        <f>AI331-AJ331</f>
        <v/>
      </c>
      <c r="AL331" s="858" t="n"/>
      <c r="AM331" s="1297" t="inlineStr"/>
      <c r="AN331" s="1298" t="n"/>
      <c r="AO331" s="13">
        <f>IF(_epmOfflineCondition_,0,EPMSaveDataOnly(AB331,,AB$29,AB$25,AB$26,AB$31,AB$32,$AA$37,AO$14,AO$15,AO$16,AO$17,AO$18,X331))</f>
        <v/>
      </c>
      <c r="AP331" s="13">
        <f>IF(_epmOfflineCondition_,0,EPMSaveDataOnly(AL331,,AL$29,AL$25,AL$26,AL$31,AL$32,$AA$37,AP$14,AP$15,AP$16,AP$17,AP$18,$X331))</f>
        <v/>
      </c>
      <c r="AQ331" s="13">
        <f>IF(_epmOfflineCondition_,0,EPMSaveData(AM331,,AM$29,AM$25,AM$26,$C$6,AM$32,$AA$37,AQ$14,AQ$15,AQ$16,AQ$17,AQ$18,$X331))</f>
        <v/>
      </c>
      <c r="AR331" s="13">
        <f>IF(_epmOfflineCondition_,0,EPMSaveDataOnly(AN331,,AN$29,AN$25,AN$26,AN$31,AN$32,$AA$37,AR$14,AR$15,AR$16,AR$17,AR$18,$X331))</f>
        <v/>
      </c>
      <c r="AS331" s="384" t="n"/>
    </row>
    <row r="332" hidden="1" ht="15.75" customHeight="1" s="1181">
      <c r="A332" s="384" t="n"/>
      <c r="B332" s="384" t="n"/>
      <c r="C332" s="384" t="n"/>
      <c r="D332" s="384" t="n"/>
      <c r="E332" s="384" t="n"/>
      <c r="F332" s="384" t="n"/>
      <c r="G332" s="384" t="n"/>
      <c r="H332" s="384" t="n"/>
      <c r="I332" s="384" t="n"/>
      <c r="J332" s="384" t="n"/>
      <c r="K332" s="384" t="n"/>
      <c r="L332" s="384" t="n"/>
      <c r="M332" s="384" t="n"/>
      <c r="N332" s="384" t="n"/>
      <c r="O332" s="384" t="n"/>
      <c r="P332" s="384" t="n"/>
      <c r="Q332" s="384" t="n"/>
      <c r="R332" s="384" t="n"/>
      <c r="S332" s="384" t="n"/>
      <c r="T332" s="384" t="n"/>
      <c r="U332" s="384" t="n"/>
      <c r="V332" s="384" t="n"/>
      <c r="W332" s="384" t="n"/>
      <c r="X332" s="645">
        <f>IF(_epmOfflineCondition_,"I_E100375",EPMOlapMemberO("[C_INTERCO].[PARENTH1].[I_E100375]","","I_E100375","","000"))</f>
        <v/>
      </c>
      <c r="Y332" s="870">
        <f>IF(_epmOfflineCondition_,"北京京能碳资产管理有限公司",EPMMemberDesc(X332))</f>
        <v/>
      </c>
      <c r="Z332" s="1302" t="n"/>
      <c r="AA332" s="1302" t="n"/>
      <c r="AB332" s="858" t="n"/>
      <c r="AC332" s="1302" t="n"/>
      <c r="AD332" s="1302" t="n"/>
      <c r="AE332" s="1302" t="inlineStr"/>
      <c r="AF332" s="1302" t="inlineStr"/>
      <c r="AG332" s="1302" t="inlineStr"/>
      <c r="AH332" s="1302" t="n"/>
      <c r="AI332" s="1302" t="n"/>
      <c r="AJ332" s="1302" t="n"/>
      <c r="AK332" s="1302">
        <f>AI332-AJ332</f>
        <v/>
      </c>
      <c r="AL332" s="858" t="n"/>
      <c r="AM332" s="1297" t="inlineStr"/>
      <c r="AN332" s="1298" t="n"/>
      <c r="AO332" s="13">
        <f>IF(_epmOfflineCondition_,0,EPMSaveDataOnly(AB332,,AB$29,AB$25,AB$26,AB$31,AB$32,$AA$37,AO$14,AO$15,AO$16,AO$17,AO$18,X332))</f>
        <v/>
      </c>
      <c r="AP332" s="13">
        <f>IF(_epmOfflineCondition_,0,EPMSaveDataOnly(AL332,,AL$29,AL$25,AL$26,AL$31,AL$32,$AA$37,AP$14,AP$15,AP$16,AP$17,AP$18,$X332))</f>
        <v/>
      </c>
      <c r="AQ332" s="13">
        <f>IF(_epmOfflineCondition_,0,EPMSaveData(AM332,,AM$29,AM$25,AM$26,$C$6,AM$32,$AA$37,AQ$14,AQ$15,AQ$16,AQ$17,AQ$18,$X332))</f>
        <v/>
      </c>
      <c r="AR332" s="13">
        <f>IF(_epmOfflineCondition_,0,EPMSaveDataOnly(AN332,,AN$29,AN$25,AN$26,AN$31,AN$32,$AA$37,AR$14,AR$15,AR$16,AR$17,AR$18,$X332))</f>
        <v/>
      </c>
      <c r="AS332" s="384" t="n"/>
    </row>
    <row r="333" hidden="1" ht="15.75" customHeight="1" s="1181">
      <c r="A333" s="384" t="n"/>
      <c r="B333" s="384" t="n"/>
      <c r="C333" s="384" t="n"/>
      <c r="D333" s="384" t="n"/>
      <c r="E333" s="384" t="n"/>
      <c r="F333" s="384" t="n"/>
      <c r="G333" s="384" t="n"/>
      <c r="H333" s="384" t="n"/>
      <c r="I333" s="384" t="n"/>
      <c r="J333" s="384" t="n"/>
      <c r="K333" s="384" t="n"/>
      <c r="L333" s="384" t="n"/>
      <c r="M333" s="384" t="n"/>
      <c r="N333" s="384" t="n"/>
      <c r="O333" s="384" t="n"/>
      <c r="P333" s="384" t="n"/>
      <c r="Q333" s="384" t="n"/>
      <c r="R333" s="384" t="n"/>
      <c r="S333" s="384" t="n"/>
      <c r="T333" s="384" t="n"/>
      <c r="U333" s="384" t="n"/>
      <c r="V333" s="384" t="n"/>
      <c r="W333" s="384" t="n"/>
      <c r="X333" s="645">
        <f>IF(_epmOfflineCondition_,"I_E100376",EPMOlapMemberO("[C_INTERCO].[PARENTH1].[I_E100376]","","I_E100376","","000"))</f>
        <v/>
      </c>
      <c r="Y333" s="870">
        <f>IF(_epmOfflineCondition_,"宁夏红寺堡京能源深光伏发展有限公司",EPMMemberDesc(X333))</f>
        <v/>
      </c>
      <c r="Z333" s="1302" t="n"/>
      <c r="AA333" s="1302" t="n"/>
      <c r="AB333" s="858" t="n"/>
      <c r="AC333" s="1302" t="n"/>
      <c r="AD333" s="1302" t="n"/>
      <c r="AE333" s="1302" t="inlineStr"/>
      <c r="AF333" s="1302" t="inlineStr"/>
      <c r="AG333" s="1302" t="inlineStr"/>
      <c r="AH333" s="1302" t="n"/>
      <c r="AI333" s="1302" t="n"/>
      <c r="AJ333" s="1302" t="n"/>
      <c r="AK333" s="1302">
        <f>AI333-AJ333</f>
        <v/>
      </c>
      <c r="AL333" s="858" t="n"/>
      <c r="AM333" s="1297" t="inlineStr"/>
      <c r="AN333" s="1298" t="n"/>
      <c r="AO333" s="13">
        <f>IF(_epmOfflineCondition_,0,EPMSaveDataOnly(AB333,,AB$29,AB$25,AB$26,AB$31,AB$32,$AA$37,AO$14,AO$15,AO$16,AO$17,AO$18,X333))</f>
        <v/>
      </c>
      <c r="AP333" s="13">
        <f>IF(_epmOfflineCondition_,0,EPMSaveDataOnly(AL333,,AL$29,AL$25,AL$26,AL$31,AL$32,$AA$37,AP$14,AP$15,AP$16,AP$17,AP$18,$X333))</f>
        <v/>
      </c>
      <c r="AQ333" s="13">
        <f>IF(_epmOfflineCondition_,0,EPMSaveData(AM333,,AM$29,AM$25,AM$26,$C$6,AM$32,$AA$37,AQ$14,AQ$15,AQ$16,AQ$17,AQ$18,$X333))</f>
        <v/>
      </c>
      <c r="AR333" s="13">
        <f>IF(_epmOfflineCondition_,0,EPMSaveDataOnly(AN333,,AN$29,AN$25,AN$26,AN$31,AN$32,$AA$37,AR$14,AR$15,AR$16,AR$17,AR$18,$X333))</f>
        <v/>
      </c>
      <c r="AS333" s="384" t="n"/>
    </row>
    <row r="334" hidden="1" ht="15.75" customHeight="1" s="1181">
      <c r="A334" s="384" t="n"/>
      <c r="B334" s="384" t="n"/>
      <c r="C334" s="384" t="n"/>
      <c r="D334" s="384" t="n"/>
      <c r="E334" s="384" t="n"/>
      <c r="F334" s="384" t="n"/>
      <c r="G334" s="384" t="n"/>
      <c r="H334" s="384" t="n"/>
      <c r="I334" s="384" t="n"/>
      <c r="J334" s="384" t="n"/>
      <c r="K334" s="384" t="n"/>
      <c r="L334" s="384" t="n"/>
      <c r="M334" s="384" t="n"/>
      <c r="N334" s="384" t="n"/>
      <c r="O334" s="384" t="n"/>
      <c r="P334" s="384" t="n"/>
      <c r="Q334" s="384" t="n"/>
      <c r="R334" s="384" t="n"/>
      <c r="S334" s="384" t="n"/>
      <c r="T334" s="384" t="n"/>
      <c r="U334" s="384" t="n"/>
      <c r="V334" s="384" t="n"/>
      <c r="W334" s="384" t="n"/>
      <c r="X334" s="645">
        <f>IF(_epmOfflineCondition_,"I_E100377",EPMOlapMemberO("[C_INTERCO].[PARENTH1].[I_E100377]","","I_E100377","","000"))</f>
        <v/>
      </c>
      <c r="Y334" s="870">
        <f>IF(_epmOfflineCondition_,"北京节能技术监测中心",EPMMemberDesc(X334))</f>
        <v/>
      </c>
      <c r="Z334" s="1302" t="n"/>
      <c r="AA334" s="1302" t="n"/>
      <c r="AB334" s="858" t="n"/>
      <c r="AC334" s="1302" t="n"/>
      <c r="AD334" s="1302" t="n"/>
      <c r="AE334" s="1302" t="inlineStr"/>
      <c r="AF334" s="1302" t="inlineStr"/>
      <c r="AG334" s="1302" t="inlineStr"/>
      <c r="AH334" s="1302" t="n"/>
      <c r="AI334" s="1302" t="n"/>
      <c r="AJ334" s="1302" t="n"/>
      <c r="AK334" s="1302">
        <f>AI334-AJ334</f>
        <v/>
      </c>
      <c r="AL334" s="858" t="n"/>
      <c r="AM334" s="1297" t="inlineStr"/>
      <c r="AN334" s="1298" t="n"/>
      <c r="AO334" s="13">
        <f>IF(_epmOfflineCondition_,0,EPMSaveDataOnly(AB334,,AB$29,AB$25,AB$26,AB$31,AB$32,$AA$37,AO$14,AO$15,AO$16,AO$17,AO$18,X334))</f>
        <v/>
      </c>
      <c r="AP334" s="13">
        <f>IF(_epmOfflineCondition_,0,EPMSaveDataOnly(AL334,,AL$29,AL$25,AL$26,AL$31,AL$32,$AA$37,AP$14,AP$15,AP$16,AP$17,AP$18,$X334))</f>
        <v/>
      </c>
      <c r="AQ334" s="13">
        <f>IF(_epmOfflineCondition_,0,EPMSaveData(AM334,,AM$29,AM$25,AM$26,$C$6,AM$32,$AA$37,AQ$14,AQ$15,AQ$16,AQ$17,AQ$18,$X334))</f>
        <v/>
      </c>
      <c r="AR334" s="13">
        <f>IF(_epmOfflineCondition_,0,EPMSaveDataOnly(AN334,,AN$29,AN$25,AN$26,AN$31,AN$32,$AA$37,AR$14,AR$15,AR$16,AR$17,AR$18,$X334))</f>
        <v/>
      </c>
      <c r="AS334" s="384" t="n"/>
    </row>
    <row r="335" hidden="1" ht="15.75" customHeight="1" s="1181">
      <c r="A335" s="384" t="n"/>
      <c r="B335" s="384" t="n"/>
      <c r="C335" s="384" t="n"/>
      <c r="D335" s="384" t="n"/>
      <c r="E335" s="384" t="n"/>
      <c r="F335" s="384" t="n"/>
      <c r="G335" s="384" t="n"/>
      <c r="H335" s="384" t="n"/>
      <c r="I335" s="384" t="n"/>
      <c r="J335" s="384" t="n"/>
      <c r="K335" s="384" t="n"/>
      <c r="L335" s="384" t="n"/>
      <c r="M335" s="384" t="n"/>
      <c r="N335" s="384" t="n"/>
      <c r="O335" s="384" t="n"/>
      <c r="P335" s="384" t="n"/>
      <c r="Q335" s="384" t="n"/>
      <c r="R335" s="384" t="n"/>
      <c r="S335" s="384" t="n"/>
      <c r="T335" s="384" t="n"/>
      <c r="U335" s="384" t="n"/>
      <c r="V335" s="384" t="n"/>
      <c r="W335" s="384" t="n"/>
      <c r="X335" s="645">
        <f>IF(_epmOfflineCondition_,"I_E100379",EPMOlapMemberO("[C_INTERCO].[PARENTH1].[I_E100379]","","I_E100379","","000"))</f>
        <v/>
      </c>
      <c r="Y335" s="870">
        <f>IF(_epmOfflineCondition_,"源深怀来能源科技有限公司",EPMMemberDesc(X335))</f>
        <v/>
      </c>
      <c r="Z335" s="1302" t="n"/>
      <c r="AA335" s="1302" t="n"/>
      <c r="AB335" s="858" t="n"/>
      <c r="AC335" s="1302" t="n"/>
      <c r="AD335" s="1302" t="n"/>
      <c r="AE335" s="1302" t="inlineStr"/>
      <c r="AF335" s="1302" t="inlineStr"/>
      <c r="AG335" s="1302" t="inlineStr"/>
      <c r="AH335" s="1302" t="n"/>
      <c r="AI335" s="1302" t="n"/>
      <c r="AJ335" s="1302" t="n"/>
      <c r="AK335" s="1302">
        <f>AI335-AJ335</f>
        <v/>
      </c>
      <c r="AL335" s="858" t="n"/>
      <c r="AM335" s="1297" t="inlineStr"/>
      <c r="AN335" s="1298" t="n"/>
      <c r="AO335" s="13">
        <f>IF(_epmOfflineCondition_,0,EPMSaveDataOnly(AB335,,AB$29,AB$25,AB$26,AB$31,AB$32,$AA$37,AO$14,AO$15,AO$16,AO$17,AO$18,X335))</f>
        <v/>
      </c>
      <c r="AP335" s="13">
        <f>IF(_epmOfflineCondition_,0,EPMSaveDataOnly(AL335,,AL$29,AL$25,AL$26,AL$31,AL$32,$AA$37,AP$14,AP$15,AP$16,AP$17,AP$18,$X335))</f>
        <v/>
      </c>
      <c r="AQ335" s="13">
        <f>IF(_epmOfflineCondition_,0,EPMSaveData(AM335,,AM$29,AM$25,AM$26,$C$6,AM$32,$AA$37,AQ$14,AQ$15,AQ$16,AQ$17,AQ$18,$X335))</f>
        <v/>
      </c>
      <c r="AR335" s="13">
        <f>IF(_epmOfflineCondition_,0,EPMSaveDataOnly(AN335,,AN$29,AN$25,AN$26,AN$31,AN$32,$AA$37,AR$14,AR$15,AR$16,AR$17,AR$18,$X335))</f>
        <v/>
      </c>
      <c r="AS335" s="384" t="n"/>
    </row>
    <row r="336" hidden="1" ht="15.75" customHeight="1" s="1181">
      <c r="A336" s="384" t="n"/>
      <c r="B336" s="384" t="n"/>
      <c r="C336" s="384" t="n"/>
      <c r="D336" s="384" t="n"/>
      <c r="E336" s="384" t="n"/>
      <c r="F336" s="384" t="n"/>
      <c r="G336" s="384" t="n"/>
      <c r="H336" s="384" t="n"/>
      <c r="I336" s="384" t="n"/>
      <c r="J336" s="384" t="n"/>
      <c r="K336" s="384" t="n"/>
      <c r="L336" s="384" t="n"/>
      <c r="M336" s="384" t="n"/>
      <c r="N336" s="384" t="n"/>
      <c r="O336" s="384" t="n"/>
      <c r="P336" s="384" t="n"/>
      <c r="Q336" s="384" t="n"/>
      <c r="R336" s="384" t="n"/>
      <c r="S336" s="384" t="n"/>
      <c r="T336" s="384" t="n"/>
      <c r="U336" s="384" t="n"/>
      <c r="V336" s="384" t="n"/>
      <c r="W336" s="384" t="n"/>
      <c r="X336" s="645">
        <f>IF(_epmOfflineCondition_,"I_E100380",EPMOlapMemberO("[C_INTERCO].[PARENTH1].[I_E100380]","","I_E100380","","000"))</f>
        <v/>
      </c>
      <c r="Y336" s="870">
        <f>IF(_epmOfflineCondition_,"北京京能分布式能源技术有限公司",EPMMemberDesc(X336))</f>
        <v/>
      </c>
      <c r="Z336" s="1302" t="n"/>
      <c r="AA336" s="1302" t="n"/>
      <c r="AB336" s="858" t="n"/>
      <c r="AC336" s="1302" t="n"/>
      <c r="AD336" s="1302" t="n"/>
      <c r="AE336" s="1302" t="inlineStr"/>
      <c r="AF336" s="1302" t="inlineStr"/>
      <c r="AG336" s="1302" t="inlineStr"/>
      <c r="AH336" s="1302" t="n"/>
      <c r="AI336" s="1302" t="n"/>
      <c r="AJ336" s="1302" t="n"/>
      <c r="AK336" s="1302">
        <f>AI336-AJ336</f>
        <v/>
      </c>
      <c r="AL336" s="858" t="n"/>
      <c r="AM336" s="1297" t="inlineStr"/>
      <c r="AN336" s="1298" t="n"/>
      <c r="AO336" s="13">
        <f>IF(_epmOfflineCondition_,0,EPMSaveDataOnly(AB336,,AB$29,AB$25,AB$26,AB$31,AB$32,$AA$37,AO$14,AO$15,AO$16,AO$17,AO$18,X336))</f>
        <v/>
      </c>
      <c r="AP336" s="13">
        <f>IF(_epmOfflineCondition_,0,EPMSaveDataOnly(AL336,,AL$29,AL$25,AL$26,AL$31,AL$32,$AA$37,AP$14,AP$15,AP$16,AP$17,AP$18,$X336))</f>
        <v/>
      </c>
      <c r="AQ336" s="13">
        <f>IF(_epmOfflineCondition_,0,EPMSaveData(AM336,,AM$29,AM$25,AM$26,$C$6,AM$32,$AA$37,AQ$14,AQ$15,AQ$16,AQ$17,AQ$18,$X336))</f>
        <v/>
      </c>
      <c r="AR336" s="13">
        <f>IF(_epmOfflineCondition_,0,EPMSaveDataOnly(AN336,,AN$29,AN$25,AN$26,AN$31,AN$32,$AA$37,AR$14,AR$15,AR$16,AR$17,AR$18,$X336))</f>
        <v/>
      </c>
      <c r="AS336" s="384" t="n"/>
    </row>
    <row r="337" hidden="1" ht="15.75" customHeight="1" s="1181">
      <c r="A337" s="384" t="n"/>
      <c r="B337" s="384" t="n"/>
      <c r="C337" s="384" t="n"/>
      <c r="D337" s="384" t="n"/>
      <c r="E337" s="384" t="n"/>
      <c r="F337" s="384" t="n"/>
      <c r="G337" s="384" t="n"/>
      <c r="H337" s="384" t="n"/>
      <c r="I337" s="384" t="n"/>
      <c r="J337" s="384" t="n"/>
      <c r="K337" s="384" t="n"/>
      <c r="L337" s="384" t="n"/>
      <c r="M337" s="384" t="n"/>
      <c r="N337" s="384" t="n"/>
      <c r="O337" s="384" t="n"/>
      <c r="P337" s="384" t="n"/>
      <c r="Q337" s="384" t="n"/>
      <c r="R337" s="384" t="n"/>
      <c r="S337" s="384" t="n"/>
      <c r="T337" s="384" t="n"/>
      <c r="U337" s="384" t="n"/>
      <c r="V337" s="384" t="n"/>
      <c r="W337" s="384" t="n"/>
      <c r="X337" s="645">
        <f>IF(_epmOfflineCondition_,"I_E100381",EPMOlapMemberO("[C_INTERCO].[PARENTH1].[I_E100381]","","I_E100381","","000"))</f>
        <v/>
      </c>
      <c r="Y337" s="870">
        <f>IF(_epmOfflineCondition_,"京能源深（苏州）能源科技有限公司",EPMMemberDesc(X337))</f>
        <v/>
      </c>
      <c r="Z337" s="1302" t="n"/>
      <c r="AA337" s="1302" t="n"/>
      <c r="AB337" s="858" t="n"/>
      <c r="AC337" s="1302" t="n"/>
      <c r="AD337" s="1302" t="n"/>
      <c r="AE337" s="1302" t="inlineStr"/>
      <c r="AF337" s="1302" t="inlineStr"/>
      <c r="AG337" s="1302" t="inlineStr"/>
      <c r="AH337" s="1302" t="n"/>
      <c r="AI337" s="1302" t="n"/>
      <c r="AJ337" s="1302" t="n"/>
      <c r="AK337" s="1302">
        <f>AI337-AJ337</f>
        <v/>
      </c>
      <c r="AL337" s="858" t="n"/>
      <c r="AM337" s="1297" t="inlineStr"/>
      <c r="AN337" s="1298" t="n"/>
      <c r="AO337" s="13">
        <f>IF(_epmOfflineCondition_,0,EPMSaveDataOnly(AB337,,AB$29,AB$25,AB$26,AB$31,AB$32,$AA$37,AO$14,AO$15,AO$16,AO$17,AO$18,X337))</f>
        <v/>
      </c>
      <c r="AP337" s="13">
        <f>IF(_epmOfflineCondition_,0,EPMSaveDataOnly(AL337,,AL$29,AL$25,AL$26,AL$31,AL$32,$AA$37,AP$14,AP$15,AP$16,AP$17,AP$18,$X337))</f>
        <v/>
      </c>
      <c r="AQ337" s="13">
        <f>IF(_epmOfflineCondition_,0,EPMSaveData(AM337,,AM$29,AM$25,AM$26,$C$6,AM$32,$AA$37,AQ$14,AQ$15,AQ$16,AQ$17,AQ$18,$X337))</f>
        <v/>
      </c>
      <c r="AR337" s="13">
        <f>IF(_epmOfflineCondition_,0,EPMSaveDataOnly(AN337,,AN$29,AN$25,AN$26,AN$31,AN$32,$AA$37,AR$14,AR$15,AR$16,AR$17,AR$18,$X337))</f>
        <v/>
      </c>
      <c r="AS337" s="384" t="n"/>
    </row>
    <row r="338" hidden="1" ht="15.75" customHeight="1" s="1181">
      <c r="A338" s="384" t="n"/>
      <c r="B338" s="384" t="n"/>
      <c r="C338" s="384" t="n"/>
      <c r="D338" s="384" t="n"/>
      <c r="E338" s="384" t="n"/>
      <c r="F338" s="384" t="n"/>
      <c r="G338" s="384" t="n"/>
      <c r="H338" s="384" t="n"/>
      <c r="I338" s="384" t="n"/>
      <c r="J338" s="384" t="n"/>
      <c r="K338" s="384" t="n"/>
      <c r="L338" s="384" t="n"/>
      <c r="M338" s="384" t="n"/>
      <c r="N338" s="384" t="n"/>
      <c r="O338" s="384" t="n"/>
      <c r="P338" s="384" t="n"/>
      <c r="Q338" s="384" t="n"/>
      <c r="R338" s="384" t="n"/>
      <c r="S338" s="384" t="n"/>
      <c r="T338" s="384" t="n"/>
      <c r="U338" s="384" t="n"/>
      <c r="V338" s="384" t="n"/>
      <c r="W338" s="384" t="n"/>
      <c r="X338" s="645">
        <f>IF(_epmOfflineCondition_,"I_E100382",EPMOlapMemberO("[C_INTERCO].[PARENTH1].[I_E100382]","","I_E100382","","000"))</f>
        <v/>
      </c>
      <c r="Y338" s="870">
        <f>IF(_epmOfflineCondition_,"京能源深泰州能源科技有限公司",EPMMemberDesc(X338))</f>
        <v/>
      </c>
      <c r="Z338" s="1302" t="n"/>
      <c r="AA338" s="1302" t="n"/>
      <c r="AB338" s="858" t="n"/>
      <c r="AC338" s="1302" t="n"/>
      <c r="AD338" s="1302" t="n"/>
      <c r="AE338" s="1302" t="inlineStr"/>
      <c r="AF338" s="1302" t="inlineStr"/>
      <c r="AG338" s="1302" t="inlineStr"/>
      <c r="AH338" s="1302" t="n"/>
      <c r="AI338" s="1302" t="n"/>
      <c r="AJ338" s="1302" t="n"/>
      <c r="AK338" s="1302">
        <f>AI338-AJ338</f>
        <v/>
      </c>
      <c r="AL338" s="858" t="n"/>
      <c r="AM338" s="1297" t="inlineStr"/>
      <c r="AN338" s="1298" t="n"/>
      <c r="AO338" s="13">
        <f>IF(_epmOfflineCondition_,0,EPMSaveDataOnly(AB338,,AB$29,AB$25,AB$26,AB$31,AB$32,$AA$37,AO$14,AO$15,AO$16,AO$17,AO$18,X338))</f>
        <v/>
      </c>
      <c r="AP338" s="13">
        <f>IF(_epmOfflineCondition_,0,EPMSaveDataOnly(AL338,,AL$29,AL$25,AL$26,AL$31,AL$32,$AA$37,AP$14,AP$15,AP$16,AP$17,AP$18,$X338))</f>
        <v/>
      </c>
      <c r="AQ338" s="13">
        <f>IF(_epmOfflineCondition_,0,EPMSaveData(AM338,,AM$29,AM$25,AM$26,$C$6,AM$32,$AA$37,AQ$14,AQ$15,AQ$16,AQ$17,AQ$18,$X338))</f>
        <v/>
      </c>
      <c r="AR338" s="13">
        <f>IF(_epmOfflineCondition_,0,EPMSaveDataOnly(AN338,,AN$29,AN$25,AN$26,AN$31,AN$32,$AA$37,AR$14,AR$15,AR$16,AR$17,AR$18,$X338))</f>
        <v/>
      </c>
      <c r="AS338" s="384" t="n"/>
    </row>
    <row r="339" hidden="1" ht="15.75" customHeight="1" s="1181">
      <c r="A339" s="384" t="n"/>
      <c r="B339" s="384" t="n"/>
      <c r="C339" s="384" t="n"/>
      <c r="D339" s="384" t="n"/>
      <c r="E339" s="384" t="n"/>
      <c r="F339" s="384" t="n"/>
      <c r="G339" s="384" t="n"/>
      <c r="H339" s="384" t="n"/>
      <c r="I339" s="384" t="n"/>
      <c r="J339" s="384" t="n"/>
      <c r="K339" s="384" t="n"/>
      <c r="L339" s="384" t="n"/>
      <c r="M339" s="384" t="n"/>
      <c r="N339" s="384" t="n"/>
      <c r="O339" s="384" t="n"/>
      <c r="P339" s="384" t="n"/>
      <c r="Q339" s="384" t="n"/>
      <c r="R339" s="384" t="n"/>
      <c r="S339" s="384" t="n"/>
      <c r="T339" s="384" t="n"/>
      <c r="U339" s="384" t="n"/>
      <c r="V339" s="384" t="n"/>
      <c r="W339" s="384" t="n"/>
      <c r="X339" s="645">
        <f>IF(_epmOfflineCondition_,"I_E100383",EPMOlapMemberO("[C_INTERCO].[PARENTH1].[I_E100383]","","I_E100383","","000"))</f>
        <v/>
      </c>
      <c r="Y339" s="870">
        <f>IF(_epmOfflineCondition_,"京能源深能源科技盐城有限公司",EPMMemberDesc(X339))</f>
        <v/>
      </c>
      <c r="Z339" s="1302" t="n"/>
      <c r="AA339" s="1302" t="n"/>
      <c r="AB339" s="858" t="n"/>
      <c r="AC339" s="1302" t="n"/>
      <c r="AD339" s="1302" t="n"/>
      <c r="AE339" s="1302" t="inlineStr"/>
      <c r="AF339" s="1302" t="inlineStr"/>
      <c r="AG339" s="1302" t="inlineStr"/>
      <c r="AH339" s="1302" t="n"/>
      <c r="AI339" s="1302" t="n"/>
      <c r="AJ339" s="1302" t="n"/>
      <c r="AK339" s="1302">
        <f>AI339-AJ339</f>
        <v/>
      </c>
      <c r="AL339" s="858" t="n"/>
      <c r="AM339" s="1297" t="inlineStr"/>
      <c r="AN339" s="1298" t="n"/>
      <c r="AO339" s="13">
        <f>IF(_epmOfflineCondition_,0,EPMSaveDataOnly(AB339,,AB$29,AB$25,AB$26,AB$31,AB$32,$AA$37,AO$14,AO$15,AO$16,AO$17,AO$18,X339))</f>
        <v/>
      </c>
      <c r="AP339" s="13">
        <f>IF(_epmOfflineCondition_,0,EPMSaveDataOnly(AL339,,AL$29,AL$25,AL$26,AL$31,AL$32,$AA$37,AP$14,AP$15,AP$16,AP$17,AP$18,$X339))</f>
        <v/>
      </c>
      <c r="AQ339" s="13">
        <f>IF(_epmOfflineCondition_,0,EPMSaveData(AM339,,AM$29,AM$25,AM$26,$C$6,AM$32,$AA$37,AQ$14,AQ$15,AQ$16,AQ$17,AQ$18,$X339))</f>
        <v/>
      </c>
      <c r="AR339" s="13">
        <f>IF(_epmOfflineCondition_,0,EPMSaveDataOnly(AN339,,AN$29,AN$25,AN$26,AN$31,AN$32,$AA$37,AR$14,AR$15,AR$16,AR$17,AR$18,$X339))</f>
        <v/>
      </c>
      <c r="AS339" s="384" t="n"/>
    </row>
    <row r="340" hidden="1" ht="15.75" customHeight="1" s="1181">
      <c r="A340" s="384" t="n"/>
      <c r="B340" s="384" t="n"/>
      <c r="C340" s="384" t="n"/>
      <c r="D340" s="384" t="n"/>
      <c r="E340" s="384" t="n"/>
      <c r="F340" s="384" t="n"/>
      <c r="G340" s="384" t="n"/>
      <c r="H340" s="384" t="n"/>
      <c r="I340" s="384" t="n"/>
      <c r="J340" s="384" t="n"/>
      <c r="K340" s="384" t="n"/>
      <c r="L340" s="384" t="n"/>
      <c r="M340" s="384" t="n"/>
      <c r="N340" s="384" t="n"/>
      <c r="O340" s="384" t="n"/>
      <c r="P340" s="384" t="n"/>
      <c r="Q340" s="384" t="n"/>
      <c r="R340" s="384" t="n"/>
      <c r="S340" s="384" t="n"/>
      <c r="T340" s="384" t="n"/>
      <c r="U340" s="384" t="n"/>
      <c r="V340" s="384" t="n"/>
      <c r="W340" s="384" t="n"/>
      <c r="X340" s="645">
        <f>IF(_epmOfflineCondition_,"I_E100384",EPMOlapMemberO("[C_INTERCO].[PARENTH1].[I_E100384]","","I_E100384","","000"))</f>
        <v/>
      </c>
      <c r="Y340" s="870">
        <f>IF(_epmOfflineCondition_,"湖州源深太阳能科技有限公司",EPMMemberDesc(X340))</f>
        <v/>
      </c>
      <c r="Z340" s="1302" t="n"/>
      <c r="AA340" s="1302" t="n"/>
      <c r="AB340" s="858" t="n"/>
      <c r="AC340" s="1302" t="n"/>
      <c r="AD340" s="1302" t="n"/>
      <c r="AE340" s="1302" t="inlineStr"/>
      <c r="AF340" s="1302" t="inlineStr"/>
      <c r="AG340" s="1302" t="inlineStr"/>
      <c r="AH340" s="1302" t="n"/>
      <c r="AI340" s="1302" t="n"/>
      <c r="AJ340" s="1302" t="n"/>
      <c r="AK340" s="1302">
        <f>AI340-AJ340</f>
        <v/>
      </c>
      <c r="AL340" s="858" t="n"/>
      <c r="AM340" s="1297" t="inlineStr"/>
      <c r="AN340" s="1298" t="n"/>
      <c r="AO340" s="13">
        <f>IF(_epmOfflineCondition_,0,EPMSaveDataOnly(AB340,,AB$29,AB$25,AB$26,AB$31,AB$32,$AA$37,AO$14,AO$15,AO$16,AO$17,AO$18,X340))</f>
        <v/>
      </c>
      <c r="AP340" s="13">
        <f>IF(_epmOfflineCondition_,0,EPMSaveDataOnly(AL340,,AL$29,AL$25,AL$26,AL$31,AL$32,$AA$37,AP$14,AP$15,AP$16,AP$17,AP$18,$X340))</f>
        <v/>
      </c>
      <c r="AQ340" s="13">
        <f>IF(_epmOfflineCondition_,0,EPMSaveData(AM340,,AM$29,AM$25,AM$26,$C$6,AM$32,$AA$37,AQ$14,AQ$15,AQ$16,AQ$17,AQ$18,$X340))</f>
        <v/>
      </c>
      <c r="AR340" s="13">
        <f>IF(_epmOfflineCondition_,0,EPMSaveDataOnly(AN340,,AN$29,AN$25,AN$26,AN$31,AN$32,$AA$37,AR$14,AR$15,AR$16,AR$17,AR$18,$X340))</f>
        <v/>
      </c>
      <c r="AS340" s="384" t="n"/>
    </row>
    <row r="341" hidden="1" ht="15.75" customHeight="1" s="1181">
      <c r="A341" s="384" t="n"/>
      <c r="B341" s="384" t="n"/>
      <c r="C341" s="384" t="n"/>
      <c r="D341" s="384" t="n"/>
      <c r="E341" s="384" t="n"/>
      <c r="F341" s="384" t="n"/>
      <c r="G341" s="384" t="n"/>
      <c r="H341" s="384" t="n"/>
      <c r="I341" s="384" t="n"/>
      <c r="J341" s="384" t="n"/>
      <c r="K341" s="384" t="n"/>
      <c r="L341" s="384" t="n"/>
      <c r="M341" s="384" t="n"/>
      <c r="N341" s="384" t="n"/>
      <c r="O341" s="384" t="n"/>
      <c r="P341" s="384" t="n"/>
      <c r="Q341" s="384" t="n"/>
      <c r="R341" s="384" t="n"/>
      <c r="S341" s="384" t="n"/>
      <c r="T341" s="384" t="n"/>
      <c r="U341" s="384" t="n"/>
      <c r="V341" s="384" t="n"/>
      <c r="W341" s="384" t="n"/>
      <c r="X341" s="645">
        <f>IF(_epmOfflineCondition_,"I_E100385",EPMOlapMemberO("[C_INTERCO].[PARENTH1].[I_E100385]","","I_E100385","","000"))</f>
        <v/>
      </c>
      <c r="Y341" s="870">
        <f>IF(_epmOfflineCondition_,"桐乡科茂新能源有限公司",EPMMemberDesc(X341))</f>
        <v/>
      </c>
      <c r="Z341" s="1302" t="n"/>
      <c r="AA341" s="1302" t="n"/>
      <c r="AB341" s="858" t="n"/>
      <c r="AC341" s="1302" t="n"/>
      <c r="AD341" s="1302" t="n"/>
      <c r="AE341" s="1302" t="inlineStr"/>
      <c r="AF341" s="1302" t="inlineStr"/>
      <c r="AG341" s="1302" t="inlineStr"/>
      <c r="AH341" s="1302" t="n"/>
      <c r="AI341" s="1302" t="n"/>
      <c r="AJ341" s="1302" t="n"/>
      <c r="AK341" s="1302">
        <f>AI341-AJ341</f>
        <v/>
      </c>
      <c r="AL341" s="858" t="n"/>
      <c r="AM341" s="1297" t="inlineStr"/>
      <c r="AN341" s="1298" t="n"/>
      <c r="AO341" s="13">
        <f>IF(_epmOfflineCondition_,0,EPMSaveDataOnly(AB341,,AB$29,AB$25,AB$26,AB$31,AB$32,$AA$37,AO$14,AO$15,AO$16,AO$17,AO$18,X341))</f>
        <v/>
      </c>
      <c r="AP341" s="13">
        <f>IF(_epmOfflineCondition_,0,EPMSaveDataOnly(AL341,,AL$29,AL$25,AL$26,AL$31,AL$32,$AA$37,AP$14,AP$15,AP$16,AP$17,AP$18,$X341))</f>
        <v/>
      </c>
      <c r="AQ341" s="13">
        <f>IF(_epmOfflineCondition_,0,EPMSaveData(AM341,,AM$29,AM$25,AM$26,$C$6,AM$32,$AA$37,AQ$14,AQ$15,AQ$16,AQ$17,AQ$18,$X341))</f>
        <v/>
      </c>
      <c r="AR341" s="13">
        <f>IF(_epmOfflineCondition_,0,EPMSaveDataOnly(AN341,,AN$29,AN$25,AN$26,AN$31,AN$32,$AA$37,AR$14,AR$15,AR$16,AR$17,AR$18,$X341))</f>
        <v/>
      </c>
      <c r="AS341" s="384" t="n"/>
    </row>
    <row r="342" hidden="1" ht="15.75" customHeight="1" s="1181">
      <c r="A342" s="384" t="n"/>
      <c r="B342" s="384" t="n"/>
      <c r="C342" s="384" t="n"/>
      <c r="D342" s="384" t="n"/>
      <c r="E342" s="384" t="n"/>
      <c r="F342" s="384" t="n"/>
      <c r="G342" s="384" t="n"/>
      <c r="H342" s="384" t="n"/>
      <c r="I342" s="384" t="n"/>
      <c r="J342" s="384" t="n"/>
      <c r="K342" s="384" t="n"/>
      <c r="L342" s="384" t="n"/>
      <c r="M342" s="384" t="n"/>
      <c r="N342" s="384" t="n"/>
      <c r="O342" s="384" t="n"/>
      <c r="P342" s="384" t="n"/>
      <c r="Q342" s="384" t="n"/>
      <c r="R342" s="384" t="n"/>
      <c r="S342" s="384" t="n"/>
      <c r="T342" s="384" t="n"/>
      <c r="U342" s="384" t="n"/>
      <c r="V342" s="384" t="n"/>
      <c r="W342" s="384" t="n"/>
      <c r="X342" s="645">
        <f>IF(_epmOfflineCondition_,"I_E100399",EPMOlapMemberO("[C_INTERCO].[PARENTH1].[I_E100399]","","I_E100399","","000"))</f>
        <v/>
      </c>
      <c r="Y342" s="870">
        <f>IF(_epmOfflineCondition_,"京能源深（嘉兴）能源科技有限公司",EPMMemberDesc(X342))</f>
        <v/>
      </c>
      <c r="Z342" s="1302" t="n"/>
      <c r="AA342" s="1302" t="n"/>
      <c r="AB342" s="858" t="n"/>
      <c r="AC342" s="1302" t="n"/>
      <c r="AD342" s="1302" t="n"/>
      <c r="AE342" s="1302" t="inlineStr"/>
      <c r="AF342" s="1302" t="inlineStr"/>
      <c r="AG342" s="1302" t="inlineStr"/>
      <c r="AH342" s="1302" t="n"/>
      <c r="AI342" s="1302" t="n"/>
      <c r="AJ342" s="1302" t="n"/>
      <c r="AK342" s="1302">
        <f>AI342-AJ342</f>
        <v/>
      </c>
      <c r="AL342" s="858" t="n"/>
      <c r="AM342" s="1297" t="inlineStr"/>
      <c r="AN342" s="1298" t="n"/>
      <c r="AO342" s="13">
        <f>IF(_epmOfflineCondition_,0,EPMSaveDataOnly(AB342,,AB$29,AB$25,AB$26,AB$31,AB$32,$AA$37,AO$14,AO$15,AO$16,AO$17,AO$18,X342))</f>
        <v/>
      </c>
      <c r="AP342" s="13">
        <f>IF(_epmOfflineCondition_,0,EPMSaveDataOnly(AL342,,AL$29,AL$25,AL$26,AL$31,AL$32,$AA$37,AP$14,AP$15,AP$16,AP$17,AP$18,$X342))</f>
        <v/>
      </c>
      <c r="AQ342" s="13">
        <f>IF(_epmOfflineCondition_,0,EPMSaveData(AM342,,AM$29,AM$25,AM$26,$C$6,AM$32,$AA$37,AQ$14,AQ$15,AQ$16,AQ$17,AQ$18,$X342))</f>
        <v/>
      </c>
      <c r="AR342" s="13">
        <f>IF(_epmOfflineCondition_,0,EPMSaveDataOnly(AN342,,AN$29,AN$25,AN$26,AN$31,AN$32,$AA$37,AR$14,AR$15,AR$16,AR$17,AR$18,$X342))</f>
        <v/>
      </c>
      <c r="AS342" s="384" t="n"/>
    </row>
    <row r="343" hidden="1" ht="15.75" customHeight="1" s="1181">
      <c r="A343" s="384" t="n"/>
      <c r="B343" s="384" t="n"/>
      <c r="C343" s="384" t="n"/>
      <c r="D343" s="384" t="n"/>
      <c r="E343" s="384" t="n"/>
      <c r="F343" s="384" t="n"/>
      <c r="G343" s="384" t="n"/>
      <c r="H343" s="384" t="n"/>
      <c r="I343" s="384" t="n"/>
      <c r="J343" s="384" t="n"/>
      <c r="K343" s="384" t="n"/>
      <c r="L343" s="384" t="n"/>
      <c r="M343" s="384" t="n"/>
      <c r="N343" s="384" t="n"/>
      <c r="O343" s="384" t="n"/>
      <c r="P343" s="384" t="n"/>
      <c r="Q343" s="384" t="n"/>
      <c r="R343" s="384" t="n"/>
      <c r="S343" s="384" t="n"/>
      <c r="T343" s="384" t="n"/>
      <c r="U343" s="384" t="n"/>
      <c r="V343" s="384" t="n"/>
      <c r="W343" s="384" t="n"/>
      <c r="X343" s="645">
        <f>IF(_epmOfflineCondition_,"I_E100400",EPMOlapMemberO("[C_INTERCO].[PARENTH1].[I_E100400]","","I_E100400","","000"))</f>
        <v/>
      </c>
      <c r="Y343" s="870">
        <f>IF(_epmOfflineCondition_,"湖州源兴能源有限公司",EPMMemberDesc(X343))</f>
        <v/>
      </c>
      <c r="Z343" s="1302" t="n"/>
      <c r="AA343" s="1302" t="n"/>
      <c r="AB343" s="858" t="n"/>
      <c r="AC343" s="1302" t="n"/>
      <c r="AD343" s="1302" t="n"/>
      <c r="AE343" s="1302" t="inlineStr"/>
      <c r="AF343" s="1302" t="inlineStr"/>
      <c r="AG343" s="1302" t="inlineStr"/>
      <c r="AH343" s="1302" t="n"/>
      <c r="AI343" s="1302" t="n"/>
      <c r="AJ343" s="1302" t="n"/>
      <c r="AK343" s="1302">
        <f>AI343-AJ343</f>
        <v/>
      </c>
      <c r="AL343" s="858" t="n"/>
      <c r="AM343" s="1297" t="inlineStr"/>
      <c r="AN343" s="1298" t="n"/>
      <c r="AO343" s="13">
        <f>IF(_epmOfflineCondition_,0,EPMSaveDataOnly(AB343,,AB$29,AB$25,AB$26,AB$31,AB$32,$AA$37,AO$14,AO$15,AO$16,AO$17,AO$18,X343))</f>
        <v/>
      </c>
      <c r="AP343" s="13">
        <f>IF(_epmOfflineCondition_,0,EPMSaveDataOnly(AL343,,AL$29,AL$25,AL$26,AL$31,AL$32,$AA$37,AP$14,AP$15,AP$16,AP$17,AP$18,$X343))</f>
        <v/>
      </c>
      <c r="AQ343" s="13">
        <f>IF(_epmOfflineCondition_,0,EPMSaveData(AM343,,AM$29,AM$25,AM$26,$C$6,AM$32,$AA$37,AQ$14,AQ$15,AQ$16,AQ$17,AQ$18,$X343))</f>
        <v/>
      </c>
      <c r="AR343" s="13">
        <f>IF(_epmOfflineCondition_,0,EPMSaveDataOnly(AN343,,AN$29,AN$25,AN$26,AN$31,AN$32,$AA$37,AR$14,AR$15,AR$16,AR$17,AR$18,$X343))</f>
        <v/>
      </c>
      <c r="AS343" s="384" t="n"/>
    </row>
    <row r="344" hidden="1" ht="15.75" customHeight="1" s="1181">
      <c r="A344" s="384" t="n"/>
      <c r="B344" s="384" t="n"/>
      <c r="C344" s="384" t="n"/>
      <c r="D344" s="384" t="n"/>
      <c r="E344" s="384" t="n"/>
      <c r="F344" s="384" t="n"/>
      <c r="G344" s="384" t="n"/>
      <c r="H344" s="384" t="n"/>
      <c r="I344" s="384" t="n"/>
      <c r="J344" s="384" t="n"/>
      <c r="K344" s="384" t="n"/>
      <c r="L344" s="384" t="n"/>
      <c r="M344" s="384" t="n"/>
      <c r="N344" s="384" t="n"/>
      <c r="O344" s="384" t="n"/>
      <c r="P344" s="384" t="n"/>
      <c r="Q344" s="384" t="n"/>
      <c r="R344" s="384" t="n"/>
      <c r="S344" s="384" t="n"/>
      <c r="T344" s="384" t="n"/>
      <c r="U344" s="384" t="n"/>
      <c r="V344" s="384" t="n"/>
      <c r="W344" s="384" t="n"/>
      <c r="X344" s="645">
        <f>IF(_epmOfflineCondition_,"I_E100401",EPMOlapMemberO("[C_INTERCO].[PARENTH1].[I_E100401]","","I_E100401","","000"))</f>
        <v/>
      </c>
      <c r="Y344" s="870">
        <f>IF(_epmOfflineCondition_,"湖州源浔能源科技有限公司",EPMMemberDesc(X344))</f>
        <v/>
      </c>
      <c r="Z344" s="1302" t="n"/>
      <c r="AA344" s="1302" t="n"/>
      <c r="AB344" s="858" t="n"/>
      <c r="AC344" s="1302" t="n"/>
      <c r="AD344" s="1302" t="n"/>
      <c r="AE344" s="1302" t="inlineStr"/>
      <c r="AF344" s="1302" t="inlineStr"/>
      <c r="AG344" s="1302" t="inlineStr"/>
      <c r="AH344" s="1302" t="n"/>
      <c r="AI344" s="1302" t="n"/>
      <c r="AJ344" s="1302" t="n"/>
      <c r="AK344" s="1302">
        <f>AI344-AJ344</f>
        <v/>
      </c>
      <c r="AL344" s="858" t="n"/>
      <c r="AM344" s="1297" t="inlineStr"/>
      <c r="AN344" s="1298" t="n"/>
      <c r="AO344" s="13">
        <f>IF(_epmOfflineCondition_,0,EPMSaveDataOnly(AB344,,AB$29,AB$25,AB$26,AB$31,AB$32,$AA$37,AO$14,AO$15,AO$16,AO$17,AO$18,X344))</f>
        <v/>
      </c>
      <c r="AP344" s="13">
        <f>IF(_epmOfflineCondition_,0,EPMSaveDataOnly(AL344,,AL$29,AL$25,AL$26,AL$31,AL$32,$AA$37,AP$14,AP$15,AP$16,AP$17,AP$18,$X344))</f>
        <v/>
      </c>
      <c r="AQ344" s="13">
        <f>IF(_epmOfflineCondition_,0,EPMSaveData(AM344,,AM$29,AM$25,AM$26,$C$6,AM$32,$AA$37,AQ$14,AQ$15,AQ$16,AQ$17,AQ$18,$X344))</f>
        <v/>
      </c>
      <c r="AR344" s="13">
        <f>IF(_epmOfflineCondition_,0,EPMSaveDataOnly(AN344,,AN$29,AN$25,AN$26,AN$31,AN$32,$AA$37,AR$14,AR$15,AR$16,AR$17,AR$18,$X344))</f>
        <v/>
      </c>
      <c r="AS344" s="384" t="n"/>
    </row>
    <row r="345" hidden="1" ht="15.75" customHeight="1" s="1181">
      <c r="A345" s="384" t="n"/>
      <c r="B345" s="384" t="n"/>
      <c r="C345" s="384" t="n"/>
      <c r="D345" s="384" t="n"/>
      <c r="E345" s="384" t="n"/>
      <c r="F345" s="384" t="n"/>
      <c r="G345" s="384" t="n"/>
      <c r="H345" s="384" t="n"/>
      <c r="I345" s="384" t="n"/>
      <c r="J345" s="384" t="n"/>
      <c r="K345" s="384" t="n"/>
      <c r="L345" s="384" t="n"/>
      <c r="M345" s="384" t="n"/>
      <c r="N345" s="384" t="n"/>
      <c r="O345" s="384" t="n"/>
      <c r="P345" s="384" t="n"/>
      <c r="Q345" s="384" t="n"/>
      <c r="R345" s="384" t="n"/>
      <c r="S345" s="384" t="n"/>
      <c r="T345" s="384" t="n"/>
      <c r="U345" s="384" t="n"/>
      <c r="V345" s="384" t="n"/>
      <c r="W345" s="384" t="n"/>
      <c r="X345" s="645">
        <f>IF(_epmOfflineCondition_,"I_E100404",EPMOlapMemberO("[C_INTERCO].[PARENTH1].[I_E100404]","","I_E100404","","000"))</f>
        <v/>
      </c>
      <c r="Y345" s="870">
        <f>IF(_epmOfflineCondition_,"北京源深能源科技有限责任公司",EPMMemberDesc(X345))</f>
        <v/>
      </c>
      <c r="Z345" s="1302" t="n"/>
      <c r="AA345" s="1302" t="n"/>
      <c r="AB345" s="858" t="n"/>
      <c r="AC345" s="1302" t="n"/>
      <c r="AD345" s="1302" t="n"/>
      <c r="AE345" s="1302" t="inlineStr"/>
      <c r="AF345" s="1302" t="inlineStr"/>
      <c r="AG345" s="1302" t="inlineStr"/>
      <c r="AH345" s="1302" t="n"/>
      <c r="AI345" s="1302" t="n"/>
      <c r="AJ345" s="1302" t="n"/>
      <c r="AK345" s="1302">
        <f>AI345-AJ345</f>
        <v/>
      </c>
      <c r="AL345" s="858" t="n"/>
      <c r="AM345" s="1297" t="inlineStr"/>
      <c r="AN345" s="1298" t="n"/>
      <c r="AO345" s="13">
        <f>IF(_epmOfflineCondition_,0,EPMSaveDataOnly(AB345,,AB$29,AB$25,AB$26,AB$31,AB$32,$AA$37,AO$14,AO$15,AO$16,AO$17,AO$18,X345))</f>
        <v/>
      </c>
      <c r="AP345" s="13">
        <f>IF(_epmOfflineCondition_,0,EPMSaveDataOnly(AL345,,AL$29,AL$25,AL$26,AL$31,AL$32,$AA$37,AP$14,AP$15,AP$16,AP$17,AP$18,$X345))</f>
        <v/>
      </c>
      <c r="AQ345" s="13">
        <f>IF(_epmOfflineCondition_,0,EPMSaveData(AM345,,AM$29,AM$25,AM$26,$C$6,AM$32,$AA$37,AQ$14,AQ$15,AQ$16,AQ$17,AQ$18,$X345))</f>
        <v/>
      </c>
      <c r="AR345" s="13">
        <f>IF(_epmOfflineCondition_,0,EPMSaveDataOnly(AN345,,AN$29,AN$25,AN$26,AN$31,AN$32,$AA$37,AR$14,AR$15,AR$16,AR$17,AR$18,$X345))</f>
        <v/>
      </c>
      <c r="AS345" s="384" t="n"/>
    </row>
    <row r="346" hidden="1" ht="15.75" customHeight="1" s="1181">
      <c r="A346" s="384" t="n"/>
      <c r="B346" s="384" t="n"/>
      <c r="C346" s="384" t="n"/>
      <c r="D346" s="384" t="n"/>
      <c r="E346" s="384" t="n"/>
      <c r="F346" s="384" t="n"/>
      <c r="G346" s="384" t="n"/>
      <c r="H346" s="384" t="n"/>
      <c r="I346" s="384" t="n"/>
      <c r="J346" s="384" t="n"/>
      <c r="K346" s="384" t="n"/>
      <c r="L346" s="384" t="n"/>
      <c r="M346" s="384" t="n"/>
      <c r="N346" s="384" t="n"/>
      <c r="O346" s="384" t="n"/>
      <c r="P346" s="384" t="n"/>
      <c r="Q346" s="384" t="n"/>
      <c r="R346" s="384" t="n"/>
      <c r="S346" s="384" t="n"/>
      <c r="T346" s="384" t="n"/>
      <c r="U346" s="384" t="n"/>
      <c r="V346" s="384" t="n"/>
      <c r="W346" s="384" t="n"/>
      <c r="X346" s="645">
        <f>IF(_epmOfflineCondition_,"I_E100405",EPMOlapMemberO("[C_INTERCO].[PARENTH1].[I_E100405]","","I_E100405","","000"))</f>
        <v/>
      </c>
      <c r="Y346" s="870">
        <f>IF(_epmOfflineCondition_,"北京高新技术创业投资有限公司",EPMMemberDesc(X346))</f>
        <v/>
      </c>
      <c r="Z346" s="1302" t="n"/>
      <c r="AA346" s="1302" t="n"/>
      <c r="AB346" s="858" t="n"/>
      <c r="AC346" s="1302" t="n"/>
      <c r="AD346" s="1302" t="n"/>
      <c r="AE346" s="1302" t="inlineStr"/>
      <c r="AF346" s="1302" t="inlineStr"/>
      <c r="AG346" s="1302" t="inlineStr"/>
      <c r="AH346" s="1302" t="n"/>
      <c r="AI346" s="1302" t="n"/>
      <c r="AJ346" s="1302" t="n"/>
      <c r="AK346" s="1302">
        <f>AI346-AJ346</f>
        <v/>
      </c>
      <c r="AL346" s="858" t="n"/>
      <c r="AM346" s="1297" t="inlineStr"/>
      <c r="AN346" s="1298" t="n"/>
      <c r="AO346" s="13">
        <f>IF(_epmOfflineCondition_,0,EPMSaveDataOnly(AB346,,AB$29,AB$25,AB$26,AB$31,AB$32,$AA$37,AO$14,AO$15,AO$16,AO$17,AO$18,X346))</f>
        <v/>
      </c>
      <c r="AP346" s="13">
        <f>IF(_epmOfflineCondition_,0,EPMSaveDataOnly(AL346,,AL$29,AL$25,AL$26,AL$31,AL$32,$AA$37,AP$14,AP$15,AP$16,AP$17,AP$18,$X346))</f>
        <v/>
      </c>
      <c r="AQ346" s="13">
        <f>IF(_epmOfflineCondition_,0,EPMSaveData(AM346,,AM$29,AM$25,AM$26,$C$6,AM$32,$AA$37,AQ$14,AQ$15,AQ$16,AQ$17,AQ$18,$X346))</f>
        <v/>
      </c>
      <c r="AR346" s="13">
        <f>IF(_epmOfflineCondition_,0,EPMSaveDataOnly(AN346,,AN$29,AN$25,AN$26,AN$31,AN$32,$AA$37,AR$14,AR$15,AR$16,AR$17,AR$18,$X346))</f>
        <v/>
      </c>
      <c r="AS346" s="384" t="n"/>
    </row>
    <row r="347" hidden="1" ht="15.75" customHeight="1" s="1181">
      <c r="A347" s="384" t="n"/>
      <c r="B347" s="384" t="n"/>
      <c r="C347" s="384" t="n"/>
      <c r="D347" s="384" t="n"/>
      <c r="E347" s="384" t="n"/>
      <c r="F347" s="384" t="n"/>
      <c r="G347" s="384" t="n"/>
      <c r="H347" s="384" t="n"/>
      <c r="I347" s="384" t="n"/>
      <c r="J347" s="384" t="n"/>
      <c r="K347" s="384" t="n"/>
      <c r="L347" s="384" t="n"/>
      <c r="M347" s="384" t="n"/>
      <c r="N347" s="384" t="n"/>
      <c r="O347" s="384" t="n"/>
      <c r="P347" s="384" t="n"/>
      <c r="Q347" s="384" t="n"/>
      <c r="R347" s="384" t="n"/>
      <c r="S347" s="384" t="n"/>
      <c r="T347" s="384" t="n"/>
      <c r="U347" s="384" t="n"/>
      <c r="V347" s="384" t="n"/>
      <c r="W347" s="384" t="n"/>
      <c r="X347" s="645">
        <f>IF(_epmOfflineCondition_,"I_E100406",EPMOlapMemberO("[C_INTERCO].[PARENTH1].[I_E100406]","","I_E100406","","000"))</f>
        <v/>
      </c>
      <c r="Y347" s="870">
        <f>IF(_epmOfflineCondition_,"北京京能数字科技有限公司",EPMMemberDesc(X347))</f>
        <v/>
      </c>
      <c r="Z347" s="1302" t="n"/>
      <c r="AA347" s="1302" t="n"/>
      <c r="AB347" s="858" t="n"/>
      <c r="AC347" s="1302" t="n"/>
      <c r="AD347" s="1302" t="n"/>
      <c r="AE347" s="1302" t="inlineStr"/>
      <c r="AF347" s="1302" t="inlineStr"/>
      <c r="AG347" s="1302" t="inlineStr"/>
      <c r="AH347" s="1302" t="n"/>
      <c r="AI347" s="1302" t="n"/>
      <c r="AJ347" s="1302" t="n"/>
      <c r="AK347" s="1302">
        <f>AI347-AJ347</f>
        <v/>
      </c>
      <c r="AL347" s="858" t="n"/>
      <c r="AM347" s="1297" t="inlineStr"/>
      <c r="AN347" s="1298" t="n"/>
      <c r="AO347" s="13">
        <f>IF(_epmOfflineCondition_,0,EPMSaveDataOnly(AB347,,AB$29,AB$25,AB$26,AB$31,AB$32,$AA$37,AO$14,AO$15,AO$16,AO$17,AO$18,X347))</f>
        <v/>
      </c>
      <c r="AP347" s="13">
        <f>IF(_epmOfflineCondition_,0,EPMSaveDataOnly(AL347,,AL$29,AL$25,AL$26,AL$31,AL$32,$AA$37,AP$14,AP$15,AP$16,AP$17,AP$18,$X347))</f>
        <v/>
      </c>
      <c r="AQ347" s="13">
        <f>IF(_epmOfflineCondition_,0,EPMSaveData(AM347,,AM$29,AM$25,AM$26,$C$6,AM$32,$AA$37,AQ$14,AQ$15,AQ$16,AQ$17,AQ$18,$X347))</f>
        <v/>
      </c>
      <c r="AR347" s="13">
        <f>IF(_epmOfflineCondition_,0,EPMSaveDataOnly(AN347,,AN$29,AN$25,AN$26,AN$31,AN$32,$AA$37,AR$14,AR$15,AR$16,AR$17,AR$18,$X347))</f>
        <v/>
      </c>
      <c r="AS347" s="384" t="n"/>
    </row>
    <row r="348" hidden="1" ht="15.75" customHeight="1" s="1181">
      <c r="A348" s="384" t="n"/>
      <c r="B348" s="384" t="n"/>
      <c r="C348" s="384" t="n"/>
      <c r="D348" s="384" t="n"/>
      <c r="E348" s="384" t="n"/>
      <c r="F348" s="384" t="n"/>
      <c r="G348" s="384" t="n"/>
      <c r="H348" s="384" t="n"/>
      <c r="I348" s="384" t="n"/>
      <c r="J348" s="384" t="n"/>
      <c r="K348" s="384" t="n"/>
      <c r="L348" s="384" t="n"/>
      <c r="M348" s="384" t="n"/>
      <c r="N348" s="384" t="n"/>
      <c r="O348" s="384" t="n"/>
      <c r="P348" s="384" t="n"/>
      <c r="Q348" s="384" t="n"/>
      <c r="R348" s="384" t="n"/>
      <c r="S348" s="384" t="n"/>
      <c r="T348" s="384" t="n"/>
      <c r="U348" s="384" t="n"/>
      <c r="V348" s="384" t="n"/>
      <c r="W348" s="384" t="n"/>
      <c r="X348" s="645">
        <f>IF(_epmOfflineCondition_,"I_E100407",EPMOlapMemberO("[C_INTERCO].[PARENTH1].[I_E100407]","","I_E100407","","000"))</f>
        <v/>
      </c>
      <c r="Y348" s="870">
        <f>IF(_epmOfflineCondition_,"北京华源高洁能源供应技术有限责任公司",EPMMemberDesc(X348))</f>
        <v/>
      </c>
      <c r="Z348" s="1302" t="n"/>
      <c r="AA348" s="1302" t="n"/>
      <c r="AB348" s="858" t="n"/>
      <c r="AC348" s="1302" t="n"/>
      <c r="AD348" s="1302" t="n"/>
      <c r="AE348" s="1302" t="inlineStr"/>
      <c r="AF348" s="1302" t="inlineStr"/>
      <c r="AG348" s="1302" t="inlineStr"/>
      <c r="AH348" s="1302" t="n"/>
      <c r="AI348" s="1302" t="n"/>
      <c r="AJ348" s="1302" t="n"/>
      <c r="AK348" s="1302">
        <f>AI348-AJ348</f>
        <v/>
      </c>
      <c r="AL348" s="858" t="n"/>
      <c r="AM348" s="1297" t="inlineStr"/>
      <c r="AN348" s="1298" t="n"/>
      <c r="AO348" s="13">
        <f>IF(_epmOfflineCondition_,0,EPMSaveDataOnly(AB348,,AB$29,AB$25,AB$26,AB$31,AB$32,$AA$37,AO$14,AO$15,AO$16,AO$17,AO$18,X348))</f>
        <v/>
      </c>
      <c r="AP348" s="13">
        <f>IF(_epmOfflineCondition_,0,EPMSaveDataOnly(AL348,,AL$29,AL$25,AL$26,AL$31,AL$32,$AA$37,AP$14,AP$15,AP$16,AP$17,AP$18,$X348))</f>
        <v/>
      </c>
      <c r="AQ348" s="13">
        <f>IF(_epmOfflineCondition_,0,EPMSaveData(AM348,,AM$29,AM$25,AM$26,$C$6,AM$32,$AA$37,AQ$14,AQ$15,AQ$16,AQ$17,AQ$18,$X348))</f>
        <v/>
      </c>
      <c r="AR348" s="13">
        <f>IF(_epmOfflineCondition_,0,EPMSaveDataOnly(AN348,,AN$29,AN$25,AN$26,AN$31,AN$32,$AA$37,AR$14,AR$15,AR$16,AR$17,AR$18,$X348))</f>
        <v/>
      </c>
      <c r="AS348" s="384" t="n"/>
    </row>
    <row r="349" hidden="1" ht="15.75" customHeight="1" s="1181">
      <c r="A349" s="384" t="n"/>
      <c r="B349" s="384" t="n"/>
      <c r="C349" s="384" t="n"/>
      <c r="D349" s="384" t="n"/>
      <c r="E349" s="384" t="n"/>
      <c r="F349" s="384" t="n"/>
      <c r="G349" s="384" t="n"/>
      <c r="H349" s="384" t="n"/>
      <c r="I349" s="384" t="n"/>
      <c r="J349" s="384" t="n"/>
      <c r="K349" s="384" t="n"/>
      <c r="L349" s="384" t="n"/>
      <c r="M349" s="384" t="n"/>
      <c r="N349" s="384" t="n"/>
      <c r="O349" s="384" t="n"/>
      <c r="P349" s="384" t="n"/>
      <c r="Q349" s="384" t="n"/>
      <c r="R349" s="384" t="n"/>
      <c r="S349" s="384" t="n"/>
      <c r="T349" s="384" t="n"/>
      <c r="U349" s="384" t="n"/>
      <c r="V349" s="384" t="n"/>
      <c r="W349" s="384" t="n"/>
      <c r="X349" s="645">
        <f>IF(_epmOfflineCondition_,"I_E100420",EPMOlapMemberO("[C_INTERCO].[PARENTH1].[I_E100420]","","I_E100420","","000"))</f>
        <v/>
      </c>
      <c r="Y349" s="870">
        <f>IF(_epmOfflineCondition_,"京能置业股份有限公司",EPMMemberDesc(X349))</f>
        <v/>
      </c>
      <c r="Z349" s="1302" t="n"/>
      <c r="AA349" s="1302" t="n"/>
      <c r="AB349" s="858" t="n"/>
      <c r="AC349" s="1302" t="n"/>
      <c r="AD349" s="1302" t="n"/>
      <c r="AE349" s="1302" t="inlineStr"/>
      <c r="AF349" s="1302" t="inlineStr"/>
      <c r="AG349" s="1302" t="inlineStr"/>
      <c r="AH349" s="1302" t="n"/>
      <c r="AI349" s="1302" t="n"/>
      <c r="AJ349" s="1302" t="n"/>
      <c r="AK349" s="1302">
        <f>AI349-AJ349</f>
        <v/>
      </c>
      <c r="AL349" s="858" t="n"/>
      <c r="AM349" s="1297" t="inlineStr"/>
      <c r="AN349" s="1298" t="n"/>
      <c r="AO349" s="13">
        <f>IF(_epmOfflineCondition_,0,EPMSaveDataOnly(AB349,,AB$29,AB$25,AB$26,AB$31,AB$32,$AA$37,AO$14,AO$15,AO$16,AO$17,AO$18,X349))</f>
        <v/>
      </c>
      <c r="AP349" s="13">
        <f>IF(_epmOfflineCondition_,0,EPMSaveDataOnly(AL349,,AL$29,AL$25,AL$26,AL$31,AL$32,$AA$37,AP$14,AP$15,AP$16,AP$17,AP$18,$X349))</f>
        <v/>
      </c>
      <c r="AQ349" s="13">
        <f>IF(_epmOfflineCondition_,0,EPMSaveData(AM349,,AM$29,AM$25,AM$26,$C$6,AM$32,$AA$37,AQ$14,AQ$15,AQ$16,AQ$17,AQ$18,$X349))</f>
        <v/>
      </c>
      <c r="AR349" s="13">
        <f>IF(_epmOfflineCondition_,0,EPMSaveDataOnly(AN349,,AN$29,AN$25,AN$26,AN$31,AN$32,$AA$37,AR$14,AR$15,AR$16,AR$17,AR$18,$X349))</f>
        <v/>
      </c>
      <c r="AS349" s="384" t="n"/>
    </row>
    <row r="350" hidden="1" ht="15.75" customHeight="1" s="1181">
      <c r="A350" s="384" t="n"/>
      <c r="B350" s="384" t="n"/>
      <c r="C350" s="384" t="n"/>
      <c r="D350" s="384" t="n"/>
      <c r="E350" s="384" t="n"/>
      <c r="F350" s="384" t="n"/>
      <c r="G350" s="384" t="n"/>
      <c r="H350" s="384" t="n"/>
      <c r="I350" s="384" t="n"/>
      <c r="J350" s="384" t="n"/>
      <c r="K350" s="384" t="n"/>
      <c r="L350" s="384" t="n"/>
      <c r="M350" s="384" t="n"/>
      <c r="N350" s="384" t="n"/>
      <c r="O350" s="384" t="n"/>
      <c r="P350" s="384" t="n"/>
      <c r="Q350" s="384" t="n"/>
      <c r="R350" s="384" t="n"/>
      <c r="S350" s="384" t="n"/>
      <c r="T350" s="384" t="n"/>
      <c r="U350" s="384" t="n"/>
      <c r="V350" s="384" t="n"/>
      <c r="W350" s="384" t="n"/>
      <c r="X350" s="645">
        <f>IF(_epmOfflineCondition_,"I_E100421",EPMOlapMemberO("[C_INTERCO].[PARENTH1].[I_E100421]","","I_E100421","","000"))</f>
        <v/>
      </c>
      <c r="Y350" s="870">
        <f>IF(_epmOfflineCondition_,"北京金泰房地产开发有限责任公司",EPMMemberDesc(X350))</f>
        <v/>
      </c>
      <c r="Z350" s="1302" t="n"/>
      <c r="AA350" s="1302" t="n"/>
      <c r="AB350" s="858" t="n"/>
      <c r="AC350" s="1302" t="n"/>
      <c r="AD350" s="1302" t="n"/>
      <c r="AE350" s="1302" t="inlineStr"/>
      <c r="AF350" s="1302" t="inlineStr"/>
      <c r="AG350" s="1302" t="inlineStr"/>
      <c r="AH350" s="1302" t="n"/>
      <c r="AI350" s="1302" t="n"/>
      <c r="AJ350" s="1302" t="n"/>
      <c r="AK350" s="1302">
        <f>AI350-AJ350</f>
        <v/>
      </c>
      <c r="AL350" s="858" t="n"/>
      <c r="AM350" s="1297" t="inlineStr"/>
      <c r="AN350" s="1298" t="n"/>
      <c r="AO350" s="13">
        <f>IF(_epmOfflineCondition_,0,EPMSaveDataOnly(AB350,,AB$29,AB$25,AB$26,AB$31,AB$32,$AA$37,AO$14,AO$15,AO$16,AO$17,AO$18,X350))</f>
        <v/>
      </c>
      <c r="AP350" s="13">
        <f>IF(_epmOfflineCondition_,0,EPMSaveDataOnly(AL350,,AL$29,AL$25,AL$26,AL$31,AL$32,$AA$37,AP$14,AP$15,AP$16,AP$17,AP$18,$X350))</f>
        <v/>
      </c>
      <c r="AQ350" s="13">
        <f>IF(_epmOfflineCondition_,0,EPMSaveData(AM350,,AM$29,AM$25,AM$26,$C$6,AM$32,$AA$37,AQ$14,AQ$15,AQ$16,AQ$17,AQ$18,$X350))</f>
        <v/>
      </c>
      <c r="AR350" s="13">
        <f>IF(_epmOfflineCondition_,0,EPMSaveDataOnly(AN350,,AN$29,AN$25,AN$26,AN$31,AN$32,$AA$37,AR$14,AR$15,AR$16,AR$17,AR$18,$X350))</f>
        <v/>
      </c>
      <c r="AS350" s="384" t="n"/>
    </row>
    <row r="351" hidden="1" ht="15.75" customHeight="1" s="1181">
      <c r="A351" s="384" t="n"/>
      <c r="B351" s="384" t="n"/>
      <c r="C351" s="384" t="n"/>
      <c r="D351" s="384" t="n"/>
      <c r="E351" s="384" t="n"/>
      <c r="F351" s="384" t="n"/>
      <c r="G351" s="384" t="n"/>
      <c r="H351" s="384" t="n"/>
      <c r="I351" s="384" t="n"/>
      <c r="J351" s="384" t="n"/>
      <c r="K351" s="384" t="n"/>
      <c r="L351" s="384" t="n"/>
      <c r="M351" s="384" t="n"/>
      <c r="N351" s="384" t="n"/>
      <c r="O351" s="384" t="n"/>
      <c r="P351" s="384" t="n"/>
      <c r="Q351" s="384" t="n"/>
      <c r="R351" s="384" t="n"/>
      <c r="S351" s="384" t="n"/>
      <c r="T351" s="384" t="n"/>
      <c r="U351" s="384" t="n"/>
      <c r="V351" s="384" t="n"/>
      <c r="W351" s="384" t="n"/>
      <c r="X351" s="645">
        <f>IF(_epmOfflineCondition_,"I_E100422",EPMOlapMemberO("[C_INTERCO].[PARENTH1].[I_E100422]","","I_E100422","","000"))</f>
        <v/>
      </c>
      <c r="Y351" s="870">
        <f>IF(_epmOfflineCondition_,"北京京能建设集团有限公司",EPMMemberDesc(X351))</f>
        <v/>
      </c>
      <c r="Z351" s="1302" t="n"/>
      <c r="AA351" s="1302" t="n"/>
      <c r="AB351" s="858" t="n"/>
      <c r="AC351" s="1302" t="n"/>
      <c r="AD351" s="1302" t="n"/>
      <c r="AE351" s="1302" t="inlineStr"/>
      <c r="AF351" s="1302" t="inlineStr"/>
      <c r="AG351" s="1302" t="inlineStr"/>
      <c r="AH351" s="1302" t="n"/>
      <c r="AI351" s="1302" t="n"/>
      <c r="AJ351" s="1302" t="n"/>
      <c r="AK351" s="1302">
        <f>AI351-AJ351</f>
        <v/>
      </c>
      <c r="AL351" s="858" t="n"/>
      <c r="AM351" s="1297" t="inlineStr"/>
      <c r="AN351" s="1298" t="n"/>
      <c r="AO351" s="13">
        <f>IF(_epmOfflineCondition_,0,EPMSaveDataOnly(AB351,,AB$29,AB$25,AB$26,AB$31,AB$32,$AA$37,AO$14,AO$15,AO$16,AO$17,AO$18,X351))</f>
        <v/>
      </c>
      <c r="AP351" s="13">
        <f>IF(_epmOfflineCondition_,0,EPMSaveDataOnly(AL351,,AL$29,AL$25,AL$26,AL$31,AL$32,$AA$37,AP$14,AP$15,AP$16,AP$17,AP$18,$X351))</f>
        <v/>
      </c>
      <c r="AQ351" s="13">
        <f>IF(_epmOfflineCondition_,0,EPMSaveData(AM351,,AM$29,AM$25,AM$26,$C$6,AM$32,$AA$37,AQ$14,AQ$15,AQ$16,AQ$17,AQ$18,$X351))</f>
        <v/>
      </c>
      <c r="AR351" s="13">
        <f>IF(_epmOfflineCondition_,0,EPMSaveDataOnly(AN351,,AN$29,AN$25,AN$26,AN$31,AN$32,$AA$37,AR$14,AR$15,AR$16,AR$17,AR$18,$X351))</f>
        <v/>
      </c>
      <c r="AS351" s="384" t="n"/>
    </row>
    <row r="352" hidden="1" ht="15.75" customHeight="1" s="1181">
      <c r="A352" s="384" t="n"/>
      <c r="B352" s="384" t="n"/>
      <c r="C352" s="384" t="n"/>
      <c r="D352" s="384" t="n"/>
      <c r="E352" s="384" t="n"/>
      <c r="F352" s="384" t="n"/>
      <c r="G352" s="384" t="n"/>
      <c r="H352" s="384" t="n"/>
      <c r="I352" s="384" t="n"/>
      <c r="J352" s="384" t="n"/>
      <c r="K352" s="384" t="n"/>
      <c r="L352" s="384" t="n"/>
      <c r="M352" s="384" t="n"/>
      <c r="N352" s="384" t="n"/>
      <c r="O352" s="384" t="n"/>
      <c r="P352" s="384" t="n"/>
      <c r="Q352" s="384" t="n"/>
      <c r="R352" s="384" t="n"/>
      <c r="S352" s="384" t="n"/>
      <c r="T352" s="384" t="n"/>
      <c r="U352" s="384" t="n"/>
      <c r="V352" s="384" t="n"/>
      <c r="W352" s="384" t="n"/>
      <c r="X352" s="645">
        <f>IF(_epmOfflineCondition_,"I_E100423",EPMOlapMemberO("[C_INTERCO].[PARENTH1].[I_E100423]","","I_E100423","","000"))</f>
        <v/>
      </c>
      <c r="Y352" s="870">
        <f>IF(_epmOfflineCondition_,"北京京能育兴房地产开发有限公司",EPMMemberDesc(X352))</f>
        <v/>
      </c>
      <c r="Z352" s="1302" t="n"/>
      <c r="AA352" s="1302" t="n"/>
      <c r="AB352" s="858" t="n"/>
      <c r="AC352" s="1302" t="n"/>
      <c r="AD352" s="1302" t="n"/>
      <c r="AE352" s="1302" t="inlineStr"/>
      <c r="AF352" s="1302" t="inlineStr"/>
      <c r="AG352" s="1302" t="inlineStr"/>
      <c r="AH352" s="1302" t="n"/>
      <c r="AI352" s="1302" t="n"/>
      <c r="AJ352" s="1302" t="n"/>
      <c r="AK352" s="1302">
        <f>AI352-AJ352</f>
        <v/>
      </c>
      <c r="AL352" s="858" t="n"/>
      <c r="AM352" s="1297" t="inlineStr"/>
      <c r="AN352" s="1298" t="n"/>
      <c r="AO352" s="13">
        <f>IF(_epmOfflineCondition_,0,EPMSaveDataOnly(AB352,,AB$29,AB$25,AB$26,AB$31,AB$32,$AA$37,AO$14,AO$15,AO$16,AO$17,AO$18,X352))</f>
        <v/>
      </c>
      <c r="AP352" s="13">
        <f>IF(_epmOfflineCondition_,0,EPMSaveDataOnly(AL352,,AL$29,AL$25,AL$26,AL$31,AL$32,$AA$37,AP$14,AP$15,AP$16,AP$17,AP$18,$X352))</f>
        <v/>
      </c>
      <c r="AQ352" s="13">
        <f>IF(_epmOfflineCondition_,0,EPMSaveData(AM352,,AM$29,AM$25,AM$26,$C$6,AM$32,$AA$37,AQ$14,AQ$15,AQ$16,AQ$17,AQ$18,$X352))</f>
        <v/>
      </c>
      <c r="AR352" s="13">
        <f>IF(_epmOfflineCondition_,0,EPMSaveDataOnly(AN352,,AN$29,AN$25,AN$26,AN$31,AN$32,$AA$37,AR$14,AR$15,AR$16,AR$17,AR$18,$X352))</f>
        <v/>
      </c>
      <c r="AS352" s="384" t="n"/>
    </row>
    <row r="353" hidden="1" ht="15.75" customHeight="1" s="1181">
      <c r="A353" s="384" t="n"/>
      <c r="B353" s="384" t="n"/>
      <c r="C353" s="384" t="n"/>
      <c r="D353" s="384" t="n"/>
      <c r="E353" s="384" t="n"/>
      <c r="F353" s="384" t="n"/>
      <c r="G353" s="384" t="n"/>
      <c r="H353" s="384" t="n"/>
      <c r="I353" s="384" t="n"/>
      <c r="J353" s="384" t="n"/>
      <c r="K353" s="384" t="n"/>
      <c r="L353" s="384" t="n"/>
      <c r="M353" s="384" t="n"/>
      <c r="N353" s="384" t="n"/>
      <c r="O353" s="384" t="n"/>
      <c r="P353" s="384" t="n"/>
      <c r="Q353" s="384" t="n"/>
      <c r="R353" s="384" t="n"/>
      <c r="S353" s="384" t="n"/>
      <c r="T353" s="384" t="n"/>
      <c r="U353" s="384" t="n"/>
      <c r="V353" s="384" t="n"/>
      <c r="W353" s="384" t="n"/>
      <c r="X353" s="645">
        <f>IF(_epmOfflineCondition_,"I_E100424",EPMOlapMemberO("[C_INTERCO].[PARENTH1].[I_E100424]","","I_E100424","","000"))</f>
        <v/>
      </c>
      <c r="Y353" s="870">
        <f>IF(_epmOfflineCondition_,"北京天创世缘房地产开发有限公司",EPMMemberDesc(X353))</f>
        <v/>
      </c>
      <c r="Z353" s="1302" t="n"/>
      <c r="AA353" s="1302" t="n"/>
      <c r="AB353" s="858" t="n"/>
      <c r="AC353" s="1302" t="n"/>
      <c r="AD353" s="1302" t="n"/>
      <c r="AE353" s="1302" t="inlineStr"/>
      <c r="AF353" s="1302" t="inlineStr"/>
      <c r="AG353" s="1302" t="inlineStr"/>
      <c r="AH353" s="1302" t="n"/>
      <c r="AI353" s="1302" t="n"/>
      <c r="AJ353" s="1302" t="n"/>
      <c r="AK353" s="1302">
        <f>AI353-AJ353</f>
        <v/>
      </c>
      <c r="AL353" s="858" t="n"/>
      <c r="AM353" s="1297" t="inlineStr"/>
      <c r="AN353" s="1298" t="n"/>
      <c r="AO353" s="13">
        <f>IF(_epmOfflineCondition_,0,EPMSaveDataOnly(AB353,,AB$29,AB$25,AB$26,AB$31,AB$32,$AA$37,AO$14,AO$15,AO$16,AO$17,AO$18,X353))</f>
        <v/>
      </c>
      <c r="AP353" s="13">
        <f>IF(_epmOfflineCondition_,0,EPMSaveDataOnly(AL353,,AL$29,AL$25,AL$26,AL$31,AL$32,$AA$37,AP$14,AP$15,AP$16,AP$17,AP$18,$X353))</f>
        <v/>
      </c>
      <c r="AQ353" s="13">
        <f>IF(_epmOfflineCondition_,0,EPMSaveData(AM353,,AM$29,AM$25,AM$26,$C$6,AM$32,$AA$37,AQ$14,AQ$15,AQ$16,AQ$17,AQ$18,$X353))</f>
        <v/>
      </c>
      <c r="AR353" s="13">
        <f>IF(_epmOfflineCondition_,0,EPMSaveDataOnly(AN353,,AN$29,AN$25,AN$26,AN$31,AN$32,$AA$37,AR$14,AR$15,AR$16,AR$17,AR$18,$X353))</f>
        <v/>
      </c>
      <c r="AS353" s="384" t="n"/>
    </row>
    <row r="354" hidden="1" ht="15.75" customHeight="1" s="1181">
      <c r="A354" s="384" t="n"/>
      <c r="B354" s="384" t="n"/>
      <c r="C354" s="384" t="n"/>
      <c r="D354" s="384" t="n"/>
      <c r="E354" s="384" t="n"/>
      <c r="F354" s="384" t="n"/>
      <c r="G354" s="384" t="n"/>
      <c r="H354" s="384" t="n"/>
      <c r="I354" s="384" t="n"/>
      <c r="J354" s="384" t="n"/>
      <c r="K354" s="384" t="n"/>
      <c r="L354" s="384" t="n"/>
      <c r="M354" s="384" t="n"/>
      <c r="N354" s="384" t="n"/>
      <c r="O354" s="384" t="n"/>
      <c r="P354" s="384" t="n"/>
      <c r="Q354" s="384" t="n"/>
      <c r="R354" s="384" t="n"/>
      <c r="S354" s="384" t="n"/>
      <c r="T354" s="384" t="n"/>
      <c r="U354" s="384" t="n"/>
      <c r="V354" s="384" t="n"/>
      <c r="W354" s="384" t="n"/>
      <c r="X354" s="645">
        <f>IF(_epmOfflineCondition_,"I_E100425",EPMOlapMemberO("[C_INTERCO].[PARENTH1].[I_E100425]","","I_E100425","","000"))</f>
        <v/>
      </c>
      <c r="Y354" s="870">
        <f>IF(_epmOfflineCondition_,"北京国电房地产开发有限公司",EPMMemberDesc(X354))</f>
        <v/>
      </c>
      <c r="Z354" s="1302" t="n"/>
      <c r="AA354" s="1302" t="n"/>
      <c r="AB354" s="858" t="n"/>
      <c r="AC354" s="1302" t="n"/>
      <c r="AD354" s="1302" t="n"/>
      <c r="AE354" s="1302" t="inlineStr"/>
      <c r="AF354" s="1302" t="inlineStr"/>
      <c r="AG354" s="1302" t="inlineStr"/>
      <c r="AH354" s="1302" t="n"/>
      <c r="AI354" s="1302" t="n"/>
      <c r="AJ354" s="1302" t="n"/>
      <c r="AK354" s="1302">
        <f>AI354-AJ354</f>
        <v/>
      </c>
      <c r="AL354" s="858" t="n"/>
      <c r="AM354" s="1297" t="inlineStr"/>
      <c r="AN354" s="1298" t="n"/>
      <c r="AO354" s="13">
        <f>IF(_epmOfflineCondition_,0,EPMSaveDataOnly(AB354,,AB$29,AB$25,AB$26,AB$31,AB$32,$AA$37,AO$14,AO$15,AO$16,AO$17,AO$18,X354))</f>
        <v/>
      </c>
      <c r="AP354" s="13">
        <f>IF(_epmOfflineCondition_,0,EPMSaveDataOnly(AL354,,AL$29,AL$25,AL$26,AL$31,AL$32,$AA$37,AP$14,AP$15,AP$16,AP$17,AP$18,$X354))</f>
        <v/>
      </c>
      <c r="AQ354" s="13">
        <f>IF(_epmOfflineCondition_,0,EPMSaveData(AM354,,AM$29,AM$25,AM$26,$C$6,AM$32,$AA$37,AQ$14,AQ$15,AQ$16,AQ$17,AQ$18,$X354))</f>
        <v/>
      </c>
      <c r="AR354" s="13">
        <f>IF(_epmOfflineCondition_,0,EPMSaveDataOnly(AN354,,AN$29,AN$25,AN$26,AN$31,AN$32,$AA$37,AR$14,AR$15,AR$16,AR$17,AR$18,$X354))</f>
        <v/>
      </c>
      <c r="AS354" s="384" t="n"/>
    </row>
    <row r="355" hidden="1" ht="15.75" customHeight="1" s="1181">
      <c r="A355" s="384" t="n"/>
      <c r="B355" s="384" t="n"/>
      <c r="C355" s="384" t="n"/>
      <c r="D355" s="384" t="n"/>
      <c r="E355" s="384" t="n"/>
      <c r="F355" s="384" t="n"/>
      <c r="G355" s="384" t="n"/>
      <c r="H355" s="384" t="n"/>
      <c r="I355" s="384" t="n"/>
      <c r="J355" s="384" t="n"/>
      <c r="K355" s="384" t="n"/>
      <c r="L355" s="384" t="n"/>
      <c r="M355" s="384" t="n"/>
      <c r="N355" s="384" t="n"/>
      <c r="O355" s="384" t="n"/>
      <c r="P355" s="384" t="n"/>
      <c r="Q355" s="384" t="n"/>
      <c r="R355" s="384" t="n"/>
      <c r="S355" s="384" t="n"/>
      <c r="T355" s="384" t="n"/>
      <c r="U355" s="384" t="n"/>
      <c r="V355" s="384" t="n"/>
      <c r="W355" s="384" t="n"/>
      <c r="X355" s="645">
        <f>IF(_epmOfflineCondition_,"I_E100426",EPMOlapMemberO("[C_INTERCO].[PARENTH1].[I_E100426]","","I_E100426","","000"))</f>
        <v/>
      </c>
      <c r="Y355" s="870">
        <f>IF(_epmOfflineCondition_,"北京京能云泰房地产开发有限公司",EPMMemberDesc(X355))</f>
        <v/>
      </c>
      <c r="Z355" s="1302" t="n"/>
      <c r="AA355" s="1302" t="n"/>
      <c r="AB355" s="858" t="n"/>
      <c r="AC355" s="1302" t="n"/>
      <c r="AD355" s="1302" t="n"/>
      <c r="AE355" s="1302" t="inlineStr"/>
      <c r="AF355" s="1302" t="inlineStr"/>
      <c r="AG355" s="1302" t="inlineStr"/>
      <c r="AH355" s="1302" t="n"/>
      <c r="AI355" s="1302" t="n"/>
      <c r="AJ355" s="1302" t="n"/>
      <c r="AK355" s="1302">
        <f>AI355-AJ355</f>
        <v/>
      </c>
      <c r="AL355" s="858" t="n"/>
      <c r="AM355" s="1297" t="inlineStr"/>
      <c r="AN355" s="1298" t="n"/>
      <c r="AO355" s="13">
        <f>IF(_epmOfflineCondition_,0,EPMSaveDataOnly(AB355,,AB$29,AB$25,AB$26,AB$31,AB$32,$AA$37,AO$14,AO$15,AO$16,AO$17,AO$18,X355))</f>
        <v/>
      </c>
      <c r="AP355" s="13">
        <f>IF(_epmOfflineCondition_,0,EPMSaveDataOnly(AL355,,AL$29,AL$25,AL$26,AL$31,AL$32,$AA$37,AP$14,AP$15,AP$16,AP$17,AP$18,$X355))</f>
        <v/>
      </c>
      <c r="AQ355" s="13">
        <f>IF(_epmOfflineCondition_,0,EPMSaveData(AM355,,AM$29,AM$25,AM$26,$C$6,AM$32,$AA$37,AQ$14,AQ$15,AQ$16,AQ$17,AQ$18,$X355))</f>
        <v/>
      </c>
      <c r="AR355" s="13">
        <f>IF(_epmOfflineCondition_,0,EPMSaveDataOnly(AN355,,AN$29,AN$25,AN$26,AN$31,AN$32,$AA$37,AR$14,AR$15,AR$16,AR$17,AR$18,$X355))</f>
        <v/>
      </c>
      <c r="AS355" s="384" t="n"/>
    </row>
    <row r="356" hidden="1" ht="15.75" customHeight="1" s="1181">
      <c r="A356" s="384" t="n"/>
      <c r="B356" s="384" t="n"/>
      <c r="C356" s="384" t="n"/>
      <c r="D356" s="384" t="n"/>
      <c r="E356" s="384" t="n"/>
      <c r="F356" s="384" t="n"/>
      <c r="G356" s="384" t="n"/>
      <c r="H356" s="384" t="n"/>
      <c r="I356" s="384" t="n"/>
      <c r="J356" s="384" t="n"/>
      <c r="K356" s="384" t="n"/>
      <c r="L356" s="384" t="n"/>
      <c r="M356" s="384" t="n"/>
      <c r="N356" s="384" t="n"/>
      <c r="O356" s="384" t="n"/>
      <c r="P356" s="384" t="n"/>
      <c r="Q356" s="384" t="n"/>
      <c r="R356" s="384" t="n"/>
      <c r="S356" s="384" t="n"/>
      <c r="T356" s="384" t="n"/>
      <c r="U356" s="384" t="n"/>
      <c r="V356" s="384" t="n"/>
      <c r="W356" s="384" t="n"/>
      <c r="X356" s="645">
        <f>IF(_epmOfflineCondition_,"I_E100427",EPMOlapMemberO("[C_INTERCO].[PARENTH1].[I_E100427]","","I_E100427","","000"))</f>
        <v/>
      </c>
      <c r="Y356" s="870">
        <f>IF(_epmOfflineCondition_,"北京京能海赋置业有限公司",EPMMemberDesc(X356))</f>
        <v/>
      </c>
      <c r="Z356" s="1302" t="n"/>
      <c r="AA356" s="1302" t="n"/>
      <c r="AB356" s="858" t="n"/>
      <c r="AC356" s="1302" t="n"/>
      <c r="AD356" s="1302" t="n"/>
      <c r="AE356" s="1302" t="inlineStr"/>
      <c r="AF356" s="1302" t="inlineStr"/>
      <c r="AG356" s="1302" t="inlineStr"/>
      <c r="AH356" s="1302" t="n"/>
      <c r="AI356" s="1302" t="n"/>
      <c r="AJ356" s="1302" t="n"/>
      <c r="AK356" s="1302">
        <f>AI356-AJ356</f>
        <v/>
      </c>
      <c r="AL356" s="858" t="n"/>
      <c r="AM356" s="1297" t="inlineStr"/>
      <c r="AN356" s="1298" t="n"/>
      <c r="AO356" s="13">
        <f>IF(_epmOfflineCondition_,0,EPMSaveDataOnly(AB356,,AB$29,AB$25,AB$26,AB$31,AB$32,$AA$37,AO$14,AO$15,AO$16,AO$17,AO$18,X356))</f>
        <v/>
      </c>
      <c r="AP356" s="13">
        <f>IF(_epmOfflineCondition_,0,EPMSaveDataOnly(AL356,,AL$29,AL$25,AL$26,AL$31,AL$32,$AA$37,AP$14,AP$15,AP$16,AP$17,AP$18,$X356))</f>
        <v/>
      </c>
      <c r="AQ356" s="13">
        <f>IF(_epmOfflineCondition_,0,EPMSaveData(AM356,,AM$29,AM$25,AM$26,$C$6,AM$32,$AA$37,AQ$14,AQ$15,AQ$16,AQ$17,AQ$18,$X356))</f>
        <v/>
      </c>
      <c r="AR356" s="13">
        <f>IF(_epmOfflineCondition_,0,EPMSaveDataOnly(AN356,,AN$29,AN$25,AN$26,AN$31,AN$32,$AA$37,AR$14,AR$15,AR$16,AR$17,AR$18,$X356))</f>
        <v/>
      </c>
      <c r="AS356" s="384" t="n"/>
    </row>
    <row r="357" hidden="1" ht="15.75" customHeight="1" s="1181">
      <c r="A357" s="384" t="n"/>
      <c r="B357" s="384" t="n"/>
      <c r="C357" s="384" t="n"/>
      <c r="D357" s="384" t="n"/>
      <c r="E357" s="384" t="n"/>
      <c r="F357" s="384" t="n"/>
      <c r="G357" s="384" t="n"/>
      <c r="H357" s="384" t="n"/>
      <c r="I357" s="384" t="n"/>
      <c r="J357" s="384" t="n"/>
      <c r="K357" s="384" t="n"/>
      <c r="L357" s="384" t="n"/>
      <c r="M357" s="384" t="n"/>
      <c r="N357" s="384" t="n"/>
      <c r="O357" s="384" t="n"/>
      <c r="P357" s="384" t="n"/>
      <c r="Q357" s="384" t="n"/>
      <c r="R357" s="384" t="n"/>
      <c r="S357" s="384" t="n"/>
      <c r="T357" s="384" t="n"/>
      <c r="U357" s="384" t="n"/>
      <c r="V357" s="384" t="n"/>
      <c r="W357" s="384" t="n"/>
      <c r="X357" s="645">
        <f>IF(_epmOfflineCondition_,"I_E100428",EPMOlapMemberO("[C_INTERCO].[PARENTH1].[I_E100428]","","I_E100428","","000"))</f>
        <v/>
      </c>
      <c r="Y357" s="870">
        <f>IF(_epmOfflineCondition_,"北京京石融宁房地产开发有限公司",EPMMemberDesc(X357))</f>
        <v/>
      </c>
      <c r="Z357" s="1302" t="n"/>
      <c r="AA357" s="1302" t="n"/>
      <c r="AB357" s="858" t="n"/>
      <c r="AC357" s="1302" t="n"/>
      <c r="AD357" s="1302" t="n"/>
      <c r="AE357" s="1302" t="inlineStr"/>
      <c r="AF357" s="1302" t="inlineStr"/>
      <c r="AG357" s="1302" t="inlineStr"/>
      <c r="AH357" s="1302" t="n"/>
      <c r="AI357" s="1302" t="n"/>
      <c r="AJ357" s="1302" t="n"/>
      <c r="AK357" s="1302">
        <f>AI357-AJ357</f>
        <v/>
      </c>
      <c r="AL357" s="858" t="n"/>
      <c r="AM357" s="1297" t="inlineStr"/>
      <c r="AN357" s="1298" t="n"/>
      <c r="AO357" s="13">
        <f>IF(_epmOfflineCondition_,0,EPMSaveDataOnly(AB357,,AB$29,AB$25,AB$26,AB$31,AB$32,$AA$37,AO$14,AO$15,AO$16,AO$17,AO$18,X357))</f>
        <v/>
      </c>
      <c r="AP357" s="13">
        <f>IF(_epmOfflineCondition_,0,EPMSaveDataOnly(AL357,,AL$29,AL$25,AL$26,AL$31,AL$32,$AA$37,AP$14,AP$15,AP$16,AP$17,AP$18,$X357))</f>
        <v/>
      </c>
      <c r="AQ357" s="13">
        <f>IF(_epmOfflineCondition_,0,EPMSaveData(AM357,,AM$29,AM$25,AM$26,$C$6,AM$32,$AA$37,AQ$14,AQ$15,AQ$16,AQ$17,AQ$18,$X357))</f>
        <v/>
      </c>
      <c r="AR357" s="13">
        <f>IF(_epmOfflineCondition_,0,EPMSaveDataOnly(AN357,,AN$29,AN$25,AN$26,AN$31,AN$32,$AA$37,AR$14,AR$15,AR$16,AR$17,AR$18,$X357))</f>
        <v/>
      </c>
      <c r="AS357" s="384" t="n"/>
    </row>
    <row r="358" hidden="1" ht="15.75" customHeight="1" s="1181">
      <c r="A358" s="384" t="n"/>
      <c r="B358" s="384" t="n"/>
      <c r="C358" s="384" t="n"/>
      <c r="D358" s="384" t="n"/>
      <c r="E358" s="384" t="n"/>
      <c r="F358" s="384" t="n"/>
      <c r="G358" s="384" t="n"/>
      <c r="H358" s="384" t="n"/>
      <c r="I358" s="384" t="n"/>
      <c r="J358" s="384" t="n"/>
      <c r="K358" s="384" t="n"/>
      <c r="L358" s="384" t="n"/>
      <c r="M358" s="384" t="n"/>
      <c r="N358" s="384" t="n"/>
      <c r="O358" s="384" t="n"/>
      <c r="P358" s="384" t="n"/>
      <c r="Q358" s="384" t="n"/>
      <c r="R358" s="384" t="n"/>
      <c r="S358" s="384" t="n"/>
      <c r="T358" s="384" t="n"/>
      <c r="U358" s="384" t="n"/>
      <c r="V358" s="384" t="n"/>
      <c r="W358" s="384" t="n"/>
      <c r="X358" s="645">
        <f>IF(_epmOfflineCondition_,"I_E100429",EPMOlapMemberO("[C_INTERCO].[PARENTH1].[I_E100429]","","I_E100429","","000"))</f>
        <v/>
      </c>
      <c r="Y358" s="870">
        <f>IF(_epmOfflineCondition_,"京能置业（天津）有限公司",EPMMemberDesc(X358))</f>
        <v/>
      </c>
      <c r="Z358" s="1302" t="n"/>
      <c r="AA358" s="1302" t="n"/>
      <c r="AB358" s="858" t="n"/>
      <c r="AC358" s="1302" t="n"/>
      <c r="AD358" s="1302" t="n"/>
      <c r="AE358" s="1302" t="inlineStr"/>
      <c r="AF358" s="1302" t="inlineStr"/>
      <c r="AG358" s="1302" t="inlineStr"/>
      <c r="AH358" s="1302" t="n"/>
      <c r="AI358" s="1302" t="n"/>
      <c r="AJ358" s="1302" t="n"/>
      <c r="AK358" s="1302">
        <f>AI358-AJ358</f>
        <v/>
      </c>
      <c r="AL358" s="858" t="n"/>
      <c r="AM358" s="1297" t="inlineStr"/>
      <c r="AN358" s="1298" t="n"/>
      <c r="AO358" s="13">
        <f>IF(_epmOfflineCondition_,0,EPMSaveDataOnly(AB358,,AB$29,AB$25,AB$26,AB$31,AB$32,$AA$37,AO$14,AO$15,AO$16,AO$17,AO$18,X358))</f>
        <v/>
      </c>
      <c r="AP358" s="13">
        <f>IF(_epmOfflineCondition_,0,EPMSaveDataOnly(AL358,,AL$29,AL$25,AL$26,AL$31,AL$32,$AA$37,AP$14,AP$15,AP$16,AP$17,AP$18,$X358))</f>
        <v/>
      </c>
      <c r="AQ358" s="13">
        <f>IF(_epmOfflineCondition_,0,EPMSaveData(AM358,,AM$29,AM$25,AM$26,$C$6,AM$32,$AA$37,AQ$14,AQ$15,AQ$16,AQ$17,AQ$18,$X358))</f>
        <v/>
      </c>
      <c r="AR358" s="13">
        <f>IF(_epmOfflineCondition_,0,EPMSaveDataOnly(AN358,,AN$29,AN$25,AN$26,AN$31,AN$32,$AA$37,AR$14,AR$15,AR$16,AR$17,AR$18,$X358))</f>
        <v/>
      </c>
      <c r="AS358" s="384" t="n"/>
    </row>
    <row r="359" hidden="1" ht="15.75" customHeight="1" s="1181">
      <c r="A359" s="384" t="n"/>
      <c r="B359" s="384" t="n"/>
      <c r="C359" s="384" t="n"/>
      <c r="D359" s="384" t="n"/>
      <c r="E359" s="384" t="n"/>
      <c r="F359" s="384" t="n"/>
      <c r="G359" s="384" t="n"/>
      <c r="H359" s="384" t="n"/>
      <c r="I359" s="384" t="n"/>
      <c r="J359" s="384" t="n"/>
      <c r="K359" s="384" t="n"/>
      <c r="L359" s="384" t="n"/>
      <c r="M359" s="384" t="n"/>
      <c r="N359" s="384" t="n"/>
      <c r="O359" s="384" t="n"/>
      <c r="P359" s="384" t="n"/>
      <c r="Q359" s="384" t="n"/>
      <c r="R359" s="384" t="n"/>
      <c r="S359" s="384" t="n"/>
      <c r="T359" s="384" t="n"/>
      <c r="U359" s="384" t="n"/>
      <c r="V359" s="384" t="n"/>
      <c r="W359" s="384" t="n"/>
      <c r="X359" s="645">
        <f>IF(_epmOfflineCondition_,"I_E100430",EPMOlapMemberO("[C_INTERCO].[PARENTH1].[I_E100430]","","I_E100430","","000"))</f>
        <v/>
      </c>
      <c r="Y359" s="870">
        <f>IF(_epmOfflineCondition_,"天津海航东海岸发展有限公司",EPMMemberDesc(X359))</f>
        <v/>
      </c>
      <c r="Z359" s="1302" t="n"/>
      <c r="AA359" s="1302" t="n"/>
      <c r="AB359" s="858" t="n"/>
      <c r="AC359" s="1302" t="n"/>
      <c r="AD359" s="1302" t="n"/>
      <c r="AE359" s="1302" t="inlineStr"/>
      <c r="AF359" s="1302" t="inlineStr"/>
      <c r="AG359" s="1302" t="inlineStr"/>
      <c r="AH359" s="1302" t="n"/>
      <c r="AI359" s="1302" t="n"/>
      <c r="AJ359" s="1302" t="n"/>
      <c r="AK359" s="1302">
        <f>AI359-AJ359</f>
        <v/>
      </c>
      <c r="AL359" s="858" t="n"/>
      <c r="AM359" s="1297" t="inlineStr"/>
      <c r="AN359" s="1298" t="n"/>
      <c r="AO359" s="13">
        <f>IF(_epmOfflineCondition_,0,EPMSaveDataOnly(AB359,,AB$29,AB$25,AB$26,AB$31,AB$32,$AA$37,AO$14,AO$15,AO$16,AO$17,AO$18,X359))</f>
        <v/>
      </c>
      <c r="AP359" s="13">
        <f>IF(_epmOfflineCondition_,0,EPMSaveDataOnly(AL359,,AL$29,AL$25,AL$26,AL$31,AL$32,$AA$37,AP$14,AP$15,AP$16,AP$17,AP$18,$X359))</f>
        <v/>
      </c>
      <c r="AQ359" s="13">
        <f>IF(_epmOfflineCondition_,0,EPMSaveData(AM359,,AM$29,AM$25,AM$26,$C$6,AM$32,$AA$37,AQ$14,AQ$15,AQ$16,AQ$17,AQ$18,$X359))</f>
        <v/>
      </c>
      <c r="AR359" s="13">
        <f>IF(_epmOfflineCondition_,0,EPMSaveDataOnly(AN359,,AN$29,AN$25,AN$26,AN$31,AN$32,$AA$37,AR$14,AR$15,AR$16,AR$17,AR$18,$X359))</f>
        <v/>
      </c>
      <c r="AS359" s="384" t="n"/>
    </row>
    <row r="360" hidden="1" s="1181">
      <c r="A360" s="384" t="n"/>
      <c r="B360" s="384" t="n"/>
      <c r="C360" s="384" t="n"/>
      <c r="D360" s="384" t="n"/>
      <c r="E360" s="384" t="n"/>
      <c r="F360" s="384" t="n"/>
      <c r="G360" s="384" t="n"/>
      <c r="H360" s="384" t="n"/>
      <c r="I360" s="384" t="n"/>
      <c r="J360" s="384" t="n"/>
      <c r="K360" s="384" t="n"/>
      <c r="L360" s="384" t="n"/>
      <c r="M360" s="384" t="n"/>
      <c r="N360" s="384" t="n"/>
      <c r="O360" s="384" t="n"/>
      <c r="P360" s="384" t="n"/>
      <c r="Q360" s="384" t="n"/>
      <c r="R360" s="384" t="n"/>
      <c r="S360" s="384" t="n"/>
      <c r="T360" s="384" t="n"/>
      <c r="U360" s="384" t="n"/>
      <c r="V360" s="384" t="n"/>
      <c r="W360" s="384" t="n"/>
      <c r="X360" s="645">
        <f>IF(_epmOfflineCondition_,"I_E100431",EPMOlapMemberO("[C_INTERCO].[PARENTH1].[I_E100431]","","I_E100431","","000"))</f>
        <v/>
      </c>
      <c r="Y360" s="870">
        <f>IF(_epmOfflineCondition_,"大连京能阳光房地产开发有限公司",EPMMemberDesc(X360))</f>
        <v/>
      </c>
      <c r="Z360" s="1302" t="n"/>
      <c r="AA360" s="1302" t="n"/>
      <c r="AB360" s="858" t="n"/>
      <c r="AC360" s="1302" t="n"/>
      <c r="AD360" s="1302" t="n"/>
      <c r="AE360" s="1302" t="inlineStr"/>
      <c r="AF360" s="1302" t="inlineStr"/>
      <c r="AG360" s="1302" t="inlineStr"/>
      <c r="AH360" s="1302" t="n"/>
      <c r="AI360" s="1302" t="n"/>
      <c r="AJ360" s="1302" t="n"/>
      <c r="AK360" s="1302">
        <f>AI360-AJ360</f>
        <v/>
      </c>
      <c r="AL360" s="858" t="n"/>
      <c r="AM360" s="1297" t="inlineStr"/>
      <c r="AN360" s="1298" t="n"/>
      <c r="AO360" s="13">
        <f>IF(_epmOfflineCondition_,0,EPMSaveDataOnly(AB360,,AB$29,AB$25,AB$26,AB$31,AB$32,$AA$37,AO$14,AO$15,AO$16,AO$17,AO$18,X360))</f>
        <v/>
      </c>
      <c r="AP360" s="13">
        <f>IF(_epmOfflineCondition_,0,EPMSaveDataOnly(AL360,,AL$29,AL$25,AL$26,AL$31,AL$32,$AA$37,AP$14,AP$15,AP$16,AP$17,AP$18,$X360))</f>
        <v/>
      </c>
      <c r="AQ360" s="13">
        <f>IF(_epmOfflineCondition_,0,EPMSaveData(AM360,,AM$29,AM$25,AM$26,$C$6,AM$32,$AA$37,AQ$14,AQ$15,AQ$16,AQ$17,AQ$18,$X360))</f>
        <v/>
      </c>
      <c r="AR360" s="13">
        <f>IF(_epmOfflineCondition_,0,EPMSaveDataOnly(AN360,,AN$29,AN$25,AN$26,AN$31,AN$32,$AA$37,AR$14,AR$15,AR$16,AR$17,AR$18,$X360))</f>
        <v/>
      </c>
      <c r="AS360" s="384" t="n"/>
    </row>
    <row r="361" hidden="1" ht="15.75" customHeight="1" s="1181">
      <c r="A361" s="384" t="n"/>
      <c r="B361" s="384" t="n"/>
      <c r="C361" s="384" t="n"/>
      <c r="D361" s="384" t="n"/>
      <c r="E361" s="384" t="n"/>
      <c r="F361" s="384" t="n"/>
      <c r="G361" s="384" t="n"/>
      <c r="H361" s="384" t="n"/>
      <c r="I361" s="384" t="n"/>
      <c r="J361" s="384" t="n"/>
      <c r="K361" s="384" t="n"/>
      <c r="L361" s="384" t="n"/>
      <c r="M361" s="384" t="n"/>
      <c r="N361" s="384" t="n"/>
      <c r="O361" s="384" t="n"/>
      <c r="P361" s="384" t="n"/>
      <c r="Q361" s="384" t="n"/>
      <c r="R361" s="384" t="n"/>
      <c r="S361" s="384" t="n"/>
      <c r="T361" s="384" t="n"/>
      <c r="U361" s="384" t="n"/>
      <c r="V361" s="384" t="n"/>
      <c r="W361" s="384" t="n"/>
      <c r="X361" s="645">
        <f>IF(_epmOfflineCondition_,"I_E100432",EPMOlapMemberO("[C_INTERCO].[PARENTH1].[I_E100432]","","I_E100432","","000"))</f>
        <v/>
      </c>
      <c r="Y361" s="870">
        <f>IF(_epmOfflineCondition_,"宁夏京能房地产开发有限公司",EPMMemberDesc(X361))</f>
        <v/>
      </c>
      <c r="Z361" s="1302" t="n"/>
      <c r="AA361" s="1302" t="n"/>
      <c r="AB361" s="858" t="n"/>
      <c r="AC361" s="1302" t="n"/>
      <c r="AD361" s="1302" t="n"/>
      <c r="AE361" s="1302" t="inlineStr"/>
      <c r="AF361" s="1302" t="inlineStr"/>
      <c r="AG361" s="1302" t="inlineStr"/>
      <c r="AH361" s="1302" t="n"/>
      <c r="AI361" s="1302" t="n"/>
      <c r="AJ361" s="1302" t="n"/>
      <c r="AK361" s="1302">
        <f>AI361-AJ361</f>
        <v/>
      </c>
      <c r="AL361" s="858" t="n"/>
      <c r="AM361" s="1297" t="inlineStr"/>
      <c r="AN361" s="1298" t="n"/>
      <c r="AO361" s="13">
        <f>IF(_epmOfflineCondition_,0,EPMSaveDataOnly(AB361,,AB$29,AB$25,AB$26,AB$31,AB$32,$AA$37,AO$14,AO$15,AO$16,AO$17,AO$18,X361))</f>
        <v/>
      </c>
      <c r="AP361" s="13">
        <f>IF(_epmOfflineCondition_,0,EPMSaveDataOnly(AL361,,AL$29,AL$25,AL$26,AL$31,AL$32,$AA$37,AP$14,AP$15,AP$16,AP$17,AP$18,$X361))</f>
        <v/>
      </c>
      <c r="AQ361" s="13">
        <f>IF(_epmOfflineCondition_,0,EPMSaveData(AM361,,AM$29,AM$25,AM$26,$C$6,AM$32,$AA$37,AQ$14,AQ$15,AQ$16,AQ$17,AQ$18,$X361))</f>
        <v/>
      </c>
      <c r="AR361" s="13">
        <f>IF(_epmOfflineCondition_,0,EPMSaveDataOnly(AN361,,AN$29,AN$25,AN$26,AN$31,AN$32,$AA$37,AR$14,AR$15,AR$16,AR$17,AR$18,$X361))</f>
        <v/>
      </c>
      <c r="AS361" s="384" t="n"/>
    </row>
    <row r="362" hidden="1" ht="15.75" customHeight="1" s="1181">
      <c r="A362" s="384" t="n"/>
      <c r="B362" s="384" t="n"/>
      <c r="C362" s="384" t="n"/>
      <c r="D362" s="384" t="n"/>
      <c r="E362" s="384" t="n"/>
      <c r="F362" s="384" t="n"/>
      <c r="G362" s="384" t="n"/>
      <c r="H362" s="384" t="n"/>
      <c r="I362" s="384" t="n"/>
      <c r="J362" s="384" t="n"/>
      <c r="K362" s="384" t="n"/>
      <c r="L362" s="384" t="n"/>
      <c r="M362" s="384" t="n"/>
      <c r="N362" s="384" t="n"/>
      <c r="O362" s="384" t="n"/>
      <c r="P362" s="384" t="n"/>
      <c r="Q362" s="384" t="n"/>
      <c r="R362" s="384" t="n"/>
      <c r="S362" s="384" t="n"/>
      <c r="T362" s="384" t="n"/>
      <c r="U362" s="384" t="n"/>
      <c r="V362" s="384" t="n"/>
      <c r="W362" s="384" t="n"/>
      <c r="X362" s="645">
        <f>IF(_epmOfflineCondition_,"I_E100433",EPMOlapMemberO("[C_INTERCO].[PARENTH1].[I_E100433]","","I_E100433","","000"))</f>
        <v/>
      </c>
      <c r="Y362" s="870">
        <f>IF(_epmOfflineCondition_,"北京丽富房地产开发有限公司",EPMMemberDesc(X362))</f>
        <v/>
      </c>
      <c r="Z362" s="1302" t="n"/>
      <c r="AA362" s="1302" t="n"/>
      <c r="AB362" s="858" t="n"/>
      <c r="AC362" s="1302" t="n"/>
      <c r="AD362" s="1302" t="n"/>
      <c r="AE362" s="1302" t="inlineStr"/>
      <c r="AF362" s="1302" t="inlineStr"/>
      <c r="AG362" s="1302" t="inlineStr"/>
      <c r="AH362" s="1302" t="n"/>
      <c r="AI362" s="1302" t="n"/>
      <c r="AJ362" s="1302" t="n"/>
      <c r="AK362" s="1302">
        <f>AI362-AJ362</f>
        <v/>
      </c>
      <c r="AL362" s="858" t="n"/>
      <c r="AM362" s="1297" t="inlineStr"/>
      <c r="AN362" s="1298" t="n"/>
      <c r="AO362" s="13">
        <f>IF(_epmOfflineCondition_,0,EPMSaveDataOnly(AB362,,AB$29,AB$25,AB$26,AB$31,AB$32,$AA$37,AO$14,AO$15,AO$16,AO$17,AO$18,X362))</f>
        <v/>
      </c>
      <c r="AP362" s="13">
        <f>IF(_epmOfflineCondition_,0,EPMSaveDataOnly(AL362,,AL$29,AL$25,AL$26,AL$31,AL$32,$AA$37,AP$14,AP$15,AP$16,AP$17,AP$18,$X362))</f>
        <v/>
      </c>
      <c r="AQ362" s="13">
        <f>IF(_epmOfflineCondition_,0,EPMSaveData(AM362,,AM$29,AM$25,AM$26,$C$6,AM$32,$AA$37,AQ$14,AQ$15,AQ$16,AQ$17,AQ$18,$X362))</f>
        <v/>
      </c>
      <c r="AR362" s="13">
        <f>IF(_epmOfflineCondition_,0,EPMSaveDataOnly(AN362,,AN$29,AN$25,AN$26,AN$31,AN$32,$AA$37,AR$14,AR$15,AR$16,AR$17,AR$18,$X362))</f>
        <v/>
      </c>
      <c r="AS362" s="384" t="n"/>
    </row>
    <row r="363" hidden="1" ht="15.75" customHeight="1" s="1181">
      <c r="A363" s="384" t="n"/>
      <c r="B363" s="384" t="n"/>
      <c r="C363" s="384" t="n"/>
      <c r="D363" s="384" t="n"/>
      <c r="E363" s="384" t="n"/>
      <c r="F363" s="384" t="n"/>
      <c r="G363" s="384" t="n"/>
      <c r="H363" s="384" t="n"/>
      <c r="I363" s="384" t="n"/>
      <c r="J363" s="384" t="n"/>
      <c r="K363" s="384" t="n"/>
      <c r="L363" s="384" t="n"/>
      <c r="M363" s="384" t="n"/>
      <c r="N363" s="384" t="n"/>
      <c r="O363" s="384" t="n"/>
      <c r="P363" s="384" t="n"/>
      <c r="Q363" s="384" t="n"/>
      <c r="R363" s="384" t="n"/>
      <c r="S363" s="384" t="n"/>
      <c r="T363" s="384" t="n"/>
      <c r="U363" s="384" t="n"/>
      <c r="V363" s="384" t="n"/>
      <c r="W363" s="384" t="n"/>
      <c r="X363" s="645">
        <f>IF(_epmOfflineCondition_,"I_E100434",EPMOlapMemberO("[C_INTERCO].[PARENTH1].[I_E100434]","","I_E100434","","000"))</f>
        <v/>
      </c>
      <c r="Y363" s="870">
        <f>IF(_epmOfflineCondition_,"北京昊泰房地产开发有限公司",EPMMemberDesc(X363))</f>
        <v/>
      </c>
      <c r="Z363" s="1302" t="n"/>
      <c r="AA363" s="1302" t="n"/>
      <c r="AB363" s="858" t="n"/>
      <c r="AC363" s="1302" t="n"/>
      <c r="AD363" s="1302" t="n"/>
      <c r="AE363" s="1302" t="inlineStr"/>
      <c r="AF363" s="1302" t="inlineStr"/>
      <c r="AG363" s="1302" t="inlineStr"/>
      <c r="AH363" s="1302" t="n"/>
      <c r="AI363" s="1302" t="n"/>
      <c r="AJ363" s="1302" t="n"/>
      <c r="AK363" s="1302">
        <f>AI363-AJ363</f>
        <v/>
      </c>
      <c r="AL363" s="858" t="n"/>
      <c r="AM363" s="1297" t="inlineStr"/>
      <c r="AN363" s="1298" t="n"/>
      <c r="AO363" s="13">
        <f>IF(_epmOfflineCondition_,0,EPMSaveDataOnly(AB363,,AB$29,AB$25,AB$26,AB$31,AB$32,$AA$37,AO$14,AO$15,AO$16,AO$17,AO$18,X363))</f>
        <v/>
      </c>
      <c r="AP363" s="13">
        <f>IF(_epmOfflineCondition_,0,EPMSaveDataOnly(AL363,,AL$29,AL$25,AL$26,AL$31,AL$32,$AA$37,AP$14,AP$15,AP$16,AP$17,AP$18,$X363))</f>
        <v/>
      </c>
      <c r="AQ363" s="13">
        <f>IF(_epmOfflineCondition_,0,EPMSaveData(AM363,,AM$29,AM$25,AM$26,$C$6,AM$32,$AA$37,AQ$14,AQ$15,AQ$16,AQ$17,AQ$18,$X363))</f>
        <v/>
      </c>
      <c r="AR363" s="13">
        <f>IF(_epmOfflineCondition_,0,EPMSaveDataOnly(AN363,,AN$29,AN$25,AN$26,AN$31,AN$32,$AA$37,AR$14,AR$15,AR$16,AR$17,AR$18,$X363))</f>
        <v/>
      </c>
      <c r="AS363" s="384" t="n"/>
    </row>
    <row r="364" hidden="1" ht="15.75" customHeight="1" s="1181">
      <c r="A364" s="384" t="n"/>
      <c r="B364" s="384" t="n"/>
      <c r="C364" s="384" t="n"/>
      <c r="D364" s="384" t="n"/>
      <c r="E364" s="384" t="n"/>
      <c r="F364" s="384" t="n"/>
      <c r="G364" s="384" t="n"/>
      <c r="H364" s="384" t="n"/>
      <c r="I364" s="384" t="n"/>
      <c r="J364" s="384" t="n"/>
      <c r="K364" s="384" t="n"/>
      <c r="L364" s="384" t="n"/>
      <c r="M364" s="384" t="n"/>
      <c r="N364" s="384" t="n"/>
      <c r="O364" s="384" t="n"/>
      <c r="P364" s="384" t="n"/>
      <c r="Q364" s="384" t="n"/>
      <c r="R364" s="384" t="n"/>
      <c r="S364" s="384" t="n"/>
      <c r="T364" s="384" t="n"/>
      <c r="U364" s="384" t="n"/>
      <c r="V364" s="384" t="n"/>
      <c r="W364" s="384" t="n"/>
      <c r="X364" s="645">
        <f>IF(_epmOfflineCondition_,"I_E100435",EPMOlapMemberO("[C_INTERCO].[PARENTH1].[I_E100435]","","I_E100435","","000"))</f>
        <v/>
      </c>
      <c r="Y364" s="870">
        <f>IF(_epmOfflineCondition_,"北京市西达房地产开发有限责任公司",EPMMemberDesc(X364))</f>
        <v/>
      </c>
      <c r="Z364" s="1302" t="n"/>
      <c r="AA364" s="1302" t="n"/>
      <c r="AB364" s="858" t="n"/>
      <c r="AC364" s="1302" t="n"/>
      <c r="AD364" s="1302" t="n"/>
      <c r="AE364" s="1302" t="inlineStr"/>
      <c r="AF364" s="1302" t="inlineStr"/>
      <c r="AG364" s="1302" t="inlineStr"/>
      <c r="AH364" s="1302" t="n"/>
      <c r="AI364" s="1302" t="n"/>
      <c r="AJ364" s="1302" t="n"/>
      <c r="AK364" s="1302">
        <f>AI364-AJ364</f>
        <v/>
      </c>
      <c r="AL364" s="858" t="n"/>
      <c r="AM364" s="1297" t="inlineStr"/>
      <c r="AN364" s="1298" t="n"/>
      <c r="AO364" s="13">
        <f>IF(_epmOfflineCondition_,0,EPMSaveDataOnly(AB364,,AB$29,AB$25,AB$26,AB$31,AB$32,$AA$37,AO$14,AO$15,AO$16,AO$17,AO$18,X364))</f>
        <v/>
      </c>
      <c r="AP364" s="13">
        <f>IF(_epmOfflineCondition_,0,EPMSaveDataOnly(AL364,,AL$29,AL$25,AL$26,AL$31,AL$32,$AA$37,AP$14,AP$15,AP$16,AP$17,AP$18,$X364))</f>
        <v/>
      </c>
      <c r="AQ364" s="13">
        <f>IF(_epmOfflineCondition_,0,EPMSaveData(AM364,,AM$29,AM$25,AM$26,$C$6,AM$32,$AA$37,AQ$14,AQ$15,AQ$16,AQ$17,AQ$18,$X364))</f>
        <v/>
      </c>
      <c r="AR364" s="13">
        <f>IF(_epmOfflineCondition_,0,EPMSaveDataOnly(AN364,,AN$29,AN$25,AN$26,AN$31,AN$32,$AA$37,AR$14,AR$15,AR$16,AR$17,AR$18,$X364))</f>
        <v/>
      </c>
      <c r="AS364" s="384" t="n"/>
    </row>
    <row r="365" hidden="1" ht="15.75" customHeight="1" s="1181">
      <c r="A365" s="384" t="n"/>
      <c r="B365" s="384" t="n"/>
      <c r="C365" s="384" t="n"/>
      <c r="D365" s="384" t="n"/>
      <c r="E365" s="384" t="n"/>
      <c r="F365" s="384" t="n"/>
      <c r="G365" s="384" t="n"/>
      <c r="H365" s="384" t="n"/>
      <c r="I365" s="384" t="n"/>
      <c r="J365" s="384" t="n"/>
      <c r="K365" s="384" t="n"/>
      <c r="L365" s="384" t="n"/>
      <c r="M365" s="384" t="n"/>
      <c r="N365" s="384" t="n"/>
      <c r="O365" s="384" t="n"/>
      <c r="P365" s="384" t="n"/>
      <c r="Q365" s="384" t="n"/>
      <c r="R365" s="384" t="n"/>
      <c r="S365" s="384" t="n"/>
      <c r="T365" s="384" t="n"/>
      <c r="U365" s="384" t="n"/>
      <c r="V365" s="384" t="n"/>
      <c r="W365" s="384" t="n"/>
      <c r="X365" s="645">
        <f>IF(_epmOfflineCondition_,"I_E100436",EPMOlapMemberO("[C_INTERCO].[PARENTH1].[I_E100436]","","I_E100436","","000"))</f>
        <v/>
      </c>
      <c r="Y365" s="870">
        <f>IF(_epmOfflineCondition_,"北京韭园生态旅游开发有限公司-2025年1月注销",EPMMemberDesc(X365))</f>
        <v/>
      </c>
      <c r="Z365" s="1302" t="n"/>
      <c r="AA365" s="1302" t="n"/>
      <c r="AB365" s="858" t="n"/>
      <c r="AC365" s="1302" t="n"/>
      <c r="AD365" s="1302" t="n"/>
      <c r="AE365" s="1302" t="inlineStr"/>
      <c r="AF365" s="1302" t="inlineStr"/>
      <c r="AG365" s="1302" t="inlineStr"/>
      <c r="AH365" s="1302" t="n"/>
      <c r="AI365" s="1302" t="n"/>
      <c r="AJ365" s="1302" t="n"/>
      <c r="AK365" s="1302">
        <f>AI365-AJ365</f>
        <v/>
      </c>
      <c r="AL365" s="858" t="n"/>
      <c r="AM365" s="1297" t="inlineStr"/>
      <c r="AN365" s="1298" t="n"/>
      <c r="AO365" s="13">
        <f>IF(_epmOfflineCondition_,0,EPMSaveDataOnly(AB365,,AB$29,AB$25,AB$26,AB$31,AB$32,$AA$37,AO$14,AO$15,AO$16,AO$17,AO$18,X365))</f>
        <v/>
      </c>
      <c r="AP365" s="13">
        <f>IF(_epmOfflineCondition_,0,EPMSaveDataOnly(AL365,,AL$29,AL$25,AL$26,AL$31,AL$32,$AA$37,AP$14,AP$15,AP$16,AP$17,AP$18,$X365))</f>
        <v/>
      </c>
      <c r="AQ365" s="13">
        <f>IF(_epmOfflineCondition_,0,EPMSaveData(AM365,,AM$29,AM$25,AM$26,$C$6,AM$32,$AA$37,AQ$14,AQ$15,AQ$16,AQ$17,AQ$18,$X365))</f>
        <v/>
      </c>
      <c r="AR365" s="13">
        <f>IF(_epmOfflineCondition_,0,EPMSaveDataOnly(AN365,,AN$29,AN$25,AN$26,AN$31,AN$32,$AA$37,AR$14,AR$15,AR$16,AR$17,AR$18,$X365))</f>
        <v/>
      </c>
      <c r="AS365" s="384" t="n"/>
    </row>
    <row r="366" hidden="1" ht="15.75" customHeight="1" s="1181">
      <c r="A366" s="384" t="n"/>
      <c r="B366" s="384" t="n"/>
      <c r="C366" s="384" t="n"/>
      <c r="D366" s="384" t="n"/>
      <c r="E366" s="384" t="n"/>
      <c r="F366" s="384" t="n"/>
      <c r="G366" s="384" t="n"/>
      <c r="H366" s="384" t="n"/>
      <c r="I366" s="384" t="n"/>
      <c r="J366" s="384" t="n"/>
      <c r="K366" s="384" t="n"/>
      <c r="L366" s="384" t="n"/>
      <c r="M366" s="384" t="n"/>
      <c r="N366" s="384" t="n"/>
      <c r="O366" s="384" t="n"/>
      <c r="P366" s="384" t="n"/>
      <c r="Q366" s="384" t="n"/>
      <c r="R366" s="384" t="n"/>
      <c r="S366" s="384" t="n"/>
      <c r="T366" s="384" t="n"/>
      <c r="U366" s="384" t="n"/>
      <c r="V366" s="384" t="n"/>
      <c r="W366" s="384" t="n"/>
      <c r="X366" s="645">
        <f>IF(_epmOfflineCondition_,"I_E100437",EPMOlapMemberO("[C_INTERCO].[PARENTH1].[I_E100437]","","I_E100437","","000"))</f>
        <v/>
      </c>
      <c r="Y366" s="870">
        <f>IF(_epmOfflineCondition_,"辽宁金泰房地产开发有限公司",EPMMemberDesc(X366))</f>
        <v/>
      </c>
      <c r="Z366" s="1302" t="n"/>
      <c r="AA366" s="1302" t="n"/>
      <c r="AB366" s="858" t="n"/>
      <c r="AC366" s="1302" t="n"/>
      <c r="AD366" s="1302" t="n"/>
      <c r="AE366" s="1302" t="inlineStr"/>
      <c r="AF366" s="1302" t="inlineStr"/>
      <c r="AG366" s="1302" t="inlineStr"/>
      <c r="AH366" s="1302" t="n"/>
      <c r="AI366" s="1302" t="n"/>
      <c r="AJ366" s="1302" t="n"/>
      <c r="AK366" s="1302">
        <f>AI366-AJ366</f>
        <v/>
      </c>
      <c r="AL366" s="858" t="n"/>
      <c r="AM366" s="1297" t="inlineStr"/>
      <c r="AN366" s="1298" t="n"/>
      <c r="AO366" s="13">
        <f>IF(_epmOfflineCondition_,0,EPMSaveDataOnly(AB366,,AB$29,AB$25,AB$26,AB$31,AB$32,$AA$37,AO$14,AO$15,AO$16,AO$17,AO$18,X366))</f>
        <v/>
      </c>
      <c r="AP366" s="13">
        <f>IF(_epmOfflineCondition_,0,EPMSaveDataOnly(AL366,,AL$29,AL$25,AL$26,AL$31,AL$32,$AA$37,AP$14,AP$15,AP$16,AP$17,AP$18,$X366))</f>
        <v/>
      </c>
      <c r="AQ366" s="13">
        <f>IF(_epmOfflineCondition_,0,EPMSaveData(AM366,,AM$29,AM$25,AM$26,$C$6,AM$32,$AA$37,AQ$14,AQ$15,AQ$16,AQ$17,AQ$18,$X366))</f>
        <v/>
      </c>
      <c r="AR366" s="13">
        <f>IF(_epmOfflineCondition_,0,EPMSaveDataOnly(AN366,,AN$29,AN$25,AN$26,AN$31,AN$32,$AA$37,AR$14,AR$15,AR$16,AR$17,AR$18,$X366))</f>
        <v/>
      </c>
      <c r="AS366" s="384" t="n"/>
    </row>
    <row r="367" hidden="1" ht="15.75" customHeight="1" s="1181">
      <c r="A367" s="384" t="n"/>
      <c r="B367" s="384" t="n"/>
      <c r="C367" s="384" t="n"/>
      <c r="D367" s="384" t="n"/>
      <c r="E367" s="384" t="n"/>
      <c r="F367" s="384" t="n"/>
      <c r="G367" s="384" t="n"/>
      <c r="H367" s="384" t="n"/>
      <c r="I367" s="384" t="n"/>
      <c r="J367" s="384" t="n"/>
      <c r="K367" s="384" t="n"/>
      <c r="L367" s="384" t="n"/>
      <c r="M367" s="384" t="n"/>
      <c r="N367" s="384" t="n"/>
      <c r="O367" s="384" t="n"/>
      <c r="P367" s="384" t="n"/>
      <c r="Q367" s="384" t="n"/>
      <c r="R367" s="384" t="n"/>
      <c r="S367" s="384" t="n"/>
      <c r="T367" s="384" t="n"/>
      <c r="U367" s="384" t="n"/>
      <c r="V367" s="384" t="n"/>
      <c r="W367" s="384" t="n"/>
      <c r="X367" s="645">
        <f>IF(_epmOfflineCondition_,"I_E100438",EPMOlapMemberO("[C_INTERCO].[PARENTH1].[I_E100438]","","I_E100438","","000"))</f>
        <v/>
      </c>
      <c r="Y367" s="870">
        <f>IF(_epmOfflineCondition_,"营口卧龙湾实业有限公司",EPMMemberDesc(X367))</f>
        <v/>
      </c>
      <c r="Z367" s="1302" t="n"/>
      <c r="AA367" s="1302" t="n"/>
      <c r="AB367" s="858" t="n"/>
      <c r="AC367" s="1302" t="n"/>
      <c r="AD367" s="1302" t="n"/>
      <c r="AE367" s="1302" t="inlineStr"/>
      <c r="AF367" s="1302" t="inlineStr"/>
      <c r="AG367" s="1302" t="inlineStr"/>
      <c r="AH367" s="1302" t="n"/>
      <c r="AI367" s="1302" t="n"/>
      <c r="AJ367" s="1302" t="n"/>
      <c r="AK367" s="1302">
        <f>AI367-AJ367</f>
        <v/>
      </c>
      <c r="AL367" s="858" t="n"/>
      <c r="AM367" s="1297" t="inlineStr"/>
      <c r="AN367" s="1298" t="n"/>
      <c r="AO367" s="13">
        <f>IF(_epmOfflineCondition_,0,EPMSaveDataOnly(AB367,,AB$29,AB$25,AB$26,AB$31,AB$32,$AA$37,AO$14,AO$15,AO$16,AO$17,AO$18,X367))</f>
        <v/>
      </c>
      <c r="AP367" s="13">
        <f>IF(_epmOfflineCondition_,0,EPMSaveDataOnly(AL367,,AL$29,AL$25,AL$26,AL$31,AL$32,$AA$37,AP$14,AP$15,AP$16,AP$17,AP$18,$X367))</f>
        <v/>
      </c>
      <c r="AQ367" s="13">
        <f>IF(_epmOfflineCondition_,0,EPMSaveData(AM367,,AM$29,AM$25,AM$26,$C$6,AM$32,$AA$37,AQ$14,AQ$15,AQ$16,AQ$17,AQ$18,$X367))</f>
        <v/>
      </c>
      <c r="AR367" s="13">
        <f>IF(_epmOfflineCondition_,0,EPMSaveDataOnly(AN367,,AN$29,AN$25,AN$26,AN$31,AN$32,$AA$37,AR$14,AR$15,AR$16,AR$17,AR$18,$X367))</f>
        <v/>
      </c>
      <c r="AS367" s="384" t="n"/>
    </row>
    <row r="368" hidden="1" ht="15.75" customHeight="1" s="1181">
      <c r="A368" s="384" t="n"/>
      <c r="B368" s="384" t="n"/>
      <c r="C368" s="384" t="n"/>
      <c r="D368" s="384" t="n"/>
      <c r="E368" s="384" t="n"/>
      <c r="F368" s="384" t="n"/>
      <c r="G368" s="384" t="n"/>
      <c r="H368" s="384" t="n"/>
      <c r="I368" s="384" t="n"/>
      <c r="J368" s="384" t="n"/>
      <c r="K368" s="384" t="n"/>
      <c r="L368" s="384" t="n"/>
      <c r="M368" s="384" t="n"/>
      <c r="N368" s="384" t="n"/>
      <c r="O368" s="384" t="n"/>
      <c r="P368" s="384" t="n"/>
      <c r="Q368" s="384" t="n"/>
      <c r="R368" s="384" t="n"/>
      <c r="S368" s="384" t="n"/>
      <c r="T368" s="384" t="n"/>
      <c r="U368" s="384" t="n"/>
      <c r="V368" s="384" t="n"/>
      <c r="W368" s="384" t="n"/>
      <c r="X368" s="645">
        <f>IF(_epmOfflineCondition_,"I_E100440",EPMOlapMemberO("[C_INTERCO].[PARENTH1].[I_E100440]","","I_E100440","","000"))</f>
        <v/>
      </c>
      <c r="Y368" s="870">
        <f>IF(_epmOfflineCondition_,"内蒙古大伟房地产开发有限公司-2025年1月注销",EPMMemberDesc(X368))</f>
        <v/>
      </c>
      <c r="Z368" s="1302" t="n"/>
      <c r="AA368" s="1302" t="n"/>
      <c r="AB368" s="858" t="n"/>
      <c r="AC368" s="1302" t="n"/>
      <c r="AD368" s="1302" t="n"/>
      <c r="AE368" s="1302" t="inlineStr"/>
      <c r="AF368" s="1302" t="inlineStr"/>
      <c r="AG368" s="1302" t="inlineStr"/>
      <c r="AH368" s="1302" t="n"/>
      <c r="AI368" s="1302" t="n"/>
      <c r="AJ368" s="1302" t="n"/>
      <c r="AK368" s="1302">
        <f>AI368-AJ368</f>
        <v/>
      </c>
      <c r="AL368" s="858" t="n"/>
      <c r="AM368" s="1297" t="inlineStr"/>
      <c r="AN368" s="1298" t="n"/>
      <c r="AO368" s="13">
        <f>IF(_epmOfflineCondition_,0,EPMSaveDataOnly(AB368,,AB$29,AB$25,AB$26,AB$31,AB$32,$AA$37,AO$14,AO$15,AO$16,AO$17,AO$18,X368))</f>
        <v/>
      </c>
      <c r="AP368" s="13">
        <f>IF(_epmOfflineCondition_,0,EPMSaveDataOnly(AL368,,AL$29,AL$25,AL$26,AL$31,AL$32,$AA$37,AP$14,AP$15,AP$16,AP$17,AP$18,$X368))</f>
        <v/>
      </c>
      <c r="AQ368" s="13">
        <f>IF(_epmOfflineCondition_,0,EPMSaveData(AM368,,AM$29,AM$25,AM$26,$C$6,AM$32,$AA$37,AQ$14,AQ$15,AQ$16,AQ$17,AQ$18,$X368))</f>
        <v/>
      </c>
      <c r="AR368" s="13">
        <f>IF(_epmOfflineCondition_,0,EPMSaveDataOnly(AN368,,AN$29,AN$25,AN$26,AN$31,AN$32,$AA$37,AR$14,AR$15,AR$16,AR$17,AR$18,$X368))</f>
        <v/>
      </c>
      <c r="AS368" s="384" t="n"/>
    </row>
    <row r="369" hidden="1" ht="15.75" customHeight="1" s="1181">
      <c r="A369" s="384" t="n"/>
      <c r="B369" s="384" t="n"/>
      <c r="C369" s="384" t="n"/>
      <c r="D369" s="384" t="n"/>
      <c r="E369" s="384" t="n"/>
      <c r="F369" s="384" t="n"/>
      <c r="G369" s="384" t="n"/>
      <c r="H369" s="384" t="n"/>
      <c r="I369" s="384" t="n"/>
      <c r="J369" s="384" t="n"/>
      <c r="K369" s="384" t="n"/>
      <c r="L369" s="384" t="n"/>
      <c r="M369" s="384" t="n"/>
      <c r="N369" s="384" t="n"/>
      <c r="O369" s="384" t="n"/>
      <c r="P369" s="384" t="n"/>
      <c r="Q369" s="384" t="n"/>
      <c r="R369" s="384" t="n"/>
      <c r="S369" s="384" t="n"/>
      <c r="T369" s="384" t="n"/>
      <c r="U369" s="384" t="n"/>
      <c r="V369" s="384" t="n"/>
      <c r="W369" s="384" t="n"/>
      <c r="X369" s="645">
        <f>IF(_epmOfflineCondition_,"I_E100442",EPMOlapMemberO("[C_INTERCO].[PARENTH1].[I_E100442]","","I_E100442","","000"))</f>
        <v/>
      </c>
      <c r="Y369" s="870">
        <f>IF(_epmOfflineCondition_,"天津津浦伟业地产有限公司",EPMMemberDesc(X369))</f>
        <v/>
      </c>
      <c r="Z369" s="1302" t="n"/>
      <c r="AA369" s="1302" t="n"/>
      <c r="AB369" s="858" t="n"/>
      <c r="AC369" s="1302" t="n"/>
      <c r="AD369" s="1302" t="n"/>
      <c r="AE369" s="1302" t="inlineStr"/>
      <c r="AF369" s="1302" t="inlineStr"/>
      <c r="AG369" s="1302" t="inlineStr"/>
      <c r="AH369" s="1302" t="n"/>
      <c r="AI369" s="1302" t="n"/>
      <c r="AJ369" s="1302" t="n"/>
      <c r="AK369" s="1302">
        <f>AI369-AJ369</f>
        <v/>
      </c>
      <c r="AL369" s="858" t="n"/>
      <c r="AM369" s="1297" t="inlineStr"/>
      <c r="AN369" s="1298" t="n"/>
      <c r="AO369" s="13">
        <f>IF(_epmOfflineCondition_,0,EPMSaveDataOnly(AB369,,AB$29,AB$25,AB$26,AB$31,AB$32,$AA$37,AO$14,AO$15,AO$16,AO$17,AO$18,X369))</f>
        <v/>
      </c>
      <c r="AP369" s="13">
        <f>IF(_epmOfflineCondition_,0,EPMSaveDataOnly(AL369,,AL$29,AL$25,AL$26,AL$31,AL$32,$AA$37,AP$14,AP$15,AP$16,AP$17,AP$18,$X369))</f>
        <v/>
      </c>
      <c r="AQ369" s="13">
        <f>IF(_epmOfflineCondition_,0,EPMSaveData(AM369,,AM$29,AM$25,AM$26,$C$6,AM$32,$AA$37,AQ$14,AQ$15,AQ$16,AQ$17,AQ$18,$X369))</f>
        <v/>
      </c>
      <c r="AR369" s="13">
        <f>IF(_epmOfflineCondition_,0,EPMSaveDataOnly(AN369,,AN$29,AN$25,AN$26,AN$31,AN$32,$AA$37,AR$14,AR$15,AR$16,AR$17,AR$18,$X369))</f>
        <v/>
      </c>
      <c r="AS369" s="384" t="n"/>
    </row>
    <row r="370" hidden="1" ht="15.75" customHeight="1" s="1181">
      <c r="A370" s="384" t="n"/>
      <c r="B370" s="384" t="n"/>
      <c r="C370" s="384" t="n"/>
      <c r="D370" s="384" t="n"/>
      <c r="E370" s="384" t="n"/>
      <c r="F370" s="384" t="n"/>
      <c r="G370" s="384" t="n"/>
      <c r="H370" s="384" t="n"/>
      <c r="I370" s="384" t="n"/>
      <c r="J370" s="384" t="n"/>
      <c r="K370" s="384" t="n"/>
      <c r="L370" s="384" t="n"/>
      <c r="M370" s="384" t="n"/>
      <c r="N370" s="384" t="n"/>
      <c r="O370" s="384" t="n"/>
      <c r="P370" s="384" t="n"/>
      <c r="Q370" s="384" t="n"/>
      <c r="R370" s="384" t="n"/>
      <c r="S370" s="384" t="n"/>
      <c r="T370" s="384" t="n"/>
      <c r="U370" s="384" t="n"/>
      <c r="V370" s="384" t="n"/>
      <c r="W370" s="384" t="n"/>
      <c r="X370" s="645">
        <f>IF(_epmOfflineCondition_,"I_E100443",EPMOlapMemberO("[C_INTERCO].[PARENTH1].[I_E100443]","","I_E100443","","000"))</f>
        <v/>
      </c>
      <c r="Y370" s="870">
        <f>IF(_epmOfflineCondition_,"金泰丽城（天津）置业投资有限公司",EPMMemberDesc(X370))</f>
        <v/>
      </c>
      <c r="Z370" s="1302" t="n"/>
      <c r="AA370" s="1302" t="n"/>
      <c r="AB370" s="858" t="n"/>
      <c r="AC370" s="1302" t="n"/>
      <c r="AD370" s="1302" t="n"/>
      <c r="AE370" s="1302" t="inlineStr"/>
      <c r="AF370" s="1302" t="inlineStr"/>
      <c r="AG370" s="1302" t="inlineStr"/>
      <c r="AH370" s="1302" t="n"/>
      <c r="AI370" s="1302" t="n"/>
      <c r="AJ370" s="1302" t="n"/>
      <c r="AK370" s="1302">
        <f>AI370-AJ370</f>
        <v/>
      </c>
      <c r="AL370" s="858" t="n"/>
      <c r="AM370" s="1297" t="inlineStr"/>
      <c r="AN370" s="1298" t="n"/>
      <c r="AO370" s="13">
        <f>IF(_epmOfflineCondition_,0,EPMSaveDataOnly(AB370,,AB$29,AB$25,AB$26,AB$31,AB$32,$AA$37,AO$14,AO$15,AO$16,AO$17,AO$18,X370))</f>
        <v/>
      </c>
      <c r="AP370" s="13">
        <f>IF(_epmOfflineCondition_,0,EPMSaveDataOnly(AL370,,AL$29,AL$25,AL$26,AL$31,AL$32,$AA$37,AP$14,AP$15,AP$16,AP$17,AP$18,$X370))</f>
        <v/>
      </c>
      <c r="AQ370" s="13">
        <f>IF(_epmOfflineCondition_,0,EPMSaveData(AM370,,AM$29,AM$25,AM$26,$C$6,AM$32,$AA$37,AQ$14,AQ$15,AQ$16,AQ$17,AQ$18,$X370))</f>
        <v/>
      </c>
      <c r="AR370" s="13">
        <f>IF(_epmOfflineCondition_,0,EPMSaveDataOnly(AN370,,AN$29,AN$25,AN$26,AN$31,AN$32,$AA$37,AR$14,AR$15,AR$16,AR$17,AR$18,$X370))</f>
        <v/>
      </c>
      <c r="AS370" s="384" t="n"/>
    </row>
    <row r="371" hidden="1" ht="15.75" customHeight="1" s="1181">
      <c r="A371" s="384" t="n"/>
      <c r="B371" s="384" t="n"/>
      <c r="C371" s="384" t="n"/>
      <c r="D371" s="384" t="n"/>
      <c r="E371" s="384" t="n"/>
      <c r="F371" s="384" t="n"/>
      <c r="G371" s="384" t="n"/>
      <c r="H371" s="384" t="n"/>
      <c r="I371" s="384" t="n"/>
      <c r="J371" s="384" t="n"/>
      <c r="K371" s="384" t="n"/>
      <c r="L371" s="384" t="n"/>
      <c r="M371" s="384" t="n"/>
      <c r="N371" s="384" t="n"/>
      <c r="O371" s="384" t="n"/>
      <c r="P371" s="384" t="n"/>
      <c r="Q371" s="384" t="n"/>
      <c r="R371" s="384" t="n"/>
      <c r="S371" s="384" t="n"/>
      <c r="T371" s="384" t="n"/>
      <c r="U371" s="384" t="n"/>
      <c r="V371" s="384" t="n"/>
      <c r="W371" s="384" t="n"/>
      <c r="X371" s="645">
        <f>IF(_epmOfflineCondition_,"I_E100446",EPMOlapMemberO("[C_INTERCO].[PARENTH1].[I_E100446]","","I_E100446","","000"))</f>
        <v/>
      </c>
      <c r="Y371" s="870">
        <f>IF(_epmOfflineCondition_,"北京金泰（辽宁）房地产开发有限责任公司",EPMMemberDesc(X371))</f>
        <v/>
      </c>
      <c r="Z371" s="1302" t="n"/>
      <c r="AA371" s="1302" t="n"/>
      <c r="AB371" s="858" t="n"/>
      <c r="AC371" s="1302" t="n"/>
      <c r="AD371" s="1302" t="n"/>
      <c r="AE371" s="1302" t="inlineStr"/>
      <c r="AF371" s="1302" t="inlineStr"/>
      <c r="AG371" s="1302" t="inlineStr"/>
      <c r="AH371" s="1302" t="n"/>
      <c r="AI371" s="1302" t="n"/>
      <c r="AJ371" s="1302" t="n"/>
      <c r="AK371" s="1302">
        <f>AI371-AJ371</f>
        <v/>
      </c>
      <c r="AL371" s="858" t="n"/>
      <c r="AM371" s="1297" t="inlineStr"/>
      <c r="AN371" s="1298" t="n"/>
      <c r="AO371" s="13">
        <f>IF(_epmOfflineCondition_,0,EPMSaveDataOnly(AB371,,AB$29,AB$25,AB$26,AB$31,AB$32,$AA$37,AO$14,AO$15,AO$16,AO$17,AO$18,X371))</f>
        <v/>
      </c>
      <c r="AP371" s="13">
        <f>IF(_epmOfflineCondition_,0,EPMSaveDataOnly(AL371,,AL$29,AL$25,AL$26,AL$31,AL$32,$AA$37,AP$14,AP$15,AP$16,AP$17,AP$18,$X371))</f>
        <v/>
      </c>
      <c r="AQ371" s="13">
        <f>IF(_epmOfflineCondition_,0,EPMSaveData(AM371,,AM$29,AM$25,AM$26,$C$6,AM$32,$AA$37,AQ$14,AQ$15,AQ$16,AQ$17,AQ$18,$X371))</f>
        <v/>
      </c>
      <c r="AR371" s="13">
        <f>IF(_epmOfflineCondition_,0,EPMSaveDataOnly(AN371,,AN$29,AN$25,AN$26,AN$31,AN$32,$AA$37,AR$14,AR$15,AR$16,AR$17,AR$18,$X371))</f>
        <v/>
      </c>
      <c r="AS371" s="384" t="n"/>
    </row>
    <row r="372" hidden="1" ht="15.75" customHeight="1" s="1181">
      <c r="A372" s="384" t="n"/>
      <c r="B372" s="384" t="n"/>
      <c r="C372" s="384" t="n"/>
      <c r="D372" s="384" t="n"/>
      <c r="E372" s="384" t="n"/>
      <c r="F372" s="384" t="n"/>
      <c r="G372" s="384" t="n"/>
      <c r="H372" s="384" t="n"/>
      <c r="I372" s="384" t="n"/>
      <c r="J372" s="384" t="n"/>
      <c r="K372" s="384" t="n"/>
      <c r="L372" s="384" t="n"/>
      <c r="M372" s="384" t="n"/>
      <c r="N372" s="384" t="n"/>
      <c r="O372" s="384" t="n"/>
      <c r="P372" s="384" t="n"/>
      <c r="Q372" s="384" t="n"/>
      <c r="R372" s="384" t="n"/>
      <c r="S372" s="384" t="n"/>
      <c r="T372" s="384" t="n"/>
      <c r="U372" s="384" t="n"/>
      <c r="V372" s="384" t="n"/>
      <c r="W372" s="384" t="n"/>
      <c r="X372" s="645">
        <f>IF(_epmOfflineCondition_,"I_E100447",EPMOlapMemberO("[C_INTERCO].[PARENTH1].[I_E100447]","","I_E100447","","000"))</f>
        <v/>
      </c>
      <c r="Y372" s="870">
        <f>IF(_epmOfflineCondition_,"保定市金泰宏孚房地产开发有限公司",EPMMemberDesc(X372))</f>
        <v/>
      </c>
      <c r="Z372" s="1302" t="n"/>
      <c r="AA372" s="1302" t="n"/>
      <c r="AB372" s="858" t="n"/>
      <c r="AC372" s="1302" t="n"/>
      <c r="AD372" s="1302" t="n"/>
      <c r="AE372" s="1302" t="inlineStr"/>
      <c r="AF372" s="1302" t="inlineStr"/>
      <c r="AG372" s="1302" t="inlineStr"/>
      <c r="AH372" s="1302" t="n"/>
      <c r="AI372" s="1302" t="n"/>
      <c r="AJ372" s="1302" t="n"/>
      <c r="AK372" s="1302">
        <f>AI372-AJ372</f>
        <v/>
      </c>
      <c r="AL372" s="858" t="n"/>
      <c r="AM372" s="1297" t="inlineStr"/>
      <c r="AN372" s="1298" t="n"/>
      <c r="AO372" s="13">
        <f>IF(_epmOfflineCondition_,0,EPMSaveDataOnly(AB372,,AB$29,AB$25,AB$26,AB$31,AB$32,$AA$37,AO$14,AO$15,AO$16,AO$17,AO$18,X372))</f>
        <v/>
      </c>
      <c r="AP372" s="13">
        <f>IF(_epmOfflineCondition_,0,EPMSaveDataOnly(AL372,,AL$29,AL$25,AL$26,AL$31,AL$32,$AA$37,AP$14,AP$15,AP$16,AP$17,AP$18,$X372))</f>
        <v/>
      </c>
      <c r="AQ372" s="13">
        <f>IF(_epmOfflineCondition_,0,EPMSaveData(AM372,,AM$29,AM$25,AM$26,$C$6,AM$32,$AA$37,AQ$14,AQ$15,AQ$16,AQ$17,AQ$18,$X372))</f>
        <v/>
      </c>
      <c r="AR372" s="13">
        <f>IF(_epmOfflineCondition_,0,EPMSaveDataOnly(AN372,,AN$29,AN$25,AN$26,AN$31,AN$32,$AA$37,AR$14,AR$15,AR$16,AR$17,AR$18,$X372))</f>
        <v/>
      </c>
      <c r="AS372" s="384" t="n"/>
    </row>
    <row r="373" hidden="1" ht="15.75" customHeight="1" s="1181">
      <c r="A373" s="384" t="n"/>
      <c r="B373" s="384" t="n"/>
      <c r="C373" s="384" t="n"/>
      <c r="D373" s="384" t="n"/>
      <c r="E373" s="384" t="n"/>
      <c r="F373" s="384" t="n"/>
      <c r="G373" s="384" t="n"/>
      <c r="H373" s="384" t="n"/>
      <c r="I373" s="384" t="n"/>
      <c r="J373" s="384" t="n"/>
      <c r="K373" s="384" t="n"/>
      <c r="L373" s="384" t="n"/>
      <c r="M373" s="384" t="n"/>
      <c r="N373" s="384" t="n"/>
      <c r="O373" s="384" t="n"/>
      <c r="P373" s="384" t="n"/>
      <c r="Q373" s="384" t="n"/>
      <c r="R373" s="384" t="n"/>
      <c r="S373" s="384" t="n"/>
      <c r="T373" s="384" t="n"/>
      <c r="U373" s="384" t="n"/>
      <c r="V373" s="384" t="n"/>
      <c r="W373" s="384" t="n"/>
      <c r="X373" s="645">
        <f>IF(_epmOfflineCondition_,"I_E100448",EPMOlapMemberO("[C_INTERCO].[PARENTH1].[I_E100448]","","I_E100448","","000"))</f>
        <v/>
      </c>
      <c r="Y373" s="870">
        <f>IF(_epmOfflineCondition_,"北京金泰卓越物业管理有限公司",EPMMemberDesc(X373))</f>
        <v/>
      </c>
      <c r="Z373" s="1302" t="n"/>
      <c r="AA373" s="1302" t="n"/>
      <c r="AB373" s="858" t="n"/>
      <c r="AC373" s="1302" t="n"/>
      <c r="AD373" s="1302" t="n"/>
      <c r="AE373" s="1302" t="inlineStr"/>
      <c r="AF373" s="1302" t="inlineStr"/>
      <c r="AG373" s="1302" t="inlineStr"/>
      <c r="AH373" s="1302" t="n"/>
      <c r="AI373" s="1302" t="n"/>
      <c r="AJ373" s="1302" t="n"/>
      <c r="AK373" s="1302">
        <f>AI373-AJ373</f>
        <v/>
      </c>
      <c r="AL373" s="858" t="n"/>
      <c r="AM373" s="1297" t="inlineStr"/>
      <c r="AN373" s="1298" t="n"/>
      <c r="AO373" s="13">
        <f>IF(_epmOfflineCondition_,0,EPMSaveDataOnly(AB373,,AB$29,AB$25,AB$26,AB$31,AB$32,$AA$37,AO$14,AO$15,AO$16,AO$17,AO$18,X373))</f>
        <v/>
      </c>
      <c r="AP373" s="13">
        <f>IF(_epmOfflineCondition_,0,EPMSaveDataOnly(AL373,,AL$29,AL$25,AL$26,AL$31,AL$32,$AA$37,AP$14,AP$15,AP$16,AP$17,AP$18,$X373))</f>
        <v/>
      </c>
      <c r="AQ373" s="13">
        <f>IF(_epmOfflineCondition_,0,EPMSaveData(AM373,,AM$29,AM$25,AM$26,$C$6,AM$32,$AA$37,AQ$14,AQ$15,AQ$16,AQ$17,AQ$18,$X373))</f>
        <v/>
      </c>
      <c r="AR373" s="13">
        <f>IF(_epmOfflineCondition_,0,EPMSaveDataOnly(AN373,,AN$29,AN$25,AN$26,AN$31,AN$32,$AA$37,AR$14,AR$15,AR$16,AR$17,AR$18,$X373))</f>
        <v/>
      </c>
      <c r="AS373" s="384" t="n"/>
    </row>
    <row r="374" hidden="1" ht="15.75" customHeight="1" s="1181">
      <c r="A374" s="384" t="n"/>
      <c r="B374" s="384" t="n"/>
      <c r="C374" s="384" t="n"/>
      <c r="D374" s="384" t="n"/>
      <c r="E374" s="384" t="n"/>
      <c r="F374" s="384" t="n"/>
      <c r="G374" s="384" t="n"/>
      <c r="H374" s="384" t="n"/>
      <c r="I374" s="384" t="n"/>
      <c r="J374" s="384" t="n"/>
      <c r="K374" s="384" t="n"/>
      <c r="L374" s="384" t="n"/>
      <c r="M374" s="384" t="n"/>
      <c r="N374" s="384" t="n"/>
      <c r="O374" s="384" t="n"/>
      <c r="P374" s="384" t="n"/>
      <c r="Q374" s="384" t="n"/>
      <c r="R374" s="384" t="n"/>
      <c r="S374" s="384" t="n"/>
      <c r="T374" s="384" t="n"/>
      <c r="U374" s="384" t="n"/>
      <c r="V374" s="384" t="n"/>
      <c r="W374" s="384" t="n"/>
      <c r="X374" s="645">
        <f>IF(_epmOfflineCondition_,"I_E100450",EPMOlapMemberO("[C_INTERCO].[PARENTH1].[I_E100450]","","I_E100450","","000"))</f>
        <v/>
      </c>
      <c r="Y374" s="870">
        <f>IF(_epmOfflineCondition_,"北京金泰中阳房地产开发有限公司",EPMMemberDesc(X374))</f>
        <v/>
      </c>
      <c r="Z374" s="1302" t="n"/>
      <c r="AA374" s="1302" t="n"/>
      <c r="AB374" s="858" t="n"/>
      <c r="AC374" s="1302" t="n"/>
      <c r="AD374" s="1302" t="n"/>
      <c r="AE374" s="1302" t="inlineStr"/>
      <c r="AF374" s="1302" t="inlineStr"/>
      <c r="AG374" s="1302" t="inlineStr"/>
      <c r="AH374" s="1302" t="n"/>
      <c r="AI374" s="1302" t="n"/>
      <c r="AJ374" s="1302" t="n"/>
      <c r="AK374" s="1302">
        <f>AI374-AJ374</f>
        <v/>
      </c>
      <c r="AL374" s="858" t="n"/>
      <c r="AM374" s="1297" t="inlineStr"/>
      <c r="AN374" s="1298" t="n"/>
      <c r="AO374" s="13">
        <f>IF(_epmOfflineCondition_,0,EPMSaveDataOnly(AB374,,AB$29,AB$25,AB$26,AB$31,AB$32,$AA$37,AO$14,AO$15,AO$16,AO$17,AO$18,X374))</f>
        <v/>
      </c>
      <c r="AP374" s="13">
        <f>IF(_epmOfflineCondition_,0,EPMSaveDataOnly(AL374,,AL$29,AL$25,AL$26,AL$31,AL$32,$AA$37,AP$14,AP$15,AP$16,AP$17,AP$18,$X374))</f>
        <v/>
      </c>
      <c r="AQ374" s="13">
        <f>IF(_epmOfflineCondition_,0,EPMSaveData(AM374,,AM$29,AM$25,AM$26,$C$6,AM$32,$AA$37,AQ$14,AQ$15,AQ$16,AQ$17,AQ$18,$X374))</f>
        <v/>
      </c>
      <c r="AR374" s="13">
        <f>IF(_epmOfflineCondition_,0,EPMSaveDataOnly(AN374,,AN$29,AN$25,AN$26,AN$31,AN$32,$AA$37,AR$14,AR$15,AR$16,AR$17,AR$18,$X374))</f>
        <v/>
      </c>
      <c r="AS374" s="384" t="n"/>
    </row>
    <row r="375" hidden="1" ht="15.75" customHeight="1" s="1181">
      <c r="A375" s="384" t="n"/>
      <c r="B375" s="384" t="n"/>
      <c r="C375" s="384" t="n"/>
      <c r="D375" s="384" t="n"/>
      <c r="E375" s="384" t="n"/>
      <c r="F375" s="384" t="n"/>
      <c r="G375" s="384" t="n"/>
      <c r="H375" s="384" t="n"/>
      <c r="I375" s="384" t="n"/>
      <c r="J375" s="384" t="n"/>
      <c r="K375" s="384" t="n"/>
      <c r="L375" s="384" t="n"/>
      <c r="M375" s="384" t="n"/>
      <c r="N375" s="384" t="n"/>
      <c r="O375" s="384" t="n"/>
      <c r="P375" s="384" t="n"/>
      <c r="Q375" s="384" t="n"/>
      <c r="R375" s="384" t="n"/>
      <c r="S375" s="384" t="n"/>
      <c r="T375" s="384" t="n"/>
      <c r="U375" s="384" t="n"/>
      <c r="V375" s="384" t="n"/>
      <c r="W375" s="384" t="n"/>
      <c r="X375" s="645">
        <f>IF(_epmOfflineCondition_,"I_E100451",EPMOlapMemberO("[C_INTERCO].[PARENTH1].[I_E100451]","","I_E100451","","000"))</f>
        <v/>
      </c>
      <c r="Y375" s="870">
        <f>IF(_epmOfflineCondition_,"北京吉平劳务分包有限公司",EPMMemberDesc(X375))</f>
        <v/>
      </c>
      <c r="Z375" s="1302" t="n"/>
      <c r="AA375" s="1302" t="n"/>
      <c r="AB375" s="858" t="n"/>
      <c r="AC375" s="1302" t="n"/>
      <c r="AD375" s="1302" t="n"/>
      <c r="AE375" s="1302" t="inlineStr"/>
      <c r="AF375" s="1302" t="inlineStr"/>
      <c r="AG375" s="1302" t="inlineStr"/>
      <c r="AH375" s="1302" t="n"/>
      <c r="AI375" s="1302" t="n"/>
      <c r="AJ375" s="1302" t="n"/>
      <c r="AK375" s="1302">
        <f>AI375-AJ375</f>
        <v/>
      </c>
      <c r="AL375" s="858" t="n"/>
      <c r="AM375" s="1297" t="inlineStr"/>
      <c r="AN375" s="1298" t="n"/>
      <c r="AO375" s="13">
        <f>IF(_epmOfflineCondition_,0,EPMSaveDataOnly(AB375,,AB$29,AB$25,AB$26,AB$31,AB$32,$AA$37,AO$14,AO$15,AO$16,AO$17,AO$18,X375))</f>
        <v/>
      </c>
      <c r="AP375" s="13">
        <f>IF(_epmOfflineCondition_,0,EPMSaveDataOnly(AL375,,AL$29,AL$25,AL$26,AL$31,AL$32,$AA$37,AP$14,AP$15,AP$16,AP$17,AP$18,$X375))</f>
        <v/>
      </c>
      <c r="AQ375" s="13">
        <f>IF(_epmOfflineCondition_,0,EPMSaveData(AM375,,AM$29,AM$25,AM$26,$C$6,AM$32,$AA$37,AQ$14,AQ$15,AQ$16,AQ$17,AQ$18,$X375))</f>
        <v/>
      </c>
      <c r="AR375" s="13">
        <f>IF(_epmOfflineCondition_,0,EPMSaveDataOnly(AN375,,AN$29,AN$25,AN$26,AN$31,AN$32,$AA$37,AR$14,AR$15,AR$16,AR$17,AR$18,$X375))</f>
        <v/>
      </c>
      <c r="AS375" s="384" t="n"/>
    </row>
    <row r="376" hidden="1" ht="15.75" customHeight="1" s="1181">
      <c r="A376" s="384" t="n"/>
      <c r="B376" s="384" t="n"/>
      <c r="C376" s="384" t="n"/>
      <c r="D376" s="384" t="n"/>
      <c r="E376" s="384" t="n"/>
      <c r="F376" s="384" t="n"/>
      <c r="G376" s="384" t="n"/>
      <c r="H376" s="384" t="n"/>
      <c r="I376" s="384" t="n"/>
      <c r="J376" s="384" t="n"/>
      <c r="K376" s="384" t="n"/>
      <c r="L376" s="384" t="n"/>
      <c r="M376" s="384" t="n"/>
      <c r="N376" s="384" t="n"/>
      <c r="O376" s="384" t="n"/>
      <c r="P376" s="384" t="n"/>
      <c r="Q376" s="384" t="n"/>
      <c r="R376" s="384" t="n"/>
      <c r="S376" s="384" t="n"/>
      <c r="T376" s="384" t="n"/>
      <c r="U376" s="384" t="n"/>
      <c r="V376" s="384" t="n"/>
      <c r="W376" s="384" t="n"/>
      <c r="X376" s="645">
        <f>IF(_epmOfflineCondition_,"I_E100453",EPMOlapMemberO("[C_INTERCO].[PARENTH1].[I_E100453]","","I_E100453","","000"))</f>
        <v/>
      </c>
      <c r="Y376" s="870">
        <f>IF(_epmOfflineCondition_,"北京京能建设机械安装有限公司",EPMMemberDesc(X376))</f>
        <v/>
      </c>
      <c r="Z376" s="1302" t="n"/>
      <c r="AA376" s="1302" t="n"/>
      <c r="AB376" s="858" t="n"/>
      <c r="AC376" s="1302" t="n"/>
      <c r="AD376" s="1302" t="n"/>
      <c r="AE376" s="1302" t="inlineStr"/>
      <c r="AF376" s="1302" t="inlineStr"/>
      <c r="AG376" s="1302" t="inlineStr"/>
      <c r="AH376" s="1302" t="n"/>
      <c r="AI376" s="1302" t="n"/>
      <c r="AJ376" s="1302" t="n"/>
      <c r="AK376" s="1302">
        <f>AI376-AJ376</f>
        <v/>
      </c>
      <c r="AL376" s="858" t="n"/>
      <c r="AM376" s="1297" t="inlineStr"/>
      <c r="AN376" s="1298" t="n"/>
      <c r="AO376" s="13">
        <f>IF(_epmOfflineCondition_,0,EPMSaveDataOnly(AB376,,AB$29,AB$25,AB$26,AB$31,AB$32,$AA$37,AO$14,AO$15,AO$16,AO$17,AO$18,X376))</f>
        <v/>
      </c>
      <c r="AP376" s="13">
        <f>IF(_epmOfflineCondition_,0,EPMSaveDataOnly(AL376,,AL$29,AL$25,AL$26,AL$31,AL$32,$AA$37,AP$14,AP$15,AP$16,AP$17,AP$18,$X376))</f>
        <v/>
      </c>
      <c r="AQ376" s="13">
        <f>IF(_epmOfflineCondition_,0,EPMSaveData(AM376,,AM$29,AM$25,AM$26,$C$6,AM$32,$AA$37,AQ$14,AQ$15,AQ$16,AQ$17,AQ$18,$X376))</f>
        <v/>
      </c>
      <c r="AR376" s="13">
        <f>IF(_epmOfflineCondition_,0,EPMSaveDataOnly(AN376,,AN$29,AN$25,AN$26,AN$31,AN$32,$AA$37,AR$14,AR$15,AR$16,AR$17,AR$18,$X376))</f>
        <v/>
      </c>
      <c r="AS376" s="384" t="n"/>
    </row>
    <row r="377" hidden="1" ht="15.75" customHeight="1" s="1181">
      <c r="A377" s="384" t="n"/>
      <c r="B377" s="384" t="n"/>
      <c r="C377" s="384" t="n"/>
      <c r="D377" s="384" t="n"/>
      <c r="E377" s="384" t="n"/>
      <c r="F377" s="384" t="n"/>
      <c r="G377" s="384" t="n"/>
      <c r="H377" s="384" t="n"/>
      <c r="I377" s="384" t="n"/>
      <c r="J377" s="384" t="n"/>
      <c r="K377" s="384" t="n"/>
      <c r="L377" s="384" t="n"/>
      <c r="M377" s="384" t="n"/>
      <c r="N377" s="384" t="n"/>
      <c r="O377" s="384" t="n"/>
      <c r="P377" s="384" t="n"/>
      <c r="Q377" s="384" t="n"/>
      <c r="R377" s="384" t="n"/>
      <c r="S377" s="384" t="n"/>
      <c r="T377" s="384" t="n"/>
      <c r="U377" s="384" t="n"/>
      <c r="V377" s="384" t="n"/>
      <c r="W377" s="384" t="n"/>
      <c r="X377" s="645">
        <f>IF(_epmOfflineCondition_,"I_E100454",EPMOlapMemberO("[C_INTERCO].[PARENTH1].[I_E100454]","","I_E100454","","000"))</f>
        <v/>
      </c>
      <c r="Y377" s="870">
        <f>IF(_epmOfflineCondition_,"北京京西建筑勘察设计院有限公司",EPMMemberDesc(X377))</f>
        <v/>
      </c>
      <c r="Z377" s="1302" t="n"/>
      <c r="AA377" s="1302" t="n"/>
      <c r="AB377" s="858" t="n"/>
      <c r="AC377" s="1302" t="n"/>
      <c r="AD377" s="1302" t="n"/>
      <c r="AE377" s="1302" t="inlineStr"/>
      <c r="AF377" s="1302" t="inlineStr"/>
      <c r="AG377" s="1302" t="inlineStr"/>
      <c r="AH377" s="1302" t="n"/>
      <c r="AI377" s="1302" t="n"/>
      <c r="AJ377" s="1302" t="n"/>
      <c r="AK377" s="1302">
        <f>AI377-AJ377</f>
        <v/>
      </c>
      <c r="AL377" s="858" t="n"/>
      <c r="AM377" s="1297" t="inlineStr"/>
      <c r="AN377" s="1298" t="n"/>
      <c r="AO377" s="13">
        <f>IF(_epmOfflineCondition_,0,EPMSaveDataOnly(AB377,,AB$29,AB$25,AB$26,AB$31,AB$32,$AA$37,AO$14,AO$15,AO$16,AO$17,AO$18,X377))</f>
        <v/>
      </c>
      <c r="AP377" s="13">
        <f>IF(_epmOfflineCondition_,0,EPMSaveDataOnly(AL377,,AL$29,AL$25,AL$26,AL$31,AL$32,$AA$37,AP$14,AP$15,AP$16,AP$17,AP$18,$X377))</f>
        <v/>
      </c>
      <c r="AQ377" s="13">
        <f>IF(_epmOfflineCondition_,0,EPMSaveData(AM377,,AM$29,AM$25,AM$26,$C$6,AM$32,$AA$37,AQ$14,AQ$15,AQ$16,AQ$17,AQ$18,$X377))</f>
        <v/>
      </c>
      <c r="AR377" s="13">
        <f>IF(_epmOfflineCondition_,0,EPMSaveDataOnly(AN377,,AN$29,AN$25,AN$26,AN$31,AN$32,$AA$37,AR$14,AR$15,AR$16,AR$17,AR$18,$X377))</f>
        <v/>
      </c>
      <c r="AS377" s="384" t="n"/>
    </row>
    <row r="378" hidden="1" ht="15.75" customHeight="1" s="1181">
      <c r="A378" s="384" t="n"/>
      <c r="B378" s="384" t="n"/>
      <c r="C378" s="384" t="n"/>
      <c r="D378" s="384" t="n"/>
      <c r="E378" s="384" t="n"/>
      <c r="F378" s="384" t="n"/>
      <c r="G378" s="384" t="n"/>
      <c r="H378" s="384" t="n"/>
      <c r="I378" s="384" t="n"/>
      <c r="J378" s="384" t="n"/>
      <c r="K378" s="384" t="n"/>
      <c r="L378" s="384" t="n"/>
      <c r="M378" s="384" t="n"/>
      <c r="N378" s="384" t="n"/>
      <c r="O378" s="384" t="n"/>
      <c r="P378" s="384" t="n"/>
      <c r="Q378" s="384" t="n"/>
      <c r="R378" s="384" t="n"/>
      <c r="S378" s="384" t="n"/>
      <c r="T378" s="384" t="n"/>
      <c r="U378" s="384" t="n"/>
      <c r="V378" s="384" t="n"/>
      <c r="W378" s="384" t="n"/>
      <c r="X378" s="645">
        <f>IF(_epmOfflineCondition_,"I_E100455",EPMOlapMemberO("[C_INTERCO].[PARENTH1].[I_E100455]","","I_E100455","","000"))</f>
        <v/>
      </c>
      <c r="Y378" s="870">
        <f>IF(_epmOfflineCondition_,"怀来矿建物业服务有限公司",EPMMemberDesc(X378))</f>
        <v/>
      </c>
      <c r="Z378" s="1302" t="n"/>
      <c r="AA378" s="1302" t="n"/>
      <c r="AB378" s="858" t="n"/>
      <c r="AC378" s="1302" t="n"/>
      <c r="AD378" s="1302" t="n"/>
      <c r="AE378" s="1302" t="inlineStr"/>
      <c r="AF378" s="1302" t="inlineStr"/>
      <c r="AG378" s="1302" t="inlineStr"/>
      <c r="AH378" s="1302" t="n"/>
      <c r="AI378" s="1302" t="n"/>
      <c r="AJ378" s="1302" t="n"/>
      <c r="AK378" s="1302">
        <f>AI378-AJ378</f>
        <v/>
      </c>
      <c r="AL378" s="858" t="n"/>
      <c r="AM378" s="1297" t="inlineStr"/>
      <c r="AN378" s="1298" t="n"/>
      <c r="AO378" s="13">
        <f>IF(_epmOfflineCondition_,0,EPMSaveDataOnly(AB378,,AB$29,AB$25,AB$26,AB$31,AB$32,$AA$37,AO$14,AO$15,AO$16,AO$17,AO$18,X378))</f>
        <v/>
      </c>
      <c r="AP378" s="13">
        <f>IF(_epmOfflineCondition_,0,EPMSaveDataOnly(AL378,,AL$29,AL$25,AL$26,AL$31,AL$32,$AA$37,AP$14,AP$15,AP$16,AP$17,AP$18,$X378))</f>
        <v/>
      </c>
      <c r="AQ378" s="13">
        <f>IF(_epmOfflineCondition_,0,EPMSaveData(AM378,,AM$29,AM$25,AM$26,$C$6,AM$32,$AA$37,AQ$14,AQ$15,AQ$16,AQ$17,AQ$18,$X378))</f>
        <v/>
      </c>
      <c r="AR378" s="13">
        <f>IF(_epmOfflineCondition_,0,EPMSaveDataOnly(AN378,,AN$29,AN$25,AN$26,AN$31,AN$32,$AA$37,AR$14,AR$15,AR$16,AR$17,AR$18,$X378))</f>
        <v/>
      </c>
      <c r="AS378" s="384" t="n"/>
    </row>
    <row r="379" hidden="1" ht="15.75" customHeight="1" s="1181">
      <c r="A379" s="384" t="n"/>
      <c r="B379" s="384" t="n"/>
      <c r="C379" s="384" t="n"/>
      <c r="D379" s="384" t="n"/>
      <c r="E379" s="384" t="n"/>
      <c r="F379" s="384" t="n"/>
      <c r="G379" s="384" t="n"/>
      <c r="H379" s="384" t="n"/>
      <c r="I379" s="384" t="n"/>
      <c r="J379" s="384" t="n"/>
      <c r="K379" s="384" t="n"/>
      <c r="L379" s="384" t="n"/>
      <c r="M379" s="384" t="n"/>
      <c r="N379" s="384" t="n"/>
      <c r="O379" s="384" t="n"/>
      <c r="P379" s="384" t="n"/>
      <c r="Q379" s="384" t="n"/>
      <c r="R379" s="384" t="n"/>
      <c r="S379" s="384" t="n"/>
      <c r="T379" s="384" t="n"/>
      <c r="U379" s="384" t="n"/>
      <c r="V379" s="384" t="n"/>
      <c r="W379" s="384" t="n"/>
      <c r="X379" s="645">
        <f>IF(_epmOfflineCondition_,"I_E100457",EPMOlapMemberO("[C_INTERCO].[PARENTH1].[I_E100457]","","I_E100457","","000"))</f>
        <v/>
      </c>
      <c r="Y379" s="870">
        <f>IF(_epmOfflineCondition_,"北京京能地质工程有限公司",EPMMemberDesc(X379))</f>
        <v/>
      </c>
      <c r="Z379" s="1302" t="n"/>
      <c r="AA379" s="1302" t="n"/>
      <c r="AB379" s="858" t="n"/>
      <c r="AC379" s="1302" t="n"/>
      <c r="AD379" s="1302" t="n"/>
      <c r="AE379" s="1302" t="inlineStr"/>
      <c r="AF379" s="1302" t="inlineStr"/>
      <c r="AG379" s="1302" t="inlineStr"/>
      <c r="AH379" s="1302" t="n"/>
      <c r="AI379" s="1302" t="n"/>
      <c r="AJ379" s="1302" t="n"/>
      <c r="AK379" s="1302">
        <f>AI379-AJ379</f>
        <v/>
      </c>
      <c r="AL379" s="858" t="n"/>
      <c r="AM379" s="1297" t="inlineStr"/>
      <c r="AN379" s="1298" t="n"/>
      <c r="AO379" s="13">
        <f>IF(_epmOfflineCondition_,0,EPMSaveDataOnly(AB379,,AB$29,AB$25,AB$26,AB$31,AB$32,$AA$37,AO$14,AO$15,AO$16,AO$17,AO$18,X379))</f>
        <v/>
      </c>
      <c r="AP379" s="13">
        <f>IF(_epmOfflineCondition_,0,EPMSaveDataOnly(AL379,,AL$29,AL$25,AL$26,AL$31,AL$32,$AA$37,AP$14,AP$15,AP$16,AP$17,AP$18,$X379))</f>
        <v/>
      </c>
      <c r="AQ379" s="13">
        <f>IF(_epmOfflineCondition_,0,EPMSaveData(AM379,,AM$29,AM$25,AM$26,$C$6,AM$32,$AA$37,AQ$14,AQ$15,AQ$16,AQ$17,AQ$18,$X379))</f>
        <v/>
      </c>
      <c r="AR379" s="13">
        <f>IF(_epmOfflineCondition_,0,EPMSaveDataOnly(AN379,,AN$29,AN$25,AN$26,AN$31,AN$32,$AA$37,AR$14,AR$15,AR$16,AR$17,AR$18,$X379))</f>
        <v/>
      </c>
      <c r="AS379" s="384" t="n"/>
    </row>
    <row r="380" hidden="1" ht="15.75" customHeight="1" s="1181">
      <c r="A380" s="384" t="n"/>
      <c r="B380" s="384" t="n"/>
      <c r="C380" s="384" t="n"/>
      <c r="D380" s="384" t="n"/>
      <c r="E380" s="384" t="n"/>
      <c r="F380" s="384" t="n"/>
      <c r="G380" s="384" t="n"/>
      <c r="H380" s="384" t="n"/>
      <c r="I380" s="384" t="n"/>
      <c r="J380" s="384" t="n"/>
      <c r="K380" s="384" t="n"/>
      <c r="L380" s="384" t="n"/>
      <c r="M380" s="384" t="n"/>
      <c r="N380" s="384" t="n"/>
      <c r="O380" s="384" t="n"/>
      <c r="P380" s="384" t="n"/>
      <c r="Q380" s="384" t="n"/>
      <c r="R380" s="384" t="n"/>
      <c r="S380" s="384" t="n"/>
      <c r="T380" s="384" t="n"/>
      <c r="U380" s="384" t="n"/>
      <c r="V380" s="384" t="n"/>
      <c r="W380" s="384" t="n"/>
      <c r="X380" s="645">
        <f>IF(_epmOfflineCondition_,"I_E100458",EPMOlapMemberO("[C_INTERCO].[PARENTH1].[I_E100458]","","I_E100458","","000"))</f>
        <v/>
      </c>
      <c r="Y380" s="870">
        <f>IF(_epmOfflineCondition_,"北京丽富房地产开发有限公司大兴分公司-2025年1月注销",EPMMemberDesc(X380))</f>
        <v/>
      </c>
      <c r="Z380" s="1302" t="n"/>
      <c r="AA380" s="1302" t="n"/>
      <c r="AB380" s="858" t="n"/>
      <c r="AC380" s="1302" t="n"/>
      <c r="AD380" s="1302" t="n"/>
      <c r="AE380" s="1302" t="inlineStr"/>
      <c r="AF380" s="1302" t="inlineStr"/>
      <c r="AG380" s="1302" t="inlineStr"/>
      <c r="AH380" s="1302" t="n"/>
      <c r="AI380" s="1302" t="n"/>
      <c r="AJ380" s="1302" t="n"/>
      <c r="AK380" s="1302">
        <f>AI380-AJ380</f>
        <v/>
      </c>
      <c r="AL380" s="858" t="n"/>
      <c r="AM380" s="1297" t="inlineStr"/>
      <c r="AN380" s="1298" t="n"/>
      <c r="AO380" s="13">
        <f>IF(_epmOfflineCondition_,0,EPMSaveDataOnly(AB380,,AB$29,AB$25,AB$26,AB$31,AB$32,$AA$37,AO$14,AO$15,AO$16,AO$17,AO$18,X380))</f>
        <v/>
      </c>
      <c r="AP380" s="13">
        <f>IF(_epmOfflineCondition_,0,EPMSaveDataOnly(AL380,,AL$29,AL$25,AL$26,AL$31,AL$32,$AA$37,AP$14,AP$15,AP$16,AP$17,AP$18,$X380))</f>
        <v/>
      </c>
      <c r="AQ380" s="13">
        <f>IF(_epmOfflineCondition_,0,EPMSaveData(AM380,,AM$29,AM$25,AM$26,$C$6,AM$32,$AA$37,AQ$14,AQ$15,AQ$16,AQ$17,AQ$18,$X380))</f>
        <v/>
      </c>
      <c r="AR380" s="13">
        <f>IF(_epmOfflineCondition_,0,EPMSaveDataOnly(AN380,,AN$29,AN$25,AN$26,AN$31,AN$32,$AA$37,AR$14,AR$15,AR$16,AR$17,AR$18,$X380))</f>
        <v/>
      </c>
      <c r="AS380" s="384" t="n"/>
    </row>
    <row r="381" hidden="1" ht="15.75" customHeight="1" s="1181">
      <c r="A381" s="384" t="n"/>
      <c r="B381" s="384" t="n"/>
      <c r="C381" s="384" t="n"/>
      <c r="D381" s="384" t="n"/>
      <c r="E381" s="384" t="n"/>
      <c r="F381" s="384" t="n"/>
      <c r="G381" s="384" t="n"/>
      <c r="H381" s="384" t="n"/>
      <c r="I381" s="384" t="n"/>
      <c r="J381" s="384" t="n"/>
      <c r="K381" s="384" t="n"/>
      <c r="L381" s="384" t="n"/>
      <c r="M381" s="384" t="n"/>
      <c r="N381" s="384" t="n"/>
      <c r="O381" s="384" t="n"/>
      <c r="P381" s="384" t="n"/>
      <c r="Q381" s="384" t="n"/>
      <c r="R381" s="384" t="n"/>
      <c r="S381" s="384" t="n"/>
      <c r="T381" s="384" t="n"/>
      <c r="U381" s="384" t="n"/>
      <c r="V381" s="384" t="n"/>
      <c r="W381" s="384" t="n"/>
      <c r="X381" s="645">
        <f>IF(_epmOfflineCondition_,"I_E100459",EPMOlapMemberO("[C_INTERCO].[PARENTH1].[I_E100459]","","I_E100459","","000"))</f>
        <v/>
      </c>
      <c r="Y381" s="870">
        <f>IF(_epmOfflineCondition_,"北京金泰卓越物业管理有限公司京西金泰丽湾分公司",EPMMemberDesc(X381))</f>
        <v/>
      </c>
      <c r="Z381" s="1302" t="n"/>
      <c r="AA381" s="1302" t="n"/>
      <c r="AB381" s="858" t="n"/>
      <c r="AC381" s="1302" t="n"/>
      <c r="AD381" s="1302" t="n"/>
      <c r="AE381" s="1302" t="inlineStr"/>
      <c r="AF381" s="1302" t="inlineStr"/>
      <c r="AG381" s="1302" t="inlineStr"/>
      <c r="AH381" s="1302" t="n"/>
      <c r="AI381" s="1302" t="n"/>
      <c r="AJ381" s="1302" t="n"/>
      <c r="AK381" s="1302">
        <f>AI381-AJ381</f>
        <v/>
      </c>
      <c r="AL381" s="858" t="n"/>
      <c r="AM381" s="1297" t="inlineStr"/>
      <c r="AN381" s="1298" t="n"/>
      <c r="AO381" s="13">
        <f>IF(_epmOfflineCondition_,0,EPMSaveDataOnly(AB381,,AB$29,AB$25,AB$26,AB$31,AB$32,$AA$37,AO$14,AO$15,AO$16,AO$17,AO$18,X381))</f>
        <v/>
      </c>
      <c r="AP381" s="13">
        <f>IF(_epmOfflineCondition_,0,EPMSaveDataOnly(AL381,,AL$29,AL$25,AL$26,AL$31,AL$32,$AA$37,AP$14,AP$15,AP$16,AP$17,AP$18,$X381))</f>
        <v/>
      </c>
      <c r="AQ381" s="13">
        <f>IF(_epmOfflineCondition_,0,EPMSaveData(AM381,,AM$29,AM$25,AM$26,$C$6,AM$32,$AA$37,AQ$14,AQ$15,AQ$16,AQ$17,AQ$18,$X381))</f>
        <v/>
      </c>
      <c r="AR381" s="13">
        <f>IF(_epmOfflineCondition_,0,EPMSaveDataOnly(AN381,,AN$29,AN$25,AN$26,AN$31,AN$32,$AA$37,AR$14,AR$15,AR$16,AR$17,AR$18,$X381))</f>
        <v/>
      </c>
      <c r="AS381" s="384" t="n"/>
    </row>
    <row r="382" hidden="1" ht="15.75" customHeight="1" s="1181">
      <c r="A382" s="384" t="n"/>
      <c r="B382" s="384" t="n"/>
      <c r="C382" s="384" t="n"/>
      <c r="D382" s="384" t="n"/>
      <c r="E382" s="384" t="n"/>
      <c r="F382" s="384" t="n"/>
      <c r="G382" s="384" t="n"/>
      <c r="H382" s="384" t="n"/>
      <c r="I382" s="384" t="n"/>
      <c r="J382" s="384" t="n"/>
      <c r="K382" s="384" t="n"/>
      <c r="L382" s="384" t="n"/>
      <c r="M382" s="384" t="n"/>
      <c r="N382" s="384" t="n"/>
      <c r="O382" s="384" t="n"/>
      <c r="P382" s="384" t="n"/>
      <c r="Q382" s="384" t="n"/>
      <c r="R382" s="384" t="n"/>
      <c r="S382" s="384" t="n"/>
      <c r="T382" s="384" t="n"/>
      <c r="U382" s="384" t="n"/>
      <c r="V382" s="384" t="n"/>
      <c r="W382" s="384" t="n"/>
      <c r="X382" s="645">
        <f>IF(_epmOfflineCondition_,"I_E100460",EPMOlapMemberO("[C_INTERCO].[PARENTH1].[I_E100460]","","I_E100460","","000"))</f>
        <v/>
      </c>
      <c r="Y382" s="870">
        <f>IF(_epmOfflineCondition_,"北京金泰卓越物业管理有限公司辽宁分公司",EPMMemberDesc(X382))</f>
        <v/>
      </c>
      <c r="Z382" s="1302" t="n"/>
      <c r="AA382" s="1302" t="n"/>
      <c r="AB382" s="858" t="n"/>
      <c r="AC382" s="1302" t="n"/>
      <c r="AD382" s="1302" t="n"/>
      <c r="AE382" s="1302" t="inlineStr"/>
      <c r="AF382" s="1302" t="inlineStr"/>
      <c r="AG382" s="1302" t="inlineStr"/>
      <c r="AH382" s="1302" t="n"/>
      <c r="AI382" s="1302" t="n"/>
      <c r="AJ382" s="1302" t="n"/>
      <c r="AK382" s="1302">
        <f>AI382-AJ382</f>
        <v/>
      </c>
      <c r="AL382" s="858" t="n"/>
      <c r="AM382" s="1297" t="inlineStr"/>
      <c r="AN382" s="1298" t="n"/>
      <c r="AO382" s="13">
        <f>IF(_epmOfflineCondition_,0,EPMSaveDataOnly(AB382,,AB$29,AB$25,AB$26,AB$31,AB$32,$AA$37,AO$14,AO$15,AO$16,AO$17,AO$18,X382))</f>
        <v/>
      </c>
      <c r="AP382" s="13">
        <f>IF(_epmOfflineCondition_,0,EPMSaveDataOnly(AL382,,AL$29,AL$25,AL$26,AL$31,AL$32,$AA$37,AP$14,AP$15,AP$16,AP$17,AP$18,$X382))</f>
        <v/>
      </c>
      <c r="AQ382" s="13">
        <f>IF(_epmOfflineCondition_,0,EPMSaveData(AM382,,AM$29,AM$25,AM$26,$C$6,AM$32,$AA$37,AQ$14,AQ$15,AQ$16,AQ$17,AQ$18,$X382))</f>
        <v/>
      </c>
      <c r="AR382" s="13">
        <f>IF(_epmOfflineCondition_,0,EPMSaveDataOnly(AN382,,AN$29,AN$25,AN$26,AN$31,AN$32,$AA$37,AR$14,AR$15,AR$16,AR$17,AR$18,$X382))</f>
        <v/>
      </c>
      <c r="AS382" s="384" t="n"/>
    </row>
    <row r="383" hidden="1" ht="15.75" customHeight="1" s="1181">
      <c r="A383" s="384" t="n"/>
      <c r="B383" s="384" t="n"/>
      <c r="C383" s="384" t="n"/>
      <c r="D383" s="384" t="n"/>
      <c r="E383" s="384" t="n"/>
      <c r="F383" s="384" t="n"/>
      <c r="G383" s="384" t="n"/>
      <c r="H383" s="384" t="n"/>
      <c r="I383" s="384" t="n"/>
      <c r="J383" s="384" t="n"/>
      <c r="K383" s="384" t="n"/>
      <c r="L383" s="384" t="n"/>
      <c r="M383" s="384" t="n"/>
      <c r="N383" s="384" t="n"/>
      <c r="O383" s="384" t="n"/>
      <c r="P383" s="384" t="n"/>
      <c r="Q383" s="384" t="n"/>
      <c r="R383" s="384" t="n"/>
      <c r="S383" s="384" t="n"/>
      <c r="T383" s="384" t="n"/>
      <c r="U383" s="384" t="n"/>
      <c r="V383" s="384" t="n"/>
      <c r="W383" s="384" t="n"/>
      <c r="X383" s="645">
        <f>IF(_epmOfflineCondition_,"I_E100461",EPMOlapMemberO("[C_INTERCO].[PARENTH1].[I_E100461]","","I_E100461","","000"))</f>
        <v/>
      </c>
      <c r="Y383" s="870">
        <f>IF(_epmOfflineCondition_,"北京金泰卓越物业管理有限公司内蒙古分公司",EPMMemberDesc(X383))</f>
        <v/>
      </c>
      <c r="Z383" s="1302" t="n"/>
      <c r="AA383" s="1302" t="n"/>
      <c r="AB383" s="858" t="n"/>
      <c r="AC383" s="1302" t="n"/>
      <c r="AD383" s="1302" t="n"/>
      <c r="AE383" s="1302" t="inlineStr"/>
      <c r="AF383" s="1302" t="inlineStr"/>
      <c r="AG383" s="1302" t="inlineStr"/>
      <c r="AH383" s="1302" t="n"/>
      <c r="AI383" s="1302" t="n"/>
      <c r="AJ383" s="1302" t="n"/>
      <c r="AK383" s="1302">
        <f>AI383-AJ383</f>
        <v/>
      </c>
      <c r="AL383" s="858" t="n"/>
      <c r="AM383" s="1297" t="inlineStr"/>
      <c r="AN383" s="1298" t="n"/>
      <c r="AO383" s="13">
        <f>IF(_epmOfflineCondition_,0,EPMSaveDataOnly(AB383,,AB$29,AB$25,AB$26,AB$31,AB$32,$AA$37,AO$14,AO$15,AO$16,AO$17,AO$18,X383))</f>
        <v/>
      </c>
      <c r="AP383" s="13">
        <f>IF(_epmOfflineCondition_,0,EPMSaveDataOnly(AL383,,AL$29,AL$25,AL$26,AL$31,AL$32,$AA$37,AP$14,AP$15,AP$16,AP$17,AP$18,$X383))</f>
        <v/>
      </c>
      <c r="AQ383" s="13">
        <f>IF(_epmOfflineCondition_,0,EPMSaveData(AM383,,AM$29,AM$25,AM$26,$C$6,AM$32,$AA$37,AQ$14,AQ$15,AQ$16,AQ$17,AQ$18,$X383))</f>
        <v/>
      </c>
      <c r="AR383" s="13">
        <f>IF(_epmOfflineCondition_,0,EPMSaveDataOnly(AN383,,AN$29,AN$25,AN$26,AN$31,AN$32,$AA$37,AR$14,AR$15,AR$16,AR$17,AR$18,$X383))</f>
        <v/>
      </c>
      <c r="AS383" s="384" t="n"/>
    </row>
    <row r="384" hidden="1" ht="15.75" customHeight="1" s="1181">
      <c r="A384" s="384" t="n"/>
      <c r="B384" s="384" t="n"/>
      <c r="C384" s="384" t="n"/>
      <c r="D384" s="384" t="n"/>
      <c r="E384" s="384" t="n"/>
      <c r="F384" s="384" t="n"/>
      <c r="G384" s="384" t="n"/>
      <c r="H384" s="384" t="n"/>
      <c r="I384" s="384" t="n"/>
      <c r="J384" s="384" t="n"/>
      <c r="K384" s="384" t="n"/>
      <c r="L384" s="384" t="n"/>
      <c r="M384" s="384" t="n"/>
      <c r="N384" s="384" t="n"/>
      <c r="O384" s="384" t="n"/>
      <c r="P384" s="384" t="n"/>
      <c r="Q384" s="384" t="n"/>
      <c r="R384" s="384" t="n"/>
      <c r="S384" s="384" t="n"/>
      <c r="T384" s="384" t="n"/>
      <c r="U384" s="384" t="n"/>
      <c r="V384" s="384" t="n"/>
      <c r="W384" s="384" t="n"/>
      <c r="X384" s="645">
        <f>IF(_epmOfflineCondition_,"I_E100462",EPMOlapMemberO("[C_INTERCO].[PARENTH1].[I_E100462]","","I_E100462","","000"))</f>
        <v/>
      </c>
      <c r="Y384" s="870">
        <f>IF(_epmOfflineCondition_,"北京金泰卓越物业管理有限公司天津分公司",EPMMemberDesc(X384))</f>
        <v/>
      </c>
      <c r="Z384" s="1302" t="n"/>
      <c r="AA384" s="1302" t="n"/>
      <c r="AB384" s="858" t="n"/>
      <c r="AC384" s="1302" t="n"/>
      <c r="AD384" s="1302" t="n"/>
      <c r="AE384" s="1302" t="inlineStr"/>
      <c r="AF384" s="1302" t="inlineStr"/>
      <c r="AG384" s="1302" t="inlineStr"/>
      <c r="AH384" s="1302" t="n"/>
      <c r="AI384" s="1302" t="n"/>
      <c r="AJ384" s="1302" t="n"/>
      <c r="AK384" s="1302">
        <f>AI384-AJ384</f>
        <v/>
      </c>
      <c r="AL384" s="858" t="n"/>
      <c r="AM384" s="1297" t="inlineStr"/>
      <c r="AN384" s="1298" t="n"/>
      <c r="AO384" s="13">
        <f>IF(_epmOfflineCondition_,0,EPMSaveDataOnly(AB384,,AB$29,AB$25,AB$26,AB$31,AB$32,$AA$37,AO$14,AO$15,AO$16,AO$17,AO$18,X384))</f>
        <v/>
      </c>
      <c r="AP384" s="13">
        <f>IF(_epmOfflineCondition_,0,EPMSaveDataOnly(AL384,,AL$29,AL$25,AL$26,AL$31,AL$32,$AA$37,AP$14,AP$15,AP$16,AP$17,AP$18,$X384))</f>
        <v/>
      </c>
      <c r="AQ384" s="13">
        <f>IF(_epmOfflineCondition_,0,EPMSaveData(AM384,,AM$29,AM$25,AM$26,$C$6,AM$32,$AA$37,AQ$14,AQ$15,AQ$16,AQ$17,AQ$18,$X384))</f>
        <v/>
      </c>
      <c r="AR384" s="13">
        <f>IF(_epmOfflineCondition_,0,EPMSaveDataOnly(AN384,,AN$29,AN$25,AN$26,AN$31,AN$32,$AA$37,AR$14,AR$15,AR$16,AR$17,AR$18,$X384))</f>
        <v/>
      </c>
      <c r="AS384" s="384" t="n"/>
    </row>
    <row r="385" hidden="1" ht="15.75" customHeight="1" s="1181">
      <c r="A385" s="384" t="n"/>
      <c r="B385" s="384" t="n"/>
      <c r="C385" s="384" t="n"/>
      <c r="D385" s="384" t="n"/>
      <c r="E385" s="384" t="n"/>
      <c r="F385" s="384" t="n"/>
      <c r="G385" s="384" t="n"/>
      <c r="H385" s="384" t="n"/>
      <c r="I385" s="384" t="n"/>
      <c r="J385" s="384" t="n"/>
      <c r="K385" s="384" t="n"/>
      <c r="L385" s="384" t="n"/>
      <c r="M385" s="384" t="n"/>
      <c r="N385" s="384" t="n"/>
      <c r="O385" s="384" t="n"/>
      <c r="P385" s="384" t="n"/>
      <c r="Q385" s="384" t="n"/>
      <c r="R385" s="384" t="n"/>
      <c r="S385" s="384" t="n"/>
      <c r="T385" s="384" t="n"/>
      <c r="U385" s="384" t="n"/>
      <c r="V385" s="384" t="n"/>
      <c r="W385" s="384" t="n"/>
      <c r="X385" s="645">
        <f>IF(_epmOfflineCondition_,"I_E100463",EPMOlapMemberO("[C_INTERCO].[PARENTH1].[I_E100463]","","I_E100463","","000"))</f>
        <v/>
      </c>
      <c r="Y385" s="870">
        <f>IF(_epmOfflineCondition_,"北京金泰卓越物业管理有限公司河北分公司",EPMMemberDesc(X385))</f>
        <v/>
      </c>
      <c r="Z385" s="1302" t="n"/>
      <c r="AA385" s="1302" t="n"/>
      <c r="AB385" s="858" t="n"/>
      <c r="AC385" s="1302" t="n"/>
      <c r="AD385" s="1302" t="n"/>
      <c r="AE385" s="1302" t="inlineStr"/>
      <c r="AF385" s="1302" t="inlineStr"/>
      <c r="AG385" s="1302" t="inlineStr"/>
      <c r="AH385" s="1302" t="n"/>
      <c r="AI385" s="1302" t="n"/>
      <c r="AJ385" s="1302" t="n"/>
      <c r="AK385" s="1302">
        <f>AI385-AJ385</f>
        <v/>
      </c>
      <c r="AL385" s="858" t="n"/>
      <c r="AM385" s="1297" t="inlineStr"/>
      <c r="AN385" s="1298" t="n"/>
      <c r="AO385" s="13">
        <f>IF(_epmOfflineCondition_,0,EPMSaveDataOnly(AB385,,AB$29,AB$25,AB$26,AB$31,AB$32,$AA$37,AO$14,AO$15,AO$16,AO$17,AO$18,X385))</f>
        <v/>
      </c>
      <c r="AP385" s="13">
        <f>IF(_epmOfflineCondition_,0,EPMSaveDataOnly(AL385,,AL$29,AL$25,AL$26,AL$31,AL$32,$AA$37,AP$14,AP$15,AP$16,AP$17,AP$18,$X385))</f>
        <v/>
      </c>
      <c r="AQ385" s="13">
        <f>IF(_epmOfflineCondition_,0,EPMSaveData(AM385,,AM$29,AM$25,AM$26,$C$6,AM$32,$AA$37,AQ$14,AQ$15,AQ$16,AQ$17,AQ$18,$X385))</f>
        <v/>
      </c>
      <c r="AR385" s="13">
        <f>IF(_epmOfflineCondition_,0,EPMSaveDataOnly(AN385,,AN$29,AN$25,AN$26,AN$31,AN$32,$AA$37,AR$14,AR$15,AR$16,AR$17,AR$18,$X385))</f>
        <v/>
      </c>
      <c r="AS385" s="384" t="n"/>
    </row>
    <row r="386" hidden="1" ht="15.75" customHeight="1" s="1181">
      <c r="A386" s="384" t="n"/>
      <c r="B386" s="384" t="n"/>
      <c r="C386" s="384" t="n"/>
      <c r="D386" s="384" t="n"/>
      <c r="E386" s="384" t="n"/>
      <c r="F386" s="384" t="n"/>
      <c r="G386" s="384" t="n"/>
      <c r="H386" s="384" t="n"/>
      <c r="I386" s="384" t="n"/>
      <c r="J386" s="384" t="n"/>
      <c r="K386" s="384" t="n"/>
      <c r="L386" s="384" t="n"/>
      <c r="M386" s="384" t="n"/>
      <c r="N386" s="384" t="n"/>
      <c r="O386" s="384" t="n"/>
      <c r="P386" s="384" t="n"/>
      <c r="Q386" s="384" t="n"/>
      <c r="R386" s="384" t="n"/>
      <c r="S386" s="384" t="n"/>
      <c r="T386" s="384" t="n"/>
      <c r="U386" s="384" t="n"/>
      <c r="V386" s="384" t="n"/>
      <c r="W386" s="384" t="n"/>
      <c r="X386" s="645">
        <f>IF(_epmOfflineCondition_,"I_E100473",EPMOlapMemberO("[C_INTERCO].[PARENTH1].[I_E100473]","","I_E100473","","000"))</f>
        <v/>
      </c>
      <c r="Y386" s="870">
        <f>IF(_epmOfflineCondition_,"北京金泰房地产开发有限责任公司资产管理分公司",EPMMemberDesc(X386))</f>
        <v/>
      </c>
      <c r="Z386" s="1302" t="n"/>
      <c r="AA386" s="1302" t="n"/>
      <c r="AB386" s="858" t="n"/>
      <c r="AC386" s="1302" t="n"/>
      <c r="AD386" s="1302" t="n"/>
      <c r="AE386" s="1302" t="inlineStr"/>
      <c r="AF386" s="1302" t="inlineStr"/>
      <c r="AG386" s="1302" t="inlineStr"/>
      <c r="AH386" s="1302" t="n"/>
      <c r="AI386" s="1302" t="n"/>
      <c r="AJ386" s="1302" t="n"/>
      <c r="AK386" s="1302">
        <f>AI386-AJ386</f>
        <v/>
      </c>
      <c r="AL386" s="858" t="n"/>
      <c r="AM386" s="1297" t="inlineStr"/>
      <c r="AN386" s="1298" t="n"/>
      <c r="AO386" s="13">
        <f>IF(_epmOfflineCondition_,0,EPMSaveDataOnly(AB386,,AB$29,AB$25,AB$26,AB$31,AB$32,$AA$37,AO$14,AO$15,AO$16,AO$17,AO$18,X386))</f>
        <v/>
      </c>
      <c r="AP386" s="13">
        <f>IF(_epmOfflineCondition_,0,EPMSaveDataOnly(AL386,,AL$29,AL$25,AL$26,AL$31,AL$32,$AA$37,AP$14,AP$15,AP$16,AP$17,AP$18,$X386))</f>
        <v/>
      </c>
      <c r="AQ386" s="13">
        <f>IF(_epmOfflineCondition_,0,EPMSaveData(AM386,,AM$29,AM$25,AM$26,$C$6,AM$32,$AA$37,AQ$14,AQ$15,AQ$16,AQ$17,AQ$18,$X386))</f>
        <v/>
      </c>
      <c r="AR386" s="13">
        <f>IF(_epmOfflineCondition_,0,EPMSaveDataOnly(AN386,,AN$29,AN$25,AN$26,AN$31,AN$32,$AA$37,AR$14,AR$15,AR$16,AR$17,AR$18,$X386))</f>
        <v/>
      </c>
      <c r="AS386" s="384" t="n"/>
    </row>
    <row r="387" hidden="1" ht="15.75" customHeight="1" s="1181">
      <c r="A387" s="384" t="n"/>
      <c r="B387" s="384" t="n"/>
      <c r="C387" s="384" t="n"/>
      <c r="D387" s="384" t="n"/>
      <c r="E387" s="384" t="n"/>
      <c r="F387" s="384" t="n"/>
      <c r="G387" s="384" t="n"/>
      <c r="H387" s="384" t="n"/>
      <c r="I387" s="384" t="n"/>
      <c r="J387" s="384" t="n"/>
      <c r="K387" s="384" t="n"/>
      <c r="L387" s="384" t="n"/>
      <c r="M387" s="384" t="n"/>
      <c r="N387" s="384" t="n"/>
      <c r="O387" s="384" t="n"/>
      <c r="P387" s="384" t="n"/>
      <c r="Q387" s="384" t="n"/>
      <c r="R387" s="384" t="n"/>
      <c r="S387" s="384" t="n"/>
      <c r="T387" s="384" t="n"/>
      <c r="U387" s="384" t="n"/>
      <c r="V387" s="384" t="n"/>
      <c r="W387" s="384" t="n"/>
      <c r="X387" s="645">
        <f>IF(_epmOfflineCondition_,"I_E100474",EPMOlapMemberO("[C_INTERCO].[PARENTH1].[I_E100474]","","I_E100474","","000"))</f>
        <v/>
      </c>
      <c r="Y387" s="870">
        <f>IF(_epmOfflineCondition_,"金泰丽城（天津）置业投资有限公司假日酒店分公司",EPMMemberDesc(X387))</f>
        <v/>
      </c>
      <c r="Z387" s="1302" t="n"/>
      <c r="AA387" s="1302" t="n"/>
      <c r="AB387" s="858" t="n"/>
      <c r="AC387" s="1302" t="n"/>
      <c r="AD387" s="1302" t="n"/>
      <c r="AE387" s="1302" t="inlineStr"/>
      <c r="AF387" s="1302" t="inlineStr"/>
      <c r="AG387" s="1302" t="inlineStr"/>
      <c r="AH387" s="1302" t="n"/>
      <c r="AI387" s="1302" t="n"/>
      <c r="AJ387" s="1302" t="n"/>
      <c r="AK387" s="1302">
        <f>AI387-AJ387</f>
        <v/>
      </c>
      <c r="AL387" s="858" t="n"/>
      <c r="AM387" s="1297" t="inlineStr"/>
      <c r="AN387" s="1298" t="n"/>
      <c r="AO387" s="13">
        <f>IF(_epmOfflineCondition_,0,EPMSaveDataOnly(AB387,,AB$29,AB$25,AB$26,AB$31,AB$32,$AA$37,AO$14,AO$15,AO$16,AO$17,AO$18,X387))</f>
        <v/>
      </c>
      <c r="AP387" s="13">
        <f>IF(_epmOfflineCondition_,0,EPMSaveDataOnly(AL387,,AL$29,AL$25,AL$26,AL$31,AL$32,$AA$37,AP$14,AP$15,AP$16,AP$17,AP$18,$X387))</f>
        <v/>
      </c>
      <c r="AQ387" s="13">
        <f>IF(_epmOfflineCondition_,0,EPMSaveData(AM387,,AM$29,AM$25,AM$26,$C$6,AM$32,$AA$37,AQ$14,AQ$15,AQ$16,AQ$17,AQ$18,$X387))</f>
        <v/>
      </c>
      <c r="AR387" s="13">
        <f>IF(_epmOfflineCondition_,0,EPMSaveDataOnly(AN387,,AN$29,AN$25,AN$26,AN$31,AN$32,$AA$37,AR$14,AR$15,AR$16,AR$17,AR$18,$X387))</f>
        <v/>
      </c>
      <c r="AS387" s="384" t="n"/>
    </row>
    <row r="388" hidden="1" ht="15.75" customHeight="1" s="1181">
      <c r="A388" s="384" t="n"/>
      <c r="B388" s="384" t="n"/>
      <c r="C388" s="384" t="n"/>
      <c r="D388" s="384" t="n"/>
      <c r="E388" s="384" t="n"/>
      <c r="F388" s="384" t="n"/>
      <c r="G388" s="384" t="n"/>
      <c r="H388" s="384" t="n"/>
      <c r="I388" s="384" t="n"/>
      <c r="J388" s="384" t="n"/>
      <c r="K388" s="384" t="n"/>
      <c r="L388" s="384" t="n"/>
      <c r="M388" s="384" t="n"/>
      <c r="N388" s="384" t="n"/>
      <c r="O388" s="384" t="n"/>
      <c r="P388" s="384" t="n"/>
      <c r="Q388" s="384" t="n"/>
      <c r="R388" s="384" t="n"/>
      <c r="S388" s="384" t="n"/>
      <c r="T388" s="384" t="n"/>
      <c r="U388" s="384" t="n"/>
      <c r="V388" s="384" t="n"/>
      <c r="W388" s="384" t="n"/>
      <c r="X388" s="645">
        <f>IF(_epmOfflineCondition_,"I_E100475",EPMOlapMemberO("[C_INTERCO].[PARENTH1].[I_E100475]","","I_E100475","","000"))</f>
        <v/>
      </c>
      <c r="Y388" s="870">
        <f>IF(_epmOfflineCondition_,"金泰丽城（天津）置业投资有限公司丽舍温泉分公司",EPMMemberDesc(X388))</f>
        <v/>
      </c>
      <c r="Z388" s="1302" t="n"/>
      <c r="AA388" s="1302" t="n"/>
      <c r="AB388" s="858" t="n"/>
      <c r="AC388" s="1302" t="n"/>
      <c r="AD388" s="1302" t="n"/>
      <c r="AE388" s="1302" t="inlineStr"/>
      <c r="AF388" s="1302" t="inlineStr"/>
      <c r="AG388" s="1302" t="inlineStr"/>
      <c r="AH388" s="1302" t="n"/>
      <c r="AI388" s="1302" t="n"/>
      <c r="AJ388" s="1302" t="n"/>
      <c r="AK388" s="1302">
        <f>AI388-AJ388</f>
        <v/>
      </c>
      <c r="AL388" s="858" t="n"/>
      <c r="AM388" s="1297" t="inlineStr"/>
      <c r="AN388" s="1298" t="n"/>
      <c r="AO388" s="13">
        <f>IF(_epmOfflineCondition_,0,EPMSaveDataOnly(AB388,,AB$29,AB$25,AB$26,AB$31,AB$32,$AA$37,AO$14,AO$15,AO$16,AO$17,AO$18,X388))</f>
        <v/>
      </c>
      <c r="AP388" s="13">
        <f>IF(_epmOfflineCondition_,0,EPMSaveDataOnly(AL388,,AL$29,AL$25,AL$26,AL$31,AL$32,$AA$37,AP$14,AP$15,AP$16,AP$17,AP$18,$X388))</f>
        <v/>
      </c>
      <c r="AQ388" s="13">
        <f>IF(_epmOfflineCondition_,0,EPMSaveData(AM388,,AM$29,AM$25,AM$26,$C$6,AM$32,$AA$37,AQ$14,AQ$15,AQ$16,AQ$17,AQ$18,$X388))</f>
        <v/>
      </c>
      <c r="AR388" s="13">
        <f>IF(_epmOfflineCondition_,0,EPMSaveDataOnly(AN388,,AN$29,AN$25,AN$26,AN$31,AN$32,$AA$37,AR$14,AR$15,AR$16,AR$17,AR$18,$X388))</f>
        <v/>
      </c>
      <c r="AS388" s="384" t="n"/>
    </row>
    <row r="389" hidden="1" ht="15.75" customHeight="1" s="1181">
      <c r="A389" s="384" t="n"/>
      <c r="B389" s="384" t="n"/>
      <c r="C389" s="384" t="n"/>
      <c r="D389" s="384" t="n"/>
      <c r="E389" s="384" t="n"/>
      <c r="F389" s="384" t="n"/>
      <c r="G389" s="384" t="n"/>
      <c r="H389" s="384" t="n"/>
      <c r="I389" s="384" t="n"/>
      <c r="J389" s="384" t="n"/>
      <c r="K389" s="384" t="n"/>
      <c r="L389" s="384" t="n"/>
      <c r="M389" s="384" t="n"/>
      <c r="N389" s="384" t="n"/>
      <c r="O389" s="384" t="n"/>
      <c r="P389" s="384" t="n"/>
      <c r="Q389" s="384" t="n"/>
      <c r="R389" s="384" t="n"/>
      <c r="S389" s="384" t="n"/>
      <c r="T389" s="384" t="n"/>
      <c r="U389" s="384" t="n"/>
      <c r="V389" s="384" t="n"/>
      <c r="W389" s="384" t="n"/>
      <c r="X389" s="645">
        <f>IF(_epmOfflineCondition_,"I_E100476",EPMOlapMemberO("[C_INTERCO].[PARENTH1].[I_E100476]","","I_E100476","","000"))</f>
        <v/>
      </c>
      <c r="Y389" s="870">
        <f>IF(_epmOfflineCondition_,"金泰丽城（天津）置业投资有限公司第三分公司",EPMMemberDesc(X389))</f>
        <v/>
      </c>
      <c r="Z389" s="1302" t="n"/>
      <c r="AA389" s="1302" t="n"/>
      <c r="AB389" s="858" t="n"/>
      <c r="AC389" s="1302" t="n"/>
      <c r="AD389" s="1302" t="n"/>
      <c r="AE389" s="1302" t="inlineStr"/>
      <c r="AF389" s="1302" t="inlineStr"/>
      <c r="AG389" s="1302" t="inlineStr"/>
      <c r="AH389" s="1302" t="n"/>
      <c r="AI389" s="1302" t="n"/>
      <c r="AJ389" s="1302" t="n"/>
      <c r="AK389" s="1302">
        <f>AI389-AJ389</f>
        <v/>
      </c>
      <c r="AL389" s="858" t="n"/>
      <c r="AM389" s="1297" t="inlineStr"/>
      <c r="AN389" s="1298" t="n"/>
      <c r="AO389" s="13">
        <f>IF(_epmOfflineCondition_,0,EPMSaveDataOnly(AB389,,AB$29,AB$25,AB$26,AB$31,AB$32,$AA$37,AO$14,AO$15,AO$16,AO$17,AO$18,X389))</f>
        <v/>
      </c>
      <c r="AP389" s="13">
        <f>IF(_epmOfflineCondition_,0,EPMSaveDataOnly(AL389,,AL$29,AL$25,AL$26,AL$31,AL$32,$AA$37,AP$14,AP$15,AP$16,AP$17,AP$18,$X389))</f>
        <v/>
      </c>
      <c r="AQ389" s="13">
        <f>IF(_epmOfflineCondition_,0,EPMSaveData(AM389,,AM$29,AM$25,AM$26,$C$6,AM$32,$AA$37,AQ$14,AQ$15,AQ$16,AQ$17,AQ$18,$X389))</f>
        <v/>
      </c>
      <c r="AR389" s="13">
        <f>IF(_epmOfflineCondition_,0,EPMSaveDataOnly(AN389,,AN$29,AN$25,AN$26,AN$31,AN$32,$AA$37,AR$14,AR$15,AR$16,AR$17,AR$18,$X389))</f>
        <v/>
      </c>
      <c r="AS389" s="384" t="n"/>
    </row>
    <row r="390" hidden="1" ht="15.75" customHeight="1" s="1181">
      <c r="A390" s="384" t="n"/>
      <c r="B390" s="384" t="n"/>
      <c r="C390" s="384" t="n"/>
      <c r="D390" s="384" t="n"/>
      <c r="E390" s="384" t="n"/>
      <c r="F390" s="384" t="n"/>
      <c r="G390" s="384" t="n"/>
      <c r="H390" s="384" t="n"/>
      <c r="I390" s="384" t="n"/>
      <c r="J390" s="384" t="n"/>
      <c r="K390" s="384" t="n"/>
      <c r="L390" s="384" t="n"/>
      <c r="M390" s="384" t="n"/>
      <c r="N390" s="384" t="n"/>
      <c r="O390" s="384" t="n"/>
      <c r="P390" s="384" t="n"/>
      <c r="Q390" s="384" t="n"/>
      <c r="R390" s="384" t="n"/>
      <c r="S390" s="384" t="n"/>
      <c r="T390" s="384" t="n"/>
      <c r="U390" s="384" t="n"/>
      <c r="V390" s="384" t="n"/>
      <c r="W390" s="384" t="n"/>
      <c r="X390" s="645">
        <f>IF(_epmOfflineCondition_,"I_E100484",EPMOlapMemberO("[C_INTERCO].[PARENTH1].[I_E100484]","","I_E100484","","000"))</f>
        <v/>
      </c>
      <c r="Y390" s="870">
        <f>IF(_epmOfflineCondition_,"北京京能同鑫投资管理有限公司",EPMMemberDesc(X390))</f>
        <v/>
      </c>
      <c r="Z390" s="1302" t="n"/>
      <c r="AA390" s="1302" t="n"/>
      <c r="AB390" s="858" t="n"/>
      <c r="AC390" s="1302" t="n"/>
      <c r="AD390" s="1302" t="n"/>
      <c r="AE390" s="1302" t="inlineStr"/>
      <c r="AF390" s="1302" t="inlineStr"/>
      <c r="AG390" s="1302" t="inlineStr"/>
      <c r="AH390" s="1302" t="n"/>
      <c r="AI390" s="1302" t="n"/>
      <c r="AJ390" s="1302" t="n"/>
      <c r="AK390" s="1302">
        <f>AI390-AJ390</f>
        <v/>
      </c>
      <c r="AL390" s="858" t="n"/>
      <c r="AM390" s="1297" t="inlineStr"/>
      <c r="AN390" s="1298" t="n"/>
      <c r="AO390" s="13">
        <f>IF(_epmOfflineCondition_,0,EPMSaveDataOnly(AB390,,AB$29,AB$25,AB$26,AB$31,AB$32,$AA$37,AO$14,AO$15,AO$16,AO$17,AO$18,X390))</f>
        <v/>
      </c>
      <c r="AP390" s="13">
        <f>IF(_epmOfflineCondition_,0,EPMSaveDataOnly(AL390,,AL$29,AL$25,AL$26,AL$31,AL$32,$AA$37,AP$14,AP$15,AP$16,AP$17,AP$18,$X390))</f>
        <v/>
      </c>
      <c r="AQ390" s="13">
        <f>IF(_epmOfflineCondition_,0,EPMSaveData(AM390,,AM$29,AM$25,AM$26,$C$6,AM$32,$AA$37,AQ$14,AQ$15,AQ$16,AQ$17,AQ$18,$X390))</f>
        <v/>
      </c>
      <c r="AR390" s="13">
        <f>IF(_epmOfflineCondition_,0,EPMSaveDataOnly(AN390,,AN$29,AN$25,AN$26,AN$31,AN$32,$AA$37,AR$14,AR$15,AR$16,AR$17,AR$18,$X390))</f>
        <v/>
      </c>
      <c r="AS390" s="384" t="n"/>
    </row>
    <row r="391" hidden="1" ht="15.75" customHeight="1" s="1181">
      <c r="A391" s="384" t="n"/>
      <c r="B391" s="384" t="n"/>
      <c r="C391" s="384" t="n"/>
      <c r="D391" s="384" t="n"/>
      <c r="E391" s="384" t="n"/>
      <c r="F391" s="384" t="n"/>
      <c r="G391" s="384" t="n"/>
      <c r="H391" s="384" t="n"/>
      <c r="I391" s="384" t="n"/>
      <c r="J391" s="384" t="n"/>
      <c r="K391" s="384" t="n"/>
      <c r="L391" s="384" t="n"/>
      <c r="M391" s="384" t="n"/>
      <c r="N391" s="384" t="n"/>
      <c r="O391" s="384" t="n"/>
      <c r="P391" s="384" t="n"/>
      <c r="Q391" s="384" t="n"/>
      <c r="R391" s="384" t="n"/>
      <c r="S391" s="384" t="n"/>
      <c r="T391" s="384" t="n"/>
      <c r="U391" s="384" t="n"/>
      <c r="V391" s="384" t="n"/>
      <c r="W391" s="384" t="n"/>
      <c r="X391" s="645">
        <f>IF(_epmOfflineCondition_,"I_E100485",EPMOlapMemberO("[C_INTERCO].[PARENTH1].[I_E100485]","","I_E100485","","000"))</f>
        <v/>
      </c>
      <c r="Y391" s="870">
        <f>IF(_epmOfflineCondition_,"三河新源供热有限公司大厂分公司",EPMMemberDesc(X391))</f>
        <v/>
      </c>
      <c r="Z391" s="1302" t="n"/>
      <c r="AA391" s="1302" t="n"/>
      <c r="AB391" s="858" t="n"/>
      <c r="AC391" s="1302" t="n"/>
      <c r="AD391" s="1302" t="n"/>
      <c r="AE391" s="1302" t="inlineStr"/>
      <c r="AF391" s="1302" t="inlineStr"/>
      <c r="AG391" s="1302" t="inlineStr"/>
      <c r="AH391" s="1302" t="n"/>
      <c r="AI391" s="1302" t="n"/>
      <c r="AJ391" s="1302" t="n"/>
      <c r="AK391" s="1302">
        <f>AI391-AJ391</f>
        <v/>
      </c>
      <c r="AL391" s="858" t="n"/>
      <c r="AM391" s="1297" t="inlineStr"/>
      <c r="AN391" s="1298" t="n"/>
      <c r="AO391" s="13">
        <f>IF(_epmOfflineCondition_,0,EPMSaveDataOnly(AB391,,AB$29,AB$25,AB$26,AB$31,AB$32,$AA$37,AO$14,AO$15,AO$16,AO$17,AO$18,X391))</f>
        <v/>
      </c>
      <c r="AP391" s="13">
        <f>IF(_epmOfflineCondition_,0,EPMSaveDataOnly(AL391,,AL$29,AL$25,AL$26,AL$31,AL$32,$AA$37,AP$14,AP$15,AP$16,AP$17,AP$18,$X391))</f>
        <v/>
      </c>
      <c r="AQ391" s="13">
        <f>IF(_epmOfflineCondition_,0,EPMSaveData(AM391,,AM$29,AM$25,AM$26,$C$6,AM$32,$AA$37,AQ$14,AQ$15,AQ$16,AQ$17,AQ$18,$X391))</f>
        <v/>
      </c>
      <c r="AR391" s="13">
        <f>IF(_epmOfflineCondition_,0,EPMSaveDataOnly(AN391,,AN$29,AN$25,AN$26,AN$31,AN$32,$AA$37,AR$14,AR$15,AR$16,AR$17,AR$18,$X391))</f>
        <v/>
      </c>
      <c r="AS391" s="384" t="n"/>
    </row>
    <row r="392" hidden="1" ht="15.75" customHeight="1" s="1181">
      <c r="A392" s="384" t="n"/>
      <c r="B392" s="384" t="n"/>
      <c r="C392" s="384" t="n"/>
      <c r="D392" s="384" t="n"/>
      <c r="E392" s="384" t="n"/>
      <c r="F392" s="384" t="n"/>
      <c r="G392" s="384" t="n"/>
      <c r="H392" s="384" t="n"/>
      <c r="I392" s="384" t="n"/>
      <c r="J392" s="384" t="n"/>
      <c r="K392" s="384" t="n"/>
      <c r="L392" s="384" t="n"/>
      <c r="M392" s="384" t="n"/>
      <c r="N392" s="384" t="n"/>
      <c r="O392" s="384" t="n"/>
      <c r="P392" s="384" t="n"/>
      <c r="Q392" s="384" t="n"/>
      <c r="R392" s="384" t="n"/>
      <c r="S392" s="384" t="n"/>
      <c r="T392" s="384" t="n"/>
      <c r="U392" s="384" t="n"/>
      <c r="V392" s="384" t="n"/>
      <c r="W392" s="384" t="n"/>
      <c r="X392" s="645">
        <f>IF(_epmOfflineCondition_,"I_E100486",EPMOlapMemberO("[C_INTERCO].[PARENTH1].[I_E100486]","","I_E100486","","000"))</f>
        <v/>
      </c>
      <c r="Y392" s="870">
        <f>IF(_epmOfflineCondition_,"北京热力装备制造有限公司天津分公司",EPMMemberDesc(X392))</f>
        <v/>
      </c>
      <c r="Z392" s="1302" t="n"/>
      <c r="AA392" s="1302" t="n"/>
      <c r="AB392" s="858" t="n"/>
      <c r="AC392" s="1302" t="n"/>
      <c r="AD392" s="1302" t="n"/>
      <c r="AE392" s="1302" t="inlineStr"/>
      <c r="AF392" s="1302" t="inlineStr"/>
      <c r="AG392" s="1302" t="inlineStr"/>
      <c r="AH392" s="1302" t="n"/>
      <c r="AI392" s="1302" t="n"/>
      <c r="AJ392" s="1302" t="n"/>
      <c r="AK392" s="1302">
        <f>AI392-AJ392</f>
        <v/>
      </c>
      <c r="AL392" s="858" t="n"/>
      <c r="AM392" s="1297" t="inlineStr"/>
      <c r="AN392" s="1298" t="n"/>
      <c r="AO392" s="13">
        <f>IF(_epmOfflineCondition_,0,EPMSaveDataOnly(AB392,,AB$29,AB$25,AB$26,AB$31,AB$32,$AA$37,AO$14,AO$15,AO$16,AO$17,AO$18,X392))</f>
        <v/>
      </c>
      <c r="AP392" s="13">
        <f>IF(_epmOfflineCondition_,0,EPMSaveDataOnly(AL392,,AL$29,AL$25,AL$26,AL$31,AL$32,$AA$37,AP$14,AP$15,AP$16,AP$17,AP$18,$X392))</f>
        <v/>
      </c>
      <c r="AQ392" s="13">
        <f>IF(_epmOfflineCondition_,0,EPMSaveData(AM392,,AM$29,AM$25,AM$26,$C$6,AM$32,$AA$37,AQ$14,AQ$15,AQ$16,AQ$17,AQ$18,$X392))</f>
        <v/>
      </c>
      <c r="AR392" s="13">
        <f>IF(_epmOfflineCondition_,0,EPMSaveDataOnly(AN392,,AN$29,AN$25,AN$26,AN$31,AN$32,$AA$37,AR$14,AR$15,AR$16,AR$17,AR$18,$X392))</f>
        <v/>
      </c>
      <c r="AS392" s="384" t="n"/>
    </row>
    <row r="393" hidden="1" ht="15.75" customHeight="1" s="1181">
      <c r="A393" s="384" t="n"/>
      <c r="B393" s="384" t="n"/>
      <c r="C393" s="384" t="n"/>
      <c r="D393" s="384" t="n"/>
      <c r="E393" s="384" t="n"/>
      <c r="F393" s="384" t="n"/>
      <c r="G393" s="384" t="n"/>
      <c r="H393" s="384" t="n"/>
      <c r="I393" s="384" t="n"/>
      <c r="J393" s="384" t="n"/>
      <c r="K393" s="384" t="n"/>
      <c r="L393" s="384" t="n"/>
      <c r="M393" s="384" t="n"/>
      <c r="N393" s="384" t="n"/>
      <c r="O393" s="384" t="n"/>
      <c r="P393" s="384" t="n"/>
      <c r="Q393" s="384" t="n"/>
      <c r="R393" s="384" t="n"/>
      <c r="S393" s="384" t="n"/>
      <c r="T393" s="384" t="n"/>
      <c r="U393" s="384" t="n"/>
      <c r="V393" s="384" t="n"/>
      <c r="W393" s="384" t="n"/>
      <c r="X393" s="645">
        <f>IF(_epmOfflineCondition_,"I_E100487",EPMOlapMemberO("[C_INTERCO].[PARENTH1].[I_E100487]","","I_E100487","","000"))</f>
        <v/>
      </c>
      <c r="Y393" s="870">
        <f>IF(_epmOfflineCondition_,"北京热力装备制造有限公司研发中心",EPMMemberDesc(X393))</f>
        <v/>
      </c>
      <c r="Z393" s="1302" t="n"/>
      <c r="AA393" s="1302" t="n"/>
      <c r="AB393" s="858" t="n"/>
      <c r="AC393" s="1302" t="n"/>
      <c r="AD393" s="1302" t="n"/>
      <c r="AE393" s="1302" t="inlineStr"/>
      <c r="AF393" s="1302" t="inlineStr"/>
      <c r="AG393" s="1302" t="inlineStr"/>
      <c r="AH393" s="1302" t="n"/>
      <c r="AI393" s="1302" t="n"/>
      <c r="AJ393" s="1302" t="n"/>
      <c r="AK393" s="1302">
        <f>AI393-AJ393</f>
        <v/>
      </c>
      <c r="AL393" s="858" t="n"/>
      <c r="AM393" s="1297" t="inlineStr"/>
      <c r="AN393" s="1298" t="n"/>
      <c r="AO393" s="13">
        <f>IF(_epmOfflineCondition_,0,EPMSaveDataOnly(AB393,,AB$29,AB$25,AB$26,AB$31,AB$32,$AA$37,AO$14,AO$15,AO$16,AO$17,AO$18,X393))</f>
        <v/>
      </c>
      <c r="AP393" s="13">
        <f>IF(_epmOfflineCondition_,0,EPMSaveDataOnly(AL393,,AL$29,AL$25,AL$26,AL$31,AL$32,$AA$37,AP$14,AP$15,AP$16,AP$17,AP$18,$X393))</f>
        <v/>
      </c>
      <c r="AQ393" s="13">
        <f>IF(_epmOfflineCondition_,0,EPMSaveData(AM393,,AM$29,AM$25,AM$26,$C$6,AM$32,$AA$37,AQ$14,AQ$15,AQ$16,AQ$17,AQ$18,$X393))</f>
        <v/>
      </c>
      <c r="AR393" s="13">
        <f>IF(_epmOfflineCondition_,0,EPMSaveDataOnly(AN393,,AN$29,AN$25,AN$26,AN$31,AN$32,$AA$37,AR$14,AR$15,AR$16,AR$17,AR$18,$X393))</f>
        <v/>
      </c>
      <c r="AS393" s="384" t="n"/>
    </row>
    <row r="394" hidden="1" ht="15.75" customHeight="1" s="1181">
      <c r="A394" s="384" t="n"/>
      <c r="B394" s="384" t="n"/>
      <c r="C394" s="384" t="n"/>
      <c r="D394" s="384" t="n"/>
      <c r="E394" s="384" t="n"/>
      <c r="F394" s="384" t="n"/>
      <c r="G394" s="384" t="n"/>
      <c r="H394" s="384" t="n"/>
      <c r="I394" s="384" t="n"/>
      <c r="J394" s="384" t="n"/>
      <c r="K394" s="384" t="n"/>
      <c r="L394" s="384" t="n"/>
      <c r="M394" s="384" t="n"/>
      <c r="N394" s="384" t="n"/>
      <c r="O394" s="384" t="n"/>
      <c r="P394" s="384" t="n"/>
      <c r="Q394" s="384" t="n"/>
      <c r="R394" s="384" t="n"/>
      <c r="S394" s="384" t="n"/>
      <c r="T394" s="384" t="n"/>
      <c r="U394" s="384" t="n"/>
      <c r="V394" s="384" t="n"/>
      <c r="W394" s="384" t="n"/>
      <c r="X394" s="645">
        <f>IF(_epmOfflineCondition_,"I_E100488",EPMOlapMemberO("[C_INTERCO].[PARENTH1].[I_E100488]","","I_E100488","","000"))</f>
        <v/>
      </c>
      <c r="Y394" s="870">
        <f>IF(_epmOfflineCondition_,"北京市热力工程设计有限责任公司大同分公司",EPMMemberDesc(X394))</f>
        <v/>
      </c>
      <c r="Z394" s="1302" t="n"/>
      <c r="AA394" s="1302" t="n"/>
      <c r="AB394" s="858" t="n"/>
      <c r="AC394" s="1302" t="n"/>
      <c r="AD394" s="1302" t="n"/>
      <c r="AE394" s="1302" t="inlineStr"/>
      <c r="AF394" s="1302" t="inlineStr"/>
      <c r="AG394" s="1302" t="inlineStr"/>
      <c r="AH394" s="1302" t="n"/>
      <c r="AI394" s="1302" t="n"/>
      <c r="AJ394" s="1302" t="n"/>
      <c r="AK394" s="1302">
        <f>AI394-AJ394</f>
        <v/>
      </c>
      <c r="AL394" s="858" t="n"/>
      <c r="AM394" s="1297" t="inlineStr"/>
      <c r="AN394" s="1298" t="n"/>
      <c r="AO394" s="13">
        <f>IF(_epmOfflineCondition_,0,EPMSaveDataOnly(AB394,,AB$29,AB$25,AB$26,AB$31,AB$32,$AA$37,AO$14,AO$15,AO$16,AO$17,AO$18,X394))</f>
        <v/>
      </c>
      <c r="AP394" s="13">
        <f>IF(_epmOfflineCondition_,0,EPMSaveDataOnly(AL394,,AL$29,AL$25,AL$26,AL$31,AL$32,$AA$37,AP$14,AP$15,AP$16,AP$17,AP$18,$X394))</f>
        <v/>
      </c>
      <c r="AQ394" s="13">
        <f>IF(_epmOfflineCondition_,0,EPMSaveData(AM394,,AM$29,AM$25,AM$26,$C$6,AM$32,$AA$37,AQ$14,AQ$15,AQ$16,AQ$17,AQ$18,$X394))</f>
        <v/>
      </c>
      <c r="AR394" s="13">
        <f>IF(_epmOfflineCondition_,0,EPMSaveDataOnly(AN394,,AN$29,AN$25,AN$26,AN$31,AN$32,$AA$37,AR$14,AR$15,AR$16,AR$17,AR$18,$X394))</f>
        <v/>
      </c>
      <c r="AS394" s="384" t="n"/>
    </row>
    <row r="395" hidden="1" ht="15.75" customHeight="1" s="1181">
      <c r="A395" s="384" t="n"/>
      <c r="B395" s="384" t="n"/>
      <c r="C395" s="384" t="n"/>
      <c r="D395" s="384" t="n"/>
      <c r="E395" s="384" t="n"/>
      <c r="F395" s="384" t="n"/>
      <c r="G395" s="384" t="n"/>
      <c r="H395" s="384" t="n"/>
      <c r="I395" s="384" t="n"/>
      <c r="J395" s="384" t="n"/>
      <c r="K395" s="384" t="n"/>
      <c r="L395" s="384" t="n"/>
      <c r="M395" s="384" t="n"/>
      <c r="N395" s="384" t="n"/>
      <c r="O395" s="384" t="n"/>
      <c r="P395" s="384" t="n"/>
      <c r="Q395" s="384" t="n"/>
      <c r="R395" s="384" t="n"/>
      <c r="S395" s="384" t="n"/>
      <c r="T395" s="384" t="n"/>
      <c r="U395" s="384" t="n"/>
      <c r="V395" s="384" t="n"/>
      <c r="W395" s="384" t="n"/>
      <c r="X395" s="645">
        <f>IF(_epmOfflineCondition_,"I_E100492",EPMOlapMemberO("[C_INTERCO].[PARENTH1].[I_E100492]","","I_E100492","","000"))</f>
        <v/>
      </c>
      <c r="Y395" s="870">
        <f>IF(_epmOfflineCondition_,"北京京能房产租赁经营有限责任公司人力资源管理服务中心",EPMMemberDesc(X395))</f>
        <v/>
      </c>
      <c r="Z395" s="1302" t="n"/>
      <c r="AA395" s="1302" t="n"/>
      <c r="AB395" s="858" t="n"/>
      <c r="AC395" s="1302" t="n"/>
      <c r="AD395" s="1302" t="n"/>
      <c r="AE395" s="1302" t="inlineStr"/>
      <c r="AF395" s="1302" t="inlineStr"/>
      <c r="AG395" s="1302" t="inlineStr"/>
      <c r="AH395" s="1302" t="n"/>
      <c r="AI395" s="1302" t="n"/>
      <c r="AJ395" s="1302" t="n"/>
      <c r="AK395" s="1302">
        <f>AI395-AJ395</f>
        <v/>
      </c>
      <c r="AL395" s="858" t="n"/>
      <c r="AM395" s="1297" t="inlineStr"/>
      <c r="AN395" s="1298" t="n"/>
      <c r="AO395" s="13">
        <f>IF(_epmOfflineCondition_,0,EPMSaveDataOnly(AB395,,AB$29,AB$25,AB$26,AB$31,AB$32,$AA$37,AO$14,AO$15,AO$16,AO$17,AO$18,X395))</f>
        <v/>
      </c>
      <c r="AP395" s="13">
        <f>IF(_epmOfflineCondition_,0,EPMSaveDataOnly(AL395,,AL$29,AL$25,AL$26,AL$31,AL$32,$AA$37,AP$14,AP$15,AP$16,AP$17,AP$18,$X395))</f>
        <v/>
      </c>
      <c r="AQ395" s="13">
        <f>IF(_epmOfflineCondition_,0,EPMSaveData(AM395,,AM$29,AM$25,AM$26,$C$6,AM$32,$AA$37,AQ$14,AQ$15,AQ$16,AQ$17,AQ$18,$X395))</f>
        <v/>
      </c>
      <c r="AR395" s="13">
        <f>IF(_epmOfflineCondition_,0,EPMSaveDataOnly(AN395,,AN$29,AN$25,AN$26,AN$31,AN$32,$AA$37,AR$14,AR$15,AR$16,AR$17,AR$18,$X395))</f>
        <v/>
      </c>
      <c r="AS395" s="384" t="n"/>
    </row>
    <row r="396" hidden="1" ht="15.75" customHeight="1" s="1181">
      <c r="A396" s="384" t="n"/>
      <c r="B396" s="384" t="n"/>
      <c r="C396" s="384" t="n"/>
      <c r="D396" s="384" t="n"/>
      <c r="E396" s="384" t="n"/>
      <c r="F396" s="384" t="n"/>
      <c r="G396" s="384" t="n"/>
      <c r="H396" s="384" t="n"/>
      <c r="I396" s="384" t="n"/>
      <c r="J396" s="384" t="n"/>
      <c r="K396" s="384" t="n"/>
      <c r="L396" s="384" t="n"/>
      <c r="M396" s="384" t="n"/>
      <c r="N396" s="384" t="n"/>
      <c r="O396" s="384" t="n"/>
      <c r="P396" s="384" t="n"/>
      <c r="Q396" s="384" t="n"/>
      <c r="R396" s="384" t="n"/>
      <c r="S396" s="384" t="n"/>
      <c r="T396" s="384" t="n"/>
      <c r="U396" s="384" t="n"/>
      <c r="V396" s="384" t="n"/>
      <c r="W396" s="384" t="n"/>
      <c r="X396" s="645">
        <f>IF(_epmOfflineCondition_,"I_E100494",EPMOlapMemberO("[C_INTERCO].[PARENTH1].[I_E100494]","","I_E100494","","000"))</f>
        <v/>
      </c>
      <c r="Y396" s="870">
        <f>IF(_epmOfflineCondition_,"海南金泰旅业开发有限公司万宁第一分公司-2025年1月注销",EPMMemberDesc(X396))</f>
        <v/>
      </c>
      <c r="Z396" s="1302" t="n"/>
      <c r="AA396" s="1302" t="n"/>
      <c r="AB396" s="858" t="n"/>
      <c r="AC396" s="1302" t="n"/>
      <c r="AD396" s="1302" t="n"/>
      <c r="AE396" s="1302" t="inlineStr"/>
      <c r="AF396" s="1302" t="inlineStr"/>
      <c r="AG396" s="1302" t="inlineStr"/>
      <c r="AH396" s="1302" t="n"/>
      <c r="AI396" s="1302" t="n"/>
      <c r="AJ396" s="1302" t="n"/>
      <c r="AK396" s="1302">
        <f>AI396-AJ396</f>
        <v/>
      </c>
      <c r="AL396" s="858" t="n"/>
      <c r="AM396" s="1297" t="inlineStr"/>
      <c r="AN396" s="1298" t="n"/>
      <c r="AO396" s="13">
        <f>IF(_epmOfflineCondition_,0,EPMSaveDataOnly(AB396,,AB$29,AB$25,AB$26,AB$31,AB$32,$AA$37,AO$14,AO$15,AO$16,AO$17,AO$18,X396))</f>
        <v/>
      </c>
      <c r="AP396" s="13">
        <f>IF(_epmOfflineCondition_,0,EPMSaveDataOnly(AL396,,AL$29,AL$25,AL$26,AL$31,AL$32,$AA$37,AP$14,AP$15,AP$16,AP$17,AP$18,$X396))</f>
        <v/>
      </c>
      <c r="AQ396" s="13">
        <f>IF(_epmOfflineCondition_,0,EPMSaveData(AM396,,AM$29,AM$25,AM$26,$C$6,AM$32,$AA$37,AQ$14,AQ$15,AQ$16,AQ$17,AQ$18,$X396))</f>
        <v/>
      </c>
      <c r="AR396" s="13">
        <f>IF(_epmOfflineCondition_,0,EPMSaveDataOnly(AN396,,AN$29,AN$25,AN$26,AN$31,AN$32,$AA$37,AR$14,AR$15,AR$16,AR$17,AR$18,$X396))</f>
        <v/>
      </c>
      <c r="AS396" s="384" t="n"/>
    </row>
    <row r="397" hidden="1" ht="15.75" customHeight="1" s="1181">
      <c r="A397" s="384" t="n"/>
      <c r="B397" s="384" t="n"/>
      <c r="C397" s="384" t="n"/>
      <c r="D397" s="384" t="n"/>
      <c r="E397" s="384" t="n"/>
      <c r="F397" s="384" t="n"/>
      <c r="G397" s="384" t="n"/>
      <c r="H397" s="384" t="n"/>
      <c r="I397" s="384" t="n"/>
      <c r="J397" s="384" t="n"/>
      <c r="K397" s="384" t="n"/>
      <c r="L397" s="384" t="n"/>
      <c r="M397" s="384" t="n"/>
      <c r="N397" s="384" t="n"/>
      <c r="O397" s="384" t="n"/>
      <c r="P397" s="384" t="n"/>
      <c r="Q397" s="384" t="n"/>
      <c r="R397" s="384" t="n"/>
      <c r="S397" s="384" t="n"/>
      <c r="T397" s="384" t="n"/>
      <c r="U397" s="384" t="n"/>
      <c r="V397" s="384" t="n"/>
      <c r="W397" s="384" t="n"/>
      <c r="X397" s="645">
        <f>IF(_epmOfflineCondition_,"I_E100495",EPMOlapMemberO("[C_INTERCO].[PARENTH1].[I_E100495]","","I_E100495","","000"))</f>
        <v/>
      </c>
      <c r="Y397" s="870">
        <f>IF(_epmOfflineCondition_,"海南金泰旅业开发有限公司万宁第二分公司-2025年1月注销",EPMMemberDesc(X397))</f>
        <v/>
      </c>
      <c r="Z397" s="1302" t="n"/>
      <c r="AA397" s="1302" t="n"/>
      <c r="AB397" s="858" t="n"/>
      <c r="AC397" s="1302" t="n"/>
      <c r="AD397" s="1302" t="n"/>
      <c r="AE397" s="1302" t="inlineStr"/>
      <c r="AF397" s="1302" t="inlineStr"/>
      <c r="AG397" s="1302" t="inlineStr"/>
      <c r="AH397" s="1302" t="n"/>
      <c r="AI397" s="1302" t="n"/>
      <c r="AJ397" s="1302" t="n"/>
      <c r="AK397" s="1302">
        <f>AI397-AJ397</f>
        <v/>
      </c>
      <c r="AL397" s="858" t="n"/>
      <c r="AM397" s="1297" t="inlineStr"/>
      <c r="AN397" s="1298" t="n"/>
      <c r="AO397" s="13">
        <f>IF(_epmOfflineCondition_,0,EPMSaveDataOnly(AB397,,AB$29,AB$25,AB$26,AB$31,AB$32,$AA$37,AO$14,AO$15,AO$16,AO$17,AO$18,X397))</f>
        <v/>
      </c>
      <c r="AP397" s="13">
        <f>IF(_epmOfflineCondition_,0,EPMSaveDataOnly(AL397,,AL$29,AL$25,AL$26,AL$31,AL$32,$AA$37,AP$14,AP$15,AP$16,AP$17,AP$18,$X397))</f>
        <v/>
      </c>
      <c r="AQ397" s="13">
        <f>IF(_epmOfflineCondition_,0,EPMSaveData(AM397,,AM$29,AM$25,AM$26,$C$6,AM$32,$AA$37,AQ$14,AQ$15,AQ$16,AQ$17,AQ$18,$X397))</f>
        <v/>
      </c>
      <c r="AR397" s="13">
        <f>IF(_epmOfflineCondition_,0,EPMSaveDataOnly(AN397,,AN$29,AN$25,AN$26,AN$31,AN$32,$AA$37,AR$14,AR$15,AR$16,AR$17,AR$18,$X397))</f>
        <v/>
      </c>
      <c r="AS397" s="384" t="n"/>
    </row>
    <row r="398" hidden="1" ht="15.75" customHeight="1" s="1181">
      <c r="A398" s="384" t="n"/>
      <c r="B398" s="384" t="n"/>
      <c r="C398" s="384" t="n"/>
      <c r="D398" s="384" t="n"/>
      <c r="E398" s="384" t="n"/>
      <c r="F398" s="384" t="n"/>
      <c r="G398" s="384" t="n"/>
      <c r="H398" s="384" t="n"/>
      <c r="I398" s="384" t="n"/>
      <c r="J398" s="384" t="n"/>
      <c r="K398" s="384" t="n"/>
      <c r="L398" s="384" t="n"/>
      <c r="M398" s="384" t="n"/>
      <c r="N398" s="384" t="n"/>
      <c r="O398" s="384" t="n"/>
      <c r="P398" s="384" t="n"/>
      <c r="Q398" s="384" t="n"/>
      <c r="R398" s="384" t="n"/>
      <c r="S398" s="384" t="n"/>
      <c r="T398" s="384" t="n"/>
      <c r="U398" s="384" t="n"/>
      <c r="V398" s="384" t="n"/>
      <c r="W398" s="384" t="n"/>
      <c r="X398" s="645">
        <f>IF(_epmOfflineCondition_,"I_E100496",EPMOlapMemberO("[C_INTERCO].[PARENTH1].[I_E100496]","","I_E100496","","000"))</f>
        <v/>
      </c>
      <c r="Y398" s="870">
        <f>IF(_epmOfflineCondition_,"北京京煤集团有限责任公司北戴河宾馆",EPMMemberDesc(X398))</f>
        <v/>
      </c>
      <c r="Z398" s="1302" t="n"/>
      <c r="AA398" s="1302" t="n"/>
      <c r="AB398" s="858" t="n"/>
      <c r="AC398" s="1302" t="n"/>
      <c r="AD398" s="1302" t="n"/>
      <c r="AE398" s="1302" t="inlineStr"/>
      <c r="AF398" s="1302" t="inlineStr"/>
      <c r="AG398" s="1302" t="inlineStr"/>
      <c r="AH398" s="1302" t="n"/>
      <c r="AI398" s="1302" t="n"/>
      <c r="AJ398" s="1302" t="n"/>
      <c r="AK398" s="1302">
        <f>AI398-AJ398</f>
        <v/>
      </c>
      <c r="AL398" s="858" t="n"/>
      <c r="AM398" s="1297" t="inlineStr"/>
      <c r="AN398" s="1298" t="n"/>
      <c r="AO398" s="13">
        <f>IF(_epmOfflineCondition_,0,EPMSaveDataOnly(AB398,,AB$29,AB$25,AB$26,AB$31,AB$32,$AA$37,AO$14,AO$15,AO$16,AO$17,AO$18,X398))</f>
        <v/>
      </c>
      <c r="AP398" s="13">
        <f>IF(_epmOfflineCondition_,0,EPMSaveDataOnly(AL398,,AL$29,AL$25,AL$26,AL$31,AL$32,$AA$37,AP$14,AP$15,AP$16,AP$17,AP$18,$X398))</f>
        <v/>
      </c>
      <c r="AQ398" s="13">
        <f>IF(_epmOfflineCondition_,0,EPMSaveData(AM398,,AM$29,AM$25,AM$26,$C$6,AM$32,$AA$37,AQ$14,AQ$15,AQ$16,AQ$17,AQ$18,$X398))</f>
        <v/>
      </c>
      <c r="AR398" s="13">
        <f>IF(_epmOfflineCondition_,0,EPMSaveDataOnly(AN398,,AN$29,AN$25,AN$26,AN$31,AN$32,$AA$37,AR$14,AR$15,AR$16,AR$17,AR$18,$X398))</f>
        <v/>
      </c>
      <c r="AS398" s="384" t="n"/>
    </row>
    <row r="399" hidden="1" ht="15.75" customHeight="1" s="1181">
      <c r="A399" s="384" t="n"/>
      <c r="B399" s="384" t="n"/>
      <c r="C399" s="384" t="n"/>
      <c r="D399" s="384" t="n"/>
      <c r="E399" s="384" t="n"/>
      <c r="F399" s="384" t="n"/>
      <c r="G399" s="384" t="n"/>
      <c r="H399" s="384" t="n"/>
      <c r="I399" s="384" t="n"/>
      <c r="J399" s="384" t="n"/>
      <c r="K399" s="384" t="n"/>
      <c r="L399" s="384" t="n"/>
      <c r="M399" s="384" t="n"/>
      <c r="N399" s="384" t="n"/>
      <c r="O399" s="384" t="n"/>
      <c r="P399" s="384" t="n"/>
      <c r="Q399" s="384" t="n"/>
      <c r="R399" s="384" t="n"/>
      <c r="S399" s="384" t="n"/>
      <c r="T399" s="384" t="n"/>
      <c r="U399" s="384" t="n"/>
      <c r="V399" s="384" t="n"/>
      <c r="W399" s="384" t="n"/>
      <c r="X399" s="645">
        <f>IF(_epmOfflineCondition_,"I_E100497",EPMOlapMemberO("[C_INTERCO].[PARENTH1].[I_E100497]","","I_E100497","","000"))</f>
        <v/>
      </c>
      <c r="Y399" s="870">
        <f>IF(_epmOfflineCondition_,"北京京能酒店管理有限公司和风绿洲酒店分公司",EPMMemberDesc(X399))</f>
        <v/>
      </c>
      <c r="Z399" s="1302" t="n"/>
      <c r="AA399" s="1302" t="n"/>
      <c r="AB399" s="858" t="n"/>
      <c r="AC399" s="1302" t="n"/>
      <c r="AD399" s="1302" t="n"/>
      <c r="AE399" s="1302" t="inlineStr"/>
      <c r="AF399" s="1302" t="inlineStr"/>
      <c r="AG399" s="1302" t="inlineStr"/>
      <c r="AH399" s="1302" t="n"/>
      <c r="AI399" s="1302" t="n"/>
      <c r="AJ399" s="1302" t="n"/>
      <c r="AK399" s="1302">
        <f>AI399-AJ399</f>
        <v/>
      </c>
      <c r="AL399" s="858" t="n"/>
      <c r="AM399" s="1297" t="inlineStr"/>
      <c r="AN399" s="1298" t="n"/>
      <c r="AO399" s="13">
        <f>IF(_epmOfflineCondition_,0,EPMSaveDataOnly(AB399,,AB$29,AB$25,AB$26,AB$31,AB$32,$AA$37,AO$14,AO$15,AO$16,AO$17,AO$18,X399))</f>
        <v/>
      </c>
      <c r="AP399" s="13">
        <f>IF(_epmOfflineCondition_,0,EPMSaveDataOnly(AL399,,AL$29,AL$25,AL$26,AL$31,AL$32,$AA$37,AP$14,AP$15,AP$16,AP$17,AP$18,$X399))</f>
        <v/>
      </c>
      <c r="AQ399" s="13">
        <f>IF(_epmOfflineCondition_,0,EPMSaveData(AM399,,AM$29,AM$25,AM$26,$C$6,AM$32,$AA$37,AQ$14,AQ$15,AQ$16,AQ$17,AQ$18,$X399))</f>
        <v/>
      </c>
      <c r="AR399" s="13">
        <f>IF(_epmOfflineCondition_,0,EPMSaveDataOnly(AN399,,AN$29,AN$25,AN$26,AN$31,AN$32,$AA$37,AR$14,AR$15,AR$16,AR$17,AR$18,$X399))</f>
        <v/>
      </c>
      <c r="AS399" s="384" t="n"/>
    </row>
    <row r="400" hidden="1" ht="15.75" customHeight="1" s="1181">
      <c r="A400" s="384" t="n"/>
      <c r="B400" s="384" t="n"/>
      <c r="C400" s="384" t="n"/>
      <c r="D400" s="384" t="n"/>
      <c r="E400" s="384" t="n"/>
      <c r="F400" s="384" t="n"/>
      <c r="G400" s="384" t="n"/>
      <c r="H400" s="384" t="n"/>
      <c r="I400" s="384" t="n"/>
      <c r="J400" s="384" t="n"/>
      <c r="K400" s="384" t="n"/>
      <c r="L400" s="384" t="n"/>
      <c r="M400" s="384" t="n"/>
      <c r="N400" s="384" t="n"/>
      <c r="O400" s="384" t="n"/>
      <c r="P400" s="384" t="n"/>
      <c r="Q400" s="384" t="n"/>
      <c r="R400" s="384" t="n"/>
      <c r="S400" s="384" t="n"/>
      <c r="T400" s="384" t="n"/>
      <c r="U400" s="384" t="n"/>
      <c r="V400" s="384" t="n"/>
      <c r="W400" s="384" t="n"/>
      <c r="X400" s="645">
        <f>IF(_epmOfflineCondition_,"I_E100498",EPMOlapMemberO("[C_INTERCO].[PARENTH1].[I_E100498]","","I_E100498","","000"))</f>
        <v/>
      </c>
      <c r="Y400" s="870">
        <f>IF(_epmOfflineCondition_,"北京京能酒店管理有限公司海博酒店分公司",EPMMemberDesc(X400))</f>
        <v/>
      </c>
      <c r="Z400" s="1302" t="n"/>
      <c r="AA400" s="1302" t="n"/>
      <c r="AB400" s="858" t="n"/>
      <c r="AC400" s="1302" t="n"/>
      <c r="AD400" s="1302" t="n"/>
      <c r="AE400" s="1302" t="inlineStr"/>
      <c r="AF400" s="1302" t="inlineStr"/>
      <c r="AG400" s="1302" t="inlineStr"/>
      <c r="AH400" s="1302" t="n"/>
      <c r="AI400" s="1302" t="n"/>
      <c r="AJ400" s="1302" t="n"/>
      <c r="AK400" s="1302">
        <f>AI400-AJ400</f>
        <v/>
      </c>
      <c r="AL400" s="858" t="n"/>
      <c r="AM400" s="1297" t="inlineStr"/>
      <c r="AN400" s="1298" t="n"/>
      <c r="AO400" s="13">
        <f>IF(_epmOfflineCondition_,0,EPMSaveDataOnly(AB400,,AB$29,AB$25,AB$26,AB$31,AB$32,$AA$37,AO$14,AO$15,AO$16,AO$17,AO$18,X400))</f>
        <v/>
      </c>
      <c r="AP400" s="13">
        <f>IF(_epmOfflineCondition_,0,EPMSaveDataOnly(AL400,,AL$29,AL$25,AL$26,AL$31,AL$32,$AA$37,AP$14,AP$15,AP$16,AP$17,AP$18,$X400))</f>
        <v/>
      </c>
      <c r="AQ400" s="13">
        <f>IF(_epmOfflineCondition_,0,EPMSaveData(AM400,,AM$29,AM$25,AM$26,$C$6,AM$32,$AA$37,AQ$14,AQ$15,AQ$16,AQ$17,AQ$18,$X400))</f>
        <v/>
      </c>
      <c r="AR400" s="13">
        <f>IF(_epmOfflineCondition_,0,EPMSaveDataOnly(AN400,,AN$29,AN$25,AN$26,AN$31,AN$32,$AA$37,AR$14,AR$15,AR$16,AR$17,AR$18,$X400))</f>
        <v/>
      </c>
      <c r="AS400" s="384" t="n"/>
    </row>
    <row r="401" hidden="1" ht="15.75" customHeight="1" s="1181">
      <c r="A401" s="384" t="n"/>
      <c r="B401" s="384" t="n"/>
      <c r="C401" s="384" t="n"/>
      <c r="D401" s="384" t="n"/>
      <c r="E401" s="384" t="n"/>
      <c r="F401" s="384" t="n"/>
      <c r="G401" s="384" t="n"/>
      <c r="H401" s="384" t="n"/>
      <c r="I401" s="384" t="n"/>
      <c r="J401" s="384" t="n"/>
      <c r="K401" s="384" t="n"/>
      <c r="L401" s="384" t="n"/>
      <c r="M401" s="384" t="n"/>
      <c r="N401" s="384" t="n"/>
      <c r="O401" s="384" t="n"/>
      <c r="P401" s="384" t="n"/>
      <c r="Q401" s="384" t="n"/>
      <c r="R401" s="384" t="n"/>
      <c r="S401" s="384" t="n"/>
      <c r="T401" s="384" t="n"/>
      <c r="U401" s="384" t="n"/>
      <c r="V401" s="384" t="n"/>
      <c r="W401" s="384" t="n"/>
      <c r="X401" s="645">
        <f>IF(_epmOfflineCondition_,"I_E100499",EPMOlapMemberO("[C_INTERCO].[PARENTH1].[I_E100499]","","I_E100499","","000"))</f>
        <v/>
      </c>
      <c r="Y401" s="870">
        <f>IF(_epmOfflineCondition_,"北京京能酒店管理有限公司丽湾分公司",EPMMemberDesc(X401))</f>
        <v/>
      </c>
      <c r="Z401" s="1302" t="n"/>
      <c r="AA401" s="1302" t="n"/>
      <c r="AB401" s="858" t="n"/>
      <c r="AC401" s="1302" t="n"/>
      <c r="AD401" s="1302" t="n"/>
      <c r="AE401" s="1302" t="inlineStr"/>
      <c r="AF401" s="1302" t="inlineStr"/>
      <c r="AG401" s="1302" t="inlineStr"/>
      <c r="AH401" s="1302" t="n"/>
      <c r="AI401" s="1302" t="n"/>
      <c r="AJ401" s="1302" t="n"/>
      <c r="AK401" s="1302">
        <f>AI401-AJ401</f>
        <v/>
      </c>
      <c r="AL401" s="858" t="n"/>
      <c r="AM401" s="1297" t="inlineStr"/>
      <c r="AN401" s="1298" t="n"/>
      <c r="AO401" s="13">
        <f>IF(_epmOfflineCondition_,0,EPMSaveDataOnly(AB401,,AB$29,AB$25,AB$26,AB$31,AB$32,$AA$37,AO$14,AO$15,AO$16,AO$17,AO$18,X401))</f>
        <v/>
      </c>
      <c r="AP401" s="13">
        <f>IF(_epmOfflineCondition_,0,EPMSaveDataOnly(AL401,,AL$29,AL$25,AL$26,AL$31,AL$32,$AA$37,AP$14,AP$15,AP$16,AP$17,AP$18,$X401))</f>
        <v/>
      </c>
      <c r="AQ401" s="13">
        <f>IF(_epmOfflineCondition_,0,EPMSaveData(AM401,,AM$29,AM$25,AM$26,$C$6,AM$32,$AA$37,AQ$14,AQ$15,AQ$16,AQ$17,AQ$18,$X401))</f>
        <v/>
      </c>
      <c r="AR401" s="13">
        <f>IF(_epmOfflineCondition_,0,EPMSaveDataOnly(AN401,,AN$29,AN$25,AN$26,AN$31,AN$32,$AA$37,AR$14,AR$15,AR$16,AR$17,AR$18,$X401))</f>
        <v/>
      </c>
      <c r="AS401" s="384" t="n"/>
    </row>
    <row r="402" hidden="1" ht="15.75" customHeight="1" s="1181">
      <c r="A402" s="384" t="n"/>
      <c r="B402" s="384" t="n"/>
      <c r="C402" s="384" t="n"/>
      <c r="D402" s="384" t="n"/>
      <c r="E402" s="384" t="n"/>
      <c r="F402" s="384" t="n"/>
      <c r="G402" s="384" t="n"/>
      <c r="H402" s="384" t="n"/>
      <c r="I402" s="384" t="n"/>
      <c r="J402" s="384" t="n"/>
      <c r="K402" s="384" t="n"/>
      <c r="L402" s="384" t="n"/>
      <c r="M402" s="384" t="n"/>
      <c r="N402" s="384" t="n"/>
      <c r="O402" s="384" t="n"/>
      <c r="P402" s="384" t="n"/>
      <c r="Q402" s="384" t="n"/>
      <c r="R402" s="384" t="n"/>
      <c r="S402" s="384" t="n"/>
      <c r="T402" s="384" t="n"/>
      <c r="U402" s="384" t="n"/>
      <c r="V402" s="384" t="n"/>
      <c r="W402" s="384" t="n"/>
      <c r="X402" s="645">
        <f>IF(_epmOfflineCondition_,"I_E100500",EPMOlapMemberO("[C_INTERCO].[PARENTH1].[I_E100500]","","I_E100500","","000"))</f>
        <v/>
      </c>
      <c r="Y402" s="870">
        <f>IF(_epmOfflineCondition_,"北京金泰恒业国际旅游有限公司三亚山屿湖度假屋",EPMMemberDesc(X402))</f>
        <v/>
      </c>
      <c r="Z402" s="1302" t="n"/>
      <c r="AA402" s="1302" t="n"/>
      <c r="AB402" s="858" t="n"/>
      <c r="AC402" s="1302" t="n"/>
      <c r="AD402" s="1302" t="n"/>
      <c r="AE402" s="1302" t="inlineStr"/>
      <c r="AF402" s="1302" t="inlineStr"/>
      <c r="AG402" s="1302" t="inlineStr"/>
      <c r="AH402" s="1302" t="n"/>
      <c r="AI402" s="1302" t="n"/>
      <c r="AJ402" s="1302" t="n"/>
      <c r="AK402" s="1302">
        <f>AI402-AJ402</f>
        <v/>
      </c>
      <c r="AL402" s="858" t="n"/>
      <c r="AM402" s="1297" t="inlineStr"/>
      <c r="AN402" s="1298" t="n"/>
      <c r="AO402" s="13">
        <f>IF(_epmOfflineCondition_,0,EPMSaveDataOnly(AB402,,AB$29,AB$25,AB$26,AB$31,AB$32,$AA$37,AO$14,AO$15,AO$16,AO$17,AO$18,X402))</f>
        <v/>
      </c>
      <c r="AP402" s="13">
        <f>IF(_epmOfflineCondition_,0,EPMSaveDataOnly(AL402,,AL$29,AL$25,AL$26,AL$31,AL$32,$AA$37,AP$14,AP$15,AP$16,AP$17,AP$18,$X402))</f>
        <v/>
      </c>
      <c r="AQ402" s="13">
        <f>IF(_epmOfflineCondition_,0,EPMSaveData(AM402,,AM$29,AM$25,AM$26,$C$6,AM$32,$AA$37,AQ$14,AQ$15,AQ$16,AQ$17,AQ$18,$X402))</f>
        <v/>
      </c>
      <c r="AR402" s="13">
        <f>IF(_epmOfflineCondition_,0,EPMSaveDataOnly(AN402,,AN$29,AN$25,AN$26,AN$31,AN$32,$AA$37,AR$14,AR$15,AR$16,AR$17,AR$18,$X402))</f>
        <v/>
      </c>
      <c r="AS402" s="384" t="n"/>
    </row>
    <row r="403" hidden="1" ht="15.75" customHeight="1" s="1181">
      <c r="A403" s="384" t="n"/>
      <c r="B403" s="384" t="n"/>
      <c r="C403" s="384" t="n"/>
      <c r="D403" s="384" t="n"/>
      <c r="E403" s="384" t="n"/>
      <c r="F403" s="384" t="n"/>
      <c r="G403" s="384" t="n"/>
      <c r="H403" s="384" t="n"/>
      <c r="I403" s="384" t="n"/>
      <c r="J403" s="384" t="n"/>
      <c r="K403" s="384" t="n"/>
      <c r="L403" s="384" t="n"/>
      <c r="M403" s="384" t="n"/>
      <c r="N403" s="384" t="n"/>
      <c r="O403" s="384" t="n"/>
      <c r="P403" s="384" t="n"/>
      <c r="Q403" s="384" t="n"/>
      <c r="R403" s="384" t="n"/>
      <c r="S403" s="384" t="n"/>
      <c r="T403" s="384" t="n"/>
      <c r="U403" s="384" t="n"/>
      <c r="V403" s="384" t="n"/>
      <c r="W403" s="384" t="n"/>
      <c r="X403" s="645">
        <f>IF(_epmOfflineCondition_,"I_E100501",EPMOlapMemberO("[C_INTERCO].[PARENTH1].[I_E100501]","","I_E100501","","000"))</f>
        <v/>
      </c>
      <c r="Y403" s="870">
        <f>IF(_epmOfflineCondition_,"北京金泰恒业国际旅游有限公司海南分公司",EPMMemberDesc(X403))</f>
        <v/>
      </c>
      <c r="Z403" s="1302" t="n"/>
      <c r="AA403" s="1302" t="n"/>
      <c r="AB403" s="858" t="n"/>
      <c r="AC403" s="1302" t="n"/>
      <c r="AD403" s="1302" t="n"/>
      <c r="AE403" s="1302" t="inlineStr"/>
      <c r="AF403" s="1302" t="inlineStr"/>
      <c r="AG403" s="1302" t="inlineStr"/>
      <c r="AH403" s="1302" t="n"/>
      <c r="AI403" s="1302" t="n"/>
      <c r="AJ403" s="1302" t="n"/>
      <c r="AK403" s="1302">
        <f>AI403-AJ403</f>
        <v/>
      </c>
      <c r="AL403" s="858" t="n"/>
      <c r="AM403" s="1297" t="inlineStr"/>
      <c r="AN403" s="1298" t="n"/>
      <c r="AO403" s="13">
        <f>IF(_epmOfflineCondition_,0,EPMSaveDataOnly(AB403,,AB$29,AB$25,AB$26,AB$31,AB$32,$AA$37,AO$14,AO$15,AO$16,AO$17,AO$18,X403))</f>
        <v/>
      </c>
      <c r="AP403" s="13">
        <f>IF(_epmOfflineCondition_,0,EPMSaveDataOnly(AL403,,AL$29,AL$25,AL$26,AL$31,AL$32,$AA$37,AP$14,AP$15,AP$16,AP$17,AP$18,$X403))</f>
        <v/>
      </c>
      <c r="AQ403" s="13">
        <f>IF(_epmOfflineCondition_,0,EPMSaveData(AM403,,AM$29,AM$25,AM$26,$C$6,AM$32,$AA$37,AQ$14,AQ$15,AQ$16,AQ$17,AQ$18,$X403))</f>
        <v/>
      </c>
      <c r="AR403" s="13">
        <f>IF(_epmOfflineCondition_,0,EPMSaveDataOnly(AN403,,AN$29,AN$25,AN$26,AN$31,AN$32,$AA$37,AR$14,AR$15,AR$16,AR$17,AR$18,$X403))</f>
        <v/>
      </c>
      <c r="AS403" s="384" t="n"/>
    </row>
    <row r="404" hidden="1" ht="15.75" customHeight="1" s="1181">
      <c r="A404" s="384" t="n"/>
      <c r="B404" s="384" t="n"/>
      <c r="C404" s="384" t="n"/>
      <c r="D404" s="384" t="n"/>
      <c r="E404" s="384" t="n"/>
      <c r="F404" s="384" t="n"/>
      <c r="G404" s="384" t="n"/>
      <c r="H404" s="384" t="n"/>
      <c r="I404" s="384" t="n"/>
      <c r="J404" s="384" t="n"/>
      <c r="K404" s="384" t="n"/>
      <c r="L404" s="384" t="n"/>
      <c r="M404" s="384" t="n"/>
      <c r="N404" s="384" t="n"/>
      <c r="O404" s="384" t="n"/>
      <c r="P404" s="384" t="n"/>
      <c r="Q404" s="384" t="n"/>
      <c r="R404" s="384" t="n"/>
      <c r="S404" s="384" t="n"/>
      <c r="T404" s="384" t="n"/>
      <c r="U404" s="384" t="n"/>
      <c r="V404" s="384" t="n"/>
      <c r="W404" s="384" t="n"/>
      <c r="X404" s="645">
        <f>IF(_epmOfflineCondition_,"I_E100502",EPMOlapMemberO("[C_INTERCO].[PARENTH1].[I_E100502]","","I_E100502","","000"))</f>
        <v/>
      </c>
      <c r="Y404" s="870">
        <f>IF(_epmOfflineCondition_,"北京金泰国际会展有限公司三亚分公司",EPMMemberDesc(X404))</f>
        <v/>
      </c>
      <c r="Z404" s="1302" t="n"/>
      <c r="AA404" s="1302" t="n"/>
      <c r="AB404" s="858" t="n"/>
      <c r="AC404" s="1302" t="n"/>
      <c r="AD404" s="1302" t="n"/>
      <c r="AE404" s="1302" t="inlineStr"/>
      <c r="AF404" s="1302" t="inlineStr"/>
      <c r="AG404" s="1302" t="inlineStr"/>
      <c r="AH404" s="1302" t="n"/>
      <c r="AI404" s="1302" t="n"/>
      <c r="AJ404" s="1302" t="n"/>
      <c r="AK404" s="1302">
        <f>AI404-AJ404</f>
        <v/>
      </c>
      <c r="AL404" s="858" t="n"/>
      <c r="AM404" s="1297" t="inlineStr"/>
      <c r="AN404" s="1298" t="n"/>
      <c r="AO404" s="13">
        <f>IF(_epmOfflineCondition_,0,EPMSaveDataOnly(AB404,,AB$29,AB$25,AB$26,AB$31,AB$32,$AA$37,AO$14,AO$15,AO$16,AO$17,AO$18,X404))</f>
        <v/>
      </c>
      <c r="AP404" s="13">
        <f>IF(_epmOfflineCondition_,0,EPMSaveDataOnly(AL404,,AL$29,AL$25,AL$26,AL$31,AL$32,$AA$37,AP$14,AP$15,AP$16,AP$17,AP$18,$X404))</f>
        <v/>
      </c>
      <c r="AQ404" s="13">
        <f>IF(_epmOfflineCondition_,0,EPMSaveData(AM404,,AM$29,AM$25,AM$26,$C$6,AM$32,$AA$37,AQ$14,AQ$15,AQ$16,AQ$17,AQ$18,$X404))</f>
        <v/>
      </c>
      <c r="AR404" s="13">
        <f>IF(_epmOfflineCondition_,0,EPMSaveDataOnly(AN404,,AN$29,AN$25,AN$26,AN$31,AN$32,$AA$37,AR$14,AR$15,AR$16,AR$17,AR$18,$X404))</f>
        <v/>
      </c>
      <c r="AS404" s="384" t="n"/>
    </row>
    <row r="405" hidden="1" ht="15.75" customHeight="1" s="1181">
      <c r="A405" s="384" t="n"/>
      <c r="B405" s="384" t="n"/>
      <c r="C405" s="384" t="n"/>
      <c r="D405" s="384" t="n"/>
      <c r="E405" s="384" t="n"/>
      <c r="F405" s="384" t="n"/>
      <c r="G405" s="384" t="n"/>
      <c r="H405" s="384" t="n"/>
      <c r="I405" s="384" t="n"/>
      <c r="J405" s="384" t="n"/>
      <c r="K405" s="384" t="n"/>
      <c r="L405" s="384" t="n"/>
      <c r="M405" s="384" t="n"/>
      <c r="N405" s="384" t="n"/>
      <c r="O405" s="384" t="n"/>
      <c r="P405" s="384" t="n"/>
      <c r="Q405" s="384" t="n"/>
      <c r="R405" s="384" t="n"/>
      <c r="S405" s="384" t="n"/>
      <c r="T405" s="384" t="n"/>
      <c r="U405" s="384" t="n"/>
      <c r="V405" s="384" t="n"/>
      <c r="W405" s="384" t="n"/>
      <c r="X405" s="645">
        <f>IF(_epmOfflineCondition_,"I_E100503",EPMOlapMemberO("[C_INTERCO].[PARENTH1].[I_E100503]","","I_E100503","","000"))</f>
        <v/>
      </c>
      <c r="Y405" s="870">
        <f>IF(_epmOfflineCondition_,"北京金泰国际会展有限公司万宁分公司",EPMMemberDesc(X405))</f>
        <v/>
      </c>
      <c r="Z405" s="1302" t="n"/>
      <c r="AA405" s="1302" t="n"/>
      <c r="AB405" s="858" t="n"/>
      <c r="AC405" s="1302" t="n"/>
      <c r="AD405" s="1302" t="n"/>
      <c r="AE405" s="1302" t="inlineStr"/>
      <c r="AF405" s="1302" t="inlineStr"/>
      <c r="AG405" s="1302" t="inlineStr"/>
      <c r="AH405" s="1302" t="n"/>
      <c r="AI405" s="1302" t="n"/>
      <c r="AJ405" s="1302" t="n"/>
      <c r="AK405" s="1302">
        <f>AI405-AJ405</f>
        <v/>
      </c>
      <c r="AL405" s="858" t="n"/>
      <c r="AM405" s="1297" t="inlineStr"/>
      <c r="AN405" s="1298" t="n"/>
      <c r="AO405" s="13">
        <f>IF(_epmOfflineCondition_,0,EPMSaveDataOnly(AB405,,AB$29,AB$25,AB$26,AB$31,AB$32,$AA$37,AO$14,AO$15,AO$16,AO$17,AO$18,X405))</f>
        <v/>
      </c>
      <c r="AP405" s="13">
        <f>IF(_epmOfflineCondition_,0,EPMSaveDataOnly(AL405,,AL$29,AL$25,AL$26,AL$31,AL$32,$AA$37,AP$14,AP$15,AP$16,AP$17,AP$18,$X405))</f>
        <v/>
      </c>
      <c r="AQ405" s="13">
        <f>IF(_epmOfflineCondition_,0,EPMSaveData(AM405,,AM$29,AM$25,AM$26,$C$6,AM$32,$AA$37,AQ$14,AQ$15,AQ$16,AQ$17,AQ$18,$X405))</f>
        <v/>
      </c>
      <c r="AR405" s="13">
        <f>IF(_epmOfflineCondition_,0,EPMSaveDataOnly(AN405,,AN$29,AN$25,AN$26,AN$31,AN$32,$AA$37,AR$14,AR$15,AR$16,AR$17,AR$18,$X405))</f>
        <v/>
      </c>
      <c r="AS405" s="384" t="n"/>
    </row>
    <row r="406" hidden="1" ht="15.75" customHeight="1" s="1181">
      <c r="A406" s="384" t="n"/>
      <c r="B406" s="384" t="n"/>
      <c r="C406" s="384" t="n"/>
      <c r="D406" s="384" t="n"/>
      <c r="E406" s="384" t="n"/>
      <c r="F406" s="384" t="n"/>
      <c r="G406" s="384" t="n"/>
      <c r="H406" s="384" t="n"/>
      <c r="I406" s="384" t="n"/>
      <c r="J406" s="384" t="n"/>
      <c r="K406" s="384" t="n"/>
      <c r="L406" s="384" t="n"/>
      <c r="M406" s="384" t="n"/>
      <c r="N406" s="384" t="n"/>
      <c r="O406" s="384" t="n"/>
      <c r="P406" s="384" t="n"/>
      <c r="Q406" s="384" t="n"/>
      <c r="R406" s="384" t="n"/>
      <c r="S406" s="384" t="n"/>
      <c r="T406" s="384" t="n"/>
      <c r="U406" s="384" t="n"/>
      <c r="V406" s="384" t="n"/>
      <c r="W406" s="384" t="n"/>
      <c r="X406" s="645">
        <f>IF(_epmOfflineCondition_,"I_E100504",EPMOlapMemberO("[C_INTERCO].[PARENTH1].[I_E100504]","","I_E100504","","000"))</f>
        <v/>
      </c>
      <c r="Y406" s="870">
        <f>IF(_epmOfflineCondition_,"北京天睿庄园商务中心有限公司",EPMMemberDesc(X406))</f>
        <v/>
      </c>
      <c r="Z406" s="1302" t="n"/>
      <c r="AA406" s="1302" t="n"/>
      <c r="AB406" s="858" t="n"/>
      <c r="AC406" s="1302" t="n"/>
      <c r="AD406" s="1302" t="n"/>
      <c r="AE406" s="1302" t="inlineStr"/>
      <c r="AF406" s="1302" t="inlineStr"/>
      <c r="AG406" s="1302" t="inlineStr"/>
      <c r="AH406" s="1302" t="n"/>
      <c r="AI406" s="1302" t="n"/>
      <c r="AJ406" s="1302" t="n"/>
      <c r="AK406" s="1302">
        <f>AI406-AJ406</f>
        <v/>
      </c>
      <c r="AL406" s="858" t="n"/>
      <c r="AM406" s="1297" t="inlineStr"/>
      <c r="AN406" s="1298" t="n"/>
      <c r="AO406" s="13">
        <f>IF(_epmOfflineCondition_,0,EPMSaveDataOnly(AB406,,AB$29,AB$25,AB$26,AB$31,AB$32,$AA$37,AO$14,AO$15,AO$16,AO$17,AO$18,X406))</f>
        <v/>
      </c>
      <c r="AP406" s="13">
        <f>IF(_epmOfflineCondition_,0,EPMSaveDataOnly(AL406,,AL$29,AL$25,AL$26,AL$31,AL$32,$AA$37,AP$14,AP$15,AP$16,AP$17,AP$18,$X406))</f>
        <v/>
      </c>
      <c r="AQ406" s="13">
        <f>IF(_epmOfflineCondition_,0,EPMSaveData(AM406,,AM$29,AM$25,AM$26,$C$6,AM$32,$AA$37,AQ$14,AQ$15,AQ$16,AQ$17,AQ$18,$X406))</f>
        <v/>
      </c>
      <c r="AR406" s="13">
        <f>IF(_epmOfflineCondition_,0,EPMSaveDataOnly(AN406,,AN$29,AN$25,AN$26,AN$31,AN$32,$AA$37,AR$14,AR$15,AR$16,AR$17,AR$18,$X406))</f>
        <v/>
      </c>
      <c r="AS406" s="384" t="n"/>
    </row>
    <row r="407" hidden="1" ht="15.75" customHeight="1" s="1181">
      <c r="A407" s="384" t="n"/>
      <c r="B407" s="384" t="n"/>
      <c r="C407" s="384" t="n"/>
      <c r="D407" s="384" t="n"/>
      <c r="E407" s="384" t="n"/>
      <c r="F407" s="384" t="n"/>
      <c r="G407" s="384" t="n"/>
      <c r="H407" s="384" t="n"/>
      <c r="I407" s="384" t="n"/>
      <c r="J407" s="384" t="n"/>
      <c r="K407" s="384" t="n"/>
      <c r="L407" s="384" t="n"/>
      <c r="M407" s="384" t="n"/>
      <c r="N407" s="384" t="n"/>
      <c r="O407" s="384" t="n"/>
      <c r="P407" s="384" t="n"/>
      <c r="Q407" s="384" t="n"/>
      <c r="R407" s="384" t="n"/>
      <c r="S407" s="384" t="n"/>
      <c r="T407" s="384" t="n"/>
      <c r="U407" s="384" t="n"/>
      <c r="V407" s="384" t="n"/>
      <c r="W407" s="384" t="n"/>
      <c r="X407" s="645">
        <f>IF(_epmOfflineCondition_,"I_E100505",EPMOlapMemberO("[C_INTERCO].[PARENTH1].[I_E100505]","","I_E100505","","000"))</f>
        <v/>
      </c>
      <c r="Y407" s="870">
        <f>IF(_epmOfflineCondition_,"宁夏京能创业房地产开发有限公司银川国贸中心假日酒店",EPMMemberDesc(X407))</f>
        <v/>
      </c>
      <c r="Z407" s="1302" t="n"/>
      <c r="AA407" s="1302" t="n"/>
      <c r="AB407" s="858" t="n"/>
      <c r="AC407" s="1302" t="n"/>
      <c r="AD407" s="1302" t="n"/>
      <c r="AE407" s="1302" t="inlineStr"/>
      <c r="AF407" s="1302" t="inlineStr"/>
      <c r="AG407" s="1302" t="inlineStr"/>
      <c r="AH407" s="1302" t="n"/>
      <c r="AI407" s="1302" t="n"/>
      <c r="AJ407" s="1302" t="n"/>
      <c r="AK407" s="1302">
        <f>AI407-AJ407</f>
        <v/>
      </c>
      <c r="AL407" s="858" t="n"/>
      <c r="AM407" s="1297" t="inlineStr"/>
      <c r="AN407" s="1298" t="n"/>
      <c r="AO407" s="13">
        <f>IF(_epmOfflineCondition_,0,EPMSaveDataOnly(AB407,,AB$29,AB$25,AB$26,AB$31,AB$32,$AA$37,AO$14,AO$15,AO$16,AO$17,AO$18,X407))</f>
        <v/>
      </c>
      <c r="AP407" s="13">
        <f>IF(_epmOfflineCondition_,0,EPMSaveDataOnly(AL407,,AL$29,AL$25,AL$26,AL$31,AL$32,$AA$37,AP$14,AP$15,AP$16,AP$17,AP$18,$X407))</f>
        <v/>
      </c>
      <c r="AQ407" s="13">
        <f>IF(_epmOfflineCondition_,0,EPMSaveData(AM407,,AM$29,AM$25,AM$26,$C$6,AM$32,$AA$37,AQ$14,AQ$15,AQ$16,AQ$17,AQ$18,$X407))</f>
        <v/>
      </c>
      <c r="AR407" s="13">
        <f>IF(_epmOfflineCondition_,0,EPMSaveDataOnly(AN407,,AN$29,AN$25,AN$26,AN$31,AN$32,$AA$37,AR$14,AR$15,AR$16,AR$17,AR$18,$X407))</f>
        <v/>
      </c>
      <c r="AS407" s="384" t="n"/>
    </row>
    <row r="408" hidden="1" ht="15.75" customHeight="1" s="1181">
      <c r="A408" s="384" t="n"/>
      <c r="B408" s="384" t="n"/>
      <c r="C408" s="384" t="n"/>
      <c r="D408" s="384" t="n"/>
      <c r="E408" s="384" t="n"/>
      <c r="F408" s="384" t="n"/>
      <c r="G408" s="384" t="n"/>
      <c r="H408" s="384" t="n"/>
      <c r="I408" s="384" t="n"/>
      <c r="J408" s="384" t="n"/>
      <c r="K408" s="384" t="n"/>
      <c r="L408" s="384" t="n"/>
      <c r="M408" s="384" t="n"/>
      <c r="N408" s="384" t="n"/>
      <c r="O408" s="384" t="n"/>
      <c r="P408" s="384" t="n"/>
      <c r="Q408" s="384" t="n"/>
      <c r="R408" s="384" t="n"/>
      <c r="S408" s="384" t="n"/>
      <c r="T408" s="384" t="n"/>
      <c r="U408" s="384" t="n"/>
      <c r="V408" s="384" t="n"/>
      <c r="W408" s="384" t="n"/>
      <c r="X408" s="645">
        <f>IF(_epmOfflineCondition_,"I_E100506",EPMOlapMemberO("[C_INTERCO].[PARENTH1].[I_E100506]","","I_E100506","","000"))</f>
        <v/>
      </c>
      <c r="Y408" s="870">
        <f>IF(_epmOfflineCondition_,"北京金泰恒业燃料有限公司坨里建材分公司",EPMMemberDesc(X408))</f>
        <v/>
      </c>
      <c r="Z408" s="1302" t="n"/>
      <c r="AA408" s="1302" t="n"/>
      <c r="AB408" s="858" t="n"/>
      <c r="AC408" s="1302" t="n"/>
      <c r="AD408" s="1302" t="n"/>
      <c r="AE408" s="1302" t="inlineStr"/>
      <c r="AF408" s="1302" t="inlineStr"/>
      <c r="AG408" s="1302" t="inlineStr"/>
      <c r="AH408" s="1302" t="n"/>
      <c r="AI408" s="1302" t="n"/>
      <c r="AJ408" s="1302" t="n"/>
      <c r="AK408" s="1302">
        <f>AI408-AJ408</f>
        <v/>
      </c>
      <c r="AL408" s="858" t="n"/>
      <c r="AM408" s="1297" t="inlineStr"/>
      <c r="AN408" s="1298" t="n"/>
      <c r="AO408" s="13">
        <f>IF(_epmOfflineCondition_,0,EPMSaveDataOnly(AB408,,AB$29,AB$25,AB$26,AB$31,AB$32,$AA$37,AO$14,AO$15,AO$16,AO$17,AO$18,X408))</f>
        <v/>
      </c>
      <c r="AP408" s="13">
        <f>IF(_epmOfflineCondition_,0,EPMSaveDataOnly(AL408,,AL$29,AL$25,AL$26,AL$31,AL$32,$AA$37,AP$14,AP$15,AP$16,AP$17,AP$18,$X408))</f>
        <v/>
      </c>
      <c r="AQ408" s="13">
        <f>IF(_epmOfflineCondition_,0,EPMSaveData(AM408,,AM$29,AM$25,AM$26,$C$6,AM$32,$AA$37,AQ$14,AQ$15,AQ$16,AQ$17,AQ$18,$X408))</f>
        <v/>
      </c>
      <c r="AR408" s="13">
        <f>IF(_epmOfflineCondition_,0,EPMSaveDataOnly(AN408,,AN$29,AN$25,AN$26,AN$31,AN$32,$AA$37,AR$14,AR$15,AR$16,AR$17,AR$18,$X408))</f>
        <v/>
      </c>
      <c r="AS408" s="384" t="n"/>
    </row>
    <row r="409" hidden="1" s="1181">
      <c r="A409" s="384" t="n"/>
      <c r="B409" s="384" t="n"/>
      <c r="C409" s="384" t="n"/>
      <c r="D409" s="384" t="n"/>
      <c r="E409" s="384" t="n"/>
      <c r="F409" s="384" t="n"/>
      <c r="G409" s="384" t="n"/>
      <c r="H409" s="384" t="n"/>
      <c r="I409" s="384" t="n"/>
      <c r="J409" s="384" t="n"/>
      <c r="K409" s="384" t="n"/>
      <c r="L409" s="384" t="n"/>
      <c r="M409" s="384" t="n"/>
      <c r="N409" s="384" t="n"/>
      <c r="O409" s="384" t="n"/>
      <c r="P409" s="384" t="n"/>
      <c r="Q409" s="384" t="n"/>
      <c r="R409" s="384" t="n"/>
      <c r="S409" s="384" t="n"/>
      <c r="T409" s="384" t="n"/>
      <c r="U409" s="384" t="n"/>
      <c r="V409" s="384" t="n"/>
      <c r="W409" s="384" t="n"/>
      <c r="X409" s="645">
        <f>IF(_epmOfflineCondition_,"I_E100511",EPMOlapMemberO("[C_INTERCO].[PARENTH1].[I_E100511]","","I_E100511","","000"))</f>
        <v/>
      </c>
      <c r="Y409" s="870">
        <f>IF(_epmOfflineCondition_,"北京金泰通华商贸有限责任公司华云物业管理分公司",EPMMemberDesc(X409))</f>
        <v/>
      </c>
      <c r="Z409" s="1302" t="n"/>
      <c r="AA409" s="1302" t="n"/>
      <c r="AB409" s="858" t="n"/>
      <c r="AC409" s="1302" t="n"/>
      <c r="AD409" s="1302" t="n"/>
      <c r="AE409" s="1302" t="inlineStr"/>
      <c r="AF409" s="1302" t="inlineStr"/>
      <c r="AG409" s="1302" t="inlineStr"/>
      <c r="AH409" s="1302" t="n"/>
      <c r="AI409" s="1302" t="n"/>
      <c r="AJ409" s="1302" t="n"/>
      <c r="AK409" s="1302">
        <f>AI409-AJ409</f>
        <v/>
      </c>
      <c r="AL409" s="858" t="n"/>
      <c r="AM409" s="1297" t="inlineStr"/>
      <c r="AN409" s="1298" t="n"/>
      <c r="AO409" s="13">
        <f>IF(_epmOfflineCondition_,0,EPMSaveDataOnly(AB409,,AB$29,AB$25,AB$26,AB$31,AB$32,$AA$37,AO$14,AO$15,AO$16,AO$17,AO$18,X409))</f>
        <v/>
      </c>
      <c r="AP409" s="13">
        <f>IF(_epmOfflineCondition_,0,EPMSaveDataOnly(AL409,,AL$29,AL$25,AL$26,AL$31,AL$32,$AA$37,AP$14,AP$15,AP$16,AP$17,AP$18,$X409))</f>
        <v/>
      </c>
      <c r="AQ409" s="13">
        <f>IF(_epmOfflineCondition_,0,EPMSaveData(AM409,,AM$29,AM$25,AM$26,$C$6,AM$32,$AA$37,AQ$14,AQ$15,AQ$16,AQ$17,AQ$18,$X409))</f>
        <v/>
      </c>
      <c r="AR409" s="13">
        <f>IF(_epmOfflineCondition_,0,EPMSaveDataOnly(AN409,,AN$29,AN$25,AN$26,AN$31,AN$32,$AA$37,AR$14,AR$15,AR$16,AR$17,AR$18,$X409))</f>
        <v/>
      </c>
      <c r="AS409" s="384" t="n"/>
    </row>
    <row r="410" hidden="1" s="1181">
      <c r="A410" s="384" t="n"/>
      <c r="B410" s="384" t="n"/>
      <c r="C410" s="384" t="n"/>
      <c r="D410" s="384" t="n"/>
      <c r="E410" s="384" t="n"/>
      <c r="F410" s="384" t="n"/>
      <c r="G410" s="384" t="n"/>
      <c r="H410" s="384" t="n"/>
      <c r="I410" s="384" t="n"/>
      <c r="J410" s="384" t="n"/>
      <c r="K410" s="384" t="n"/>
      <c r="L410" s="384" t="n"/>
      <c r="M410" s="384" t="n"/>
      <c r="N410" s="384" t="n"/>
      <c r="O410" s="384" t="n"/>
      <c r="P410" s="384" t="n"/>
      <c r="Q410" s="384" t="n"/>
      <c r="R410" s="384" t="n"/>
      <c r="S410" s="384" t="n"/>
      <c r="T410" s="384" t="n"/>
      <c r="U410" s="384" t="n"/>
      <c r="V410" s="384" t="n"/>
      <c r="W410" s="384" t="n"/>
      <c r="X410" s="645">
        <f>IF(_epmOfflineCondition_,"I_E100512",EPMOlapMemberO("[C_INTERCO].[PARENTH1].[I_E100512]","","I_E100512","","000"))</f>
        <v/>
      </c>
      <c r="Y410" s="870">
        <f>IF(_epmOfflineCondition_,"北京金泰通华商贸有限责任公司厨房设备分公司",EPMMemberDesc(X410))</f>
        <v/>
      </c>
      <c r="Z410" s="1302" t="n"/>
      <c r="AA410" s="1302" t="n"/>
      <c r="AB410" s="858" t="n"/>
      <c r="AC410" s="1302" t="n"/>
      <c r="AD410" s="1302" t="n"/>
      <c r="AE410" s="1302" t="inlineStr"/>
      <c r="AF410" s="1302" t="inlineStr"/>
      <c r="AG410" s="1302" t="inlineStr"/>
      <c r="AH410" s="1302" t="n"/>
      <c r="AI410" s="1302" t="n"/>
      <c r="AJ410" s="1302" t="n"/>
      <c r="AK410" s="1302">
        <f>AI410-AJ410</f>
        <v/>
      </c>
      <c r="AL410" s="858" t="n"/>
      <c r="AM410" s="1297" t="inlineStr"/>
      <c r="AN410" s="1298" t="n"/>
      <c r="AO410" s="13">
        <f>IF(_epmOfflineCondition_,0,EPMSaveDataOnly(AB410,,AB$29,AB$25,AB$26,AB$31,AB$32,$AA$37,AO$14,AO$15,AO$16,AO$17,AO$18,X410))</f>
        <v/>
      </c>
      <c r="AP410" s="13">
        <f>IF(_epmOfflineCondition_,0,EPMSaveDataOnly(AL410,,AL$29,AL$25,AL$26,AL$31,AL$32,$AA$37,AP$14,AP$15,AP$16,AP$17,AP$18,$X410))</f>
        <v/>
      </c>
      <c r="AQ410" s="13">
        <f>IF(_epmOfflineCondition_,0,EPMSaveData(AM410,,AM$29,AM$25,AM$26,$C$6,AM$32,$AA$37,AQ$14,AQ$15,AQ$16,AQ$17,AQ$18,$X410))</f>
        <v/>
      </c>
      <c r="AR410" s="13">
        <f>IF(_epmOfflineCondition_,0,EPMSaveDataOnly(AN410,,AN$29,AN$25,AN$26,AN$31,AN$32,$AA$37,AR$14,AR$15,AR$16,AR$17,AR$18,$X410))</f>
        <v/>
      </c>
      <c r="AS410" s="384" t="n"/>
    </row>
    <row r="411" hidden="1" ht="15.75" customHeight="1" s="1181">
      <c r="A411" s="384" t="n"/>
      <c r="B411" s="384" t="n"/>
      <c r="C411" s="384" t="n"/>
      <c r="D411" s="384" t="n"/>
      <c r="E411" s="384" t="n"/>
      <c r="F411" s="384" t="n"/>
      <c r="G411" s="384" t="n"/>
      <c r="H411" s="384" t="n"/>
      <c r="I411" s="384" t="n"/>
      <c r="J411" s="384" t="n"/>
      <c r="K411" s="384" t="n"/>
      <c r="L411" s="384" t="n"/>
      <c r="M411" s="384" t="n"/>
      <c r="N411" s="384" t="n"/>
      <c r="O411" s="384" t="n"/>
      <c r="P411" s="384" t="n"/>
      <c r="Q411" s="384" t="n"/>
      <c r="R411" s="384" t="n"/>
      <c r="S411" s="384" t="n"/>
      <c r="T411" s="384" t="n"/>
      <c r="U411" s="384" t="n"/>
      <c r="V411" s="384" t="n"/>
      <c r="W411" s="384" t="n"/>
      <c r="X411" s="645">
        <f>IF(_epmOfflineCondition_,"I_E100515",EPMOlapMemberO("[C_INTERCO].[PARENTH1].[I_E100515]","","I_E100515","","000"))</f>
        <v/>
      </c>
      <c r="Y411" s="870">
        <f>IF(_epmOfflineCondition_,"北京京煤集团总医院门矿医院-2025年1月注销",EPMMemberDesc(X411))</f>
        <v/>
      </c>
      <c r="Z411" s="1302" t="n"/>
      <c r="AA411" s="1302" t="n"/>
      <c r="AB411" s="858" t="n"/>
      <c r="AC411" s="1302" t="n"/>
      <c r="AD411" s="1302" t="n"/>
      <c r="AE411" s="1302" t="inlineStr"/>
      <c r="AF411" s="1302" t="inlineStr"/>
      <c r="AG411" s="1302" t="inlineStr"/>
      <c r="AH411" s="1302" t="n"/>
      <c r="AI411" s="1302" t="n"/>
      <c r="AJ411" s="1302" t="n"/>
      <c r="AK411" s="1302">
        <f>AI411-AJ411</f>
        <v/>
      </c>
      <c r="AL411" s="858" t="n"/>
      <c r="AM411" s="1297" t="inlineStr"/>
      <c r="AN411" s="1298" t="n"/>
      <c r="AO411" s="13">
        <f>IF(_epmOfflineCondition_,0,EPMSaveDataOnly(AB411,,AB$29,AB$25,AB$26,AB$31,AB$32,$AA$37,AO$14,AO$15,AO$16,AO$17,AO$18,X411))</f>
        <v/>
      </c>
      <c r="AP411" s="13">
        <f>IF(_epmOfflineCondition_,0,EPMSaveDataOnly(AL411,,AL$29,AL$25,AL$26,AL$31,AL$32,$AA$37,AP$14,AP$15,AP$16,AP$17,AP$18,$X411))</f>
        <v/>
      </c>
      <c r="AQ411" s="13">
        <f>IF(_epmOfflineCondition_,0,EPMSaveData(AM411,,AM$29,AM$25,AM$26,$C$6,AM$32,$AA$37,AQ$14,AQ$15,AQ$16,AQ$17,AQ$18,$X411))</f>
        <v/>
      </c>
      <c r="AR411" s="13">
        <f>IF(_epmOfflineCondition_,0,EPMSaveDataOnly(AN411,,AN$29,AN$25,AN$26,AN$31,AN$32,$AA$37,AR$14,AR$15,AR$16,AR$17,AR$18,$X411))</f>
        <v/>
      </c>
      <c r="AS411" s="384" t="n"/>
    </row>
    <row r="412" hidden="1" ht="15.75" customHeight="1" s="1181">
      <c r="A412" s="384" t="n"/>
      <c r="B412" s="384" t="n"/>
      <c r="C412" s="384" t="n"/>
      <c r="D412" s="384" t="n"/>
      <c r="E412" s="384" t="n"/>
      <c r="F412" s="384" t="n"/>
      <c r="G412" s="384" t="n"/>
      <c r="H412" s="384" t="n"/>
      <c r="I412" s="384" t="n"/>
      <c r="J412" s="384" t="n"/>
      <c r="K412" s="384" t="n"/>
      <c r="L412" s="384" t="n"/>
      <c r="M412" s="384" t="n"/>
      <c r="N412" s="384" t="n"/>
      <c r="O412" s="384" t="n"/>
      <c r="P412" s="384" t="n"/>
      <c r="Q412" s="384" t="n"/>
      <c r="R412" s="384" t="n"/>
      <c r="S412" s="384" t="n"/>
      <c r="T412" s="384" t="n"/>
      <c r="U412" s="384" t="n"/>
      <c r="V412" s="384" t="n"/>
      <c r="W412" s="384" t="n"/>
      <c r="X412" s="645">
        <f>IF(_epmOfflineCondition_,"I_E100516",EPMOlapMemberO("[C_INTERCO].[PARENTH1].[I_E100516]","","I_E100516","","000"))</f>
        <v/>
      </c>
      <c r="Y412" s="870">
        <f>IF(_epmOfflineCondition_,"北京京煤集团总医院大台医院-2025年1月注销",EPMMemberDesc(X412))</f>
        <v/>
      </c>
      <c r="Z412" s="1302" t="n"/>
      <c r="AA412" s="1302" t="n"/>
      <c r="AB412" s="858" t="n"/>
      <c r="AC412" s="1302" t="n"/>
      <c r="AD412" s="1302" t="n"/>
      <c r="AE412" s="1302" t="inlineStr"/>
      <c r="AF412" s="1302" t="inlineStr"/>
      <c r="AG412" s="1302" t="inlineStr"/>
      <c r="AH412" s="1302" t="n"/>
      <c r="AI412" s="1302" t="n"/>
      <c r="AJ412" s="1302" t="n"/>
      <c r="AK412" s="1302">
        <f>AI412-AJ412</f>
        <v/>
      </c>
      <c r="AL412" s="858" t="n"/>
      <c r="AM412" s="1297" t="inlineStr"/>
      <c r="AN412" s="1298" t="n"/>
      <c r="AO412" s="13">
        <f>IF(_epmOfflineCondition_,0,EPMSaveDataOnly(AB412,,AB$29,AB$25,AB$26,AB$31,AB$32,$AA$37,AO$14,AO$15,AO$16,AO$17,AO$18,X412))</f>
        <v/>
      </c>
      <c r="AP412" s="13">
        <f>IF(_epmOfflineCondition_,0,EPMSaveDataOnly(AL412,,AL$29,AL$25,AL$26,AL$31,AL$32,$AA$37,AP$14,AP$15,AP$16,AP$17,AP$18,$X412))</f>
        <v/>
      </c>
      <c r="AQ412" s="13">
        <f>IF(_epmOfflineCondition_,0,EPMSaveData(AM412,,AM$29,AM$25,AM$26,$C$6,AM$32,$AA$37,AQ$14,AQ$15,AQ$16,AQ$17,AQ$18,$X412))</f>
        <v/>
      </c>
      <c r="AR412" s="13">
        <f>IF(_epmOfflineCondition_,0,EPMSaveDataOnly(AN412,,AN$29,AN$25,AN$26,AN$31,AN$32,$AA$37,AR$14,AR$15,AR$16,AR$17,AR$18,$X412))</f>
        <v/>
      </c>
      <c r="AS412" s="384" t="n"/>
    </row>
    <row r="413" hidden="1" ht="15.75" customHeight="1" s="1181">
      <c r="A413" s="384" t="n"/>
      <c r="B413" s="384" t="n"/>
      <c r="C413" s="384" t="n"/>
      <c r="D413" s="384" t="n"/>
      <c r="E413" s="384" t="n"/>
      <c r="F413" s="384" t="n"/>
      <c r="G413" s="384" t="n"/>
      <c r="H413" s="384" t="n"/>
      <c r="I413" s="384" t="n"/>
      <c r="J413" s="384" t="n"/>
      <c r="K413" s="384" t="n"/>
      <c r="L413" s="384" t="n"/>
      <c r="M413" s="384" t="n"/>
      <c r="N413" s="384" t="n"/>
      <c r="O413" s="384" t="n"/>
      <c r="P413" s="384" t="n"/>
      <c r="Q413" s="384" t="n"/>
      <c r="R413" s="384" t="n"/>
      <c r="S413" s="384" t="n"/>
      <c r="T413" s="384" t="n"/>
      <c r="U413" s="384" t="n"/>
      <c r="V413" s="384" t="n"/>
      <c r="W413" s="384" t="n"/>
      <c r="X413" s="645">
        <f>IF(_epmOfflineCondition_,"I_E100517",EPMOlapMemberO("[C_INTERCO].[PARENTH1].[I_E100517]","","I_E100517","","000"))</f>
        <v/>
      </c>
      <c r="Y413" s="870">
        <f>IF(_epmOfflineCondition_,"北京京煤集团总医院木城涧医院-2025年1月注销",EPMMemberDesc(X413))</f>
        <v/>
      </c>
      <c r="Z413" s="1302" t="n"/>
      <c r="AA413" s="1302" t="n"/>
      <c r="AB413" s="858" t="n"/>
      <c r="AC413" s="1302" t="n"/>
      <c r="AD413" s="1302" t="n"/>
      <c r="AE413" s="1302" t="inlineStr"/>
      <c r="AF413" s="1302" t="inlineStr"/>
      <c r="AG413" s="1302" t="inlineStr"/>
      <c r="AH413" s="1302" t="n"/>
      <c r="AI413" s="1302" t="n"/>
      <c r="AJ413" s="1302" t="n"/>
      <c r="AK413" s="1302">
        <f>AI413-AJ413</f>
        <v/>
      </c>
      <c r="AL413" s="858" t="n"/>
      <c r="AM413" s="1297" t="inlineStr"/>
      <c r="AN413" s="1298" t="n"/>
      <c r="AO413" s="13">
        <f>IF(_epmOfflineCondition_,0,EPMSaveDataOnly(AB413,,AB$29,AB$25,AB$26,AB$31,AB$32,$AA$37,AO$14,AO$15,AO$16,AO$17,AO$18,X413))</f>
        <v/>
      </c>
      <c r="AP413" s="13">
        <f>IF(_epmOfflineCondition_,0,EPMSaveDataOnly(AL413,,AL$29,AL$25,AL$26,AL$31,AL$32,$AA$37,AP$14,AP$15,AP$16,AP$17,AP$18,$X413))</f>
        <v/>
      </c>
      <c r="AQ413" s="13">
        <f>IF(_epmOfflineCondition_,0,EPMSaveData(AM413,,AM$29,AM$25,AM$26,$C$6,AM$32,$AA$37,AQ$14,AQ$15,AQ$16,AQ$17,AQ$18,$X413))</f>
        <v/>
      </c>
      <c r="AR413" s="13">
        <f>IF(_epmOfflineCondition_,0,EPMSaveDataOnly(AN413,,AN$29,AN$25,AN$26,AN$31,AN$32,$AA$37,AR$14,AR$15,AR$16,AR$17,AR$18,$X413))</f>
        <v/>
      </c>
      <c r="AS413" s="384" t="n"/>
    </row>
    <row r="414" hidden="1" ht="15.75" customHeight="1" s="1181">
      <c r="A414" s="384" t="n"/>
      <c r="B414" s="384" t="n"/>
      <c r="C414" s="384" t="n"/>
      <c r="D414" s="384" t="n"/>
      <c r="E414" s="384" t="n"/>
      <c r="F414" s="384" t="n"/>
      <c r="G414" s="384" t="n"/>
      <c r="H414" s="384" t="n"/>
      <c r="I414" s="384" t="n"/>
      <c r="J414" s="384" t="n"/>
      <c r="K414" s="384" t="n"/>
      <c r="L414" s="384" t="n"/>
      <c r="M414" s="384" t="n"/>
      <c r="N414" s="384" t="n"/>
      <c r="O414" s="384" t="n"/>
      <c r="P414" s="384" t="n"/>
      <c r="Q414" s="384" t="n"/>
      <c r="R414" s="384" t="n"/>
      <c r="S414" s="384" t="n"/>
      <c r="T414" s="384" t="n"/>
      <c r="U414" s="384" t="n"/>
      <c r="V414" s="384" t="n"/>
      <c r="W414" s="384" t="n"/>
      <c r="X414" s="645">
        <f>IF(_epmOfflineCondition_,"I_E100518",EPMOlapMemberO("[C_INTERCO].[PARENTH1].[I_E100518]","","I_E100518","","000"))</f>
        <v/>
      </c>
      <c r="Y414" s="870">
        <f>IF(_epmOfflineCondition_,"北京京煤集团总医院王平医院-2025年1月注销",EPMMemberDesc(X414))</f>
        <v/>
      </c>
      <c r="Z414" s="1302" t="n"/>
      <c r="AA414" s="1302" t="n"/>
      <c r="AB414" s="858" t="n"/>
      <c r="AC414" s="1302" t="n"/>
      <c r="AD414" s="1302" t="n"/>
      <c r="AE414" s="1302" t="inlineStr"/>
      <c r="AF414" s="1302" t="inlineStr"/>
      <c r="AG414" s="1302" t="inlineStr"/>
      <c r="AH414" s="1302" t="n"/>
      <c r="AI414" s="1302" t="n"/>
      <c r="AJ414" s="1302" t="n"/>
      <c r="AK414" s="1302">
        <f>AI414-AJ414</f>
        <v/>
      </c>
      <c r="AL414" s="858" t="n"/>
      <c r="AM414" s="1297" t="inlineStr"/>
      <c r="AN414" s="1298" t="n"/>
      <c r="AO414" s="13">
        <f>IF(_epmOfflineCondition_,0,EPMSaveDataOnly(AB414,,AB$29,AB$25,AB$26,AB$31,AB$32,$AA$37,AO$14,AO$15,AO$16,AO$17,AO$18,X414))</f>
        <v/>
      </c>
      <c r="AP414" s="13">
        <f>IF(_epmOfflineCondition_,0,EPMSaveDataOnly(AL414,,AL$29,AL$25,AL$26,AL$31,AL$32,$AA$37,AP$14,AP$15,AP$16,AP$17,AP$18,$X414))</f>
        <v/>
      </c>
      <c r="AQ414" s="13">
        <f>IF(_epmOfflineCondition_,0,EPMSaveData(AM414,,AM$29,AM$25,AM$26,$C$6,AM$32,$AA$37,AQ$14,AQ$15,AQ$16,AQ$17,AQ$18,$X414))</f>
        <v/>
      </c>
      <c r="AR414" s="13">
        <f>IF(_epmOfflineCondition_,0,EPMSaveDataOnly(AN414,,AN$29,AN$25,AN$26,AN$31,AN$32,$AA$37,AR$14,AR$15,AR$16,AR$17,AR$18,$X414))</f>
        <v/>
      </c>
      <c r="AS414" s="384" t="n"/>
    </row>
    <row r="415" hidden="1" ht="15.75" customHeight="1" s="1181">
      <c r="A415" s="384" t="n"/>
      <c r="B415" s="384" t="n"/>
      <c r="C415" s="384" t="n"/>
      <c r="D415" s="384" t="n"/>
      <c r="E415" s="384" t="n"/>
      <c r="F415" s="384" t="n"/>
      <c r="G415" s="384" t="n"/>
      <c r="H415" s="384" t="n"/>
      <c r="I415" s="384" t="n"/>
      <c r="J415" s="384" t="n"/>
      <c r="K415" s="384" t="n"/>
      <c r="L415" s="384" t="n"/>
      <c r="M415" s="384" t="n"/>
      <c r="N415" s="384" t="n"/>
      <c r="O415" s="384" t="n"/>
      <c r="P415" s="384" t="n"/>
      <c r="Q415" s="384" t="n"/>
      <c r="R415" s="384" t="n"/>
      <c r="S415" s="384" t="n"/>
      <c r="T415" s="384" t="n"/>
      <c r="U415" s="384" t="n"/>
      <c r="V415" s="384" t="n"/>
      <c r="W415" s="384" t="n"/>
      <c r="X415" s="645">
        <f>IF(_epmOfflineCondition_,"I_E100519",EPMOlapMemberO("[C_INTERCO].[PARENTH1].[I_E100519]","","I_E100519","","000"))</f>
        <v/>
      </c>
      <c r="Y415" s="870">
        <f>IF(_epmOfflineCondition_,"北京京煤集团总医院万佛堂医院-2025年1月注销",EPMMemberDesc(X415))</f>
        <v/>
      </c>
      <c r="Z415" s="1302" t="n"/>
      <c r="AA415" s="1302" t="n"/>
      <c r="AB415" s="858" t="n"/>
      <c r="AC415" s="1302" t="n"/>
      <c r="AD415" s="1302" t="n"/>
      <c r="AE415" s="1302" t="inlineStr"/>
      <c r="AF415" s="1302" t="inlineStr"/>
      <c r="AG415" s="1302" t="inlineStr"/>
      <c r="AH415" s="1302" t="n"/>
      <c r="AI415" s="1302" t="n"/>
      <c r="AJ415" s="1302" t="n"/>
      <c r="AK415" s="1302">
        <f>AI415-AJ415</f>
        <v/>
      </c>
      <c r="AL415" s="858" t="n"/>
      <c r="AM415" s="1297" t="inlineStr"/>
      <c r="AN415" s="1298" t="n"/>
      <c r="AO415" s="13">
        <f>IF(_epmOfflineCondition_,0,EPMSaveDataOnly(AB415,,AB$29,AB$25,AB$26,AB$31,AB$32,$AA$37,AO$14,AO$15,AO$16,AO$17,AO$18,X415))</f>
        <v/>
      </c>
      <c r="AP415" s="13">
        <f>IF(_epmOfflineCondition_,0,EPMSaveDataOnly(AL415,,AL$29,AL$25,AL$26,AL$31,AL$32,$AA$37,AP$14,AP$15,AP$16,AP$17,AP$18,$X415))</f>
        <v/>
      </c>
      <c r="AQ415" s="13">
        <f>IF(_epmOfflineCondition_,0,EPMSaveData(AM415,,AM$29,AM$25,AM$26,$C$6,AM$32,$AA$37,AQ$14,AQ$15,AQ$16,AQ$17,AQ$18,$X415))</f>
        <v/>
      </c>
      <c r="AR415" s="13">
        <f>IF(_epmOfflineCondition_,0,EPMSaveDataOnly(AN415,,AN$29,AN$25,AN$26,AN$31,AN$32,$AA$37,AR$14,AR$15,AR$16,AR$17,AR$18,$X415))</f>
        <v/>
      </c>
      <c r="AS415" s="384" t="n"/>
    </row>
    <row r="416" hidden="1" ht="15.75" customHeight="1" s="1181">
      <c r="A416" s="384" t="n"/>
      <c r="B416" s="384" t="n"/>
      <c r="C416" s="384" t="n"/>
      <c r="D416" s="384" t="n"/>
      <c r="E416" s="384" t="n"/>
      <c r="F416" s="384" t="n"/>
      <c r="G416" s="384" t="n"/>
      <c r="H416" s="384" t="n"/>
      <c r="I416" s="384" t="n"/>
      <c r="J416" s="384" t="n"/>
      <c r="K416" s="384" t="n"/>
      <c r="L416" s="384" t="n"/>
      <c r="M416" s="384" t="n"/>
      <c r="N416" s="384" t="n"/>
      <c r="O416" s="384" t="n"/>
      <c r="P416" s="384" t="n"/>
      <c r="Q416" s="384" t="n"/>
      <c r="R416" s="384" t="n"/>
      <c r="S416" s="384" t="n"/>
      <c r="T416" s="384" t="n"/>
      <c r="U416" s="384" t="n"/>
      <c r="V416" s="384" t="n"/>
      <c r="W416" s="384" t="n"/>
      <c r="X416" s="645">
        <f>IF(_epmOfflineCondition_,"I_E100520",EPMOlapMemberO("[C_INTERCO].[PARENTH1].[I_E100520]","","I_E100520","","000"))</f>
        <v/>
      </c>
      <c r="Y416" s="870">
        <f>IF(_epmOfflineCondition_,"北京京煤集团总医院长沟峪医院-2025年1月注销",EPMMemberDesc(X416))</f>
        <v/>
      </c>
      <c r="Z416" s="1302" t="n"/>
      <c r="AA416" s="1302" t="n"/>
      <c r="AB416" s="858" t="n"/>
      <c r="AC416" s="1302" t="n"/>
      <c r="AD416" s="1302" t="n"/>
      <c r="AE416" s="1302" t="inlineStr"/>
      <c r="AF416" s="1302" t="inlineStr"/>
      <c r="AG416" s="1302" t="inlineStr"/>
      <c r="AH416" s="1302" t="n"/>
      <c r="AI416" s="1302" t="n"/>
      <c r="AJ416" s="1302" t="n"/>
      <c r="AK416" s="1302">
        <f>AI416-AJ416</f>
        <v/>
      </c>
      <c r="AL416" s="858" t="n"/>
      <c r="AM416" s="1297" t="inlineStr"/>
      <c r="AN416" s="1298" t="n"/>
      <c r="AO416" s="13">
        <f>IF(_epmOfflineCondition_,0,EPMSaveDataOnly(AB416,,AB$29,AB$25,AB$26,AB$31,AB$32,$AA$37,AO$14,AO$15,AO$16,AO$17,AO$18,X416))</f>
        <v/>
      </c>
      <c r="AP416" s="13">
        <f>IF(_epmOfflineCondition_,0,EPMSaveDataOnly(AL416,,AL$29,AL$25,AL$26,AL$31,AL$32,$AA$37,AP$14,AP$15,AP$16,AP$17,AP$18,$X416))</f>
        <v/>
      </c>
      <c r="AQ416" s="13">
        <f>IF(_epmOfflineCondition_,0,EPMSaveData(AM416,,AM$29,AM$25,AM$26,$C$6,AM$32,$AA$37,AQ$14,AQ$15,AQ$16,AQ$17,AQ$18,$X416))</f>
        <v/>
      </c>
      <c r="AR416" s="13">
        <f>IF(_epmOfflineCondition_,0,EPMSaveDataOnly(AN416,,AN$29,AN$25,AN$26,AN$31,AN$32,$AA$37,AR$14,AR$15,AR$16,AR$17,AR$18,$X416))</f>
        <v/>
      </c>
      <c r="AS416" s="384" t="n"/>
    </row>
    <row r="417" hidden="1" ht="15.75" customHeight="1" s="1181">
      <c r="A417" s="384" t="n"/>
      <c r="B417" s="384" t="n"/>
      <c r="C417" s="384" t="n"/>
      <c r="D417" s="384" t="n"/>
      <c r="E417" s="384" t="n"/>
      <c r="F417" s="384" t="n"/>
      <c r="G417" s="384" t="n"/>
      <c r="H417" s="384" t="n"/>
      <c r="I417" s="384" t="n"/>
      <c r="J417" s="384" t="n"/>
      <c r="K417" s="384" t="n"/>
      <c r="L417" s="384" t="n"/>
      <c r="M417" s="384" t="n"/>
      <c r="N417" s="384" t="n"/>
      <c r="O417" s="384" t="n"/>
      <c r="P417" s="384" t="n"/>
      <c r="Q417" s="384" t="n"/>
      <c r="R417" s="384" t="n"/>
      <c r="S417" s="384" t="n"/>
      <c r="T417" s="384" t="n"/>
      <c r="U417" s="384" t="n"/>
      <c r="V417" s="384" t="n"/>
      <c r="W417" s="384" t="n"/>
      <c r="X417" s="645">
        <f>IF(_epmOfflineCondition_,"I_E100521",EPMOlapMemberO("[C_INTERCO].[PARENTH1].[I_E100521]","","I_E100521","","000"))</f>
        <v/>
      </c>
      <c r="Y417" s="870">
        <f>IF(_epmOfflineCondition_,"北京京煤集团总医院大安山医院-2025年1月注销",EPMMemberDesc(X417))</f>
        <v/>
      </c>
      <c r="Z417" s="1302" t="n"/>
      <c r="AA417" s="1302" t="n"/>
      <c r="AB417" s="858" t="n"/>
      <c r="AC417" s="1302" t="n"/>
      <c r="AD417" s="1302" t="n"/>
      <c r="AE417" s="1302" t="inlineStr"/>
      <c r="AF417" s="1302" t="inlineStr"/>
      <c r="AG417" s="1302" t="inlineStr"/>
      <c r="AH417" s="1302" t="n"/>
      <c r="AI417" s="1302" t="n"/>
      <c r="AJ417" s="1302" t="n"/>
      <c r="AK417" s="1302">
        <f>AI417-AJ417</f>
        <v/>
      </c>
      <c r="AL417" s="858" t="n"/>
      <c r="AM417" s="1297" t="inlineStr"/>
      <c r="AN417" s="1298" t="n"/>
      <c r="AO417" s="13">
        <f>IF(_epmOfflineCondition_,0,EPMSaveDataOnly(AB417,,AB$29,AB$25,AB$26,AB$31,AB$32,$AA$37,AO$14,AO$15,AO$16,AO$17,AO$18,X417))</f>
        <v/>
      </c>
      <c r="AP417" s="13">
        <f>IF(_epmOfflineCondition_,0,EPMSaveDataOnly(AL417,,AL$29,AL$25,AL$26,AL$31,AL$32,$AA$37,AP$14,AP$15,AP$16,AP$17,AP$18,$X417))</f>
        <v/>
      </c>
      <c r="AQ417" s="13">
        <f>IF(_epmOfflineCondition_,0,EPMSaveData(AM417,,AM$29,AM$25,AM$26,$C$6,AM$32,$AA$37,AQ$14,AQ$15,AQ$16,AQ$17,AQ$18,$X417))</f>
        <v/>
      </c>
      <c r="AR417" s="13">
        <f>IF(_epmOfflineCondition_,0,EPMSaveDataOnly(AN417,,AN$29,AN$25,AN$26,AN$31,AN$32,$AA$37,AR$14,AR$15,AR$16,AR$17,AR$18,$X417))</f>
        <v/>
      </c>
      <c r="AS417" s="384" t="n"/>
    </row>
    <row r="418" hidden="1" ht="15.75" customHeight="1" s="1181">
      <c r="A418" s="384" t="n"/>
      <c r="B418" s="384" t="n"/>
      <c r="C418" s="384" t="n"/>
      <c r="D418" s="384" t="n"/>
      <c r="E418" s="384" t="n"/>
      <c r="F418" s="384" t="n"/>
      <c r="G418" s="384" t="n"/>
      <c r="H418" s="384" t="n"/>
      <c r="I418" s="384" t="n"/>
      <c r="J418" s="384" t="n"/>
      <c r="K418" s="384" t="n"/>
      <c r="L418" s="384" t="n"/>
      <c r="M418" s="384" t="n"/>
      <c r="N418" s="384" t="n"/>
      <c r="O418" s="384" t="n"/>
      <c r="P418" s="384" t="n"/>
      <c r="Q418" s="384" t="n"/>
      <c r="R418" s="384" t="n"/>
      <c r="S418" s="384" t="n"/>
      <c r="T418" s="384" t="n"/>
      <c r="U418" s="384" t="n"/>
      <c r="V418" s="384" t="n"/>
      <c r="W418" s="384" t="n"/>
      <c r="X418" s="645">
        <f>IF(_epmOfflineCondition_,"I_E100526",EPMOlapMemberO("[C_INTERCO].[PARENTH1].[I_E100526]","","I_E100526","","000"))</f>
        <v/>
      </c>
      <c r="Y418" s="870">
        <f>IF(_epmOfflineCondition_,"电商事业部",EPMMemberDesc(X418))</f>
        <v/>
      </c>
      <c r="Z418" s="1302" t="n"/>
      <c r="AA418" s="1302" t="n"/>
      <c r="AB418" s="858" t="n"/>
      <c r="AC418" s="1302" t="n"/>
      <c r="AD418" s="1302" t="n"/>
      <c r="AE418" s="1302" t="inlineStr"/>
      <c r="AF418" s="1302" t="inlineStr"/>
      <c r="AG418" s="1302" t="inlineStr"/>
      <c r="AH418" s="1302" t="n"/>
      <c r="AI418" s="1302" t="n"/>
      <c r="AJ418" s="1302" t="n"/>
      <c r="AK418" s="1302">
        <f>AI418-AJ418</f>
        <v/>
      </c>
      <c r="AL418" s="858" t="n"/>
      <c r="AM418" s="1297" t="inlineStr"/>
      <c r="AN418" s="1298" t="n"/>
      <c r="AO418" s="13">
        <f>IF(_epmOfflineCondition_,0,EPMSaveDataOnly(AB418,,AB$29,AB$25,AB$26,AB$31,AB$32,$AA$37,AO$14,AO$15,AO$16,AO$17,AO$18,X418))</f>
        <v/>
      </c>
      <c r="AP418" s="13">
        <f>IF(_epmOfflineCondition_,0,EPMSaveDataOnly(AL418,,AL$29,AL$25,AL$26,AL$31,AL$32,$AA$37,AP$14,AP$15,AP$16,AP$17,AP$18,$X418))</f>
        <v/>
      </c>
      <c r="AQ418" s="13">
        <f>IF(_epmOfflineCondition_,0,EPMSaveData(AM418,,AM$29,AM$25,AM$26,$C$6,AM$32,$AA$37,AQ$14,AQ$15,AQ$16,AQ$17,AQ$18,$X418))</f>
        <v/>
      </c>
      <c r="AR418" s="13">
        <f>IF(_epmOfflineCondition_,0,EPMSaveDataOnly(AN418,,AN$29,AN$25,AN$26,AN$31,AN$32,$AA$37,AR$14,AR$15,AR$16,AR$17,AR$18,$X418))</f>
        <v/>
      </c>
      <c r="AS418" s="384" t="n"/>
    </row>
    <row r="419" hidden="1" ht="15.75" customHeight="1" s="1181">
      <c r="A419" s="384" t="n"/>
      <c r="B419" s="384" t="n"/>
      <c r="C419" s="384" t="n"/>
      <c r="D419" s="384" t="n"/>
      <c r="E419" s="384" t="n"/>
      <c r="F419" s="384" t="n"/>
      <c r="G419" s="384" t="n"/>
      <c r="H419" s="384" t="n"/>
      <c r="I419" s="384" t="n"/>
      <c r="J419" s="384" t="n"/>
      <c r="K419" s="384" t="n"/>
      <c r="L419" s="384" t="n"/>
      <c r="M419" s="384" t="n"/>
      <c r="N419" s="384" t="n"/>
      <c r="O419" s="384" t="n"/>
      <c r="P419" s="384" t="n"/>
      <c r="Q419" s="384" t="n"/>
      <c r="R419" s="384" t="n"/>
      <c r="S419" s="384" t="n"/>
      <c r="T419" s="384" t="n"/>
      <c r="U419" s="384" t="n"/>
      <c r="V419" s="384" t="n"/>
      <c r="W419" s="384" t="n"/>
      <c r="X419" s="645">
        <f>IF(_epmOfflineCondition_,"I_E100527",EPMOlapMemberO("[C_INTERCO].[PARENTH1].[I_E100527]","","I_E100527","","000"))</f>
        <v/>
      </c>
      <c r="Y419" s="870">
        <f>IF(_epmOfflineCondition_,"房山坨里项目部",EPMMemberDesc(X419))</f>
        <v/>
      </c>
      <c r="Z419" s="1302" t="n"/>
      <c r="AA419" s="1302" t="n"/>
      <c r="AB419" s="858" t="n"/>
      <c r="AC419" s="1302" t="n"/>
      <c r="AD419" s="1302" t="n"/>
      <c r="AE419" s="1302" t="inlineStr"/>
      <c r="AF419" s="1302" t="inlineStr"/>
      <c r="AG419" s="1302" t="inlineStr"/>
      <c r="AH419" s="1302" t="n"/>
      <c r="AI419" s="1302" t="n"/>
      <c r="AJ419" s="1302" t="n"/>
      <c r="AK419" s="1302">
        <f>AI419-AJ419</f>
        <v/>
      </c>
      <c r="AL419" s="858" t="n"/>
      <c r="AM419" s="1297" t="inlineStr"/>
      <c r="AN419" s="1298" t="n"/>
      <c r="AO419" s="13">
        <f>IF(_epmOfflineCondition_,0,EPMSaveDataOnly(AB419,,AB$29,AB$25,AB$26,AB$31,AB$32,$AA$37,AO$14,AO$15,AO$16,AO$17,AO$18,X419))</f>
        <v/>
      </c>
      <c r="AP419" s="13">
        <f>IF(_epmOfflineCondition_,0,EPMSaveDataOnly(AL419,,AL$29,AL$25,AL$26,AL$31,AL$32,$AA$37,AP$14,AP$15,AP$16,AP$17,AP$18,$X419))</f>
        <v/>
      </c>
      <c r="AQ419" s="13">
        <f>IF(_epmOfflineCondition_,0,EPMSaveData(AM419,,AM$29,AM$25,AM$26,$C$6,AM$32,$AA$37,AQ$14,AQ$15,AQ$16,AQ$17,AQ$18,$X419))</f>
        <v/>
      </c>
      <c r="AR419" s="13">
        <f>IF(_epmOfflineCondition_,0,EPMSaveDataOnly(AN419,,AN$29,AN$25,AN$26,AN$31,AN$32,$AA$37,AR$14,AR$15,AR$16,AR$17,AR$18,$X419))</f>
        <v/>
      </c>
      <c r="AS419" s="384" t="n"/>
    </row>
    <row r="420" hidden="1" ht="15.75" customHeight="1" s="1181">
      <c r="A420" s="384" t="n"/>
      <c r="B420" s="384" t="n"/>
      <c r="C420" s="384" t="n"/>
      <c r="D420" s="384" t="n"/>
      <c r="E420" s="384" t="n"/>
      <c r="F420" s="384" t="n"/>
      <c r="G420" s="384" t="n"/>
      <c r="H420" s="384" t="n"/>
      <c r="I420" s="384" t="n"/>
      <c r="J420" s="384" t="n"/>
      <c r="K420" s="384" t="n"/>
      <c r="L420" s="384" t="n"/>
      <c r="M420" s="384" t="n"/>
      <c r="N420" s="384" t="n"/>
      <c r="O420" s="384" t="n"/>
      <c r="P420" s="384" t="n"/>
      <c r="Q420" s="384" t="n"/>
      <c r="R420" s="384" t="n"/>
      <c r="S420" s="384" t="n"/>
      <c r="T420" s="384" t="n"/>
      <c r="U420" s="384" t="n"/>
      <c r="V420" s="384" t="n"/>
      <c r="W420" s="384" t="n"/>
      <c r="X420" s="645">
        <f>IF(_epmOfflineCondition_,"I_E100528",EPMOlapMemberO("[C_INTERCO].[PARENTH1].[I_E100528]","","I_E100528","","000"))</f>
        <v/>
      </c>
      <c r="Y420" s="870">
        <f>IF(_epmOfflineCondition_,"大连永磁项目部",EPMMemberDesc(X420))</f>
        <v/>
      </c>
      <c r="Z420" s="1302" t="n"/>
      <c r="AA420" s="1302" t="n"/>
      <c r="AB420" s="858" t="n"/>
      <c r="AC420" s="1302" t="n"/>
      <c r="AD420" s="1302" t="n"/>
      <c r="AE420" s="1302" t="inlineStr"/>
      <c r="AF420" s="1302" t="inlineStr"/>
      <c r="AG420" s="1302" t="inlineStr"/>
      <c r="AH420" s="1302" t="n"/>
      <c r="AI420" s="1302" t="n"/>
      <c r="AJ420" s="1302" t="n"/>
      <c r="AK420" s="1302">
        <f>AI420-AJ420</f>
        <v/>
      </c>
      <c r="AL420" s="858" t="n"/>
      <c r="AM420" s="1297" t="inlineStr"/>
      <c r="AN420" s="1298" t="n"/>
      <c r="AO420" s="13">
        <f>IF(_epmOfflineCondition_,0,EPMSaveDataOnly(AB420,,AB$29,AB$25,AB$26,AB$31,AB$32,$AA$37,AO$14,AO$15,AO$16,AO$17,AO$18,X420))</f>
        <v/>
      </c>
      <c r="AP420" s="13">
        <f>IF(_epmOfflineCondition_,0,EPMSaveDataOnly(AL420,,AL$29,AL$25,AL$26,AL$31,AL$32,$AA$37,AP$14,AP$15,AP$16,AP$17,AP$18,$X420))</f>
        <v/>
      </c>
      <c r="AQ420" s="13">
        <f>IF(_epmOfflineCondition_,0,EPMSaveData(AM420,,AM$29,AM$25,AM$26,$C$6,AM$32,$AA$37,AQ$14,AQ$15,AQ$16,AQ$17,AQ$18,$X420))</f>
        <v/>
      </c>
      <c r="AR420" s="13">
        <f>IF(_epmOfflineCondition_,0,EPMSaveDataOnly(AN420,,AN$29,AN$25,AN$26,AN$31,AN$32,$AA$37,AR$14,AR$15,AR$16,AR$17,AR$18,$X420))</f>
        <v/>
      </c>
      <c r="AS420" s="384" t="n"/>
    </row>
    <row r="421" hidden="1" ht="15.75" customHeight="1" s="1181">
      <c r="A421" s="384" t="n"/>
      <c r="B421" s="384" t="n"/>
      <c r="C421" s="384" t="n"/>
      <c r="D421" s="384" t="n"/>
      <c r="E421" s="384" t="n"/>
      <c r="F421" s="384" t="n"/>
      <c r="G421" s="384" t="n"/>
      <c r="H421" s="384" t="n"/>
      <c r="I421" s="384" t="n"/>
      <c r="J421" s="384" t="n"/>
      <c r="K421" s="384" t="n"/>
      <c r="L421" s="384" t="n"/>
      <c r="M421" s="384" t="n"/>
      <c r="N421" s="384" t="n"/>
      <c r="O421" s="384" t="n"/>
      <c r="P421" s="384" t="n"/>
      <c r="Q421" s="384" t="n"/>
      <c r="R421" s="384" t="n"/>
      <c r="S421" s="384" t="n"/>
      <c r="T421" s="384" t="n"/>
      <c r="U421" s="384" t="n"/>
      <c r="V421" s="384" t="n"/>
      <c r="W421" s="384" t="n"/>
      <c r="X421" s="645">
        <f>IF(_epmOfflineCondition_,"I_E100529",EPMOlapMemberO("[C_INTERCO].[PARENTH1].[I_E100529]","","I_E100529","","000"))</f>
        <v/>
      </c>
      <c r="Y421" s="870">
        <f>IF(_epmOfflineCondition_,"北京金泰物业管理有限公司天津分公司",EPMMemberDesc(X421))</f>
        <v/>
      </c>
      <c r="Z421" s="1302" t="n"/>
      <c r="AA421" s="1302" t="n"/>
      <c r="AB421" s="858" t="n"/>
      <c r="AC421" s="1302" t="n"/>
      <c r="AD421" s="1302" t="n"/>
      <c r="AE421" s="1302" t="inlineStr"/>
      <c r="AF421" s="1302" t="inlineStr"/>
      <c r="AG421" s="1302" t="inlineStr"/>
      <c r="AH421" s="1302" t="n"/>
      <c r="AI421" s="1302" t="n"/>
      <c r="AJ421" s="1302" t="n"/>
      <c r="AK421" s="1302">
        <f>AI421-AJ421</f>
        <v/>
      </c>
      <c r="AL421" s="858" t="n"/>
      <c r="AM421" s="1297" t="inlineStr"/>
      <c r="AN421" s="1298" t="n"/>
      <c r="AO421" s="13">
        <f>IF(_epmOfflineCondition_,0,EPMSaveDataOnly(AB421,,AB$29,AB$25,AB$26,AB$31,AB$32,$AA$37,AO$14,AO$15,AO$16,AO$17,AO$18,X421))</f>
        <v/>
      </c>
      <c r="AP421" s="13">
        <f>IF(_epmOfflineCondition_,0,EPMSaveDataOnly(AL421,,AL$29,AL$25,AL$26,AL$31,AL$32,$AA$37,AP$14,AP$15,AP$16,AP$17,AP$18,$X421))</f>
        <v/>
      </c>
      <c r="AQ421" s="13">
        <f>IF(_epmOfflineCondition_,0,EPMSaveData(AM421,,AM$29,AM$25,AM$26,$C$6,AM$32,$AA$37,AQ$14,AQ$15,AQ$16,AQ$17,AQ$18,$X421))</f>
        <v/>
      </c>
      <c r="AR421" s="13">
        <f>IF(_epmOfflineCondition_,0,EPMSaveDataOnly(AN421,,AN$29,AN$25,AN$26,AN$31,AN$32,$AA$37,AR$14,AR$15,AR$16,AR$17,AR$18,$X421))</f>
        <v/>
      </c>
      <c r="AS421" s="384" t="n"/>
    </row>
    <row r="422" hidden="1" ht="15.75" customHeight="1" s="1181">
      <c r="A422" s="384" t="n"/>
      <c r="B422" s="384" t="n"/>
      <c r="C422" s="384" t="n"/>
      <c r="D422" s="384" t="n"/>
      <c r="E422" s="384" t="n"/>
      <c r="F422" s="384" t="n"/>
      <c r="G422" s="384" t="n"/>
      <c r="H422" s="384" t="n"/>
      <c r="I422" s="384" t="n"/>
      <c r="J422" s="384" t="n"/>
      <c r="K422" s="384" t="n"/>
      <c r="L422" s="384" t="n"/>
      <c r="M422" s="384" t="n"/>
      <c r="N422" s="384" t="n"/>
      <c r="O422" s="384" t="n"/>
      <c r="P422" s="384" t="n"/>
      <c r="Q422" s="384" t="n"/>
      <c r="R422" s="384" t="n"/>
      <c r="S422" s="384" t="n"/>
      <c r="T422" s="384" t="n"/>
      <c r="U422" s="384" t="n"/>
      <c r="V422" s="384" t="n"/>
      <c r="W422" s="384" t="n"/>
      <c r="X422" s="645">
        <f>IF(_epmOfflineCondition_,"I_E100531",EPMOlapMemberO("[C_INTERCO].[PARENTH1].[I_E100531]","","I_E100531","","000"))</f>
        <v/>
      </c>
      <c r="Y422" s="870">
        <f>IF(_epmOfflineCondition_,"京煤棚改项目",EPMMemberDesc(X422))</f>
        <v/>
      </c>
      <c r="Z422" s="1302" t="n"/>
      <c r="AA422" s="1302" t="n"/>
      <c r="AB422" s="858" t="n"/>
      <c r="AC422" s="1302" t="n"/>
      <c r="AD422" s="1302" t="n"/>
      <c r="AE422" s="1302" t="inlineStr"/>
      <c r="AF422" s="1302" t="inlineStr"/>
      <c r="AG422" s="1302" t="inlineStr"/>
      <c r="AH422" s="1302" t="n"/>
      <c r="AI422" s="1302" t="n"/>
      <c r="AJ422" s="1302" t="n"/>
      <c r="AK422" s="1302">
        <f>AI422-AJ422</f>
        <v/>
      </c>
      <c r="AL422" s="858" t="n"/>
      <c r="AM422" s="1297" t="inlineStr"/>
      <c r="AN422" s="1298" t="n"/>
      <c r="AO422" s="13">
        <f>IF(_epmOfflineCondition_,0,EPMSaveDataOnly(AB422,,AB$29,AB$25,AB$26,AB$31,AB$32,$AA$37,AO$14,AO$15,AO$16,AO$17,AO$18,X422))</f>
        <v/>
      </c>
      <c r="AP422" s="13">
        <f>IF(_epmOfflineCondition_,0,EPMSaveDataOnly(AL422,,AL$29,AL$25,AL$26,AL$31,AL$32,$AA$37,AP$14,AP$15,AP$16,AP$17,AP$18,$X422))</f>
        <v/>
      </c>
      <c r="AQ422" s="13">
        <f>IF(_epmOfflineCondition_,0,EPMSaveData(AM422,,AM$29,AM$25,AM$26,$C$6,AM$32,$AA$37,AQ$14,AQ$15,AQ$16,AQ$17,AQ$18,$X422))</f>
        <v/>
      </c>
      <c r="AR422" s="13">
        <f>IF(_epmOfflineCondition_,0,EPMSaveDataOnly(AN422,,AN$29,AN$25,AN$26,AN$31,AN$32,$AA$37,AR$14,AR$15,AR$16,AR$17,AR$18,$X422))</f>
        <v/>
      </c>
      <c r="AS422" s="384" t="n"/>
    </row>
    <row r="423" hidden="1" ht="15.75" customHeight="1" s="1181">
      <c r="A423" s="384" t="n"/>
      <c r="B423" s="384" t="n"/>
      <c r="C423" s="384" t="n"/>
      <c r="D423" s="384" t="n"/>
      <c r="E423" s="384" t="n"/>
      <c r="F423" s="384" t="n"/>
      <c r="G423" s="384" t="n"/>
      <c r="H423" s="384" t="n"/>
      <c r="I423" s="384" t="n"/>
      <c r="J423" s="384" t="n"/>
      <c r="K423" s="384" t="n"/>
      <c r="L423" s="384" t="n"/>
      <c r="M423" s="384" t="n"/>
      <c r="N423" s="384" t="n"/>
      <c r="O423" s="384" t="n"/>
      <c r="P423" s="384" t="n"/>
      <c r="Q423" s="384" t="n"/>
      <c r="R423" s="384" t="n"/>
      <c r="S423" s="384" t="n"/>
      <c r="T423" s="384" t="n"/>
      <c r="U423" s="384" t="n"/>
      <c r="V423" s="384" t="n"/>
      <c r="W423" s="384" t="n"/>
      <c r="X423" s="645">
        <f>IF(_epmOfflineCondition_,"I_E100532",EPMOlapMemberO("[C_INTERCO].[PARENTH1].[I_E100532]","","I_E100532","","000"))</f>
        <v/>
      </c>
      <c r="Y423" s="870">
        <f>IF(_epmOfflineCondition_,"金泰房山项目",EPMMemberDesc(X423))</f>
        <v/>
      </c>
      <c r="Z423" s="1302" t="n"/>
      <c r="AA423" s="1302" t="n"/>
      <c r="AB423" s="858" t="n"/>
      <c r="AC423" s="1302" t="n"/>
      <c r="AD423" s="1302" t="n"/>
      <c r="AE423" s="1302" t="inlineStr"/>
      <c r="AF423" s="1302" t="inlineStr"/>
      <c r="AG423" s="1302" t="inlineStr"/>
      <c r="AH423" s="1302" t="n"/>
      <c r="AI423" s="1302" t="n"/>
      <c r="AJ423" s="1302" t="n"/>
      <c r="AK423" s="1302">
        <f>AI423-AJ423</f>
        <v/>
      </c>
      <c r="AL423" s="858" t="n"/>
      <c r="AM423" s="1297" t="inlineStr"/>
      <c r="AN423" s="1298" t="n"/>
      <c r="AO423" s="13">
        <f>IF(_epmOfflineCondition_,0,EPMSaveDataOnly(AB423,,AB$29,AB$25,AB$26,AB$31,AB$32,$AA$37,AO$14,AO$15,AO$16,AO$17,AO$18,X423))</f>
        <v/>
      </c>
      <c r="AP423" s="13">
        <f>IF(_epmOfflineCondition_,0,EPMSaveDataOnly(AL423,,AL$29,AL$25,AL$26,AL$31,AL$32,$AA$37,AP$14,AP$15,AP$16,AP$17,AP$18,$X423))</f>
        <v/>
      </c>
      <c r="AQ423" s="13">
        <f>IF(_epmOfflineCondition_,0,EPMSaveData(AM423,,AM$29,AM$25,AM$26,$C$6,AM$32,$AA$37,AQ$14,AQ$15,AQ$16,AQ$17,AQ$18,$X423))</f>
        <v/>
      </c>
      <c r="AR423" s="13">
        <f>IF(_epmOfflineCondition_,0,EPMSaveDataOnly(AN423,,AN$29,AN$25,AN$26,AN$31,AN$32,$AA$37,AR$14,AR$15,AR$16,AR$17,AR$18,$X423))</f>
        <v/>
      </c>
      <c r="AS423" s="384" t="n"/>
    </row>
    <row r="424" hidden="1" ht="15.75" customHeight="1" s="1181">
      <c r="A424" s="384" t="n"/>
      <c r="B424" s="384" t="n"/>
      <c r="C424" s="384" t="n"/>
      <c r="D424" s="384" t="n"/>
      <c r="E424" s="384" t="n"/>
      <c r="F424" s="384" t="n"/>
      <c r="G424" s="384" t="n"/>
      <c r="H424" s="384" t="n"/>
      <c r="I424" s="384" t="n"/>
      <c r="J424" s="384" t="n"/>
      <c r="K424" s="384" t="n"/>
      <c r="L424" s="384" t="n"/>
      <c r="M424" s="384" t="n"/>
      <c r="N424" s="384" t="n"/>
      <c r="O424" s="384" t="n"/>
      <c r="P424" s="384" t="n"/>
      <c r="Q424" s="384" t="n"/>
      <c r="R424" s="384" t="n"/>
      <c r="S424" s="384" t="n"/>
      <c r="T424" s="384" t="n"/>
      <c r="U424" s="384" t="n"/>
      <c r="V424" s="384" t="n"/>
      <c r="W424" s="384" t="n"/>
      <c r="X424" s="645">
        <f>IF(_epmOfflineCondition_,"I_E100534",EPMOlapMemberO("[C_INTERCO].[PARENTH1].[I_E100534]","","I_E100534","","000"))</f>
        <v/>
      </c>
      <c r="Y424" s="870">
        <f>IF(_epmOfflineCondition_,"金泰鑫华源项目",EPMMemberDesc(X424))</f>
        <v/>
      </c>
      <c r="Z424" s="1302" t="n"/>
      <c r="AA424" s="1302" t="n"/>
      <c r="AB424" s="858" t="n"/>
      <c r="AC424" s="1302" t="n"/>
      <c r="AD424" s="1302" t="n"/>
      <c r="AE424" s="1302" t="inlineStr"/>
      <c r="AF424" s="1302" t="inlineStr"/>
      <c r="AG424" s="1302" t="inlineStr"/>
      <c r="AH424" s="1302" t="n"/>
      <c r="AI424" s="1302" t="n"/>
      <c r="AJ424" s="1302" t="n"/>
      <c r="AK424" s="1302">
        <f>AI424-AJ424</f>
        <v/>
      </c>
      <c r="AL424" s="858" t="n"/>
      <c r="AM424" s="1297" t="inlineStr"/>
      <c r="AN424" s="1298" t="n"/>
      <c r="AO424" s="13">
        <f>IF(_epmOfflineCondition_,0,EPMSaveDataOnly(AB424,,AB$29,AB$25,AB$26,AB$31,AB$32,$AA$37,AO$14,AO$15,AO$16,AO$17,AO$18,X424))</f>
        <v/>
      </c>
      <c r="AP424" s="13">
        <f>IF(_epmOfflineCondition_,0,EPMSaveDataOnly(AL424,,AL$29,AL$25,AL$26,AL$31,AL$32,$AA$37,AP$14,AP$15,AP$16,AP$17,AP$18,$X424))</f>
        <v/>
      </c>
      <c r="AQ424" s="13">
        <f>IF(_epmOfflineCondition_,0,EPMSaveData(AM424,,AM$29,AM$25,AM$26,$C$6,AM$32,$AA$37,AQ$14,AQ$15,AQ$16,AQ$17,AQ$18,$X424))</f>
        <v/>
      </c>
      <c r="AR424" s="13">
        <f>IF(_epmOfflineCondition_,0,EPMSaveDataOnly(AN424,,AN$29,AN$25,AN$26,AN$31,AN$32,$AA$37,AR$14,AR$15,AR$16,AR$17,AR$18,$X424))</f>
        <v/>
      </c>
      <c r="AS424" s="384" t="n"/>
    </row>
    <row r="425" hidden="1" ht="15.75" customHeight="1" s="1181">
      <c r="A425" s="384" t="n"/>
      <c r="B425" s="384" t="n"/>
      <c r="C425" s="384" t="n"/>
      <c r="D425" s="384" t="n"/>
      <c r="E425" s="384" t="n"/>
      <c r="F425" s="384" t="n"/>
      <c r="G425" s="384" t="n"/>
      <c r="H425" s="384" t="n"/>
      <c r="I425" s="384" t="n"/>
      <c r="J425" s="384" t="n"/>
      <c r="K425" s="384" t="n"/>
      <c r="L425" s="384" t="n"/>
      <c r="M425" s="384" t="n"/>
      <c r="N425" s="384" t="n"/>
      <c r="O425" s="384" t="n"/>
      <c r="P425" s="384" t="n"/>
      <c r="Q425" s="384" t="n"/>
      <c r="R425" s="384" t="n"/>
      <c r="S425" s="384" t="n"/>
      <c r="T425" s="384" t="n"/>
      <c r="U425" s="384" t="n"/>
      <c r="V425" s="384" t="n"/>
      <c r="W425" s="384" t="n"/>
      <c r="X425" s="645">
        <f>IF(_epmOfflineCondition_,"I_E100535",EPMOlapMemberO("[C_INTERCO].[PARENTH1].[I_E100535]","","I_E100535","","000"))</f>
        <v/>
      </c>
      <c r="Y425" s="870">
        <f>IF(_epmOfflineCondition_,"北京京能京西房地产开发有限公司",EPMMemberDesc(X425))</f>
        <v/>
      </c>
      <c r="Z425" s="1302" t="n"/>
      <c r="AA425" s="1302" t="n"/>
      <c r="AB425" s="858" t="n"/>
      <c r="AC425" s="1302" t="n"/>
      <c r="AD425" s="1302" t="n"/>
      <c r="AE425" s="1302" t="inlineStr"/>
      <c r="AF425" s="1302" t="inlineStr"/>
      <c r="AG425" s="1302" t="inlineStr"/>
      <c r="AH425" s="1302" t="n"/>
      <c r="AI425" s="1302" t="n"/>
      <c r="AJ425" s="1302" t="n"/>
      <c r="AK425" s="1302">
        <f>AI425-AJ425</f>
        <v/>
      </c>
      <c r="AL425" s="858" t="n"/>
      <c r="AM425" s="1297" t="inlineStr"/>
      <c r="AN425" s="1298" t="n"/>
      <c r="AO425" s="13">
        <f>IF(_epmOfflineCondition_,0,EPMSaveDataOnly(AB425,,AB$29,AB$25,AB$26,AB$31,AB$32,$AA$37,AO$14,AO$15,AO$16,AO$17,AO$18,X425))</f>
        <v/>
      </c>
      <c r="AP425" s="13">
        <f>IF(_epmOfflineCondition_,0,EPMSaveDataOnly(AL425,,AL$29,AL$25,AL$26,AL$31,AL$32,$AA$37,AP$14,AP$15,AP$16,AP$17,AP$18,$X425))</f>
        <v/>
      </c>
      <c r="AQ425" s="13">
        <f>IF(_epmOfflineCondition_,0,EPMSaveData(AM425,,AM$29,AM$25,AM$26,$C$6,AM$32,$AA$37,AQ$14,AQ$15,AQ$16,AQ$17,AQ$18,$X425))</f>
        <v/>
      </c>
      <c r="AR425" s="13">
        <f>IF(_epmOfflineCondition_,0,EPMSaveDataOnly(AN425,,AN$29,AN$25,AN$26,AN$31,AN$32,$AA$37,AR$14,AR$15,AR$16,AR$17,AR$18,$X425))</f>
        <v/>
      </c>
      <c r="AS425" s="384" t="n"/>
    </row>
    <row r="426" hidden="1" ht="15.75" customHeight="1" s="1181">
      <c r="A426" s="384" t="n"/>
      <c r="B426" s="384" t="n"/>
      <c r="C426" s="384" t="n"/>
      <c r="D426" s="384" t="n"/>
      <c r="E426" s="384" t="n"/>
      <c r="F426" s="384" t="n"/>
      <c r="G426" s="384" t="n"/>
      <c r="H426" s="384" t="n"/>
      <c r="I426" s="384" t="n"/>
      <c r="J426" s="384" t="n"/>
      <c r="K426" s="384" t="n"/>
      <c r="L426" s="384" t="n"/>
      <c r="M426" s="384" t="n"/>
      <c r="N426" s="384" t="n"/>
      <c r="O426" s="384" t="n"/>
      <c r="P426" s="384" t="n"/>
      <c r="Q426" s="384" t="n"/>
      <c r="R426" s="384" t="n"/>
      <c r="S426" s="384" t="n"/>
      <c r="T426" s="384" t="n"/>
      <c r="U426" s="384" t="n"/>
      <c r="V426" s="384" t="n"/>
      <c r="W426" s="384" t="n"/>
      <c r="X426" s="645">
        <f>IF(_epmOfflineCondition_,"I_E100537",EPMOlapMemberO("[C_INTERCO].[PARENTH1].[I_E100537]","","I_E100537","","000"))</f>
        <v/>
      </c>
      <c r="Y426" s="870">
        <f>IF(_epmOfflineCondition_,"怀来昊璟矿建房地产开发有限公司",EPMMemberDesc(X426))</f>
        <v/>
      </c>
      <c r="Z426" s="1302" t="n"/>
      <c r="AA426" s="1302" t="n"/>
      <c r="AB426" s="858" t="n"/>
      <c r="AC426" s="1302" t="n"/>
      <c r="AD426" s="1302" t="n"/>
      <c r="AE426" s="1302" t="inlineStr"/>
      <c r="AF426" s="1302" t="inlineStr"/>
      <c r="AG426" s="1302" t="inlineStr"/>
      <c r="AH426" s="1302" t="n"/>
      <c r="AI426" s="1302" t="n"/>
      <c r="AJ426" s="1302" t="n"/>
      <c r="AK426" s="1302">
        <f>AI426-AJ426</f>
        <v/>
      </c>
      <c r="AL426" s="858" t="n"/>
      <c r="AM426" s="1297" t="inlineStr"/>
      <c r="AN426" s="1298" t="n"/>
      <c r="AO426" s="13">
        <f>IF(_epmOfflineCondition_,0,EPMSaveDataOnly(AB426,,AB$29,AB$25,AB$26,AB$31,AB$32,$AA$37,AO$14,AO$15,AO$16,AO$17,AO$18,X426))</f>
        <v/>
      </c>
      <c r="AP426" s="13">
        <f>IF(_epmOfflineCondition_,0,EPMSaveDataOnly(AL426,,AL$29,AL$25,AL$26,AL$31,AL$32,$AA$37,AP$14,AP$15,AP$16,AP$17,AP$18,$X426))</f>
        <v/>
      </c>
      <c r="AQ426" s="13">
        <f>IF(_epmOfflineCondition_,0,EPMSaveData(AM426,,AM$29,AM$25,AM$26,$C$6,AM$32,$AA$37,AQ$14,AQ$15,AQ$16,AQ$17,AQ$18,$X426))</f>
        <v/>
      </c>
      <c r="AR426" s="13">
        <f>IF(_epmOfflineCondition_,0,EPMSaveDataOnly(AN426,,AN$29,AN$25,AN$26,AN$31,AN$32,$AA$37,AR$14,AR$15,AR$16,AR$17,AR$18,$X426))</f>
        <v/>
      </c>
      <c r="AS426" s="384" t="n"/>
    </row>
    <row r="427" hidden="1" ht="15.75" customHeight="1" s="1181">
      <c r="A427" s="384" t="n"/>
      <c r="B427" s="384" t="n"/>
      <c r="C427" s="384" t="n"/>
      <c r="D427" s="384" t="n"/>
      <c r="E427" s="384" t="n"/>
      <c r="F427" s="384" t="n"/>
      <c r="G427" s="384" t="n"/>
      <c r="H427" s="384" t="n"/>
      <c r="I427" s="384" t="n"/>
      <c r="J427" s="384" t="n"/>
      <c r="K427" s="384" t="n"/>
      <c r="L427" s="384" t="n"/>
      <c r="M427" s="384" t="n"/>
      <c r="N427" s="384" t="n"/>
      <c r="O427" s="384" t="n"/>
      <c r="P427" s="384" t="n"/>
      <c r="Q427" s="384" t="n"/>
      <c r="R427" s="384" t="n"/>
      <c r="S427" s="384" t="n"/>
      <c r="T427" s="384" t="n"/>
      <c r="U427" s="384" t="n"/>
      <c r="V427" s="384" t="n"/>
      <c r="W427" s="384" t="n"/>
      <c r="X427" s="645">
        <f>IF(_epmOfflineCondition_,"I_E100538",EPMOlapMemberO("[C_INTERCO].[PARENTH1].[I_E100538]","","I_E100538","","000"))</f>
        <v/>
      </c>
      <c r="Y427" s="870">
        <f>IF(_epmOfflineCondition_,"北京京煤集团地质勘探队",EPMMemberDesc(X427))</f>
        <v/>
      </c>
      <c r="Z427" s="1302" t="n"/>
      <c r="AA427" s="1302" t="n"/>
      <c r="AB427" s="858" t="n"/>
      <c r="AC427" s="1302" t="n"/>
      <c r="AD427" s="1302" t="n"/>
      <c r="AE427" s="1302" t="inlineStr"/>
      <c r="AF427" s="1302" t="inlineStr"/>
      <c r="AG427" s="1302" t="inlineStr"/>
      <c r="AH427" s="1302" t="n"/>
      <c r="AI427" s="1302" t="n"/>
      <c r="AJ427" s="1302" t="n"/>
      <c r="AK427" s="1302">
        <f>AI427-AJ427</f>
        <v/>
      </c>
      <c r="AL427" s="858" t="n"/>
      <c r="AM427" s="1297" t="inlineStr"/>
      <c r="AN427" s="1298" t="n"/>
      <c r="AO427" s="13">
        <f>IF(_epmOfflineCondition_,0,EPMSaveDataOnly(AB427,,AB$29,AB$25,AB$26,AB$31,AB$32,$AA$37,AO$14,AO$15,AO$16,AO$17,AO$18,X427))</f>
        <v/>
      </c>
      <c r="AP427" s="13">
        <f>IF(_epmOfflineCondition_,0,EPMSaveDataOnly(AL427,,AL$29,AL$25,AL$26,AL$31,AL$32,$AA$37,AP$14,AP$15,AP$16,AP$17,AP$18,$X427))</f>
        <v/>
      </c>
      <c r="AQ427" s="13">
        <f>IF(_epmOfflineCondition_,0,EPMSaveData(AM427,,AM$29,AM$25,AM$26,$C$6,AM$32,$AA$37,AQ$14,AQ$15,AQ$16,AQ$17,AQ$18,$X427))</f>
        <v/>
      </c>
      <c r="AR427" s="13">
        <f>IF(_epmOfflineCondition_,0,EPMSaveDataOnly(AN427,,AN$29,AN$25,AN$26,AN$31,AN$32,$AA$37,AR$14,AR$15,AR$16,AR$17,AR$18,$X427))</f>
        <v/>
      </c>
      <c r="AS427" s="384" t="n"/>
    </row>
    <row r="428" hidden="1" ht="15.75" customHeight="1" s="1181">
      <c r="A428" s="384" t="n"/>
      <c r="B428" s="384" t="n"/>
      <c r="C428" s="384" t="n"/>
      <c r="D428" s="384" t="n"/>
      <c r="E428" s="384" t="n"/>
      <c r="F428" s="384" t="n"/>
      <c r="G428" s="384" t="n"/>
      <c r="H428" s="384" t="n"/>
      <c r="I428" s="384" t="n"/>
      <c r="J428" s="384" t="n"/>
      <c r="K428" s="384" t="n"/>
      <c r="L428" s="384" t="n"/>
      <c r="M428" s="384" t="n"/>
      <c r="N428" s="384" t="n"/>
      <c r="O428" s="384" t="n"/>
      <c r="P428" s="384" t="n"/>
      <c r="Q428" s="384" t="n"/>
      <c r="R428" s="384" t="n"/>
      <c r="S428" s="384" t="n"/>
      <c r="T428" s="384" t="n"/>
      <c r="U428" s="384" t="n"/>
      <c r="V428" s="384" t="n"/>
      <c r="W428" s="384" t="n"/>
      <c r="X428" s="645">
        <f>IF(_epmOfflineCondition_,"I_E100540",EPMOlapMemberO("[C_INTERCO].[PARENTH1].[I_E100540]","","I_E100540","","000"))</f>
        <v/>
      </c>
      <c r="Y428" s="870">
        <f>IF(_epmOfflineCondition_,"金泰丽城（天津）置业投资有限公司假日酒店分公司运营",EPMMemberDesc(X428))</f>
        <v/>
      </c>
      <c r="Z428" s="1302" t="n"/>
      <c r="AA428" s="1302" t="n"/>
      <c r="AB428" s="858" t="n"/>
      <c r="AC428" s="1302" t="n"/>
      <c r="AD428" s="1302" t="n"/>
      <c r="AE428" s="1302" t="inlineStr"/>
      <c r="AF428" s="1302" t="inlineStr"/>
      <c r="AG428" s="1302" t="inlineStr"/>
      <c r="AH428" s="1302" t="n"/>
      <c r="AI428" s="1302" t="n"/>
      <c r="AJ428" s="1302" t="n"/>
      <c r="AK428" s="1302">
        <f>AI428-AJ428</f>
        <v/>
      </c>
      <c r="AL428" s="858" t="n"/>
      <c r="AM428" s="1297" t="inlineStr"/>
      <c r="AN428" s="1298" t="n"/>
      <c r="AO428" s="13">
        <f>IF(_epmOfflineCondition_,0,EPMSaveDataOnly(AB428,,AB$29,AB$25,AB$26,AB$31,AB$32,$AA$37,AO$14,AO$15,AO$16,AO$17,AO$18,X428))</f>
        <v/>
      </c>
      <c r="AP428" s="13">
        <f>IF(_epmOfflineCondition_,0,EPMSaveDataOnly(AL428,,AL$29,AL$25,AL$26,AL$31,AL$32,$AA$37,AP$14,AP$15,AP$16,AP$17,AP$18,$X428))</f>
        <v/>
      </c>
      <c r="AQ428" s="13">
        <f>IF(_epmOfflineCondition_,0,EPMSaveData(AM428,,AM$29,AM$25,AM$26,$C$6,AM$32,$AA$37,AQ$14,AQ$15,AQ$16,AQ$17,AQ$18,$X428))</f>
        <v/>
      </c>
      <c r="AR428" s="13">
        <f>IF(_epmOfflineCondition_,0,EPMSaveDataOnly(AN428,,AN$29,AN$25,AN$26,AN$31,AN$32,$AA$37,AR$14,AR$15,AR$16,AR$17,AR$18,$X428))</f>
        <v/>
      </c>
      <c r="AS428" s="384" t="n"/>
    </row>
    <row r="429" hidden="1" ht="15.75" customHeight="1" s="1181">
      <c r="A429" s="384" t="n"/>
      <c r="B429" s="384" t="n"/>
      <c r="C429" s="384" t="n"/>
      <c r="D429" s="384" t="n"/>
      <c r="E429" s="384" t="n"/>
      <c r="F429" s="384" t="n"/>
      <c r="G429" s="384" t="n"/>
      <c r="H429" s="384" t="n"/>
      <c r="I429" s="384" t="n"/>
      <c r="J429" s="384" t="n"/>
      <c r="K429" s="384" t="n"/>
      <c r="L429" s="384" t="n"/>
      <c r="M429" s="384" t="n"/>
      <c r="N429" s="384" t="n"/>
      <c r="O429" s="384" t="n"/>
      <c r="P429" s="384" t="n"/>
      <c r="Q429" s="384" t="n"/>
      <c r="R429" s="384" t="n"/>
      <c r="S429" s="384" t="n"/>
      <c r="T429" s="384" t="n"/>
      <c r="U429" s="384" t="n"/>
      <c r="V429" s="384" t="n"/>
      <c r="W429" s="384" t="n"/>
      <c r="X429" s="645">
        <f>IF(_epmOfflineCondition_,"I_E100541",EPMOlapMemberO("[C_INTERCO].[PARENTH1].[I_E100541]","","I_E100541","","000"))</f>
        <v/>
      </c>
      <c r="Y429" s="870">
        <f>IF(_epmOfflineCondition_,"北京京煤集团有限责任公司绿海物业管理分公司",EPMMemberDesc(X429))</f>
        <v/>
      </c>
      <c r="Z429" s="1302" t="n"/>
      <c r="AA429" s="1302" t="n"/>
      <c r="AB429" s="858" t="n"/>
      <c r="AC429" s="1302" t="n"/>
      <c r="AD429" s="1302" t="n"/>
      <c r="AE429" s="1302" t="inlineStr"/>
      <c r="AF429" s="1302" t="inlineStr"/>
      <c r="AG429" s="1302" t="inlineStr"/>
      <c r="AH429" s="1302" t="n"/>
      <c r="AI429" s="1302" t="n"/>
      <c r="AJ429" s="1302" t="n"/>
      <c r="AK429" s="1302">
        <f>AI429-AJ429</f>
        <v/>
      </c>
      <c r="AL429" s="858" t="n"/>
      <c r="AM429" s="1297" t="inlineStr"/>
      <c r="AN429" s="1298" t="n"/>
      <c r="AO429" s="13">
        <f>IF(_epmOfflineCondition_,0,EPMSaveDataOnly(AB429,,AB$29,AB$25,AB$26,AB$31,AB$32,$AA$37,AO$14,AO$15,AO$16,AO$17,AO$18,X429))</f>
        <v/>
      </c>
      <c r="AP429" s="13">
        <f>IF(_epmOfflineCondition_,0,EPMSaveDataOnly(AL429,,AL$29,AL$25,AL$26,AL$31,AL$32,$AA$37,AP$14,AP$15,AP$16,AP$17,AP$18,$X429))</f>
        <v/>
      </c>
      <c r="AQ429" s="13">
        <f>IF(_epmOfflineCondition_,0,EPMSaveData(AM429,,AM$29,AM$25,AM$26,$C$6,AM$32,$AA$37,AQ$14,AQ$15,AQ$16,AQ$17,AQ$18,$X429))</f>
        <v/>
      </c>
      <c r="AR429" s="13">
        <f>IF(_epmOfflineCondition_,0,EPMSaveDataOnly(AN429,,AN$29,AN$25,AN$26,AN$31,AN$32,$AA$37,AR$14,AR$15,AR$16,AR$17,AR$18,$X429))</f>
        <v/>
      </c>
      <c r="AS429" s="384" t="n"/>
    </row>
    <row r="430" hidden="1" ht="15.75" customHeight="1" s="1181">
      <c r="A430" s="384" t="n"/>
      <c r="B430" s="384" t="n"/>
      <c r="C430" s="384" t="n"/>
      <c r="D430" s="384" t="n"/>
      <c r="E430" s="384" t="n"/>
      <c r="F430" s="384" t="n"/>
      <c r="G430" s="384" t="n"/>
      <c r="H430" s="384" t="n"/>
      <c r="I430" s="384" t="n"/>
      <c r="J430" s="384" t="n"/>
      <c r="K430" s="384" t="n"/>
      <c r="L430" s="384" t="n"/>
      <c r="M430" s="384" t="n"/>
      <c r="N430" s="384" t="n"/>
      <c r="O430" s="384" t="n"/>
      <c r="P430" s="384" t="n"/>
      <c r="Q430" s="384" t="n"/>
      <c r="R430" s="384" t="n"/>
      <c r="S430" s="384" t="n"/>
      <c r="T430" s="384" t="n"/>
      <c r="U430" s="384" t="n"/>
      <c r="V430" s="384" t="n"/>
      <c r="W430" s="384" t="n"/>
      <c r="X430" s="645">
        <f>IF(_epmOfflineCondition_,"I_E100543",EPMOlapMemberO("[C_INTERCO].[PARENTH1].[I_E100543]","","I_E100543","","000"))</f>
        <v/>
      </c>
      <c r="Y430" s="870">
        <f>IF(_epmOfflineCondition_,"北京京能清洁能源电力股份（香港）有限公司",EPMMemberDesc(X430))</f>
        <v/>
      </c>
      <c r="Z430" s="1302" t="n"/>
      <c r="AA430" s="1302" t="n"/>
      <c r="AB430" s="858" t="n"/>
      <c r="AC430" s="1302" t="n"/>
      <c r="AD430" s="1302" t="n"/>
      <c r="AE430" s="1302" t="inlineStr"/>
      <c r="AF430" s="1302" t="inlineStr"/>
      <c r="AG430" s="1302" t="inlineStr"/>
      <c r="AH430" s="1302" t="n"/>
      <c r="AI430" s="1302" t="n"/>
      <c r="AJ430" s="1302" t="n"/>
      <c r="AK430" s="1302">
        <f>AI430-AJ430</f>
        <v/>
      </c>
      <c r="AL430" s="858" t="n"/>
      <c r="AM430" s="1297" t="inlineStr"/>
      <c r="AN430" s="1298" t="n"/>
      <c r="AO430" s="13">
        <f>IF(_epmOfflineCondition_,0,EPMSaveDataOnly(AB430,,AB$29,AB$25,AB$26,AB$31,AB$32,$AA$37,AO$14,AO$15,AO$16,AO$17,AO$18,X430))</f>
        <v/>
      </c>
      <c r="AP430" s="13">
        <f>IF(_epmOfflineCondition_,0,EPMSaveDataOnly(AL430,,AL$29,AL$25,AL$26,AL$31,AL$32,$AA$37,AP$14,AP$15,AP$16,AP$17,AP$18,$X430))</f>
        <v/>
      </c>
      <c r="AQ430" s="13">
        <f>IF(_epmOfflineCondition_,0,EPMSaveData(AM430,,AM$29,AM$25,AM$26,$C$6,AM$32,$AA$37,AQ$14,AQ$15,AQ$16,AQ$17,AQ$18,$X430))</f>
        <v/>
      </c>
      <c r="AR430" s="13">
        <f>IF(_epmOfflineCondition_,0,EPMSaveDataOnly(AN430,,AN$29,AN$25,AN$26,AN$31,AN$32,$AA$37,AR$14,AR$15,AR$16,AR$17,AR$18,$X430))</f>
        <v/>
      </c>
      <c r="AS430" s="384" t="n"/>
    </row>
    <row r="431" hidden="1" ht="15.75" customHeight="1" s="1181">
      <c r="A431" s="384" t="n"/>
      <c r="B431" s="384" t="n"/>
      <c r="C431" s="384" t="n"/>
      <c r="D431" s="384" t="n"/>
      <c r="E431" s="384" t="n"/>
      <c r="F431" s="384" t="n"/>
      <c r="G431" s="384" t="n"/>
      <c r="H431" s="384" t="n"/>
      <c r="I431" s="384" t="n"/>
      <c r="J431" s="384" t="n"/>
      <c r="K431" s="384" t="n"/>
      <c r="L431" s="384" t="n"/>
      <c r="M431" s="384" t="n"/>
      <c r="N431" s="384" t="n"/>
      <c r="O431" s="384" t="n"/>
      <c r="P431" s="384" t="n"/>
      <c r="Q431" s="384" t="n"/>
      <c r="R431" s="384" t="n"/>
      <c r="S431" s="384" t="n"/>
      <c r="T431" s="384" t="n"/>
      <c r="U431" s="384" t="n"/>
      <c r="V431" s="384" t="n"/>
      <c r="W431" s="384" t="n"/>
      <c r="X431" s="645">
        <f>IF(_epmOfflineCondition_,"I_E100545",EPMOlapMemberO("[C_INTERCO].[PARENTH1].[I_E100545]","","I_E100545","","000"))</f>
        <v/>
      </c>
      <c r="Y431" s="870">
        <f>IF(_epmOfflineCondition_,"北京京能京通新能源有限公司",EPMMemberDesc(X431))</f>
        <v/>
      </c>
      <c r="Z431" s="1302" t="n"/>
      <c r="AA431" s="1302" t="n"/>
      <c r="AB431" s="858" t="n"/>
      <c r="AC431" s="1302" t="n"/>
      <c r="AD431" s="1302" t="n"/>
      <c r="AE431" s="1302" t="inlineStr"/>
      <c r="AF431" s="1302" t="inlineStr"/>
      <c r="AG431" s="1302" t="inlineStr"/>
      <c r="AH431" s="1302" t="n"/>
      <c r="AI431" s="1302" t="n"/>
      <c r="AJ431" s="1302" t="n"/>
      <c r="AK431" s="1302">
        <f>AI431-AJ431</f>
        <v/>
      </c>
      <c r="AL431" s="858" t="n"/>
      <c r="AM431" s="1297" t="inlineStr"/>
      <c r="AN431" s="1298" t="n"/>
      <c r="AO431" s="13">
        <f>IF(_epmOfflineCondition_,0,EPMSaveDataOnly(AB431,,AB$29,AB$25,AB$26,AB$31,AB$32,$AA$37,AO$14,AO$15,AO$16,AO$17,AO$18,X431))</f>
        <v/>
      </c>
      <c r="AP431" s="13">
        <f>IF(_epmOfflineCondition_,0,EPMSaveDataOnly(AL431,,AL$29,AL$25,AL$26,AL$31,AL$32,$AA$37,AP$14,AP$15,AP$16,AP$17,AP$18,$X431))</f>
        <v/>
      </c>
      <c r="AQ431" s="13">
        <f>IF(_epmOfflineCondition_,0,EPMSaveData(AM431,,AM$29,AM$25,AM$26,$C$6,AM$32,$AA$37,AQ$14,AQ$15,AQ$16,AQ$17,AQ$18,$X431))</f>
        <v/>
      </c>
      <c r="AR431" s="13">
        <f>IF(_epmOfflineCondition_,0,EPMSaveDataOnly(AN431,,AN$29,AN$25,AN$26,AN$31,AN$32,$AA$37,AR$14,AR$15,AR$16,AR$17,AR$18,$X431))</f>
        <v/>
      </c>
      <c r="AS431" s="384" t="n"/>
    </row>
    <row r="432" hidden="1" ht="15.75" customHeight="1" s="1181">
      <c r="A432" s="384" t="n"/>
      <c r="B432" s="384" t="n"/>
      <c r="C432" s="384" t="n"/>
      <c r="D432" s="384" t="n"/>
      <c r="E432" s="384" t="n"/>
      <c r="F432" s="384" t="n"/>
      <c r="G432" s="384" t="n"/>
      <c r="H432" s="384" t="n"/>
      <c r="I432" s="384" t="n"/>
      <c r="J432" s="384" t="n"/>
      <c r="K432" s="384" t="n"/>
      <c r="L432" s="384" t="n"/>
      <c r="M432" s="384" t="n"/>
      <c r="N432" s="384" t="n"/>
      <c r="O432" s="384" t="n"/>
      <c r="P432" s="384" t="n"/>
      <c r="Q432" s="384" t="n"/>
      <c r="R432" s="384" t="n"/>
      <c r="S432" s="384" t="n"/>
      <c r="T432" s="384" t="n"/>
      <c r="U432" s="384" t="n"/>
      <c r="V432" s="384" t="n"/>
      <c r="W432" s="384" t="n"/>
      <c r="X432" s="645">
        <f>IF(_epmOfflineCondition_,"I_E100546",EPMOlapMemberO("[C_INTERCO].[PARENTH1].[I_E100546]","","I_E100546","","000"))</f>
        <v/>
      </c>
      <c r="Y432" s="870">
        <f>IF(_epmOfflineCondition_,"珠海市京湾综合能源有限公司",EPMMemberDesc(X432))</f>
        <v/>
      </c>
      <c r="Z432" s="1302" t="n"/>
      <c r="AA432" s="1302" t="n"/>
      <c r="AB432" s="858" t="n"/>
      <c r="AC432" s="1302" t="n"/>
      <c r="AD432" s="1302" t="n"/>
      <c r="AE432" s="1302" t="inlineStr"/>
      <c r="AF432" s="1302" t="inlineStr"/>
      <c r="AG432" s="1302" t="inlineStr"/>
      <c r="AH432" s="1302" t="n"/>
      <c r="AI432" s="1302" t="n"/>
      <c r="AJ432" s="1302" t="n"/>
      <c r="AK432" s="1302">
        <f>AI432-AJ432</f>
        <v/>
      </c>
      <c r="AL432" s="858" t="n"/>
      <c r="AM432" s="1297" t="inlineStr"/>
      <c r="AN432" s="1298" t="n"/>
      <c r="AO432" s="13">
        <f>IF(_epmOfflineCondition_,0,EPMSaveDataOnly(AB432,,AB$29,AB$25,AB$26,AB$31,AB$32,$AA$37,AO$14,AO$15,AO$16,AO$17,AO$18,X432))</f>
        <v/>
      </c>
      <c r="AP432" s="13">
        <f>IF(_epmOfflineCondition_,0,EPMSaveDataOnly(AL432,,AL$29,AL$25,AL$26,AL$31,AL$32,$AA$37,AP$14,AP$15,AP$16,AP$17,AP$18,$X432))</f>
        <v/>
      </c>
      <c r="AQ432" s="13">
        <f>IF(_epmOfflineCondition_,0,EPMSaveData(AM432,,AM$29,AM$25,AM$26,$C$6,AM$32,$AA$37,AQ$14,AQ$15,AQ$16,AQ$17,AQ$18,$X432))</f>
        <v/>
      </c>
      <c r="AR432" s="13">
        <f>IF(_epmOfflineCondition_,0,EPMSaveDataOnly(AN432,,AN$29,AN$25,AN$26,AN$31,AN$32,$AA$37,AR$14,AR$15,AR$16,AR$17,AR$18,$X432))</f>
        <v/>
      </c>
      <c r="AS432" s="384" t="n"/>
    </row>
    <row r="433" hidden="1" ht="15.75" customHeight="1" s="1181">
      <c r="A433" s="384" t="n"/>
      <c r="B433" s="384" t="n"/>
      <c r="C433" s="384" t="n"/>
      <c r="D433" s="384" t="n"/>
      <c r="E433" s="384" t="n"/>
      <c r="F433" s="384" t="n"/>
      <c r="G433" s="384" t="n"/>
      <c r="H433" s="384" t="n"/>
      <c r="I433" s="384" t="n"/>
      <c r="J433" s="384" t="n"/>
      <c r="K433" s="384" t="n"/>
      <c r="L433" s="384" t="n"/>
      <c r="M433" s="384" t="n"/>
      <c r="N433" s="384" t="n"/>
      <c r="O433" s="384" t="n"/>
      <c r="P433" s="384" t="n"/>
      <c r="Q433" s="384" t="n"/>
      <c r="R433" s="384" t="n"/>
      <c r="S433" s="384" t="n"/>
      <c r="T433" s="384" t="n"/>
      <c r="U433" s="384" t="n"/>
      <c r="V433" s="384" t="n"/>
      <c r="W433" s="384" t="n"/>
      <c r="X433" s="645">
        <f>IF(_epmOfflineCondition_,"I_E100547",EPMOlapMemberO("[C_INTERCO].[PARENTH1].[I_E100547]","","I_E100547","","000"))</f>
        <v/>
      </c>
      <c r="Y433" s="870">
        <f>IF(_epmOfflineCondition_,"宁夏同心大地日盛新能源有限公司",EPMMemberDesc(X433))</f>
        <v/>
      </c>
      <c r="Z433" s="1302" t="n"/>
      <c r="AA433" s="1302" t="n"/>
      <c r="AB433" s="858" t="n"/>
      <c r="AC433" s="1302" t="n"/>
      <c r="AD433" s="1302" t="n"/>
      <c r="AE433" s="1302" t="inlineStr"/>
      <c r="AF433" s="1302" t="inlineStr"/>
      <c r="AG433" s="1302" t="inlineStr"/>
      <c r="AH433" s="1302" t="n"/>
      <c r="AI433" s="1302" t="n"/>
      <c r="AJ433" s="1302" t="n"/>
      <c r="AK433" s="1302">
        <f>AI433-AJ433</f>
        <v/>
      </c>
      <c r="AL433" s="858" t="n"/>
      <c r="AM433" s="1297" t="inlineStr"/>
      <c r="AN433" s="1298" t="n"/>
      <c r="AO433" s="13">
        <f>IF(_epmOfflineCondition_,0,EPMSaveDataOnly(AB433,,AB$29,AB$25,AB$26,AB$31,AB$32,$AA$37,AO$14,AO$15,AO$16,AO$17,AO$18,X433))</f>
        <v/>
      </c>
      <c r="AP433" s="13">
        <f>IF(_epmOfflineCondition_,0,EPMSaveDataOnly(AL433,,AL$29,AL$25,AL$26,AL$31,AL$32,$AA$37,AP$14,AP$15,AP$16,AP$17,AP$18,$X433))</f>
        <v/>
      </c>
      <c r="AQ433" s="13">
        <f>IF(_epmOfflineCondition_,0,EPMSaveData(AM433,,AM$29,AM$25,AM$26,$C$6,AM$32,$AA$37,AQ$14,AQ$15,AQ$16,AQ$17,AQ$18,$X433))</f>
        <v/>
      </c>
      <c r="AR433" s="13">
        <f>IF(_epmOfflineCondition_,0,EPMSaveDataOnly(AN433,,AN$29,AN$25,AN$26,AN$31,AN$32,$AA$37,AR$14,AR$15,AR$16,AR$17,AR$18,$X433))</f>
        <v/>
      </c>
      <c r="AS433" s="384" t="n"/>
    </row>
    <row r="434" hidden="1" ht="15.75" customHeight="1" s="1181">
      <c r="A434" s="384" t="n"/>
      <c r="B434" s="384" t="n"/>
      <c r="C434" s="384" t="n"/>
      <c r="D434" s="384" t="n"/>
      <c r="E434" s="384" t="n"/>
      <c r="F434" s="384" t="n"/>
      <c r="G434" s="384" t="n"/>
      <c r="H434" s="384" t="n"/>
      <c r="I434" s="384" t="n"/>
      <c r="J434" s="384" t="n"/>
      <c r="K434" s="384" t="n"/>
      <c r="L434" s="384" t="n"/>
      <c r="M434" s="384" t="n"/>
      <c r="N434" s="384" t="n"/>
      <c r="O434" s="384" t="n"/>
      <c r="P434" s="384" t="n"/>
      <c r="Q434" s="384" t="n"/>
      <c r="R434" s="384" t="n"/>
      <c r="S434" s="384" t="n"/>
      <c r="T434" s="384" t="n"/>
      <c r="U434" s="384" t="n"/>
      <c r="V434" s="384" t="n"/>
      <c r="W434" s="384" t="n"/>
      <c r="X434" s="645">
        <f>IF(_epmOfflineCondition_,"I_E100558",EPMOlapMemberO("[C_INTERCO].[PARENTH1].[I_E100558]","","I_E100558","","000"))</f>
        <v/>
      </c>
      <c r="Y434" s="870">
        <f>IF(_epmOfflineCondition_,"北京能工荟智机器人有限责任公司",EPMMemberDesc(X434))</f>
        <v/>
      </c>
      <c r="Z434" s="1302" t="n"/>
      <c r="AA434" s="1302" t="n"/>
      <c r="AB434" s="858" t="n"/>
      <c r="AC434" s="1302" t="n"/>
      <c r="AD434" s="1302" t="n"/>
      <c r="AE434" s="1302" t="inlineStr"/>
      <c r="AF434" s="1302" t="inlineStr"/>
      <c r="AG434" s="1302" t="inlineStr"/>
      <c r="AH434" s="1302" t="n"/>
      <c r="AI434" s="1302" t="n"/>
      <c r="AJ434" s="1302" t="n"/>
      <c r="AK434" s="1302">
        <f>AI434-AJ434</f>
        <v/>
      </c>
      <c r="AL434" s="858" t="n"/>
      <c r="AM434" s="1297" t="inlineStr"/>
      <c r="AN434" s="1298" t="n"/>
      <c r="AO434" s="13">
        <f>IF(_epmOfflineCondition_,0,EPMSaveDataOnly(AB434,,AB$29,AB$25,AB$26,AB$31,AB$32,$AA$37,AO$14,AO$15,AO$16,AO$17,AO$18,X434))</f>
        <v/>
      </c>
      <c r="AP434" s="13">
        <f>IF(_epmOfflineCondition_,0,EPMSaveDataOnly(AL434,,AL$29,AL$25,AL$26,AL$31,AL$32,$AA$37,AP$14,AP$15,AP$16,AP$17,AP$18,$X434))</f>
        <v/>
      </c>
      <c r="AQ434" s="13">
        <f>IF(_epmOfflineCondition_,0,EPMSaveData(AM434,,AM$29,AM$25,AM$26,$C$6,AM$32,$AA$37,AQ$14,AQ$15,AQ$16,AQ$17,AQ$18,$X434))</f>
        <v/>
      </c>
      <c r="AR434" s="13">
        <f>IF(_epmOfflineCondition_,0,EPMSaveDataOnly(AN434,,AN$29,AN$25,AN$26,AN$31,AN$32,$AA$37,AR$14,AR$15,AR$16,AR$17,AR$18,$X434))</f>
        <v/>
      </c>
      <c r="AS434" s="384" t="n"/>
    </row>
    <row r="435" hidden="1" ht="15.75" customHeight="1" s="1181">
      <c r="A435" s="384" t="n"/>
      <c r="B435" s="384" t="n"/>
      <c r="C435" s="384" t="n"/>
      <c r="D435" s="384" t="n"/>
      <c r="E435" s="384" t="n"/>
      <c r="F435" s="384" t="n"/>
      <c r="G435" s="384" t="n"/>
      <c r="H435" s="384" t="n"/>
      <c r="I435" s="384" t="n"/>
      <c r="J435" s="384" t="n"/>
      <c r="K435" s="384" t="n"/>
      <c r="L435" s="384" t="n"/>
      <c r="M435" s="384" t="n"/>
      <c r="N435" s="384" t="n"/>
      <c r="O435" s="384" t="n"/>
      <c r="P435" s="384" t="n"/>
      <c r="Q435" s="384" t="n"/>
      <c r="R435" s="384" t="n"/>
      <c r="S435" s="384" t="n"/>
      <c r="T435" s="384" t="n"/>
      <c r="U435" s="384" t="n"/>
      <c r="V435" s="384" t="n"/>
      <c r="W435" s="384" t="n"/>
      <c r="X435" s="645">
        <f>IF(_epmOfflineCondition_,"I_E100559",EPMOlapMemberO("[C_INTERCO].[PARENTH1].[I_E100559]","","I_E100559","","000"))</f>
        <v/>
      </c>
      <c r="Y435" s="870">
        <f>IF(_epmOfflineCondition_,"北京能源投资集团（香港）有限公司",EPMMemberDesc(X435))</f>
        <v/>
      </c>
      <c r="Z435" s="1302" t="n"/>
      <c r="AA435" s="1302" t="n"/>
      <c r="AB435" s="858" t="n"/>
      <c r="AC435" s="1302" t="n"/>
      <c r="AD435" s="1302" t="n"/>
      <c r="AE435" s="1302" t="inlineStr"/>
      <c r="AF435" s="1302" t="inlineStr"/>
      <c r="AG435" s="1302" t="inlineStr"/>
      <c r="AH435" s="1302" t="n"/>
      <c r="AI435" s="1302" t="n"/>
      <c r="AJ435" s="1302" t="n"/>
      <c r="AK435" s="1302">
        <f>AI435-AJ435</f>
        <v/>
      </c>
      <c r="AL435" s="858" t="n"/>
      <c r="AM435" s="1297" t="inlineStr"/>
      <c r="AN435" s="1298" t="n"/>
      <c r="AO435" s="13">
        <f>IF(_epmOfflineCondition_,0,EPMSaveDataOnly(AB435,,AB$29,AB$25,AB$26,AB$31,AB$32,$AA$37,AO$14,AO$15,AO$16,AO$17,AO$18,X435))</f>
        <v/>
      </c>
      <c r="AP435" s="13">
        <f>IF(_epmOfflineCondition_,0,EPMSaveDataOnly(AL435,,AL$29,AL$25,AL$26,AL$31,AL$32,$AA$37,AP$14,AP$15,AP$16,AP$17,AP$18,$X435))</f>
        <v/>
      </c>
      <c r="AQ435" s="13">
        <f>IF(_epmOfflineCondition_,0,EPMSaveData(AM435,,AM$29,AM$25,AM$26,$C$6,AM$32,$AA$37,AQ$14,AQ$15,AQ$16,AQ$17,AQ$18,$X435))</f>
        <v/>
      </c>
      <c r="AR435" s="13">
        <f>IF(_epmOfflineCondition_,0,EPMSaveDataOnly(AN435,,AN$29,AN$25,AN$26,AN$31,AN$32,$AA$37,AR$14,AR$15,AR$16,AR$17,AR$18,$X435))</f>
        <v/>
      </c>
      <c r="AS435" s="384" t="n"/>
    </row>
    <row r="436" hidden="1" ht="15.75" customHeight="1" s="1181">
      <c r="A436" s="384" t="n"/>
      <c r="B436" s="384" t="n"/>
      <c r="C436" s="384" t="n"/>
      <c r="D436" s="384" t="n"/>
      <c r="E436" s="384" t="n"/>
      <c r="F436" s="384" t="n"/>
      <c r="G436" s="384" t="n"/>
      <c r="H436" s="384" t="n"/>
      <c r="I436" s="384" t="n"/>
      <c r="J436" s="384" t="n"/>
      <c r="K436" s="384" t="n"/>
      <c r="L436" s="384" t="n"/>
      <c r="M436" s="384" t="n"/>
      <c r="N436" s="384" t="n"/>
      <c r="O436" s="384" t="n"/>
      <c r="P436" s="384" t="n"/>
      <c r="Q436" s="384" t="n"/>
      <c r="R436" s="384" t="n"/>
      <c r="S436" s="384" t="n"/>
      <c r="T436" s="384" t="n"/>
      <c r="U436" s="384" t="n"/>
      <c r="V436" s="384" t="n"/>
      <c r="W436" s="384" t="n"/>
      <c r="X436" s="645">
        <f>IF(_epmOfflineCondition_,"I_E100560",EPMOlapMemberO("[C_INTERCO].[PARENTH1].[I_E100560]","","I_E100560","","000"))</f>
        <v/>
      </c>
      <c r="Y436" s="870">
        <f>IF(_epmOfflineCondition_,"北京京能新能源有限公司宁夏分公司",EPMMemberDesc(X436))</f>
        <v/>
      </c>
      <c r="Z436" s="1302" t="n"/>
      <c r="AA436" s="1302" t="n"/>
      <c r="AB436" s="858" t="n"/>
      <c r="AC436" s="1302" t="n"/>
      <c r="AD436" s="1302" t="n"/>
      <c r="AE436" s="1302" t="inlineStr"/>
      <c r="AF436" s="1302" t="inlineStr"/>
      <c r="AG436" s="1302" t="inlineStr"/>
      <c r="AH436" s="1302" t="n"/>
      <c r="AI436" s="1302" t="n"/>
      <c r="AJ436" s="1302" t="n"/>
      <c r="AK436" s="1302">
        <f>AI436-AJ436</f>
        <v/>
      </c>
      <c r="AL436" s="858" t="n"/>
      <c r="AM436" s="1297" t="inlineStr"/>
      <c r="AN436" s="1298" t="n"/>
      <c r="AO436" s="13">
        <f>IF(_epmOfflineCondition_,0,EPMSaveDataOnly(AB436,,AB$29,AB$25,AB$26,AB$31,AB$32,$AA$37,AO$14,AO$15,AO$16,AO$17,AO$18,X436))</f>
        <v/>
      </c>
      <c r="AP436" s="13">
        <f>IF(_epmOfflineCondition_,0,EPMSaveDataOnly(AL436,,AL$29,AL$25,AL$26,AL$31,AL$32,$AA$37,AP$14,AP$15,AP$16,AP$17,AP$18,$X436))</f>
        <v/>
      </c>
      <c r="AQ436" s="13">
        <f>IF(_epmOfflineCondition_,0,EPMSaveData(AM436,,AM$29,AM$25,AM$26,$C$6,AM$32,$AA$37,AQ$14,AQ$15,AQ$16,AQ$17,AQ$18,$X436))</f>
        <v/>
      </c>
      <c r="AR436" s="13">
        <f>IF(_epmOfflineCondition_,0,EPMSaveDataOnly(AN436,,AN$29,AN$25,AN$26,AN$31,AN$32,$AA$37,AR$14,AR$15,AR$16,AR$17,AR$18,$X436))</f>
        <v/>
      </c>
      <c r="AS436" s="384" t="n"/>
    </row>
    <row r="437" hidden="1" ht="15.75" customHeight="1" s="1181">
      <c r="A437" s="384" t="n"/>
      <c r="B437" s="384" t="n"/>
      <c r="C437" s="384" t="n"/>
      <c r="D437" s="384" t="n"/>
      <c r="E437" s="384" t="n"/>
      <c r="F437" s="384" t="n"/>
      <c r="G437" s="384" t="n"/>
      <c r="H437" s="384" t="n"/>
      <c r="I437" s="384" t="n"/>
      <c r="J437" s="384" t="n"/>
      <c r="K437" s="384" t="n"/>
      <c r="L437" s="384" t="n"/>
      <c r="M437" s="384" t="n"/>
      <c r="N437" s="384" t="n"/>
      <c r="O437" s="384" t="n"/>
      <c r="P437" s="384" t="n"/>
      <c r="Q437" s="384" t="n"/>
      <c r="R437" s="384" t="n"/>
      <c r="S437" s="384" t="n"/>
      <c r="T437" s="384" t="n"/>
      <c r="U437" s="384" t="n"/>
      <c r="V437" s="384" t="n"/>
      <c r="W437" s="384" t="n"/>
      <c r="X437" s="645">
        <f>IF(_epmOfflineCondition_,"I_E100561",EPMOlapMemberO("[C_INTERCO].[PARENTH1].[I_E100561]","","I_E100561","","000"))</f>
        <v/>
      </c>
      <c r="Y437" s="870">
        <f>IF(_epmOfflineCondition_,"北京京能清洁能源（澳洲）控股有限公司",EPMMemberDesc(X437))</f>
        <v/>
      </c>
      <c r="Z437" s="1302" t="n"/>
      <c r="AA437" s="1302" t="n"/>
      <c r="AB437" s="858" t="n"/>
      <c r="AC437" s="1302" t="n"/>
      <c r="AD437" s="1302" t="n"/>
      <c r="AE437" s="1302" t="inlineStr"/>
      <c r="AF437" s="1302" t="inlineStr"/>
      <c r="AG437" s="1302" t="inlineStr"/>
      <c r="AH437" s="1302" t="n"/>
      <c r="AI437" s="1302" t="n"/>
      <c r="AJ437" s="1302" t="n"/>
      <c r="AK437" s="1302">
        <f>AI437-AJ437</f>
        <v/>
      </c>
      <c r="AL437" s="858" t="n"/>
      <c r="AM437" s="1297" t="inlineStr"/>
      <c r="AN437" s="1298" t="n"/>
      <c r="AO437" s="13">
        <f>IF(_epmOfflineCondition_,0,EPMSaveDataOnly(AB437,,AB$29,AB$25,AB$26,AB$31,AB$32,$AA$37,AO$14,AO$15,AO$16,AO$17,AO$18,X437))</f>
        <v/>
      </c>
      <c r="AP437" s="13">
        <f>IF(_epmOfflineCondition_,0,EPMSaveDataOnly(AL437,,AL$29,AL$25,AL$26,AL$31,AL$32,$AA$37,AP$14,AP$15,AP$16,AP$17,AP$18,$X437))</f>
        <v/>
      </c>
      <c r="AQ437" s="13">
        <f>IF(_epmOfflineCondition_,0,EPMSaveData(AM437,,AM$29,AM$25,AM$26,$C$6,AM$32,$AA$37,AQ$14,AQ$15,AQ$16,AQ$17,AQ$18,$X437))</f>
        <v/>
      </c>
      <c r="AR437" s="13">
        <f>IF(_epmOfflineCondition_,0,EPMSaveDataOnly(AN437,,AN$29,AN$25,AN$26,AN$31,AN$32,$AA$37,AR$14,AR$15,AR$16,AR$17,AR$18,$X437))</f>
        <v/>
      </c>
      <c r="AS437" s="384" t="n"/>
    </row>
    <row r="438" hidden="1" ht="15.75" customHeight="1" s="1181">
      <c r="A438" s="384" t="n"/>
      <c r="B438" s="384" t="n"/>
      <c r="C438" s="384" t="n"/>
      <c r="D438" s="384" t="n"/>
      <c r="E438" s="384" t="n"/>
      <c r="F438" s="384" t="n"/>
      <c r="G438" s="384" t="n"/>
      <c r="H438" s="384" t="n"/>
      <c r="I438" s="384" t="n"/>
      <c r="J438" s="384" t="n"/>
      <c r="K438" s="384" t="n"/>
      <c r="L438" s="384" t="n"/>
      <c r="M438" s="384" t="n"/>
      <c r="N438" s="384" t="n"/>
      <c r="O438" s="384" t="n"/>
      <c r="P438" s="384" t="n"/>
      <c r="Q438" s="384" t="n"/>
      <c r="R438" s="384" t="n"/>
      <c r="S438" s="384" t="n"/>
      <c r="T438" s="384" t="n"/>
      <c r="U438" s="384" t="n"/>
      <c r="V438" s="384" t="n"/>
      <c r="W438" s="384" t="n"/>
      <c r="X438" s="645">
        <f>IF(_epmOfflineCondition_,"I_E100562",EPMOlapMemberO("[C_INTERCO].[PARENTH1].[I_E100562]","","I_E100562","","000"))</f>
        <v/>
      </c>
      <c r="Y438" s="870">
        <f>IF(_epmOfflineCondition_,"新格伦风电项目公司",EPMMemberDesc(X438))</f>
        <v/>
      </c>
      <c r="Z438" s="1302" t="n"/>
      <c r="AA438" s="1302" t="n"/>
      <c r="AB438" s="858" t="n"/>
      <c r="AC438" s="1302" t="n"/>
      <c r="AD438" s="1302" t="n"/>
      <c r="AE438" s="1302" t="inlineStr"/>
      <c r="AF438" s="1302" t="inlineStr"/>
      <c r="AG438" s="1302" t="inlineStr"/>
      <c r="AH438" s="1302" t="n"/>
      <c r="AI438" s="1302" t="n"/>
      <c r="AJ438" s="1302" t="n"/>
      <c r="AK438" s="1302">
        <f>AI438-AJ438</f>
        <v/>
      </c>
      <c r="AL438" s="858" t="n"/>
      <c r="AM438" s="1297" t="inlineStr"/>
      <c r="AN438" s="1298" t="n"/>
      <c r="AO438" s="13">
        <f>IF(_epmOfflineCondition_,0,EPMSaveDataOnly(AB438,,AB$29,AB$25,AB$26,AB$31,AB$32,$AA$37,AO$14,AO$15,AO$16,AO$17,AO$18,X438))</f>
        <v/>
      </c>
      <c r="AP438" s="13">
        <f>IF(_epmOfflineCondition_,0,EPMSaveDataOnly(AL438,,AL$29,AL$25,AL$26,AL$31,AL$32,$AA$37,AP$14,AP$15,AP$16,AP$17,AP$18,$X438))</f>
        <v/>
      </c>
      <c r="AQ438" s="13">
        <f>IF(_epmOfflineCondition_,0,EPMSaveData(AM438,,AM$29,AM$25,AM$26,$C$6,AM$32,$AA$37,AQ$14,AQ$15,AQ$16,AQ$17,AQ$18,$X438))</f>
        <v/>
      </c>
      <c r="AR438" s="13">
        <f>IF(_epmOfflineCondition_,0,EPMSaveDataOnly(AN438,,AN$29,AN$25,AN$26,AN$31,AN$32,$AA$37,AR$14,AR$15,AR$16,AR$17,AR$18,$X438))</f>
        <v/>
      </c>
      <c r="AS438" s="384" t="n"/>
    </row>
    <row r="439" hidden="1" ht="15.75" customHeight="1" s="1181">
      <c r="A439" s="384" t="n"/>
      <c r="B439" s="384" t="n"/>
      <c r="C439" s="384" t="n"/>
      <c r="D439" s="384" t="n"/>
      <c r="E439" s="384" t="n"/>
      <c r="F439" s="384" t="n"/>
      <c r="G439" s="384" t="n"/>
      <c r="H439" s="384" t="n"/>
      <c r="I439" s="384" t="n"/>
      <c r="J439" s="384" t="n"/>
      <c r="K439" s="384" t="n"/>
      <c r="L439" s="384" t="n"/>
      <c r="M439" s="384" t="n"/>
      <c r="N439" s="384" t="n"/>
      <c r="O439" s="384" t="n"/>
      <c r="P439" s="384" t="n"/>
      <c r="Q439" s="384" t="n"/>
      <c r="R439" s="384" t="n"/>
      <c r="S439" s="384" t="n"/>
      <c r="T439" s="384" t="n"/>
      <c r="U439" s="384" t="n"/>
      <c r="V439" s="384" t="n"/>
      <c r="W439" s="384" t="n"/>
      <c r="X439" s="645">
        <f>IF(_epmOfflineCondition_,"I_E100563",EPMOlapMemberO("[C_INTERCO].[PARENTH1].[I_E100563]","","I_E100563","","000"))</f>
        <v/>
      </c>
      <c r="Y439" s="870">
        <f>IF(_epmOfflineCondition_,"格伦光伏项目公司",EPMMemberDesc(X439))</f>
        <v/>
      </c>
      <c r="Z439" s="1302" t="n"/>
      <c r="AA439" s="1302" t="n"/>
      <c r="AB439" s="858" t="n"/>
      <c r="AC439" s="1302" t="n"/>
      <c r="AD439" s="1302" t="n"/>
      <c r="AE439" s="1302" t="inlineStr"/>
      <c r="AF439" s="1302" t="inlineStr"/>
      <c r="AG439" s="1302" t="inlineStr"/>
      <c r="AH439" s="1302" t="n"/>
      <c r="AI439" s="1302" t="n"/>
      <c r="AJ439" s="1302" t="n"/>
      <c r="AK439" s="1302">
        <f>AI439-AJ439</f>
        <v/>
      </c>
      <c r="AL439" s="858" t="n"/>
      <c r="AM439" s="1297" t="inlineStr"/>
      <c r="AN439" s="1298" t="n"/>
      <c r="AO439" s="13">
        <f>IF(_epmOfflineCondition_,0,EPMSaveDataOnly(AB439,,AB$29,AB$25,AB$26,AB$31,AB$32,$AA$37,AO$14,AO$15,AO$16,AO$17,AO$18,X439))</f>
        <v/>
      </c>
      <c r="AP439" s="13">
        <f>IF(_epmOfflineCondition_,0,EPMSaveDataOnly(AL439,,AL$29,AL$25,AL$26,AL$31,AL$32,$AA$37,AP$14,AP$15,AP$16,AP$17,AP$18,$X439))</f>
        <v/>
      </c>
      <c r="AQ439" s="13">
        <f>IF(_epmOfflineCondition_,0,EPMSaveData(AM439,,AM$29,AM$25,AM$26,$C$6,AM$32,$AA$37,AQ$14,AQ$15,AQ$16,AQ$17,AQ$18,$X439))</f>
        <v/>
      </c>
      <c r="AR439" s="13">
        <f>IF(_epmOfflineCondition_,0,EPMSaveDataOnly(AN439,,AN$29,AN$25,AN$26,AN$31,AN$32,$AA$37,AR$14,AR$15,AR$16,AR$17,AR$18,$X439))</f>
        <v/>
      </c>
      <c r="AS439" s="384" t="n"/>
    </row>
    <row r="440" hidden="1" ht="15.75" customHeight="1" s="1181">
      <c r="A440" s="384" t="n"/>
      <c r="B440" s="384" t="n"/>
      <c r="C440" s="384" t="n"/>
      <c r="D440" s="384" t="n"/>
      <c r="E440" s="384" t="n"/>
      <c r="F440" s="384" t="n"/>
      <c r="G440" s="384" t="n"/>
      <c r="H440" s="384" t="n"/>
      <c r="I440" s="384" t="n"/>
      <c r="J440" s="384" t="n"/>
      <c r="K440" s="384" t="n"/>
      <c r="L440" s="384" t="n"/>
      <c r="M440" s="384" t="n"/>
      <c r="N440" s="384" t="n"/>
      <c r="O440" s="384" t="n"/>
      <c r="P440" s="384" t="n"/>
      <c r="Q440" s="384" t="n"/>
      <c r="R440" s="384" t="n"/>
      <c r="S440" s="384" t="n"/>
      <c r="T440" s="384" t="n"/>
      <c r="U440" s="384" t="n"/>
      <c r="V440" s="384" t="n"/>
      <c r="W440" s="384" t="n"/>
      <c r="X440" s="645">
        <f>IF(_epmOfflineCondition_,"I_E100564",EPMOlapMemberO("[C_INTERCO].[PARENTH1].[I_E100564]","","I_E100564","","000"))</f>
        <v/>
      </c>
      <c r="Y440" s="870">
        <f>IF(_epmOfflineCondition_,"拜亚拉风电项目公司",EPMMemberDesc(X440))</f>
        <v/>
      </c>
      <c r="Z440" s="1302" t="n"/>
      <c r="AA440" s="1302" t="n"/>
      <c r="AB440" s="858" t="n"/>
      <c r="AC440" s="1302" t="n"/>
      <c r="AD440" s="1302" t="n"/>
      <c r="AE440" s="1302" t="inlineStr"/>
      <c r="AF440" s="1302" t="inlineStr"/>
      <c r="AG440" s="1302" t="inlineStr"/>
      <c r="AH440" s="1302" t="n"/>
      <c r="AI440" s="1302" t="n"/>
      <c r="AJ440" s="1302" t="n"/>
      <c r="AK440" s="1302">
        <f>AI440-AJ440</f>
        <v/>
      </c>
      <c r="AL440" s="858" t="n"/>
      <c r="AM440" s="1297" t="inlineStr"/>
      <c r="AN440" s="1298" t="n"/>
      <c r="AO440" s="13">
        <f>IF(_epmOfflineCondition_,0,EPMSaveDataOnly(AB440,,AB$29,AB$25,AB$26,AB$31,AB$32,$AA$37,AO$14,AO$15,AO$16,AO$17,AO$18,X440))</f>
        <v/>
      </c>
      <c r="AP440" s="13">
        <f>IF(_epmOfflineCondition_,0,EPMSaveDataOnly(AL440,,AL$29,AL$25,AL$26,AL$31,AL$32,$AA$37,AP$14,AP$15,AP$16,AP$17,AP$18,$X440))</f>
        <v/>
      </c>
      <c r="AQ440" s="13">
        <f>IF(_epmOfflineCondition_,0,EPMSaveData(AM440,,AM$29,AM$25,AM$26,$C$6,AM$32,$AA$37,AQ$14,AQ$15,AQ$16,AQ$17,AQ$18,$X440))</f>
        <v/>
      </c>
      <c r="AR440" s="13">
        <f>IF(_epmOfflineCondition_,0,EPMSaveDataOnly(AN440,,AN$29,AN$25,AN$26,AN$31,AN$32,$AA$37,AR$14,AR$15,AR$16,AR$17,AR$18,$X440))</f>
        <v/>
      </c>
      <c r="AS440" s="384" t="n"/>
    </row>
    <row r="441" hidden="1" ht="15.75" customHeight="1" s="1181">
      <c r="A441" s="384" t="n"/>
      <c r="B441" s="384" t="n"/>
      <c r="C441" s="384" t="n"/>
      <c r="D441" s="384" t="n"/>
      <c r="E441" s="384" t="n"/>
      <c r="F441" s="384" t="n"/>
      <c r="G441" s="384" t="n"/>
      <c r="H441" s="384" t="n"/>
      <c r="I441" s="384" t="n"/>
      <c r="J441" s="384" t="n"/>
      <c r="K441" s="384" t="n"/>
      <c r="L441" s="384" t="n"/>
      <c r="M441" s="384" t="n"/>
      <c r="N441" s="384" t="n"/>
      <c r="O441" s="384" t="n"/>
      <c r="P441" s="384" t="n"/>
      <c r="Q441" s="384" t="n"/>
      <c r="R441" s="384" t="n"/>
      <c r="S441" s="384" t="n"/>
      <c r="T441" s="384" t="n"/>
      <c r="U441" s="384" t="n"/>
      <c r="V441" s="384" t="n"/>
      <c r="W441" s="384" t="n"/>
      <c r="X441" s="645">
        <f>IF(_epmOfflineCondition_,"I_E100566",EPMOlapMemberO("[C_INTERCO].[PARENTH1].[I_E100566]","","I_E100566","","000"))</f>
        <v/>
      </c>
      <c r="Y441" s="870">
        <f>IF(_epmOfflineCondition_,"北京京能燕开综合能源服务有限公司",EPMMemberDesc(X441))</f>
        <v/>
      </c>
      <c r="Z441" s="1302" t="n"/>
      <c r="AA441" s="1302" t="n"/>
      <c r="AB441" s="858" t="n"/>
      <c r="AC441" s="1302" t="n"/>
      <c r="AD441" s="1302" t="n"/>
      <c r="AE441" s="1302" t="inlineStr"/>
      <c r="AF441" s="1302" t="inlineStr"/>
      <c r="AG441" s="1302" t="inlineStr"/>
      <c r="AH441" s="1302" t="n"/>
      <c r="AI441" s="1302" t="n"/>
      <c r="AJ441" s="1302" t="n"/>
      <c r="AK441" s="1302">
        <f>AI441-AJ441</f>
        <v/>
      </c>
      <c r="AL441" s="858" t="n"/>
      <c r="AM441" s="1297" t="inlineStr"/>
      <c r="AN441" s="1298" t="n"/>
      <c r="AO441" s="13">
        <f>IF(_epmOfflineCondition_,0,EPMSaveDataOnly(AB441,,AB$29,AB$25,AB$26,AB$31,AB$32,$AA$37,AO$14,AO$15,AO$16,AO$17,AO$18,X441))</f>
        <v/>
      </c>
      <c r="AP441" s="13">
        <f>IF(_epmOfflineCondition_,0,EPMSaveDataOnly(AL441,,AL$29,AL$25,AL$26,AL$31,AL$32,$AA$37,AP$14,AP$15,AP$16,AP$17,AP$18,$X441))</f>
        <v/>
      </c>
      <c r="AQ441" s="13">
        <f>IF(_epmOfflineCondition_,0,EPMSaveData(AM441,,AM$29,AM$25,AM$26,$C$6,AM$32,$AA$37,AQ$14,AQ$15,AQ$16,AQ$17,AQ$18,$X441))</f>
        <v/>
      </c>
      <c r="AR441" s="13">
        <f>IF(_epmOfflineCondition_,0,EPMSaveDataOnly(AN441,,AN$29,AN$25,AN$26,AN$31,AN$32,$AA$37,AR$14,AR$15,AR$16,AR$17,AR$18,$X441))</f>
        <v/>
      </c>
      <c r="AS441" s="384" t="n"/>
    </row>
    <row r="442" hidden="1" ht="15.75" customHeight="1" s="1181">
      <c r="A442" s="384" t="n"/>
      <c r="B442" s="384" t="n"/>
      <c r="C442" s="384" t="n"/>
      <c r="D442" s="384" t="n"/>
      <c r="E442" s="384" t="n"/>
      <c r="F442" s="384" t="n"/>
      <c r="G442" s="384" t="n"/>
      <c r="H442" s="384" t="n"/>
      <c r="I442" s="384" t="n"/>
      <c r="J442" s="384" t="n"/>
      <c r="K442" s="384" t="n"/>
      <c r="L442" s="384" t="n"/>
      <c r="M442" s="384" t="n"/>
      <c r="N442" s="384" t="n"/>
      <c r="O442" s="384" t="n"/>
      <c r="P442" s="384" t="n"/>
      <c r="Q442" s="384" t="n"/>
      <c r="R442" s="384" t="n"/>
      <c r="S442" s="384" t="n"/>
      <c r="T442" s="384" t="n"/>
      <c r="U442" s="384" t="n"/>
      <c r="V442" s="384" t="n"/>
      <c r="W442" s="384" t="n"/>
      <c r="X442" s="645">
        <f>IF(_epmOfflineCondition_,"I_E100569",EPMOlapMemberO("[C_INTERCO].[PARENTH1].[I_E100569]","","I_E100569","","000"))</f>
        <v/>
      </c>
      <c r="Y442" s="870">
        <f>IF(_epmOfflineCondition_,"银川京能清洁能源有限公司",EPMMemberDesc(X442))</f>
        <v/>
      </c>
      <c r="Z442" s="1302" t="n"/>
      <c r="AA442" s="1302" t="n"/>
      <c r="AB442" s="858" t="n"/>
      <c r="AC442" s="1302" t="n"/>
      <c r="AD442" s="1302" t="n"/>
      <c r="AE442" s="1302" t="inlineStr"/>
      <c r="AF442" s="1302" t="inlineStr"/>
      <c r="AG442" s="1302" t="inlineStr"/>
      <c r="AH442" s="1302" t="n"/>
      <c r="AI442" s="1302" t="n"/>
      <c r="AJ442" s="1302" t="n"/>
      <c r="AK442" s="1302">
        <f>AI442-AJ442</f>
        <v/>
      </c>
      <c r="AL442" s="858" t="n"/>
      <c r="AM442" s="1297" t="inlineStr"/>
      <c r="AN442" s="1298" t="n"/>
      <c r="AO442" s="13">
        <f>IF(_epmOfflineCondition_,0,EPMSaveDataOnly(AB442,,AB$29,AB$25,AB$26,AB$31,AB$32,$AA$37,AO$14,AO$15,AO$16,AO$17,AO$18,X442))</f>
        <v/>
      </c>
      <c r="AP442" s="13">
        <f>IF(_epmOfflineCondition_,0,EPMSaveDataOnly(AL442,,AL$29,AL$25,AL$26,AL$31,AL$32,$AA$37,AP$14,AP$15,AP$16,AP$17,AP$18,$X442))</f>
        <v/>
      </c>
      <c r="AQ442" s="13">
        <f>IF(_epmOfflineCondition_,0,EPMSaveData(AM442,,AM$29,AM$25,AM$26,$C$6,AM$32,$AA$37,AQ$14,AQ$15,AQ$16,AQ$17,AQ$18,$X442))</f>
        <v/>
      </c>
      <c r="AR442" s="13">
        <f>IF(_epmOfflineCondition_,0,EPMSaveDataOnly(AN442,,AN$29,AN$25,AN$26,AN$31,AN$32,$AA$37,AR$14,AR$15,AR$16,AR$17,AR$18,$X442))</f>
        <v/>
      </c>
      <c r="AS442" s="384" t="n"/>
    </row>
    <row r="443" hidden="1" ht="15.75" customHeight="1" s="1181">
      <c r="A443" s="384" t="n"/>
      <c r="B443" s="384" t="n"/>
      <c r="C443" s="384" t="n"/>
      <c r="D443" s="384" t="n"/>
      <c r="E443" s="384" t="n"/>
      <c r="F443" s="384" t="n"/>
      <c r="G443" s="384" t="n"/>
      <c r="H443" s="384" t="n"/>
      <c r="I443" s="384" t="n"/>
      <c r="J443" s="384" t="n"/>
      <c r="K443" s="384" t="n"/>
      <c r="L443" s="384" t="n"/>
      <c r="M443" s="384" t="n"/>
      <c r="N443" s="384" t="n"/>
      <c r="O443" s="384" t="n"/>
      <c r="P443" s="384" t="n"/>
      <c r="Q443" s="384" t="n"/>
      <c r="R443" s="384" t="n"/>
      <c r="S443" s="384" t="n"/>
      <c r="T443" s="384" t="n"/>
      <c r="U443" s="384" t="n"/>
      <c r="V443" s="384" t="n"/>
      <c r="W443" s="384" t="n"/>
      <c r="X443" s="645">
        <f>IF(_epmOfflineCondition_,"I_E100570",EPMOlapMemberO("[C_INTERCO].[PARENTH1].[I_E100570]","","I_E100570","","000"))</f>
        <v/>
      </c>
      <c r="Y443" s="870">
        <f>IF(_epmOfflineCondition_,"宁夏杉阳新能源有限公司",EPMMemberDesc(X443))</f>
        <v/>
      </c>
      <c r="Z443" s="1302" t="n"/>
      <c r="AA443" s="1302" t="n"/>
      <c r="AB443" s="858" t="n"/>
      <c r="AC443" s="1302" t="n"/>
      <c r="AD443" s="1302" t="n"/>
      <c r="AE443" s="1302" t="inlineStr"/>
      <c r="AF443" s="1302" t="inlineStr"/>
      <c r="AG443" s="1302" t="inlineStr"/>
      <c r="AH443" s="1302" t="n"/>
      <c r="AI443" s="1302" t="n"/>
      <c r="AJ443" s="1302" t="n"/>
      <c r="AK443" s="1302">
        <f>AI443-AJ443</f>
        <v/>
      </c>
      <c r="AL443" s="858" t="n"/>
      <c r="AM443" s="1297" t="inlineStr"/>
      <c r="AN443" s="1298" t="n"/>
      <c r="AO443" s="13">
        <f>IF(_epmOfflineCondition_,0,EPMSaveDataOnly(AB443,,AB$29,AB$25,AB$26,AB$31,AB$32,$AA$37,AO$14,AO$15,AO$16,AO$17,AO$18,X443))</f>
        <v/>
      </c>
      <c r="AP443" s="13">
        <f>IF(_epmOfflineCondition_,0,EPMSaveDataOnly(AL443,,AL$29,AL$25,AL$26,AL$31,AL$32,$AA$37,AP$14,AP$15,AP$16,AP$17,AP$18,$X443))</f>
        <v/>
      </c>
      <c r="AQ443" s="13">
        <f>IF(_epmOfflineCondition_,0,EPMSaveData(AM443,,AM$29,AM$25,AM$26,$C$6,AM$32,$AA$37,AQ$14,AQ$15,AQ$16,AQ$17,AQ$18,$X443))</f>
        <v/>
      </c>
      <c r="AR443" s="13">
        <f>IF(_epmOfflineCondition_,0,EPMSaveDataOnly(AN443,,AN$29,AN$25,AN$26,AN$31,AN$32,$AA$37,AR$14,AR$15,AR$16,AR$17,AR$18,$X443))</f>
        <v/>
      </c>
      <c r="AS443" s="384" t="n"/>
    </row>
    <row r="444" hidden="1" ht="15.75" customHeight="1" s="1181">
      <c r="A444" s="384" t="n"/>
      <c r="B444" s="384" t="n"/>
      <c r="C444" s="384" t="n"/>
      <c r="D444" s="384" t="n"/>
      <c r="E444" s="384" t="n"/>
      <c r="F444" s="384" t="n"/>
      <c r="G444" s="384" t="n"/>
      <c r="H444" s="384" t="n"/>
      <c r="I444" s="384" t="n"/>
      <c r="J444" s="384" t="n"/>
      <c r="K444" s="384" t="n"/>
      <c r="L444" s="384" t="n"/>
      <c r="M444" s="384" t="n"/>
      <c r="N444" s="384" t="n"/>
      <c r="O444" s="384" t="n"/>
      <c r="P444" s="384" t="n"/>
      <c r="Q444" s="384" t="n"/>
      <c r="R444" s="384" t="n"/>
      <c r="S444" s="384" t="n"/>
      <c r="T444" s="384" t="n"/>
      <c r="U444" s="384" t="n"/>
      <c r="V444" s="384" t="n"/>
      <c r="W444" s="384" t="n"/>
      <c r="X444" s="645">
        <f>IF(_epmOfflineCondition_,"I_E100571",EPMOlapMemberO("[C_INTERCO].[PARENTH1].[I_E100571]","","I_E100571","","000"))</f>
        <v/>
      </c>
      <c r="Y444" s="870">
        <f>IF(_epmOfflineCondition_,"京能远景领金智汇（北京）科技有限公司",EPMMemberDesc(X444))</f>
        <v/>
      </c>
      <c r="Z444" s="1302" t="n"/>
      <c r="AA444" s="1302" t="n"/>
      <c r="AB444" s="858" t="n"/>
      <c r="AC444" s="1302" t="n"/>
      <c r="AD444" s="1302" t="n"/>
      <c r="AE444" s="1302" t="inlineStr"/>
      <c r="AF444" s="1302" t="inlineStr"/>
      <c r="AG444" s="1302" t="inlineStr"/>
      <c r="AH444" s="1302" t="n"/>
      <c r="AI444" s="1302" t="n"/>
      <c r="AJ444" s="1302" t="n"/>
      <c r="AK444" s="1302">
        <f>AI444-AJ444</f>
        <v/>
      </c>
      <c r="AL444" s="858" t="n"/>
      <c r="AM444" s="1297" t="inlineStr"/>
      <c r="AN444" s="1298" t="n"/>
      <c r="AO444" s="13">
        <f>IF(_epmOfflineCondition_,0,EPMSaveDataOnly(AB444,,AB$29,AB$25,AB$26,AB$31,AB$32,$AA$37,AO$14,AO$15,AO$16,AO$17,AO$18,X444))</f>
        <v/>
      </c>
      <c r="AP444" s="13">
        <f>IF(_epmOfflineCondition_,0,EPMSaveDataOnly(AL444,,AL$29,AL$25,AL$26,AL$31,AL$32,$AA$37,AP$14,AP$15,AP$16,AP$17,AP$18,$X444))</f>
        <v/>
      </c>
      <c r="AQ444" s="13">
        <f>IF(_epmOfflineCondition_,0,EPMSaveData(AM444,,AM$29,AM$25,AM$26,$C$6,AM$32,$AA$37,AQ$14,AQ$15,AQ$16,AQ$17,AQ$18,$X444))</f>
        <v/>
      </c>
      <c r="AR444" s="13">
        <f>IF(_epmOfflineCondition_,0,EPMSaveDataOnly(AN444,,AN$29,AN$25,AN$26,AN$31,AN$32,$AA$37,AR$14,AR$15,AR$16,AR$17,AR$18,$X444))</f>
        <v/>
      </c>
      <c r="AS444" s="384" t="n"/>
    </row>
    <row r="445" hidden="1" ht="15.75" customHeight="1" s="1181">
      <c r="A445" s="384" t="n"/>
      <c r="B445" s="384" t="n"/>
      <c r="C445" s="384" t="n"/>
      <c r="D445" s="384" t="n"/>
      <c r="E445" s="384" t="n"/>
      <c r="F445" s="384" t="n"/>
      <c r="G445" s="384" t="n"/>
      <c r="H445" s="384" t="n"/>
      <c r="I445" s="384" t="n"/>
      <c r="J445" s="384" t="n"/>
      <c r="K445" s="384" t="n"/>
      <c r="L445" s="384" t="n"/>
      <c r="M445" s="384" t="n"/>
      <c r="N445" s="384" t="n"/>
      <c r="O445" s="384" t="n"/>
      <c r="P445" s="384" t="n"/>
      <c r="Q445" s="384" t="n"/>
      <c r="R445" s="384" t="n"/>
      <c r="S445" s="384" t="n"/>
      <c r="T445" s="384" t="n"/>
      <c r="U445" s="384" t="n"/>
      <c r="V445" s="384" t="n"/>
      <c r="W445" s="384" t="n"/>
      <c r="X445" s="645">
        <f>IF(_epmOfflineCondition_,"I_E100572",EPMOlapMemberO("[C_INTERCO].[PARENTH1].[I_E100572]","","I_E100572","","000"))</f>
        <v/>
      </c>
      <c r="Y445" s="870">
        <f>IF(_epmOfflineCondition_,"北京智慧互联能源有限公司",EPMMemberDesc(X445))</f>
        <v/>
      </c>
      <c r="Z445" s="1302" t="n"/>
      <c r="AA445" s="1302" t="n"/>
      <c r="AB445" s="858" t="n"/>
      <c r="AC445" s="1302" t="n"/>
      <c r="AD445" s="1302" t="n"/>
      <c r="AE445" s="1302" t="inlineStr"/>
      <c r="AF445" s="1302" t="inlineStr"/>
      <c r="AG445" s="1302" t="inlineStr"/>
      <c r="AH445" s="1302" t="n"/>
      <c r="AI445" s="1302" t="n"/>
      <c r="AJ445" s="1302" t="n"/>
      <c r="AK445" s="1302">
        <f>AI445-AJ445</f>
        <v/>
      </c>
      <c r="AL445" s="858" t="n"/>
      <c r="AM445" s="1297" t="inlineStr"/>
      <c r="AN445" s="1298" t="n"/>
      <c r="AO445" s="13">
        <f>IF(_epmOfflineCondition_,0,EPMSaveDataOnly(AB445,,AB$29,AB$25,AB$26,AB$31,AB$32,$AA$37,AO$14,AO$15,AO$16,AO$17,AO$18,X445))</f>
        <v/>
      </c>
      <c r="AP445" s="13">
        <f>IF(_epmOfflineCondition_,0,EPMSaveDataOnly(AL445,,AL$29,AL$25,AL$26,AL$31,AL$32,$AA$37,AP$14,AP$15,AP$16,AP$17,AP$18,$X445))</f>
        <v/>
      </c>
      <c r="AQ445" s="13">
        <f>IF(_epmOfflineCondition_,0,EPMSaveData(AM445,,AM$29,AM$25,AM$26,$C$6,AM$32,$AA$37,AQ$14,AQ$15,AQ$16,AQ$17,AQ$18,$X445))</f>
        <v/>
      </c>
      <c r="AR445" s="13">
        <f>IF(_epmOfflineCondition_,0,EPMSaveDataOnly(AN445,,AN$29,AN$25,AN$26,AN$31,AN$32,$AA$37,AR$14,AR$15,AR$16,AR$17,AR$18,$X445))</f>
        <v/>
      </c>
      <c r="AS445" s="384" t="n"/>
    </row>
    <row r="446" hidden="1" ht="15.75" customHeight="1" s="1181">
      <c r="A446" s="384" t="n"/>
      <c r="B446" s="384" t="n"/>
      <c r="C446" s="384" t="n"/>
      <c r="D446" s="384" t="n"/>
      <c r="E446" s="384" t="n"/>
      <c r="F446" s="384" t="n"/>
      <c r="G446" s="384" t="n"/>
      <c r="H446" s="384" t="n"/>
      <c r="I446" s="384" t="n"/>
      <c r="J446" s="384" t="n"/>
      <c r="K446" s="384" t="n"/>
      <c r="L446" s="384" t="n"/>
      <c r="M446" s="384" t="n"/>
      <c r="N446" s="384" t="n"/>
      <c r="O446" s="384" t="n"/>
      <c r="P446" s="384" t="n"/>
      <c r="Q446" s="384" t="n"/>
      <c r="R446" s="384" t="n"/>
      <c r="S446" s="384" t="n"/>
      <c r="T446" s="384" t="n"/>
      <c r="U446" s="384" t="n"/>
      <c r="V446" s="384" t="n"/>
      <c r="W446" s="384" t="n"/>
      <c r="X446" s="645">
        <f>IF(_epmOfflineCondition_,"I_E100704",EPMOlapMemberO("[C_INTERCO].[PARENTH1].[I_E100704]","","I_E100704","","000"))</f>
        <v/>
      </c>
      <c r="Y446" s="870">
        <f>IF(_epmOfflineCondition_,"北京京润仁康控股有限公司",EPMMemberDesc(X446))</f>
        <v/>
      </c>
      <c r="Z446" s="1302" t="n"/>
      <c r="AA446" s="1302" t="n"/>
      <c r="AB446" s="858" t="n"/>
      <c r="AC446" s="1302" t="n"/>
      <c r="AD446" s="1302" t="n"/>
      <c r="AE446" s="1302" t="inlineStr"/>
      <c r="AF446" s="1302" t="inlineStr"/>
      <c r="AG446" s="1302" t="inlineStr"/>
      <c r="AH446" s="1302" t="n"/>
      <c r="AI446" s="1302" t="n"/>
      <c r="AJ446" s="1302" t="n"/>
      <c r="AK446" s="1302">
        <f>AI446-AJ446</f>
        <v/>
      </c>
      <c r="AL446" s="858" t="n"/>
      <c r="AM446" s="1297" t="inlineStr"/>
      <c r="AN446" s="1298" t="n"/>
      <c r="AO446" s="13">
        <f>IF(_epmOfflineCondition_,0,EPMSaveDataOnly(AB446,,AB$29,AB$25,AB$26,AB$31,AB$32,$AA$37,AO$14,AO$15,AO$16,AO$17,AO$18,X446))</f>
        <v/>
      </c>
      <c r="AP446" s="13">
        <f>IF(_epmOfflineCondition_,0,EPMSaveDataOnly(AL446,,AL$29,AL$25,AL$26,AL$31,AL$32,$AA$37,AP$14,AP$15,AP$16,AP$17,AP$18,$X446))</f>
        <v/>
      </c>
      <c r="AQ446" s="13">
        <f>IF(_epmOfflineCondition_,0,EPMSaveData(AM446,,AM$29,AM$25,AM$26,$C$6,AM$32,$AA$37,AQ$14,AQ$15,AQ$16,AQ$17,AQ$18,$X446))</f>
        <v/>
      </c>
      <c r="AR446" s="13">
        <f>IF(_epmOfflineCondition_,0,EPMSaveDataOnly(AN446,,AN$29,AN$25,AN$26,AN$31,AN$32,$AA$37,AR$14,AR$15,AR$16,AR$17,AR$18,$X446))</f>
        <v/>
      </c>
      <c r="AS446" s="384" t="n"/>
    </row>
    <row r="447" hidden="1" ht="15.75" customHeight="1" s="1181">
      <c r="A447" s="384" t="n"/>
      <c r="B447" s="384" t="n"/>
      <c r="C447" s="384" t="n"/>
      <c r="D447" s="384" t="n"/>
      <c r="E447" s="384" t="n"/>
      <c r="F447" s="384" t="n"/>
      <c r="G447" s="384" t="n"/>
      <c r="H447" s="384" t="n"/>
      <c r="I447" s="384" t="n"/>
      <c r="J447" s="384" t="n"/>
      <c r="K447" s="384" t="n"/>
      <c r="L447" s="384" t="n"/>
      <c r="M447" s="384" t="n"/>
      <c r="N447" s="384" t="n"/>
      <c r="O447" s="384" t="n"/>
      <c r="P447" s="384" t="n"/>
      <c r="Q447" s="384" t="n"/>
      <c r="R447" s="384" t="n"/>
      <c r="S447" s="384" t="n"/>
      <c r="T447" s="384" t="n"/>
      <c r="U447" s="384" t="n"/>
      <c r="V447" s="384" t="n"/>
      <c r="W447" s="384" t="n"/>
      <c r="X447" s="645">
        <f>IF(_epmOfflineCondition_,"I_E100705",EPMOlapMemberO("[C_INTERCO].[PARENTH1].[I_E100705]","","I_E100705","","000"))</f>
        <v/>
      </c>
      <c r="Y447" s="870">
        <f>IF(_epmOfflineCondition_,"北京京润仁康医院管理有限公司",EPMMemberDesc(X447))</f>
        <v/>
      </c>
      <c r="Z447" s="1302" t="n"/>
      <c r="AA447" s="1302" t="n"/>
      <c r="AB447" s="858" t="n"/>
      <c r="AC447" s="1302" t="n"/>
      <c r="AD447" s="1302" t="n"/>
      <c r="AE447" s="1302" t="inlineStr"/>
      <c r="AF447" s="1302" t="inlineStr"/>
      <c r="AG447" s="1302" t="inlineStr"/>
      <c r="AH447" s="1302" t="n"/>
      <c r="AI447" s="1302" t="n"/>
      <c r="AJ447" s="1302" t="n"/>
      <c r="AK447" s="1302">
        <f>AI447-AJ447</f>
        <v/>
      </c>
      <c r="AL447" s="858" t="n"/>
      <c r="AM447" s="1297" t="inlineStr"/>
      <c r="AN447" s="1298" t="n"/>
      <c r="AO447" s="13">
        <f>IF(_epmOfflineCondition_,0,EPMSaveDataOnly(AB447,,AB$29,AB$25,AB$26,AB$31,AB$32,$AA$37,AO$14,AO$15,AO$16,AO$17,AO$18,X447))</f>
        <v/>
      </c>
      <c r="AP447" s="13">
        <f>IF(_epmOfflineCondition_,0,EPMSaveDataOnly(AL447,,AL$29,AL$25,AL$26,AL$31,AL$32,$AA$37,AP$14,AP$15,AP$16,AP$17,AP$18,$X447))</f>
        <v/>
      </c>
      <c r="AQ447" s="13">
        <f>IF(_epmOfflineCondition_,0,EPMSaveData(AM447,,AM$29,AM$25,AM$26,$C$6,AM$32,$AA$37,AQ$14,AQ$15,AQ$16,AQ$17,AQ$18,$X447))</f>
        <v/>
      </c>
      <c r="AR447" s="13">
        <f>IF(_epmOfflineCondition_,0,EPMSaveDataOnly(AN447,,AN$29,AN$25,AN$26,AN$31,AN$32,$AA$37,AR$14,AR$15,AR$16,AR$17,AR$18,$X447))</f>
        <v/>
      </c>
      <c r="AS447" s="384" t="n"/>
    </row>
    <row r="448" hidden="1" ht="15.75" customHeight="1" s="1181">
      <c r="A448" s="384" t="n"/>
      <c r="B448" s="384" t="n"/>
      <c r="C448" s="384" t="n"/>
      <c r="D448" s="384" t="n"/>
      <c r="E448" s="384" t="n"/>
      <c r="F448" s="384" t="n"/>
      <c r="G448" s="384" t="n"/>
      <c r="H448" s="384" t="n"/>
      <c r="I448" s="384" t="n"/>
      <c r="J448" s="384" t="n"/>
      <c r="K448" s="384" t="n"/>
      <c r="L448" s="384" t="n"/>
      <c r="M448" s="384" t="n"/>
      <c r="N448" s="384" t="n"/>
      <c r="O448" s="384" t="n"/>
      <c r="P448" s="384" t="n"/>
      <c r="Q448" s="384" t="n"/>
      <c r="R448" s="384" t="n"/>
      <c r="S448" s="384" t="n"/>
      <c r="T448" s="384" t="n"/>
      <c r="U448" s="384" t="n"/>
      <c r="V448" s="384" t="n"/>
      <c r="W448" s="384" t="n"/>
      <c r="X448" s="645">
        <f>IF(_epmOfflineCondition_,"I_E100706",EPMOlapMemberO("[C_INTERCO].[PARENTH1].[I_E100706]","","I_E100706","","000"))</f>
        <v/>
      </c>
      <c r="Y448" s="870">
        <f>IF(_epmOfflineCondition_,"坑木场康复医院",EPMMemberDesc(X448))</f>
        <v/>
      </c>
      <c r="Z448" s="1302" t="n"/>
      <c r="AA448" s="1302" t="n"/>
      <c r="AB448" s="858" t="n"/>
      <c r="AC448" s="1302" t="n"/>
      <c r="AD448" s="1302" t="n"/>
      <c r="AE448" s="1302" t="inlineStr"/>
      <c r="AF448" s="1302" t="inlineStr"/>
      <c r="AG448" s="1302" t="inlineStr"/>
      <c r="AH448" s="1302" t="n"/>
      <c r="AI448" s="1302" t="n"/>
      <c r="AJ448" s="1302" t="n"/>
      <c r="AK448" s="1302">
        <f>AI448-AJ448</f>
        <v/>
      </c>
      <c r="AL448" s="858" t="n"/>
      <c r="AM448" s="1297" t="inlineStr"/>
      <c r="AN448" s="1298" t="n"/>
      <c r="AO448" s="13">
        <f>IF(_epmOfflineCondition_,0,EPMSaveDataOnly(AB448,,AB$29,AB$25,AB$26,AB$31,AB$32,$AA$37,AO$14,AO$15,AO$16,AO$17,AO$18,X448))</f>
        <v/>
      </c>
      <c r="AP448" s="13">
        <f>IF(_epmOfflineCondition_,0,EPMSaveDataOnly(AL448,,AL$29,AL$25,AL$26,AL$31,AL$32,$AA$37,AP$14,AP$15,AP$16,AP$17,AP$18,$X448))</f>
        <v/>
      </c>
      <c r="AQ448" s="13">
        <f>IF(_epmOfflineCondition_,0,EPMSaveData(AM448,,AM$29,AM$25,AM$26,$C$6,AM$32,$AA$37,AQ$14,AQ$15,AQ$16,AQ$17,AQ$18,$X448))</f>
        <v/>
      </c>
      <c r="AR448" s="13">
        <f>IF(_epmOfflineCondition_,0,EPMSaveDataOnly(AN448,,AN$29,AN$25,AN$26,AN$31,AN$32,$AA$37,AR$14,AR$15,AR$16,AR$17,AR$18,$X448))</f>
        <v/>
      </c>
      <c r="AS448" s="384" t="n"/>
    </row>
    <row r="449" hidden="1" ht="15.75" customHeight="1" s="1181">
      <c r="A449" s="384" t="n"/>
      <c r="B449" s="384" t="n"/>
      <c r="C449" s="384" t="n"/>
      <c r="D449" s="384" t="n"/>
      <c r="E449" s="384" t="n"/>
      <c r="F449" s="384" t="n"/>
      <c r="G449" s="384" t="n"/>
      <c r="H449" s="384" t="n"/>
      <c r="I449" s="384" t="n"/>
      <c r="J449" s="384" t="n"/>
      <c r="K449" s="384" t="n"/>
      <c r="L449" s="384" t="n"/>
      <c r="M449" s="384" t="n"/>
      <c r="N449" s="384" t="n"/>
      <c r="O449" s="384" t="n"/>
      <c r="P449" s="384" t="n"/>
      <c r="Q449" s="384" t="n"/>
      <c r="R449" s="384" t="n"/>
      <c r="S449" s="384" t="n"/>
      <c r="T449" s="384" t="n"/>
      <c r="U449" s="384" t="n"/>
      <c r="V449" s="384" t="n"/>
      <c r="W449" s="384" t="n"/>
      <c r="X449" s="645">
        <f>IF(_epmOfflineCondition_,"I_E100707",EPMOlapMemberO("[C_INTERCO].[PARENTH1].[I_E100707]","","I_E100707","","000"))</f>
        <v/>
      </c>
      <c r="Y449" s="870">
        <f>IF(_epmOfflineCondition_,"湛江市鼎瑞太阳能发电有限公司",EPMMemberDesc(X449))</f>
        <v/>
      </c>
      <c r="Z449" s="1302" t="n"/>
      <c r="AA449" s="1302" t="n"/>
      <c r="AB449" s="858" t="n"/>
      <c r="AC449" s="1302" t="n"/>
      <c r="AD449" s="1302" t="n"/>
      <c r="AE449" s="1302" t="inlineStr"/>
      <c r="AF449" s="1302" t="inlineStr"/>
      <c r="AG449" s="1302" t="inlineStr"/>
      <c r="AH449" s="1302" t="n"/>
      <c r="AI449" s="1302" t="n"/>
      <c r="AJ449" s="1302" t="n"/>
      <c r="AK449" s="1302">
        <f>AI449-AJ449</f>
        <v/>
      </c>
      <c r="AL449" s="858" t="n"/>
      <c r="AM449" s="1297" t="inlineStr"/>
      <c r="AN449" s="1298" t="n"/>
      <c r="AO449" s="13">
        <f>IF(_epmOfflineCondition_,0,EPMSaveDataOnly(AB449,,AB$29,AB$25,AB$26,AB$31,AB$32,$AA$37,AO$14,AO$15,AO$16,AO$17,AO$18,X449))</f>
        <v/>
      </c>
      <c r="AP449" s="13">
        <f>IF(_epmOfflineCondition_,0,EPMSaveDataOnly(AL449,,AL$29,AL$25,AL$26,AL$31,AL$32,$AA$37,AP$14,AP$15,AP$16,AP$17,AP$18,$X449))</f>
        <v/>
      </c>
      <c r="AQ449" s="13">
        <f>IF(_epmOfflineCondition_,0,EPMSaveData(AM449,,AM$29,AM$25,AM$26,$C$6,AM$32,$AA$37,AQ$14,AQ$15,AQ$16,AQ$17,AQ$18,$X449))</f>
        <v/>
      </c>
      <c r="AR449" s="13">
        <f>IF(_epmOfflineCondition_,0,EPMSaveDataOnly(AN449,,AN$29,AN$25,AN$26,AN$31,AN$32,$AA$37,AR$14,AR$15,AR$16,AR$17,AR$18,$X449))</f>
        <v/>
      </c>
      <c r="AS449" s="384" t="n"/>
    </row>
    <row r="450" hidden="1" ht="15.75" customHeight="1" s="1181">
      <c r="A450" s="384" t="n"/>
      <c r="B450" s="384" t="n"/>
      <c r="C450" s="384" t="n"/>
      <c r="D450" s="384" t="n"/>
      <c r="E450" s="384" t="n"/>
      <c r="F450" s="384" t="n"/>
      <c r="G450" s="384" t="n"/>
      <c r="H450" s="384" t="n"/>
      <c r="I450" s="384" t="n"/>
      <c r="J450" s="384" t="n"/>
      <c r="K450" s="384" t="n"/>
      <c r="L450" s="384" t="n"/>
      <c r="M450" s="384" t="n"/>
      <c r="N450" s="384" t="n"/>
      <c r="O450" s="384" t="n"/>
      <c r="P450" s="384" t="n"/>
      <c r="Q450" s="384" t="n"/>
      <c r="R450" s="384" t="n"/>
      <c r="S450" s="384" t="n"/>
      <c r="T450" s="384" t="n"/>
      <c r="U450" s="384" t="n"/>
      <c r="V450" s="384" t="n"/>
      <c r="W450" s="384" t="n"/>
      <c r="X450" s="645">
        <f>IF(_epmOfflineCondition_,"I_E100708",EPMOlapMemberO("[C_INTERCO].[PARENTH1].[I_E100708]","","I_E100708","","000"))</f>
        <v/>
      </c>
      <c r="Y450" s="870">
        <f>IF(_epmOfflineCondition_,"河北融智新源电力有限公司",EPMMemberDesc(X450))</f>
        <v/>
      </c>
      <c r="Z450" s="1302" t="n"/>
      <c r="AA450" s="1302" t="n"/>
      <c r="AB450" s="858" t="n"/>
      <c r="AC450" s="1302" t="n"/>
      <c r="AD450" s="1302" t="n"/>
      <c r="AE450" s="1302" t="inlineStr"/>
      <c r="AF450" s="1302" t="inlineStr"/>
      <c r="AG450" s="1302" t="inlineStr"/>
      <c r="AH450" s="1302" t="n"/>
      <c r="AI450" s="1302" t="n"/>
      <c r="AJ450" s="1302" t="n"/>
      <c r="AK450" s="1302">
        <f>AI450-AJ450</f>
        <v/>
      </c>
      <c r="AL450" s="858" t="n"/>
      <c r="AM450" s="1297" t="inlineStr"/>
      <c r="AN450" s="1298" t="n"/>
      <c r="AO450" s="13">
        <f>IF(_epmOfflineCondition_,0,EPMSaveDataOnly(AB450,,AB$29,AB$25,AB$26,AB$31,AB$32,$AA$37,AO$14,AO$15,AO$16,AO$17,AO$18,X450))</f>
        <v/>
      </c>
      <c r="AP450" s="13">
        <f>IF(_epmOfflineCondition_,0,EPMSaveDataOnly(AL450,,AL$29,AL$25,AL$26,AL$31,AL$32,$AA$37,AP$14,AP$15,AP$16,AP$17,AP$18,$X450))</f>
        <v/>
      </c>
      <c r="AQ450" s="13">
        <f>IF(_epmOfflineCondition_,0,EPMSaveData(AM450,,AM$29,AM$25,AM$26,$C$6,AM$32,$AA$37,AQ$14,AQ$15,AQ$16,AQ$17,AQ$18,$X450))</f>
        <v/>
      </c>
      <c r="AR450" s="13">
        <f>IF(_epmOfflineCondition_,0,EPMSaveDataOnly(AN450,,AN$29,AN$25,AN$26,AN$31,AN$32,$AA$37,AR$14,AR$15,AR$16,AR$17,AR$18,$X450))</f>
        <v/>
      </c>
      <c r="AS450" s="384" t="n"/>
    </row>
    <row r="451" hidden="1" ht="15.75" customHeight="1" s="1181">
      <c r="A451" s="384" t="n"/>
      <c r="B451" s="384" t="n"/>
      <c r="C451" s="384" t="n"/>
      <c r="D451" s="384" t="n"/>
      <c r="E451" s="384" t="n"/>
      <c r="F451" s="384" t="n"/>
      <c r="G451" s="384" t="n"/>
      <c r="H451" s="384" t="n"/>
      <c r="I451" s="384" t="n"/>
      <c r="J451" s="384" t="n"/>
      <c r="K451" s="384" t="n"/>
      <c r="L451" s="384" t="n"/>
      <c r="M451" s="384" t="n"/>
      <c r="N451" s="384" t="n"/>
      <c r="O451" s="384" t="n"/>
      <c r="P451" s="384" t="n"/>
      <c r="Q451" s="384" t="n"/>
      <c r="R451" s="384" t="n"/>
      <c r="S451" s="384" t="n"/>
      <c r="T451" s="384" t="n"/>
      <c r="U451" s="384" t="n"/>
      <c r="V451" s="384" t="n"/>
      <c r="W451" s="384" t="n"/>
      <c r="X451" s="645">
        <f>IF(_epmOfflineCondition_,"I_E100709",EPMOlapMemberO("[C_INTERCO].[PARENTH1].[I_E100709]","","I_E100709","","000"))</f>
        <v/>
      </c>
      <c r="Y451" s="870">
        <f>IF(_epmOfflineCondition_,"巴彦淖尔京能清洁能源电力有限公司",EPMMemberDesc(X451))</f>
        <v/>
      </c>
      <c r="Z451" s="1302" t="n"/>
      <c r="AA451" s="1302" t="n"/>
      <c r="AB451" s="858" t="n"/>
      <c r="AC451" s="1302" t="n"/>
      <c r="AD451" s="1302" t="n"/>
      <c r="AE451" s="1302" t="inlineStr"/>
      <c r="AF451" s="1302" t="inlineStr"/>
      <c r="AG451" s="1302" t="inlineStr"/>
      <c r="AH451" s="1302" t="n"/>
      <c r="AI451" s="1302" t="n"/>
      <c r="AJ451" s="1302" t="n"/>
      <c r="AK451" s="1302">
        <f>AI451-AJ451</f>
        <v/>
      </c>
      <c r="AL451" s="858" t="n"/>
      <c r="AM451" s="1297" t="inlineStr"/>
      <c r="AN451" s="1298" t="n"/>
      <c r="AO451" s="13">
        <f>IF(_epmOfflineCondition_,0,EPMSaveDataOnly(AB451,,AB$29,AB$25,AB$26,AB$31,AB$32,$AA$37,AO$14,AO$15,AO$16,AO$17,AO$18,X451))</f>
        <v/>
      </c>
      <c r="AP451" s="13">
        <f>IF(_epmOfflineCondition_,0,EPMSaveDataOnly(AL451,,AL$29,AL$25,AL$26,AL$31,AL$32,$AA$37,AP$14,AP$15,AP$16,AP$17,AP$18,$X451))</f>
        <v/>
      </c>
      <c r="AQ451" s="13">
        <f>IF(_epmOfflineCondition_,0,EPMSaveData(AM451,,AM$29,AM$25,AM$26,$C$6,AM$32,$AA$37,AQ$14,AQ$15,AQ$16,AQ$17,AQ$18,$X451))</f>
        <v/>
      </c>
      <c r="AR451" s="13">
        <f>IF(_epmOfflineCondition_,0,EPMSaveDataOnly(AN451,,AN$29,AN$25,AN$26,AN$31,AN$32,$AA$37,AR$14,AR$15,AR$16,AR$17,AR$18,$X451))</f>
        <v/>
      </c>
      <c r="AS451" s="384" t="n"/>
    </row>
    <row r="452" hidden="1" ht="15.75" customHeight="1" s="1181">
      <c r="A452" s="384" t="n"/>
      <c r="B452" s="384" t="n"/>
      <c r="C452" s="384" t="n"/>
      <c r="D452" s="384" t="n"/>
      <c r="E452" s="384" t="n"/>
      <c r="F452" s="384" t="n"/>
      <c r="G452" s="384" t="n"/>
      <c r="H452" s="384" t="n"/>
      <c r="I452" s="384" t="n"/>
      <c r="J452" s="384" t="n"/>
      <c r="K452" s="384" t="n"/>
      <c r="L452" s="384" t="n"/>
      <c r="M452" s="384" t="n"/>
      <c r="N452" s="384" t="n"/>
      <c r="O452" s="384" t="n"/>
      <c r="P452" s="384" t="n"/>
      <c r="Q452" s="384" t="n"/>
      <c r="R452" s="384" t="n"/>
      <c r="S452" s="384" t="n"/>
      <c r="T452" s="384" t="n"/>
      <c r="U452" s="384" t="n"/>
      <c r="V452" s="384" t="n"/>
      <c r="W452" s="384" t="n"/>
      <c r="X452" s="645">
        <f>IF(_epmOfflineCondition_,"I_E100710",EPMOlapMemberO("[C_INTERCO].[PARENTH1].[I_E100710]","","I_E100710","","000"))</f>
        <v/>
      </c>
      <c r="Y452" s="870">
        <f>IF(_epmOfflineCondition_,"张北融智新源电力有限公司",EPMMemberDesc(X452))</f>
        <v/>
      </c>
      <c r="Z452" s="1302" t="n"/>
      <c r="AA452" s="1302" t="n"/>
      <c r="AB452" s="858" t="n"/>
      <c r="AC452" s="1302" t="n"/>
      <c r="AD452" s="1302" t="n"/>
      <c r="AE452" s="1302" t="inlineStr"/>
      <c r="AF452" s="1302" t="inlineStr"/>
      <c r="AG452" s="1302" t="inlineStr"/>
      <c r="AH452" s="1302" t="n"/>
      <c r="AI452" s="1302" t="n"/>
      <c r="AJ452" s="1302" t="n"/>
      <c r="AK452" s="1302">
        <f>AI452-AJ452</f>
        <v/>
      </c>
      <c r="AL452" s="858" t="n"/>
      <c r="AM452" s="1297" t="inlineStr"/>
      <c r="AN452" s="1298" t="n"/>
      <c r="AO452" s="13">
        <f>IF(_epmOfflineCondition_,0,EPMSaveDataOnly(AB452,,AB$29,AB$25,AB$26,AB$31,AB$32,$AA$37,AO$14,AO$15,AO$16,AO$17,AO$18,X452))</f>
        <v/>
      </c>
      <c r="AP452" s="13">
        <f>IF(_epmOfflineCondition_,0,EPMSaveDataOnly(AL452,,AL$29,AL$25,AL$26,AL$31,AL$32,$AA$37,AP$14,AP$15,AP$16,AP$17,AP$18,$X452))</f>
        <v/>
      </c>
      <c r="AQ452" s="13">
        <f>IF(_epmOfflineCondition_,0,EPMSaveData(AM452,,AM$29,AM$25,AM$26,$C$6,AM$32,$AA$37,AQ$14,AQ$15,AQ$16,AQ$17,AQ$18,$X452))</f>
        <v/>
      </c>
      <c r="AR452" s="13">
        <f>IF(_epmOfflineCondition_,0,EPMSaveDataOnly(AN452,,AN$29,AN$25,AN$26,AN$31,AN$32,$AA$37,AR$14,AR$15,AR$16,AR$17,AR$18,$X452))</f>
        <v/>
      </c>
      <c r="AS452" s="384" t="n"/>
    </row>
    <row r="453" hidden="1" ht="15.75" customHeight="1" s="1181">
      <c r="A453" s="384" t="n"/>
      <c r="B453" s="384" t="n"/>
      <c r="C453" s="384" t="n"/>
      <c r="D453" s="384" t="n"/>
      <c r="E453" s="384" t="n"/>
      <c r="F453" s="384" t="n"/>
      <c r="G453" s="384" t="n"/>
      <c r="H453" s="384" t="n"/>
      <c r="I453" s="384" t="n"/>
      <c r="J453" s="384" t="n"/>
      <c r="K453" s="384" t="n"/>
      <c r="L453" s="384" t="n"/>
      <c r="M453" s="384" t="n"/>
      <c r="N453" s="384" t="n"/>
      <c r="O453" s="384" t="n"/>
      <c r="P453" s="384" t="n"/>
      <c r="Q453" s="384" t="n"/>
      <c r="R453" s="384" t="n"/>
      <c r="S453" s="384" t="n"/>
      <c r="T453" s="384" t="n"/>
      <c r="U453" s="384" t="n"/>
      <c r="V453" s="384" t="n"/>
      <c r="W453" s="384" t="n"/>
      <c r="X453" s="645">
        <f>IF(_epmOfflineCondition_,"I_E100711",EPMOlapMemberO("[C_INTERCO].[PARENTH1].[I_E100711]","","I_E100711","","000"))</f>
        <v/>
      </c>
      <c r="Y453" s="870">
        <f>IF(_epmOfflineCondition_,"鄂托克前旗晟日新能源科技有限公司",EPMMemberDesc(X453))</f>
        <v/>
      </c>
      <c r="Z453" s="1302" t="n"/>
      <c r="AA453" s="1302" t="n"/>
      <c r="AB453" s="858" t="n"/>
      <c r="AC453" s="1302" t="n"/>
      <c r="AD453" s="1302" t="n"/>
      <c r="AE453" s="1302" t="inlineStr"/>
      <c r="AF453" s="1302" t="inlineStr"/>
      <c r="AG453" s="1302" t="inlineStr"/>
      <c r="AH453" s="1302" t="n"/>
      <c r="AI453" s="1302" t="n"/>
      <c r="AJ453" s="1302" t="n"/>
      <c r="AK453" s="1302">
        <f>AI453-AJ453</f>
        <v/>
      </c>
      <c r="AL453" s="858" t="n"/>
      <c r="AM453" s="1297" t="inlineStr"/>
      <c r="AN453" s="1298" t="n"/>
      <c r="AO453" s="13">
        <f>IF(_epmOfflineCondition_,0,EPMSaveDataOnly(AB453,,AB$29,AB$25,AB$26,AB$31,AB$32,$AA$37,AO$14,AO$15,AO$16,AO$17,AO$18,X453))</f>
        <v/>
      </c>
      <c r="AP453" s="13">
        <f>IF(_epmOfflineCondition_,0,EPMSaveDataOnly(AL453,,AL$29,AL$25,AL$26,AL$31,AL$32,$AA$37,AP$14,AP$15,AP$16,AP$17,AP$18,$X453))</f>
        <v/>
      </c>
      <c r="AQ453" s="13">
        <f>IF(_epmOfflineCondition_,0,EPMSaveData(AM453,,AM$29,AM$25,AM$26,$C$6,AM$32,$AA$37,AQ$14,AQ$15,AQ$16,AQ$17,AQ$18,$X453))</f>
        <v/>
      </c>
      <c r="AR453" s="13">
        <f>IF(_epmOfflineCondition_,0,EPMSaveDataOnly(AN453,,AN$29,AN$25,AN$26,AN$31,AN$32,$AA$37,AR$14,AR$15,AR$16,AR$17,AR$18,$X453))</f>
        <v/>
      </c>
      <c r="AS453" s="384" t="n"/>
    </row>
    <row r="454" hidden="1" ht="15.75" customHeight="1" s="1181">
      <c r="A454" s="384" t="n"/>
      <c r="B454" s="384" t="n"/>
      <c r="C454" s="384" t="n"/>
      <c r="D454" s="384" t="n"/>
      <c r="E454" s="384" t="n"/>
      <c r="F454" s="384" t="n"/>
      <c r="G454" s="384" t="n"/>
      <c r="H454" s="384" t="n"/>
      <c r="I454" s="384" t="n"/>
      <c r="J454" s="384" t="n"/>
      <c r="K454" s="384" t="n"/>
      <c r="L454" s="384" t="n"/>
      <c r="M454" s="384" t="n"/>
      <c r="N454" s="384" t="n"/>
      <c r="O454" s="384" t="n"/>
      <c r="P454" s="384" t="n"/>
      <c r="Q454" s="384" t="n"/>
      <c r="R454" s="384" t="n"/>
      <c r="S454" s="384" t="n"/>
      <c r="T454" s="384" t="n"/>
      <c r="U454" s="384" t="n"/>
      <c r="V454" s="384" t="n"/>
      <c r="W454" s="384" t="n"/>
      <c r="X454" s="645">
        <f>IF(_epmOfflineCondition_,"I_E100712",EPMOlapMemberO("[C_INTERCO].[PARENTH1].[I_E100712]","","I_E100712","","000"))</f>
        <v/>
      </c>
      <c r="Y454" s="870">
        <f>IF(_epmOfflineCondition_,"尚义县旭蓝新能源科技有限公司",EPMMemberDesc(X454))</f>
        <v/>
      </c>
      <c r="Z454" s="1302" t="n"/>
      <c r="AA454" s="1302" t="n"/>
      <c r="AB454" s="858" t="n"/>
      <c r="AC454" s="1302" t="n"/>
      <c r="AD454" s="1302" t="n"/>
      <c r="AE454" s="1302" t="inlineStr"/>
      <c r="AF454" s="1302" t="inlineStr"/>
      <c r="AG454" s="1302" t="inlineStr"/>
      <c r="AH454" s="1302" t="n"/>
      <c r="AI454" s="1302" t="n"/>
      <c r="AJ454" s="1302" t="n"/>
      <c r="AK454" s="1302">
        <f>AI454-AJ454</f>
        <v/>
      </c>
      <c r="AL454" s="858" t="n"/>
      <c r="AM454" s="1297" t="inlineStr"/>
      <c r="AN454" s="1298" t="n"/>
      <c r="AO454" s="13">
        <f>IF(_epmOfflineCondition_,0,EPMSaveDataOnly(AB454,,AB$29,AB$25,AB$26,AB$31,AB$32,$AA$37,AO$14,AO$15,AO$16,AO$17,AO$18,X454))</f>
        <v/>
      </c>
      <c r="AP454" s="13">
        <f>IF(_epmOfflineCondition_,0,EPMSaveDataOnly(AL454,,AL$29,AL$25,AL$26,AL$31,AL$32,$AA$37,AP$14,AP$15,AP$16,AP$17,AP$18,$X454))</f>
        <v/>
      </c>
      <c r="AQ454" s="13">
        <f>IF(_epmOfflineCondition_,0,EPMSaveData(AM454,,AM$29,AM$25,AM$26,$C$6,AM$32,$AA$37,AQ$14,AQ$15,AQ$16,AQ$17,AQ$18,$X454))</f>
        <v/>
      </c>
      <c r="AR454" s="13">
        <f>IF(_epmOfflineCondition_,0,EPMSaveDataOnly(AN454,,AN$29,AN$25,AN$26,AN$31,AN$32,$AA$37,AR$14,AR$15,AR$16,AR$17,AR$18,$X454))</f>
        <v/>
      </c>
      <c r="AS454" s="384" t="n"/>
    </row>
    <row r="455" hidden="1" ht="15.75" customHeight="1" s="1181">
      <c r="A455" s="384" t="n"/>
      <c r="B455" s="384" t="n"/>
      <c r="C455" s="384" t="n"/>
      <c r="D455" s="384" t="n"/>
      <c r="E455" s="384" t="n"/>
      <c r="F455" s="384" t="n"/>
      <c r="G455" s="384" t="n"/>
      <c r="H455" s="384" t="n"/>
      <c r="I455" s="384" t="n"/>
      <c r="J455" s="384" t="n"/>
      <c r="K455" s="384" t="n"/>
      <c r="L455" s="384" t="n"/>
      <c r="M455" s="384" t="n"/>
      <c r="N455" s="384" t="n"/>
      <c r="O455" s="384" t="n"/>
      <c r="P455" s="384" t="n"/>
      <c r="Q455" s="384" t="n"/>
      <c r="R455" s="384" t="n"/>
      <c r="S455" s="384" t="n"/>
      <c r="T455" s="384" t="n"/>
      <c r="U455" s="384" t="n"/>
      <c r="V455" s="384" t="n"/>
      <c r="W455" s="384" t="n"/>
      <c r="X455" s="645">
        <f>IF(_epmOfflineCondition_,"I_E100713",EPMOlapMemberO("[C_INTERCO].[PARENTH1].[I_E100713]","","I_E100713","","000"))</f>
        <v/>
      </c>
      <c r="Y455" s="870">
        <f>IF(_epmOfflineCondition_,"黑龙江京庆风力发电有限公司",EPMMemberDesc(X455))</f>
        <v/>
      </c>
      <c r="Z455" s="1302" t="n"/>
      <c r="AA455" s="1302" t="n"/>
      <c r="AB455" s="858" t="n"/>
      <c r="AC455" s="1302" t="n"/>
      <c r="AD455" s="1302" t="n"/>
      <c r="AE455" s="1302" t="inlineStr"/>
      <c r="AF455" s="1302" t="inlineStr"/>
      <c r="AG455" s="1302" t="inlineStr"/>
      <c r="AH455" s="1302" t="n"/>
      <c r="AI455" s="1302" t="n"/>
      <c r="AJ455" s="1302" t="n"/>
      <c r="AK455" s="1302">
        <f>AI455-AJ455</f>
        <v/>
      </c>
      <c r="AL455" s="858" t="n"/>
      <c r="AM455" s="1297" t="inlineStr"/>
      <c r="AN455" s="1298" t="n"/>
      <c r="AO455" s="13">
        <f>IF(_epmOfflineCondition_,0,EPMSaveDataOnly(AB455,,AB$29,AB$25,AB$26,AB$31,AB$32,$AA$37,AO$14,AO$15,AO$16,AO$17,AO$18,X455))</f>
        <v/>
      </c>
      <c r="AP455" s="13">
        <f>IF(_epmOfflineCondition_,0,EPMSaveDataOnly(AL455,,AL$29,AL$25,AL$26,AL$31,AL$32,$AA$37,AP$14,AP$15,AP$16,AP$17,AP$18,$X455))</f>
        <v/>
      </c>
      <c r="AQ455" s="13">
        <f>IF(_epmOfflineCondition_,0,EPMSaveData(AM455,,AM$29,AM$25,AM$26,$C$6,AM$32,$AA$37,AQ$14,AQ$15,AQ$16,AQ$17,AQ$18,$X455))</f>
        <v/>
      </c>
      <c r="AR455" s="13">
        <f>IF(_epmOfflineCondition_,0,EPMSaveDataOnly(AN455,,AN$29,AN$25,AN$26,AN$31,AN$32,$AA$37,AR$14,AR$15,AR$16,AR$17,AR$18,$X455))</f>
        <v/>
      </c>
      <c r="AS455" s="384" t="n"/>
    </row>
    <row r="456" hidden="1" ht="15.75" customHeight="1" s="1181">
      <c r="A456" s="384" t="n"/>
      <c r="B456" s="384" t="n"/>
      <c r="C456" s="384" t="n"/>
      <c r="D456" s="384" t="n"/>
      <c r="E456" s="384" t="n"/>
      <c r="F456" s="384" t="n"/>
      <c r="G456" s="384" t="n"/>
      <c r="H456" s="384" t="n"/>
      <c r="I456" s="384" t="n"/>
      <c r="J456" s="384" t="n"/>
      <c r="K456" s="384" t="n"/>
      <c r="L456" s="384" t="n"/>
      <c r="M456" s="384" t="n"/>
      <c r="N456" s="384" t="n"/>
      <c r="O456" s="384" t="n"/>
      <c r="P456" s="384" t="n"/>
      <c r="Q456" s="384" t="n"/>
      <c r="R456" s="384" t="n"/>
      <c r="S456" s="384" t="n"/>
      <c r="T456" s="384" t="n"/>
      <c r="U456" s="384" t="n"/>
      <c r="V456" s="384" t="n"/>
      <c r="W456" s="384" t="n"/>
      <c r="X456" s="645">
        <f>IF(_epmOfflineCondition_,"I_E100714",EPMOlapMemberO("[C_INTERCO].[PARENTH1].[I_E100714]","","I_E100714","","000"))</f>
        <v/>
      </c>
      <c r="Y456" s="870">
        <f>IF(_epmOfflineCondition_,"建平京能风力发电有限公司",EPMMemberDesc(X456))</f>
        <v/>
      </c>
      <c r="Z456" s="1302" t="n"/>
      <c r="AA456" s="1302" t="n"/>
      <c r="AB456" s="858" t="n"/>
      <c r="AC456" s="1302" t="n"/>
      <c r="AD456" s="1302" t="n"/>
      <c r="AE456" s="1302" t="inlineStr"/>
      <c r="AF456" s="1302" t="inlineStr"/>
      <c r="AG456" s="1302" t="inlineStr"/>
      <c r="AH456" s="1302" t="n"/>
      <c r="AI456" s="1302" t="n"/>
      <c r="AJ456" s="1302" t="n"/>
      <c r="AK456" s="1302">
        <f>AI456-AJ456</f>
        <v/>
      </c>
      <c r="AL456" s="858" t="n"/>
      <c r="AM456" s="1297" t="inlineStr"/>
      <c r="AN456" s="1298" t="n"/>
      <c r="AO456" s="13">
        <f>IF(_epmOfflineCondition_,0,EPMSaveDataOnly(AB456,,AB$29,AB$25,AB$26,AB$31,AB$32,$AA$37,AO$14,AO$15,AO$16,AO$17,AO$18,X456))</f>
        <v/>
      </c>
      <c r="AP456" s="13">
        <f>IF(_epmOfflineCondition_,0,EPMSaveDataOnly(AL456,,AL$29,AL$25,AL$26,AL$31,AL$32,$AA$37,AP$14,AP$15,AP$16,AP$17,AP$18,$X456))</f>
        <v/>
      </c>
      <c r="AQ456" s="13">
        <f>IF(_epmOfflineCondition_,0,EPMSaveData(AM456,,AM$29,AM$25,AM$26,$C$6,AM$32,$AA$37,AQ$14,AQ$15,AQ$16,AQ$17,AQ$18,$X456))</f>
        <v/>
      </c>
      <c r="AR456" s="13">
        <f>IF(_epmOfflineCondition_,0,EPMSaveDataOnly(AN456,,AN$29,AN$25,AN$26,AN$31,AN$32,$AA$37,AR$14,AR$15,AR$16,AR$17,AR$18,$X456))</f>
        <v/>
      </c>
      <c r="AS456" s="384" t="n"/>
    </row>
    <row r="457" hidden="1" ht="15.75" customHeight="1" s="1181">
      <c r="A457" s="384" t="n"/>
      <c r="B457" s="384" t="n"/>
      <c r="C457" s="384" t="n"/>
      <c r="D457" s="384" t="n"/>
      <c r="E457" s="384" t="n"/>
      <c r="F457" s="384" t="n"/>
      <c r="G457" s="384" t="n"/>
      <c r="H457" s="384" t="n"/>
      <c r="I457" s="384" t="n"/>
      <c r="J457" s="384" t="n"/>
      <c r="K457" s="384" t="n"/>
      <c r="L457" s="384" t="n"/>
      <c r="M457" s="384" t="n"/>
      <c r="N457" s="384" t="n"/>
      <c r="O457" s="384" t="n"/>
      <c r="P457" s="384" t="n"/>
      <c r="Q457" s="384" t="n"/>
      <c r="R457" s="384" t="n"/>
      <c r="S457" s="384" t="n"/>
      <c r="T457" s="384" t="n"/>
      <c r="U457" s="384" t="n"/>
      <c r="V457" s="384" t="n"/>
      <c r="W457" s="384" t="n"/>
      <c r="X457" s="645">
        <f>IF(_epmOfflineCondition_,"I_E100715",EPMOlapMemberO("[C_INTERCO].[PARENTH1].[I_E100715]","","I_E100715","","000"))</f>
        <v/>
      </c>
      <c r="Y457" s="870">
        <f>IF(_epmOfflineCondition_,"京能保险经纪有限公司",EPMMemberDesc(X457))</f>
        <v/>
      </c>
      <c r="Z457" s="1302" t="n"/>
      <c r="AA457" s="1302" t="n"/>
      <c r="AB457" s="858" t="n"/>
      <c r="AC457" s="1302" t="n"/>
      <c r="AD457" s="1302" t="n"/>
      <c r="AE457" s="1302" t="inlineStr"/>
      <c r="AF457" s="1302" t="inlineStr"/>
      <c r="AG457" s="1302" t="inlineStr"/>
      <c r="AH457" s="1302" t="n"/>
      <c r="AI457" s="1302" t="n"/>
      <c r="AJ457" s="1302" t="n"/>
      <c r="AK457" s="1302">
        <f>AI457-AJ457</f>
        <v/>
      </c>
      <c r="AL457" s="858" t="n"/>
      <c r="AM457" s="1297" t="inlineStr"/>
      <c r="AN457" s="1298" t="n"/>
      <c r="AO457" s="13">
        <f>IF(_epmOfflineCondition_,0,EPMSaveDataOnly(AB457,,AB$29,AB$25,AB$26,AB$31,AB$32,$AA$37,AO$14,AO$15,AO$16,AO$17,AO$18,X457))</f>
        <v/>
      </c>
      <c r="AP457" s="13">
        <f>IF(_epmOfflineCondition_,0,EPMSaveDataOnly(AL457,,AL$29,AL$25,AL$26,AL$31,AL$32,$AA$37,AP$14,AP$15,AP$16,AP$17,AP$18,$X457))</f>
        <v/>
      </c>
      <c r="AQ457" s="13">
        <f>IF(_epmOfflineCondition_,0,EPMSaveData(AM457,,AM$29,AM$25,AM$26,$C$6,AM$32,$AA$37,AQ$14,AQ$15,AQ$16,AQ$17,AQ$18,$X457))</f>
        <v/>
      </c>
      <c r="AR457" s="13">
        <f>IF(_epmOfflineCondition_,0,EPMSaveDataOnly(AN457,,AN$29,AN$25,AN$26,AN$31,AN$32,$AA$37,AR$14,AR$15,AR$16,AR$17,AR$18,$X457))</f>
        <v/>
      </c>
      <c r="AS457" s="384" t="n"/>
    </row>
    <row r="458" hidden="1" ht="15.75" customHeight="1" s="1181">
      <c r="A458" s="384" t="n"/>
      <c r="B458" s="384" t="n"/>
      <c r="C458" s="384" t="n"/>
      <c r="D458" s="384" t="n"/>
      <c r="E458" s="384" t="n"/>
      <c r="F458" s="384" t="n"/>
      <c r="G458" s="384" t="n"/>
      <c r="H458" s="384" t="n"/>
      <c r="I458" s="384" t="n"/>
      <c r="J458" s="384" t="n"/>
      <c r="K458" s="384" t="n"/>
      <c r="L458" s="384" t="n"/>
      <c r="M458" s="384" t="n"/>
      <c r="N458" s="384" t="n"/>
      <c r="O458" s="384" t="n"/>
      <c r="P458" s="384" t="n"/>
      <c r="Q458" s="384" t="n"/>
      <c r="R458" s="384" t="n"/>
      <c r="S458" s="384" t="n"/>
      <c r="T458" s="384" t="n"/>
      <c r="U458" s="384" t="n"/>
      <c r="V458" s="384" t="n"/>
      <c r="W458" s="384" t="n"/>
      <c r="X458" s="645">
        <f>IF(_epmOfflineCondition_,"I_E100723",EPMOlapMemberO("[C_INTERCO].[PARENTH1].[I_E100723]","","I_E100723","","000"))</f>
        <v/>
      </c>
      <c r="Y458" s="870">
        <f>IF(_epmOfflineCondition_,"北京热力装备制造有限公司天津滨海新区分公司",EPMMemberDesc(X458))</f>
        <v/>
      </c>
      <c r="Z458" s="1302" t="n"/>
      <c r="AA458" s="1302" t="n"/>
      <c r="AB458" s="858" t="n"/>
      <c r="AC458" s="1302" t="n"/>
      <c r="AD458" s="1302" t="n"/>
      <c r="AE458" s="1302" t="inlineStr"/>
      <c r="AF458" s="1302" t="inlineStr"/>
      <c r="AG458" s="1302" t="inlineStr"/>
      <c r="AH458" s="1302" t="n"/>
      <c r="AI458" s="1302" t="n"/>
      <c r="AJ458" s="1302" t="n"/>
      <c r="AK458" s="1302">
        <f>AI458-AJ458</f>
        <v/>
      </c>
      <c r="AL458" s="858" t="n"/>
      <c r="AM458" s="1297" t="inlineStr"/>
      <c r="AN458" s="1298" t="n"/>
      <c r="AO458" s="13">
        <f>IF(_epmOfflineCondition_,0,EPMSaveDataOnly(AB458,,AB$29,AB$25,AB$26,AB$31,AB$32,$AA$37,AO$14,AO$15,AO$16,AO$17,AO$18,X458))</f>
        <v/>
      </c>
      <c r="AP458" s="13">
        <f>IF(_epmOfflineCondition_,0,EPMSaveDataOnly(AL458,,AL$29,AL$25,AL$26,AL$31,AL$32,$AA$37,AP$14,AP$15,AP$16,AP$17,AP$18,$X458))</f>
        <v/>
      </c>
      <c r="AQ458" s="13">
        <f>IF(_epmOfflineCondition_,0,EPMSaveData(AM458,,AM$29,AM$25,AM$26,$C$6,AM$32,$AA$37,AQ$14,AQ$15,AQ$16,AQ$17,AQ$18,$X458))</f>
        <v/>
      </c>
      <c r="AR458" s="13">
        <f>IF(_epmOfflineCondition_,0,EPMSaveDataOnly(AN458,,AN$29,AN$25,AN$26,AN$31,AN$32,$AA$37,AR$14,AR$15,AR$16,AR$17,AR$18,$X458))</f>
        <v/>
      </c>
      <c r="AS458" s="384" t="n"/>
    </row>
    <row r="459" hidden="1" ht="15.75" customHeight="1" s="1181">
      <c r="A459" s="384" t="n"/>
      <c r="B459" s="384" t="n"/>
      <c r="C459" s="384" t="n"/>
      <c r="D459" s="384" t="n"/>
      <c r="E459" s="384" t="n"/>
      <c r="F459" s="384" t="n"/>
      <c r="G459" s="384" t="n"/>
      <c r="H459" s="384" t="n"/>
      <c r="I459" s="384" t="n"/>
      <c r="J459" s="384" t="n"/>
      <c r="K459" s="384" t="n"/>
      <c r="L459" s="384" t="n"/>
      <c r="M459" s="384" t="n"/>
      <c r="N459" s="384" t="n"/>
      <c r="O459" s="384" t="n"/>
      <c r="P459" s="384" t="n"/>
      <c r="Q459" s="384" t="n"/>
      <c r="R459" s="384" t="n"/>
      <c r="S459" s="384" t="n"/>
      <c r="T459" s="384" t="n"/>
      <c r="U459" s="384" t="n"/>
      <c r="V459" s="384" t="n"/>
      <c r="W459" s="384" t="n"/>
      <c r="X459" s="645">
        <f>IF(_epmOfflineCondition_,"I_E100724",EPMOlapMemberO("[C_INTERCO].[PARENTH1].[I_E100724]","","I_E100724","","000"))</f>
        <v/>
      </c>
      <c r="Y459" s="870">
        <f>IF(_epmOfflineCondition_,"北京能锐大数据有限责任公司",EPMMemberDesc(X459))</f>
        <v/>
      </c>
      <c r="Z459" s="1302" t="n"/>
      <c r="AA459" s="1302" t="n"/>
      <c r="AB459" s="858" t="n"/>
      <c r="AC459" s="1302" t="n"/>
      <c r="AD459" s="1302" t="n"/>
      <c r="AE459" s="1302" t="inlineStr"/>
      <c r="AF459" s="1302" t="inlineStr"/>
      <c r="AG459" s="1302" t="inlineStr"/>
      <c r="AH459" s="1302" t="n"/>
      <c r="AI459" s="1302" t="n"/>
      <c r="AJ459" s="1302" t="n"/>
      <c r="AK459" s="1302">
        <f>AI459-AJ459</f>
        <v/>
      </c>
      <c r="AL459" s="858" t="n"/>
      <c r="AM459" s="1297" t="inlineStr"/>
      <c r="AN459" s="1298" t="n"/>
      <c r="AO459" s="13">
        <f>IF(_epmOfflineCondition_,0,EPMSaveDataOnly(AB459,,AB$29,AB$25,AB$26,AB$31,AB$32,$AA$37,AO$14,AO$15,AO$16,AO$17,AO$18,X459))</f>
        <v/>
      </c>
      <c r="AP459" s="13">
        <f>IF(_epmOfflineCondition_,0,EPMSaveDataOnly(AL459,,AL$29,AL$25,AL$26,AL$31,AL$32,$AA$37,AP$14,AP$15,AP$16,AP$17,AP$18,$X459))</f>
        <v/>
      </c>
      <c r="AQ459" s="13">
        <f>IF(_epmOfflineCondition_,0,EPMSaveData(AM459,,AM$29,AM$25,AM$26,$C$6,AM$32,$AA$37,AQ$14,AQ$15,AQ$16,AQ$17,AQ$18,$X459))</f>
        <v/>
      </c>
      <c r="AR459" s="13">
        <f>IF(_epmOfflineCondition_,0,EPMSaveDataOnly(AN459,,AN$29,AN$25,AN$26,AN$31,AN$32,$AA$37,AR$14,AR$15,AR$16,AR$17,AR$18,$X459))</f>
        <v/>
      </c>
      <c r="AS459" s="384" t="n"/>
    </row>
    <row r="460" hidden="1" ht="15.75" customHeight="1" s="1181">
      <c r="A460" s="384" t="n"/>
      <c r="B460" s="384" t="n"/>
      <c r="C460" s="384" t="n"/>
      <c r="D460" s="384" t="n"/>
      <c r="E460" s="384" t="n"/>
      <c r="F460" s="384" t="n"/>
      <c r="G460" s="384" t="n"/>
      <c r="H460" s="384" t="n"/>
      <c r="I460" s="384" t="n"/>
      <c r="J460" s="384" t="n"/>
      <c r="K460" s="384" t="n"/>
      <c r="L460" s="384" t="n"/>
      <c r="M460" s="384" t="n"/>
      <c r="N460" s="384" t="n"/>
      <c r="O460" s="384" t="n"/>
      <c r="P460" s="384" t="n"/>
      <c r="Q460" s="384" t="n"/>
      <c r="R460" s="384" t="n"/>
      <c r="S460" s="384" t="n"/>
      <c r="T460" s="384" t="n"/>
      <c r="U460" s="384" t="n"/>
      <c r="V460" s="384" t="n"/>
      <c r="W460" s="384" t="n"/>
      <c r="X460" s="645">
        <f>IF(_epmOfflineCondition_,"I_E100725",EPMOlapMemberO("[C_INTERCO].[PARENTH1].[I_E100725]","","I_E100725","","000"))</f>
        <v/>
      </c>
      <c r="Y460" s="870">
        <f>IF(_epmOfflineCondition_,"北京京能氢源科技有限公司",EPMMemberDesc(X460))</f>
        <v/>
      </c>
      <c r="Z460" s="1302" t="n"/>
      <c r="AA460" s="1302" t="n"/>
      <c r="AB460" s="858" t="n"/>
      <c r="AC460" s="1302" t="n"/>
      <c r="AD460" s="1302" t="n"/>
      <c r="AE460" s="1302" t="inlineStr"/>
      <c r="AF460" s="1302" t="inlineStr"/>
      <c r="AG460" s="1302" t="inlineStr"/>
      <c r="AH460" s="1302" t="n"/>
      <c r="AI460" s="1302" t="n"/>
      <c r="AJ460" s="1302" t="n"/>
      <c r="AK460" s="1302">
        <f>AI460-AJ460</f>
        <v/>
      </c>
      <c r="AL460" s="858" t="n"/>
      <c r="AM460" s="1297" t="inlineStr"/>
      <c r="AN460" s="1298" t="n"/>
      <c r="AO460" s="13">
        <f>IF(_epmOfflineCondition_,0,EPMSaveDataOnly(AB460,,AB$29,AB$25,AB$26,AB$31,AB$32,$AA$37,AO$14,AO$15,AO$16,AO$17,AO$18,X460))</f>
        <v/>
      </c>
      <c r="AP460" s="13">
        <f>IF(_epmOfflineCondition_,0,EPMSaveDataOnly(AL460,,AL$29,AL$25,AL$26,AL$31,AL$32,$AA$37,AP$14,AP$15,AP$16,AP$17,AP$18,$X460))</f>
        <v/>
      </c>
      <c r="AQ460" s="13">
        <f>IF(_epmOfflineCondition_,0,EPMSaveData(AM460,,AM$29,AM$25,AM$26,$C$6,AM$32,$AA$37,AQ$14,AQ$15,AQ$16,AQ$17,AQ$18,$X460))</f>
        <v/>
      </c>
      <c r="AR460" s="13">
        <f>IF(_epmOfflineCondition_,0,EPMSaveDataOnly(AN460,,AN$29,AN$25,AN$26,AN$31,AN$32,$AA$37,AR$14,AR$15,AR$16,AR$17,AR$18,$X460))</f>
        <v/>
      </c>
      <c r="AS460" s="384" t="n"/>
    </row>
    <row r="461" hidden="1" ht="15.75" customHeight="1" s="1181">
      <c r="A461" s="384" t="n"/>
      <c r="B461" s="384" t="n"/>
      <c r="C461" s="384" t="n"/>
      <c r="D461" s="384" t="n"/>
      <c r="E461" s="384" t="n"/>
      <c r="F461" s="384" t="n"/>
      <c r="G461" s="384" t="n"/>
      <c r="H461" s="384" t="n"/>
      <c r="I461" s="384" t="n"/>
      <c r="J461" s="384" t="n"/>
      <c r="K461" s="384" t="n"/>
      <c r="L461" s="384" t="n"/>
      <c r="M461" s="384" t="n"/>
      <c r="N461" s="384" t="n"/>
      <c r="O461" s="384" t="n"/>
      <c r="P461" s="384" t="n"/>
      <c r="Q461" s="384" t="n"/>
      <c r="R461" s="384" t="n"/>
      <c r="S461" s="384" t="n"/>
      <c r="T461" s="384" t="n"/>
      <c r="U461" s="384" t="n"/>
      <c r="V461" s="384" t="n"/>
      <c r="W461" s="384" t="n"/>
      <c r="X461" s="645">
        <f>IF(_epmOfflineCondition_,"I_E100726",EPMOlapMemberO("[C_INTERCO].[PARENTH1].[I_E100726]","","I_E100726","","000"))</f>
        <v/>
      </c>
      <c r="Y461" s="870">
        <f>IF(_epmOfflineCondition_,"天津雍清丽苑项目公司",EPMMemberDesc(X461))</f>
        <v/>
      </c>
      <c r="Z461" s="1302" t="n"/>
      <c r="AA461" s="1302" t="n"/>
      <c r="AB461" s="858" t="n"/>
      <c r="AC461" s="1302" t="n"/>
      <c r="AD461" s="1302" t="n"/>
      <c r="AE461" s="1302" t="inlineStr"/>
      <c r="AF461" s="1302" t="inlineStr"/>
      <c r="AG461" s="1302" t="inlineStr"/>
      <c r="AH461" s="1302" t="n"/>
      <c r="AI461" s="1302" t="n"/>
      <c r="AJ461" s="1302" t="n"/>
      <c r="AK461" s="1302">
        <f>AI461-AJ461</f>
        <v/>
      </c>
      <c r="AL461" s="858" t="n"/>
      <c r="AM461" s="1297" t="inlineStr"/>
      <c r="AN461" s="1298" t="n"/>
      <c r="AO461" s="13">
        <f>IF(_epmOfflineCondition_,0,EPMSaveDataOnly(AB461,,AB$29,AB$25,AB$26,AB$31,AB$32,$AA$37,AO$14,AO$15,AO$16,AO$17,AO$18,X461))</f>
        <v/>
      </c>
      <c r="AP461" s="13">
        <f>IF(_epmOfflineCondition_,0,EPMSaveDataOnly(AL461,,AL$29,AL$25,AL$26,AL$31,AL$32,$AA$37,AP$14,AP$15,AP$16,AP$17,AP$18,$X461))</f>
        <v/>
      </c>
      <c r="AQ461" s="13">
        <f>IF(_epmOfflineCondition_,0,EPMSaveData(AM461,,AM$29,AM$25,AM$26,$C$6,AM$32,$AA$37,AQ$14,AQ$15,AQ$16,AQ$17,AQ$18,$X461))</f>
        <v/>
      </c>
      <c r="AR461" s="13">
        <f>IF(_epmOfflineCondition_,0,EPMSaveDataOnly(AN461,,AN$29,AN$25,AN$26,AN$31,AN$32,$AA$37,AR$14,AR$15,AR$16,AR$17,AR$18,$X461))</f>
        <v/>
      </c>
      <c r="AS461" s="384" t="n"/>
    </row>
    <row r="462" hidden="1" ht="15.75" customHeight="1" s="1181">
      <c r="A462" s="384" t="n"/>
      <c r="B462" s="384" t="n"/>
      <c r="C462" s="384" t="n"/>
      <c r="D462" s="384" t="n"/>
      <c r="E462" s="384" t="n"/>
      <c r="F462" s="384" t="n"/>
      <c r="G462" s="384" t="n"/>
      <c r="H462" s="384" t="n"/>
      <c r="I462" s="384" t="n"/>
      <c r="J462" s="384" t="n"/>
      <c r="K462" s="384" t="n"/>
      <c r="L462" s="384" t="n"/>
      <c r="M462" s="384" t="n"/>
      <c r="N462" s="384" t="n"/>
      <c r="O462" s="384" t="n"/>
      <c r="P462" s="384" t="n"/>
      <c r="Q462" s="384" t="n"/>
      <c r="R462" s="384" t="n"/>
      <c r="S462" s="384" t="n"/>
      <c r="T462" s="384" t="n"/>
      <c r="U462" s="384" t="n"/>
      <c r="V462" s="384" t="n"/>
      <c r="W462" s="384" t="n"/>
      <c r="X462" s="645">
        <f>IF(_epmOfflineCondition_,"I_E100727",EPMOlapMemberO("[C_INTERCO].[PARENTH1].[I_E100727]","","I_E100727","","000"))</f>
        <v/>
      </c>
      <c r="Y462" s="870">
        <f>IF(_epmOfflineCondition_,"宜昌市夷陵区中基热电有限公司",EPMMemberDesc(X462))</f>
        <v/>
      </c>
      <c r="Z462" s="1302" t="n"/>
      <c r="AA462" s="1302" t="n"/>
      <c r="AB462" s="858" t="n"/>
      <c r="AC462" s="1302" t="n"/>
      <c r="AD462" s="1302" t="n"/>
      <c r="AE462" s="1302" t="inlineStr"/>
      <c r="AF462" s="1302" t="inlineStr"/>
      <c r="AG462" s="1302" t="inlineStr"/>
      <c r="AH462" s="1302" t="n"/>
      <c r="AI462" s="1302" t="n"/>
      <c r="AJ462" s="1302" t="n"/>
      <c r="AK462" s="1302">
        <f>AI462-AJ462</f>
        <v/>
      </c>
      <c r="AL462" s="858" t="n"/>
      <c r="AM462" s="1297" t="inlineStr"/>
      <c r="AN462" s="1298" t="n"/>
      <c r="AO462" s="13">
        <f>IF(_epmOfflineCondition_,0,EPMSaveDataOnly(AB462,,AB$29,AB$25,AB$26,AB$31,AB$32,$AA$37,AO$14,AO$15,AO$16,AO$17,AO$18,X462))</f>
        <v/>
      </c>
      <c r="AP462" s="13">
        <f>IF(_epmOfflineCondition_,0,EPMSaveDataOnly(AL462,,AL$29,AL$25,AL$26,AL$31,AL$32,$AA$37,AP$14,AP$15,AP$16,AP$17,AP$18,$X462))</f>
        <v/>
      </c>
      <c r="AQ462" s="13">
        <f>IF(_epmOfflineCondition_,0,EPMSaveData(AM462,,AM$29,AM$25,AM$26,$C$6,AM$32,$AA$37,AQ$14,AQ$15,AQ$16,AQ$17,AQ$18,$X462))</f>
        <v/>
      </c>
      <c r="AR462" s="13">
        <f>IF(_epmOfflineCondition_,0,EPMSaveDataOnly(AN462,,AN$29,AN$25,AN$26,AN$31,AN$32,$AA$37,AR$14,AR$15,AR$16,AR$17,AR$18,$X462))</f>
        <v/>
      </c>
      <c r="AS462" s="384" t="n"/>
    </row>
    <row r="463" hidden="1" ht="15.75" customHeight="1" s="1181">
      <c r="A463" s="384" t="n"/>
      <c r="B463" s="384" t="n"/>
      <c r="C463" s="384" t="n"/>
      <c r="D463" s="384" t="n"/>
      <c r="E463" s="384" t="n"/>
      <c r="F463" s="384" t="n"/>
      <c r="G463" s="384" t="n"/>
      <c r="H463" s="384" t="n"/>
      <c r="I463" s="384" t="n"/>
      <c r="J463" s="384" t="n"/>
      <c r="K463" s="384" t="n"/>
      <c r="L463" s="384" t="n"/>
      <c r="M463" s="384" t="n"/>
      <c r="N463" s="384" t="n"/>
      <c r="O463" s="384" t="n"/>
      <c r="P463" s="384" t="n"/>
      <c r="Q463" s="384" t="n"/>
      <c r="R463" s="384" t="n"/>
      <c r="S463" s="384" t="n"/>
      <c r="T463" s="384" t="n"/>
      <c r="U463" s="384" t="n"/>
      <c r="V463" s="384" t="n"/>
      <c r="W463" s="384" t="n"/>
      <c r="X463" s="645">
        <f>IF(_epmOfflineCondition_,"I_E100728",EPMOlapMemberO("[C_INTERCO].[PARENTH1].[I_E100728]","","I_E100728","","000"))</f>
        <v/>
      </c>
      <c r="Y463" s="870">
        <f>IF(_epmOfflineCondition_,"北京京西生态文旅投资有限公司",EPMMemberDesc(X463))</f>
        <v/>
      </c>
      <c r="Z463" s="1302" t="n"/>
      <c r="AA463" s="1302" t="n"/>
      <c r="AB463" s="858" t="n"/>
      <c r="AC463" s="1302" t="n"/>
      <c r="AD463" s="1302" t="n"/>
      <c r="AE463" s="1302" t="inlineStr"/>
      <c r="AF463" s="1302" t="inlineStr"/>
      <c r="AG463" s="1302" t="inlineStr"/>
      <c r="AH463" s="1302" t="n"/>
      <c r="AI463" s="1302" t="n"/>
      <c r="AJ463" s="1302" t="n"/>
      <c r="AK463" s="1302">
        <f>AI463-AJ463</f>
        <v/>
      </c>
      <c r="AL463" s="858" t="n"/>
      <c r="AM463" s="1297" t="inlineStr"/>
      <c r="AN463" s="1298" t="n"/>
      <c r="AO463" s="13">
        <f>IF(_epmOfflineCondition_,0,EPMSaveDataOnly(AB463,,AB$29,AB$25,AB$26,AB$31,AB$32,$AA$37,AO$14,AO$15,AO$16,AO$17,AO$18,X463))</f>
        <v/>
      </c>
      <c r="AP463" s="13">
        <f>IF(_epmOfflineCondition_,0,EPMSaveDataOnly(AL463,,AL$29,AL$25,AL$26,AL$31,AL$32,$AA$37,AP$14,AP$15,AP$16,AP$17,AP$18,$X463))</f>
        <v/>
      </c>
      <c r="AQ463" s="13">
        <f>IF(_epmOfflineCondition_,0,EPMSaveData(AM463,,AM$29,AM$25,AM$26,$C$6,AM$32,$AA$37,AQ$14,AQ$15,AQ$16,AQ$17,AQ$18,$X463))</f>
        <v/>
      </c>
      <c r="AR463" s="13">
        <f>IF(_epmOfflineCondition_,0,EPMSaveDataOnly(AN463,,AN$29,AN$25,AN$26,AN$31,AN$32,$AA$37,AR$14,AR$15,AR$16,AR$17,AR$18,$X463))</f>
        <v/>
      </c>
      <c r="AS463" s="384" t="n"/>
    </row>
    <row r="464" hidden="1" ht="15.75" customHeight="1" s="1181">
      <c r="A464" s="384" t="n"/>
      <c r="B464" s="384" t="n"/>
      <c r="C464" s="384" t="n"/>
      <c r="D464" s="384" t="n"/>
      <c r="E464" s="384" t="n"/>
      <c r="F464" s="384" t="n"/>
      <c r="G464" s="384" t="n"/>
      <c r="H464" s="384" t="n"/>
      <c r="I464" s="384" t="n"/>
      <c r="J464" s="384" t="n"/>
      <c r="K464" s="384" t="n"/>
      <c r="L464" s="384" t="n"/>
      <c r="M464" s="384" t="n"/>
      <c r="N464" s="384" t="n"/>
      <c r="O464" s="384" t="n"/>
      <c r="P464" s="384" t="n"/>
      <c r="Q464" s="384" t="n"/>
      <c r="R464" s="384" t="n"/>
      <c r="S464" s="384" t="n"/>
      <c r="T464" s="384" t="n"/>
      <c r="U464" s="384" t="n"/>
      <c r="V464" s="384" t="n"/>
      <c r="W464" s="384" t="n"/>
      <c r="X464" s="645">
        <f>IF(_epmOfflineCondition_,"I_E100744",EPMOlapMemberO("[C_INTERCO].[PARENTH1].[I_E100744]","","I_E100744","","000"))</f>
        <v/>
      </c>
      <c r="Y464" s="870">
        <f>IF(_epmOfflineCondition_,"京能酒泉新能源有限公司",EPMMemberDesc(X464))</f>
        <v/>
      </c>
      <c r="Z464" s="1302" t="n"/>
      <c r="AA464" s="1302" t="n"/>
      <c r="AB464" s="858" t="n"/>
      <c r="AC464" s="1302" t="n"/>
      <c r="AD464" s="1302" t="n"/>
      <c r="AE464" s="1302" t="inlineStr"/>
      <c r="AF464" s="1302" t="inlineStr"/>
      <c r="AG464" s="1302" t="inlineStr"/>
      <c r="AH464" s="1302" t="n"/>
      <c r="AI464" s="1302" t="n"/>
      <c r="AJ464" s="1302" t="n"/>
      <c r="AK464" s="1302">
        <f>AI464-AJ464</f>
        <v/>
      </c>
      <c r="AL464" s="858" t="n"/>
      <c r="AM464" s="1297" t="inlineStr"/>
      <c r="AN464" s="1298" t="n"/>
      <c r="AO464" s="13">
        <f>IF(_epmOfflineCondition_,0,EPMSaveDataOnly(AB464,,AB$29,AB$25,AB$26,AB$31,AB$32,$AA$37,AO$14,AO$15,AO$16,AO$17,AO$18,X464))</f>
        <v/>
      </c>
      <c r="AP464" s="13">
        <f>IF(_epmOfflineCondition_,0,EPMSaveDataOnly(AL464,,AL$29,AL$25,AL$26,AL$31,AL$32,$AA$37,AP$14,AP$15,AP$16,AP$17,AP$18,$X464))</f>
        <v/>
      </c>
      <c r="AQ464" s="13">
        <f>IF(_epmOfflineCondition_,0,EPMSaveData(AM464,,AM$29,AM$25,AM$26,$C$6,AM$32,$AA$37,AQ$14,AQ$15,AQ$16,AQ$17,AQ$18,$X464))</f>
        <v/>
      </c>
      <c r="AR464" s="13">
        <f>IF(_epmOfflineCondition_,0,EPMSaveDataOnly(AN464,,AN$29,AN$25,AN$26,AN$31,AN$32,$AA$37,AR$14,AR$15,AR$16,AR$17,AR$18,$X464))</f>
        <v/>
      </c>
      <c r="AS464" s="384" t="n"/>
    </row>
    <row r="465" hidden="1" ht="15.75" customHeight="1" s="1181">
      <c r="A465" s="384" t="n"/>
      <c r="B465" s="384" t="n"/>
      <c r="C465" s="384" t="n"/>
      <c r="D465" s="384" t="n"/>
      <c r="E465" s="384" t="n"/>
      <c r="F465" s="384" t="n"/>
      <c r="G465" s="384" t="n"/>
      <c r="H465" s="384" t="n"/>
      <c r="I465" s="384" t="n"/>
      <c r="J465" s="384" t="n"/>
      <c r="K465" s="384" t="n"/>
      <c r="L465" s="384" t="n"/>
      <c r="M465" s="384" t="n"/>
      <c r="N465" s="384" t="n"/>
      <c r="O465" s="384" t="n"/>
      <c r="P465" s="384" t="n"/>
      <c r="Q465" s="384" t="n"/>
      <c r="R465" s="384" t="n"/>
      <c r="S465" s="384" t="n"/>
      <c r="T465" s="384" t="n"/>
      <c r="U465" s="384" t="n"/>
      <c r="V465" s="384" t="n"/>
      <c r="W465" s="384" t="n"/>
      <c r="X465" s="645">
        <f>IF(_epmOfflineCondition_,"I_E100746",EPMOlapMemberO("[C_INTERCO].[PARENTH1].[I_E100746]","","I_E100746","","000"))</f>
        <v/>
      </c>
      <c r="Y465" s="870">
        <f>IF(_epmOfflineCondition_,"京能服务管理有限公司内蒙古分公司",EPMMemberDesc(X465))</f>
        <v/>
      </c>
      <c r="Z465" s="1302" t="n"/>
      <c r="AA465" s="1302" t="n"/>
      <c r="AB465" s="858" t="n"/>
      <c r="AC465" s="1302" t="n"/>
      <c r="AD465" s="1302" t="n"/>
      <c r="AE465" s="1302" t="inlineStr"/>
      <c r="AF465" s="1302" t="inlineStr"/>
      <c r="AG465" s="1302" t="inlineStr"/>
      <c r="AH465" s="1302" t="n"/>
      <c r="AI465" s="1302" t="n"/>
      <c r="AJ465" s="1302" t="n"/>
      <c r="AK465" s="1302">
        <f>AI465-AJ465</f>
        <v/>
      </c>
      <c r="AL465" s="858" t="n"/>
      <c r="AM465" s="1297" t="inlineStr"/>
      <c r="AN465" s="1298" t="n"/>
      <c r="AO465" s="13">
        <f>IF(_epmOfflineCondition_,0,EPMSaveDataOnly(AB465,,AB$29,AB$25,AB$26,AB$31,AB$32,$AA$37,AO$14,AO$15,AO$16,AO$17,AO$18,X465))</f>
        <v/>
      </c>
      <c r="AP465" s="13">
        <f>IF(_epmOfflineCondition_,0,EPMSaveDataOnly(AL465,,AL$29,AL$25,AL$26,AL$31,AL$32,$AA$37,AP$14,AP$15,AP$16,AP$17,AP$18,$X465))</f>
        <v/>
      </c>
      <c r="AQ465" s="13">
        <f>IF(_epmOfflineCondition_,0,EPMSaveData(AM465,,AM$29,AM$25,AM$26,$C$6,AM$32,$AA$37,AQ$14,AQ$15,AQ$16,AQ$17,AQ$18,$X465))</f>
        <v/>
      </c>
      <c r="AR465" s="13">
        <f>IF(_epmOfflineCondition_,0,EPMSaveDataOnly(AN465,,AN$29,AN$25,AN$26,AN$31,AN$32,$AA$37,AR$14,AR$15,AR$16,AR$17,AR$18,$X465))</f>
        <v/>
      </c>
      <c r="AS465" s="384" t="n"/>
    </row>
    <row r="466" hidden="1" ht="15.75" customHeight="1" s="1181">
      <c r="A466" s="384" t="n"/>
      <c r="B466" s="384" t="n"/>
      <c r="C466" s="384" t="n"/>
      <c r="D466" s="384" t="n"/>
      <c r="E466" s="384" t="n"/>
      <c r="F466" s="384" t="n"/>
      <c r="G466" s="384" t="n"/>
      <c r="H466" s="384" t="n"/>
      <c r="I466" s="384" t="n"/>
      <c r="J466" s="384" t="n"/>
      <c r="K466" s="384" t="n"/>
      <c r="L466" s="384" t="n"/>
      <c r="M466" s="384" t="n"/>
      <c r="N466" s="384" t="n"/>
      <c r="O466" s="384" t="n"/>
      <c r="P466" s="384" t="n"/>
      <c r="Q466" s="384" t="n"/>
      <c r="R466" s="384" t="n"/>
      <c r="S466" s="384" t="n"/>
      <c r="T466" s="384" t="n"/>
      <c r="U466" s="384" t="n"/>
      <c r="V466" s="384" t="n"/>
      <c r="W466" s="384" t="n"/>
      <c r="X466" s="645">
        <f>IF(_epmOfflineCondition_,"I_E100747",EPMOlapMemberO("[C_INTERCO].[PARENTH1].[I_E100747]","","I_E100747","","000"))</f>
        <v/>
      </c>
      <c r="Y466" s="870">
        <f>IF(_epmOfflineCondition_,"北京能源国际控股有限公司",EPMMemberDesc(X466))</f>
        <v/>
      </c>
      <c r="Z466" s="1302" t="n"/>
      <c r="AA466" s="1302" t="n"/>
      <c r="AB466" s="858" t="n"/>
      <c r="AC466" s="1302" t="n"/>
      <c r="AD466" s="1302" t="n"/>
      <c r="AE466" s="1302" t="inlineStr"/>
      <c r="AF466" s="1302" t="inlineStr"/>
      <c r="AG466" s="1302" t="inlineStr"/>
      <c r="AH466" s="1302" t="n"/>
      <c r="AI466" s="1302" t="n"/>
      <c r="AJ466" s="1302" t="n"/>
      <c r="AK466" s="1302">
        <f>AI466-AJ466</f>
        <v/>
      </c>
      <c r="AL466" s="858" t="n"/>
      <c r="AM466" s="1297" t="inlineStr"/>
      <c r="AN466" s="1298" t="n"/>
      <c r="AO466" s="13">
        <f>IF(_epmOfflineCondition_,0,EPMSaveDataOnly(AB466,,AB$29,AB$25,AB$26,AB$31,AB$32,$AA$37,AO$14,AO$15,AO$16,AO$17,AO$18,X466))</f>
        <v/>
      </c>
      <c r="AP466" s="13">
        <f>IF(_epmOfflineCondition_,0,EPMSaveDataOnly(AL466,,AL$29,AL$25,AL$26,AL$31,AL$32,$AA$37,AP$14,AP$15,AP$16,AP$17,AP$18,$X466))</f>
        <v/>
      </c>
      <c r="AQ466" s="13">
        <f>IF(_epmOfflineCondition_,0,EPMSaveData(AM466,,AM$29,AM$25,AM$26,$C$6,AM$32,$AA$37,AQ$14,AQ$15,AQ$16,AQ$17,AQ$18,$X466))</f>
        <v/>
      </c>
      <c r="AR466" s="13">
        <f>IF(_epmOfflineCondition_,0,EPMSaveDataOnly(AN466,,AN$29,AN$25,AN$26,AN$31,AN$32,$AA$37,AR$14,AR$15,AR$16,AR$17,AR$18,$X466))</f>
        <v/>
      </c>
      <c r="AS466" s="384" t="n"/>
    </row>
    <row r="467" hidden="1" ht="15.75" customHeight="1" s="1181">
      <c r="A467" s="384" t="n"/>
      <c r="B467" s="384" t="n"/>
      <c r="C467" s="384" t="n"/>
      <c r="D467" s="384" t="n"/>
      <c r="E467" s="384" t="n"/>
      <c r="F467" s="384" t="n"/>
      <c r="G467" s="384" t="n"/>
      <c r="H467" s="384" t="n"/>
      <c r="I467" s="384" t="n"/>
      <c r="J467" s="384" t="n"/>
      <c r="K467" s="384" t="n"/>
      <c r="L467" s="384" t="n"/>
      <c r="M467" s="384" t="n"/>
      <c r="N467" s="384" t="n"/>
      <c r="O467" s="384" t="n"/>
      <c r="P467" s="384" t="n"/>
      <c r="Q467" s="384" t="n"/>
      <c r="R467" s="384" t="n"/>
      <c r="S467" s="384" t="n"/>
      <c r="T467" s="384" t="n"/>
      <c r="U467" s="384" t="n"/>
      <c r="V467" s="384" t="n"/>
      <c r="W467" s="384" t="n"/>
      <c r="X467" s="645">
        <f>IF(_epmOfflineCondition_,"I_E100752",EPMOlapMemberO("[C_INTERCO].[PARENTH1].[I_E100752]","","I_E100752","","000"))</f>
        <v/>
      </c>
      <c r="Y467" s="870">
        <f>IF(_epmOfflineCondition_,"京能服务管理有限公司北京分公司",EPMMemberDesc(X467))</f>
        <v/>
      </c>
      <c r="Z467" s="1302" t="n"/>
      <c r="AA467" s="1302" t="n"/>
      <c r="AB467" s="858" t="n"/>
      <c r="AC467" s="1302" t="n"/>
      <c r="AD467" s="1302" t="n"/>
      <c r="AE467" s="1302" t="inlineStr"/>
      <c r="AF467" s="1302" t="inlineStr"/>
      <c r="AG467" s="1302" t="inlineStr"/>
      <c r="AH467" s="1302" t="n"/>
      <c r="AI467" s="1302" t="n"/>
      <c r="AJ467" s="1302" t="n"/>
      <c r="AK467" s="1302">
        <f>AI467-AJ467</f>
        <v/>
      </c>
      <c r="AL467" s="858" t="n"/>
      <c r="AM467" s="1297" t="inlineStr"/>
      <c r="AN467" s="1298" t="n"/>
      <c r="AO467" s="13">
        <f>IF(_epmOfflineCondition_,0,EPMSaveDataOnly(AB467,,AB$29,AB$25,AB$26,AB$31,AB$32,$AA$37,AO$14,AO$15,AO$16,AO$17,AO$18,X467))</f>
        <v/>
      </c>
      <c r="AP467" s="13">
        <f>IF(_epmOfflineCondition_,0,EPMSaveDataOnly(AL467,,AL$29,AL$25,AL$26,AL$31,AL$32,$AA$37,AP$14,AP$15,AP$16,AP$17,AP$18,$X467))</f>
        <v/>
      </c>
      <c r="AQ467" s="13">
        <f>IF(_epmOfflineCondition_,0,EPMSaveData(AM467,,AM$29,AM$25,AM$26,$C$6,AM$32,$AA$37,AQ$14,AQ$15,AQ$16,AQ$17,AQ$18,$X467))</f>
        <v/>
      </c>
      <c r="AR467" s="13">
        <f>IF(_epmOfflineCondition_,0,EPMSaveDataOnly(AN467,,AN$29,AN$25,AN$26,AN$31,AN$32,$AA$37,AR$14,AR$15,AR$16,AR$17,AR$18,$X467))</f>
        <v/>
      </c>
      <c r="AS467" s="384" t="n"/>
    </row>
    <row r="468" hidden="1" ht="15.75" customHeight="1" s="1181">
      <c r="A468" s="384" t="n"/>
      <c r="B468" s="384" t="n"/>
      <c r="C468" s="384" t="n"/>
      <c r="D468" s="384" t="n"/>
      <c r="E468" s="384" t="n"/>
      <c r="F468" s="384" t="n"/>
      <c r="G468" s="384" t="n"/>
      <c r="H468" s="384" t="n"/>
      <c r="I468" s="384" t="n"/>
      <c r="J468" s="384" t="n"/>
      <c r="K468" s="384" t="n"/>
      <c r="L468" s="384" t="n"/>
      <c r="M468" s="384" t="n"/>
      <c r="N468" s="384" t="n"/>
      <c r="O468" s="384" t="n"/>
      <c r="P468" s="384" t="n"/>
      <c r="Q468" s="384" t="n"/>
      <c r="R468" s="384" t="n"/>
      <c r="S468" s="384" t="n"/>
      <c r="T468" s="384" t="n"/>
      <c r="U468" s="384" t="n"/>
      <c r="V468" s="384" t="n"/>
      <c r="W468" s="384" t="n"/>
      <c r="X468" s="645">
        <f>IF(_epmOfflineCondition_,"I_E100753",EPMOlapMemberO("[C_INTERCO].[PARENTH1].[I_E100753]","","I_E100753","","000"))</f>
        <v/>
      </c>
      <c r="Y468" s="870">
        <f>IF(_epmOfflineCondition_,"鄂尔多斯市京能新能源科技有限公司",EPMMemberDesc(X468))</f>
        <v/>
      </c>
      <c r="Z468" s="1302" t="n"/>
      <c r="AA468" s="1302" t="n"/>
      <c r="AB468" s="858" t="n"/>
      <c r="AC468" s="1302" t="n"/>
      <c r="AD468" s="1302" t="n"/>
      <c r="AE468" s="1302" t="inlineStr"/>
      <c r="AF468" s="1302" t="inlineStr"/>
      <c r="AG468" s="1302" t="inlineStr"/>
      <c r="AH468" s="1302" t="n"/>
      <c r="AI468" s="1302" t="n"/>
      <c r="AJ468" s="1302" t="n"/>
      <c r="AK468" s="1302">
        <f>AI468-AJ468</f>
        <v/>
      </c>
      <c r="AL468" s="858" t="n"/>
      <c r="AM468" s="1297" t="inlineStr"/>
      <c r="AN468" s="1298" t="n"/>
      <c r="AO468" s="13">
        <f>IF(_epmOfflineCondition_,0,EPMSaveDataOnly(AB468,,AB$29,AB$25,AB$26,AB$31,AB$32,$AA$37,AO$14,AO$15,AO$16,AO$17,AO$18,X468))</f>
        <v/>
      </c>
      <c r="AP468" s="13">
        <f>IF(_epmOfflineCondition_,0,EPMSaveDataOnly(AL468,,AL$29,AL$25,AL$26,AL$31,AL$32,$AA$37,AP$14,AP$15,AP$16,AP$17,AP$18,$X468))</f>
        <v/>
      </c>
      <c r="AQ468" s="13">
        <f>IF(_epmOfflineCondition_,0,EPMSaveData(AM468,,AM$29,AM$25,AM$26,$C$6,AM$32,$AA$37,AQ$14,AQ$15,AQ$16,AQ$17,AQ$18,$X468))</f>
        <v/>
      </c>
      <c r="AR468" s="13">
        <f>IF(_epmOfflineCondition_,0,EPMSaveDataOnly(AN468,,AN$29,AN$25,AN$26,AN$31,AN$32,$AA$37,AR$14,AR$15,AR$16,AR$17,AR$18,$X468))</f>
        <v/>
      </c>
      <c r="AS468" s="384" t="n"/>
    </row>
    <row r="469" hidden="1" ht="15.75" customHeight="1" s="1181">
      <c r="A469" s="384" t="n"/>
      <c r="B469" s="384" t="n"/>
      <c r="C469" s="384" t="n"/>
      <c r="D469" s="384" t="n"/>
      <c r="E469" s="384" t="n"/>
      <c r="F469" s="384" t="n"/>
      <c r="G469" s="384" t="n"/>
      <c r="H469" s="384" t="n"/>
      <c r="I469" s="384" t="n"/>
      <c r="J469" s="384" t="n"/>
      <c r="K469" s="384" t="n"/>
      <c r="L469" s="384" t="n"/>
      <c r="M469" s="384" t="n"/>
      <c r="N469" s="384" t="n"/>
      <c r="O469" s="384" t="n"/>
      <c r="P469" s="384" t="n"/>
      <c r="Q469" s="384" t="n"/>
      <c r="R469" s="384" t="n"/>
      <c r="S469" s="384" t="n"/>
      <c r="T469" s="384" t="n"/>
      <c r="U469" s="384" t="n"/>
      <c r="V469" s="384" t="n"/>
      <c r="W469" s="384" t="n"/>
      <c r="X469" s="645">
        <f>IF(_epmOfflineCondition_,"I_E100767",EPMOlapMemberO("[C_INTERCO].[PARENTH1].[I_E100767]","","I_E100767","","000"))</f>
        <v/>
      </c>
      <c r="Y469" s="870">
        <f>IF(_epmOfflineCondition_,"北京金泰物业管理有限公司第一分公司",EPMMemberDesc(X469))</f>
        <v/>
      </c>
      <c r="Z469" s="1302" t="n"/>
      <c r="AA469" s="1302" t="n"/>
      <c r="AB469" s="858" t="n"/>
      <c r="AC469" s="1302" t="n"/>
      <c r="AD469" s="1302" t="n"/>
      <c r="AE469" s="1302" t="inlineStr"/>
      <c r="AF469" s="1302" t="inlineStr"/>
      <c r="AG469" s="1302" t="inlineStr"/>
      <c r="AH469" s="1302" t="n"/>
      <c r="AI469" s="1302" t="n"/>
      <c r="AJ469" s="1302" t="n"/>
      <c r="AK469" s="1302">
        <f>AI469-AJ469</f>
        <v/>
      </c>
      <c r="AL469" s="858" t="n"/>
      <c r="AM469" s="1297" t="inlineStr"/>
      <c r="AN469" s="1298" t="n"/>
      <c r="AO469" s="13">
        <f>IF(_epmOfflineCondition_,0,EPMSaveDataOnly(AB469,,AB$29,AB$25,AB$26,AB$31,AB$32,$AA$37,AO$14,AO$15,AO$16,AO$17,AO$18,X469))</f>
        <v/>
      </c>
      <c r="AP469" s="13">
        <f>IF(_epmOfflineCondition_,0,EPMSaveDataOnly(AL469,,AL$29,AL$25,AL$26,AL$31,AL$32,$AA$37,AP$14,AP$15,AP$16,AP$17,AP$18,$X469))</f>
        <v/>
      </c>
      <c r="AQ469" s="13">
        <f>IF(_epmOfflineCondition_,0,EPMSaveData(AM469,,AM$29,AM$25,AM$26,$C$6,AM$32,$AA$37,AQ$14,AQ$15,AQ$16,AQ$17,AQ$18,$X469))</f>
        <v/>
      </c>
      <c r="AR469" s="13">
        <f>IF(_epmOfflineCondition_,0,EPMSaveDataOnly(AN469,,AN$29,AN$25,AN$26,AN$31,AN$32,$AA$37,AR$14,AR$15,AR$16,AR$17,AR$18,$X469))</f>
        <v/>
      </c>
      <c r="AS469" s="384" t="n"/>
    </row>
    <row r="470" hidden="1" ht="15.75" customHeight="1" s="1181">
      <c r="A470" s="384" t="n"/>
      <c r="B470" s="384" t="n"/>
      <c r="C470" s="384" t="n"/>
      <c r="D470" s="384" t="n"/>
      <c r="E470" s="384" t="n"/>
      <c r="F470" s="384" t="n"/>
      <c r="G470" s="384" t="n"/>
      <c r="H470" s="384" t="n"/>
      <c r="I470" s="384" t="n"/>
      <c r="J470" s="384" t="n"/>
      <c r="K470" s="384" t="n"/>
      <c r="L470" s="384" t="n"/>
      <c r="M470" s="384" t="n"/>
      <c r="N470" s="384" t="n"/>
      <c r="O470" s="384" t="n"/>
      <c r="P470" s="384" t="n"/>
      <c r="Q470" s="384" t="n"/>
      <c r="R470" s="384" t="n"/>
      <c r="S470" s="384" t="n"/>
      <c r="T470" s="384" t="n"/>
      <c r="U470" s="384" t="n"/>
      <c r="V470" s="384" t="n"/>
      <c r="W470" s="384" t="n"/>
      <c r="X470" s="645">
        <f>IF(_epmOfflineCondition_,"I_E100768",EPMOlapMemberO("[C_INTERCO].[PARENTH1].[I_E100768]","","I_E100768","","000"))</f>
        <v/>
      </c>
      <c r="Y470" s="870">
        <f>IF(_epmOfflineCondition_,"北京金泰物业管理有限公司第二分公司",EPMMemberDesc(X470))</f>
        <v/>
      </c>
      <c r="Z470" s="1302" t="n"/>
      <c r="AA470" s="1302" t="n"/>
      <c r="AB470" s="858" t="n"/>
      <c r="AC470" s="1302" t="n"/>
      <c r="AD470" s="1302" t="n"/>
      <c r="AE470" s="1302" t="inlineStr"/>
      <c r="AF470" s="1302" t="inlineStr"/>
      <c r="AG470" s="1302" t="inlineStr"/>
      <c r="AH470" s="1302" t="n"/>
      <c r="AI470" s="1302" t="n"/>
      <c r="AJ470" s="1302" t="n"/>
      <c r="AK470" s="1302">
        <f>AI470-AJ470</f>
        <v/>
      </c>
      <c r="AL470" s="858" t="n"/>
      <c r="AM470" s="1297" t="inlineStr"/>
      <c r="AN470" s="1298" t="n"/>
      <c r="AO470" s="13">
        <f>IF(_epmOfflineCondition_,0,EPMSaveDataOnly(AB470,,AB$29,AB$25,AB$26,AB$31,AB$32,$AA$37,AO$14,AO$15,AO$16,AO$17,AO$18,X470))</f>
        <v/>
      </c>
      <c r="AP470" s="13">
        <f>IF(_epmOfflineCondition_,0,EPMSaveDataOnly(AL470,,AL$29,AL$25,AL$26,AL$31,AL$32,$AA$37,AP$14,AP$15,AP$16,AP$17,AP$18,$X470))</f>
        <v/>
      </c>
      <c r="AQ470" s="13">
        <f>IF(_epmOfflineCondition_,0,EPMSaveData(AM470,,AM$29,AM$25,AM$26,$C$6,AM$32,$AA$37,AQ$14,AQ$15,AQ$16,AQ$17,AQ$18,$X470))</f>
        <v/>
      </c>
      <c r="AR470" s="13">
        <f>IF(_epmOfflineCondition_,0,EPMSaveDataOnly(AN470,,AN$29,AN$25,AN$26,AN$31,AN$32,$AA$37,AR$14,AR$15,AR$16,AR$17,AR$18,$X470))</f>
        <v/>
      </c>
      <c r="AS470" s="384" t="n"/>
    </row>
    <row r="471" hidden="1" ht="15.75" customHeight="1" s="1181">
      <c r="A471" s="384" t="n"/>
      <c r="B471" s="384" t="n"/>
      <c r="C471" s="384" t="n"/>
      <c r="D471" s="384" t="n"/>
      <c r="E471" s="384" t="n"/>
      <c r="F471" s="384" t="n"/>
      <c r="G471" s="384" t="n"/>
      <c r="H471" s="384" t="n"/>
      <c r="I471" s="384" t="n"/>
      <c r="J471" s="384" t="n"/>
      <c r="K471" s="384" t="n"/>
      <c r="L471" s="384" t="n"/>
      <c r="M471" s="384" t="n"/>
      <c r="N471" s="384" t="n"/>
      <c r="O471" s="384" t="n"/>
      <c r="P471" s="384" t="n"/>
      <c r="Q471" s="384" t="n"/>
      <c r="R471" s="384" t="n"/>
      <c r="S471" s="384" t="n"/>
      <c r="T471" s="384" t="n"/>
      <c r="U471" s="384" t="n"/>
      <c r="V471" s="384" t="n"/>
      <c r="W471" s="384" t="n"/>
      <c r="X471" s="645">
        <f>IF(_epmOfflineCondition_,"I_E100769",EPMOlapMemberO("[C_INTERCO].[PARENTH1].[I_E100769]","","I_E100769","","000"))</f>
        <v/>
      </c>
      <c r="Y471" s="870">
        <f>IF(_epmOfflineCondition_,"北京金泰物业管理有限公司第三分公司",EPMMemberDesc(X471))</f>
        <v/>
      </c>
      <c r="Z471" s="1302" t="n"/>
      <c r="AA471" s="1302" t="n"/>
      <c r="AB471" s="858" t="n"/>
      <c r="AC471" s="1302" t="n"/>
      <c r="AD471" s="1302" t="n"/>
      <c r="AE471" s="1302" t="inlineStr"/>
      <c r="AF471" s="1302" t="inlineStr"/>
      <c r="AG471" s="1302" t="inlineStr"/>
      <c r="AH471" s="1302" t="n"/>
      <c r="AI471" s="1302" t="n"/>
      <c r="AJ471" s="1302" t="n"/>
      <c r="AK471" s="1302">
        <f>AI471-AJ471</f>
        <v/>
      </c>
      <c r="AL471" s="858" t="n"/>
      <c r="AM471" s="1297" t="inlineStr"/>
      <c r="AN471" s="1298" t="n"/>
      <c r="AO471" s="13">
        <f>IF(_epmOfflineCondition_,0,EPMSaveDataOnly(AB471,,AB$29,AB$25,AB$26,AB$31,AB$32,$AA$37,AO$14,AO$15,AO$16,AO$17,AO$18,X471))</f>
        <v/>
      </c>
      <c r="AP471" s="13">
        <f>IF(_epmOfflineCondition_,0,EPMSaveDataOnly(AL471,,AL$29,AL$25,AL$26,AL$31,AL$32,$AA$37,AP$14,AP$15,AP$16,AP$17,AP$18,$X471))</f>
        <v/>
      </c>
      <c r="AQ471" s="13">
        <f>IF(_epmOfflineCondition_,0,EPMSaveData(AM471,,AM$29,AM$25,AM$26,$C$6,AM$32,$AA$37,AQ$14,AQ$15,AQ$16,AQ$17,AQ$18,$X471))</f>
        <v/>
      </c>
      <c r="AR471" s="13">
        <f>IF(_epmOfflineCondition_,0,EPMSaveDataOnly(AN471,,AN$29,AN$25,AN$26,AN$31,AN$32,$AA$37,AR$14,AR$15,AR$16,AR$17,AR$18,$X471))</f>
        <v/>
      </c>
      <c r="AS471" s="384" t="n"/>
    </row>
    <row r="472" hidden="1" ht="15.75" customHeight="1" s="1181">
      <c r="A472" s="384" t="n"/>
      <c r="B472" s="384" t="n"/>
      <c r="C472" s="384" t="n"/>
      <c r="D472" s="384" t="n"/>
      <c r="E472" s="384" t="n"/>
      <c r="F472" s="384" t="n"/>
      <c r="G472" s="384" t="n"/>
      <c r="H472" s="384" t="n"/>
      <c r="I472" s="384" t="n"/>
      <c r="J472" s="384" t="n"/>
      <c r="K472" s="384" t="n"/>
      <c r="L472" s="384" t="n"/>
      <c r="M472" s="384" t="n"/>
      <c r="N472" s="384" t="n"/>
      <c r="O472" s="384" t="n"/>
      <c r="P472" s="384" t="n"/>
      <c r="Q472" s="384" t="n"/>
      <c r="R472" s="384" t="n"/>
      <c r="S472" s="384" t="n"/>
      <c r="T472" s="384" t="n"/>
      <c r="U472" s="384" t="n"/>
      <c r="V472" s="384" t="n"/>
      <c r="W472" s="384" t="n"/>
      <c r="X472" s="645">
        <f>IF(_epmOfflineCondition_,"I_E100770",EPMOlapMemberO("[C_INTERCO].[PARENTH1].[I_E100770]","","I_E100770","","000"))</f>
        <v/>
      </c>
      <c r="Y472" s="870">
        <f>IF(_epmOfflineCondition_,"金泰壹号（天津）企业管理合伙企业（有限合伙）",EPMMemberDesc(X472))</f>
        <v/>
      </c>
      <c r="Z472" s="1302" t="n"/>
      <c r="AA472" s="1302" t="n"/>
      <c r="AB472" s="858" t="n"/>
      <c r="AC472" s="1302" t="n"/>
      <c r="AD472" s="1302" t="n"/>
      <c r="AE472" s="1302" t="inlineStr"/>
      <c r="AF472" s="1302" t="inlineStr"/>
      <c r="AG472" s="1302" t="inlineStr"/>
      <c r="AH472" s="1302" t="n"/>
      <c r="AI472" s="1302" t="n"/>
      <c r="AJ472" s="1302" t="n"/>
      <c r="AK472" s="1302">
        <f>AI472-AJ472</f>
        <v/>
      </c>
      <c r="AL472" s="858" t="n"/>
      <c r="AM472" s="1297" t="inlineStr"/>
      <c r="AN472" s="1298" t="n"/>
      <c r="AO472" s="13">
        <f>IF(_epmOfflineCondition_,0,EPMSaveDataOnly(AB472,,AB$29,AB$25,AB$26,AB$31,AB$32,$AA$37,AO$14,AO$15,AO$16,AO$17,AO$18,X472))</f>
        <v/>
      </c>
      <c r="AP472" s="13">
        <f>IF(_epmOfflineCondition_,0,EPMSaveDataOnly(AL472,,AL$29,AL$25,AL$26,AL$31,AL$32,$AA$37,AP$14,AP$15,AP$16,AP$17,AP$18,$X472))</f>
        <v/>
      </c>
      <c r="AQ472" s="13">
        <f>IF(_epmOfflineCondition_,0,EPMSaveData(AM472,,AM$29,AM$25,AM$26,$C$6,AM$32,$AA$37,AQ$14,AQ$15,AQ$16,AQ$17,AQ$18,$X472))</f>
        <v/>
      </c>
      <c r="AR472" s="13">
        <f>IF(_epmOfflineCondition_,0,EPMSaveDataOnly(AN472,,AN$29,AN$25,AN$26,AN$31,AN$32,$AA$37,AR$14,AR$15,AR$16,AR$17,AR$18,$X472))</f>
        <v/>
      </c>
      <c r="AS472" s="384" t="n"/>
    </row>
    <row r="473" hidden="1" ht="15.75" customHeight="1" s="1181">
      <c r="A473" s="384" t="n"/>
      <c r="B473" s="384" t="n"/>
      <c r="C473" s="384" t="n"/>
      <c r="D473" s="384" t="n"/>
      <c r="E473" s="384" t="n"/>
      <c r="F473" s="384" t="n"/>
      <c r="G473" s="384" t="n"/>
      <c r="H473" s="384" t="n"/>
      <c r="I473" s="384" t="n"/>
      <c r="J473" s="384" t="n"/>
      <c r="K473" s="384" t="n"/>
      <c r="L473" s="384" t="n"/>
      <c r="M473" s="384" t="n"/>
      <c r="N473" s="384" t="n"/>
      <c r="O473" s="384" t="n"/>
      <c r="P473" s="384" t="n"/>
      <c r="Q473" s="384" t="n"/>
      <c r="R473" s="384" t="n"/>
      <c r="S473" s="384" t="n"/>
      <c r="T473" s="384" t="n"/>
      <c r="U473" s="384" t="n"/>
      <c r="V473" s="384" t="n"/>
      <c r="W473" s="384" t="n"/>
      <c r="X473" s="645">
        <f>IF(_epmOfflineCondition_,"I_E100771",EPMOlapMemberO("[C_INTERCO].[PARENTH1].[I_E100771]","","I_E100771","","000"))</f>
        <v/>
      </c>
      <c r="Y473" s="870">
        <f>IF(_epmOfflineCondition_,"京能服务管理有限公司宁东分公司",EPMMemberDesc(X473))</f>
        <v/>
      </c>
      <c r="Z473" s="1302" t="n"/>
      <c r="AA473" s="1302" t="n"/>
      <c r="AB473" s="858" t="n"/>
      <c r="AC473" s="1302" t="n"/>
      <c r="AD473" s="1302" t="n"/>
      <c r="AE473" s="1302" t="inlineStr"/>
      <c r="AF473" s="1302" t="inlineStr"/>
      <c r="AG473" s="1302" t="inlineStr"/>
      <c r="AH473" s="1302" t="n"/>
      <c r="AI473" s="1302" t="n"/>
      <c r="AJ473" s="1302" t="n"/>
      <c r="AK473" s="1302">
        <f>AI473-AJ473</f>
        <v/>
      </c>
      <c r="AL473" s="858" t="n"/>
      <c r="AM473" s="1297" t="inlineStr"/>
      <c r="AN473" s="1298" t="n"/>
      <c r="AO473" s="13">
        <f>IF(_epmOfflineCondition_,0,EPMSaveDataOnly(AB473,,AB$29,AB$25,AB$26,AB$31,AB$32,$AA$37,AO$14,AO$15,AO$16,AO$17,AO$18,X473))</f>
        <v/>
      </c>
      <c r="AP473" s="13">
        <f>IF(_epmOfflineCondition_,0,EPMSaveDataOnly(AL473,,AL$29,AL$25,AL$26,AL$31,AL$32,$AA$37,AP$14,AP$15,AP$16,AP$17,AP$18,$X473))</f>
        <v/>
      </c>
      <c r="AQ473" s="13">
        <f>IF(_epmOfflineCondition_,0,EPMSaveData(AM473,,AM$29,AM$25,AM$26,$C$6,AM$32,$AA$37,AQ$14,AQ$15,AQ$16,AQ$17,AQ$18,$X473))</f>
        <v/>
      </c>
      <c r="AR473" s="13">
        <f>IF(_epmOfflineCondition_,0,EPMSaveDataOnly(AN473,,AN$29,AN$25,AN$26,AN$31,AN$32,$AA$37,AR$14,AR$15,AR$16,AR$17,AR$18,$X473))</f>
        <v/>
      </c>
      <c r="AS473" s="384" t="n"/>
    </row>
    <row r="474" hidden="1" ht="15.75" customHeight="1" s="1181">
      <c r="A474" s="384" t="n"/>
      <c r="B474" s="384" t="n"/>
      <c r="C474" s="384" t="n"/>
      <c r="D474" s="384" t="n"/>
      <c r="E474" s="384" t="n"/>
      <c r="F474" s="384" t="n"/>
      <c r="G474" s="384" t="n"/>
      <c r="H474" s="384" t="n"/>
      <c r="I474" s="384" t="n"/>
      <c r="J474" s="384" t="n"/>
      <c r="K474" s="384" t="n"/>
      <c r="L474" s="384" t="n"/>
      <c r="M474" s="384" t="n"/>
      <c r="N474" s="384" t="n"/>
      <c r="O474" s="384" t="n"/>
      <c r="P474" s="384" t="n"/>
      <c r="Q474" s="384" t="n"/>
      <c r="R474" s="384" t="n"/>
      <c r="S474" s="384" t="n"/>
      <c r="T474" s="384" t="n"/>
      <c r="U474" s="384" t="n"/>
      <c r="V474" s="384" t="n"/>
      <c r="W474" s="384" t="n"/>
      <c r="X474" s="645">
        <f>IF(_epmOfflineCondition_,"I_E100772",EPMOlapMemberO("[C_INTERCO].[PARENTH1].[I_E100772]","","I_E100772","","000"))</f>
        <v/>
      </c>
      <c r="Y474" s="870">
        <f>IF(_epmOfflineCondition_,"京能服务管理有限公司右玉分公司",EPMMemberDesc(X474))</f>
        <v/>
      </c>
      <c r="Z474" s="1302" t="n"/>
      <c r="AA474" s="1302" t="n"/>
      <c r="AB474" s="858" t="n"/>
      <c r="AC474" s="1302" t="n"/>
      <c r="AD474" s="1302" t="n"/>
      <c r="AE474" s="1302" t="inlineStr"/>
      <c r="AF474" s="1302" t="inlineStr"/>
      <c r="AG474" s="1302" t="inlineStr"/>
      <c r="AH474" s="1302" t="n"/>
      <c r="AI474" s="1302" t="n"/>
      <c r="AJ474" s="1302" t="n"/>
      <c r="AK474" s="1302">
        <f>AI474-AJ474</f>
        <v/>
      </c>
      <c r="AL474" s="858" t="n"/>
      <c r="AM474" s="1297" t="inlineStr"/>
      <c r="AN474" s="1298" t="n"/>
      <c r="AO474" s="13">
        <f>IF(_epmOfflineCondition_,0,EPMSaveDataOnly(AB474,,AB$29,AB$25,AB$26,AB$31,AB$32,$AA$37,AO$14,AO$15,AO$16,AO$17,AO$18,X474))</f>
        <v/>
      </c>
      <c r="AP474" s="13">
        <f>IF(_epmOfflineCondition_,0,EPMSaveDataOnly(AL474,,AL$29,AL$25,AL$26,AL$31,AL$32,$AA$37,AP$14,AP$15,AP$16,AP$17,AP$18,$X474))</f>
        <v/>
      </c>
      <c r="AQ474" s="13">
        <f>IF(_epmOfflineCondition_,0,EPMSaveData(AM474,,AM$29,AM$25,AM$26,$C$6,AM$32,$AA$37,AQ$14,AQ$15,AQ$16,AQ$17,AQ$18,$X474))</f>
        <v/>
      </c>
      <c r="AR474" s="13">
        <f>IF(_epmOfflineCondition_,0,EPMSaveDataOnly(AN474,,AN$29,AN$25,AN$26,AN$31,AN$32,$AA$37,AR$14,AR$15,AR$16,AR$17,AR$18,$X474))</f>
        <v/>
      </c>
      <c r="AS474" s="384" t="n"/>
    </row>
    <row r="475" hidden="1" ht="15.75" customHeight="1" s="1181">
      <c r="A475" s="384" t="n"/>
      <c r="B475" s="384" t="n"/>
      <c r="C475" s="384" t="n"/>
      <c r="D475" s="384" t="n"/>
      <c r="E475" s="384" t="n"/>
      <c r="F475" s="384" t="n"/>
      <c r="G475" s="384" t="n"/>
      <c r="H475" s="384" t="n"/>
      <c r="I475" s="384" t="n"/>
      <c r="J475" s="384" t="n"/>
      <c r="K475" s="384" t="n"/>
      <c r="L475" s="384" t="n"/>
      <c r="M475" s="384" t="n"/>
      <c r="N475" s="384" t="n"/>
      <c r="O475" s="384" t="n"/>
      <c r="P475" s="384" t="n"/>
      <c r="Q475" s="384" t="n"/>
      <c r="R475" s="384" t="n"/>
      <c r="S475" s="384" t="n"/>
      <c r="T475" s="384" t="n"/>
      <c r="U475" s="384" t="n"/>
      <c r="V475" s="384" t="n"/>
      <c r="W475" s="384" t="n"/>
      <c r="X475" s="645">
        <f>IF(_epmOfflineCondition_,"I_E100773",EPMOlapMemberO("[C_INTERCO].[PARENTH1].[I_E100773]","","I_E100773","","000"))</f>
        <v/>
      </c>
      <c r="Y475" s="870">
        <f>IF(_epmOfflineCondition_,"京能服务管理有限公司临县分公司",EPMMemberDesc(X475))</f>
        <v/>
      </c>
      <c r="Z475" s="1302" t="n"/>
      <c r="AA475" s="1302" t="n"/>
      <c r="AB475" s="858" t="n"/>
      <c r="AC475" s="1302" t="n"/>
      <c r="AD475" s="1302" t="n"/>
      <c r="AE475" s="1302" t="inlineStr"/>
      <c r="AF475" s="1302" t="inlineStr"/>
      <c r="AG475" s="1302" t="inlineStr"/>
      <c r="AH475" s="1302" t="n"/>
      <c r="AI475" s="1302" t="n"/>
      <c r="AJ475" s="1302" t="n"/>
      <c r="AK475" s="1302">
        <f>AI475-AJ475</f>
        <v/>
      </c>
      <c r="AL475" s="858" t="n"/>
      <c r="AM475" s="1297" t="inlineStr"/>
      <c r="AN475" s="1298" t="n"/>
      <c r="AO475" s="13">
        <f>IF(_epmOfflineCondition_,0,EPMSaveDataOnly(AB475,,AB$29,AB$25,AB$26,AB$31,AB$32,$AA$37,AO$14,AO$15,AO$16,AO$17,AO$18,X475))</f>
        <v/>
      </c>
      <c r="AP475" s="13">
        <f>IF(_epmOfflineCondition_,0,EPMSaveDataOnly(AL475,,AL$29,AL$25,AL$26,AL$31,AL$32,$AA$37,AP$14,AP$15,AP$16,AP$17,AP$18,$X475))</f>
        <v/>
      </c>
      <c r="AQ475" s="13">
        <f>IF(_epmOfflineCondition_,0,EPMSaveData(AM475,,AM$29,AM$25,AM$26,$C$6,AM$32,$AA$37,AQ$14,AQ$15,AQ$16,AQ$17,AQ$18,$X475))</f>
        <v/>
      </c>
      <c r="AR475" s="13">
        <f>IF(_epmOfflineCondition_,0,EPMSaveDataOnly(AN475,,AN$29,AN$25,AN$26,AN$31,AN$32,$AA$37,AR$14,AR$15,AR$16,AR$17,AR$18,$X475))</f>
        <v/>
      </c>
      <c r="AS475" s="384" t="n"/>
    </row>
    <row r="476" hidden="1" ht="15.75" customHeight="1" s="1181">
      <c r="A476" s="384" t="n"/>
      <c r="B476" s="384" t="n"/>
      <c r="C476" s="384" t="n"/>
      <c r="D476" s="384" t="n"/>
      <c r="E476" s="384" t="n"/>
      <c r="F476" s="384" t="n"/>
      <c r="G476" s="384" t="n"/>
      <c r="H476" s="384" t="n"/>
      <c r="I476" s="384" t="n"/>
      <c r="J476" s="384" t="n"/>
      <c r="K476" s="384" t="n"/>
      <c r="L476" s="384" t="n"/>
      <c r="M476" s="384" t="n"/>
      <c r="N476" s="384" t="n"/>
      <c r="O476" s="384" t="n"/>
      <c r="P476" s="384" t="n"/>
      <c r="Q476" s="384" t="n"/>
      <c r="R476" s="384" t="n"/>
      <c r="S476" s="384" t="n"/>
      <c r="T476" s="384" t="n"/>
      <c r="U476" s="384" t="n"/>
      <c r="V476" s="384" t="n"/>
      <c r="W476" s="384" t="n"/>
      <c r="X476" s="645">
        <f>IF(_epmOfflineCondition_,"I_E100774",EPMOlapMemberO("[C_INTERCO].[PARENTH1].[I_E100774]","","I_E100774","","000"))</f>
        <v/>
      </c>
      <c r="Y476" s="870">
        <f>IF(_epmOfflineCondition_,"京能服务管理有限公司长治分公司",EPMMemberDesc(X476))</f>
        <v/>
      </c>
      <c r="Z476" s="1302" t="n"/>
      <c r="AA476" s="1302" t="n"/>
      <c r="AB476" s="858" t="n"/>
      <c r="AC476" s="1302" t="n"/>
      <c r="AD476" s="1302" t="n"/>
      <c r="AE476" s="1302" t="inlineStr"/>
      <c r="AF476" s="1302" t="inlineStr"/>
      <c r="AG476" s="1302" t="inlineStr"/>
      <c r="AH476" s="1302" t="n"/>
      <c r="AI476" s="1302" t="n"/>
      <c r="AJ476" s="1302" t="n"/>
      <c r="AK476" s="1302">
        <f>AI476-AJ476</f>
        <v/>
      </c>
      <c r="AL476" s="858" t="n"/>
      <c r="AM476" s="1297" t="inlineStr"/>
      <c r="AN476" s="1298" t="n"/>
      <c r="AO476" s="13">
        <f>IF(_epmOfflineCondition_,0,EPMSaveDataOnly(AB476,,AB$29,AB$25,AB$26,AB$31,AB$32,$AA$37,AO$14,AO$15,AO$16,AO$17,AO$18,X476))</f>
        <v/>
      </c>
      <c r="AP476" s="13">
        <f>IF(_epmOfflineCondition_,0,EPMSaveDataOnly(AL476,,AL$29,AL$25,AL$26,AL$31,AL$32,$AA$37,AP$14,AP$15,AP$16,AP$17,AP$18,$X476))</f>
        <v/>
      </c>
      <c r="AQ476" s="13">
        <f>IF(_epmOfflineCondition_,0,EPMSaveData(AM476,,AM$29,AM$25,AM$26,$C$6,AM$32,$AA$37,AQ$14,AQ$15,AQ$16,AQ$17,AQ$18,$X476))</f>
        <v/>
      </c>
      <c r="AR476" s="13">
        <f>IF(_epmOfflineCondition_,0,EPMSaveDataOnly(AN476,,AN$29,AN$25,AN$26,AN$31,AN$32,$AA$37,AR$14,AR$15,AR$16,AR$17,AR$18,$X476))</f>
        <v/>
      </c>
      <c r="AS476" s="384" t="n"/>
    </row>
    <row r="477" hidden="1" ht="15.75" customHeight="1" s="1181">
      <c r="A477" s="384" t="n"/>
      <c r="B477" s="384" t="n"/>
      <c r="C477" s="384" t="n"/>
      <c r="D477" s="384" t="n"/>
      <c r="E477" s="384" t="n"/>
      <c r="F477" s="384" t="n"/>
      <c r="G477" s="384" t="n"/>
      <c r="H477" s="384" t="n"/>
      <c r="I477" s="384" t="n"/>
      <c r="J477" s="384" t="n"/>
      <c r="K477" s="384" t="n"/>
      <c r="L477" s="384" t="n"/>
      <c r="M477" s="384" t="n"/>
      <c r="N477" s="384" t="n"/>
      <c r="O477" s="384" t="n"/>
      <c r="P477" s="384" t="n"/>
      <c r="Q477" s="384" t="n"/>
      <c r="R477" s="384" t="n"/>
      <c r="S477" s="384" t="n"/>
      <c r="T477" s="384" t="n"/>
      <c r="U477" s="384" t="n"/>
      <c r="V477" s="384" t="n"/>
      <c r="W477" s="384" t="n"/>
      <c r="X477" s="645">
        <f>IF(_epmOfflineCondition_,"I_E100776",EPMOlapMemberO("[C_INTERCO].[PARENTH1].[I_E100776]","","I_E100776","","000"))</f>
        <v/>
      </c>
      <c r="Y477" s="870">
        <f>IF(_epmOfflineCondition_,"北京健康养老集团有限公司",EPMMemberDesc(X477))</f>
        <v/>
      </c>
      <c r="Z477" s="1302" t="n"/>
      <c r="AA477" s="1302" t="n"/>
      <c r="AB477" s="858" t="n"/>
      <c r="AC477" s="1302" t="n"/>
      <c r="AD477" s="1302" t="n"/>
      <c r="AE477" s="1302" t="inlineStr"/>
      <c r="AF477" s="1302" t="inlineStr"/>
      <c r="AG477" s="1302" t="inlineStr"/>
      <c r="AH477" s="1302" t="n"/>
      <c r="AI477" s="1302" t="n"/>
      <c r="AJ477" s="1302" t="n"/>
      <c r="AK477" s="1302">
        <f>AI477-AJ477</f>
        <v/>
      </c>
      <c r="AL477" s="858" t="n"/>
      <c r="AM477" s="1297" t="inlineStr"/>
      <c r="AN477" s="1298" t="n"/>
      <c r="AO477" s="13">
        <f>IF(_epmOfflineCondition_,0,EPMSaveDataOnly(AB477,,AB$29,AB$25,AB$26,AB$31,AB$32,$AA$37,AO$14,AO$15,AO$16,AO$17,AO$18,X477))</f>
        <v/>
      </c>
      <c r="AP477" s="13">
        <f>IF(_epmOfflineCondition_,0,EPMSaveDataOnly(AL477,,AL$29,AL$25,AL$26,AL$31,AL$32,$AA$37,AP$14,AP$15,AP$16,AP$17,AP$18,$X477))</f>
        <v/>
      </c>
      <c r="AQ477" s="13">
        <f>IF(_epmOfflineCondition_,0,EPMSaveData(AM477,,AM$29,AM$25,AM$26,$C$6,AM$32,$AA$37,AQ$14,AQ$15,AQ$16,AQ$17,AQ$18,$X477))</f>
        <v/>
      </c>
      <c r="AR477" s="13">
        <f>IF(_epmOfflineCondition_,0,EPMSaveDataOnly(AN477,,AN$29,AN$25,AN$26,AN$31,AN$32,$AA$37,AR$14,AR$15,AR$16,AR$17,AR$18,$X477))</f>
        <v/>
      </c>
      <c r="AS477" s="384" t="n"/>
    </row>
    <row r="478" hidden="1" ht="15.75" customHeight="1" s="1181">
      <c r="A478" s="384" t="n"/>
      <c r="B478" s="384" t="n"/>
      <c r="C478" s="384" t="n"/>
      <c r="D478" s="384" t="n"/>
      <c r="E478" s="384" t="n"/>
      <c r="F478" s="384" t="n"/>
      <c r="G478" s="384" t="n"/>
      <c r="H478" s="384" t="n"/>
      <c r="I478" s="384" t="n"/>
      <c r="J478" s="384" t="n"/>
      <c r="K478" s="384" t="n"/>
      <c r="L478" s="384" t="n"/>
      <c r="M478" s="384" t="n"/>
      <c r="N478" s="384" t="n"/>
      <c r="O478" s="384" t="n"/>
      <c r="P478" s="384" t="n"/>
      <c r="Q478" s="384" t="n"/>
      <c r="R478" s="384" t="n"/>
      <c r="S478" s="384" t="n"/>
      <c r="T478" s="384" t="n"/>
      <c r="U478" s="384" t="n"/>
      <c r="V478" s="384" t="n"/>
      <c r="W478" s="384" t="n"/>
      <c r="X478" s="645">
        <f>IF(_epmOfflineCondition_,"I_E100777",EPMOlapMemberO("[C_INTERCO].[PARENTH1].[I_E100777]","","I_E100777","","000"))</f>
        <v/>
      </c>
      <c r="Y478" s="870">
        <f>IF(_epmOfflineCondition_,"京能服务管理有限公司秦皇岛分公司",EPMMemberDesc(X478))</f>
        <v/>
      </c>
      <c r="Z478" s="1302" t="n"/>
      <c r="AA478" s="1302" t="n"/>
      <c r="AB478" s="858" t="n"/>
      <c r="AC478" s="1302" t="n"/>
      <c r="AD478" s="1302" t="n"/>
      <c r="AE478" s="1302" t="inlineStr"/>
      <c r="AF478" s="1302" t="inlineStr"/>
      <c r="AG478" s="1302" t="inlineStr"/>
      <c r="AH478" s="1302" t="n"/>
      <c r="AI478" s="1302" t="n"/>
      <c r="AJ478" s="1302" t="n"/>
      <c r="AK478" s="1302">
        <f>AI478-AJ478</f>
        <v/>
      </c>
      <c r="AL478" s="858" t="n"/>
      <c r="AM478" s="1297" t="inlineStr"/>
      <c r="AN478" s="1298" t="n"/>
      <c r="AO478" s="13">
        <f>IF(_epmOfflineCondition_,0,EPMSaveDataOnly(AB478,,AB$29,AB$25,AB$26,AB$31,AB$32,$AA$37,AO$14,AO$15,AO$16,AO$17,AO$18,X478))</f>
        <v/>
      </c>
      <c r="AP478" s="13">
        <f>IF(_epmOfflineCondition_,0,EPMSaveDataOnly(AL478,,AL$29,AL$25,AL$26,AL$31,AL$32,$AA$37,AP$14,AP$15,AP$16,AP$17,AP$18,$X478))</f>
        <v/>
      </c>
      <c r="AQ478" s="13">
        <f>IF(_epmOfflineCondition_,0,EPMSaveData(AM478,,AM$29,AM$25,AM$26,$C$6,AM$32,$AA$37,AQ$14,AQ$15,AQ$16,AQ$17,AQ$18,$X478))</f>
        <v/>
      </c>
      <c r="AR478" s="13">
        <f>IF(_epmOfflineCondition_,0,EPMSaveDataOnly(AN478,,AN$29,AN$25,AN$26,AN$31,AN$32,$AA$37,AR$14,AR$15,AR$16,AR$17,AR$18,$X478))</f>
        <v/>
      </c>
      <c r="AS478" s="384" t="n"/>
    </row>
    <row r="479" hidden="1" ht="15.75" customHeight="1" s="1181">
      <c r="A479" s="384" t="n"/>
      <c r="B479" s="384" t="n"/>
      <c r="C479" s="384" t="n"/>
      <c r="D479" s="384" t="n"/>
      <c r="E479" s="384" t="n"/>
      <c r="F479" s="384" t="n"/>
      <c r="G479" s="384" t="n"/>
      <c r="H479" s="384" t="n"/>
      <c r="I479" s="384" t="n"/>
      <c r="J479" s="384" t="n"/>
      <c r="K479" s="384" t="n"/>
      <c r="L479" s="384" t="n"/>
      <c r="M479" s="384" t="n"/>
      <c r="N479" s="384" t="n"/>
      <c r="O479" s="384" t="n"/>
      <c r="P479" s="384" t="n"/>
      <c r="Q479" s="384" t="n"/>
      <c r="R479" s="384" t="n"/>
      <c r="S479" s="384" t="n"/>
      <c r="T479" s="384" t="n"/>
      <c r="U479" s="384" t="n"/>
      <c r="V479" s="384" t="n"/>
      <c r="W479" s="384" t="n"/>
      <c r="X479" s="645">
        <f>IF(_epmOfflineCondition_,"I_E100778",EPMOlapMemberO("[C_INTERCO].[PARENTH1].[I_E100778]","","I_E100778","","000"))</f>
        <v/>
      </c>
      <c r="Y479" s="870">
        <f>IF(_epmOfflineCondition_,"漳州京能清洁能源电力有限公司",EPMMemberDesc(X479))</f>
        <v/>
      </c>
      <c r="Z479" s="1302" t="n"/>
      <c r="AA479" s="1302" t="n"/>
      <c r="AB479" s="858" t="n"/>
      <c r="AC479" s="1302" t="n"/>
      <c r="AD479" s="1302" t="n"/>
      <c r="AE479" s="1302" t="inlineStr"/>
      <c r="AF479" s="1302" t="inlineStr"/>
      <c r="AG479" s="1302" t="inlineStr"/>
      <c r="AH479" s="1302" t="n"/>
      <c r="AI479" s="1302" t="n"/>
      <c r="AJ479" s="1302" t="n"/>
      <c r="AK479" s="1302">
        <f>AI479-AJ479</f>
        <v/>
      </c>
      <c r="AL479" s="858" t="n"/>
      <c r="AM479" s="1297" t="inlineStr"/>
      <c r="AN479" s="1298" t="n"/>
      <c r="AO479" s="13">
        <f>IF(_epmOfflineCondition_,0,EPMSaveDataOnly(AB479,,AB$29,AB$25,AB$26,AB$31,AB$32,$AA$37,AO$14,AO$15,AO$16,AO$17,AO$18,X479))</f>
        <v/>
      </c>
      <c r="AP479" s="13">
        <f>IF(_epmOfflineCondition_,0,EPMSaveDataOnly(AL479,,AL$29,AL$25,AL$26,AL$31,AL$32,$AA$37,AP$14,AP$15,AP$16,AP$17,AP$18,$X479))</f>
        <v/>
      </c>
      <c r="AQ479" s="13">
        <f>IF(_epmOfflineCondition_,0,EPMSaveData(AM479,,AM$29,AM$25,AM$26,$C$6,AM$32,$AA$37,AQ$14,AQ$15,AQ$16,AQ$17,AQ$18,$X479))</f>
        <v/>
      </c>
      <c r="AR479" s="13">
        <f>IF(_epmOfflineCondition_,0,EPMSaveDataOnly(AN479,,AN$29,AN$25,AN$26,AN$31,AN$32,$AA$37,AR$14,AR$15,AR$16,AR$17,AR$18,$X479))</f>
        <v/>
      </c>
      <c r="AS479" s="384" t="n"/>
    </row>
    <row r="480" hidden="1" ht="15.75" customHeight="1" s="1181">
      <c r="A480" s="384" t="n"/>
      <c r="B480" s="384" t="n"/>
      <c r="C480" s="384" t="n"/>
      <c r="D480" s="384" t="n"/>
      <c r="E480" s="384" t="n"/>
      <c r="F480" s="384" t="n"/>
      <c r="G480" s="384" t="n"/>
      <c r="H480" s="384" t="n"/>
      <c r="I480" s="384" t="n"/>
      <c r="J480" s="384" t="n"/>
      <c r="K480" s="384" t="n"/>
      <c r="L480" s="384" t="n"/>
      <c r="M480" s="384" t="n"/>
      <c r="N480" s="384" t="n"/>
      <c r="O480" s="384" t="n"/>
      <c r="P480" s="384" t="n"/>
      <c r="Q480" s="384" t="n"/>
      <c r="R480" s="384" t="n"/>
      <c r="S480" s="384" t="n"/>
      <c r="T480" s="384" t="n"/>
      <c r="U480" s="384" t="n"/>
      <c r="V480" s="384" t="n"/>
      <c r="W480" s="384" t="n"/>
      <c r="X480" s="645">
        <f>IF(_epmOfflineCondition_,"I_E100780",EPMOlapMemberO("[C_INTERCO].[PARENTH1].[I_E100780]","","I_E100780","","000"))</f>
        <v/>
      </c>
      <c r="Y480" s="870">
        <f>IF(_epmOfflineCondition_,"三明京能清洁能源电力有限公司",EPMMemberDesc(X480))</f>
        <v/>
      </c>
      <c r="Z480" s="1302" t="n"/>
      <c r="AA480" s="1302" t="n"/>
      <c r="AB480" s="858" t="n"/>
      <c r="AC480" s="1302" t="n"/>
      <c r="AD480" s="1302" t="n"/>
      <c r="AE480" s="1302" t="inlineStr"/>
      <c r="AF480" s="1302" t="inlineStr"/>
      <c r="AG480" s="1302" t="inlineStr"/>
      <c r="AH480" s="1302" t="n"/>
      <c r="AI480" s="1302" t="n"/>
      <c r="AJ480" s="1302" t="n"/>
      <c r="AK480" s="1302">
        <f>AI480-AJ480</f>
        <v/>
      </c>
      <c r="AL480" s="858" t="n"/>
      <c r="AM480" s="1297" t="inlineStr"/>
      <c r="AN480" s="1298" t="n"/>
      <c r="AO480" s="13">
        <f>IF(_epmOfflineCondition_,0,EPMSaveDataOnly(AB480,,AB$29,AB$25,AB$26,AB$31,AB$32,$AA$37,AO$14,AO$15,AO$16,AO$17,AO$18,X480))</f>
        <v/>
      </c>
      <c r="AP480" s="13">
        <f>IF(_epmOfflineCondition_,0,EPMSaveDataOnly(AL480,,AL$29,AL$25,AL$26,AL$31,AL$32,$AA$37,AP$14,AP$15,AP$16,AP$17,AP$18,$X480))</f>
        <v/>
      </c>
      <c r="AQ480" s="13">
        <f>IF(_epmOfflineCondition_,0,EPMSaveData(AM480,,AM$29,AM$25,AM$26,$C$6,AM$32,$AA$37,AQ$14,AQ$15,AQ$16,AQ$17,AQ$18,$X480))</f>
        <v/>
      </c>
      <c r="AR480" s="13">
        <f>IF(_epmOfflineCondition_,0,EPMSaveDataOnly(AN480,,AN$29,AN$25,AN$26,AN$31,AN$32,$AA$37,AR$14,AR$15,AR$16,AR$17,AR$18,$X480))</f>
        <v/>
      </c>
      <c r="AS480" s="384" t="n"/>
    </row>
    <row r="481" hidden="1" ht="15.75" customHeight="1" s="1181">
      <c r="A481" s="384" t="n"/>
      <c r="B481" s="384" t="n"/>
      <c r="C481" s="384" t="n"/>
      <c r="D481" s="384" t="n"/>
      <c r="E481" s="384" t="n"/>
      <c r="F481" s="384" t="n"/>
      <c r="G481" s="384" t="n"/>
      <c r="H481" s="384" t="n"/>
      <c r="I481" s="384" t="n"/>
      <c r="J481" s="384" t="n"/>
      <c r="K481" s="384" t="n"/>
      <c r="L481" s="384" t="n"/>
      <c r="M481" s="384" t="n"/>
      <c r="N481" s="384" t="n"/>
      <c r="O481" s="384" t="n"/>
      <c r="P481" s="384" t="n"/>
      <c r="Q481" s="384" t="n"/>
      <c r="R481" s="384" t="n"/>
      <c r="S481" s="384" t="n"/>
      <c r="T481" s="384" t="n"/>
      <c r="U481" s="384" t="n"/>
      <c r="V481" s="384" t="n"/>
      <c r="W481" s="384" t="n"/>
      <c r="X481" s="645">
        <f>IF(_epmOfflineCondition_,"I_E100781",EPMOlapMemberO("[C_INTERCO].[PARENTH1].[I_E100781]","","I_E100781","","000"))</f>
        <v/>
      </c>
      <c r="Y481" s="870">
        <f>IF(_epmOfflineCondition_,"广东辉宇新能源投资有限公司",EPMMemberDesc(X481))</f>
        <v/>
      </c>
      <c r="Z481" s="1302" t="n"/>
      <c r="AA481" s="1302" t="n"/>
      <c r="AB481" s="858" t="n"/>
      <c r="AC481" s="1302" t="n"/>
      <c r="AD481" s="1302" t="n"/>
      <c r="AE481" s="1302" t="inlineStr"/>
      <c r="AF481" s="1302" t="inlineStr"/>
      <c r="AG481" s="1302" t="inlineStr"/>
      <c r="AH481" s="1302" t="n"/>
      <c r="AI481" s="1302" t="n"/>
      <c r="AJ481" s="1302" t="n"/>
      <c r="AK481" s="1302">
        <f>AI481-AJ481</f>
        <v/>
      </c>
      <c r="AL481" s="858" t="n"/>
      <c r="AM481" s="1297" t="inlineStr"/>
      <c r="AN481" s="1298" t="n"/>
      <c r="AO481" s="13">
        <f>IF(_epmOfflineCondition_,0,EPMSaveDataOnly(AB481,,AB$29,AB$25,AB$26,AB$31,AB$32,$AA$37,AO$14,AO$15,AO$16,AO$17,AO$18,X481))</f>
        <v/>
      </c>
      <c r="AP481" s="13">
        <f>IF(_epmOfflineCondition_,0,EPMSaveDataOnly(AL481,,AL$29,AL$25,AL$26,AL$31,AL$32,$AA$37,AP$14,AP$15,AP$16,AP$17,AP$18,$X481))</f>
        <v/>
      </c>
      <c r="AQ481" s="13">
        <f>IF(_epmOfflineCondition_,0,EPMSaveData(AM481,,AM$29,AM$25,AM$26,$C$6,AM$32,$AA$37,AQ$14,AQ$15,AQ$16,AQ$17,AQ$18,$X481))</f>
        <v/>
      </c>
      <c r="AR481" s="13">
        <f>IF(_epmOfflineCondition_,0,EPMSaveDataOnly(AN481,,AN$29,AN$25,AN$26,AN$31,AN$32,$AA$37,AR$14,AR$15,AR$16,AR$17,AR$18,$X481))</f>
        <v/>
      </c>
      <c r="AS481" s="384" t="n"/>
    </row>
    <row r="482" hidden="1" ht="15.75" customHeight="1" s="1181">
      <c r="A482" s="384" t="n"/>
      <c r="B482" s="384" t="n"/>
      <c r="C482" s="384" t="n"/>
      <c r="D482" s="384" t="n"/>
      <c r="E482" s="384" t="n"/>
      <c r="F482" s="384" t="n"/>
      <c r="G482" s="384" t="n"/>
      <c r="H482" s="384" t="n"/>
      <c r="I482" s="384" t="n"/>
      <c r="J482" s="384" t="n"/>
      <c r="K482" s="384" t="n"/>
      <c r="L482" s="384" t="n"/>
      <c r="M482" s="384" t="n"/>
      <c r="N482" s="384" t="n"/>
      <c r="O482" s="384" t="n"/>
      <c r="P482" s="384" t="n"/>
      <c r="Q482" s="384" t="n"/>
      <c r="R482" s="384" t="n"/>
      <c r="S482" s="384" t="n"/>
      <c r="T482" s="384" t="n"/>
      <c r="U482" s="384" t="n"/>
      <c r="V482" s="384" t="n"/>
      <c r="W482" s="384" t="n"/>
      <c r="X482" s="645">
        <f>IF(_epmOfflineCondition_,"I_E100782",EPMOlapMemberO("[C_INTERCO].[PARENTH1].[I_E100782]","","I_E100782","","000"))</f>
        <v/>
      </c>
      <c r="Y482" s="870">
        <f>IF(_epmOfflineCondition_,"广东万顺新能源有限公司",EPMMemberDesc(X482))</f>
        <v/>
      </c>
      <c r="Z482" s="1302" t="n"/>
      <c r="AA482" s="1302" t="n"/>
      <c r="AB482" s="858" t="n"/>
      <c r="AC482" s="1302" t="n"/>
      <c r="AD482" s="1302" t="n"/>
      <c r="AE482" s="1302" t="inlineStr"/>
      <c r="AF482" s="1302" t="inlineStr"/>
      <c r="AG482" s="1302" t="inlineStr"/>
      <c r="AH482" s="1302" t="n"/>
      <c r="AI482" s="1302" t="n"/>
      <c r="AJ482" s="1302" t="n"/>
      <c r="AK482" s="1302">
        <f>AI482-AJ482</f>
        <v/>
      </c>
      <c r="AL482" s="858" t="n"/>
      <c r="AM482" s="1297" t="inlineStr"/>
      <c r="AN482" s="1298" t="n"/>
      <c r="AO482" s="13">
        <f>IF(_epmOfflineCondition_,0,EPMSaveDataOnly(AB482,,AB$29,AB$25,AB$26,AB$31,AB$32,$AA$37,AO$14,AO$15,AO$16,AO$17,AO$18,X482))</f>
        <v/>
      </c>
      <c r="AP482" s="13">
        <f>IF(_epmOfflineCondition_,0,EPMSaveDataOnly(AL482,,AL$29,AL$25,AL$26,AL$31,AL$32,$AA$37,AP$14,AP$15,AP$16,AP$17,AP$18,$X482))</f>
        <v/>
      </c>
      <c r="AQ482" s="13">
        <f>IF(_epmOfflineCondition_,0,EPMSaveData(AM482,,AM$29,AM$25,AM$26,$C$6,AM$32,$AA$37,AQ$14,AQ$15,AQ$16,AQ$17,AQ$18,$X482))</f>
        <v/>
      </c>
      <c r="AR482" s="13">
        <f>IF(_epmOfflineCondition_,0,EPMSaveDataOnly(AN482,,AN$29,AN$25,AN$26,AN$31,AN$32,$AA$37,AR$14,AR$15,AR$16,AR$17,AR$18,$X482))</f>
        <v/>
      </c>
      <c r="AS482" s="384" t="n"/>
    </row>
    <row r="483" hidden="1" ht="15.75" customHeight="1" s="1181">
      <c r="A483" s="384" t="n"/>
      <c r="B483" s="384" t="n"/>
      <c r="C483" s="384" t="n"/>
      <c r="D483" s="384" t="n"/>
      <c r="E483" s="384" t="n"/>
      <c r="F483" s="384" t="n"/>
      <c r="G483" s="384" t="n"/>
      <c r="H483" s="384" t="n"/>
      <c r="I483" s="384" t="n"/>
      <c r="J483" s="384" t="n"/>
      <c r="K483" s="384" t="n"/>
      <c r="L483" s="384" t="n"/>
      <c r="M483" s="384" t="n"/>
      <c r="N483" s="384" t="n"/>
      <c r="O483" s="384" t="n"/>
      <c r="P483" s="384" t="n"/>
      <c r="Q483" s="384" t="n"/>
      <c r="R483" s="384" t="n"/>
      <c r="S483" s="384" t="n"/>
      <c r="T483" s="384" t="n"/>
      <c r="U483" s="384" t="n"/>
      <c r="V483" s="384" t="n"/>
      <c r="W483" s="384" t="n"/>
      <c r="X483" s="645">
        <f>IF(_epmOfflineCondition_,"I_E100783",EPMOlapMemberO("[C_INTERCO].[PARENTH1].[I_E100783]","","I_E100783","","000"))</f>
        <v/>
      </c>
      <c r="Y483" s="870">
        <f>IF(_epmOfflineCondition_,"韩城京能清洁能源有限公司",EPMMemberDesc(X483))</f>
        <v/>
      </c>
      <c r="Z483" s="1302" t="n"/>
      <c r="AA483" s="1302" t="n"/>
      <c r="AB483" s="858" t="n"/>
      <c r="AC483" s="1302" t="n"/>
      <c r="AD483" s="1302" t="n"/>
      <c r="AE483" s="1302" t="inlineStr"/>
      <c r="AF483" s="1302" t="inlineStr"/>
      <c r="AG483" s="1302" t="inlineStr"/>
      <c r="AH483" s="1302" t="n"/>
      <c r="AI483" s="1302" t="n"/>
      <c r="AJ483" s="1302" t="n"/>
      <c r="AK483" s="1302">
        <f>AI483-AJ483</f>
        <v/>
      </c>
      <c r="AL483" s="858" t="n"/>
      <c r="AM483" s="1297" t="inlineStr"/>
      <c r="AN483" s="1298" t="n"/>
      <c r="AO483" s="13">
        <f>IF(_epmOfflineCondition_,0,EPMSaveDataOnly(AB483,,AB$29,AB$25,AB$26,AB$31,AB$32,$AA$37,AO$14,AO$15,AO$16,AO$17,AO$18,X483))</f>
        <v/>
      </c>
      <c r="AP483" s="13">
        <f>IF(_epmOfflineCondition_,0,EPMSaveDataOnly(AL483,,AL$29,AL$25,AL$26,AL$31,AL$32,$AA$37,AP$14,AP$15,AP$16,AP$17,AP$18,$X483))</f>
        <v/>
      </c>
      <c r="AQ483" s="13">
        <f>IF(_epmOfflineCondition_,0,EPMSaveData(AM483,,AM$29,AM$25,AM$26,$C$6,AM$32,$AA$37,AQ$14,AQ$15,AQ$16,AQ$17,AQ$18,$X483))</f>
        <v/>
      </c>
      <c r="AR483" s="13">
        <f>IF(_epmOfflineCondition_,0,EPMSaveDataOnly(AN483,,AN$29,AN$25,AN$26,AN$31,AN$32,$AA$37,AR$14,AR$15,AR$16,AR$17,AR$18,$X483))</f>
        <v/>
      </c>
      <c r="AS483" s="384" t="n"/>
    </row>
    <row r="484" hidden="1" ht="15.75" customHeight="1" s="1181">
      <c r="A484" s="384" t="n"/>
      <c r="B484" s="384" t="n"/>
      <c r="C484" s="384" t="n"/>
      <c r="D484" s="384" t="n"/>
      <c r="E484" s="384" t="n"/>
      <c r="F484" s="384" t="n"/>
      <c r="G484" s="384" t="n"/>
      <c r="H484" s="384" t="n"/>
      <c r="I484" s="384" t="n"/>
      <c r="J484" s="384" t="n"/>
      <c r="K484" s="384" t="n"/>
      <c r="L484" s="384" t="n"/>
      <c r="M484" s="384" t="n"/>
      <c r="N484" s="384" t="n"/>
      <c r="O484" s="384" t="n"/>
      <c r="P484" s="384" t="n"/>
      <c r="Q484" s="384" t="n"/>
      <c r="R484" s="384" t="n"/>
      <c r="S484" s="384" t="n"/>
      <c r="T484" s="384" t="n"/>
      <c r="U484" s="384" t="n"/>
      <c r="V484" s="384" t="n"/>
      <c r="W484" s="384" t="n"/>
      <c r="X484" s="645">
        <f>IF(_epmOfflineCondition_,"I_E100784",EPMOlapMemberO("[C_INTERCO].[PARENTH1].[I_E100784]","","I_E100784","","000"))</f>
        <v/>
      </c>
      <c r="Y484" s="870">
        <f>IF(_epmOfflineCondition_,"平罗县旭清新能源有限公司",EPMMemberDesc(X484))</f>
        <v/>
      </c>
      <c r="Z484" s="1302" t="n"/>
      <c r="AA484" s="1302" t="n"/>
      <c r="AB484" s="858" t="n"/>
      <c r="AC484" s="1302" t="n"/>
      <c r="AD484" s="1302" t="n"/>
      <c r="AE484" s="1302" t="inlineStr"/>
      <c r="AF484" s="1302" t="inlineStr"/>
      <c r="AG484" s="1302" t="inlineStr"/>
      <c r="AH484" s="1302" t="n"/>
      <c r="AI484" s="1302" t="n"/>
      <c r="AJ484" s="1302" t="n"/>
      <c r="AK484" s="1302">
        <f>AI484-AJ484</f>
        <v/>
      </c>
      <c r="AL484" s="858" t="n"/>
      <c r="AM484" s="1297" t="inlineStr"/>
      <c r="AN484" s="1298" t="n"/>
      <c r="AO484" s="13">
        <f>IF(_epmOfflineCondition_,0,EPMSaveDataOnly(AB484,,AB$29,AB$25,AB$26,AB$31,AB$32,$AA$37,AO$14,AO$15,AO$16,AO$17,AO$18,X484))</f>
        <v/>
      </c>
      <c r="AP484" s="13">
        <f>IF(_epmOfflineCondition_,0,EPMSaveDataOnly(AL484,,AL$29,AL$25,AL$26,AL$31,AL$32,$AA$37,AP$14,AP$15,AP$16,AP$17,AP$18,$X484))</f>
        <v/>
      </c>
      <c r="AQ484" s="13">
        <f>IF(_epmOfflineCondition_,0,EPMSaveData(AM484,,AM$29,AM$25,AM$26,$C$6,AM$32,$AA$37,AQ$14,AQ$15,AQ$16,AQ$17,AQ$18,$X484))</f>
        <v/>
      </c>
      <c r="AR484" s="13">
        <f>IF(_epmOfflineCondition_,0,EPMSaveDataOnly(AN484,,AN$29,AN$25,AN$26,AN$31,AN$32,$AA$37,AR$14,AR$15,AR$16,AR$17,AR$18,$X484))</f>
        <v/>
      </c>
      <c r="AS484" s="384" t="n"/>
    </row>
    <row r="485" hidden="1" ht="15.75" customHeight="1" s="1181">
      <c r="A485" s="384" t="n"/>
      <c r="B485" s="384" t="n"/>
      <c r="C485" s="384" t="n"/>
      <c r="D485" s="384" t="n"/>
      <c r="E485" s="384" t="n"/>
      <c r="F485" s="384" t="n"/>
      <c r="G485" s="384" t="n"/>
      <c r="H485" s="384" t="n"/>
      <c r="I485" s="384" t="n"/>
      <c r="J485" s="384" t="n"/>
      <c r="K485" s="384" t="n"/>
      <c r="L485" s="384" t="n"/>
      <c r="M485" s="384" t="n"/>
      <c r="N485" s="384" t="n"/>
      <c r="O485" s="384" t="n"/>
      <c r="P485" s="384" t="n"/>
      <c r="Q485" s="384" t="n"/>
      <c r="R485" s="384" t="n"/>
      <c r="S485" s="384" t="n"/>
      <c r="T485" s="384" t="n"/>
      <c r="U485" s="384" t="n"/>
      <c r="V485" s="384" t="n"/>
      <c r="W485" s="384" t="n"/>
      <c r="X485" s="645">
        <f>IF(_epmOfflineCondition_,"I_E100785",EPMOlapMemberO("[C_INTERCO].[PARENTH1].[I_E100785]","","I_E100785","","000"))</f>
        <v/>
      </c>
      <c r="Y485" s="870">
        <f>IF(_epmOfflineCondition_,"宁夏恺阳新能源有限公司",EPMMemberDesc(X485))</f>
        <v/>
      </c>
      <c r="Z485" s="1302" t="n"/>
      <c r="AA485" s="1302" t="n"/>
      <c r="AB485" s="858" t="n"/>
      <c r="AC485" s="1302" t="n"/>
      <c r="AD485" s="1302" t="n"/>
      <c r="AE485" s="1302" t="inlineStr"/>
      <c r="AF485" s="1302" t="inlineStr"/>
      <c r="AG485" s="1302" t="inlineStr"/>
      <c r="AH485" s="1302" t="n"/>
      <c r="AI485" s="1302" t="n"/>
      <c r="AJ485" s="1302" t="n"/>
      <c r="AK485" s="1302">
        <f>AI485-AJ485</f>
        <v/>
      </c>
      <c r="AL485" s="858" t="n"/>
      <c r="AM485" s="1297" t="inlineStr"/>
      <c r="AN485" s="1298" t="n"/>
      <c r="AO485" s="13">
        <f>IF(_epmOfflineCondition_,0,EPMSaveDataOnly(AB485,,AB$29,AB$25,AB$26,AB$31,AB$32,$AA$37,AO$14,AO$15,AO$16,AO$17,AO$18,X485))</f>
        <v/>
      </c>
      <c r="AP485" s="13">
        <f>IF(_epmOfflineCondition_,0,EPMSaveDataOnly(AL485,,AL$29,AL$25,AL$26,AL$31,AL$32,$AA$37,AP$14,AP$15,AP$16,AP$17,AP$18,$X485))</f>
        <v/>
      </c>
      <c r="AQ485" s="13">
        <f>IF(_epmOfflineCondition_,0,EPMSaveData(AM485,,AM$29,AM$25,AM$26,$C$6,AM$32,$AA$37,AQ$14,AQ$15,AQ$16,AQ$17,AQ$18,$X485))</f>
        <v/>
      </c>
      <c r="AR485" s="13">
        <f>IF(_epmOfflineCondition_,0,EPMSaveDataOnly(AN485,,AN$29,AN$25,AN$26,AN$31,AN$32,$AA$37,AR$14,AR$15,AR$16,AR$17,AR$18,$X485))</f>
        <v/>
      </c>
      <c r="AS485" s="384" t="n"/>
    </row>
    <row r="486" hidden="1" ht="15.75" customHeight="1" s="1181">
      <c r="A486" s="384" t="n"/>
      <c r="B486" s="384" t="n"/>
      <c r="C486" s="384" t="n"/>
      <c r="D486" s="384" t="n"/>
      <c r="E486" s="384" t="n"/>
      <c r="F486" s="384" t="n"/>
      <c r="G486" s="384" t="n"/>
      <c r="H486" s="384" t="n"/>
      <c r="I486" s="384" t="n"/>
      <c r="J486" s="384" t="n"/>
      <c r="K486" s="384" t="n"/>
      <c r="L486" s="384" t="n"/>
      <c r="M486" s="384" t="n"/>
      <c r="N486" s="384" t="n"/>
      <c r="O486" s="384" t="n"/>
      <c r="P486" s="384" t="n"/>
      <c r="Q486" s="384" t="n"/>
      <c r="R486" s="384" t="n"/>
      <c r="S486" s="384" t="n"/>
      <c r="T486" s="384" t="n"/>
      <c r="U486" s="384" t="n"/>
      <c r="V486" s="384" t="n"/>
      <c r="W486" s="384" t="n"/>
      <c r="X486" s="645">
        <f>IF(_epmOfflineCondition_,"I_E100786",EPMOlapMemberO("[C_INTERCO].[PARENTH1].[I_E100786]","","I_E100786","","000"))</f>
        <v/>
      </c>
      <c r="Y486" s="870">
        <f>IF(_epmOfflineCondition_,"宁夏博阳新能源有限公司",EPMMemberDesc(X486))</f>
        <v/>
      </c>
      <c r="Z486" s="1302" t="n"/>
      <c r="AA486" s="1302" t="n"/>
      <c r="AB486" s="858" t="n"/>
      <c r="AC486" s="1302" t="n"/>
      <c r="AD486" s="1302" t="n"/>
      <c r="AE486" s="1302" t="inlineStr"/>
      <c r="AF486" s="1302" t="inlineStr"/>
      <c r="AG486" s="1302" t="inlineStr"/>
      <c r="AH486" s="1302" t="n"/>
      <c r="AI486" s="1302" t="n"/>
      <c r="AJ486" s="1302" t="n"/>
      <c r="AK486" s="1302">
        <f>AI486-AJ486</f>
        <v/>
      </c>
      <c r="AL486" s="858" t="n"/>
      <c r="AM486" s="1297" t="inlineStr"/>
      <c r="AN486" s="1298" t="n"/>
      <c r="AO486" s="13">
        <f>IF(_epmOfflineCondition_,0,EPMSaveDataOnly(AB486,,AB$29,AB$25,AB$26,AB$31,AB$32,$AA$37,AO$14,AO$15,AO$16,AO$17,AO$18,X486))</f>
        <v/>
      </c>
      <c r="AP486" s="13">
        <f>IF(_epmOfflineCondition_,0,EPMSaveDataOnly(AL486,,AL$29,AL$25,AL$26,AL$31,AL$32,$AA$37,AP$14,AP$15,AP$16,AP$17,AP$18,$X486))</f>
        <v/>
      </c>
      <c r="AQ486" s="13">
        <f>IF(_epmOfflineCondition_,0,EPMSaveData(AM486,,AM$29,AM$25,AM$26,$C$6,AM$32,$AA$37,AQ$14,AQ$15,AQ$16,AQ$17,AQ$18,$X486))</f>
        <v/>
      </c>
      <c r="AR486" s="13">
        <f>IF(_epmOfflineCondition_,0,EPMSaveDataOnly(AN486,,AN$29,AN$25,AN$26,AN$31,AN$32,$AA$37,AR$14,AR$15,AR$16,AR$17,AR$18,$X486))</f>
        <v/>
      </c>
      <c r="AS486" s="384" t="n"/>
    </row>
    <row r="487" hidden="1" ht="15.75" customHeight="1" s="1181">
      <c r="A487" s="384" t="n"/>
      <c r="B487" s="384" t="n"/>
      <c r="C487" s="384" t="n"/>
      <c r="D487" s="384" t="n"/>
      <c r="E487" s="384" t="n"/>
      <c r="F487" s="384" t="n"/>
      <c r="G487" s="384" t="n"/>
      <c r="H487" s="384" t="n"/>
      <c r="I487" s="384" t="n"/>
      <c r="J487" s="384" t="n"/>
      <c r="K487" s="384" t="n"/>
      <c r="L487" s="384" t="n"/>
      <c r="M487" s="384" t="n"/>
      <c r="N487" s="384" t="n"/>
      <c r="O487" s="384" t="n"/>
      <c r="P487" s="384" t="n"/>
      <c r="Q487" s="384" t="n"/>
      <c r="R487" s="384" t="n"/>
      <c r="S487" s="384" t="n"/>
      <c r="T487" s="384" t="n"/>
      <c r="U487" s="384" t="n"/>
      <c r="V487" s="384" t="n"/>
      <c r="W487" s="384" t="n"/>
      <c r="X487" s="645">
        <f>IF(_epmOfflineCondition_,"I_E100787",EPMOlapMemberO("[C_INTERCO].[PARENTH1].[I_E100787]","","I_E100787","","000"))</f>
        <v/>
      </c>
      <c r="Y487" s="870">
        <f>IF(_epmOfflineCondition_,"内蒙古京能苏尼特风力发电有限公司（内蒙古分公司）",EPMMemberDesc(X487))</f>
        <v/>
      </c>
      <c r="Z487" s="1302" t="n"/>
      <c r="AA487" s="1302" t="n"/>
      <c r="AB487" s="858" t="n"/>
      <c r="AC487" s="1302" t="n"/>
      <c r="AD487" s="1302" t="n"/>
      <c r="AE487" s="1302" t="inlineStr"/>
      <c r="AF487" s="1302" t="inlineStr"/>
      <c r="AG487" s="1302" t="inlineStr"/>
      <c r="AH487" s="1302" t="n"/>
      <c r="AI487" s="1302" t="n"/>
      <c r="AJ487" s="1302" t="n"/>
      <c r="AK487" s="1302">
        <f>AI487-AJ487</f>
        <v/>
      </c>
      <c r="AL487" s="858" t="n"/>
      <c r="AM487" s="1297" t="inlineStr"/>
      <c r="AN487" s="1298" t="n"/>
      <c r="AO487" s="13">
        <f>IF(_epmOfflineCondition_,0,EPMSaveDataOnly(AB487,,AB$29,AB$25,AB$26,AB$31,AB$32,$AA$37,AO$14,AO$15,AO$16,AO$17,AO$18,X487))</f>
        <v/>
      </c>
      <c r="AP487" s="13">
        <f>IF(_epmOfflineCondition_,0,EPMSaveDataOnly(AL487,,AL$29,AL$25,AL$26,AL$31,AL$32,$AA$37,AP$14,AP$15,AP$16,AP$17,AP$18,$X487))</f>
        <v/>
      </c>
      <c r="AQ487" s="13">
        <f>IF(_epmOfflineCondition_,0,EPMSaveData(AM487,,AM$29,AM$25,AM$26,$C$6,AM$32,$AA$37,AQ$14,AQ$15,AQ$16,AQ$17,AQ$18,$X487))</f>
        <v/>
      </c>
      <c r="AR487" s="13">
        <f>IF(_epmOfflineCondition_,0,EPMSaveDataOnly(AN487,,AN$29,AN$25,AN$26,AN$31,AN$32,$AA$37,AR$14,AR$15,AR$16,AR$17,AR$18,$X487))</f>
        <v/>
      </c>
      <c r="AS487" s="384" t="n"/>
    </row>
    <row r="488" hidden="1" ht="15.75" customHeight="1" s="1181">
      <c r="A488" s="384" t="n"/>
      <c r="B488" s="384" t="n"/>
      <c r="C488" s="384" t="n"/>
      <c r="D488" s="384" t="n"/>
      <c r="E488" s="384" t="n"/>
      <c r="F488" s="384" t="n"/>
      <c r="G488" s="384" t="n"/>
      <c r="H488" s="384" t="n"/>
      <c r="I488" s="384" t="n"/>
      <c r="J488" s="384" t="n"/>
      <c r="K488" s="384" t="n"/>
      <c r="L488" s="384" t="n"/>
      <c r="M488" s="384" t="n"/>
      <c r="N488" s="384" t="n"/>
      <c r="O488" s="384" t="n"/>
      <c r="P488" s="384" t="n"/>
      <c r="Q488" s="384" t="n"/>
      <c r="R488" s="384" t="n"/>
      <c r="S488" s="384" t="n"/>
      <c r="T488" s="384" t="n"/>
      <c r="U488" s="384" t="n"/>
      <c r="V488" s="384" t="n"/>
      <c r="W488" s="384" t="n"/>
      <c r="X488" s="645">
        <f>IF(_epmOfflineCondition_,"I_E100789",EPMOlapMemberO("[C_INTERCO].[PARENTH1].[I_E100789]","","I_E100789","","000"))</f>
        <v/>
      </c>
      <c r="Y488" s="870">
        <f>IF(_epmOfflineCondition_,"北京京能酒店管理有限公司天湖酒店分公司",EPMMemberDesc(X488))</f>
        <v/>
      </c>
      <c r="Z488" s="1302" t="n"/>
      <c r="AA488" s="1302" t="n"/>
      <c r="AB488" s="858" t="n"/>
      <c r="AC488" s="1302" t="n"/>
      <c r="AD488" s="1302" t="n"/>
      <c r="AE488" s="1302" t="inlineStr"/>
      <c r="AF488" s="1302" t="inlineStr"/>
      <c r="AG488" s="1302" t="inlineStr"/>
      <c r="AH488" s="1302" t="n"/>
      <c r="AI488" s="1302" t="n"/>
      <c r="AJ488" s="1302" t="n"/>
      <c r="AK488" s="1302">
        <f>AI488-AJ488</f>
        <v/>
      </c>
      <c r="AL488" s="858" t="n"/>
      <c r="AM488" s="1297" t="inlineStr"/>
      <c r="AN488" s="1298" t="n"/>
      <c r="AO488" s="13">
        <f>IF(_epmOfflineCondition_,0,EPMSaveDataOnly(AB488,,AB$29,AB$25,AB$26,AB$31,AB$32,$AA$37,AO$14,AO$15,AO$16,AO$17,AO$18,X488))</f>
        <v/>
      </c>
      <c r="AP488" s="13">
        <f>IF(_epmOfflineCondition_,0,EPMSaveDataOnly(AL488,,AL$29,AL$25,AL$26,AL$31,AL$32,$AA$37,AP$14,AP$15,AP$16,AP$17,AP$18,$X488))</f>
        <v/>
      </c>
      <c r="AQ488" s="13">
        <f>IF(_epmOfflineCondition_,0,EPMSaveData(AM488,,AM$29,AM$25,AM$26,$C$6,AM$32,$AA$37,AQ$14,AQ$15,AQ$16,AQ$17,AQ$18,$X488))</f>
        <v/>
      </c>
      <c r="AR488" s="13">
        <f>IF(_epmOfflineCondition_,0,EPMSaveDataOnly(AN488,,AN$29,AN$25,AN$26,AN$31,AN$32,$AA$37,AR$14,AR$15,AR$16,AR$17,AR$18,$X488))</f>
        <v/>
      </c>
      <c r="AS488" s="384" t="n"/>
    </row>
    <row r="489" hidden="1" ht="15.75" customHeight="1" s="1181">
      <c r="A489" s="384" t="n"/>
      <c r="B489" s="384" t="n"/>
      <c r="C489" s="384" t="n"/>
      <c r="D489" s="384" t="n"/>
      <c r="E489" s="384" t="n"/>
      <c r="F489" s="384" t="n"/>
      <c r="G489" s="384" t="n"/>
      <c r="H489" s="384" t="n"/>
      <c r="I489" s="384" t="n"/>
      <c r="J489" s="384" t="n"/>
      <c r="K489" s="384" t="n"/>
      <c r="L489" s="384" t="n"/>
      <c r="M489" s="384" t="n"/>
      <c r="N489" s="384" t="n"/>
      <c r="O489" s="384" t="n"/>
      <c r="P489" s="384" t="n"/>
      <c r="Q489" s="384" t="n"/>
      <c r="R489" s="384" t="n"/>
      <c r="S489" s="384" t="n"/>
      <c r="T489" s="384" t="n"/>
      <c r="U489" s="384" t="n"/>
      <c r="V489" s="384" t="n"/>
      <c r="W489" s="384" t="n"/>
      <c r="X489" s="645">
        <f>IF(_epmOfflineCondition_,"I_E100790",EPMOlapMemberO("[C_INTERCO].[PARENTH1].[I_E100790]","","I_E100790","","000"))</f>
        <v/>
      </c>
      <c r="Y489" s="870">
        <f>IF(_epmOfflineCondition_,"北京京能酒店管理有限公司银川国贸中心酒店分公司",EPMMemberDesc(X489))</f>
        <v/>
      </c>
      <c r="Z489" s="1302" t="n"/>
      <c r="AA489" s="1302" t="n"/>
      <c r="AB489" s="858" t="n"/>
      <c r="AC489" s="1302" t="n"/>
      <c r="AD489" s="1302" t="n"/>
      <c r="AE489" s="1302" t="inlineStr"/>
      <c r="AF489" s="1302" t="inlineStr"/>
      <c r="AG489" s="1302" t="inlineStr"/>
      <c r="AH489" s="1302" t="n"/>
      <c r="AI489" s="1302" t="n"/>
      <c r="AJ489" s="1302" t="n"/>
      <c r="AK489" s="1302">
        <f>AI489-AJ489</f>
        <v/>
      </c>
      <c r="AL489" s="858" t="n"/>
      <c r="AM489" s="1297" t="inlineStr"/>
      <c r="AN489" s="1298" t="n"/>
      <c r="AO489" s="13">
        <f>IF(_epmOfflineCondition_,0,EPMSaveDataOnly(AB489,,AB$29,AB$25,AB$26,AB$31,AB$32,$AA$37,AO$14,AO$15,AO$16,AO$17,AO$18,X489))</f>
        <v/>
      </c>
      <c r="AP489" s="13">
        <f>IF(_epmOfflineCondition_,0,EPMSaveDataOnly(AL489,,AL$29,AL$25,AL$26,AL$31,AL$32,$AA$37,AP$14,AP$15,AP$16,AP$17,AP$18,$X489))</f>
        <v/>
      </c>
      <c r="AQ489" s="13">
        <f>IF(_epmOfflineCondition_,0,EPMSaveData(AM489,,AM$29,AM$25,AM$26,$C$6,AM$32,$AA$37,AQ$14,AQ$15,AQ$16,AQ$17,AQ$18,$X489))</f>
        <v/>
      </c>
      <c r="AR489" s="13">
        <f>IF(_epmOfflineCondition_,0,EPMSaveDataOnly(AN489,,AN$29,AN$25,AN$26,AN$31,AN$32,$AA$37,AR$14,AR$15,AR$16,AR$17,AR$18,$X489))</f>
        <v/>
      </c>
      <c r="AS489" s="384" t="n"/>
    </row>
    <row r="490" hidden="1" ht="15.75" customHeight="1" s="1181">
      <c r="A490" s="384" t="n"/>
      <c r="B490" s="384" t="n"/>
      <c r="C490" s="384" t="n"/>
      <c r="D490" s="384" t="n"/>
      <c r="E490" s="384" t="n"/>
      <c r="F490" s="384" t="n"/>
      <c r="G490" s="384" t="n"/>
      <c r="H490" s="384" t="n"/>
      <c r="I490" s="384" t="n"/>
      <c r="J490" s="384" t="n"/>
      <c r="K490" s="384" t="n"/>
      <c r="L490" s="384" t="n"/>
      <c r="M490" s="384" t="n"/>
      <c r="N490" s="384" t="n"/>
      <c r="O490" s="384" t="n"/>
      <c r="P490" s="384" t="n"/>
      <c r="Q490" s="384" t="n"/>
      <c r="R490" s="384" t="n"/>
      <c r="S490" s="384" t="n"/>
      <c r="T490" s="384" t="n"/>
      <c r="U490" s="384" t="n"/>
      <c r="V490" s="384" t="n"/>
      <c r="W490" s="384" t="n"/>
      <c r="X490" s="645">
        <f>IF(_epmOfflineCondition_,"I_E100791",EPMOlapMemberO("[C_INTERCO].[PARENTH1].[I_E100791]","","I_E100791","","000"))</f>
        <v/>
      </c>
      <c r="Y490" s="870">
        <f>IF(_epmOfflineCondition_,"京能（嘉兴秀洲）新能源有限公司",EPMMemberDesc(X490))</f>
        <v/>
      </c>
      <c r="Z490" s="1302" t="n"/>
      <c r="AA490" s="1302" t="n"/>
      <c r="AB490" s="858" t="n"/>
      <c r="AC490" s="1302" t="n"/>
      <c r="AD490" s="1302" t="n"/>
      <c r="AE490" s="1302" t="inlineStr"/>
      <c r="AF490" s="1302" t="inlineStr"/>
      <c r="AG490" s="1302" t="inlineStr"/>
      <c r="AH490" s="1302" t="n"/>
      <c r="AI490" s="1302" t="n"/>
      <c r="AJ490" s="1302" t="n"/>
      <c r="AK490" s="1302">
        <f>AI490-AJ490</f>
        <v/>
      </c>
      <c r="AL490" s="858" t="n"/>
      <c r="AM490" s="1297" t="inlineStr"/>
      <c r="AN490" s="1298" t="n"/>
      <c r="AO490" s="13">
        <f>IF(_epmOfflineCondition_,0,EPMSaveDataOnly(AB490,,AB$29,AB$25,AB$26,AB$31,AB$32,$AA$37,AO$14,AO$15,AO$16,AO$17,AO$18,X490))</f>
        <v/>
      </c>
      <c r="AP490" s="13">
        <f>IF(_epmOfflineCondition_,0,EPMSaveDataOnly(AL490,,AL$29,AL$25,AL$26,AL$31,AL$32,$AA$37,AP$14,AP$15,AP$16,AP$17,AP$18,$X490))</f>
        <v/>
      </c>
      <c r="AQ490" s="13">
        <f>IF(_epmOfflineCondition_,0,EPMSaveData(AM490,,AM$29,AM$25,AM$26,$C$6,AM$32,$AA$37,AQ$14,AQ$15,AQ$16,AQ$17,AQ$18,$X490))</f>
        <v/>
      </c>
      <c r="AR490" s="13">
        <f>IF(_epmOfflineCondition_,0,EPMSaveDataOnly(AN490,,AN$29,AN$25,AN$26,AN$31,AN$32,$AA$37,AR$14,AR$15,AR$16,AR$17,AR$18,$X490))</f>
        <v/>
      </c>
      <c r="AS490" s="384" t="n"/>
    </row>
    <row r="491" hidden="1" ht="15.75" customHeight="1" s="1181">
      <c r="A491" s="384" t="n"/>
      <c r="B491" s="384" t="n"/>
      <c r="C491" s="384" t="n"/>
      <c r="D491" s="384" t="n"/>
      <c r="E491" s="384" t="n"/>
      <c r="F491" s="384" t="n"/>
      <c r="G491" s="384" t="n"/>
      <c r="H491" s="384" t="n"/>
      <c r="I491" s="384" t="n"/>
      <c r="J491" s="384" t="n"/>
      <c r="K491" s="384" t="n"/>
      <c r="L491" s="384" t="n"/>
      <c r="M491" s="384" t="n"/>
      <c r="N491" s="384" t="n"/>
      <c r="O491" s="384" t="n"/>
      <c r="P491" s="384" t="n"/>
      <c r="Q491" s="384" t="n"/>
      <c r="R491" s="384" t="n"/>
      <c r="S491" s="384" t="n"/>
      <c r="T491" s="384" t="n"/>
      <c r="U491" s="384" t="n"/>
      <c r="V491" s="384" t="n"/>
      <c r="W491" s="384" t="n"/>
      <c r="X491" s="645">
        <f>IF(_epmOfflineCondition_,"I_E100792",EPMOlapMemberO("[C_INTERCO].[PARENTH1].[I_E100792]","","I_E100792","","000"))</f>
        <v/>
      </c>
      <c r="Y491" s="870">
        <f>IF(_epmOfflineCondition_,"北京京能清洁能源电力股份有限公司新疆分公司",EPMMemberDesc(X491))</f>
        <v/>
      </c>
      <c r="Z491" s="1302" t="n"/>
      <c r="AA491" s="1302" t="n"/>
      <c r="AB491" s="858" t="n"/>
      <c r="AC491" s="1302" t="n"/>
      <c r="AD491" s="1302" t="n"/>
      <c r="AE491" s="1302" t="inlineStr"/>
      <c r="AF491" s="1302" t="inlineStr"/>
      <c r="AG491" s="1302" t="inlineStr"/>
      <c r="AH491" s="1302" t="n"/>
      <c r="AI491" s="1302" t="n"/>
      <c r="AJ491" s="1302" t="n"/>
      <c r="AK491" s="1302">
        <f>AI491-AJ491</f>
        <v/>
      </c>
      <c r="AL491" s="858" t="n"/>
      <c r="AM491" s="1297" t="inlineStr"/>
      <c r="AN491" s="1298" t="n"/>
      <c r="AO491" s="13">
        <f>IF(_epmOfflineCondition_,0,EPMSaveDataOnly(AB491,,AB$29,AB$25,AB$26,AB$31,AB$32,$AA$37,AO$14,AO$15,AO$16,AO$17,AO$18,X491))</f>
        <v/>
      </c>
      <c r="AP491" s="13">
        <f>IF(_epmOfflineCondition_,0,EPMSaveDataOnly(AL491,,AL$29,AL$25,AL$26,AL$31,AL$32,$AA$37,AP$14,AP$15,AP$16,AP$17,AP$18,$X491))</f>
        <v/>
      </c>
      <c r="AQ491" s="13">
        <f>IF(_epmOfflineCondition_,0,EPMSaveData(AM491,,AM$29,AM$25,AM$26,$C$6,AM$32,$AA$37,AQ$14,AQ$15,AQ$16,AQ$17,AQ$18,$X491))</f>
        <v/>
      </c>
      <c r="AR491" s="13">
        <f>IF(_epmOfflineCondition_,0,EPMSaveDataOnly(AN491,,AN$29,AN$25,AN$26,AN$31,AN$32,$AA$37,AR$14,AR$15,AR$16,AR$17,AR$18,$X491))</f>
        <v/>
      </c>
      <c r="AS491" s="384" t="n"/>
    </row>
    <row r="492" hidden="1" ht="15.75" customHeight="1" s="1181">
      <c r="A492" s="384" t="n"/>
      <c r="B492" s="384" t="n"/>
      <c r="C492" s="384" t="n"/>
      <c r="D492" s="384" t="n"/>
      <c r="E492" s="384" t="n"/>
      <c r="F492" s="384" t="n"/>
      <c r="G492" s="384" t="n"/>
      <c r="H492" s="384" t="n"/>
      <c r="I492" s="384" t="n"/>
      <c r="J492" s="384" t="n"/>
      <c r="K492" s="384" t="n"/>
      <c r="L492" s="384" t="n"/>
      <c r="M492" s="384" t="n"/>
      <c r="N492" s="384" t="n"/>
      <c r="O492" s="384" t="n"/>
      <c r="P492" s="384" t="n"/>
      <c r="Q492" s="384" t="n"/>
      <c r="R492" s="384" t="n"/>
      <c r="S492" s="384" t="n"/>
      <c r="T492" s="384" t="n"/>
      <c r="U492" s="384" t="n"/>
      <c r="V492" s="384" t="n"/>
      <c r="W492" s="384" t="n"/>
      <c r="X492" s="645">
        <f>IF(_epmOfflineCondition_,"I_E100793",EPMOlapMemberO("[C_INTERCO].[PARENTH1].[I_E100793]","","I_E100793","","000"))</f>
        <v/>
      </c>
      <c r="Y492" s="870">
        <f>IF(_epmOfflineCondition_,"张家口风沐新能源有限公司",EPMMemberDesc(X492))</f>
        <v/>
      </c>
      <c r="Z492" s="1302" t="n"/>
      <c r="AA492" s="1302" t="n"/>
      <c r="AB492" s="858" t="n"/>
      <c r="AC492" s="1302" t="n"/>
      <c r="AD492" s="1302" t="n"/>
      <c r="AE492" s="1302" t="inlineStr"/>
      <c r="AF492" s="1302" t="inlineStr"/>
      <c r="AG492" s="1302" t="inlineStr"/>
      <c r="AH492" s="1302" t="n"/>
      <c r="AI492" s="1302" t="n"/>
      <c r="AJ492" s="1302" t="n"/>
      <c r="AK492" s="1302">
        <f>AI492-AJ492</f>
        <v/>
      </c>
      <c r="AL492" s="858" t="n"/>
      <c r="AM492" s="1297" t="inlineStr"/>
      <c r="AN492" s="1298" t="n"/>
      <c r="AO492" s="13">
        <f>IF(_epmOfflineCondition_,0,EPMSaveDataOnly(AB492,,AB$29,AB$25,AB$26,AB$31,AB$32,$AA$37,AO$14,AO$15,AO$16,AO$17,AO$18,X492))</f>
        <v/>
      </c>
      <c r="AP492" s="13">
        <f>IF(_epmOfflineCondition_,0,EPMSaveDataOnly(AL492,,AL$29,AL$25,AL$26,AL$31,AL$32,$AA$37,AP$14,AP$15,AP$16,AP$17,AP$18,$X492))</f>
        <v/>
      </c>
      <c r="AQ492" s="13">
        <f>IF(_epmOfflineCondition_,0,EPMSaveData(AM492,,AM$29,AM$25,AM$26,$C$6,AM$32,$AA$37,AQ$14,AQ$15,AQ$16,AQ$17,AQ$18,$X492))</f>
        <v/>
      </c>
      <c r="AR492" s="13">
        <f>IF(_epmOfflineCondition_,0,EPMSaveDataOnly(AN492,,AN$29,AN$25,AN$26,AN$31,AN$32,$AA$37,AR$14,AR$15,AR$16,AR$17,AR$18,$X492))</f>
        <v/>
      </c>
      <c r="AS492" s="384" t="n"/>
    </row>
    <row r="493" hidden="1" ht="15.75" customHeight="1" s="1181">
      <c r="A493" s="384" t="n"/>
      <c r="B493" s="384" t="n"/>
      <c r="C493" s="384" t="n"/>
      <c r="D493" s="384" t="n"/>
      <c r="E493" s="384" t="n"/>
      <c r="F493" s="384" t="n"/>
      <c r="G493" s="384" t="n"/>
      <c r="H493" s="384" t="n"/>
      <c r="I493" s="384" t="n"/>
      <c r="J493" s="384" t="n"/>
      <c r="K493" s="384" t="n"/>
      <c r="L493" s="384" t="n"/>
      <c r="M493" s="384" t="n"/>
      <c r="N493" s="384" t="n"/>
      <c r="O493" s="384" t="n"/>
      <c r="P493" s="384" t="n"/>
      <c r="Q493" s="384" t="n"/>
      <c r="R493" s="384" t="n"/>
      <c r="S493" s="384" t="n"/>
      <c r="T493" s="384" t="n"/>
      <c r="U493" s="384" t="n"/>
      <c r="V493" s="384" t="n"/>
      <c r="W493" s="384" t="n"/>
      <c r="X493" s="645">
        <f>IF(_epmOfflineCondition_,"I_E100794",EPMOlapMemberO("[C_INTERCO].[PARENTH1].[I_E100794]","","I_E100794","","000"))</f>
        <v/>
      </c>
      <c r="Y493" s="870">
        <f>IF(_epmOfflineCondition_,"张北风沐新能源有限公司",EPMMemberDesc(X493))</f>
        <v/>
      </c>
      <c r="Z493" s="1302" t="n"/>
      <c r="AA493" s="1302" t="n"/>
      <c r="AB493" s="858" t="n"/>
      <c r="AC493" s="1302" t="n"/>
      <c r="AD493" s="1302" t="n"/>
      <c r="AE493" s="1302" t="inlineStr"/>
      <c r="AF493" s="1302" t="inlineStr"/>
      <c r="AG493" s="1302" t="inlineStr"/>
      <c r="AH493" s="1302" t="n"/>
      <c r="AI493" s="1302" t="n"/>
      <c r="AJ493" s="1302" t="n"/>
      <c r="AK493" s="1302">
        <f>AI493-AJ493</f>
        <v/>
      </c>
      <c r="AL493" s="858" t="n"/>
      <c r="AM493" s="1297" t="inlineStr"/>
      <c r="AN493" s="1298" t="n"/>
      <c r="AO493" s="13">
        <f>IF(_epmOfflineCondition_,0,EPMSaveDataOnly(AB493,,AB$29,AB$25,AB$26,AB$31,AB$32,$AA$37,AO$14,AO$15,AO$16,AO$17,AO$18,X493))</f>
        <v/>
      </c>
      <c r="AP493" s="13">
        <f>IF(_epmOfflineCondition_,0,EPMSaveDataOnly(AL493,,AL$29,AL$25,AL$26,AL$31,AL$32,$AA$37,AP$14,AP$15,AP$16,AP$17,AP$18,$X493))</f>
        <v/>
      </c>
      <c r="AQ493" s="13">
        <f>IF(_epmOfflineCondition_,0,EPMSaveData(AM493,,AM$29,AM$25,AM$26,$C$6,AM$32,$AA$37,AQ$14,AQ$15,AQ$16,AQ$17,AQ$18,$X493))</f>
        <v/>
      </c>
      <c r="AR493" s="13">
        <f>IF(_epmOfflineCondition_,0,EPMSaveDataOnly(AN493,,AN$29,AN$25,AN$26,AN$31,AN$32,$AA$37,AR$14,AR$15,AR$16,AR$17,AR$18,$X493))</f>
        <v/>
      </c>
      <c r="AS493" s="384" t="n"/>
    </row>
    <row r="494" hidden="1" ht="15.75" customHeight="1" s="1181">
      <c r="A494" s="384" t="n"/>
      <c r="B494" s="384" t="n"/>
      <c r="C494" s="384" t="n"/>
      <c r="D494" s="384" t="n"/>
      <c r="E494" s="384" t="n"/>
      <c r="F494" s="384" t="n"/>
      <c r="G494" s="384" t="n"/>
      <c r="H494" s="384" t="n"/>
      <c r="I494" s="384" t="n"/>
      <c r="J494" s="384" t="n"/>
      <c r="K494" s="384" t="n"/>
      <c r="L494" s="384" t="n"/>
      <c r="M494" s="384" t="n"/>
      <c r="N494" s="384" t="n"/>
      <c r="O494" s="384" t="n"/>
      <c r="P494" s="384" t="n"/>
      <c r="Q494" s="384" t="n"/>
      <c r="R494" s="384" t="n"/>
      <c r="S494" s="384" t="n"/>
      <c r="T494" s="384" t="n"/>
      <c r="U494" s="384" t="n"/>
      <c r="V494" s="384" t="n"/>
      <c r="W494" s="384" t="n"/>
      <c r="X494" s="645">
        <f>IF(_epmOfflineCondition_,"I_E100799",EPMOlapMemberO("[C_INTERCO].[PARENTH1].[I_E100799]","","I_E100799","","000"))</f>
        <v/>
      </c>
      <c r="Y494" s="870">
        <f>IF(_epmOfflineCondition_,"湖北京能京堰新能源有限公司",EPMMemberDesc(X494))</f>
        <v/>
      </c>
      <c r="Z494" s="1302" t="n"/>
      <c r="AA494" s="1302" t="n"/>
      <c r="AB494" s="858" t="n"/>
      <c r="AC494" s="1302" t="n"/>
      <c r="AD494" s="1302" t="n"/>
      <c r="AE494" s="1302" t="inlineStr"/>
      <c r="AF494" s="1302" t="inlineStr"/>
      <c r="AG494" s="1302" t="inlineStr"/>
      <c r="AH494" s="1302" t="n"/>
      <c r="AI494" s="1302" t="n"/>
      <c r="AJ494" s="1302" t="n"/>
      <c r="AK494" s="1302">
        <f>AI494-AJ494</f>
        <v/>
      </c>
      <c r="AL494" s="858" t="n"/>
      <c r="AM494" s="1297" t="inlineStr"/>
      <c r="AN494" s="1298" t="n"/>
      <c r="AO494" s="13">
        <f>IF(_epmOfflineCondition_,0,EPMSaveDataOnly(AB494,,AB$29,AB$25,AB$26,AB$31,AB$32,$AA$37,AO$14,AO$15,AO$16,AO$17,AO$18,X494))</f>
        <v/>
      </c>
      <c r="AP494" s="13">
        <f>IF(_epmOfflineCondition_,0,EPMSaveDataOnly(AL494,,AL$29,AL$25,AL$26,AL$31,AL$32,$AA$37,AP$14,AP$15,AP$16,AP$17,AP$18,$X494))</f>
        <v/>
      </c>
      <c r="AQ494" s="13">
        <f>IF(_epmOfflineCondition_,0,EPMSaveData(AM494,,AM$29,AM$25,AM$26,$C$6,AM$32,$AA$37,AQ$14,AQ$15,AQ$16,AQ$17,AQ$18,$X494))</f>
        <v/>
      </c>
      <c r="AR494" s="13">
        <f>IF(_epmOfflineCondition_,0,EPMSaveDataOnly(AN494,,AN$29,AN$25,AN$26,AN$31,AN$32,$AA$37,AR$14,AR$15,AR$16,AR$17,AR$18,$X494))</f>
        <v/>
      </c>
      <c r="AS494" s="384" t="n"/>
    </row>
    <row r="495" hidden="1" ht="15.75" customHeight="1" s="1181">
      <c r="A495" s="384" t="n"/>
      <c r="B495" s="384" t="n"/>
      <c r="C495" s="384" t="n"/>
      <c r="D495" s="384" t="n"/>
      <c r="E495" s="384" t="n"/>
      <c r="F495" s="384" t="n"/>
      <c r="G495" s="384" t="n"/>
      <c r="H495" s="384" t="n"/>
      <c r="I495" s="384" t="n"/>
      <c r="J495" s="384" t="n"/>
      <c r="K495" s="384" t="n"/>
      <c r="L495" s="384" t="n"/>
      <c r="M495" s="384" t="n"/>
      <c r="N495" s="384" t="n"/>
      <c r="O495" s="384" t="n"/>
      <c r="P495" s="384" t="n"/>
      <c r="Q495" s="384" t="n"/>
      <c r="R495" s="384" t="n"/>
      <c r="S495" s="384" t="n"/>
      <c r="T495" s="384" t="n"/>
      <c r="U495" s="384" t="n"/>
      <c r="V495" s="384" t="n"/>
      <c r="W495" s="384" t="n"/>
      <c r="X495" s="645">
        <f>IF(_epmOfflineCondition_,"I_E100800",EPMOlapMemberO("[C_INTERCO].[PARENTH1].[I_E100800]","","I_E100800","","000"))</f>
        <v/>
      </c>
      <c r="Y495" s="870">
        <f>IF(_epmOfflineCondition_,"钦州京能清洁能源有限公司",EPMMemberDesc(X495))</f>
        <v/>
      </c>
      <c r="Z495" s="1302" t="n"/>
      <c r="AA495" s="1302" t="n"/>
      <c r="AB495" s="858" t="n"/>
      <c r="AC495" s="1302" t="n"/>
      <c r="AD495" s="1302" t="n"/>
      <c r="AE495" s="1302" t="inlineStr"/>
      <c r="AF495" s="1302" t="inlineStr"/>
      <c r="AG495" s="1302" t="inlineStr"/>
      <c r="AH495" s="1302" t="n"/>
      <c r="AI495" s="1302" t="n"/>
      <c r="AJ495" s="1302" t="n"/>
      <c r="AK495" s="1302">
        <f>AI495-AJ495</f>
        <v/>
      </c>
      <c r="AL495" s="858" t="n"/>
      <c r="AM495" s="1297" t="inlineStr"/>
      <c r="AN495" s="1298" t="n"/>
      <c r="AO495" s="13">
        <f>IF(_epmOfflineCondition_,0,EPMSaveDataOnly(AB495,,AB$29,AB$25,AB$26,AB$31,AB$32,$AA$37,AO$14,AO$15,AO$16,AO$17,AO$18,X495))</f>
        <v/>
      </c>
      <c r="AP495" s="13">
        <f>IF(_epmOfflineCondition_,0,EPMSaveDataOnly(AL495,,AL$29,AL$25,AL$26,AL$31,AL$32,$AA$37,AP$14,AP$15,AP$16,AP$17,AP$18,$X495))</f>
        <v/>
      </c>
      <c r="AQ495" s="13">
        <f>IF(_epmOfflineCondition_,0,EPMSaveData(AM495,,AM$29,AM$25,AM$26,$C$6,AM$32,$AA$37,AQ$14,AQ$15,AQ$16,AQ$17,AQ$18,$X495))</f>
        <v/>
      </c>
      <c r="AR495" s="13">
        <f>IF(_epmOfflineCondition_,0,EPMSaveDataOnly(AN495,,AN$29,AN$25,AN$26,AN$31,AN$32,$AA$37,AR$14,AR$15,AR$16,AR$17,AR$18,$X495))</f>
        <v/>
      </c>
      <c r="AS495" s="384" t="n"/>
    </row>
    <row r="496" hidden="1" ht="15.75" customHeight="1" s="1181">
      <c r="A496" s="384" t="n"/>
      <c r="B496" s="384" t="n"/>
      <c r="C496" s="384" t="n"/>
      <c r="D496" s="384" t="n"/>
      <c r="E496" s="384" t="n"/>
      <c r="F496" s="384" t="n"/>
      <c r="G496" s="384" t="n"/>
      <c r="H496" s="384" t="n"/>
      <c r="I496" s="384" t="n"/>
      <c r="J496" s="384" t="n"/>
      <c r="K496" s="384" t="n"/>
      <c r="L496" s="384" t="n"/>
      <c r="M496" s="384" t="n"/>
      <c r="N496" s="384" t="n"/>
      <c r="O496" s="384" t="n"/>
      <c r="P496" s="384" t="n"/>
      <c r="Q496" s="384" t="n"/>
      <c r="R496" s="384" t="n"/>
      <c r="S496" s="384" t="n"/>
      <c r="T496" s="384" t="n"/>
      <c r="U496" s="384" t="n"/>
      <c r="V496" s="384" t="n"/>
      <c r="W496" s="384" t="n"/>
      <c r="X496" s="645">
        <f>IF(_epmOfflineCondition_,"I_E100801",EPMOlapMemberO("[C_INTERCO].[PARENTH1].[I_E100801]","","I_E100801","","000"))</f>
        <v/>
      </c>
      <c r="Y496" s="870">
        <f>IF(_epmOfflineCondition_,"京能浑源清洁能源有限公司",EPMMemberDesc(X496))</f>
        <v/>
      </c>
      <c r="Z496" s="1302" t="n"/>
      <c r="AA496" s="1302" t="n"/>
      <c r="AB496" s="858" t="n"/>
      <c r="AC496" s="1302" t="n"/>
      <c r="AD496" s="1302" t="n"/>
      <c r="AE496" s="1302" t="inlineStr"/>
      <c r="AF496" s="1302" t="inlineStr"/>
      <c r="AG496" s="1302" t="inlineStr"/>
      <c r="AH496" s="1302" t="n"/>
      <c r="AI496" s="1302" t="n"/>
      <c r="AJ496" s="1302" t="n"/>
      <c r="AK496" s="1302">
        <f>AI496-AJ496</f>
        <v/>
      </c>
      <c r="AL496" s="858" t="n"/>
      <c r="AM496" s="1297" t="inlineStr"/>
      <c r="AN496" s="1298" t="n"/>
      <c r="AO496" s="13">
        <f>IF(_epmOfflineCondition_,0,EPMSaveDataOnly(AB496,,AB$29,AB$25,AB$26,AB$31,AB$32,$AA$37,AO$14,AO$15,AO$16,AO$17,AO$18,X496))</f>
        <v/>
      </c>
      <c r="AP496" s="13">
        <f>IF(_epmOfflineCondition_,0,EPMSaveDataOnly(AL496,,AL$29,AL$25,AL$26,AL$31,AL$32,$AA$37,AP$14,AP$15,AP$16,AP$17,AP$18,$X496))</f>
        <v/>
      </c>
      <c r="AQ496" s="13">
        <f>IF(_epmOfflineCondition_,0,EPMSaveData(AM496,,AM$29,AM$25,AM$26,$C$6,AM$32,$AA$37,AQ$14,AQ$15,AQ$16,AQ$17,AQ$18,$X496))</f>
        <v/>
      </c>
      <c r="AR496" s="13">
        <f>IF(_epmOfflineCondition_,0,EPMSaveDataOnly(AN496,,AN$29,AN$25,AN$26,AN$31,AN$32,$AA$37,AR$14,AR$15,AR$16,AR$17,AR$18,$X496))</f>
        <v/>
      </c>
      <c r="AS496" s="384" t="n"/>
    </row>
    <row r="497" hidden="1" ht="15.75" customHeight="1" s="1181">
      <c r="A497" s="384" t="n"/>
      <c r="B497" s="384" t="n"/>
      <c r="C497" s="384" t="n"/>
      <c r="D497" s="384" t="n"/>
      <c r="E497" s="384" t="n"/>
      <c r="F497" s="384" t="n"/>
      <c r="G497" s="384" t="n"/>
      <c r="H497" s="384" t="n"/>
      <c r="I497" s="384" t="n"/>
      <c r="J497" s="384" t="n"/>
      <c r="K497" s="384" t="n"/>
      <c r="L497" s="384" t="n"/>
      <c r="M497" s="384" t="n"/>
      <c r="N497" s="384" t="n"/>
      <c r="O497" s="384" t="n"/>
      <c r="P497" s="384" t="n"/>
      <c r="Q497" s="384" t="n"/>
      <c r="R497" s="384" t="n"/>
      <c r="S497" s="384" t="n"/>
      <c r="T497" s="384" t="n"/>
      <c r="U497" s="384" t="n"/>
      <c r="V497" s="384" t="n"/>
      <c r="W497" s="384" t="n"/>
      <c r="X497" s="645">
        <f>IF(_epmOfflineCondition_,"I_E100803",EPMOlapMemberO("[C_INTERCO].[PARENTH1].[I_E100803]","","I_E100803","","000"))</f>
        <v/>
      </c>
      <c r="Y497" s="870">
        <f>IF(_epmOfflineCondition_,"北京京能颐寿轩康养有限公司（原名东竹园康养）",EPMMemberDesc(X497))</f>
        <v/>
      </c>
      <c r="Z497" s="1302" t="n"/>
      <c r="AA497" s="1302" t="n"/>
      <c r="AB497" s="858" t="n"/>
      <c r="AC497" s="1302" t="n"/>
      <c r="AD497" s="1302" t="n"/>
      <c r="AE497" s="1302" t="inlineStr"/>
      <c r="AF497" s="1302" t="inlineStr"/>
      <c r="AG497" s="1302" t="inlineStr"/>
      <c r="AH497" s="1302" t="n"/>
      <c r="AI497" s="1302" t="n"/>
      <c r="AJ497" s="1302" t="n"/>
      <c r="AK497" s="1302">
        <f>AI497-AJ497</f>
        <v/>
      </c>
      <c r="AL497" s="858" t="n"/>
      <c r="AM497" s="1297" t="inlineStr"/>
      <c r="AN497" s="1298" t="n"/>
      <c r="AO497" s="13">
        <f>IF(_epmOfflineCondition_,0,EPMSaveDataOnly(AB497,,AB$29,AB$25,AB$26,AB$31,AB$32,$AA$37,AO$14,AO$15,AO$16,AO$17,AO$18,X497))</f>
        <v/>
      </c>
      <c r="AP497" s="13">
        <f>IF(_epmOfflineCondition_,0,EPMSaveDataOnly(AL497,,AL$29,AL$25,AL$26,AL$31,AL$32,$AA$37,AP$14,AP$15,AP$16,AP$17,AP$18,$X497))</f>
        <v/>
      </c>
      <c r="AQ497" s="13">
        <f>IF(_epmOfflineCondition_,0,EPMSaveData(AM497,,AM$29,AM$25,AM$26,$C$6,AM$32,$AA$37,AQ$14,AQ$15,AQ$16,AQ$17,AQ$18,$X497))</f>
        <v/>
      </c>
      <c r="AR497" s="13">
        <f>IF(_epmOfflineCondition_,0,EPMSaveDataOnly(AN497,,AN$29,AN$25,AN$26,AN$31,AN$32,$AA$37,AR$14,AR$15,AR$16,AR$17,AR$18,$X497))</f>
        <v/>
      </c>
      <c r="AS497" s="384" t="n"/>
    </row>
    <row r="498" hidden="1" ht="15.75" customFormat="1" customHeight="1" s="842">
      <c r="A498" s="842" t="n"/>
      <c r="B498" s="842" t="n"/>
      <c r="C498" s="842" t="n"/>
      <c r="D498" s="842" t="n"/>
      <c r="E498" s="842" t="n"/>
      <c r="F498" s="842" t="n"/>
      <c r="G498" s="842" t="n"/>
      <c r="H498" s="842" t="n"/>
      <c r="I498" s="842" t="n"/>
      <c r="J498" s="842" t="n"/>
      <c r="K498" s="842" t="n"/>
      <c r="L498" s="842" t="n"/>
      <c r="M498" s="842" t="n"/>
      <c r="N498" s="842" t="n"/>
      <c r="O498" s="842" t="n"/>
      <c r="P498" s="842" t="n"/>
      <c r="Q498" s="842" t="n"/>
      <c r="R498" s="842" t="n"/>
      <c r="S498" s="842" t="n"/>
      <c r="T498" s="842" t="n"/>
      <c r="U498" s="842" t="n"/>
      <c r="V498" s="842" t="n"/>
      <c r="W498" s="842" t="n"/>
      <c r="X498" s="645">
        <f>IF(_epmOfflineCondition_,"I_E100805",EPMOlapMemberO("[C_INTERCO].[PARENTH1].[I_E100805]","","I_E100805","","000"))</f>
        <v/>
      </c>
      <c r="Y498" s="870">
        <f>IF(_epmOfflineCondition_,"北京京能清洁能源电力股份有限公司山西分公司",EPMMemberDesc(X498))</f>
        <v/>
      </c>
      <c r="Z498" s="1302" t="n"/>
      <c r="AA498" s="1302" t="n"/>
      <c r="AB498" s="858" t="n"/>
      <c r="AC498" s="1302" t="n"/>
      <c r="AD498" s="1302" t="n"/>
      <c r="AE498" s="1302" t="inlineStr"/>
      <c r="AF498" s="1302" t="inlineStr"/>
      <c r="AG498" s="1302" t="inlineStr"/>
      <c r="AH498" s="1302" t="n"/>
      <c r="AI498" s="1302" t="n"/>
      <c r="AJ498" s="1302" t="n"/>
      <c r="AK498" s="1302">
        <f>AI498-AJ498</f>
        <v/>
      </c>
      <c r="AL498" s="858" t="n"/>
      <c r="AM498" s="1297" t="inlineStr"/>
      <c r="AN498" s="1298" t="n"/>
      <c r="AO498" s="13">
        <f>IF(_epmOfflineCondition_,0,EPMSaveDataOnly(AB498,,AB$29,AB$25,AB$26,AB$31,AB$32,$AA$37,AO$14,AO$15,AO$16,AO$17,AO$18,X498))</f>
        <v/>
      </c>
      <c r="AP498" s="13">
        <f>IF(_epmOfflineCondition_,0,EPMSaveDataOnly(AL498,,AL$29,AL$25,AL$26,AL$31,AL$32,$AA$37,AP$14,AP$15,AP$16,AP$17,AP$18,$X498))</f>
        <v/>
      </c>
      <c r="AQ498" s="13">
        <f>IF(_epmOfflineCondition_,0,EPMSaveData(AM498,,AM$29,AM$25,AM$26,$C$6,AM$32,$AA$37,AQ$14,AQ$15,AQ$16,AQ$17,AQ$18,$X498))</f>
        <v/>
      </c>
      <c r="AR498" s="13">
        <f>IF(_epmOfflineCondition_,0,EPMSaveDataOnly(AN498,,AN$29,AN$25,AN$26,AN$31,AN$32,$AA$37,AR$14,AR$15,AR$16,AR$17,AR$18,$X498))</f>
        <v/>
      </c>
      <c r="AS498" s="842" t="n"/>
    </row>
    <row r="499" hidden="1" ht="15.75" customHeight="1" s="1181">
      <c r="A499" s="384" t="n"/>
      <c r="B499" s="384" t="n"/>
      <c r="C499" s="384" t="n"/>
      <c r="D499" s="384" t="n"/>
      <c r="E499" s="384" t="n"/>
      <c r="F499" s="384" t="n"/>
      <c r="G499" s="384" t="n"/>
      <c r="H499" s="384" t="n"/>
      <c r="I499" s="384" t="n"/>
      <c r="J499" s="384" t="n"/>
      <c r="K499" s="384" t="n"/>
      <c r="L499" s="384" t="n"/>
      <c r="M499" s="384" t="n"/>
      <c r="N499" s="384" t="n"/>
      <c r="O499" s="384" t="n"/>
      <c r="P499" s="384" t="n"/>
      <c r="Q499" s="384" t="n"/>
      <c r="R499" s="384" t="n"/>
      <c r="S499" s="384" t="n"/>
      <c r="T499" s="384" t="n"/>
      <c r="U499" s="384" t="n"/>
      <c r="V499" s="384" t="n"/>
      <c r="W499" s="384" t="n"/>
      <c r="X499" s="645">
        <f>IF(_epmOfflineCondition_,"I_E100806",EPMOlapMemberO("[C_INTERCO].[PARENTH1].[I_E100806]","","I_E100806","","000"))</f>
        <v/>
      </c>
      <c r="Y499" s="870">
        <f>IF(_epmOfflineCondition_,"北京京珑置业有限公司",EPMMemberDesc(X499))</f>
        <v/>
      </c>
      <c r="Z499" s="1302" t="n"/>
      <c r="AA499" s="1302" t="n"/>
      <c r="AB499" s="858" t="n"/>
      <c r="AC499" s="1302" t="n"/>
      <c r="AD499" s="1302" t="n"/>
      <c r="AE499" s="1302" t="inlineStr"/>
      <c r="AF499" s="1302" t="inlineStr"/>
      <c r="AG499" s="1302" t="inlineStr"/>
      <c r="AH499" s="1302" t="n"/>
      <c r="AI499" s="1302" t="n"/>
      <c r="AJ499" s="1302" t="n"/>
      <c r="AK499" s="1302">
        <f>AI499-AJ499</f>
        <v/>
      </c>
      <c r="AL499" s="858" t="n"/>
      <c r="AM499" s="1297" t="inlineStr"/>
      <c r="AN499" s="1298" t="n"/>
      <c r="AO499" s="13">
        <f>IF(_epmOfflineCondition_,0,EPMSaveDataOnly(AB499,,AB$29,AB$25,AB$26,AB$31,AB$32,$AA$37,AO$14,AO$15,AO$16,AO$17,AO$18,X499))</f>
        <v/>
      </c>
      <c r="AP499" s="13">
        <f>IF(_epmOfflineCondition_,0,EPMSaveDataOnly(AL499,,AL$29,AL$25,AL$26,AL$31,AL$32,$AA$37,AP$14,AP$15,AP$16,AP$17,AP$18,$X499))</f>
        <v/>
      </c>
      <c r="AQ499" s="13">
        <f>IF(_epmOfflineCondition_,0,EPMSaveData(AM499,,AM$29,AM$25,AM$26,$C$6,AM$32,$AA$37,AQ$14,AQ$15,AQ$16,AQ$17,AQ$18,$X499))</f>
        <v/>
      </c>
      <c r="AR499" s="13">
        <f>IF(_epmOfflineCondition_,0,EPMSaveDataOnly(AN499,,AN$29,AN$25,AN$26,AN$31,AN$32,$AA$37,AR$14,AR$15,AR$16,AR$17,AR$18,$X499))</f>
        <v/>
      </c>
      <c r="AS499" s="384" t="n"/>
    </row>
    <row r="500" hidden="1" ht="15.75" customHeight="1" s="1181">
      <c r="A500" s="384" t="n"/>
      <c r="B500" s="384" t="n"/>
      <c r="C500" s="384" t="n"/>
      <c r="D500" s="384" t="n"/>
      <c r="E500" s="384" t="n"/>
      <c r="F500" s="384" t="n"/>
      <c r="G500" s="384" t="n"/>
      <c r="H500" s="384" t="n"/>
      <c r="I500" s="384" t="n"/>
      <c r="J500" s="384" t="n"/>
      <c r="K500" s="384" t="n"/>
      <c r="L500" s="384" t="n"/>
      <c r="M500" s="384" t="n"/>
      <c r="N500" s="384" t="n"/>
      <c r="O500" s="384" t="n"/>
      <c r="P500" s="384" t="n"/>
      <c r="Q500" s="384" t="n"/>
      <c r="R500" s="384" t="n"/>
      <c r="S500" s="384" t="n"/>
      <c r="T500" s="384" t="n"/>
      <c r="U500" s="384" t="n"/>
      <c r="V500" s="384" t="n"/>
      <c r="W500" s="384" t="n"/>
      <c r="X500" s="645">
        <f>IF(_epmOfflineCondition_,"I_E100808",EPMOlapMemberO("[C_INTERCO].[PARENTH1].[I_E100808]","","I_E100808","","000"))</f>
        <v/>
      </c>
      <c r="Y500" s="870">
        <f>IF(_epmOfflineCondition_,"广西平果京能联合新能源有限公司",EPMMemberDesc(X500))</f>
        <v/>
      </c>
      <c r="Z500" s="1302" t="n"/>
      <c r="AA500" s="1302" t="n"/>
      <c r="AB500" s="858" t="n"/>
      <c r="AC500" s="1302" t="n"/>
      <c r="AD500" s="1302" t="n"/>
      <c r="AE500" s="1302" t="inlineStr"/>
      <c r="AF500" s="1302" t="inlineStr"/>
      <c r="AG500" s="1302" t="inlineStr"/>
      <c r="AH500" s="1302" t="n"/>
      <c r="AI500" s="1302" t="n"/>
      <c r="AJ500" s="1302" t="n"/>
      <c r="AK500" s="1302">
        <f>AI500-AJ500</f>
        <v/>
      </c>
      <c r="AL500" s="858" t="n"/>
      <c r="AM500" s="1297" t="inlineStr"/>
      <c r="AN500" s="1298" t="n"/>
      <c r="AO500" s="13">
        <f>IF(_epmOfflineCondition_,0,EPMSaveDataOnly(AB500,,AB$29,AB$25,AB$26,AB$31,AB$32,$AA$37,AO$14,AO$15,AO$16,AO$17,AO$18,X500))</f>
        <v/>
      </c>
      <c r="AP500" s="13">
        <f>IF(_epmOfflineCondition_,0,EPMSaveDataOnly(AL500,,AL$29,AL$25,AL$26,AL$31,AL$32,$AA$37,AP$14,AP$15,AP$16,AP$17,AP$18,$X500))</f>
        <v/>
      </c>
      <c r="AQ500" s="13">
        <f>IF(_epmOfflineCondition_,0,EPMSaveData(AM500,,AM$29,AM$25,AM$26,$C$6,AM$32,$AA$37,AQ$14,AQ$15,AQ$16,AQ$17,AQ$18,$X500))</f>
        <v/>
      </c>
      <c r="AR500" s="13">
        <f>IF(_epmOfflineCondition_,0,EPMSaveDataOnly(AN500,,AN$29,AN$25,AN$26,AN$31,AN$32,$AA$37,AR$14,AR$15,AR$16,AR$17,AR$18,$X500))</f>
        <v/>
      </c>
      <c r="AS500" s="384" t="n"/>
    </row>
    <row r="501" hidden="1" ht="15.75" customHeight="1" s="1181">
      <c r="A501" s="384" t="n"/>
      <c r="B501" s="384" t="n"/>
      <c r="C501" s="384" t="n"/>
      <c r="D501" s="384" t="n"/>
      <c r="E501" s="384" t="n"/>
      <c r="F501" s="384" t="n"/>
      <c r="G501" s="384" t="n"/>
      <c r="H501" s="384" t="n"/>
      <c r="I501" s="384" t="n"/>
      <c r="J501" s="384" t="n"/>
      <c r="K501" s="384" t="n"/>
      <c r="L501" s="384" t="n"/>
      <c r="M501" s="384" t="n"/>
      <c r="N501" s="384" t="n"/>
      <c r="O501" s="384" t="n"/>
      <c r="P501" s="384" t="n"/>
      <c r="Q501" s="384" t="n"/>
      <c r="R501" s="384" t="n"/>
      <c r="S501" s="384" t="n"/>
      <c r="T501" s="384" t="n"/>
      <c r="U501" s="384" t="n"/>
      <c r="V501" s="384" t="n"/>
      <c r="W501" s="384" t="n"/>
      <c r="X501" s="645">
        <f>IF(_epmOfflineCondition_,"I_E100809",EPMOlapMemberO("[C_INTERCO].[PARENTH1].[I_E100809]","","I_E100809","","000"))</f>
        <v/>
      </c>
      <c r="Y501" s="870">
        <f>IF(_epmOfflineCondition_,"文安县京能新能源有限公司",EPMMemberDesc(X501))</f>
        <v/>
      </c>
      <c r="Z501" s="1302" t="n"/>
      <c r="AA501" s="1302" t="n"/>
      <c r="AB501" s="858" t="n"/>
      <c r="AC501" s="1302" t="n"/>
      <c r="AD501" s="1302" t="n"/>
      <c r="AE501" s="1302" t="inlineStr"/>
      <c r="AF501" s="1302" t="inlineStr"/>
      <c r="AG501" s="1302" t="inlineStr"/>
      <c r="AH501" s="1302" t="n"/>
      <c r="AI501" s="1302" t="n"/>
      <c r="AJ501" s="1302" t="n"/>
      <c r="AK501" s="1302">
        <f>AI501-AJ501</f>
        <v/>
      </c>
      <c r="AL501" s="858" t="n"/>
      <c r="AM501" s="1297" t="inlineStr"/>
      <c r="AN501" s="1298" t="n"/>
      <c r="AO501" s="13">
        <f>IF(_epmOfflineCondition_,0,EPMSaveDataOnly(AB501,,AB$29,AB$25,AB$26,AB$31,AB$32,$AA$37,AO$14,AO$15,AO$16,AO$17,AO$18,X501))</f>
        <v/>
      </c>
      <c r="AP501" s="13">
        <f>IF(_epmOfflineCondition_,0,EPMSaveDataOnly(AL501,,AL$29,AL$25,AL$26,AL$31,AL$32,$AA$37,AP$14,AP$15,AP$16,AP$17,AP$18,$X501))</f>
        <v/>
      </c>
      <c r="AQ501" s="13">
        <f>IF(_epmOfflineCondition_,0,EPMSaveData(AM501,,AM$29,AM$25,AM$26,$C$6,AM$32,$AA$37,AQ$14,AQ$15,AQ$16,AQ$17,AQ$18,$X501))</f>
        <v/>
      </c>
      <c r="AR501" s="13">
        <f>IF(_epmOfflineCondition_,0,EPMSaveDataOnly(AN501,,AN$29,AN$25,AN$26,AN$31,AN$32,$AA$37,AR$14,AR$15,AR$16,AR$17,AR$18,$X501))</f>
        <v/>
      </c>
      <c r="AS501" s="384" t="n"/>
    </row>
    <row r="502" hidden="1" ht="15.75" customHeight="1" s="1181">
      <c r="A502" s="384" t="n"/>
      <c r="B502" s="384" t="n"/>
      <c r="C502" s="384" t="n"/>
      <c r="D502" s="384" t="n"/>
      <c r="E502" s="384" t="n"/>
      <c r="F502" s="384" t="n"/>
      <c r="G502" s="384" t="n"/>
      <c r="H502" s="384" t="n"/>
      <c r="I502" s="384" t="n"/>
      <c r="J502" s="384" t="n"/>
      <c r="K502" s="384" t="n"/>
      <c r="L502" s="384" t="n"/>
      <c r="M502" s="384" t="n"/>
      <c r="N502" s="384" t="n"/>
      <c r="O502" s="384" t="n"/>
      <c r="P502" s="384" t="n"/>
      <c r="Q502" s="384" t="n"/>
      <c r="R502" s="384" t="n"/>
      <c r="S502" s="384" t="n"/>
      <c r="T502" s="384" t="n"/>
      <c r="U502" s="384" t="n"/>
      <c r="V502" s="384" t="n"/>
      <c r="W502" s="384" t="n"/>
      <c r="X502" s="645">
        <f>IF(_epmOfflineCondition_,"I_E100810",EPMOlapMemberO("[C_INTERCO].[PARENTH1].[I_E100810]","","I_E100810","","000"))</f>
        <v/>
      </c>
      <c r="Y502" s="870">
        <f>IF(_epmOfflineCondition_,"乐多港光穗（天津）投资合伙企业（有限合伙）",EPMMemberDesc(X502))</f>
        <v/>
      </c>
      <c r="Z502" s="1302" t="n"/>
      <c r="AA502" s="1302" t="n"/>
      <c r="AB502" s="858" t="n"/>
      <c r="AC502" s="1302" t="n"/>
      <c r="AD502" s="1302" t="n"/>
      <c r="AE502" s="1302" t="inlineStr"/>
      <c r="AF502" s="1302" t="inlineStr"/>
      <c r="AG502" s="1302" t="inlineStr"/>
      <c r="AH502" s="1302" t="n"/>
      <c r="AI502" s="1302" t="n"/>
      <c r="AJ502" s="1302" t="n"/>
      <c r="AK502" s="1302">
        <f>AI502-AJ502</f>
        <v/>
      </c>
      <c r="AL502" s="858" t="n"/>
      <c r="AM502" s="1297" t="inlineStr"/>
      <c r="AN502" s="1298" t="n"/>
      <c r="AO502" s="13">
        <f>IF(_epmOfflineCondition_,0,EPMSaveDataOnly(AB502,,AB$29,AB$25,AB$26,AB$31,AB$32,$AA$37,AO$14,AO$15,AO$16,AO$17,AO$18,X502))</f>
        <v/>
      </c>
      <c r="AP502" s="13">
        <f>IF(_epmOfflineCondition_,0,EPMSaveDataOnly(AL502,,AL$29,AL$25,AL$26,AL$31,AL$32,$AA$37,AP$14,AP$15,AP$16,AP$17,AP$18,$X502))</f>
        <v/>
      </c>
      <c r="AQ502" s="13">
        <f>IF(_epmOfflineCondition_,0,EPMSaveData(AM502,,AM$29,AM$25,AM$26,$C$6,AM$32,$AA$37,AQ$14,AQ$15,AQ$16,AQ$17,AQ$18,$X502))</f>
        <v/>
      </c>
      <c r="AR502" s="13">
        <f>IF(_epmOfflineCondition_,0,EPMSaveDataOnly(AN502,,AN$29,AN$25,AN$26,AN$31,AN$32,$AA$37,AR$14,AR$15,AR$16,AR$17,AR$18,$X502))</f>
        <v/>
      </c>
      <c r="AS502" s="384" t="n"/>
    </row>
    <row r="503" hidden="1" ht="15.75" customHeight="1" s="1181">
      <c r="A503" s="384" t="n"/>
      <c r="B503" s="384" t="n"/>
      <c r="C503" s="384" t="n"/>
      <c r="D503" s="384" t="n"/>
      <c r="E503" s="384" t="n"/>
      <c r="F503" s="384" t="n"/>
      <c r="G503" s="384" t="n"/>
      <c r="H503" s="384" t="n"/>
      <c r="I503" s="384" t="n"/>
      <c r="J503" s="384" t="n"/>
      <c r="K503" s="384" t="n"/>
      <c r="L503" s="384" t="n"/>
      <c r="M503" s="384" t="n"/>
      <c r="N503" s="384" t="n"/>
      <c r="O503" s="384" t="n"/>
      <c r="P503" s="384" t="n"/>
      <c r="Q503" s="384" t="n"/>
      <c r="R503" s="384" t="n"/>
      <c r="S503" s="384" t="n"/>
      <c r="T503" s="384" t="n"/>
      <c r="U503" s="384" t="n"/>
      <c r="V503" s="384" t="n"/>
      <c r="W503" s="384" t="n"/>
      <c r="X503" s="645">
        <f>IF(_epmOfflineCondition_,"I_E100811",EPMOlapMemberO("[C_INTERCO].[PARENTH1].[I_E100811]","","I_E100811","","000"))</f>
        <v/>
      </c>
      <c r="Y503" s="870">
        <f>IF(_epmOfflineCondition_,"大同市云冈区京能新能源有限公司",EPMMemberDesc(X503))</f>
        <v/>
      </c>
      <c r="Z503" s="1302" t="n"/>
      <c r="AA503" s="1302" t="n"/>
      <c r="AB503" s="858" t="n"/>
      <c r="AC503" s="1302" t="n"/>
      <c r="AD503" s="1302" t="n"/>
      <c r="AE503" s="1302" t="inlineStr"/>
      <c r="AF503" s="1302" t="inlineStr"/>
      <c r="AG503" s="1302" t="inlineStr"/>
      <c r="AH503" s="1302" t="n"/>
      <c r="AI503" s="1302" t="n"/>
      <c r="AJ503" s="1302" t="n"/>
      <c r="AK503" s="1302">
        <f>AI503-AJ503</f>
        <v/>
      </c>
      <c r="AL503" s="858" t="n"/>
      <c r="AM503" s="1297" t="inlineStr"/>
      <c r="AN503" s="1298" t="n"/>
      <c r="AO503" s="13">
        <f>IF(_epmOfflineCondition_,0,EPMSaveDataOnly(AB503,,AB$29,AB$25,AB$26,AB$31,AB$32,$AA$37,AO$14,AO$15,AO$16,AO$17,AO$18,X503))</f>
        <v/>
      </c>
      <c r="AP503" s="13">
        <f>IF(_epmOfflineCondition_,0,EPMSaveDataOnly(AL503,,AL$29,AL$25,AL$26,AL$31,AL$32,$AA$37,AP$14,AP$15,AP$16,AP$17,AP$18,$X503))</f>
        <v/>
      </c>
      <c r="AQ503" s="13">
        <f>IF(_epmOfflineCondition_,0,EPMSaveData(AM503,,AM$29,AM$25,AM$26,$C$6,AM$32,$AA$37,AQ$14,AQ$15,AQ$16,AQ$17,AQ$18,$X503))</f>
        <v/>
      </c>
      <c r="AR503" s="13">
        <f>IF(_epmOfflineCondition_,0,EPMSaveDataOnly(AN503,,AN$29,AN$25,AN$26,AN$31,AN$32,$AA$37,AR$14,AR$15,AR$16,AR$17,AR$18,$X503))</f>
        <v/>
      </c>
      <c r="AS503" s="384" t="n"/>
    </row>
    <row r="504" hidden="1" ht="15.75" customHeight="1" s="1181">
      <c r="A504" s="384" t="n"/>
      <c r="B504" s="384" t="n"/>
      <c r="C504" s="384" t="n"/>
      <c r="D504" s="384" t="n"/>
      <c r="E504" s="384" t="n"/>
      <c r="F504" s="384" t="n"/>
      <c r="G504" s="384" t="n"/>
      <c r="H504" s="384" t="n"/>
      <c r="I504" s="384" t="n"/>
      <c r="J504" s="384" t="n"/>
      <c r="K504" s="384" t="n"/>
      <c r="L504" s="384" t="n"/>
      <c r="M504" s="384" t="n"/>
      <c r="N504" s="384" t="n"/>
      <c r="O504" s="384" t="n"/>
      <c r="P504" s="384" t="n"/>
      <c r="Q504" s="384" t="n"/>
      <c r="R504" s="384" t="n"/>
      <c r="S504" s="384" t="n"/>
      <c r="T504" s="384" t="n"/>
      <c r="U504" s="384" t="n"/>
      <c r="V504" s="384" t="n"/>
      <c r="W504" s="384" t="n"/>
      <c r="X504" s="645">
        <f>IF(_epmOfflineCondition_,"I_E100812",EPMOlapMemberO("[C_INTERCO].[PARENTH1].[I_E100812]","","I_E100812","","000"))</f>
        <v/>
      </c>
      <c r="Y504" s="870">
        <f>IF(_epmOfflineCondition_,"南昌京能富蓝新能源有限公司",EPMMemberDesc(X504))</f>
        <v/>
      </c>
      <c r="Z504" s="1302" t="n"/>
      <c r="AA504" s="1302" t="n"/>
      <c r="AB504" s="858" t="n"/>
      <c r="AC504" s="1302" t="n"/>
      <c r="AD504" s="1302" t="n"/>
      <c r="AE504" s="1302" t="inlineStr"/>
      <c r="AF504" s="1302" t="inlineStr"/>
      <c r="AG504" s="1302" t="inlineStr"/>
      <c r="AH504" s="1302" t="n"/>
      <c r="AI504" s="1302" t="n"/>
      <c r="AJ504" s="1302" t="n"/>
      <c r="AK504" s="1302">
        <f>AI504-AJ504</f>
        <v/>
      </c>
      <c r="AL504" s="858" t="n"/>
      <c r="AM504" s="1297" t="inlineStr"/>
      <c r="AN504" s="1298" t="n"/>
      <c r="AO504" s="13">
        <f>IF(_epmOfflineCondition_,0,EPMSaveDataOnly(AB504,,AB$29,AB$25,AB$26,AB$31,AB$32,$AA$37,AO$14,AO$15,AO$16,AO$17,AO$18,X504))</f>
        <v/>
      </c>
      <c r="AP504" s="13">
        <f>IF(_epmOfflineCondition_,0,EPMSaveDataOnly(AL504,,AL$29,AL$25,AL$26,AL$31,AL$32,$AA$37,AP$14,AP$15,AP$16,AP$17,AP$18,$X504))</f>
        <v/>
      </c>
      <c r="AQ504" s="13">
        <f>IF(_epmOfflineCondition_,0,EPMSaveData(AM504,,AM$29,AM$25,AM$26,$C$6,AM$32,$AA$37,AQ$14,AQ$15,AQ$16,AQ$17,AQ$18,$X504))</f>
        <v/>
      </c>
      <c r="AR504" s="13">
        <f>IF(_epmOfflineCondition_,0,EPMSaveDataOnly(AN504,,AN$29,AN$25,AN$26,AN$31,AN$32,$AA$37,AR$14,AR$15,AR$16,AR$17,AR$18,$X504))</f>
        <v/>
      </c>
      <c r="AS504" s="384" t="n"/>
    </row>
    <row r="505" hidden="1" ht="15.75" customHeight="1" s="1181">
      <c r="A505" s="384" t="n"/>
      <c r="B505" s="384" t="n"/>
      <c r="C505" s="384" t="n"/>
      <c r="D505" s="384" t="n"/>
      <c r="E505" s="384" t="n"/>
      <c r="F505" s="384" t="n"/>
      <c r="G505" s="384" t="n"/>
      <c r="H505" s="384" t="n"/>
      <c r="I505" s="384" t="n"/>
      <c r="J505" s="384" t="n"/>
      <c r="K505" s="384" t="n"/>
      <c r="L505" s="384" t="n"/>
      <c r="M505" s="384" t="n"/>
      <c r="N505" s="384" t="n"/>
      <c r="O505" s="384" t="n"/>
      <c r="P505" s="384" t="n"/>
      <c r="Q505" s="384" t="n"/>
      <c r="R505" s="384" t="n"/>
      <c r="S505" s="384" t="n"/>
      <c r="T505" s="384" t="n"/>
      <c r="U505" s="384" t="n"/>
      <c r="V505" s="384" t="n"/>
      <c r="W505" s="384" t="n"/>
      <c r="X505" s="645">
        <f>IF(_epmOfflineCondition_,"I_E100813",EPMOlapMemberO("[C_INTERCO].[PARENTH1].[I_E100813]","","I_E100813","","000"))</f>
        <v/>
      </c>
      <c r="Y505" s="870">
        <f>IF(_epmOfflineCondition_,"茶陵京能新能源有限公司",EPMMemberDesc(X505))</f>
        <v/>
      </c>
      <c r="Z505" s="1302" t="n"/>
      <c r="AA505" s="1302" t="n"/>
      <c r="AB505" s="858" t="n"/>
      <c r="AC505" s="1302" t="n"/>
      <c r="AD505" s="1302" t="n"/>
      <c r="AE505" s="1302" t="inlineStr"/>
      <c r="AF505" s="1302" t="inlineStr"/>
      <c r="AG505" s="1302" t="inlineStr"/>
      <c r="AH505" s="1302" t="n"/>
      <c r="AI505" s="1302" t="n"/>
      <c r="AJ505" s="1302" t="n"/>
      <c r="AK505" s="1302">
        <f>AI505-AJ505</f>
        <v/>
      </c>
      <c r="AL505" s="858" t="n"/>
      <c r="AM505" s="1297" t="inlineStr"/>
      <c r="AN505" s="1298" t="n"/>
      <c r="AO505" s="13">
        <f>IF(_epmOfflineCondition_,0,EPMSaveDataOnly(AB505,,AB$29,AB$25,AB$26,AB$31,AB$32,$AA$37,AO$14,AO$15,AO$16,AO$17,AO$18,X505))</f>
        <v/>
      </c>
      <c r="AP505" s="13">
        <f>IF(_epmOfflineCondition_,0,EPMSaveDataOnly(AL505,,AL$29,AL$25,AL$26,AL$31,AL$32,$AA$37,AP$14,AP$15,AP$16,AP$17,AP$18,$X505))</f>
        <v/>
      </c>
      <c r="AQ505" s="13">
        <f>IF(_epmOfflineCondition_,0,EPMSaveData(AM505,,AM$29,AM$25,AM$26,$C$6,AM$32,$AA$37,AQ$14,AQ$15,AQ$16,AQ$17,AQ$18,$X505))</f>
        <v/>
      </c>
      <c r="AR505" s="13">
        <f>IF(_epmOfflineCondition_,0,EPMSaveDataOnly(AN505,,AN$29,AN$25,AN$26,AN$31,AN$32,$AA$37,AR$14,AR$15,AR$16,AR$17,AR$18,$X505))</f>
        <v/>
      </c>
      <c r="AS505" s="384" t="n"/>
    </row>
    <row r="506" hidden="1" ht="15.75" customHeight="1" s="1181">
      <c r="A506" s="384" t="n"/>
      <c r="B506" s="384" t="n"/>
      <c r="C506" s="384" t="n"/>
      <c r="D506" s="384" t="n"/>
      <c r="E506" s="384" t="n"/>
      <c r="F506" s="384" t="n"/>
      <c r="G506" s="384" t="n"/>
      <c r="H506" s="384" t="n"/>
      <c r="I506" s="384" t="n"/>
      <c r="J506" s="384" t="n"/>
      <c r="K506" s="384" t="n"/>
      <c r="L506" s="384" t="n"/>
      <c r="M506" s="384" t="n"/>
      <c r="N506" s="384" t="n"/>
      <c r="O506" s="384" t="n"/>
      <c r="P506" s="384" t="n"/>
      <c r="Q506" s="384" t="n"/>
      <c r="R506" s="384" t="n"/>
      <c r="S506" s="384" t="n"/>
      <c r="T506" s="384" t="n"/>
      <c r="U506" s="384" t="n"/>
      <c r="V506" s="384" t="n"/>
      <c r="W506" s="384" t="n"/>
      <c r="X506" s="645">
        <f>IF(_epmOfflineCondition_,"I_E100814",EPMOlapMemberO("[C_INTERCO].[PARENTH1].[I_E100814]","","I_E100814","","000"))</f>
        <v/>
      </c>
      <c r="Y506" s="870">
        <f>IF(_epmOfflineCondition_,"北京诚和敬投资有限责任公司",EPMMemberDesc(X506))</f>
        <v/>
      </c>
      <c r="Z506" s="1302" t="n"/>
      <c r="AA506" s="1302" t="n"/>
      <c r="AB506" s="858" t="n"/>
      <c r="AC506" s="1302" t="n"/>
      <c r="AD506" s="1302" t="n"/>
      <c r="AE506" s="1302" t="inlineStr"/>
      <c r="AF506" s="1302" t="inlineStr"/>
      <c r="AG506" s="1302" t="inlineStr"/>
      <c r="AH506" s="1302" t="n"/>
      <c r="AI506" s="1302" t="n"/>
      <c r="AJ506" s="1302" t="n"/>
      <c r="AK506" s="1302">
        <f>AI506-AJ506</f>
        <v/>
      </c>
      <c r="AL506" s="858" t="n"/>
      <c r="AM506" s="1297" t="inlineStr"/>
      <c r="AN506" s="1298" t="n"/>
      <c r="AO506" s="13">
        <f>IF(_epmOfflineCondition_,0,EPMSaveDataOnly(AB506,,AB$29,AB$25,AB$26,AB$31,AB$32,$AA$37,AO$14,AO$15,AO$16,AO$17,AO$18,X506))</f>
        <v/>
      </c>
      <c r="AP506" s="13">
        <f>IF(_epmOfflineCondition_,0,EPMSaveDataOnly(AL506,,AL$29,AL$25,AL$26,AL$31,AL$32,$AA$37,AP$14,AP$15,AP$16,AP$17,AP$18,$X506))</f>
        <v/>
      </c>
      <c r="AQ506" s="13">
        <f>IF(_epmOfflineCondition_,0,EPMSaveData(AM506,,AM$29,AM$25,AM$26,$C$6,AM$32,$AA$37,AQ$14,AQ$15,AQ$16,AQ$17,AQ$18,$X506))</f>
        <v/>
      </c>
      <c r="AR506" s="13">
        <f>IF(_epmOfflineCondition_,0,EPMSaveDataOnly(AN506,,AN$29,AN$25,AN$26,AN$31,AN$32,$AA$37,AR$14,AR$15,AR$16,AR$17,AR$18,$X506))</f>
        <v/>
      </c>
      <c r="AS506" s="384" t="n"/>
    </row>
    <row r="507" hidden="1" ht="15.75" customHeight="1" s="1181">
      <c r="A507" s="384" t="n"/>
      <c r="B507" s="384" t="n"/>
      <c r="C507" s="384" t="n"/>
      <c r="D507" s="384" t="n"/>
      <c r="E507" s="384" t="n"/>
      <c r="F507" s="384" t="n"/>
      <c r="G507" s="384" t="n"/>
      <c r="H507" s="384" t="n"/>
      <c r="I507" s="384" t="n"/>
      <c r="J507" s="384" t="n"/>
      <c r="K507" s="384" t="n"/>
      <c r="L507" s="384" t="n"/>
      <c r="M507" s="384" t="n"/>
      <c r="N507" s="384" t="n"/>
      <c r="O507" s="384" t="n"/>
      <c r="P507" s="384" t="n"/>
      <c r="Q507" s="384" t="n"/>
      <c r="R507" s="384" t="n"/>
      <c r="S507" s="384" t="n"/>
      <c r="T507" s="384" t="n"/>
      <c r="U507" s="384" t="n"/>
      <c r="V507" s="384" t="n"/>
      <c r="W507" s="384" t="n"/>
      <c r="X507" s="645">
        <f>IF(_epmOfflineCondition_,"I_E100815",EPMOlapMemberO("[C_INTERCO].[PARENTH1].[I_E100815]","","I_E100815","","000"))</f>
        <v/>
      </c>
      <c r="Y507" s="870">
        <f>IF(_epmOfflineCondition_,"东源县顺风光电科技有限公司",EPMMemberDesc(X507))</f>
        <v/>
      </c>
      <c r="Z507" s="1302" t="n"/>
      <c r="AA507" s="1302" t="n"/>
      <c r="AB507" s="858" t="n"/>
      <c r="AC507" s="1302" t="n"/>
      <c r="AD507" s="1302" t="n"/>
      <c r="AE507" s="1302" t="inlineStr"/>
      <c r="AF507" s="1302" t="inlineStr"/>
      <c r="AG507" s="1302" t="inlineStr"/>
      <c r="AH507" s="1302" t="n"/>
      <c r="AI507" s="1302" t="n"/>
      <c r="AJ507" s="1302" t="n"/>
      <c r="AK507" s="1302">
        <f>AI507-AJ507</f>
        <v/>
      </c>
      <c r="AL507" s="858" t="n"/>
      <c r="AM507" s="1297" t="inlineStr"/>
      <c r="AN507" s="1298" t="n"/>
      <c r="AO507" s="13">
        <f>IF(_epmOfflineCondition_,0,EPMSaveDataOnly(AB507,,AB$29,AB$25,AB$26,AB$31,AB$32,$AA$37,AO$14,AO$15,AO$16,AO$17,AO$18,X507))</f>
        <v/>
      </c>
      <c r="AP507" s="13">
        <f>IF(_epmOfflineCondition_,0,EPMSaveDataOnly(AL507,,AL$29,AL$25,AL$26,AL$31,AL$32,$AA$37,AP$14,AP$15,AP$16,AP$17,AP$18,$X507))</f>
        <v/>
      </c>
      <c r="AQ507" s="13">
        <f>IF(_epmOfflineCondition_,0,EPMSaveData(AM507,,AM$29,AM$25,AM$26,$C$6,AM$32,$AA$37,AQ$14,AQ$15,AQ$16,AQ$17,AQ$18,$X507))</f>
        <v/>
      </c>
      <c r="AR507" s="13">
        <f>IF(_epmOfflineCondition_,0,EPMSaveDataOnly(AN507,,AN$29,AN$25,AN$26,AN$31,AN$32,$AA$37,AR$14,AR$15,AR$16,AR$17,AR$18,$X507))</f>
        <v/>
      </c>
      <c r="AS507" s="384" t="n"/>
    </row>
    <row r="508" hidden="1" ht="15.75" customHeight="1" s="1181">
      <c r="A508" s="384" t="n"/>
      <c r="B508" s="384" t="n"/>
      <c r="C508" s="384" t="n"/>
      <c r="D508" s="384" t="n"/>
      <c r="E508" s="384" t="n"/>
      <c r="F508" s="384" t="n"/>
      <c r="G508" s="384" t="n"/>
      <c r="H508" s="384" t="n"/>
      <c r="I508" s="384" t="n"/>
      <c r="J508" s="384" t="n"/>
      <c r="K508" s="384" t="n"/>
      <c r="L508" s="384" t="n"/>
      <c r="M508" s="384" t="n"/>
      <c r="N508" s="384" t="n"/>
      <c r="O508" s="384" t="n"/>
      <c r="P508" s="384" t="n"/>
      <c r="Q508" s="384" t="n"/>
      <c r="R508" s="384" t="n"/>
      <c r="S508" s="384" t="n"/>
      <c r="T508" s="384" t="n"/>
      <c r="U508" s="384" t="n"/>
      <c r="V508" s="384" t="n"/>
      <c r="W508" s="384" t="n"/>
      <c r="X508" s="645">
        <f>IF(_epmOfflineCondition_,"I_E100816",EPMOlapMemberO("[C_INTERCO].[PARENTH1].[I_E100816]","","I_E100816","","000"))</f>
        <v/>
      </c>
      <c r="Y508" s="870">
        <f>IF(_epmOfflineCondition_,"京能翎碳（上海）综合能源服务有限公司",EPMMemberDesc(X508))</f>
        <v/>
      </c>
      <c r="Z508" s="1302" t="n"/>
      <c r="AA508" s="1302" t="n"/>
      <c r="AB508" s="858" t="n"/>
      <c r="AC508" s="1302" t="n"/>
      <c r="AD508" s="1302" t="n"/>
      <c r="AE508" s="1302" t="inlineStr"/>
      <c r="AF508" s="1302" t="inlineStr"/>
      <c r="AG508" s="1302" t="inlineStr"/>
      <c r="AH508" s="1302" t="n"/>
      <c r="AI508" s="1302" t="n"/>
      <c r="AJ508" s="1302" t="n"/>
      <c r="AK508" s="1302">
        <f>AI508-AJ508</f>
        <v/>
      </c>
      <c r="AL508" s="858" t="n"/>
      <c r="AM508" s="1297" t="inlineStr"/>
      <c r="AN508" s="1298" t="n"/>
      <c r="AO508" s="13">
        <f>IF(_epmOfflineCondition_,0,EPMSaveDataOnly(AB508,,AB$29,AB$25,AB$26,AB$31,AB$32,$AA$37,AO$14,AO$15,AO$16,AO$17,AO$18,X508))</f>
        <v/>
      </c>
      <c r="AP508" s="13">
        <f>IF(_epmOfflineCondition_,0,EPMSaveDataOnly(AL508,,AL$29,AL$25,AL$26,AL$31,AL$32,$AA$37,AP$14,AP$15,AP$16,AP$17,AP$18,$X508))</f>
        <v/>
      </c>
      <c r="AQ508" s="13">
        <f>IF(_epmOfflineCondition_,0,EPMSaveData(AM508,,AM$29,AM$25,AM$26,$C$6,AM$32,$AA$37,AQ$14,AQ$15,AQ$16,AQ$17,AQ$18,$X508))</f>
        <v/>
      </c>
      <c r="AR508" s="13">
        <f>IF(_epmOfflineCondition_,0,EPMSaveDataOnly(AN508,,AN$29,AN$25,AN$26,AN$31,AN$32,$AA$37,AR$14,AR$15,AR$16,AR$17,AR$18,$X508))</f>
        <v/>
      </c>
      <c r="AS508" s="384" t="n"/>
    </row>
    <row r="509" hidden="1" ht="15.75" customHeight="1" s="1181">
      <c r="A509" s="384" t="n"/>
      <c r="B509" s="384" t="n"/>
      <c r="C509" s="384" t="n"/>
      <c r="D509" s="384" t="n"/>
      <c r="E509" s="384" t="n"/>
      <c r="F509" s="384" t="n"/>
      <c r="G509" s="384" t="n"/>
      <c r="H509" s="384" t="n"/>
      <c r="I509" s="384" t="n"/>
      <c r="J509" s="384" t="n"/>
      <c r="K509" s="384" t="n"/>
      <c r="L509" s="384" t="n"/>
      <c r="M509" s="384" t="n"/>
      <c r="N509" s="384" t="n"/>
      <c r="O509" s="384" t="n"/>
      <c r="P509" s="384" t="n"/>
      <c r="Q509" s="384" t="n"/>
      <c r="R509" s="384" t="n"/>
      <c r="S509" s="384" t="n"/>
      <c r="T509" s="384" t="n"/>
      <c r="U509" s="384" t="n"/>
      <c r="V509" s="384" t="n"/>
      <c r="W509" s="384" t="n"/>
      <c r="X509" s="645">
        <f>IF(_epmOfflineCondition_,"I_E100817",EPMOlapMemberO("[C_INTERCO].[PARENTH1].[I_E100817]","","I_E100817","","000"))</f>
        <v/>
      </c>
      <c r="Y509" s="870">
        <f>IF(_epmOfflineCondition_,"京能联合（琼海）新能源有限公司",EPMMemberDesc(X509))</f>
        <v/>
      </c>
      <c r="Z509" s="1302" t="n"/>
      <c r="AA509" s="1302" t="n"/>
      <c r="AB509" s="858" t="n"/>
      <c r="AC509" s="1302" t="n"/>
      <c r="AD509" s="1302" t="n"/>
      <c r="AE509" s="1302" t="inlineStr"/>
      <c r="AF509" s="1302" t="inlineStr"/>
      <c r="AG509" s="1302" t="inlineStr"/>
      <c r="AH509" s="1302" t="n"/>
      <c r="AI509" s="1302" t="n"/>
      <c r="AJ509" s="1302" t="n"/>
      <c r="AK509" s="1302">
        <f>AI509-AJ509</f>
        <v/>
      </c>
      <c r="AL509" s="858" t="n"/>
      <c r="AM509" s="1297" t="inlineStr"/>
      <c r="AN509" s="1298" t="n"/>
      <c r="AO509" s="13">
        <f>IF(_epmOfflineCondition_,0,EPMSaveDataOnly(AB509,,AB$29,AB$25,AB$26,AB$31,AB$32,$AA$37,AO$14,AO$15,AO$16,AO$17,AO$18,X509))</f>
        <v/>
      </c>
      <c r="AP509" s="13">
        <f>IF(_epmOfflineCondition_,0,EPMSaveDataOnly(AL509,,AL$29,AL$25,AL$26,AL$31,AL$32,$AA$37,AP$14,AP$15,AP$16,AP$17,AP$18,$X509))</f>
        <v/>
      </c>
      <c r="AQ509" s="13">
        <f>IF(_epmOfflineCondition_,0,EPMSaveData(AM509,,AM$29,AM$25,AM$26,$C$6,AM$32,$AA$37,AQ$14,AQ$15,AQ$16,AQ$17,AQ$18,$X509))</f>
        <v/>
      </c>
      <c r="AR509" s="13">
        <f>IF(_epmOfflineCondition_,0,EPMSaveDataOnly(AN509,,AN$29,AN$25,AN$26,AN$31,AN$32,$AA$37,AR$14,AR$15,AR$16,AR$17,AR$18,$X509))</f>
        <v/>
      </c>
      <c r="AS509" s="384" t="n"/>
    </row>
    <row r="510" hidden="1" ht="15.75" customHeight="1" s="1181">
      <c r="A510" s="384" t="n"/>
      <c r="B510" s="384" t="n"/>
      <c r="C510" s="384" t="n"/>
      <c r="D510" s="384" t="n"/>
      <c r="E510" s="384" t="n"/>
      <c r="F510" s="384" t="n"/>
      <c r="G510" s="384" t="n"/>
      <c r="H510" s="384" t="n"/>
      <c r="I510" s="384" t="n"/>
      <c r="J510" s="384" t="n"/>
      <c r="K510" s="384" t="n"/>
      <c r="L510" s="384" t="n"/>
      <c r="M510" s="384" t="n"/>
      <c r="N510" s="384" t="n"/>
      <c r="O510" s="384" t="n"/>
      <c r="P510" s="384" t="n"/>
      <c r="Q510" s="384" t="n"/>
      <c r="R510" s="384" t="n"/>
      <c r="S510" s="384" t="n"/>
      <c r="T510" s="384" t="n"/>
      <c r="U510" s="384" t="n"/>
      <c r="V510" s="384" t="n"/>
      <c r="W510" s="384" t="n"/>
      <c r="X510" s="645">
        <f>IF(_epmOfflineCondition_,"I_E100818",EPMOlapMemberO("[C_INTERCO].[PARENTH1].[I_E100818]","","I_E100818","","000"))</f>
        <v/>
      </c>
      <c r="Y510" s="870">
        <f>IF(_epmOfflineCondition_,"天津京能东棘坨清洁能源有限公司",EPMMemberDesc(X510))</f>
        <v/>
      </c>
      <c r="Z510" s="1302" t="n"/>
      <c r="AA510" s="1302" t="n"/>
      <c r="AB510" s="858" t="n"/>
      <c r="AC510" s="1302" t="n"/>
      <c r="AD510" s="1302" t="n"/>
      <c r="AE510" s="1302" t="inlineStr"/>
      <c r="AF510" s="1302" t="inlineStr"/>
      <c r="AG510" s="1302" t="inlineStr"/>
      <c r="AH510" s="1302" t="n"/>
      <c r="AI510" s="1302" t="n"/>
      <c r="AJ510" s="1302" t="n"/>
      <c r="AK510" s="1302">
        <f>AI510-AJ510</f>
        <v/>
      </c>
      <c r="AL510" s="858" t="n"/>
      <c r="AM510" s="1297" t="inlineStr"/>
      <c r="AN510" s="1298" t="n"/>
      <c r="AO510" s="13">
        <f>IF(_epmOfflineCondition_,0,EPMSaveDataOnly(AB510,,AB$29,AB$25,AB$26,AB$31,AB$32,$AA$37,AO$14,AO$15,AO$16,AO$17,AO$18,X510))</f>
        <v/>
      </c>
      <c r="AP510" s="13">
        <f>IF(_epmOfflineCondition_,0,EPMSaveDataOnly(AL510,,AL$29,AL$25,AL$26,AL$31,AL$32,$AA$37,AP$14,AP$15,AP$16,AP$17,AP$18,$X510))</f>
        <v/>
      </c>
      <c r="AQ510" s="13">
        <f>IF(_epmOfflineCondition_,0,EPMSaveData(AM510,,AM$29,AM$25,AM$26,$C$6,AM$32,$AA$37,AQ$14,AQ$15,AQ$16,AQ$17,AQ$18,$X510))</f>
        <v/>
      </c>
      <c r="AR510" s="13">
        <f>IF(_epmOfflineCondition_,0,EPMSaveDataOnly(AN510,,AN$29,AN$25,AN$26,AN$31,AN$32,$AA$37,AR$14,AR$15,AR$16,AR$17,AR$18,$X510))</f>
        <v/>
      </c>
      <c r="AS510" s="384" t="n"/>
    </row>
    <row r="511" hidden="1" ht="15.75" customHeight="1" s="1181">
      <c r="A511" s="384" t="n"/>
      <c r="B511" s="384" t="n"/>
      <c r="C511" s="384" t="n"/>
      <c r="D511" s="384" t="n"/>
      <c r="E511" s="384" t="n"/>
      <c r="F511" s="384" t="n"/>
      <c r="G511" s="384" t="n"/>
      <c r="H511" s="384" t="n"/>
      <c r="I511" s="384" t="n"/>
      <c r="J511" s="384" t="n"/>
      <c r="K511" s="384" t="n"/>
      <c r="L511" s="384" t="n"/>
      <c r="M511" s="384" t="n"/>
      <c r="N511" s="384" t="n"/>
      <c r="O511" s="384" t="n"/>
      <c r="P511" s="384" t="n"/>
      <c r="Q511" s="384" t="n"/>
      <c r="R511" s="384" t="n"/>
      <c r="S511" s="384" t="n"/>
      <c r="T511" s="384" t="n"/>
      <c r="U511" s="384" t="n"/>
      <c r="V511" s="384" t="n"/>
      <c r="W511" s="384" t="n"/>
      <c r="X511" s="645">
        <f>IF(_epmOfflineCondition_,"I_E100819",EPMOlapMemberO("[C_INTERCO].[PARENTH1].[I_E100819]","","I_E100819","","000"))</f>
        <v/>
      </c>
      <c r="Y511" s="870">
        <f>IF(_epmOfflineCondition_,"宁夏京能宁东新能源有限公司",EPMMemberDesc(X511))</f>
        <v/>
      </c>
      <c r="Z511" s="1302" t="n"/>
      <c r="AA511" s="1302" t="n"/>
      <c r="AB511" s="858" t="n"/>
      <c r="AC511" s="1302" t="n"/>
      <c r="AD511" s="1302" t="n"/>
      <c r="AE511" s="1302" t="inlineStr"/>
      <c r="AF511" s="1302" t="inlineStr"/>
      <c r="AG511" s="1302" t="inlineStr"/>
      <c r="AH511" s="1302" t="n"/>
      <c r="AI511" s="1302" t="n"/>
      <c r="AJ511" s="1302" t="n"/>
      <c r="AK511" s="1302">
        <f>AI511-AJ511</f>
        <v/>
      </c>
      <c r="AL511" s="858" t="n"/>
      <c r="AM511" s="1297" t="inlineStr"/>
      <c r="AN511" s="1298" t="n"/>
      <c r="AO511" s="13">
        <f>IF(_epmOfflineCondition_,0,EPMSaveDataOnly(AB511,,AB$29,AB$25,AB$26,AB$31,AB$32,$AA$37,AO$14,AO$15,AO$16,AO$17,AO$18,X511))</f>
        <v/>
      </c>
      <c r="AP511" s="13">
        <f>IF(_epmOfflineCondition_,0,EPMSaveDataOnly(AL511,,AL$29,AL$25,AL$26,AL$31,AL$32,$AA$37,AP$14,AP$15,AP$16,AP$17,AP$18,$X511))</f>
        <v/>
      </c>
      <c r="AQ511" s="13">
        <f>IF(_epmOfflineCondition_,0,EPMSaveData(AM511,,AM$29,AM$25,AM$26,$C$6,AM$32,$AA$37,AQ$14,AQ$15,AQ$16,AQ$17,AQ$18,$X511))</f>
        <v/>
      </c>
      <c r="AR511" s="13">
        <f>IF(_epmOfflineCondition_,0,EPMSaveDataOnly(AN511,,AN$29,AN$25,AN$26,AN$31,AN$32,$AA$37,AR$14,AR$15,AR$16,AR$17,AR$18,$X511))</f>
        <v/>
      </c>
      <c r="AS511" s="384" t="n"/>
    </row>
    <row r="512" hidden="1" ht="15.75" customHeight="1" s="1181">
      <c r="A512" s="384" t="n"/>
      <c r="B512" s="384" t="n"/>
      <c r="C512" s="384" t="n"/>
      <c r="D512" s="384" t="n"/>
      <c r="E512" s="384" t="n"/>
      <c r="F512" s="384" t="n"/>
      <c r="G512" s="384" t="n"/>
      <c r="H512" s="384" t="n"/>
      <c r="I512" s="384" t="n"/>
      <c r="J512" s="384" t="n"/>
      <c r="K512" s="384" t="n"/>
      <c r="L512" s="384" t="n"/>
      <c r="M512" s="384" t="n"/>
      <c r="N512" s="384" t="n"/>
      <c r="O512" s="384" t="n"/>
      <c r="P512" s="384" t="n"/>
      <c r="Q512" s="384" t="n"/>
      <c r="R512" s="384" t="n"/>
      <c r="S512" s="384" t="n"/>
      <c r="T512" s="384" t="n"/>
      <c r="U512" s="384" t="n"/>
      <c r="V512" s="384" t="n"/>
      <c r="W512" s="384" t="n"/>
      <c r="X512" s="645">
        <f>IF(_epmOfflineCondition_,"I_E100820",EPMOlapMemberO("[C_INTERCO].[PARENTH1].[I_E100820]","","I_E100820","","000"))</f>
        <v/>
      </c>
      <c r="Y512" s="870">
        <f>IF(_epmOfflineCondition_,"正蓝旗国电光伏发电有限公司",EPMMemberDesc(X512))</f>
        <v/>
      </c>
      <c r="Z512" s="1302" t="n"/>
      <c r="AA512" s="1302" t="n"/>
      <c r="AB512" s="858" t="n"/>
      <c r="AC512" s="1302" t="n"/>
      <c r="AD512" s="1302" t="n"/>
      <c r="AE512" s="1302" t="inlineStr"/>
      <c r="AF512" s="1302" t="inlineStr"/>
      <c r="AG512" s="1302" t="inlineStr"/>
      <c r="AH512" s="1302" t="n"/>
      <c r="AI512" s="1302" t="n"/>
      <c r="AJ512" s="1302" t="n"/>
      <c r="AK512" s="1302">
        <f>AI512-AJ512</f>
        <v/>
      </c>
      <c r="AL512" s="858" t="n"/>
      <c r="AM512" s="1297" t="inlineStr"/>
      <c r="AN512" s="1298" t="n"/>
      <c r="AO512" s="13">
        <f>IF(_epmOfflineCondition_,0,EPMSaveDataOnly(AB512,,AB$29,AB$25,AB$26,AB$31,AB$32,$AA$37,AO$14,AO$15,AO$16,AO$17,AO$18,X512))</f>
        <v/>
      </c>
      <c r="AP512" s="13">
        <f>IF(_epmOfflineCondition_,0,EPMSaveDataOnly(AL512,,AL$29,AL$25,AL$26,AL$31,AL$32,$AA$37,AP$14,AP$15,AP$16,AP$17,AP$18,$X512))</f>
        <v/>
      </c>
      <c r="AQ512" s="13">
        <f>IF(_epmOfflineCondition_,0,EPMSaveData(AM512,,AM$29,AM$25,AM$26,$C$6,AM$32,$AA$37,AQ$14,AQ$15,AQ$16,AQ$17,AQ$18,$X512))</f>
        <v/>
      </c>
      <c r="AR512" s="13">
        <f>IF(_epmOfflineCondition_,0,EPMSaveDataOnly(AN512,,AN$29,AN$25,AN$26,AN$31,AN$32,$AA$37,AR$14,AR$15,AR$16,AR$17,AR$18,$X512))</f>
        <v/>
      </c>
      <c r="AS512" s="384" t="n"/>
    </row>
    <row r="513" hidden="1" ht="15.75" customHeight="1" s="1181">
      <c r="A513" s="384" t="n"/>
      <c r="B513" s="384" t="n"/>
      <c r="C513" s="384" t="n"/>
      <c r="D513" s="384" t="n"/>
      <c r="E513" s="384" t="n"/>
      <c r="F513" s="384" t="n"/>
      <c r="G513" s="384" t="n"/>
      <c r="H513" s="384" t="n"/>
      <c r="I513" s="384" t="n"/>
      <c r="J513" s="384" t="n"/>
      <c r="K513" s="384" t="n"/>
      <c r="L513" s="384" t="n"/>
      <c r="M513" s="384" t="n"/>
      <c r="N513" s="384" t="n"/>
      <c r="O513" s="384" t="n"/>
      <c r="P513" s="384" t="n"/>
      <c r="Q513" s="384" t="n"/>
      <c r="R513" s="384" t="n"/>
      <c r="S513" s="384" t="n"/>
      <c r="T513" s="384" t="n"/>
      <c r="U513" s="384" t="n"/>
      <c r="V513" s="384" t="n"/>
      <c r="W513" s="384" t="n"/>
      <c r="X513" s="645">
        <f>IF(_epmOfflineCondition_,"I_E100821",EPMOlapMemberO("[C_INTERCO].[PARENTH1].[I_E100821]","","I_E100821","","000"))</f>
        <v/>
      </c>
      <c r="Y513" s="870">
        <f>IF(_epmOfflineCondition_,"德州市陵城区乾超兄弟能源科技有限公司",EPMMemberDesc(X513))</f>
        <v/>
      </c>
      <c r="Z513" s="1302" t="n"/>
      <c r="AA513" s="1302" t="n"/>
      <c r="AB513" s="858" t="n"/>
      <c r="AC513" s="1302" t="n"/>
      <c r="AD513" s="1302" t="n"/>
      <c r="AE513" s="1302" t="inlineStr"/>
      <c r="AF513" s="1302" t="inlineStr"/>
      <c r="AG513" s="1302" t="inlineStr"/>
      <c r="AH513" s="1302" t="n"/>
      <c r="AI513" s="1302" t="n"/>
      <c r="AJ513" s="1302" t="n"/>
      <c r="AK513" s="1302">
        <f>AI513-AJ513</f>
        <v/>
      </c>
      <c r="AL513" s="858" t="n"/>
      <c r="AM513" s="1297" t="inlineStr"/>
      <c r="AN513" s="1298" t="n"/>
      <c r="AO513" s="13">
        <f>IF(_epmOfflineCondition_,0,EPMSaveDataOnly(AB513,,AB$29,AB$25,AB$26,AB$31,AB$32,$AA$37,AO$14,AO$15,AO$16,AO$17,AO$18,X513))</f>
        <v/>
      </c>
      <c r="AP513" s="13">
        <f>IF(_epmOfflineCondition_,0,EPMSaveDataOnly(AL513,,AL$29,AL$25,AL$26,AL$31,AL$32,$AA$37,AP$14,AP$15,AP$16,AP$17,AP$18,$X513))</f>
        <v/>
      </c>
      <c r="AQ513" s="13">
        <f>IF(_epmOfflineCondition_,0,EPMSaveData(AM513,,AM$29,AM$25,AM$26,$C$6,AM$32,$AA$37,AQ$14,AQ$15,AQ$16,AQ$17,AQ$18,$X513))</f>
        <v/>
      </c>
      <c r="AR513" s="13">
        <f>IF(_epmOfflineCondition_,0,EPMSaveDataOnly(AN513,,AN$29,AN$25,AN$26,AN$31,AN$32,$AA$37,AR$14,AR$15,AR$16,AR$17,AR$18,$X513))</f>
        <v/>
      </c>
      <c r="AS513" s="384" t="n"/>
    </row>
    <row r="514" hidden="1" ht="15.75" customHeight="1" s="1181">
      <c r="A514" s="384" t="n"/>
      <c r="B514" s="384" t="n"/>
      <c r="C514" s="384" t="n"/>
      <c r="D514" s="384" t="n"/>
      <c r="E514" s="384" t="n"/>
      <c r="F514" s="384" t="n"/>
      <c r="G514" s="384" t="n"/>
      <c r="H514" s="384" t="n"/>
      <c r="I514" s="384" t="n"/>
      <c r="J514" s="384" t="n"/>
      <c r="K514" s="384" t="n"/>
      <c r="L514" s="384" t="n"/>
      <c r="M514" s="384" t="n"/>
      <c r="N514" s="384" t="n"/>
      <c r="O514" s="384" t="n"/>
      <c r="P514" s="384" t="n"/>
      <c r="Q514" s="384" t="n"/>
      <c r="R514" s="384" t="n"/>
      <c r="S514" s="384" t="n"/>
      <c r="T514" s="384" t="n"/>
      <c r="U514" s="384" t="n"/>
      <c r="V514" s="384" t="n"/>
      <c r="W514" s="384" t="n"/>
      <c r="X514" s="645">
        <f>IF(_epmOfflineCondition_,"I_E100822",EPMOlapMemberO("[C_INTERCO].[PARENTH1].[I_E100822]","","I_E100822","","000"))</f>
        <v/>
      </c>
      <c r="Y514" s="870">
        <f>IF(_epmOfflineCondition_,"嘉燕（北京）新能源有限公司",EPMMemberDesc(X514))</f>
        <v/>
      </c>
      <c r="Z514" s="1302" t="n"/>
      <c r="AA514" s="1302" t="n"/>
      <c r="AB514" s="858" t="n"/>
      <c r="AC514" s="1302" t="n"/>
      <c r="AD514" s="1302" t="n"/>
      <c r="AE514" s="1302" t="inlineStr"/>
      <c r="AF514" s="1302" t="inlineStr"/>
      <c r="AG514" s="1302" t="inlineStr"/>
      <c r="AH514" s="1302" t="n"/>
      <c r="AI514" s="1302" t="n"/>
      <c r="AJ514" s="1302" t="n"/>
      <c r="AK514" s="1302">
        <f>AI514-AJ514</f>
        <v/>
      </c>
      <c r="AL514" s="858" t="n"/>
      <c r="AM514" s="1297" t="inlineStr"/>
      <c r="AN514" s="1298" t="n"/>
      <c r="AO514" s="13">
        <f>IF(_epmOfflineCondition_,0,EPMSaveDataOnly(AB514,,AB$29,AB$25,AB$26,AB$31,AB$32,$AA$37,AO$14,AO$15,AO$16,AO$17,AO$18,X514))</f>
        <v/>
      </c>
      <c r="AP514" s="13">
        <f>IF(_epmOfflineCondition_,0,EPMSaveDataOnly(AL514,,AL$29,AL$25,AL$26,AL$31,AL$32,$AA$37,AP$14,AP$15,AP$16,AP$17,AP$18,$X514))</f>
        <v/>
      </c>
      <c r="AQ514" s="13">
        <f>IF(_epmOfflineCondition_,0,EPMSaveData(AM514,,AM$29,AM$25,AM$26,$C$6,AM$32,$AA$37,AQ$14,AQ$15,AQ$16,AQ$17,AQ$18,$X514))</f>
        <v/>
      </c>
      <c r="AR514" s="13">
        <f>IF(_epmOfflineCondition_,0,EPMSaveDataOnly(AN514,,AN$29,AN$25,AN$26,AN$31,AN$32,$AA$37,AR$14,AR$15,AR$16,AR$17,AR$18,$X514))</f>
        <v/>
      </c>
      <c r="AS514" s="384" t="n"/>
    </row>
    <row r="515" hidden="1" ht="15.75" customHeight="1" s="1181">
      <c r="A515" s="384" t="n"/>
      <c r="B515" s="384" t="n"/>
      <c r="C515" s="384" t="n"/>
      <c r="D515" s="384" t="n"/>
      <c r="E515" s="384" t="n"/>
      <c r="F515" s="384" t="n"/>
      <c r="G515" s="384" t="n"/>
      <c r="H515" s="384" t="n"/>
      <c r="I515" s="384" t="n"/>
      <c r="J515" s="384" t="n"/>
      <c r="K515" s="384" t="n"/>
      <c r="L515" s="384" t="n"/>
      <c r="M515" s="384" t="n"/>
      <c r="N515" s="384" t="n"/>
      <c r="O515" s="384" t="n"/>
      <c r="P515" s="384" t="n"/>
      <c r="Q515" s="384" t="n"/>
      <c r="R515" s="384" t="n"/>
      <c r="S515" s="384" t="n"/>
      <c r="T515" s="384" t="n"/>
      <c r="U515" s="384" t="n"/>
      <c r="V515" s="384" t="n"/>
      <c r="W515" s="384" t="n"/>
      <c r="X515" s="645">
        <f>IF(_epmOfflineCondition_,"I_E100823",EPMOlapMemberO("[C_INTERCO].[PARENTH1].[I_E100823]","","I_E100823","","000"))</f>
        <v/>
      </c>
      <c r="Y515" s="870">
        <f>IF(_epmOfflineCondition_,"北京京能马坊新能源科技有限公司",EPMMemberDesc(X515))</f>
        <v/>
      </c>
      <c r="Z515" s="1302" t="n"/>
      <c r="AA515" s="1302" t="n"/>
      <c r="AB515" s="858" t="n"/>
      <c r="AC515" s="1302" t="n"/>
      <c r="AD515" s="1302" t="n"/>
      <c r="AE515" s="1302" t="inlineStr"/>
      <c r="AF515" s="1302" t="inlineStr"/>
      <c r="AG515" s="1302" t="inlineStr"/>
      <c r="AH515" s="1302" t="n"/>
      <c r="AI515" s="1302" t="n"/>
      <c r="AJ515" s="1302" t="n"/>
      <c r="AK515" s="1302">
        <f>AI515-AJ515</f>
        <v/>
      </c>
      <c r="AL515" s="858" t="n"/>
      <c r="AM515" s="1297" t="inlineStr"/>
      <c r="AN515" s="1298" t="n"/>
      <c r="AO515" s="13">
        <f>IF(_epmOfflineCondition_,0,EPMSaveDataOnly(AB515,,AB$29,AB$25,AB$26,AB$31,AB$32,$AA$37,AO$14,AO$15,AO$16,AO$17,AO$18,X515))</f>
        <v/>
      </c>
      <c r="AP515" s="13">
        <f>IF(_epmOfflineCondition_,0,EPMSaveDataOnly(AL515,,AL$29,AL$25,AL$26,AL$31,AL$32,$AA$37,AP$14,AP$15,AP$16,AP$17,AP$18,$X515))</f>
        <v/>
      </c>
      <c r="AQ515" s="13">
        <f>IF(_epmOfflineCondition_,0,EPMSaveData(AM515,,AM$29,AM$25,AM$26,$C$6,AM$32,$AA$37,AQ$14,AQ$15,AQ$16,AQ$17,AQ$18,$X515))</f>
        <v/>
      </c>
      <c r="AR515" s="13">
        <f>IF(_epmOfflineCondition_,0,EPMSaveDataOnly(AN515,,AN$29,AN$25,AN$26,AN$31,AN$32,$AA$37,AR$14,AR$15,AR$16,AR$17,AR$18,$X515))</f>
        <v/>
      </c>
      <c r="AS515" s="384" t="n"/>
    </row>
    <row r="516" hidden="1" ht="15.75" customHeight="1" s="1181">
      <c r="A516" s="384" t="n"/>
      <c r="B516" s="384" t="n"/>
      <c r="C516" s="384" t="n"/>
      <c r="D516" s="384" t="n"/>
      <c r="E516" s="384" t="n"/>
      <c r="F516" s="384" t="n"/>
      <c r="G516" s="384" t="n"/>
      <c r="H516" s="384" t="n"/>
      <c r="I516" s="384" t="n"/>
      <c r="J516" s="384" t="n"/>
      <c r="K516" s="384" t="n"/>
      <c r="L516" s="384" t="n"/>
      <c r="M516" s="384" t="n"/>
      <c r="N516" s="384" t="n"/>
      <c r="O516" s="384" t="n"/>
      <c r="P516" s="384" t="n"/>
      <c r="Q516" s="384" t="n"/>
      <c r="R516" s="384" t="n"/>
      <c r="S516" s="384" t="n"/>
      <c r="T516" s="384" t="n"/>
      <c r="U516" s="384" t="n"/>
      <c r="V516" s="384" t="n"/>
      <c r="W516" s="384" t="n"/>
      <c r="X516" s="645">
        <f>IF(_epmOfflineCondition_,"I_E100824",EPMOlapMemberO("[C_INTERCO].[PARENTH1].[I_E100824]","","I_E100824","","000"))</f>
        <v/>
      </c>
      <c r="Y516" s="870">
        <f>IF(_epmOfflineCondition_,"京能（高碑店）新能源科技有限公司",EPMMemberDesc(X516))</f>
        <v/>
      </c>
      <c r="Z516" s="1302" t="n"/>
      <c r="AA516" s="1302" t="n"/>
      <c r="AB516" s="858" t="n"/>
      <c r="AC516" s="1302" t="n"/>
      <c r="AD516" s="1302" t="n"/>
      <c r="AE516" s="1302" t="inlineStr"/>
      <c r="AF516" s="1302" t="inlineStr"/>
      <c r="AG516" s="1302" t="inlineStr"/>
      <c r="AH516" s="1302" t="n"/>
      <c r="AI516" s="1302" t="n"/>
      <c r="AJ516" s="1302" t="n"/>
      <c r="AK516" s="1302">
        <f>AI516-AJ516</f>
        <v/>
      </c>
      <c r="AL516" s="858" t="n"/>
      <c r="AM516" s="1297" t="inlineStr"/>
      <c r="AN516" s="1298" t="n"/>
      <c r="AO516" s="13">
        <f>IF(_epmOfflineCondition_,0,EPMSaveDataOnly(AB516,,AB$29,AB$25,AB$26,AB$31,AB$32,$AA$37,AO$14,AO$15,AO$16,AO$17,AO$18,X516))</f>
        <v/>
      </c>
      <c r="AP516" s="13">
        <f>IF(_epmOfflineCondition_,0,EPMSaveDataOnly(AL516,,AL$29,AL$25,AL$26,AL$31,AL$32,$AA$37,AP$14,AP$15,AP$16,AP$17,AP$18,$X516))</f>
        <v/>
      </c>
      <c r="AQ516" s="13">
        <f>IF(_epmOfflineCondition_,0,EPMSaveData(AM516,,AM$29,AM$25,AM$26,$C$6,AM$32,$AA$37,AQ$14,AQ$15,AQ$16,AQ$17,AQ$18,$X516))</f>
        <v/>
      </c>
      <c r="AR516" s="13">
        <f>IF(_epmOfflineCondition_,0,EPMSaveDataOnly(AN516,,AN$29,AN$25,AN$26,AN$31,AN$32,$AA$37,AR$14,AR$15,AR$16,AR$17,AR$18,$X516))</f>
        <v/>
      </c>
      <c r="AS516" s="384" t="n"/>
    </row>
    <row r="517" hidden="1" ht="15.75" customHeight="1" s="1181">
      <c r="A517" s="384" t="n"/>
      <c r="B517" s="384" t="n"/>
      <c r="C517" s="384" t="n"/>
      <c r="D517" s="384" t="n"/>
      <c r="E517" s="384" t="n"/>
      <c r="F517" s="384" t="n"/>
      <c r="G517" s="384" t="n"/>
      <c r="H517" s="384" t="n"/>
      <c r="I517" s="384" t="n"/>
      <c r="J517" s="384" t="n"/>
      <c r="K517" s="384" t="n"/>
      <c r="L517" s="384" t="n"/>
      <c r="M517" s="384" t="n"/>
      <c r="N517" s="384" t="n"/>
      <c r="O517" s="384" t="n"/>
      <c r="P517" s="384" t="n"/>
      <c r="Q517" s="384" t="n"/>
      <c r="R517" s="384" t="n"/>
      <c r="S517" s="384" t="n"/>
      <c r="T517" s="384" t="n"/>
      <c r="U517" s="384" t="n"/>
      <c r="V517" s="384" t="n"/>
      <c r="W517" s="384" t="n"/>
      <c r="X517" s="645">
        <f>IF(_epmOfflineCondition_,"I_E100825",EPMOlapMemberO("[C_INTERCO].[PARENTH1].[I_E100825]","","I_E100825","","000"))</f>
        <v/>
      </c>
      <c r="Y517" s="870">
        <f>IF(_epmOfflineCondition_,"常州晶恒光伏有限公司",EPMMemberDesc(X517))</f>
        <v/>
      </c>
      <c r="Z517" s="1302" t="n"/>
      <c r="AA517" s="1302" t="n"/>
      <c r="AB517" s="858" t="n"/>
      <c r="AC517" s="1302" t="n"/>
      <c r="AD517" s="1302" t="n"/>
      <c r="AE517" s="1302" t="inlineStr"/>
      <c r="AF517" s="1302" t="inlineStr"/>
      <c r="AG517" s="1302" t="inlineStr"/>
      <c r="AH517" s="1302" t="n"/>
      <c r="AI517" s="1302" t="n"/>
      <c r="AJ517" s="1302" t="n"/>
      <c r="AK517" s="1302">
        <f>AI517-AJ517</f>
        <v/>
      </c>
      <c r="AL517" s="858" t="n"/>
      <c r="AM517" s="1297" t="inlineStr"/>
      <c r="AN517" s="1298" t="n"/>
      <c r="AO517" s="13">
        <f>IF(_epmOfflineCondition_,0,EPMSaveDataOnly(AB517,,AB$29,AB$25,AB$26,AB$31,AB$32,$AA$37,AO$14,AO$15,AO$16,AO$17,AO$18,X517))</f>
        <v/>
      </c>
      <c r="AP517" s="13">
        <f>IF(_epmOfflineCondition_,0,EPMSaveDataOnly(AL517,,AL$29,AL$25,AL$26,AL$31,AL$32,$AA$37,AP$14,AP$15,AP$16,AP$17,AP$18,$X517))</f>
        <v/>
      </c>
      <c r="AQ517" s="13">
        <f>IF(_epmOfflineCondition_,0,EPMSaveData(AM517,,AM$29,AM$25,AM$26,$C$6,AM$32,$AA$37,AQ$14,AQ$15,AQ$16,AQ$17,AQ$18,$X517))</f>
        <v/>
      </c>
      <c r="AR517" s="13">
        <f>IF(_epmOfflineCondition_,0,EPMSaveDataOnly(AN517,,AN$29,AN$25,AN$26,AN$31,AN$32,$AA$37,AR$14,AR$15,AR$16,AR$17,AR$18,$X517))</f>
        <v/>
      </c>
      <c r="AS517" s="384" t="n"/>
    </row>
    <row r="518" hidden="1" ht="15.75" customHeight="1" s="1181">
      <c r="A518" s="384" t="n"/>
      <c r="B518" s="384" t="n"/>
      <c r="C518" s="384" t="n"/>
      <c r="D518" s="384" t="n"/>
      <c r="E518" s="384" t="n"/>
      <c r="F518" s="384" t="n"/>
      <c r="G518" s="384" t="n"/>
      <c r="H518" s="384" t="n"/>
      <c r="I518" s="384" t="n"/>
      <c r="J518" s="384" t="n"/>
      <c r="K518" s="384" t="n"/>
      <c r="L518" s="384" t="n"/>
      <c r="M518" s="384" t="n"/>
      <c r="N518" s="384" t="n"/>
      <c r="O518" s="384" t="n"/>
      <c r="P518" s="384" t="n"/>
      <c r="Q518" s="384" t="n"/>
      <c r="R518" s="384" t="n"/>
      <c r="S518" s="384" t="n"/>
      <c r="T518" s="384" t="n"/>
      <c r="U518" s="384" t="n"/>
      <c r="V518" s="384" t="n"/>
      <c r="W518" s="384" t="n"/>
      <c r="X518" s="645">
        <f>IF(_epmOfflineCondition_,"I_E100826",EPMOlapMemberO("[C_INTERCO].[PARENTH1].[I_E100826]","","I_E100826","","000"))</f>
        <v/>
      </c>
      <c r="Y518" s="870">
        <f>IF(_epmOfflineCondition_,"宿迁市宿豫区宏旭新能源科技有限公司",EPMMemberDesc(X518))</f>
        <v/>
      </c>
      <c r="Z518" s="1302" t="n"/>
      <c r="AA518" s="1302" t="n"/>
      <c r="AB518" s="858" t="n"/>
      <c r="AC518" s="1302" t="n"/>
      <c r="AD518" s="1302" t="n"/>
      <c r="AE518" s="1302" t="inlineStr"/>
      <c r="AF518" s="1302" t="inlineStr"/>
      <c r="AG518" s="1302" t="inlineStr"/>
      <c r="AH518" s="1302" t="n"/>
      <c r="AI518" s="1302" t="n"/>
      <c r="AJ518" s="1302" t="n"/>
      <c r="AK518" s="1302">
        <f>AI518-AJ518</f>
        <v/>
      </c>
      <c r="AL518" s="858" t="n"/>
      <c r="AM518" s="1297" t="inlineStr"/>
      <c r="AN518" s="1298" t="n"/>
      <c r="AO518" s="13">
        <f>IF(_epmOfflineCondition_,0,EPMSaveDataOnly(AB518,,AB$29,AB$25,AB$26,AB$31,AB$32,$AA$37,AO$14,AO$15,AO$16,AO$17,AO$18,X518))</f>
        <v/>
      </c>
      <c r="AP518" s="13">
        <f>IF(_epmOfflineCondition_,0,EPMSaveDataOnly(AL518,,AL$29,AL$25,AL$26,AL$31,AL$32,$AA$37,AP$14,AP$15,AP$16,AP$17,AP$18,$X518))</f>
        <v/>
      </c>
      <c r="AQ518" s="13">
        <f>IF(_epmOfflineCondition_,0,EPMSaveData(AM518,,AM$29,AM$25,AM$26,$C$6,AM$32,$AA$37,AQ$14,AQ$15,AQ$16,AQ$17,AQ$18,$X518))</f>
        <v/>
      </c>
      <c r="AR518" s="13">
        <f>IF(_epmOfflineCondition_,0,EPMSaveDataOnly(AN518,,AN$29,AN$25,AN$26,AN$31,AN$32,$AA$37,AR$14,AR$15,AR$16,AR$17,AR$18,$X518))</f>
        <v/>
      </c>
      <c r="AS518" s="384" t="n"/>
    </row>
    <row r="519" hidden="1" ht="15.75" customHeight="1" s="1181">
      <c r="A519" s="384" t="n"/>
      <c r="B519" s="384" t="n"/>
      <c r="C519" s="384" t="n"/>
      <c r="D519" s="384" t="n"/>
      <c r="E519" s="384" t="n"/>
      <c r="F519" s="384" t="n"/>
      <c r="G519" s="384" t="n"/>
      <c r="H519" s="384" t="n"/>
      <c r="I519" s="384" t="n"/>
      <c r="J519" s="384" t="n"/>
      <c r="K519" s="384" t="n"/>
      <c r="L519" s="384" t="n"/>
      <c r="M519" s="384" t="n"/>
      <c r="N519" s="384" t="n"/>
      <c r="O519" s="384" t="n"/>
      <c r="P519" s="384" t="n"/>
      <c r="Q519" s="384" t="n"/>
      <c r="R519" s="384" t="n"/>
      <c r="S519" s="384" t="n"/>
      <c r="T519" s="384" t="n"/>
      <c r="U519" s="384" t="n"/>
      <c r="V519" s="384" t="n"/>
      <c r="W519" s="384" t="n"/>
      <c r="X519" s="645">
        <f>IF(_epmOfflineCondition_,"I_E100827",EPMOlapMemberO("[C_INTERCO].[PARENTH1].[I_E100827]","","I_E100827","","000"))</f>
        <v/>
      </c>
      <c r="Y519" s="870">
        <f>IF(_epmOfflineCondition_,"台州德鸿新能源科技有限公司",EPMMemberDesc(X519))</f>
        <v/>
      </c>
      <c r="Z519" s="1302" t="n"/>
      <c r="AA519" s="1302" t="n"/>
      <c r="AB519" s="858" t="n"/>
      <c r="AC519" s="1302" t="n"/>
      <c r="AD519" s="1302" t="n"/>
      <c r="AE519" s="1302" t="inlineStr"/>
      <c r="AF519" s="1302" t="inlineStr"/>
      <c r="AG519" s="1302" t="inlineStr"/>
      <c r="AH519" s="1302" t="n"/>
      <c r="AI519" s="1302" t="n"/>
      <c r="AJ519" s="1302" t="n"/>
      <c r="AK519" s="1302">
        <f>AI519-AJ519</f>
        <v/>
      </c>
      <c r="AL519" s="858" t="n"/>
      <c r="AM519" s="1297" t="inlineStr"/>
      <c r="AN519" s="1298" t="n"/>
      <c r="AO519" s="13">
        <f>IF(_epmOfflineCondition_,0,EPMSaveDataOnly(AB519,,AB$29,AB$25,AB$26,AB$31,AB$32,$AA$37,AO$14,AO$15,AO$16,AO$17,AO$18,X519))</f>
        <v/>
      </c>
      <c r="AP519" s="13">
        <f>IF(_epmOfflineCondition_,0,EPMSaveDataOnly(AL519,,AL$29,AL$25,AL$26,AL$31,AL$32,$AA$37,AP$14,AP$15,AP$16,AP$17,AP$18,$X519))</f>
        <v/>
      </c>
      <c r="AQ519" s="13">
        <f>IF(_epmOfflineCondition_,0,EPMSaveData(AM519,,AM$29,AM$25,AM$26,$C$6,AM$32,$AA$37,AQ$14,AQ$15,AQ$16,AQ$17,AQ$18,$X519))</f>
        <v/>
      </c>
      <c r="AR519" s="13">
        <f>IF(_epmOfflineCondition_,0,EPMSaveDataOnly(AN519,,AN$29,AN$25,AN$26,AN$31,AN$32,$AA$37,AR$14,AR$15,AR$16,AR$17,AR$18,$X519))</f>
        <v/>
      </c>
      <c r="AS519" s="384" t="n"/>
    </row>
    <row r="520" hidden="1" ht="15.75" customHeight="1" s="1181">
      <c r="A520" s="384" t="n"/>
      <c r="B520" s="384" t="n"/>
      <c r="C520" s="384" t="n"/>
      <c r="D520" s="384" t="n"/>
      <c r="E520" s="384" t="n"/>
      <c r="F520" s="384" t="n"/>
      <c r="G520" s="384" t="n"/>
      <c r="H520" s="384" t="n"/>
      <c r="I520" s="384" t="n"/>
      <c r="J520" s="384" t="n"/>
      <c r="K520" s="384" t="n"/>
      <c r="L520" s="384" t="n"/>
      <c r="M520" s="384" t="n"/>
      <c r="N520" s="384" t="n"/>
      <c r="O520" s="384" t="n"/>
      <c r="P520" s="384" t="n"/>
      <c r="Q520" s="384" t="n"/>
      <c r="R520" s="384" t="n"/>
      <c r="S520" s="384" t="n"/>
      <c r="T520" s="384" t="n"/>
      <c r="U520" s="384" t="n"/>
      <c r="V520" s="384" t="n"/>
      <c r="W520" s="384" t="n"/>
      <c r="X520" s="645">
        <f>IF(_epmOfflineCondition_,"I_E100828",EPMOlapMemberO("[C_INTERCO].[PARENTH1].[I_E100828]","","I_E100828","","000"))</f>
        <v/>
      </c>
      <c r="Y520" s="870">
        <f>IF(_epmOfflineCondition_,"京能（寻甸）新能源有限公司",EPMMemberDesc(X520))</f>
        <v/>
      </c>
      <c r="Z520" s="1302" t="n"/>
      <c r="AA520" s="1302" t="n"/>
      <c r="AB520" s="858" t="n"/>
      <c r="AC520" s="1302" t="n"/>
      <c r="AD520" s="1302" t="n"/>
      <c r="AE520" s="1302" t="inlineStr"/>
      <c r="AF520" s="1302" t="inlineStr"/>
      <c r="AG520" s="1302" t="inlineStr"/>
      <c r="AH520" s="1302" t="n"/>
      <c r="AI520" s="1302" t="n"/>
      <c r="AJ520" s="1302" t="n"/>
      <c r="AK520" s="1302">
        <f>AI520-AJ520</f>
        <v/>
      </c>
      <c r="AL520" s="858" t="n"/>
      <c r="AM520" s="1297" t="inlineStr"/>
      <c r="AN520" s="1298" t="n"/>
      <c r="AO520" s="13">
        <f>IF(_epmOfflineCondition_,0,EPMSaveDataOnly(AB520,,AB$29,AB$25,AB$26,AB$31,AB$32,$AA$37,AO$14,AO$15,AO$16,AO$17,AO$18,X520))</f>
        <v/>
      </c>
      <c r="AP520" s="13">
        <f>IF(_epmOfflineCondition_,0,EPMSaveDataOnly(AL520,,AL$29,AL$25,AL$26,AL$31,AL$32,$AA$37,AP$14,AP$15,AP$16,AP$17,AP$18,$X520))</f>
        <v/>
      </c>
      <c r="AQ520" s="13">
        <f>IF(_epmOfflineCondition_,0,EPMSaveData(AM520,,AM$29,AM$25,AM$26,$C$6,AM$32,$AA$37,AQ$14,AQ$15,AQ$16,AQ$17,AQ$18,$X520))</f>
        <v/>
      </c>
      <c r="AR520" s="13">
        <f>IF(_epmOfflineCondition_,0,EPMSaveDataOnly(AN520,,AN$29,AN$25,AN$26,AN$31,AN$32,$AA$37,AR$14,AR$15,AR$16,AR$17,AR$18,$X520))</f>
        <v/>
      </c>
      <c r="AS520" s="384" t="n"/>
    </row>
    <row r="521" hidden="1" ht="15.75" customHeight="1" s="1181">
      <c r="A521" s="384" t="n"/>
      <c r="B521" s="384" t="n"/>
      <c r="C521" s="384" t="n"/>
      <c r="D521" s="384" t="n"/>
      <c r="E521" s="384" t="n"/>
      <c r="F521" s="384" t="n"/>
      <c r="G521" s="384" t="n"/>
      <c r="H521" s="384" t="n"/>
      <c r="I521" s="384" t="n"/>
      <c r="J521" s="384" t="n"/>
      <c r="K521" s="384" t="n"/>
      <c r="L521" s="384" t="n"/>
      <c r="M521" s="384" t="n"/>
      <c r="N521" s="384" t="n"/>
      <c r="O521" s="384" t="n"/>
      <c r="P521" s="384" t="n"/>
      <c r="Q521" s="384" t="n"/>
      <c r="R521" s="384" t="n"/>
      <c r="S521" s="384" t="n"/>
      <c r="T521" s="384" t="n"/>
      <c r="U521" s="384" t="n"/>
      <c r="V521" s="384" t="n"/>
      <c r="W521" s="384" t="n"/>
      <c r="X521" s="645">
        <f>IF(_epmOfflineCondition_,"I_E100829",EPMOlapMemberO("[C_INTERCO].[PARENTH1].[I_E100829]","","I_E100829","","000"))</f>
        <v/>
      </c>
      <c r="Y521" s="870">
        <f>IF(_epmOfflineCondition_,"宁蒗京能新能源有限公司",EPMMemberDesc(X521))</f>
        <v/>
      </c>
      <c r="Z521" s="1302" t="n"/>
      <c r="AA521" s="1302" t="n"/>
      <c r="AB521" s="858" t="n"/>
      <c r="AC521" s="1302" t="n"/>
      <c r="AD521" s="1302" t="n"/>
      <c r="AE521" s="1302" t="inlineStr"/>
      <c r="AF521" s="1302" t="inlineStr"/>
      <c r="AG521" s="1302" t="inlineStr"/>
      <c r="AH521" s="1302" t="n"/>
      <c r="AI521" s="1302" t="n"/>
      <c r="AJ521" s="1302" t="n"/>
      <c r="AK521" s="1302">
        <f>AI521-AJ521</f>
        <v/>
      </c>
      <c r="AL521" s="858" t="n"/>
      <c r="AM521" s="1297" t="inlineStr"/>
      <c r="AN521" s="1298" t="n"/>
      <c r="AO521" s="13">
        <f>IF(_epmOfflineCondition_,0,EPMSaveDataOnly(AB521,,AB$29,AB$25,AB$26,AB$31,AB$32,$AA$37,AO$14,AO$15,AO$16,AO$17,AO$18,X521))</f>
        <v/>
      </c>
      <c r="AP521" s="13">
        <f>IF(_epmOfflineCondition_,0,EPMSaveDataOnly(AL521,,AL$29,AL$25,AL$26,AL$31,AL$32,$AA$37,AP$14,AP$15,AP$16,AP$17,AP$18,$X521))</f>
        <v/>
      </c>
      <c r="AQ521" s="13">
        <f>IF(_epmOfflineCondition_,0,EPMSaveData(AM521,,AM$29,AM$25,AM$26,$C$6,AM$32,$AA$37,AQ$14,AQ$15,AQ$16,AQ$17,AQ$18,$X521))</f>
        <v/>
      </c>
      <c r="AR521" s="13">
        <f>IF(_epmOfflineCondition_,0,EPMSaveDataOnly(AN521,,AN$29,AN$25,AN$26,AN$31,AN$32,$AA$37,AR$14,AR$15,AR$16,AR$17,AR$18,$X521))</f>
        <v/>
      </c>
      <c r="AS521" s="384" t="n"/>
    </row>
    <row r="522" hidden="1" ht="15.75" customHeight="1" s="1181">
      <c r="A522" s="384" t="n"/>
      <c r="B522" s="384" t="n"/>
      <c r="C522" s="384" t="n"/>
      <c r="D522" s="384" t="n"/>
      <c r="E522" s="384" t="n"/>
      <c r="F522" s="384" t="n"/>
      <c r="G522" s="384" t="n"/>
      <c r="H522" s="384" t="n"/>
      <c r="I522" s="384" t="n"/>
      <c r="J522" s="384" t="n"/>
      <c r="K522" s="384" t="n"/>
      <c r="L522" s="384" t="n"/>
      <c r="M522" s="384" t="n"/>
      <c r="N522" s="384" t="n"/>
      <c r="O522" s="384" t="n"/>
      <c r="P522" s="384" t="n"/>
      <c r="Q522" s="384" t="n"/>
      <c r="R522" s="384" t="n"/>
      <c r="S522" s="384" t="n"/>
      <c r="T522" s="384" t="n"/>
      <c r="U522" s="384" t="n"/>
      <c r="V522" s="384" t="n"/>
      <c r="W522" s="384" t="n"/>
      <c r="X522" s="645">
        <f>IF(_epmOfflineCondition_,"I_E100830",EPMOlapMemberO("[C_INTERCO].[PARENTH1].[I_E100830]","","I_E100830","","000"))</f>
        <v/>
      </c>
      <c r="Y522" s="870">
        <f>IF(_epmOfflineCondition_,"北京九樾房地产开发有限公司",EPMMemberDesc(X522))</f>
        <v/>
      </c>
      <c r="Z522" s="1302" t="n"/>
      <c r="AA522" s="1302" t="n"/>
      <c r="AB522" s="858" t="n"/>
      <c r="AC522" s="1302" t="n"/>
      <c r="AD522" s="1302" t="n"/>
      <c r="AE522" s="1302" t="inlineStr"/>
      <c r="AF522" s="1302" t="inlineStr"/>
      <c r="AG522" s="1302" t="inlineStr"/>
      <c r="AH522" s="1302" t="n"/>
      <c r="AI522" s="1302" t="n"/>
      <c r="AJ522" s="1302" t="n"/>
      <c r="AK522" s="1302">
        <f>AI522-AJ522</f>
        <v/>
      </c>
      <c r="AL522" s="858" t="n"/>
      <c r="AM522" s="1297" t="inlineStr"/>
      <c r="AN522" s="1298" t="n"/>
      <c r="AO522" s="13">
        <f>IF(_epmOfflineCondition_,0,EPMSaveDataOnly(AB522,,AB$29,AB$25,AB$26,AB$31,AB$32,$AA$37,AO$14,AO$15,AO$16,AO$17,AO$18,X522))</f>
        <v/>
      </c>
      <c r="AP522" s="13">
        <f>IF(_epmOfflineCondition_,0,EPMSaveDataOnly(AL522,,AL$29,AL$25,AL$26,AL$31,AL$32,$AA$37,AP$14,AP$15,AP$16,AP$17,AP$18,$X522))</f>
        <v/>
      </c>
      <c r="AQ522" s="13">
        <f>IF(_epmOfflineCondition_,0,EPMSaveData(AM522,,AM$29,AM$25,AM$26,$C$6,AM$32,$AA$37,AQ$14,AQ$15,AQ$16,AQ$17,AQ$18,$X522))</f>
        <v/>
      </c>
      <c r="AR522" s="13">
        <f>IF(_epmOfflineCondition_,0,EPMSaveDataOnly(AN522,,AN$29,AN$25,AN$26,AN$31,AN$32,$AA$37,AR$14,AR$15,AR$16,AR$17,AR$18,$X522))</f>
        <v/>
      </c>
      <c r="AS522" s="384" t="n"/>
    </row>
    <row r="523" hidden="1" ht="15.75" customHeight="1" s="1181">
      <c r="A523" s="384" t="n"/>
      <c r="B523" s="384" t="n"/>
      <c r="C523" s="384" t="n"/>
      <c r="D523" s="384" t="n"/>
      <c r="E523" s="384" t="n"/>
      <c r="F523" s="384" t="n"/>
      <c r="G523" s="384" t="n"/>
      <c r="H523" s="384" t="n"/>
      <c r="I523" s="384" t="n"/>
      <c r="J523" s="384" t="n"/>
      <c r="K523" s="384" t="n"/>
      <c r="L523" s="384" t="n"/>
      <c r="M523" s="384" t="n"/>
      <c r="N523" s="384" t="n"/>
      <c r="O523" s="384" t="n"/>
      <c r="P523" s="384" t="n"/>
      <c r="Q523" s="384" t="n"/>
      <c r="R523" s="384" t="n"/>
      <c r="S523" s="384" t="n"/>
      <c r="T523" s="384" t="n"/>
      <c r="U523" s="384" t="n"/>
      <c r="V523" s="384" t="n"/>
      <c r="W523" s="384" t="n"/>
      <c r="X523" s="645">
        <f>IF(_epmOfflineCondition_,"I_E100831",EPMOlapMemberO("[C_INTERCO].[PARENTH1].[I_E100831]","","I_E100831","","000"))</f>
        <v/>
      </c>
      <c r="Y523" s="870">
        <f>IF(_epmOfflineCondition_,"山西京潞新能源有限公司",EPMMemberDesc(X523))</f>
        <v/>
      </c>
      <c r="Z523" s="1302" t="n"/>
      <c r="AA523" s="1302" t="n"/>
      <c r="AB523" s="858" t="n"/>
      <c r="AC523" s="1302" t="n"/>
      <c r="AD523" s="1302" t="n"/>
      <c r="AE523" s="1302" t="inlineStr"/>
      <c r="AF523" s="1302" t="inlineStr"/>
      <c r="AG523" s="1302" t="inlineStr"/>
      <c r="AH523" s="1302" t="n"/>
      <c r="AI523" s="1302" t="n"/>
      <c r="AJ523" s="1302" t="n"/>
      <c r="AK523" s="1302">
        <f>AI523-AJ523</f>
        <v/>
      </c>
      <c r="AL523" s="858" t="n"/>
      <c r="AM523" s="1297" t="inlineStr"/>
      <c r="AN523" s="1298" t="n"/>
      <c r="AO523" s="13">
        <f>IF(_epmOfflineCondition_,0,EPMSaveDataOnly(AB523,,AB$29,AB$25,AB$26,AB$31,AB$32,$AA$37,AO$14,AO$15,AO$16,AO$17,AO$18,X523))</f>
        <v/>
      </c>
      <c r="AP523" s="13">
        <f>IF(_epmOfflineCondition_,0,EPMSaveDataOnly(AL523,,AL$29,AL$25,AL$26,AL$31,AL$32,$AA$37,AP$14,AP$15,AP$16,AP$17,AP$18,$X523))</f>
        <v/>
      </c>
      <c r="AQ523" s="13">
        <f>IF(_epmOfflineCondition_,0,EPMSaveData(AM523,,AM$29,AM$25,AM$26,$C$6,AM$32,$AA$37,AQ$14,AQ$15,AQ$16,AQ$17,AQ$18,$X523))</f>
        <v/>
      </c>
      <c r="AR523" s="13">
        <f>IF(_epmOfflineCondition_,0,EPMSaveDataOnly(AN523,,AN$29,AN$25,AN$26,AN$31,AN$32,$AA$37,AR$14,AR$15,AR$16,AR$17,AR$18,$X523))</f>
        <v/>
      </c>
      <c r="AS523" s="384" t="n"/>
    </row>
    <row r="524" hidden="1" ht="15.75" customHeight="1" s="1181">
      <c r="A524" s="384" t="n"/>
      <c r="B524" s="384" t="n"/>
      <c r="C524" s="384" t="n"/>
      <c r="D524" s="384" t="n"/>
      <c r="E524" s="384" t="n"/>
      <c r="F524" s="384" t="n"/>
      <c r="G524" s="384" t="n"/>
      <c r="H524" s="384" t="n"/>
      <c r="I524" s="384" t="n"/>
      <c r="J524" s="384" t="n"/>
      <c r="K524" s="384" t="n"/>
      <c r="L524" s="384" t="n"/>
      <c r="M524" s="384" t="n"/>
      <c r="N524" s="384" t="n"/>
      <c r="O524" s="384" t="n"/>
      <c r="P524" s="384" t="n"/>
      <c r="Q524" s="384" t="n"/>
      <c r="R524" s="384" t="n"/>
      <c r="S524" s="384" t="n"/>
      <c r="T524" s="384" t="n"/>
      <c r="U524" s="384" t="n"/>
      <c r="V524" s="384" t="n"/>
      <c r="W524" s="384" t="n"/>
      <c r="X524" s="645">
        <f>IF(_epmOfflineCondition_,"I_E100839",EPMOlapMemberO("[C_INTERCO].[PARENTH1].[I_E100839]","","I_E100839","","000"))</f>
        <v/>
      </c>
      <c r="Y524" s="870">
        <f>IF(_epmOfflineCondition_,"东台市宏旭新能源科技有限公司",EPMMemberDesc(X524))</f>
        <v/>
      </c>
      <c r="Z524" s="1302" t="n"/>
      <c r="AA524" s="1302" t="n"/>
      <c r="AB524" s="858" t="n"/>
      <c r="AC524" s="1302" t="n"/>
      <c r="AD524" s="1302" t="n"/>
      <c r="AE524" s="1302" t="inlineStr"/>
      <c r="AF524" s="1302" t="inlineStr"/>
      <c r="AG524" s="1302" t="inlineStr"/>
      <c r="AH524" s="1302" t="n"/>
      <c r="AI524" s="1302" t="n"/>
      <c r="AJ524" s="1302" t="n"/>
      <c r="AK524" s="1302">
        <f>AI524-AJ524</f>
        <v/>
      </c>
      <c r="AL524" s="858" t="n"/>
      <c r="AM524" s="1297" t="inlineStr"/>
      <c r="AN524" s="1298" t="n"/>
      <c r="AO524" s="13">
        <f>IF(_epmOfflineCondition_,0,EPMSaveDataOnly(AB524,,AB$29,AB$25,AB$26,AB$31,AB$32,$AA$37,AO$14,AO$15,AO$16,AO$17,AO$18,X524))</f>
        <v/>
      </c>
      <c r="AP524" s="13">
        <f>IF(_epmOfflineCondition_,0,EPMSaveDataOnly(AL524,,AL$29,AL$25,AL$26,AL$31,AL$32,$AA$37,AP$14,AP$15,AP$16,AP$17,AP$18,$X524))</f>
        <v/>
      </c>
      <c r="AQ524" s="13">
        <f>IF(_epmOfflineCondition_,0,EPMSaveData(AM524,,AM$29,AM$25,AM$26,$C$6,AM$32,$AA$37,AQ$14,AQ$15,AQ$16,AQ$17,AQ$18,$X524))</f>
        <v/>
      </c>
      <c r="AR524" s="13">
        <f>IF(_epmOfflineCondition_,0,EPMSaveDataOnly(AN524,,AN$29,AN$25,AN$26,AN$31,AN$32,$AA$37,AR$14,AR$15,AR$16,AR$17,AR$18,$X524))</f>
        <v/>
      </c>
      <c r="AS524" s="384" t="n"/>
    </row>
    <row r="525" hidden="1" ht="15.75" customHeight="1" s="1181">
      <c r="A525" s="384" t="n"/>
      <c r="B525" s="384" t="n"/>
      <c r="C525" s="384" t="n"/>
      <c r="D525" s="384" t="n"/>
      <c r="E525" s="384" t="n"/>
      <c r="F525" s="384" t="n"/>
      <c r="G525" s="384" t="n"/>
      <c r="H525" s="384" t="n"/>
      <c r="I525" s="384" t="n"/>
      <c r="J525" s="384" t="n"/>
      <c r="K525" s="384" t="n"/>
      <c r="L525" s="384" t="n"/>
      <c r="M525" s="384" t="n"/>
      <c r="N525" s="384" t="n"/>
      <c r="O525" s="384" t="n"/>
      <c r="P525" s="384" t="n"/>
      <c r="Q525" s="384" t="n"/>
      <c r="R525" s="384" t="n"/>
      <c r="S525" s="384" t="n"/>
      <c r="T525" s="384" t="n"/>
      <c r="U525" s="384" t="n"/>
      <c r="V525" s="384" t="n"/>
      <c r="W525" s="384" t="n"/>
      <c r="X525" s="645">
        <f>IF(_epmOfflineCondition_,"I_E100842",EPMOlapMemberO("[C_INTERCO].[PARENTH1].[I_E100842]","","I_E100842","","000"))</f>
        <v/>
      </c>
      <c r="Y525" s="870">
        <f>IF(_epmOfflineCondition_,"张家口万全区京能清洁能源有限公司",EPMMemberDesc(X525))</f>
        <v/>
      </c>
      <c r="Z525" s="1302" t="n"/>
      <c r="AA525" s="1302" t="n"/>
      <c r="AB525" s="858" t="n"/>
      <c r="AC525" s="1302" t="n"/>
      <c r="AD525" s="1302" t="n"/>
      <c r="AE525" s="1302" t="inlineStr"/>
      <c r="AF525" s="1302" t="inlineStr"/>
      <c r="AG525" s="1302" t="inlineStr"/>
      <c r="AH525" s="1302" t="n"/>
      <c r="AI525" s="1302" t="n"/>
      <c r="AJ525" s="1302" t="n"/>
      <c r="AK525" s="1302">
        <f>AI525-AJ525</f>
        <v/>
      </c>
      <c r="AL525" s="858" t="n"/>
      <c r="AM525" s="1297" t="inlineStr"/>
      <c r="AN525" s="1298" t="n"/>
      <c r="AO525" s="13">
        <f>IF(_epmOfflineCondition_,0,EPMSaveDataOnly(AB525,,AB$29,AB$25,AB$26,AB$31,AB$32,$AA$37,AO$14,AO$15,AO$16,AO$17,AO$18,X525))</f>
        <v/>
      </c>
      <c r="AP525" s="13">
        <f>IF(_epmOfflineCondition_,0,EPMSaveDataOnly(AL525,,AL$29,AL$25,AL$26,AL$31,AL$32,$AA$37,AP$14,AP$15,AP$16,AP$17,AP$18,$X525))</f>
        <v/>
      </c>
      <c r="AQ525" s="13">
        <f>IF(_epmOfflineCondition_,0,EPMSaveData(AM525,,AM$29,AM$25,AM$26,$C$6,AM$32,$AA$37,AQ$14,AQ$15,AQ$16,AQ$17,AQ$18,$X525))</f>
        <v/>
      </c>
      <c r="AR525" s="13">
        <f>IF(_epmOfflineCondition_,0,EPMSaveDataOnly(AN525,,AN$29,AN$25,AN$26,AN$31,AN$32,$AA$37,AR$14,AR$15,AR$16,AR$17,AR$18,$X525))</f>
        <v/>
      </c>
      <c r="AS525" s="384" t="n"/>
    </row>
    <row r="526" hidden="1" ht="15.75" customHeight="1" s="1181">
      <c r="A526" s="384" t="n"/>
      <c r="B526" s="384" t="n"/>
      <c r="C526" s="384" t="n"/>
      <c r="D526" s="384" t="n"/>
      <c r="E526" s="384" t="n"/>
      <c r="F526" s="384" t="n"/>
      <c r="G526" s="384" t="n"/>
      <c r="H526" s="384" t="n"/>
      <c r="I526" s="384" t="n"/>
      <c r="J526" s="384" t="n"/>
      <c r="K526" s="384" t="n"/>
      <c r="L526" s="384" t="n"/>
      <c r="M526" s="384" t="n"/>
      <c r="N526" s="384" t="n"/>
      <c r="O526" s="384" t="n"/>
      <c r="P526" s="384" t="n"/>
      <c r="Q526" s="384" t="n"/>
      <c r="R526" s="384" t="n"/>
      <c r="S526" s="384" t="n"/>
      <c r="T526" s="384" t="n"/>
      <c r="U526" s="384" t="n"/>
      <c r="V526" s="384" t="n"/>
      <c r="W526" s="384" t="n"/>
      <c r="X526" s="645">
        <f>IF(_epmOfflineCondition_,"I_E100843",EPMOlapMemberO("[C_INTERCO].[PARENTH1].[I_E100843]","","I_E100843","","000"))</f>
        <v/>
      </c>
      <c r="Y526" s="870">
        <f>IF(_epmOfflineCondition_,"北康秦皇岛健康养老有限公司",EPMMemberDesc(X526))</f>
        <v/>
      </c>
      <c r="Z526" s="1302" t="n"/>
      <c r="AA526" s="1302" t="n"/>
      <c r="AB526" s="858" t="n"/>
      <c r="AC526" s="1302" t="n"/>
      <c r="AD526" s="1302" t="n"/>
      <c r="AE526" s="1302" t="inlineStr"/>
      <c r="AF526" s="1302" t="inlineStr"/>
      <c r="AG526" s="1302" t="inlineStr"/>
      <c r="AH526" s="1302" t="n"/>
      <c r="AI526" s="1302" t="n"/>
      <c r="AJ526" s="1302" t="n"/>
      <c r="AK526" s="1302">
        <f>AI526-AJ526</f>
        <v/>
      </c>
      <c r="AL526" s="858" t="n"/>
      <c r="AM526" s="1297" t="inlineStr"/>
      <c r="AN526" s="1298" t="n"/>
      <c r="AO526" s="13">
        <f>IF(_epmOfflineCondition_,0,EPMSaveDataOnly(AB526,,AB$29,AB$25,AB$26,AB$31,AB$32,$AA$37,AO$14,AO$15,AO$16,AO$17,AO$18,X526))</f>
        <v/>
      </c>
      <c r="AP526" s="13">
        <f>IF(_epmOfflineCondition_,0,EPMSaveDataOnly(AL526,,AL$29,AL$25,AL$26,AL$31,AL$32,$AA$37,AP$14,AP$15,AP$16,AP$17,AP$18,$X526))</f>
        <v/>
      </c>
      <c r="AQ526" s="13">
        <f>IF(_epmOfflineCondition_,0,EPMSaveData(AM526,,AM$29,AM$25,AM$26,$C$6,AM$32,$AA$37,AQ$14,AQ$15,AQ$16,AQ$17,AQ$18,$X526))</f>
        <v/>
      </c>
      <c r="AR526" s="13">
        <f>IF(_epmOfflineCondition_,0,EPMSaveDataOnly(AN526,,AN$29,AN$25,AN$26,AN$31,AN$32,$AA$37,AR$14,AR$15,AR$16,AR$17,AR$18,$X526))</f>
        <v/>
      </c>
      <c r="AS526" s="384" t="n"/>
    </row>
    <row r="527" hidden="1" ht="15.75" customHeight="1" s="1181">
      <c r="A527" s="384" t="n"/>
      <c r="B527" s="384" t="n"/>
      <c r="C527" s="384" t="n"/>
      <c r="D527" s="384" t="n"/>
      <c r="E527" s="384" t="n"/>
      <c r="F527" s="384" t="n"/>
      <c r="G527" s="384" t="n"/>
      <c r="H527" s="384" t="n"/>
      <c r="I527" s="384" t="n"/>
      <c r="J527" s="384" t="n"/>
      <c r="K527" s="384" t="n"/>
      <c r="L527" s="384" t="n"/>
      <c r="M527" s="384" t="n"/>
      <c r="N527" s="384" t="n"/>
      <c r="O527" s="384" t="n"/>
      <c r="P527" s="384" t="n"/>
      <c r="Q527" s="384" t="n"/>
      <c r="R527" s="384" t="n"/>
      <c r="S527" s="384" t="n"/>
      <c r="T527" s="384" t="n"/>
      <c r="U527" s="384" t="n"/>
      <c r="V527" s="384" t="n"/>
      <c r="W527" s="384" t="n"/>
      <c r="X527" s="645">
        <f>IF(_epmOfflineCondition_,"I_E100844",EPMOlapMemberO("[C_INTERCO].[PARENTH1].[I_E100844]","","I_E100844","","000"))</f>
        <v/>
      </c>
      <c r="Y527" s="870">
        <f>IF(_epmOfflineCondition_,"天津津南京能清洁能源有限公司",EPMMemberDesc(X527))</f>
        <v/>
      </c>
      <c r="Z527" s="1302" t="n"/>
      <c r="AA527" s="1302" t="n"/>
      <c r="AB527" s="858" t="n"/>
      <c r="AC527" s="1302" t="n"/>
      <c r="AD527" s="1302" t="n"/>
      <c r="AE527" s="1302" t="inlineStr"/>
      <c r="AF527" s="1302" t="inlineStr"/>
      <c r="AG527" s="1302" t="inlineStr"/>
      <c r="AH527" s="1302" t="n"/>
      <c r="AI527" s="1302" t="n"/>
      <c r="AJ527" s="1302" t="n"/>
      <c r="AK527" s="1302">
        <f>AI527-AJ527</f>
        <v/>
      </c>
      <c r="AL527" s="858" t="n"/>
      <c r="AM527" s="1297" t="inlineStr"/>
      <c r="AN527" s="1298" t="n"/>
      <c r="AO527" s="13">
        <f>IF(_epmOfflineCondition_,0,EPMSaveDataOnly(AB527,,AB$29,AB$25,AB$26,AB$31,AB$32,$AA$37,AO$14,AO$15,AO$16,AO$17,AO$18,X527))</f>
        <v/>
      </c>
      <c r="AP527" s="13">
        <f>IF(_epmOfflineCondition_,0,EPMSaveDataOnly(AL527,,AL$29,AL$25,AL$26,AL$31,AL$32,$AA$37,AP$14,AP$15,AP$16,AP$17,AP$18,$X527))</f>
        <v/>
      </c>
      <c r="AQ527" s="13">
        <f>IF(_epmOfflineCondition_,0,EPMSaveData(AM527,,AM$29,AM$25,AM$26,$C$6,AM$32,$AA$37,AQ$14,AQ$15,AQ$16,AQ$17,AQ$18,$X527))</f>
        <v/>
      </c>
      <c r="AR527" s="13">
        <f>IF(_epmOfflineCondition_,0,EPMSaveDataOnly(AN527,,AN$29,AN$25,AN$26,AN$31,AN$32,$AA$37,AR$14,AR$15,AR$16,AR$17,AR$18,$X527))</f>
        <v/>
      </c>
      <c r="AS527" s="384" t="n"/>
    </row>
    <row r="528" hidden="1" ht="15.75" customHeight="1" s="1181">
      <c r="A528" s="384" t="n"/>
      <c r="B528" s="384" t="n"/>
      <c r="C528" s="384" t="n"/>
      <c r="D528" s="384" t="n"/>
      <c r="E528" s="384" t="n"/>
      <c r="F528" s="384" t="n"/>
      <c r="G528" s="384" t="n"/>
      <c r="H528" s="384" t="n"/>
      <c r="I528" s="384" t="n"/>
      <c r="J528" s="384" t="n"/>
      <c r="K528" s="384" t="n"/>
      <c r="L528" s="384" t="n"/>
      <c r="M528" s="384" t="n"/>
      <c r="N528" s="384" t="n"/>
      <c r="O528" s="384" t="n"/>
      <c r="P528" s="384" t="n"/>
      <c r="Q528" s="384" t="n"/>
      <c r="R528" s="384" t="n"/>
      <c r="S528" s="384" t="n"/>
      <c r="T528" s="384" t="n"/>
      <c r="U528" s="384" t="n"/>
      <c r="V528" s="384" t="n"/>
      <c r="W528" s="384" t="n"/>
      <c r="X528" s="645">
        <f>IF(_epmOfflineCondition_,"I_E100845",EPMOlapMemberO("[C_INTERCO].[PARENTH1].[I_E100845]","","I_E100845","","000"))</f>
        <v/>
      </c>
      <c r="Y528" s="870">
        <f>IF(_epmOfflineCondition_,"二连浩特京能新能源有限公司",EPMMemberDesc(X528))</f>
        <v/>
      </c>
      <c r="Z528" s="1302" t="n"/>
      <c r="AA528" s="1302" t="n"/>
      <c r="AB528" s="858" t="n"/>
      <c r="AC528" s="1302" t="n"/>
      <c r="AD528" s="1302" t="n"/>
      <c r="AE528" s="1302" t="inlineStr"/>
      <c r="AF528" s="1302" t="inlineStr"/>
      <c r="AG528" s="1302" t="inlineStr"/>
      <c r="AH528" s="1302" t="n"/>
      <c r="AI528" s="1302" t="n"/>
      <c r="AJ528" s="1302" t="n"/>
      <c r="AK528" s="1302">
        <f>AI528-AJ528</f>
        <v/>
      </c>
      <c r="AL528" s="858" t="n"/>
      <c r="AM528" s="1297" t="inlineStr"/>
      <c r="AN528" s="1298" t="n"/>
      <c r="AO528" s="13">
        <f>IF(_epmOfflineCondition_,0,EPMSaveDataOnly(AB528,,AB$29,AB$25,AB$26,AB$31,AB$32,$AA$37,AO$14,AO$15,AO$16,AO$17,AO$18,X528))</f>
        <v/>
      </c>
      <c r="AP528" s="13">
        <f>IF(_epmOfflineCondition_,0,EPMSaveDataOnly(AL528,,AL$29,AL$25,AL$26,AL$31,AL$32,$AA$37,AP$14,AP$15,AP$16,AP$17,AP$18,$X528))</f>
        <v/>
      </c>
      <c r="AQ528" s="13">
        <f>IF(_epmOfflineCondition_,0,EPMSaveData(AM528,,AM$29,AM$25,AM$26,$C$6,AM$32,$AA$37,AQ$14,AQ$15,AQ$16,AQ$17,AQ$18,$X528))</f>
        <v/>
      </c>
      <c r="AR528" s="13">
        <f>IF(_epmOfflineCondition_,0,EPMSaveDataOnly(AN528,,AN$29,AN$25,AN$26,AN$31,AN$32,$AA$37,AR$14,AR$15,AR$16,AR$17,AR$18,$X528))</f>
        <v/>
      </c>
      <c r="AS528" s="384" t="n"/>
    </row>
    <row r="529" hidden="1" ht="15.75" customHeight="1" s="1181">
      <c r="A529" s="384" t="n"/>
      <c r="B529" s="384" t="n"/>
      <c r="C529" s="384" t="n"/>
      <c r="D529" s="384" t="n"/>
      <c r="E529" s="384" t="n"/>
      <c r="F529" s="384" t="n"/>
      <c r="G529" s="384" t="n"/>
      <c r="H529" s="384" t="n"/>
      <c r="I529" s="384" t="n"/>
      <c r="J529" s="384" t="n"/>
      <c r="K529" s="384" t="n"/>
      <c r="L529" s="384" t="n"/>
      <c r="M529" s="384" t="n"/>
      <c r="N529" s="384" t="n"/>
      <c r="O529" s="384" t="n"/>
      <c r="P529" s="384" t="n"/>
      <c r="Q529" s="384" t="n"/>
      <c r="R529" s="384" t="n"/>
      <c r="S529" s="384" t="n"/>
      <c r="T529" s="384" t="n"/>
      <c r="U529" s="384" t="n"/>
      <c r="V529" s="384" t="n"/>
      <c r="W529" s="384" t="n"/>
      <c r="X529" s="645">
        <f>IF(_epmOfflineCondition_,"I_E100847",EPMOlapMemberO("[C_INTERCO].[PARENTH1].[I_E100847]","","I_E100847","","000"))</f>
        <v/>
      </c>
      <c r="Y529" s="870">
        <f>IF(_epmOfflineCondition_,"北京金泰之家通华苑饭店有限公司容园宾馆",EPMMemberDesc(X529))</f>
        <v/>
      </c>
      <c r="Z529" s="1302" t="n"/>
      <c r="AA529" s="1302" t="n"/>
      <c r="AB529" s="858" t="n"/>
      <c r="AC529" s="1302" t="n"/>
      <c r="AD529" s="1302" t="n"/>
      <c r="AE529" s="1302" t="inlineStr"/>
      <c r="AF529" s="1302" t="inlineStr"/>
      <c r="AG529" s="1302" t="inlineStr"/>
      <c r="AH529" s="1302" t="n"/>
      <c r="AI529" s="1302" t="n"/>
      <c r="AJ529" s="1302" t="n"/>
      <c r="AK529" s="1302">
        <f>AI529-AJ529</f>
        <v/>
      </c>
      <c r="AL529" s="858" t="n"/>
      <c r="AM529" s="1297" t="inlineStr"/>
      <c r="AN529" s="1298" t="n"/>
      <c r="AO529" s="13">
        <f>IF(_epmOfflineCondition_,0,EPMSaveDataOnly(AB529,,AB$29,AB$25,AB$26,AB$31,AB$32,$AA$37,AO$14,AO$15,AO$16,AO$17,AO$18,X529))</f>
        <v/>
      </c>
      <c r="AP529" s="13">
        <f>IF(_epmOfflineCondition_,0,EPMSaveDataOnly(AL529,,AL$29,AL$25,AL$26,AL$31,AL$32,$AA$37,AP$14,AP$15,AP$16,AP$17,AP$18,$X529))</f>
        <v/>
      </c>
      <c r="AQ529" s="13">
        <f>IF(_epmOfflineCondition_,0,EPMSaveData(AM529,,AM$29,AM$25,AM$26,$C$6,AM$32,$AA$37,AQ$14,AQ$15,AQ$16,AQ$17,AQ$18,$X529))</f>
        <v/>
      </c>
      <c r="AR529" s="13">
        <f>IF(_epmOfflineCondition_,0,EPMSaveDataOnly(AN529,,AN$29,AN$25,AN$26,AN$31,AN$32,$AA$37,AR$14,AR$15,AR$16,AR$17,AR$18,$X529))</f>
        <v/>
      </c>
      <c r="AS529" s="384" t="n"/>
    </row>
    <row r="530" hidden="1" ht="15.75" customHeight="1" s="1181">
      <c r="A530" s="384" t="n"/>
      <c r="B530" s="384" t="n"/>
      <c r="C530" s="384" t="n"/>
      <c r="D530" s="384" t="n"/>
      <c r="E530" s="384" t="n"/>
      <c r="F530" s="384" t="n"/>
      <c r="G530" s="384" t="n"/>
      <c r="H530" s="384" t="n"/>
      <c r="I530" s="384" t="n"/>
      <c r="J530" s="384" t="n"/>
      <c r="K530" s="384" t="n"/>
      <c r="L530" s="384" t="n"/>
      <c r="M530" s="384" t="n"/>
      <c r="N530" s="384" t="n"/>
      <c r="O530" s="384" t="n"/>
      <c r="P530" s="384" t="n"/>
      <c r="Q530" s="384" t="n"/>
      <c r="R530" s="384" t="n"/>
      <c r="S530" s="384" t="n"/>
      <c r="T530" s="384" t="n"/>
      <c r="U530" s="384" t="n"/>
      <c r="V530" s="384" t="n"/>
      <c r="W530" s="384" t="n"/>
      <c r="X530" s="645">
        <f>IF(_epmOfflineCondition_,"I_E100858",EPMOlapMemberO("[C_INTERCO].[PARENTH1].[I_E100858]","","I_E100858","","000"))</f>
        <v/>
      </c>
      <c r="Y530" s="870">
        <f>IF(_epmOfflineCondition_,"北京京能能源科技并购投资基金（有限合伙）",EPMMemberDesc(X530))</f>
        <v/>
      </c>
      <c r="Z530" s="1302" t="n"/>
      <c r="AA530" s="1302" t="n"/>
      <c r="AB530" s="858" t="n"/>
      <c r="AC530" s="1302" t="n"/>
      <c r="AD530" s="1302" t="n"/>
      <c r="AE530" s="1302" t="inlineStr"/>
      <c r="AF530" s="1302" t="inlineStr"/>
      <c r="AG530" s="1302" t="inlineStr"/>
      <c r="AH530" s="1302" t="n"/>
      <c r="AI530" s="1302" t="n"/>
      <c r="AJ530" s="1302" t="n"/>
      <c r="AK530" s="1302">
        <f>AI530-AJ530</f>
        <v/>
      </c>
      <c r="AL530" s="858" t="n"/>
      <c r="AM530" s="1297" t="inlineStr"/>
      <c r="AN530" s="1298" t="n"/>
      <c r="AO530" s="13">
        <f>IF(_epmOfflineCondition_,0,EPMSaveDataOnly(AB530,,AB$29,AB$25,AB$26,AB$31,AB$32,$AA$37,AO$14,AO$15,AO$16,AO$17,AO$18,X530))</f>
        <v/>
      </c>
      <c r="AP530" s="13">
        <f>IF(_epmOfflineCondition_,0,EPMSaveDataOnly(AL530,,AL$29,AL$25,AL$26,AL$31,AL$32,$AA$37,AP$14,AP$15,AP$16,AP$17,AP$18,$X530))</f>
        <v/>
      </c>
      <c r="AQ530" s="13">
        <f>IF(_epmOfflineCondition_,0,EPMSaveData(AM530,,AM$29,AM$25,AM$26,$C$6,AM$32,$AA$37,AQ$14,AQ$15,AQ$16,AQ$17,AQ$18,$X530))</f>
        <v/>
      </c>
      <c r="AR530" s="13">
        <f>IF(_epmOfflineCondition_,0,EPMSaveDataOnly(AN530,,AN$29,AN$25,AN$26,AN$31,AN$32,$AA$37,AR$14,AR$15,AR$16,AR$17,AR$18,$X530))</f>
        <v/>
      </c>
      <c r="AS530" s="384" t="n"/>
    </row>
    <row r="531" hidden="1" ht="15.75" customHeight="1" s="1181">
      <c r="A531" s="384" t="n"/>
      <c r="B531" s="384" t="n"/>
      <c r="C531" s="384" t="n"/>
      <c r="D531" s="384" t="n"/>
      <c r="E531" s="384" t="n"/>
      <c r="F531" s="384" t="n"/>
      <c r="G531" s="384" t="n"/>
      <c r="H531" s="384" t="n"/>
      <c r="I531" s="384" t="n"/>
      <c r="J531" s="384" t="n"/>
      <c r="K531" s="384" t="n"/>
      <c r="L531" s="384" t="n"/>
      <c r="M531" s="384" t="n"/>
      <c r="N531" s="384" t="n"/>
      <c r="O531" s="384" t="n"/>
      <c r="P531" s="384" t="n"/>
      <c r="Q531" s="384" t="n"/>
      <c r="R531" s="384" t="n"/>
      <c r="S531" s="384" t="n"/>
      <c r="T531" s="384" t="n"/>
      <c r="U531" s="384" t="n"/>
      <c r="V531" s="384" t="n"/>
      <c r="W531" s="384" t="n"/>
      <c r="X531" s="645">
        <f>IF(_epmOfflineCondition_,"I_E100859",EPMOlapMemberO("[C_INTERCO].[PARENTH1].[I_E100859]","","I_E100859","","000"))</f>
        <v/>
      </c>
      <c r="Y531" s="870">
        <f>IF(_epmOfflineCondition_,"北京诚和敬驿站养老服务有限公司",EPMMemberDesc(X531))</f>
        <v/>
      </c>
      <c r="Z531" s="1302" t="n"/>
      <c r="AA531" s="1302" t="n"/>
      <c r="AB531" s="858" t="n"/>
      <c r="AC531" s="1302" t="n"/>
      <c r="AD531" s="1302" t="n"/>
      <c r="AE531" s="1302" t="inlineStr"/>
      <c r="AF531" s="1302" t="inlineStr"/>
      <c r="AG531" s="1302" t="inlineStr"/>
      <c r="AH531" s="1302" t="n"/>
      <c r="AI531" s="1302" t="n"/>
      <c r="AJ531" s="1302" t="n"/>
      <c r="AK531" s="1302">
        <f>AI531-AJ531</f>
        <v/>
      </c>
      <c r="AL531" s="858" t="n"/>
      <c r="AM531" s="1297" t="inlineStr"/>
      <c r="AN531" s="1298" t="n"/>
      <c r="AO531" s="13">
        <f>IF(_epmOfflineCondition_,0,EPMSaveDataOnly(AB531,,AB$29,AB$25,AB$26,AB$31,AB$32,$AA$37,AO$14,AO$15,AO$16,AO$17,AO$18,X531))</f>
        <v/>
      </c>
      <c r="AP531" s="13">
        <f>IF(_epmOfflineCondition_,0,EPMSaveDataOnly(AL531,,AL$29,AL$25,AL$26,AL$31,AL$32,$AA$37,AP$14,AP$15,AP$16,AP$17,AP$18,$X531))</f>
        <v/>
      </c>
      <c r="AQ531" s="13">
        <f>IF(_epmOfflineCondition_,0,EPMSaveData(AM531,,AM$29,AM$25,AM$26,$C$6,AM$32,$AA$37,AQ$14,AQ$15,AQ$16,AQ$17,AQ$18,$X531))</f>
        <v/>
      </c>
      <c r="AR531" s="13">
        <f>IF(_epmOfflineCondition_,0,EPMSaveDataOnly(AN531,,AN$29,AN$25,AN$26,AN$31,AN$32,$AA$37,AR$14,AR$15,AR$16,AR$17,AR$18,$X531))</f>
        <v/>
      </c>
      <c r="AS531" s="384" t="n"/>
    </row>
    <row r="532" hidden="1" ht="15.75" customHeight="1" s="1181">
      <c r="A532" s="384" t="n"/>
      <c r="B532" s="384" t="n"/>
      <c r="C532" s="384" t="n"/>
      <c r="D532" s="384" t="n"/>
      <c r="E532" s="384" t="n"/>
      <c r="F532" s="384" t="n"/>
      <c r="G532" s="384" t="n"/>
      <c r="H532" s="384" t="n"/>
      <c r="I532" s="384" t="n"/>
      <c r="J532" s="384" t="n"/>
      <c r="K532" s="384" t="n"/>
      <c r="L532" s="384" t="n"/>
      <c r="M532" s="384" t="n"/>
      <c r="N532" s="384" t="n"/>
      <c r="O532" s="384" t="n"/>
      <c r="P532" s="384" t="n"/>
      <c r="Q532" s="384" t="n"/>
      <c r="R532" s="384" t="n"/>
      <c r="S532" s="384" t="n"/>
      <c r="T532" s="384" t="n"/>
      <c r="U532" s="384" t="n"/>
      <c r="V532" s="384" t="n"/>
      <c r="W532" s="384" t="n"/>
      <c r="X532" s="645">
        <f>IF(_epmOfflineCondition_,"I_E100861",EPMOlapMemberO("[C_INTERCO].[PARENTH1].[I_E100861]","","I_E100861","","000"))</f>
        <v/>
      </c>
      <c r="Y532" s="870">
        <f>IF(_epmOfflineCondition_,"京能阿巴嘎旗生态科技有限公司",EPMMemberDesc(X532))</f>
        <v/>
      </c>
      <c r="Z532" s="1302" t="n"/>
      <c r="AA532" s="1302" t="n"/>
      <c r="AB532" s="858" t="n"/>
      <c r="AC532" s="1302" t="n"/>
      <c r="AD532" s="1302" t="n"/>
      <c r="AE532" s="1302" t="inlineStr"/>
      <c r="AF532" s="1302" t="inlineStr"/>
      <c r="AG532" s="1302" t="inlineStr"/>
      <c r="AH532" s="1302" t="n"/>
      <c r="AI532" s="1302" t="n"/>
      <c r="AJ532" s="1302" t="n"/>
      <c r="AK532" s="1302">
        <f>AI532-AJ532</f>
        <v/>
      </c>
      <c r="AL532" s="858" t="n"/>
      <c r="AM532" s="1297" t="inlineStr"/>
      <c r="AN532" s="1298" t="n"/>
      <c r="AO532" s="13">
        <f>IF(_epmOfflineCondition_,0,EPMSaveDataOnly(AB532,,AB$29,AB$25,AB$26,AB$31,AB$32,$AA$37,AO$14,AO$15,AO$16,AO$17,AO$18,X532))</f>
        <v/>
      </c>
      <c r="AP532" s="13">
        <f>IF(_epmOfflineCondition_,0,EPMSaveDataOnly(AL532,,AL$29,AL$25,AL$26,AL$31,AL$32,$AA$37,AP$14,AP$15,AP$16,AP$17,AP$18,$X532))</f>
        <v/>
      </c>
      <c r="AQ532" s="13">
        <f>IF(_epmOfflineCondition_,0,EPMSaveData(AM532,,AM$29,AM$25,AM$26,$C$6,AM$32,$AA$37,AQ$14,AQ$15,AQ$16,AQ$17,AQ$18,$X532))</f>
        <v/>
      </c>
      <c r="AR532" s="13">
        <f>IF(_epmOfflineCondition_,0,EPMSaveDataOnly(AN532,,AN$29,AN$25,AN$26,AN$31,AN$32,$AA$37,AR$14,AR$15,AR$16,AR$17,AR$18,$X532))</f>
        <v/>
      </c>
      <c r="AS532" s="384" t="n"/>
    </row>
    <row r="533" hidden="1" ht="15.75" customHeight="1" s="1181">
      <c r="A533" s="384" t="n"/>
      <c r="B533" s="384" t="n"/>
      <c r="C533" s="384" t="n"/>
      <c r="D533" s="384" t="n"/>
      <c r="E533" s="384" t="n"/>
      <c r="F533" s="384" t="n"/>
      <c r="G533" s="384" t="n"/>
      <c r="H533" s="384" t="n"/>
      <c r="I533" s="384" t="n"/>
      <c r="J533" s="384" t="n"/>
      <c r="K533" s="384" t="n"/>
      <c r="L533" s="384" t="n"/>
      <c r="M533" s="384" t="n"/>
      <c r="N533" s="384" t="n"/>
      <c r="O533" s="384" t="n"/>
      <c r="P533" s="384" t="n"/>
      <c r="Q533" s="384" t="n"/>
      <c r="R533" s="384" t="n"/>
      <c r="S533" s="384" t="n"/>
      <c r="T533" s="384" t="n"/>
      <c r="U533" s="384" t="n"/>
      <c r="V533" s="384" t="n"/>
      <c r="W533" s="384" t="n"/>
      <c r="X533" s="645">
        <f>IF(_epmOfflineCondition_,"I_E100729",EPMOlapMemberO("[C_INTERCO].[PARENTH1].[I_E100729]","","I_E100729","","000"))</f>
        <v/>
      </c>
      <c r="Y533" s="870">
        <f>IF(_epmOfflineCondition_,"北京京能国际控股有限公司",EPMMemberDesc(X533))</f>
        <v/>
      </c>
      <c r="Z533" s="1302" t="n"/>
      <c r="AA533" s="1302" t="n"/>
      <c r="AB533" s="858" t="n"/>
      <c r="AC533" s="1302" t="n"/>
      <c r="AD533" s="1302" t="n"/>
      <c r="AE533" s="1302" t="inlineStr"/>
      <c r="AF533" s="1302" t="inlineStr"/>
      <c r="AG533" s="1302" t="inlineStr"/>
      <c r="AH533" s="1302" t="n"/>
      <c r="AI533" s="1302" t="n"/>
      <c r="AJ533" s="1302" t="n"/>
      <c r="AK533" s="1302">
        <f>AI533-AJ533</f>
        <v/>
      </c>
      <c r="AL533" s="858" t="n"/>
      <c r="AM533" s="1297" t="inlineStr"/>
      <c r="AN533" s="1298" t="n"/>
      <c r="AO533" s="13">
        <f>IF(_epmOfflineCondition_,0,EPMSaveDataOnly(AB533,,AB$29,AB$25,AB$26,AB$31,AB$32,$AA$37,AO$14,AO$15,AO$16,AO$17,AO$18,X533))</f>
        <v/>
      </c>
      <c r="AP533" s="13">
        <f>IF(_epmOfflineCondition_,0,EPMSaveDataOnly(AL533,,AL$29,AL$25,AL$26,AL$31,AL$32,$AA$37,AP$14,AP$15,AP$16,AP$17,AP$18,$X533))</f>
        <v/>
      </c>
      <c r="AQ533" s="13">
        <f>IF(_epmOfflineCondition_,0,EPMSaveData(AM533,,AM$29,AM$25,AM$26,$C$6,AM$32,$AA$37,AQ$14,AQ$15,AQ$16,AQ$17,AQ$18,$X533))</f>
        <v/>
      </c>
      <c r="AR533" s="13">
        <f>IF(_epmOfflineCondition_,0,EPMSaveDataOnly(AN533,,AN$29,AN$25,AN$26,AN$31,AN$32,$AA$37,AR$14,AR$15,AR$16,AR$17,AR$18,$X533))</f>
        <v/>
      </c>
      <c r="AS533" s="384" t="n"/>
    </row>
    <row r="534" hidden="1" ht="15.75" customHeight="1" s="1181">
      <c r="A534" s="384" t="n"/>
      <c r="B534" s="384" t="n"/>
      <c r="C534" s="384" t="n"/>
      <c r="D534" s="384" t="n"/>
      <c r="E534" s="384" t="n"/>
      <c r="F534" s="384" t="n"/>
      <c r="G534" s="384" t="n"/>
      <c r="H534" s="384" t="n"/>
      <c r="I534" s="384" t="n"/>
      <c r="J534" s="384" t="n"/>
      <c r="K534" s="384" t="n"/>
      <c r="L534" s="384" t="n"/>
      <c r="M534" s="384" t="n"/>
      <c r="N534" s="384" t="n"/>
      <c r="O534" s="384" t="n"/>
      <c r="P534" s="384" t="n"/>
      <c r="Q534" s="384" t="n"/>
      <c r="R534" s="384" t="n"/>
      <c r="S534" s="384" t="n"/>
      <c r="T534" s="384" t="n"/>
      <c r="U534" s="384" t="n"/>
      <c r="V534" s="384" t="n"/>
      <c r="W534" s="384" t="n"/>
      <c r="X534" s="645">
        <f>IF(_epmOfflineCondition_,"I_E100735",EPMOlapMemberO("[C_INTERCO].[PARENTH1].[I_E100735]","","I_E100735","","000"))</f>
        <v/>
      </c>
      <c r="Y534" s="870">
        <f>IF(_epmOfflineCondition_,"内蒙古京能新能源科技有限公司",EPMMemberDesc(X534))</f>
        <v/>
      </c>
      <c r="Z534" s="1302" t="n"/>
      <c r="AA534" s="1302" t="n"/>
      <c r="AB534" s="858" t="n"/>
      <c r="AC534" s="1302" t="n"/>
      <c r="AD534" s="1302" t="n"/>
      <c r="AE534" s="1302" t="inlineStr"/>
      <c r="AF534" s="1302" t="inlineStr"/>
      <c r="AG534" s="1302" t="inlineStr"/>
      <c r="AH534" s="1302" t="n"/>
      <c r="AI534" s="1302" t="n"/>
      <c r="AJ534" s="1302" t="n"/>
      <c r="AK534" s="1302">
        <f>AI534-AJ534</f>
        <v/>
      </c>
      <c r="AL534" s="858" t="n"/>
      <c r="AM534" s="1297" t="inlineStr"/>
      <c r="AN534" s="1298" t="n"/>
      <c r="AO534" s="13">
        <f>IF(_epmOfflineCondition_,0,EPMSaveDataOnly(AB534,,AB$29,AB$25,AB$26,AB$31,AB$32,$AA$37,AO$14,AO$15,AO$16,AO$17,AO$18,X534))</f>
        <v/>
      </c>
      <c r="AP534" s="13">
        <f>IF(_epmOfflineCondition_,0,EPMSaveDataOnly(AL534,,AL$29,AL$25,AL$26,AL$31,AL$32,$AA$37,AP$14,AP$15,AP$16,AP$17,AP$18,$X534))</f>
        <v/>
      </c>
      <c r="AQ534" s="13">
        <f>IF(_epmOfflineCondition_,0,EPMSaveData(AM534,,AM$29,AM$25,AM$26,$C$6,AM$32,$AA$37,AQ$14,AQ$15,AQ$16,AQ$17,AQ$18,$X534))</f>
        <v/>
      </c>
      <c r="AR534" s="13">
        <f>IF(_epmOfflineCondition_,0,EPMSaveDataOnly(AN534,,AN$29,AN$25,AN$26,AN$31,AN$32,$AA$37,AR$14,AR$15,AR$16,AR$17,AR$18,$X534))</f>
        <v/>
      </c>
      <c r="AS534" s="384" t="n"/>
    </row>
    <row r="535" hidden="1" ht="15.75" customHeight="1" s="1181">
      <c r="A535" s="384" t="n"/>
      <c r="B535" s="384" t="n"/>
      <c r="C535" s="384" t="n"/>
      <c r="D535" s="384" t="n"/>
      <c r="E535" s="384" t="n"/>
      <c r="F535" s="384" t="n"/>
      <c r="G535" s="384" t="n"/>
      <c r="H535" s="384" t="n"/>
      <c r="I535" s="384" t="n"/>
      <c r="J535" s="384" t="n"/>
      <c r="K535" s="384" t="n"/>
      <c r="L535" s="384" t="n"/>
      <c r="M535" s="384" t="n"/>
      <c r="N535" s="384" t="n"/>
      <c r="O535" s="384" t="n"/>
      <c r="P535" s="384" t="n"/>
      <c r="Q535" s="384" t="n"/>
      <c r="R535" s="384" t="n"/>
      <c r="S535" s="384" t="n"/>
      <c r="T535" s="384" t="n"/>
      <c r="U535" s="384" t="n"/>
      <c r="V535" s="384" t="n"/>
      <c r="W535" s="384" t="n"/>
      <c r="X535" s="645">
        <f>IF(_epmOfflineCondition_,"I_E100736",EPMOlapMemberO("[C_INTERCO].[PARENTH1].[I_E100736]","","I_E100736","","000"))</f>
        <v/>
      </c>
      <c r="Y535" s="870">
        <f>IF(_epmOfflineCondition_,"宁夏中自太阳能光伏发电有限公司",EPMMemberDesc(X535))</f>
        <v/>
      </c>
      <c r="Z535" s="1302" t="n"/>
      <c r="AA535" s="1302" t="n"/>
      <c r="AB535" s="858" t="n"/>
      <c r="AC535" s="1302" t="n"/>
      <c r="AD535" s="1302" t="n"/>
      <c r="AE535" s="1302" t="inlineStr"/>
      <c r="AF535" s="1302" t="inlineStr"/>
      <c r="AG535" s="1302" t="inlineStr"/>
      <c r="AH535" s="1302" t="n"/>
      <c r="AI535" s="1302" t="n"/>
      <c r="AJ535" s="1302" t="n"/>
      <c r="AK535" s="1302">
        <f>AI535-AJ535</f>
        <v/>
      </c>
      <c r="AL535" s="858" t="n"/>
      <c r="AM535" s="1297" t="inlineStr"/>
      <c r="AN535" s="1298" t="n"/>
      <c r="AO535" s="13">
        <f>IF(_epmOfflineCondition_,0,EPMSaveDataOnly(AB535,,AB$29,AB$25,AB$26,AB$31,AB$32,$AA$37,AO$14,AO$15,AO$16,AO$17,AO$18,X535))</f>
        <v/>
      </c>
      <c r="AP535" s="13">
        <f>IF(_epmOfflineCondition_,0,EPMSaveDataOnly(AL535,,AL$29,AL$25,AL$26,AL$31,AL$32,$AA$37,AP$14,AP$15,AP$16,AP$17,AP$18,$X535))</f>
        <v/>
      </c>
      <c r="AQ535" s="13">
        <f>IF(_epmOfflineCondition_,0,EPMSaveData(AM535,,AM$29,AM$25,AM$26,$C$6,AM$32,$AA$37,AQ$14,AQ$15,AQ$16,AQ$17,AQ$18,$X535))</f>
        <v/>
      </c>
      <c r="AR535" s="13">
        <f>IF(_epmOfflineCondition_,0,EPMSaveDataOnly(AN535,,AN$29,AN$25,AN$26,AN$31,AN$32,$AA$37,AR$14,AR$15,AR$16,AR$17,AR$18,$X535))</f>
        <v/>
      </c>
      <c r="AS535" s="384" t="n"/>
    </row>
    <row r="536" hidden="1" ht="15.75" customHeight="1" s="1181">
      <c r="A536" s="384" t="n"/>
      <c r="B536" s="384" t="n"/>
      <c r="C536" s="384" t="n"/>
      <c r="D536" s="384" t="n"/>
      <c r="E536" s="384" t="n"/>
      <c r="F536" s="384" t="n"/>
      <c r="G536" s="384" t="n"/>
      <c r="H536" s="384" t="n"/>
      <c r="I536" s="384" t="n"/>
      <c r="J536" s="384" t="n"/>
      <c r="K536" s="384" t="n"/>
      <c r="L536" s="384" t="n"/>
      <c r="M536" s="384" t="n"/>
      <c r="N536" s="384" t="n"/>
      <c r="O536" s="384" t="n"/>
      <c r="P536" s="384" t="n"/>
      <c r="Q536" s="384" t="n"/>
      <c r="R536" s="384" t="n"/>
      <c r="S536" s="384" t="n"/>
      <c r="T536" s="384" t="n"/>
      <c r="U536" s="384" t="n"/>
      <c r="V536" s="384" t="n"/>
      <c r="W536" s="384" t="n"/>
      <c r="X536" s="645">
        <f>IF(_epmOfflineCondition_,"I_E100738",EPMOlapMemberO("[C_INTERCO].[PARENTH1].[I_E100738]","","I_E100738","","000"))</f>
        <v/>
      </c>
      <c r="Y536" s="870">
        <f>IF(_epmOfflineCondition_,"西藏藏能股份有限公司",EPMMemberDesc(X536))</f>
        <v/>
      </c>
      <c r="Z536" s="1302" t="n"/>
      <c r="AA536" s="1302" t="n"/>
      <c r="AB536" s="858" t="n"/>
      <c r="AC536" s="1302" t="n"/>
      <c r="AD536" s="1302" t="n"/>
      <c r="AE536" s="1302" t="inlineStr"/>
      <c r="AF536" s="1302" t="inlineStr"/>
      <c r="AG536" s="1302" t="inlineStr"/>
      <c r="AH536" s="1302" t="n"/>
      <c r="AI536" s="1302" t="n"/>
      <c r="AJ536" s="1302" t="n"/>
      <c r="AK536" s="1302">
        <f>AI536-AJ536</f>
        <v/>
      </c>
      <c r="AL536" s="858" t="n"/>
      <c r="AM536" s="1297" t="inlineStr"/>
      <c r="AN536" s="1298" t="n"/>
      <c r="AO536" s="13">
        <f>IF(_epmOfflineCondition_,0,EPMSaveDataOnly(AB536,,AB$29,AB$25,AB$26,AB$31,AB$32,$AA$37,AO$14,AO$15,AO$16,AO$17,AO$18,X536))</f>
        <v/>
      </c>
      <c r="AP536" s="13">
        <f>IF(_epmOfflineCondition_,0,EPMSaveDataOnly(AL536,,AL$29,AL$25,AL$26,AL$31,AL$32,$AA$37,AP$14,AP$15,AP$16,AP$17,AP$18,$X536))</f>
        <v/>
      </c>
      <c r="AQ536" s="13">
        <f>IF(_epmOfflineCondition_,0,EPMSaveData(AM536,,AM$29,AM$25,AM$26,$C$6,AM$32,$AA$37,AQ$14,AQ$15,AQ$16,AQ$17,AQ$18,$X536))</f>
        <v/>
      </c>
      <c r="AR536" s="13">
        <f>IF(_epmOfflineCondition_,0,EPMSaveDataOnly(AN536,,AN$29,AN$25,AN$26,AN$31,AN$32,$AA$37,AR$14,AR$15,AR$16,AR$17,AR$18,$X536))</f>
        <v/>
      </c>
      <c r="AS536" s="384" t="n"/>
    </row>
    <row r="537" hidden="1" ht="15.75" customHeight="1" s="1181">
      <c r="A537" s="384" t="n"/>
      <c r="B537" s="384" t="n"/>
      <c r="C537" s="384" t="n"/>
      <c r="D537" s="384" t="n"/>
      <c r="E537" s="384" t="n"/>
      <c r="F537" s="384" t="n"/>
      <c r="G537" s="384" t="n"/>
      <c r="H537" s="384" t="n"/>
      <c r="I537" s="384" t="n"/>
      <c r="J537" s="384" t="n"/>
      <c r="K537" s="384" t="n"/>
      <c r="L537" s="384" t="n"/>
      <c r="M537" s="384" t="n"/>
      <c r="N537" s="384" t="n"/>
      <c r="O537" s="384" t="n"/>
      <c r="P537" s="384" t="n"/>
      <c r="Q537" s="384" t="n"/>
      <c r="R537" s="384" t="n"/>
      <c r="S537" s="384" t="n"/>
      <c r="T537" s="384" t="n"/>
      <c r="U537" s="384" t="n"/>
      <c r="V537" s="384" t="n"/>
      <c r="W537" s="384" t="n"/>
      <c r="X537" s="645">
        <f>IF(_epmOfflineCondition_,"I_E100748",EPMOlapMemberO("[C_INTERCO].[PARENTH1].[I_E100748]","","I_E100748","","000"))</f>
        <v/>
      </c>
      <c r="Y537" s="870">
        <f>IF(_epmOfflineCondition_,"北京京能国际综合智慧能源有限公司",EPMMemberDesc(X537))</f>
        <v/>
      </c>
      <c r="Z537" s="1302" t="n"/>
      <c r="AA537" s="1302" t="n"/>
      <c r="AB537" s="858" t="n"/>
      <c r="AC537" s="1302" t="n"/>
      <c r="AD537" s="1302" t="n"/>
      <c r="AE537" s="1302" t="inlineStr"/>
      <c r="AF537" s="1302" t="inlineStr"/>
      <c r="AG537" s="1302" t="inlineStr"/>
      <c r="AH537" s="1302" t="n"/>
      <c r="AI537" s="1302" t="n"/>
      <c r="AJ537" s="1302" t="n"/>
      <c r="AK537" s="1302">
        <f>AI537-AJ537</f>
        <v/>
      </c>
      <c r="AL537" s="858" t="n"/>
      <c r="AM537" s="1297" t="inlineStr"/>
      <c r="AN537" s="1298" t="n"/>
      <c r="AO537" s="13">
        <f>IF(_epmOfflineCondition_,0,EPMSaveDataOnly(AB537,,AB$29,AB$25,AB$26,AB$31,AB$32,$AA$37,AO$14,AO$15,AO$16,AO$17,AO$18,X537))</f>
        <v/>
      </c>
      <c r="AP537" s="13">
        <f>IF(_epmOfflineCondition_,0,EPMSaveDataOnly(AL537,,AL$29,AL$25,AL$26,AL$31,AL$32,$AA$37,AP$14,AP$15,AP$16,AP$17,AP$18,$X537))</f>
        <v/>
      </c>
      <c r="AQ537" s="13">
        <f>IF(_epmOfflineCondition_,0,EPMSaveData(AM537,,AM$29,AM$25,AM$26,$C$6,AM$32,$AA$37,AQ$14,AQ$15,AQ$16,AQ$17,AQ$18,$X537))</f>
        <v/>
      </c>
      <c r="AR537" s="13">
        <f>IF(_epmOfflineCondition_,0,EPMSaveDataOnly(AN537,,AN$29,AN$25,AN$26,AN$31,AN$32,$AA$37,AR$14,AR$15,AR$16,AR$17,AR$18,$X537))</f>
        <v/>
      </c>
      <c r="AS537" s="384" t="n"/>
    </row>
    <row r="538" hidden="1" ht="15.75" customHeight="1" s="1181">
      <c r="A538" s="384" t="n"/>
      <c r="B538" s="384" t="n"/>
      <c r="C538" s="384" t="n"/>
      <c r="D538" s="384" t="n"/>
      <c r="E538" s="384" t="n"/>
      <c r="F538" s="384" t="n"/>
      <c r="G538" s="384" t="n"/>
      <c r="H538" s="384" t="n"/>
      <c r="I538" s="384" t="n"/>
      <c r="J538" s="384" t="n"/>
      <c r="K538" s="384" t="n"/>
      <c r="L538" s="384" t="n"/>
      <c r="M538" s="384" t="n"/>
      <c r="N538" s="384" t="n"/>
      <c r="O538" s="384" t="n"/>
      <c r="P538" s="384" t="n"/>
      <c r="Q538" s="384" t="n"/>
      <c r="R538" s="384" t="n"/>
      <c r="S538" s="384" t="n"/>
      <c r="T538" s="384" t="n"/>
      <c r="U538" s="384" t="n"/>
      <c r="V538" s="384" t="n"/>
      <c r="W538" s="384" t="n"/>
      <c r="X538" s="645">
        <f>IF(_epmOfflineCondition_,"I_E100757",EPMOlapMemberO("[C_INTERCO].[PARENTH1].[I_E100757]","","I_E100757","","000"))</f>
        <v/>
      </c>
      <c r="Y538" s="870">
        <f>IF(_epmOfflineCondition_,"北京京能国际控股有限公司华东分公司",EPMMemberDesc(X538))</f>
        <v/>
      </c>
      <c r="Z538" s="1302" t="n"/>
      <c r="AA538" s="1302" t="n"/>
      <c r="AB538" s="858" t="n"/>
      <c r="AC538" s="1302" t="n"/>
      <c r="AD538" s="1302" t="n"/>
      <c r="AE538" s="1302" t="inlineStr"/>
      <c r="AF538" s="1302" t="inlineStr"/>
      <c r="AG538" s="1302" t="inlineStr"/>
      <c r="AH538" s="1302" t="n"/>
      <c r="AI538" s="1302" t="n"/>
      <c r="AJ538" s="1302" t="n"/>
      <c r="AK538" s="1302">
        <f>AI538-AJ538</f>
        <v/>
      </c>
      <c r="AL538" s="858" t="n"/>
      <c r="AM538" s="1297" t="inlineStr"/>
      <c r="AN538" s="1298" t="n"/>
      <c r="AO538" s="13">
        <f>IF(_epmOfflineCondition_,0,EPMSaveDataOnly(AB538,,AB$29,AB$25,AB$26,AB$31,AB$32,$AA$37,AO$14,AO$15,AO$16,AO$17,AO$18,X538))</f>
        <v/>
      </c>
      <c r="AP538" s="13">
        <f>IF(_epmOfflineCondition_,0,EPMSaveDataOnly(AL538,,AL$29,AL$25,AL$26,AL$31,AL$32,$AA$37,AP$14,AP$15,AP$16,AP$17,AP$18,$X538))</f>
        <v/>
      </c>
      <c r="AQ538" s="13">
        <f>IF(_epmOfflineCondition_,0,EPMSaveData(AM538,,AM$29,AM$25,AM$26,$C$6,AM$32,$AA$37,AQ$14,AQ$15,AQ$16,AQ$17,AQ$18,$X538))</f>
        <v/>
      </c>
      <c r="AR538" s="13">
        <f>IF(_epmOfflineCondition_,0,EPMSaveDataOnly(AN538,,AN$29,AN$25,AN$26,AN$31,AN$32,$AA$37,AR$14,AR$15,AR$16,AR$17,AR$18,$X538))</f>
        <v/>
      </c>
      <c r="AS538" s="384" t="n"/>
    </row>
    <row r="539" hidden="1" ht="15.75" customHeight="1" s="1181">
      <c r="A539" s="384" t="n"/>
      <c r="B539" s="384" t="n"/>
      <c r="C539" s="384" t="n"/>
      <c r="D539" s="384" t="n"/>
      <c r="E539" s="384" t="n"/>
      <c r="F539" s="384" t="n"/>
      <c r="G539" s="384" t="n"/>
      <c r="H539" s="384" t="n"/>
      <c r="I539" s="384" t="n"/>
      <c r="J539" s="384" t="n"/>
      <c r="K539" s="384" t="n"/>
      <c r="L539" s="384" t="n"/>
      <c r="M539" s="384" t="n"/>
      <c r="N539" s="384" t="n"/>
      <c r="O539" s="384" t="n"/>
      <c r="P539" s="384" t="n"/>
      <c r="Q539" s="384" t="n"/>
      <c r="R539" s="384" t="n"/>
      <c r="S539" s="384" t="n"/>
      <c r="T539" s="384" t="n"/>
      <c r="U539" s="384" t="n"/>
      <c r="V539" s="384" t="n"/>
      <c r="W539" s="384" t="n"/>
      <c r="X539" s="645">
        <f>IF(_epmOfflineCondition_,"I_E100758",EPMOlapMemberO("[C_INTERCO].[PARENTH1].[I_E100758]","","I_E100758","","000"))</f>
        <v/>
      </c>
      <c r="Y539" s="870">
        <f>IF(_epmOfflineCondition_,"北京京能国际控股有限公司华北分公司",EPMMemberDesc(X539))</f>
        <v/>
      </c>
      <c r="Z539" s="1302" t="n"/>
      <c r="AA539" s="1302" t="n"/>
      <c r="AB539" s="858" t="n"/>
      <c r="AC539" s="1302" t="n"/>
      <c r="AD539" s="1302" t="n"/>
      <c r="AE539" s="1302" t="inlineStr"/>
      <c r="AF539" s="1302" t="inlineStr"/>
      <c r="AG539" s="1302" t="inlineStr"/>
      <c r="AH539" s="1302" t="n"/>
      <c r="AI539" s="1302" t="n"/>
      <c r="AJ539" s="1302" t="n"/>
      <c r="AK539" s="1302">
        <f>AI539-AJ539</f>
        <v/>
      </c>
      <c r="AL539" s="858" t="n"/>
      <c r="AM539" s="1297" t="inlineStr"/>
      <c r="AN539" s="1298" t="n"/>
      <c r="AO539" s="13">
        <f>IF(_epmOfflineCondition_,0,EPMSaveDataOnly(AB539,,AB$29,AB$25,AB$26,AB$31,AB$32,$AA$37,AO$14,AO$15,AO$16,AO$17,AO$18,X539))</f>
        <v/>
      </c>
      <c r="AP539" s="13">
        <f>IF(_epmOfflineCondition_,0,EPMSaveDataOnly(AL539,,AL$29,AL$25,AL$26,AL$31,AL$32,$AA$37,AP$14,AP$15,AP$16,AP$17,AP$18,$X539))</f>
        <v/>
      </c>
      <c r="AQ539" s="13">
        <f>IF(_epmOfflineCondition_,0,EPMSaveData(AM539,,AM$29,AM$25,AM$26,$C$6,AM$32,$AA$37,AQ$14,AQ$15,AQ$16,AQ$17,AQ$18,$X539))</f>
        <v/>
      </c>
      <c r="AR539" s="13">
        <f>IF(_epmOfflineCondition_,0,EPMSaveDataOnly(AN539,,AN$29,AN$25,AN$26,AN$31,AN$32,$AA$37,AR$14,AR$15,AR$16,AR$17,AR$18,$X539))</f>
        <v/>
      </c>
      <c r="AS539" s="384" t="n"/>
    </row>
    <row r="540" hidden="1" ht="15.75" customHeight="1" s="1181">
      <c r="A540" s="384" t="n"/>
      <c r="B540" s="384" t="n"/>
      <c r="C540" s="384" t="n"/>
      <c r="D540" s="384" t="n"/>
      <c r="E540" s="384" t="n"/>
      <c r="F540" s="384" t="n"/>
      <c r="G540" s="384" t="n"/>
      <c r="H540" s="384" t="n"/>
      <c r="I540" s="384" t="n"/>
      <c r="J540" s="384" t="n"/>
      <c r="K540" s="384" t="n"/>
      <c r="L540" s="384" t="n"/>
      <c r="M540" s="384" t="n"/>
      <c r="N540" s="384" t="n"/>
      <c r="O540" s="384" t="n"/>
      <c r="P540" s="384" t="n"/>
      <c r="Q540" s="384" t="n"/>
      <c r="R540" s="384" t="n"/>
      <c r="S540" s="384" t="n"/>
      <c r="T540" s="384" t="n"/>
      <c r="U540" s="384" t="n"/>
      <c r="V540" s="384" t="n"/>
      <c r="W540" s="384" t="n"/>
      <c r="X540" s="645">
        <f>IF(_epmOfflineCondition_,"I_E100759",EPMOlapMemberO("[C_INTERCO].[PARENTH1].[I_E100759]","","I_E100759","","000"))</f>
        <v/>
      </c>
      <c r="Y540" s="870">
        <f>IF(_epmOfflineCondition_,"北京京能国际控股有限公司华南分公司",EPMMemberDesc(X540))</f>
        <v/>
      </c>
      <c r="Z540" s="1302" t="n"/>
      <c r="AA540" s="1302" t="n"/>
      <c r="AB540" s="858" t="n"/>
      <c r="AC540" s="1302" t="n"/>
      <c r="AD540" s="1302" t="n"/>
      <c r="AE540" s="1302" t="inlineStr"/>
      <c r="AF540" s="1302" t="inlineStr"/>
      <c r="AG540" s="1302" t="inlineStr"/>
      <c r="AH540" s="1302" t="n"/>
      <c r="AI540" s="1302" t="n"/>
      <c r="AJ540" s="1302" t="n"/>
      <c r="AK540" s="1302">
        <f>AI540-AJ540</f>
        <v/>
      </c>
      <c r="AL540" s="858" t="n"/>
      <c r="AM540" s="1297" t="inlineStr"/>
      <c r="AN540" s="1298" t="n"/>
      <c r="AO540" s="13">
        <f>IF(_epmOfflineCondition_,0,EPMSaveDataOnly(AB540,,AB$29,AB$25,AB$26,AB$31,AB$32,$AA$37,AO$14,AO$15,AO$16,AO$17,AO$18,X540))</f>
        <v/>
      </c>
      <c r="AP540" s="13">
        <f>IF(_epmOfflineCondition_,0,EPMSaveDataOnly(AL540,,AL$29,AL$25,AL$26,AL$31,AL$32,$AA$37,AP$14,AP$15,AP$16,AP$17,AP$18,$X540))</f>
        <v/>
      </c>
      <c r="AQ540" s="13">
        <f>IF(_epmOfflineCondition_,0,EPMSaveData(AM540,,AM$29,AM$25,AM$26,$C$6,AM$32,$AA$37,AQ$14,AQ$15,AQ$16,AQ$17,AQ$18,$X540))</f>
        <v/>
      </c>
      <c r="AR540" s="13">
        <f>IF(_epmOfflineCondition_,0,EPMSaveDataOnly(AN540,,AN$29,AN$25,AN$26,AN$31,AN$32,$AA$37,AR$14,AR$15,AR$16,AR$17,AR$18,$X540))</f>
        <v/>
      </c>
      <c r="AS540" s="384" t="n"/>
    </row>
    <row r="541" hidden="1" ht="15.75" customHeight="1" s="1181">
      <c r="A541" s="384" t="n"/>
      <c r="B541" s="384" t="n"/>
      <c r="C541" s="384" t="n"/>
      <c r="D541" s="384" t="n"/>
      <c r="E541" s="384" t="n"/>
      <c r="F541" s="384" t="n"/>
      <c r="G541" s="384" t="n"/>
      <c r="H541" s="384" t="n"/>
      <c r="I541" s="384" t="n"/>
      <c r="J541" s="384" t="n"/>
      <c r="K541" s="384" t="n"/>
      <c r="L541" s="384" t="n"/>
      <c r="M541" s="384" t="n"/>
      <c r="N541" s="384" t="n"/>
      <c r="O541" s="384" t="n"/>
      <c r="P541" s="384" t="n"/>
      <c r="Q541" s="384" t="n"/>
      <c r="R541" s="384" t="n"/>
      <c r="S541" s="384" t="n"/>
      <c r="T541" s="384" t="n"/>
      <c r="U541" s="384" t="n"/>
      <c r="V541" s="384" t="n"/>
      <c r="W541" s="384" t="n"/>
      <c r="X541" s="645">
        <f>IF(_epmOfflineCondition_,"I_E100760",EPMOlapMemberO("[C_INTERCO].[PARENTH1].[I_E100760]","","I_E100760","","000"))</f>
        <v/>
      </c>
      <c r="Y541" s="870">
        <f>IF(_epmOfflineCondition_,"北京京能国际控股有限公司华中分公司",EPMMemberDesc(X541))</f>
        <v/>
      </c>
      <c r="Z541" s="1302" t="n"/>
      <c r="AA541" s="1302" t="n"/>
      <c r="AB541" s="858" t="n"/>
      <c r="AC541" s="1302" t="n"/>
      <c r="AD541" s="1302" t="n"/>
      <c r="AE541" s="1302" t="inlineStr"/>
      <c r="AF541" s="1302" t="inlineStr"/>
      <c r="AG541" s="1302" t="inlineStr"/>
      <c r="AH541" s="1302" t="n"/>
      <c r="AI541" s="1302" t="n"/>
      <c r="AJ541" s="1302" t="n"/>
      <c r="AK541" s="1302">
        <f>AI541-AJ541</f>
        <v/>
      </c>
      <c r="AL541" s="858" t="n"/>
      <c r="AM541" s="1297" t="inlineStr"/>
      <c r="AN541" s="1298" t="n"/>
      <c r="AO541" s="13">
        <f>IF(_epmOfflineCondition_,0,EPMSaveDataOnly(AB541,,AB$29,AB$25,AB$26,AB$31,AB$32,$AA$37,AO$14,AO$15,AO$16,AO$17,AO$18,X541))</f>
        <v/>
      </c>
      <c r="AP541" s="13">
        <f>IF(_epmOfflineCondition_,0,EPMSaveDataOnly(AL541,,AL$29,AL$25,AL$26,AL$31,AL$32,$AA$37,AP$14,AP$15,AP$16,AP$17,AP$18,$X541))</f>
        <v/>
      </c>
      <c r="AQ541" s="13">
        <f>IF(_epmOfflineCondition_,0,EPMSaveData(AM541,,AM$29,AM$25,AM$26,$C$6,AM$32,$AA$37,AQ$14,AQ$15,AQ$16,AQ$17,AQ$18,$X541))</f>
        <v/>
      </c>
      <c r="AR541" s="13">
        <f>IF(_epmOfflineCondition_,0,EPMSaveDataOnly(AN541,,AN$29,AN$25,AN$26,AN$31,AN$32,$AA$37,AR$14,AR$15,AR$16,AR$17,AR$18,$X541))</f>
        <v/>
      </c>
      <c r="AS541" s="384" t="n"/>
    </row>
    <row r="542" hidden="1" ht="15.75" customHeight="1" s="1181">
      <c r="A542" s="384" t="n"/>
      <c r="B542" s="384" t="n"/>
      <c r="C542" s="384" t="n"/>
      <c r="D542" s="384" t="n"/>
      <c r="E542" s="384" t="n"/>
      <c r="F542" s="384" t="n"/>
      <c r="G542" s="384" t="n"/>
      <c r="H542" s="384" t="n"/>
      <c r="I542" s="384" t="n"/>
      <c r="J542" s="384" t="n"/>
      <c r="K542" s="384" t="n"/>
      <c r="L542" s="384" t="n"/>
      <c r="M542" s="384" t="n"/>
      <c r="N542" s="384" t="n"/>
      <c r="O542" s="384" t="n"/>
      <c r="P542" s="384" t="n"/>
      <c r="Q542" s="384" t="n"/>
      <c r="R542" s="384" t="n"/>
      <c r="S542" s="384" t="n"/>
      <c r="T542" s="384" t="n"/>
      <c r="U542" s="384" t="n"/>
      <c r="V542" s="384" t="n"/>
      <c r="W542" s="384" t="n"/>
      <c r="X542" s="645">
        <f>IF(_epmOfflineCondition_,"I_E100761",EPMOlapMemberO("[C_INTERCO].[PARENTH1].[I_E100761]","","I_E100761","","000"))</f>
        <v/>
      </c>
      <c r="Y542" s="870">
        <f>IF(_epmOfflineCondition_,"北京京能国际控股有限公司成都分公司",EPMMemberDesc(X542))</f>
        <v/>
      </c>
      <c r="Z542" s="1302" t="n"/>
      <c r="AA542" s="1302" t="n"/>
      <c r="AB542" s="858" t="n"/>
      <c r="AC542" s="1302" t="n"/>
      <c r="AD542" s="1302" t="n"/>
      <c r="AE542" s="1302" t="inlineStr"/>
      <c r="AF542" s="1302" t="inlineStr"/>
      <c r="AG542" s="1302" t="inlineStr"/>
      <c r="AH542" s="1302" t="n"/>
      <c r="AI542" s="1302" t="n"/>
      <c r="AJ542" s="1302" t="n"/>
      <c r="AK542" s="1302">
        <f>AI542-AJ542</f>
        <v/>
      </c>
      <c r="AL542" s="858" t="n"/>
      <c r="AM542" s="1297" t="inlineStr"/>
      <c r="AN542" s="1298" t="n"/>
      <c r="AO542" s="13">
        <f>IF(_epmOfflineCondition_,0,EPMSaveDataOnly(AB542,,AB$29,AB$25,AB$26,AB$31,AB$32,$AA$37,AO$14,AO$15,AO$16,AO$17,AO$18,X542))</f>
        <v/>
      </c>
      <c r="AP542" s="13">
        <f>IF(_epmOfflineCondition_,0,EPMSaveDataOnly(AL542,,AL$29,AL$25,AL$26,AL$31,AL$32,$AA$37,AP$14,AP$15,AP$16,AP$17,AP$18,$X542))</f>
        <v/>
      </c>
      <c r="AQ542" s="13">
        <f>IF(_epmOfflineCondition_,0,EPMSaveData(AM542,,AM$29,AM$25,AM$26,$C$6,AM$32,$AA$37,AQ$14,AQ$15,AQ$16,AQ$17,AQ$18,$X542))</f>
        <v/>
      </c>
      <c r="AR542" s="13">
        <f>IF(_epmOfflineCondition_,0,EPMSaveDataOnly(AN542,,AN$29,AN$25,AN$26,AN$31,AN$32,$AA$37,AR$14,AR$15,AR$16,AR$17,AR$18,$X542))</f>
        <v/>
      </c>
      <c r="AS542" s="384" t="n"/>
    </row>
    <row r="543" hidden="1" ht="15.75" customHeight="1" s="1181">
      <c r="A543" s="384" t="n"/>
      <c r="B543" s="384" t="n"/>
      <c r="C543" s="384" t="n"/>
      <c r="D543" s="384" t="n"/>
      <c r="E543" s="384" t="n"/>
      <c r="F543" s="384" t="n"/>
      <c r="G543" s="384" t="n"/>
      <c r="H543" s="384" t="n"/>
      <c r="I543" s="384" t="n"/>
      <c r="J543" s="384" t="n"/>
      <c r="K543" s="384" t="n"/>
      <c r="L543" s="384" t="n"/>
      <c r="M543" s="384" t="n"/>
      <c r="N543" s="384" t="n"/>
      <c r="O543" s="384" t="n"/>
      <c r="P543" s="384" t="n"/>
      <c r="Q543" s="384" t="n"/>
      <c r="R543" s="384" t="n"/>
      <c r="S543" s="384" t="n"/>
      <c r="T543" s="384" t="n"/>
      <c r="U543" s="384" t="n"/>
      <c r="V543" s="384" t="n"/>
      <c r="W543" s="384" t="n"/>
      <c r="X543" s="645">
        <f>IF(_epmOfflineCondition_,"I_E100762",EPMOlapMemberO("[C_INTERCO].[PARENTH1].[I_E100762]","","I_E100762","","000"))</f>
        <v/>
      </c>
      <c r="Y543" s="870">
        <f>IF(_epmOfflineCondition_,"北京京能国际控股有限公司西北分公司",EPMMemberDesc(X543))</f>
        <v/>
      </c>
      <c r="Z543" s="1302" t="n"/>
      <c r="AA543" s="1302" t="n"/>
      <c r="AB543" s="858" t="n"/>
      <c r="AC543" s="1302" t="n"/>
      <c r="AD543" s="1302" t="n"/>
      <c r="AE543" s="1302" t="inlineStr"/>
      <c r="AF543" s="1302" t="inlineStr"/>
      <c r="AG543" s="1302" t="inlineStr"/>
      <c r="AH543" s="1302" t="n"/>
      <c r="AI543" s="1302" t="n"/>
      <c r="AJ543" s="1302" t="n"/>
      <c r="AK543" s="1302">
        <f>AI543-AJ543</f>
        <v/>
      </c>
      <c r="AL543" s="858" t="n"/>
      <c r="AM543" s="1297" t="inlineStr"/>
      <c r="AN543" s="1298" t="n"/>
      <c r="AO543" s="13">
        <f>IF(_epmOfflineCondition_,0,EPMSaveDataOnly(AB543,,AB$29,AB$25,AB$26,AB$31,AB$32,$AA$37,AO$14,AO$15,AO$16,AO$17,AO$18,X543))</f>
        <v/>
      </c>
      <c r="AP543" s="13">
        <f>IF(_epmOfflineCondition_,0,EPMSaveDataOnly(AL543,,AL$29,AL$25,AL$26,AL$31,AL$32,$AA$37,AP$14,AP$15,AP$16,AP$17,AP$18,$X543))</f>
        <v/>
      </c>
      <c r="AQ543" s="13">
        <f>IF(_epmOfflineCondition_,0,EPMSaveData(AM543,,AM$29,AM$25,AM$26,$C$6,AM$32,$AA$37,AQ$14,AQ$15,AQ$16,AQ$17,AQ$18,$X543))</f>
        <v/>
      </c>
      <c r="AR543" s="13">
        <f>IF(_epmOfflineCondition_,0,EPMSaveDataOnly(AN543,,AN$29,AN$25,AN$26,AN$31,AN$32,$AA$37,AR$14,AR$15,AR$16,AR$17,AR$18,$X543))</f>
        <v/>
      </c>
      <c r="AS543" s="384" t="n"/>
    </row>
    <row r="544" hidden="1" ht="15.75" customHeight="1" s="1181">
      <c r="A544" s="384" t="n"/>
      <c r="B544" s="384" t="n"/>
      <c r="C544" s="384" t="n"/>
      <c r="D544" s="384" t="n"/>
      <c r="E544" s="384" t="n"/>
      <c r="F544" s="384" t="n"/>
      <c r="G544" s="384" t="n"/>
      <c r="H544" s="384" t="n"/>
      <c r="I544" s="384" t="n"/>
      <c r="J544" s="384" t="n"/>
      <c r="K544" s="384" t="n"/>
      <c r="L544" s="384" t="n"/>
      <c r="M544" s="384" t="n"/>
      <c r="N544" s="384" t="n"/>
      <c r="O544" s="384" t="n"/>
      <c r="P544" s="384" t="n"/>
      <c r="Q544" s="384" t="n"/>
      <c r="R544" s="384" t="n"/>
      <c r="S544" s="384" t="n"/>
      <c r="T544" s="384" t="n"/>
      <c r="U544" s="384" t="n"/>
      <c r="V544" s="384" t="n"/>
      <c r="W544" s="384" t="n"/>
      <c r="X544" s="645">
        <f>IF(_epmOfflineCondition_,"I_E100763",EPMOlapMemberO("[C_INTERCO].[PARENTH1].[I_E100763]","","I_E100763","","000"))</f>
        <v/>
      </c>
      <c r="Y544" s="870">
        <f>IF(_epmOfflineCondition_,"北京京能国际控股有限公司北方分公司",EPMMemberDesc(X544))</f>
        <v/>
      </c>
      <c r="Z544" s="1302" t="n"/>
      <c r="AA544" s="1302" t="n"/>
      <c r="AB544" s="858" t="n"/>
      <c r="AC544" s="1302" t="n"/>
      <c r="AD544" s="1302" t="n"/>
      <c r="AE544" s="1302" t="inlineStr"/>
      <c r="AF544" s="1302" t="inlineStr"/>
      <c r="AG544" s="1302" t="inlineStr"/>
      <c r="AH544" s="1302" t="n"/>
      <c r="AI544" s="1302" t="n"/>
      <c r="AJ544" s="1302" t="n"/>
      <c r="AK544" s="1302">
        <f>AI544-AJ544</f>
        <v/>
      </c>
      <c r="AL544" s="858" t="n"/>
      <c r="AM544" s="1297" t="inlineStr"/>
      <c r="AN544" s="1298" t="n"/>
      <c r="AO544" s="13">
        <f>IF(_epmOfflineCondition_,0,EPMSaveDataOnly(AB544,,AB$29,AB$25,AB$26,AB$31,AB$32,$AA$37,AO$14,AO$15,AO$16,AO$17,AO$18,X544))</f>
        <v/>
      </c>
      <c r="AP544" s="13">
        <f>IF(_epmOfflineCondition_,0,EPMSaveDataOnly(AL544,,AL$29,AL$25,AL$26,AL$31,AL$32,$AA$37,AP$14,AP$15,AP$16,AP$17,AP$18,$X544))</f>
        <v/>
      </c>
      <c r="AQ544" s="13">
        <f>IF(_epmOfflineCondition_,0,EPMSaveData(AM544,,AM$29,AM$25,AM$26,$C$6,AM$32,$AA$37,AQ$14,AQ$15,AQ$16,AQ$17,AQ$18,$X544))</f>
        <v/>
      </c>
      <c r="AR544" s="13">
        <f>IF(_epmOfflineCondition_,0,EPMSaveDataOnly(AN544,,AN$29,AN$25,AN$26,AN$31,AN$32,$AA$37,AR$14,AR$15,AR$16,AR$17,AR$18,$X544))</f>
        <v/>
      </c>
      <c r="AS544" s="384" t="n"/>
    </row>
    <row r="545" hidden="1" ht="15.75" customHeight="1" s="1181">
      <c r="A545" s="384" t="n"/>
      <c r="B545" s="384" t="n"/>
      <c r="C545" s="384" t="n"/>
      <c r="D545" s="384" t="n"/>
      <c r="E545" s="384" t="n"/>
      <c r="F545" s="384" t="n"/>
      <c r="G545" s="384" t="n"/>
      <c r="H545" s="384" t="n"/>
      <c r="I545" s="384" t="n"/>
      <c r="J545" s="384" t="n"/>
      <c r="K545" s="384" t="n"/>
      <c r="L545" s="384" t="n"/>
      <c r="M545" s="384" t="n"/>
      <c r="N545" s="384" t="n"/>
      <c r="O545" s="384" t="n"/>
      <c r="P545" s="384" t="n"/>
      <c r="Q545" s="384" t="n"/>
      <c r="R545" s="384" t="n"/>
      <c r="S545" s="384" t="n"/>
      <c r="T545" s="384" t="n"/>
      <c r="U545" s="384" t="n"/>
      <c r="V545" s="384" t="n"/>
      <c r="W545" s="384" t="n"/>
      <c r="X545" s="645">
        <f>IF(_epmOfflineCondition_,"I_E100775",EPMOlapMemberO("[C_INTERCO].[PARENTH1].[I_E100775]","","I_E100775","","000"))</f>
        <v/>
      </c>
      <c r="Y545" s="870">
        <f>IF(_epmOfflineCondition_,"北京京能国际控股有限公司东北分公司",EPMMemberDesc(X545))</f>
        <v/>
      </c>
      <c r="Z545" s="1302" t="n"/>
      <c r="AA545" s="1302" t="n"/>
      <c r="AB545" s="858" t="n"/>
      <c r="AC545" s="1302" t="n"/>
      <c r="AD545" s="1302" t="n"/>
      <c r="AE545" s="1302" t="inlineStr"/>
      <c r="AF545" s="1302" t="inlineStr"/>
      <c r="AG545" s="1302" t="inlineStr"/>
      <c r="AH545" s="1302" t="n"/>
      <c r="AI545" s="1302" t="n"/>
      <c r="AJ545" s="1302" t="n"/>
      <c r="AK545" s="1302">
        <f>AI545-AJ545</f>
        <v/>
      </c>
      <c r="AL545" s="858" t="n"/>
      <c r="AM545" s="1297" t="inlineStr"/>
      <c r="AN545" s="1298" t="n"/>
      <c r="AO545" s="13">
        <f>IF(_epmOfflineCondition_,0,EPMSaveDataOnly(AB545,,AB$29,AB$25,AB$26,AB$31,AB$32,$AA$37,AO$14,AO$15,AO$16,AO$17,AO$18,X545))</f>
        <v/>
      </c>
      <c r="AP545" s="13">
        <f>IF(_epmOfflineCondition_,0,EPMSaveDataOnly(AL545,,AL$29,AL$25,AL$26,AL$31,AL$32,$AA$37,AP$14,AP$15,AP$16,AP$17,AP$18,$X545))</f>
        <v/>
      </c>
      <c r="AQ545" s="13">
        <f>IF(_epmOfflineCondition_,0,EPMSaveData(AM545,,AM$29,AM$25,AM$26,$C$6,AM$32,$AA$37,AQ$14,AQ$15,AQ$16,AQ$17,AQ$18,$X545))</f>
        <v/>
      </c>
      <c r="AR545" s="13">
        <f>IF(_epmOfflineCondition_,0,EPMSaveDataOnly(AN545,,AN$29,AN$25,AN$26,AN$31,AN$32,$AA$37,AR$14,AR$15,AR$16,AR$17,AR$18,$X545))</f>
        <v/>
      </c>
      <c r="AS545" s="384" t="n"/>
    </row>
    <row r="546" hidden="1" ht="15.75" customHeight="1" s="1181">
      <c r="A546" s="384" t="n"/>
      <c r="B546" s="384" t="n"/>
      <c r="C546" s="384" t="n"/>
      <c r="D546" s="384" t="n"/>
      <c r="E546" s="384" t="n"/>
      <c r="F546" s="384" t="n"/>
      <c r="G546" s="384" t="n"/>
      <c r="H546" s="384" t="n"/>
      <c r="I546" s="384" t="n"/>
      <c r="J546" s="384" t="n"/>
      <c r="K546" s="384" t="n"/>
      <c r="L546" s="384" t="n"/>
      <c r="M546" s="384" t="n"/>
      <c r="N546" s="384" t="n"/>
      <c r="O546" s="384" t="n"/>
      <c r="P546" s="384" t="n"/>
      <c r="Q546" s="384" t="n"/>
      <c r="R546" s="384" t="n"/>
      <c r="S546" s="384" t="n"/>
      <c r="T546" s="384" t="n"/>
      <c r="U546" s="384" t="n"/>
      <c r="V546" s="384" t="n"/>
      <c r="W546" s="384" t="n"/>
      <c r="X546" s="645">
        <f>IF(_epmOfflineCondition_,"I_E100908",EPMOlapMemberO("[C_INTERCO].[PARENTH1].[I_E100908]","","I_E100908","","000"))</f>
        <v/>
      </c>
      <c r="Y546" s="870">
        <f>IF(_epmOfflineCondition_,"北京通力日昇新能源科技有限公司",EPMMemberDesc(X546))</f>
        <v/>
      </c>
      <c r="Z546" s="1302" t="n"/>
      <c r="AA546" s="1302" t="n"/>
      <c r="AB546" s="858" t="n"/>
      <c r="AC546" s="1302" t="n"/>
      <c r="AD546" s="1302" t="n"/>
      <c r="AE546" s="1302" t="inlineStr"/>
      <c r="AF546" s="1302" t="inlineStr"/>
      <c r="AG546" s="1302" t="inlineStr"/>
      <c r="AH546" s="1302" t="n"/>
      <c r="AI546" s="1302" t="n"/>
      <c r="AJ546" s="1302" t="n"/>
      <c r="AK546" s="1302">
        <f>AI546-AJ546</f>
        <v/>
      </c>
      <c r="AL546" s="858" t="n"/>
      <c r="AM546" s="1297" t="inlineStr"/>
      <c r="AN546" s="1298" t="n"/>
      <c r="AO546" s="13">
        <f>IF(_epmOfflineCondition_,0,EPMSaveDataOnly(AB546,,AB$29,AB$25,AB$26,AB$31,AB$32,$AA$37,AO$14,AO$15,AO$16,AO$17,AO$18,X546))</f>
        <v/>
      </c>
      <c r="AP546" s="13">
        <f>IF(_epmOfflineCondition_,0,EPMSaveDataOnly(AL546,,AL$29,AL$25,AL$26,AL$31,AL$32,$AA$37,AP$14,AP$15,AP$16,AP$17,AP$18,$X546))</f>
        <v/>
      </c>
      <c r="AQ546" s="13">
        <f>IF(_epmOfflineCondition_,0,EPMSaveData(AM546,,AM$29,AM$25,AM$26,$C$6,AM$32,$AA$37,AQ$14,AQ$15,AQ$16,AQ$17,AQ$18,$X546))</f>
        <v/>
      </c>
      <c r="AR546" s="13">
        <f>IF(_epmOfflineCondition_,0,EPMSaveDataOnly(AN546,,AN$29,AN$25,AN$26,AN$31,AN$32,$AA$37,AR$14,AR$15,AR$16,AR$17,AR$18,$X546))</f>
        <v/>
      </c>
      <c r="AS546" s="384" t="n"/>
    </row>
    <row r="547" hidden="1" ht="15.75" customHeight="1" s="1181">
      <c r="A547" s="384" t="n"/>
      <c r="B547" s="384" t="n"/>
      <c r="C547" s="384" t="n"/>
      <c r="D547" s="384" t="n"/>
      <c r="E547" s="384" t="n"/>
      <c r="F547" s="384" t="n"/>
      <c r="G547" s="384" t="n"/>
      <c r="H547" s="384" t="n"/>
      <c r="I547" s="384" t="n"/>
      <c r="J547" s="384" t="n"/>
      <c r="K547" s="384" t="n"/>
      <c r="L547" s="384" t="n"/>
      <c r="M547" s="384" t="n"/>
      <c r="N547" s="384" t="n"/>
      <c r="O547" s="384" t="n"/>
      <c r="P547" s="384" t="n"/>
      <c r="Q547" s="384" t="n"/>
      <c r="R547" s="384" t="n"/>
      <c r="S547" s="384" t="n"/>
      <c r="T547" s="384" t="n"/>
      <c r="U547" s="384" t="n"/>
      <c r="V547" s="384" t="n"/>
      <c r="W547" s="384" t="n"/>
      <c r="X547" s="645">
        <f>IF(_epmOfflineCondition_,"I_E100909",EPMOlapMemberO("[C_INTERCO].[PARENTH1].[I_E100909]","","I_E100909","","000"))</f>
        <v/>
      </c>
      <c r="Y547" s="870">
        <f>IF(_epmOfflineCondition_,"六安华钦新能源有限公司",EPMMemberDesc(X547))</f>
        <v/>
      </c>
      <c r="Z547" s="1302" t="n"/>
      <c r="AA547" s="1302" t="n"/>
      <c r="AB547" s="858" t="n"/>
      <c r="AC547" s="1302" t="n"/>
      <c r="AD547" s="1302" t="n"/>
      <c r="AE547" s="1302" t="inlineStr"/>
      <c r="AF547" s="1302" t="inlineStr"/>
      <c r="AG547" s="1302" t="inlineStr"/>
      <c r="AH547" s="1302" t="n"/>
      <c r="AI547" s="1302" t="n"/>
      <c r="AJ547" s="1302" t="n"/>
      <c r="AK547" s="1302">
        <f>AI547-AJ547</f>
        <v/>
      </c>
      <c r="AL547" s="858" t="n"/>
      <c r="AM547" s="1297" t="inlineStr"/>
      <c r="AN547" s="1298" t="n"/>
      <c r="AO547" s="13">
        <f>IF(_epmOfflineCondition_,0,EPMSaveDataOnly(AB547,,AB$29,AB$25,AB$26,AB$31,AB$32,$AA$37,AO$14,AO$15,AO$16,AO$17,AO$18,X547))</f>
        <v/>
      </c>
      <c r="AP547" s="13">
        <f>IF(_epmOfflineCondition_,0,EPMSaveDataOnly(AL547,,AL$29,AL$25,AL$26,AL$31,AL$32,$AA$37,AP$14,AP$15,AP$16,AP$17,AP$18,$X547))</f>
        <v/>
      </c>
      <c r="AQ547" s="13">
        <f>IF(_epmOfflineCondition_,0,EPMSaveData(AM547,,AM$29,AM$25,AM$26,$C$6,AM$32,$AA$37,AQ$14,AQ$15,AQ$16,AQ$17,AQ$18,$X547))</f>
        <v/>
      </c>
      <c r="AR547" s="13">
        <f>IF(_epmOfflineCondition_,0,EPMSaveDataOnly(AN547,,AN$29,AN$25,AN$26,AN$31,AN$32,$AA$37,AR$14,AR$15,AR$16,AR$17,AR$18,$X547))</f>
        <v/>
      </c>
      <c r="AS547" s="384" t="n"/>
    </row>
    <row r="548" hidden="1" ht="15.75" customHeight="1" s="1181">
      <c r="A548" s="384" t="n"/>
      <c r="B548" s="384" t="n"/>
      <c r="C548" s="384" t="n"/>
      <c r="D548" s="384" t="n"/>
      <c r="E548" s="384" t="n"/>
      <c r="F548" s="384" t="n"/>
      <c r="G548" s="384" t="n"/>
      <c r="H548" s="384" t="n"/>
      <c r="I548" s="384" t="n"/>
      <c r="J548" s="384" t="n"/>
      <c r="K548" s="384" t="n"/>
      <c r="L548" s="384" t="n"/>
      <c r="M548" s="384" t="n"/>
      <c r="N548" s="384" t="n"/>
      <c r="O548" s="384" t="n"/>
      <c r="P548" s="384" t="n"/>
      <c r="Q548" s="384" t="n"/>
      <c r="R548" s="384" t="n"/>
      <c r="S548" s="384" t="n"/>
      <c r="T548" s="384" t="n"/>
      <c r="U548" s="384" t="n"/>
      <c r="V548" s="384" t="n"/>
      <c r="W548" s="384" t="n"/>
      <c r="X548" s="645">
        <f>IF(_epmOfflineCondition_,"I_E100910",EPMOlapMemberO("[C_INTERCO].[PARENTH1].[I_E100910]","","I_E100910","","000"))</f>
        <v/>
      </c>
      <c r="Y548" s="870">
        <f>IF(_epmOfflineCondition_,"霍邱县华钦新能源有限公司",EPMMemberDesc(X548))</f>
        <v/>
      </c>
      <c r="Z548" s="1302" t="n"/>
      <c r="AA548" s="1302" t="n"/>
      <c r="AB548" s="858" t="n"/>
      <c r="AC548" s="1302" t="n"/>
      <c r="AD548" s="1302" t="n"/>
      <c r="AE548" s="1302" t="inlineStr"/>
      <c r="AF548" s="1302" t="inlineStr"/>
      <c r="AG548" s="1302" t="inlineStr"/>
      <c r="AH548" s="1302" t="n"/>
      <c r="AI548" s="1302" t="n"/>
      <c r="AJ548" s="1302" t="n"/>
      <c r="AK548" s="1302">
        <f>AI548-AJ548</f>
        <v/>
      </c>
      <c r="AL548" s="858" t="n"/>
      <c r="AM548" s="1297" t="inlineStr"/>
      <c r="AN548" s="1298" t="n"/>
      <c r="AO548" s="13">
        <f>IF(_epmOfflineCondition_,0,EPMSaveDataOnly(AB548,,AB$29,AB$25,AB$26,AB$31,AB$32,$AA$37,AO$14,AO$15,AO$16,AO$17,AO$18,X548))</f>
        <v/>
      </c>
      <c r="AP548" s="13">
        <f>IF(_epmOfflineCondition_,0,EPMSaveDataOnly(AL548,,AL$29,AL$25,AL$26,AL$31,AL$32,$AA$37,AP$14,AP$15,AP$16,AP$17,AP$18,$X548))</f>
        <v/>
      </c>
      <c r="AQ548" s="13">
        <f>IF(_epmOfflineCondition_,0,EPMSaveData(AM548,,AM$29,AM$25,AM$26,$C$6,AM$32,$AA$37,AQ$14,AQ$15,AQ$16,AQ$17,AQ$18,$X548))</f>
        <v/>
      </c>
      <c r="AR548" s="13">
        <f>IF(_epmOfflineCondition_,0,EPMSaveDataOnly(AN548,,AN$29,AN$25,AN$26,AN$31,AN$32,$AA$37,AR$14,AR$15,AR$16,AR$17,AR$18,$X548))</f>
        <v/>
      </c>
      <c r="AS548" s="384" t="n"/>
    </row>
    <row r="549" hidden="1" ht="15.75" customHeight="1" s="1181">
      <c r="A549" s="384" t="n"/>
      <c r="B549" s="384" t="n"/>
      <c r="C549" s="384" t="n"/>
      <c r="D549" s="384" t="n"/>
      <c r="E549" s="384" t="n"/>
      <c r="F549" s="384" t="n"/>
      <c r="G549" s="384" t="n"/>
      <c r="H549" s="384" t="n"/>
      <c r="I549" s="384" t="n"/>
      <c r="J549" s="384" t="n"/>
      <c r="K549" s="384" t="n"/>
      <c r="L549" s="384" t="n"/>
      <c r="M549" s="384" t="n"/>
      <c r="N549" s="384" t="n"/>
      <c r="O549" s="384" t="n"/>
      <c r="P549" s="384" t="n"/>
      <c r="Q549" s="384" t="n"/>
      <c r="R549" s="384" t="n"/>
      <c r="S549" s="384" t="n"/>
      <c r="T549" s="384" t="n"/>
      <c r="U549" s="384" t="n"/>
      <c r="V549" s="384" t="n"/>
      <c r="W549" s="384" t="n"/>
      <c r="X549" s="645">
        <f>IF(_epmOfflineCondition_,"I_E100731",EPMOlapMemberO("[C_INTERCO].[PARENTH1].[I_E100731]","","I_E100731","","000"))</f>
        <v/>
      </c>
      <c r="Y549" s="870">
        <f>IF(_epmOfflineCondition_,"大同熊猫光伏发电有限公司",EPMMemberDesc(X549))</f>
        <v/>
      </c>
      <c r="Z549" s="1302" t="n"/>
      <c r="AA549" s="1302" t="n"/>
      <c r="AB549" s="858" t="n"/>
      <c r="AC549" s="1302" t="n"/>
      <c r="AD549" s="1302" t="n"/>
      <c r="AE549" s="1302" t="inlineStr"/>
      <c r="AF549" s="1302" t="inlineStr"/>
      <c r="AG549" s="1302" t="inlineStr"/>
      <c r="AH549" s="1302" t="n"/>
      <c r="AI549" s="1302" t="n"/>
      <c r="AJ549" s="1302" t="n"/>
      <c r="AK549" s="1302">
        <f>AI549-AJ549</f>
        <v/>
      </c>
      <c r="AL549" s="858" t="n"/>
      <c r="AM549" s="1297" t="inlineStr"/>
      <c r="AN549" s="1298" t="n"/>
      <c r="AO549" s="13">
        <f>IF(_epmOfflineCondition_,0,EPMSaveDataOnly(AB549,,AB$29,AB$25,AB$26,AB$31,AB$32,$AA$37,AO$14,AO$15,AO$16,AO$17,AO$18,X549))</f>
        <v/>
      </c>
      <c r="AP549" s="13">
        <f>IF(_epmOfflineCondition_,0,EPMSaveDataOnly(AL549,,AL$29,AL$25,AL$26,AL$31,AL$32,$AA$37,AP$14,AP$15,AP$16,AP$17,AP$18,$X549))</f>
        <v/>
      </c>
      <c r="AQ549" s="13">
        <f>IF(_epmOfflineCondition_,0,EPMSaveData(AM549,,AM$29,AM$25,AM$26,$C$6,AM$32,$AA$37,AQ$14,AQ$15,AQ$16,AQ$17,AQ$18,$X549))</f>
        <v/>
      </c>
      <c r="AR549" s="13">
        <f>IF(_epmOfflineCondition_,0,EPMSaveDataOnly(AN549,,AN$29,AN$25,AN$26,AN$31,AN$32,$AA$37,AR$14,AR$15,AR$16,AR$17,AR$18,$X549))</f>
        <v/>
      </c>
      <c r="AS549" s="384" t="n"/>
    </row>
    <row r="550" hidden="1" ht="15.75" customHeight="1" s="1181">
      <c r="A550" s="384" t="n"/>
      <c r="B550" s="384" t="n"/>
      <c r="C550" s="384" t="n"/>
      <c r="D550" s="384" t="n"/>
      <c r="E550" s="384" t="n"/>
      <c r="F550" s="384" t="n"/>
      <c r="G550" s="384" t="n"/>
      <c r="H550" s="384" t="n"/>
      <c r="I550" s="384" t="n"/>
      <c r="J550" s="384" t="n"/>
      <c r="K550" s="384" t="n"/>
      <c r="L550" s="384" t="n"/>
      <c r="M550" s="384" t="n"/>
      <c r="N550" s="384" t="n"/>
      <c r="O550" s="384" t="n"/>
      <c r="P550" s="384" t="n"/>
      <c r="Q550" s="384" t="n"/>
      <c r="R550" s="384" t="n"/>
      <c r="S550" s="384" t="n"/>
      <c r="T550" s="384" t="n"/>
      <c r="U550" s="384" t="n"/>
      <c r="V550" s="384" t="n"/>
      <c r="W550" s="384" t="n"/>
      <c r="X550" s="645">
        <f>IF(_epmOfflineCondition_,"I_E100743",EPMOlapMemberO("[C_INTERCO].[PARENTH1].[I_E100743]","","I_E100743","","000"))</f>
        <v/>
      </c>
      <c r="Y550" s="870">
        <f>IF(_epmOfflineCondition_,"中利腾晖共和新能源有限公司",EPMMemberDesc(X550))</f>
        <v/>
      </c>
      <c r="Z550" s="1302" t="n"/>
      <c r="AA550" s="1302" t="n"/>
      <c r="AB550" s="858" t="n"/>
      <c r="AC550" s="1302" t="n"/>
      <c r="AD550" s="1302" t="n"/>
      <c r="AE550" s="1302" t="inlineStr"/>
      <c r="AF550" s="1302" t="inlineStr"/>
      <c r="AG550" s="1302" t="inlineStr"/>
      <c r="AH550" s="1302" t="n"/>
      <c r="AI550" s="1302" t="n"/>
      <c r="AJ550" s="1302" t="n"/>
      <c r="AK550" s="1302">
        <f>AI550-AJ550</f>
        <v/>
      </c>
      <c r="AL550" s="858" t="n"/>
      <c r="AM550" s="1297" t="inlineStr"/>
      <c r="AN550" s="1298" t="n"/>
      <c r="AO550" s="13">
        <f>IF(_epmOfflineCondition_,0,EPMSaveDataOnly(AB550,,AB$29,AB$25,AB$26,AB$31,AB$32,$AA$37,AO$14,AO$15,AO$16,AO$17,AO$18,X550))</f>
        <v/>
      </c>
      <c r="AP550" s="13">
        <f>IF(_epmOfflineCondition_,0,EPMSaveDataOnly(AL550,,AL$29,AL$25,AL$26,AL$31,AL$32,$AA$37,AP$14,AP$15,AP$16,AP$17,AP$18,$X550))</f>
        <v/>
      </c>
      <c r="AQ550" s="13">
        <f>IF(_epmOfflineCondition_,0,EPMSaveData(AM550,,AM$29,AM$25,AM$26,$C$6,AM$32,$AA$37,AQ$14,AQ$15,AQ$16,AQ$17,AQ$18,$X550))</f>
        <v/>
      </c>
      <c r="AR550" s="13">
        <f>IF(_epmOfflineCondition_,0,EPMSaveDataOnly(AN550,,AN$29,AN$25,AN$26,AN$31,AN$32,$AA$37,AR$14,AR$15,AR$16,AR$17,AR$18,$X550))</f>
        <v/>
      </c>
      <c r="AS550" s="384" t="n"/>
    </row>
    <row r="551" hidden="1" ht="15.75" customHeight="1" s="1181">
      <c r="A551" s="384" t="n"/>
      <c r="B551" s="384" t="n"/>
      <c r="C551" s="384" t="n"/>
      <c r="D551" s="384" t="n"/>
      <c r="E551" s="384" t="n"/>
      <c r="F551" s="384" t="n"/>
      <c r="G551" s="384" t="n"/>
      <c r="H551" s="384" t="n"/>
      <c r="I551" s="384" t="n"/>
      <c r="J551" s="384" t="n"/>
      <c r="K551" s="384" t="n"/>
      <c r="L551" s="384" t="n"/>
      <c r="M551" s="384" t="n"/>
      <c r="N551" s="384" t="n"/>
      <c r="O551" s="384" t="n"/>
      <c r="P551" s="384" t="n"/>
      <c r="Q551" s="384" t="n"/>
      <c r="R551" s="384" t="n"/>
      <c r="S551" s="384" t="n"/>
      <c r="T551" s="384" t="n"/>
      <c r="U551" s="384" t="n"/>
      <c r="V551" s="384" t="n"/>
      <c r="W551" s="384" t="n"/>
      <c r="X551" s="645">
        <f>IF(_epmOfflineCondition_,"I_E100754",EPMOlapMemberO("[C_INTERCO].[PARENTH1].[I_E100754]","","I_E100754","","000"))</f>
        <v/>
      </c>
      <c r="Y551" s="870">
        <f>IF(_epmOfflineCondition_,"中利腾晖（嘉峪关）光伏发电有限公司",EPMMemberDesc(X551))</f>
        <v/>
      </c>
      <c r="Z551" s="1302" t="n"/>
      <c r="AA551" s="1302" t="n"/>
      <c r="AB551" s="858" t="n"/>
      <c r="AC551" s="1302" t="n"/>
      <c r="AD551" s="1302" t="n"/>
      <c r="AE551" s="1302" t="inlineStr"/>
      <c r="AF551" s="1302" t="inlineStr"/>
      <c r="AG551" s="1302" t="inlineStr"/>
      <c r="AH551" s="1302" t="n"/>
      <c r="AI551" s="1302" t="n"/>
      <c r="AJ551" s="1302" t="n"/>
      <c r="AK551" s="1302">
        <f>AI551-AJ551</f>
        <v/>
      </c>
      <c r="AL551" s="858" t="n"/>
      <c r="AM551" s="1297" t="inlineStr"/>
      <c r="AN551" s="1298" t="n"/>
      <c r="AO551" s="13">
        <f>IF(_epmOfflineCondition_,0,EPMSaveDataOnly(AB551,,AB$29,AB$25,AB$26,AB$31,AB$32,$AA$37,AO$14,AO$15,AO$16,AO$17,AO$18,X551))</f>
        <v/>
      </c>
      <c r="AP551" s="13">
        <f>IF(_epmOfflineCondition_,0,EPMSaveDataOnly(AL551,,AL$29,AL$25,AL$26,AL$31,AL$32,$AA$37,AP$14,AP$15,AP$16,AP$17,AP$18,$X551))</f>
        <v/>
      </c>
      <c r="AQ551" s="13">
        <f>IF(_epmOfflineCondition_,0,EPMSaveData(AM551,,AM$29,AM$25,AM$26,$C$6,AM$32,$AA$37,AQ$14,AQ$15,AQ$16,AQ$17,AQ$18,$X551))</f>
        <v/>
      </c>
      <c r="AR551" s="13">
        <f>IF(_epmOfflineCondition_,0,EPMSaveDataOnly(AN551,,AN$29,AN$25,AN$26,AN$31,AN$32,$AA$37,AR$14,AR$15,AR$16,AR$17,AR$18,$X551))</f>
        <v/>
      </c>
      <c r="AS551" s="384" t="n"/>
    </row>
    <row r="552" hidden="1" ht="15.75" customHeight="1" s="1181">
      <c r="A552" s="384" t="n"/>
      <c r="B552" s="384" t="n"/>
      <c r="C552" s="384" t="n"/>
      <c r="D552" s="384" t="n"/>
      <c r="E552" s="384" t="n"/>
      <c r="F552" s="384" t="n"/>
      <c r="G552" s="384" t="n"/>
      <c r="H552" s="384" t="n"/>
      <c r="I552" s="384" t="n"/>
      <c r="J552" s="384" t="n"/>
      <c r="K552" s="384" t="n"/>
      <c r="L552" s="384" t="n"/>
      <c r="M552" s="384" t="n"/>
      <c r="N552" s="384" t="n"/>
      <c r="O552" s="384" t="n"/>
      <c r="P552" s="384" t="n"/>
      <c r="Q552" s="384" t="n"/>
      <c r="R552" s="384" t="n"/>
      <c r="S552" s="384" t="n"/>
      <c r="T552" s="384" t="n"/>
      <c r="U552" s="384" t="n"/>
      <c r="V552" s="384" t="n"/>
      <c r="W552" s="384" t="n"/>
      <c r="X552" s="645">
        <f>IF(_epmOfflineCondition_,"I_E100857",EPMOlapMemberO("[C_INTERCO].[PARENTH1].[I_E100857]","","I_E100857","","000"))</f>
        <v/>
      </c>
      <c r="Y552" s="870">
        <f>IF(_epmOfflineCondition_,"北京市热力集团有限责任公司基建办",EPMMemberDesc(X552))</f>
        <v/>
      </c>
      <c r="Z552" s="1302" t="n"/>
      <c r="AA552" s="1302" t="n"/>
      <c r="AB552" s="858" t="n"/>
      <c r="AC552" s="1302" t="n"/>
      <c r="AD552" s="1302" t="n"/>
      <c r="AE552" s="1302" t="inlineStr"/>
      <c r="AF552" s="1302" t="inlineStr"/>
      <c r="AG552" s="1302" t="inlineStr"/>
      <c r="AH552" s="1302" t="n"/>
      <c r="AI552" s="1302" t="n"/>
      <c r="AJ552" s="1302" t="n"/>
      <c r="AK552" s="1302">
        <f>AI552-AJ552</f>
        <v/>
      </c>
      <c r="AL552" s="858" t="n"/>
      <c r="AM552" s="1297" t="inlineStr"/>
      <c r="AN552" s="1298" t="n"/>
      <c r="AO552" s="13">
        <f>IF(_epmOfflineCondition_,0,EPMSaveDataOnly(AB552,,AB$29,AB$25,AB$26,AB$31,AB$32,$AA$37,AO$14,AO$15,AO$16,AO$17,AO$18,X552))</f>
        <v/>
      </c>
      <c r="AP552" s="13">
        <f>IF(_epmOfflineCondition_,0,EPMSaveDataOnly(AL552,,AL$29,AL$25,AL$26,AL$31,AL$32,$AA$37,AP$14,AP$15,AP$16,AP$17,AP$18,$X552))</f>
        <v/>
      </c>
      <c r="AQ552" s="13">
        <f>IF(_epmOfflineCondition_,0,EPMSaveData(AM552,,AM$29,AM$25,AM$26,$C$6,AM$32,$AA$37,AQ$14,AQ$15,AQ$16,AQ$17,AQ$18,$X552))</f>
        <v/>
      </c>
      <c r="AR552" s="13">
        <f>IF(_epmOfflineCondition_,0,EPMSaveDataOnly(AN552,,AN$29,AN$25,AN$26,AN$31,AN$32,$AA$37,AR$14,AR$15,AR$16,AR$17,AR$18,$X552))</f>
        <v/>
      </c>
      <c r="AS552" s="384" t="n"/>
    </row>
    <row r="553" hidden="1" ht="15.75" customHeight="1" s="1181">
      <c r="A553" s="384" t="n"/>
      <c r="B553" s="384" t="n"/>
      <c r="C553" s="384" t="n"/>
      <c r="D553" s="384" t="n"/>
      <c r="E553" s="384" t="n"/>
      <c r="F553" s="384" t="n"/>
      <c r="G553" s="384" t="n"/>
      <c r="H553" s="384" t="n"/>
      <c r="I553" s="384" t="n"/>
      <c r="J553" s="384" t="n"/>
      <c r="K553" s="384" t="n"/>
      <c r="L553" s="384" t="n"/>
      <c r="M553" s="384" t="n"/>
      <c r="N553" s="384" t="n"/>
      <c r="O553" s="384" t="n"/>
      <c r="P553" s="384" t="n"/>
      <c r="Q553" s="384" t="n"/>
      <c r="R553" s="384" t="n"/>
      <c r="S553" s="384" t="n"/>
      <c r="T553" s="384" t="n"/>
      <c r="U553" s="384" t="n"/>
      <c r="V553" s="384" t="n"/>
      <c r="W553" s="384" t="n"/>
      <c r="X553" s="645">
        <f>IF(_epmOfflineCondition_,"I_E101131",EPMOlapMemberO("[C_INTERCO].[PARENTH1].[I_E101131]","","I_E101131","","000"))</f>
        <v/>
      </c>
      <c r="Y553" s="870">
        <f>IF(_epmOfflineCondition_,"怀来中尚新能源科技有限公司",EPMMemberDesc(X553))</f>
        <v/>
      </c>
      <c r="Z553" s="1302" t="n"/>
      <c r="AA553" s="1302" t="n"/>
      <c r="AB553" s="858" t="n"/>
      <c r="AC553" s="1302" t="n"/>
      <c r="AD553" s="1302" t="n"/>
      <c r="AE553" s="1302" t="inlineStr"/>
      <c r="AF553" s="1302" t="inlineStr"/>
      <c r="AG553" s="1302" t="inlineStr"/>
      <c r="AH553" s="1302" t="n"/>
      <c r="AI553" s="1302" t="n"/>
      <c r="AJ553" s="1302" t="n"/>
      <c r="AK553" s="1302">
        <f>AI553-AJ553</f>
        <v/>
      </c>
      <c r="AL553" s="858" t="n"/>
      <c r="AM553" s="1297" t="inlineStr"/>
      <c r="AN553" s="1298" t="n"/>
      <c r="AO553" s="13">
        <f>IF(_epmOfflineCondition_,0,EPMSaveDataOnly(AB553,,AB$29,AB$25,AB$26,AB$31,AB$32,$AA$37,AO$14,AO$15,AO$16,AO$17,AO$18,X553))</f>
        <v/>
      </c>
      <c r="AP553" s="13">
        <f>IF(_epmOfflineCondition_,0,EPMSaveDataOnly(AL553,,AL$29,AL$25,AL$26,AL$31,AL$32,$AA$37,AP$14,AP$15,AP$16,AP$17,AP$18,$X553))</f>
        <v/>
      </c>
      <c r="AQ553" s="13">
        <f>IF(_epmOfflineCondition_,0,EPMSaveData(AM553,,AM$29,AM$25,AM$26,$C$6,AM$32,$AA$37,AQ$14,AQ$15,AQ$16,AQ$17,AQ$18,$X553))</f>
        <v/>
      </c>
      <c r="AR553" s="13">
        <f>IF(_epmOfflineCondition_,0,EPMSaveDataOnly(AN553,,AN$29,AN$25,AN$26,AN$31,AN$32,$AA$37,AR$14,AR$15,AR$16,AR$17,AR$18,$X553))</f>
        <v/>
      </c>
      <c r="AS553" s="384" t="n"/>
    </row>
    <row r="554" hidden="1" ht="15.75" customHeight="1" s="1181">
      <c r="A554" s="384" t="n"/>
      <c r="B554" s="384" t="n"/>
      <c r="C554" s="384" t="n"/>
      <c r="D554" s="384" t="n"/>
      <c r="E554" s="384" t="n"/>
      <c r="F554" s="384" t="n"/>
      <c r="G554" s="384" t="n"/>
      <c r="H554" s="384" t="n"/>
      <c r="I554" s="384" t="n"/>
      <c r="J554" s="384" t="n"/>
      <c r="K554" s="384" t="n"/>
      <c r="L554" s="384" t="n"/>
      <c r="M554" s="384" t="n"/>
      <c r="N554" s="384" t="n"/>
      <c r="O554" s="384" t="n"/>
      <c r="P554" s="384" t="n"/>
      <c r="Q554" s="384" t="n"/>
      <c r="R554" s="384" t="n"/>
      <c r="S554" s="384" t="n"/>
      <c r="T554" s="384" t="n"/>
      <c r="U554" s="384" t="n"/>
      <c r="V554" s="384" t="n"/>
      <c r="W554" s="384" t="n"/>
      <c r="X554" s="645">
        <f>IF(_epmOfflineCondition_,"I_E100732",EPMOlapMemberO("[C_INTERCO].[PARENTH1].[I_E100732]","","I_E100732","","000"))</f>
        <v/>
      </c>
      <c r="Y554" s="870">
        <f>IF(_epmOfflineCondition_,"海南州亚晖新能源电力有限公司",EPMMemberDesc(X554))</f>
        <v/>
      </c>
      <c r="Z554" s="1302" t="n"/>
      <c r="AA554" s="1302" t="n"/>
      <c r="AB554" s="858" t="n"/>
      <c r="AC554" s="1302" t="n"/>
      <c r="AD554" s="1302" t="n"/>
      <c r="AE554" s="1302" t="inlineStr"/>
      <c r="AF554" s="1302" t="inlineStr"/>
      <c r="AG554" s="1302" t="inlineStr"/>
      <c r="AH554" s="1302" t="n"/>
      <c r="AI554" s="1302" t="n"/>
      <c r="AJ554" s="1302" t="n"/>
      <c r="AK554" s="1302">
        <f>AI554-AJ554</f>
        <v/>
      </c>
      <c r="AL554" s="858" t="n"/>
      <c r="AM554" s="1297" t="inlineStr"/>
      <c r="AN554" s="1298" t="n"/>
      <c r="AO554" s="13">
        <f>IF(_epmOfflineCondition_,0,EPMSaveDataOnly(AB554,,AB$29,AB$25,AB$26,AB$31,AB$32,$AA$37,AO$14,AO$15,AO$16,AO$17,AO$18,X554))</f>
        <v/>
      </c>
      <c r="AP554" s="13">
        <f>IF(_epmOfflineCondition_,0,EPMSaveDataOnly(AL554,,AL$29,AL$25,AL$26,AL$31,AL$32,$AA$37,AP$14,AP$15,AP$16,AP$17,AP$18,$X554))</f>
        <v/>
      </c>
      <c r="AQ554" s="13">
        <f>IF(_epmOfflineCondition_,0,EPMSaveData(AM554,,AM$29,AM$25,AM$26,$C$6,AM$32,$AA$37,AQ$14,AQ$15,AQ$16,AQ$17,AQ$18,$X554))</f>
        <v/>
      </c>
      <c r="AR554" s="13">
        <f>IF(_epmOfflineCondition_,0,EPMSaveDataOnly(AN554,,AN$29,AN$25,AN$26,AN$31,AN$32,$AA$37,AR$14,AR$15,AR$16,AR$17,AR$18,$X554))</f>
        <v/>
      </c>
      <c r="AS554" s="384" t="n"/>
    </row>
    <row r="555" hidden="1" ht="15.75" customHeight="1" s="1181">
      <c r="A555" s="384" t="n"/>
      <c r="B555" s="384" t="n"/>
      <c r="C555" s="384" t="n"/>
      <c r="D555" s="384" t="n"/>
      <c r="E555" s="384" t="n"/>
      <c r="F555" s="384" t="n"/>
      <c r="G555" s="384" t="n"/>
      <c r="H555" s="384" t="n"/>
      <c r="I555" s="384" t="n"/>
      <c r="J555" s="384" t="n"/>
      <c r="K555" s="384" t="n"/>
      <c r="L555" s="384" t="n"/>
      <c r="M555" s="384" t="n"/>
      <c r="N555" s="384" t="n"/>
      <c r="O555" s="384" t="n"/>
      <c r="P555" s="384" t="n"/>
      <c r="Q555" s="384" t="n"/>
      <c r="R555" s="384" t="n"/>
      <c r="S555" s="384" t="n"/>
      <c r="T555" s="384" t="n"/>
      <c r="U555" s="384" t="n"/>
      <c r="V555" s="384" t="n"/>
      <c r="W555" s="384" t="n"/>
      <c r="X555" s="645">
        <f>IF(_epmOfflineCondition_,"I_E100733",EPMOlapMemberO("[C_INTERCO].[PARENTH1].[I_E100733]","","I_E100733","","000"))</f>
        <v/>
      </c>
      <c r="Y555" s="870">
        <f>IF(_epmOfflineCondition_,"晋中晋合新能源有限公司",EPMMemberDesc(X555))</f>
        <v/>
      </c>
      <c r="Z555" s="1302" t="n"/>
      <c r="AA555" s="1302" t="n"/>
      <c r="AB555" s="858" t="n"/>
      <c r="AC555" s="1302" t="n"/>
      <c r="AD555" s="1302" t="n"/>
      <c r="AE555" s="1302" t="inlineStr"/>
      <c r="AF555" s="1302" t="inlineStr"/>
      <c r="AG555" s="1302" t="inlineStr"/>
      <c r="AH555" s="1302" t="n"/>
      <c r="AI555" s="1302" t="n"/>
      <c r="AJ555" s="1302" t="n"/>
      <c r="AK555" s="1302">
        <f>AI555-AJ555</f>
        <v/>
      </c>
      <c r="AL555" s="858" t="n"/>
      <c r="AM555" s="1297" t="inlineStr"/>
      <c r="AN555" s="1298" t="n"/>
      <c r="AO555" s="13">
        <f>IF(_epmOfflineCondition_,0,EPMSaveDataOnly(AB555,,AB$29,AB$25,AB$26,AB$31,AB$32,$AA$37,AO$14,AO$15,AO$16,AO$17,AO$18,X555))</f>
        <v/>
      </c>
      <c r="AP555" s="13">
        <f>IF(_epmOfflineCondition_,0,EPMSaveDataOnly(AL555,,AL$29,AL$25,AL$26,AL$31,AL$32,$AA$37,AP$14,AP$15,AP$16,AP$17,AP$18,$X555))</f>
        <v/>
      </c>
      <c r="AQ555" s="13">
        <f>IF(_epmOfflineCondition_,0,EPMSaveData(AM555,,AM$29,AM$25,AM$26,$C$6,AM$32,$AA$37,AQ$14,AQ$15,AQ$16,AQ$17,AQ$18,$X555))</f>
        <v/>
      </c>
      <c r="AR555" s="13">
        <f>IF(_epmOfflineCondition_,0,EPMSaveDataOnly(AN555,,AN$29,AN$25,AN$26,AN$31,AN$32,$AA$37,AR$14,AR$15,AR$16,AR$17,AR$18,$X555))</f>
        <v/>
      </c>
      <c r="AS555" s="384" t="n"/>
    </row>
    <row r="556" hidden="1" ht="15.75" customHeight="1" s="1181">
      <c r="A556" s="384" t="n"/>
      <c r="B556" s="384" t="n"/>
      <c r="C556" s="384" t="n"/>
      <c r="D556" s="384" t="n"/>
      <c r="E556" s="384" t="n"/>
      <c r="F556" s="384" t="n"/>
      <c r="G556" s="384" t="n"/>
      <c r="H556" s="384" t="n"/>
      <c r="I556" s="384" t="n"/>
      <c r="J556" s="384" t="n"/>
      <c r="K556" s="384" t="n"/>
      <c r="L556" s="384" t="n"/>
      <c r="M556" s="384" t="n"/>
      <c r="N556" s="384" t="n"/>
      <c r="O556" s="384" t="n"/>
      <c r="P556" s="384" t="n"/>
      <c r="Q556" s="384" t="n"/>
      <c r="R556" s="384" t="n"/>
      <c r="S556" s="384" t="n"/>
      <c r="T556" s="384" t="n"/>
      <c r="U556" s="384" t="n"/>
      <c r="V556" s="384" t="n"/>
      <c r="W556" s="384" t="n"/>
      <c r="X556" s="645">
        <f>IF(_epmOfflineCondition_,"I_E100737",EPMOlapMemberO("[C_INTERCO].[PARENTH1].[I_E100737]","","I_E100737","","000"))</f>
        <v/>
      </c>
      <c r="Y556" s="870">
        <f>IF(_epmOfflineCondition_,"四川联合光伏有限公司",EPMMemberDesc(X556))</f>
        <v/>
      </c>
      <c r="Z556" s="1302" t="n"/>
      <c r="AA556" s="1302" t="n"/>
      <c r="AB556" s="858" t="n"/>
      <c r="AC556" s="1302" t="n"/>
      <c r="AD556" s="1302" t="n"/>
      <c r="AE556" s="1302" t="inlineStr"/>
      <c r="AF556" s="1302" t="inlineStr"/>
      <c r="AG556" s="1302" t="inlineStr"/>
      <c r="AH556" s="1302" t="n"/>
      <c r="AI556" s="1302" t="n"/>
      <c r="AJ556" s="1302" t="n"/>
      <c r="AK556" s="1302">
        <f>AI556-AJ556</f>
        <v/>
      </c>
      <c r="AL556" s="858" t="n"/>
      <c r="AM556" s="1297" t="inlineStr"/>
      <c r="AN556" s="1298" t="n"/>
      <c r="AO556" s="13">
        <f>IF(_epmOfflineCondition_,0,EPMSaveDataOnly(AB556,,AB$29,AB$25,AB$26,AB$31,AB$32,$AA$37,AO$14,AO$15,AO$16,AO$17,AO$18,X556))</f>
        <v/>
      </c>
      <c r="AP556" s="13">
        <f>IF(_epmOfflineCondition_,0,EPMSaveDataOnly(AL556,,AL$29,AL$25,AL$26,AL$31,AL$32,$AA$37,AP$14,AP$15,AP$16,AP$17,AP$18,$X556))</f>
        <v/>
      </c>
      <c r="AQ556" s="13">
        <f>IF(_epmOfflineCondition_,0,EPMSaveData(AM556,,AM$29,AM$25,AM$26,$C$6,AM$32,$AA$37,AQ$14,AQ$15,AQ$16,AQ$17,AQ$18,$X556))</f>
        <v/>
      </c>
      <c r="AR556" s="13">
        <f>IF(_epmOfflineCondition_,0,EPMSaveDataOnly(AN556,,AN$29,AN$25,AN$26,AN$31,AN$32,$AA$37,AR$14,AR$15,AR$16,AR$17,AR$18,$X556))</f>
        <v/>
      </c>
      <c r="AS556" s="384" t="n"/>
    </row>
    <row r="557" hidden="1" ht="15.75" customHeight="1" s="1181">
      <c r="A557" s="384" t="n"/>
      <c r="B557" s="384" t="n"/>
      <c r="C557" s="384" t="n"/>
      <c r="D557" s="384" t="n"/>
      <c r="E557" s="384" t="n"/>
      <c r="F557" s="384" t="n"/>
      <c r="G557" s="384" t="n"/>
      <c r="H557" s="384" t="n"/>
      <c r="I557" s="384" t="n"/>
      <c r="J557" s="384" t="n"/>
      <c r="K557" s="384" t="n"/>
      <c r="L557" s="384" t="n"/>
      <c r="M557" s="384" t="n"/>
      <c r="N557" s="384" t="n"/>
      <c r="O557" s="384" t="n"/>
      <c r="P557" s="384" t="n"/>
      <c r="Q557" s="384" t="n"/>
      <c r="R557" s="384" t="n"/>
      <c r="S557" s="384" t="n"/>
      <c r="T557" s="384" t="n"/>
      <c r="U557" s="384" t="n"/>
      <c r="V557" s="384" t="n"/>
      <c r="W557" s="384" t="n"/>
      <c r="X557" s="645">
        <f>IF(_epmOfflineCondition_,"I_E100742",EPMOlapMemberO("[C_INTERCO].[PARENTH1].[I_E100742]","","I_E100742","","000"))</f>
        <v/>
      </c>
      <c r="Y557" s="870">
        <f>IF(_epmOfflineCondition_,"中利腾晖共和光伏发电有限公司",EPMMemberDesc(X557))</f>
        <v/>
      </c>
      <c r="Z557" s="1302" t="n"/>
      <c r="AA557" s="1302" t="n"/>
      <c r="AB557" s="858" t="n"/>
      <c r="AC557" s="1302" t="n"/>
      <c r="AD557" s="1302" t="n"/>
      <c r="AE557" s="1302" t="inlineStr"/>
      <c r="AF557" s="1302" t="inlineStr"/>
      <c r="AG557" s="1302" t="inlineStr"/>
      <c r="AH557" s="1302" t="n"/>
      <c r="AI557" s="1302" t="n"/>
      <c r="AJ557" s="1302" t="n"/>
      <c r="AK557" s="1302">
        <f>AI557-AJ557</f>
        <v/>
      </c>
      <c r="AL557" s="858" t="n"/>
      <c r="AM557" s="1297" t="inlineStr"/>
      <c r="AN557" s="1298" t="n"/>
      <c r="AO557" s="13">
        <f>IF(_epmOfflineCondition_,0,EPMSaveDataOnly(AB557,,AB$29,AB$25,AB$26,AB$31,AB$32,$AA$37,AO$14,AO$15,AO$16,AO$17,AO$18,X557))</f>
        <v/>
      </c>
      <c r="AP557" s="13">
        <f>IF(_epmOfflineCondition_,0,EPMSaveDataOnly(AL557,,AL$29,AL$25,AL$26,AL$31,AL$32,$AA$37,AP$14,AP$15,AP$16,AP$17,AP$18,$X557))</f>
        <v/>
      </c>
      <c r="AQ557" s="13">
        <f>IF(_epmOfflineCondition_,0,EPMSaveData(AM557,,AM$29,AM$25,AM$26,$C$6,AM$32,$AA$37,AQ$14,AQ$15,AQ$16,AQ$17,AQ$18,$X557))</f>
        <v/>
      </c>
      <c r="AR557" s="13">
        <f>IF(_epmOfflineCondition_,0,EPMSaveDataOnly(AN557,,AN$29,AN$25,AN$26,AN$31,AN$32,$AA$37,AR$14,AR$15,AR$16,AR$17,AR$18,$X557))</f>
        <v/>
      </c>
      <c r="AS557" s="384" t="n"/>
    </row>
    <row r="558" hidden="1" ht="15.75" customHeight="1" s="1181">
      <c r="A558" s="384" t="n"/>
      <c r="B558" s="384" t="n"/>
      <c r="C558" s="384" t="n"/>
      <c r="D558" s="384" t="n"/>
      <c r="E558" s="384" t="n"/>
      <c r="F558" s="384" t="n"/>
      <c r="G558" s="384" t="n"/>
      <c r="H558" s="384" t="n"/>
      <c r="I558" s="384" t="n"/>
      <c r="J558" s="384" t="n"/>
      <c r="K558" s="384" t="n"/>
      <c r="L558" s="384" t="n"/>
      <c r="M558" s="384" t="n"/>
      <c r="N558" s="384" t="n"/>
      <c r="O558" s="384" t="n"/>
      <c r="P558" s="384" t="n"/>
      <c r="Q558" s="384" t="n"/>
      <c r="R558" s="384" t="n"/>
      <c r="S558" s="384" t="n"/>
      <c r="T558" s="384" t="n"/>
      <c r="U558" s="384" t="n"/>
      <c r="V558" s="384" t="n"/>
      <c r="W558" s="384" t="n"/>
      <c r="X558" s="645">
        <f>IF(_epmOfflineCondition_,"I_E100749",EPMOlapMemberO("[C_INTERCO].[PARENTH1].[I_E100749]","","I_E100749","","000"))</f>
        <v/>
      </c>
      <c r="Y558" s="870">
        <f>IF(_epmOfflineCondition_,"炉霍联合光伏开发有限公司",EPMMemberDesc(X558))</f>
        <v/>
      </c>
      <c r="Z558" s="1302" t="n"/>
      <c r="AA558" s="1302" t="n"/>
      <c r="AB558" s="858" t="n"/>
      <c r="AC558" s="1302" t="n"/>
      <c r="AD558" s="1302" t="n"/>
      <c r="AE558" s="1302" t="inlineStr"/>
      <c r="AF558" s="1302" t="inlineStr"/>
      <c r="AG558" s="1302" t="inlineStr"/>
      <c r="AH558" s="1302" t="n"/>
      <c r="AI558" s="1302" t="n"/>
      <c r="AJ558" s="1302" t="n"/>
      <c r="AK558" s="1302">
        <f>AI558-AJ558</f>
        <v/>
      </c>
      <c r="AL558" s="858" t="n"/>
      <c r="AM558" s="1297" t="inlineStr"/>
      <c r="AN558" s="1298" t="n"/>
      <c r="AO558" s="13">
        <f>IF(_epmOfflineCondition_,0,EPMSaveDataOnly(AB558,,AB$29,AB$25,AB$26,AB$31,AB$32,$AA$37,AO$14,AO$15,AO$16,AO$17,AO$18,X558))</f>
        <v/>
      </c>
      <c r="AP558" s="13">
        <f>IF(_epmOfflineCondition_,0,EPMSaveDataOnly(AL558,,AL$29,AL$25,AL$26,AL$31,AL$32,$AA$37,AP$14,AP$15,AP$16,AP$17,AP$18,$X558))</f>
        <v/>
      </c>
      <c r="AQ558" s="13">
        <f>IF(_epmOfflineCondition_,0,EPMSaveData(AM558,,AM$29,AM$25,AM$26,$C$6,AM$32,$AA$37,AQ$14,AQ$15,AQ$16,AQ$17,AQ$18,$X558))</f>
        <v/>
      </c>
      <c r="AR558" s="13">
        <f>IF(_epmOfflineCondition_,0,EPMSaveDataOnly(AN558,,AN$29,AN$25,AN$26,AN$31,AN$32,$AA$37,AR$14,AR$15,AR$16,AR$17,AR$18,$X558))</f>
        <v/>
      </c>
      <c r="AS558" s="384" t="n"/>
    </row>
    <row r="559" hidden="1" ht="15.75" customHeight="1" s="1181">
      <c r="A559" s="384" t="n"/>
      <c r="B559" s="384" t="n"/>
      <c r="C559" s="384" t="n"/>
      <c r="D559" s="384" t="n"/>
      <c r="E559" s="384" t="n"/>
      <c r="F559" s="384" t="n"/>
      <c r="G559" s="384" t="n"/>
      <c r="H559" s="384" t="n"/>
      <c r="I559" s="384" t="n"/>
      <c r="J559" s="384" t="n"/>
      <c r="K559" s="384" t="n"/>
      <c r="L559" s="384" t="n"/>
      <c r="M559" s="384" t="n"/>
      <c r="N559" s="384" t="n"/>
      <c r="O559" s="384" t="n"/>
      <c r="P559" s="384" t="n"/>
      <c r="Q559" s="384" t="n"/>
      <c r="R559" s="384" t="n"/>
      <c r="S559" s="384" t="n"/>
      <c r="T559" s="384" t="n"/>
      <c r="U559" s="384" t="n"/>
      <c r="V559" s="384" t="n"/>
      <c r="W559" s="384" t="n"/>
      <c r="X559" s="645">
        <f>IF(_epmOfflineCondition_,"I_E100750",EPMOlapMemberO("[C_INTERCO].[PARENTH1].[I_E100750]","","I_E100750","","000"))</f>
        <v/>
      </c>
      <c r="Y559" s="870">
        <f>IF(_epmOfflineCondition_,"民丰县昂立光伏科技有限公司",EPMMemberDesc(X559))</f>
        <v/>
      </c>
      <c r="Z559" s="1302" t="n"/>
      <c r="AA559" s="1302" t="n"/>
      <c r="AB559" s="858" t="n"/>
      <c r="AC559" s="1302" t="n"/>
      <c r="AD559" s="1302" t="n"/>
      <c r="AE559" s="1302" t="inlineStr"/>
      <c r="AF559" s="1302" t="inlineStr"/>
      <c r="AG559" s="1302" t="inlineStr"/>
      <c r="AH559" s="1302" t="n"/>
      <c r="AI559" s="1302" t="n"/>
      <c r="AJ559" s="1302" t="n"/>
      <c r="AK559" s="1302">
        <f>AI559-AJ559</f>
        <v/>
      </c>
      <c r="AL559" s="858" t="n"/>
      <c r="AM559" s="1297" t="inlineStr"/>
      <c r="AN559" s="1298" t="n"/>
      <c r="AO559" s="13">
        <f>IF(_epmOfflineCondition_,0,EPMSaveDataOnly(AB559,,AB$29,AB$25,AB$26,AB$31,AB$32,$AA$37,AO$14,AO$15,AO$16,AO$17,AO$18,X559))</f>
        <v/>
      </c>
      <c r="AP559" s="13">
        <f>IF(_epmOfflineCondition_,0,EPMSaveDataOnly(AL559,,AL$29,AL$25,AL$26,AL$31,AL$32,$AA$37,AP$14,AP$15,AP$16,AP$17,AP$18,$X559))</f>
        <v/>
      </c>
      <c r="AQ559" s="13">
        <f>IF(_epmOfflineCondition_,0,EPMSaveData(AM559,,AM$29,AM$25,AM$26,$C$6,AM$32,$AA$37,AQ$14,AQ$15,AQ$16,AQ$17,AQ$18,$X559))</f>
        <v/>
      </c>
      <c r="AR559" s="13">
        <f>IF(_epmOfflineCondition_,0,EPMSaveDataOnly(AN559,,AN$29,AN$25,AN$26,AN$31,AN$32,$AA$37,AR$14,AR$15,AR$16,AR$17,AR$18,$X559))</f>
        <v/>
      </c>
      <c r="AS559" s="384" t="n"/>
    </row>
    <row r="560" hidden="1" ht="15.75" customHeight="1" s="1181">
      <c r="A560" s="384" t="n"/>
      <c r="B560" s="384" t="n"/>
      <c r="C560" s="384" t="n"/>
      <c r="D560" s="384" t="n"/>
      <c r="E560" s="384" t="n"/>
      <c r="F560" s="384" t="n"/>
      <c r="G560" s="384" t="n"/>
      <c r="H560" s="384" t="n"/>
      <c r="I560" s="384" t="n"/>
      <c r="J560" s="384" t="n"/>
      <c r="K560" s="384" t="n"/>
      <c r="L560" s="384" t="n"/>
      <c r="M560" s="384" t="n"/>
      <c r="N560" s="384" t="n"/>
      <c r="O560" s="384" t="n"/>
      <c r="P560" s="384" t="n"/>
      <c r="Q560" s="384" t="n"/>
      <c r="R560" s="384" t="n"/>
      <c r="S560" s="384" t="n"/>
      <c r="T560" s="384" t="n"/>
      <c r="U560" s="384" t="n"/>
      <c r="V560" s="384" t="n"/>
      <c r="W560" s="384" t="n"/>
      <c r="X560" s="645">
        <f>IF(_epmOfflineCondition_,"I_E100751",EPMOlapMemberO("[C_INTERCO].[PARENTH1].[I_E100751]","","I_E100751","","000"))</f>
        <v/>
      </c>
      <c r="Y560" s="870">
        <f>IF(_epmOfflineCondition_,"吐鲁番中利腾晖光伏发电有限公司",EPMMemberDesc(X560))</f>
        <v/>
      </c>
      <c r="Z560" s="1302" t="n"/>
      <c r="AA560" s="1302" t="n"/>
      <c r="AB560" s="858" t="n"/>
      <c r="AC560" s="1302" t="n"/>
      <c r="AD560" s="1302" t="n"/>
      <c r="AE560" s="1302" t="inlineStr"/>
      <c r="AF560" s="1302" t="inlineStr"/>
      <c r="AG560" s="1302" t="inlineStr"/>
      <c r="AH560" s="1302" t="n"/>
      <c r="AI560" s="1302" t="n"/>
      <c r="AJ560" s="1302" t="n"/>
      <c r="AK560" s="1302">
        <f>AI560-AJ560</f>
        <v/>
      </c>
      <c r="AL560" s="858" t="n"/>
      <c r="AM560" s="1297" t="inlineStr"/>
      <c r="AN560" s="1298" t="n"/>
      <c r="AO560" s="13">
        <f>IF(_epmOfflineCondition_,0,EPMSaveDataOnly(AB560,,AB$29,AB$25,AB$26,AB$31,AB$32,$AA$37,AO$14,AO$15,AO$16,AO$17,AO$18,X560))</f>
        <v/>
      </c>
      <c r="AP560" s="13">
        <f>IF(_epmOfflineCondition_,0,EPMSaveDataOnly(AL560,,AL$29,AL$25,AL$26,AL$31,AL$32,$AA$37,AP$14,AP$15,AP$16,AP$17,AP$18,$X560))</f>
        <v/>
      </c>
      <c r="AQ560" s="13">
        <f>IF(_epmOfflineCondition_,0,EPMSaveData(AM560,,AM$29,AM$25,AM$26,$C$6,AM$32,$AA$37,AQ$14,AQ$15,AQ$16,AQ$17,AQ$18,$X560))</f>
        <v/>
      </c>
      <c r="AR560" s="13">
        <f>IF(_epmOfflineCondition_,0,EPMSaveDataOnly(AN560,,AN$29,AN$25,AN$26,AN$31,AN$32,$AA$37,AR$14,AR$15,AR$16,AR$17,AR$18,$X560))</f>
        <v/>
      </c>
      <c r="AS560" s="384" t="n"/>
    </row>
    <row r="561" hidden="1" ht="15.75" customHeight="1" s="1181">
      <c r="A561" s="384" t="n"/>
      <c r="B561" s="384" t="n"/>
      <c r="C561" s="384" t="n"/>
      <c r="D561" s="384" t="n"/>
      <c r="E561" s="384" t="n"/>
      <c r="F561" s="384" t="n"/>
      <c r="G561" s="384" t="n"/>
      <c r="H561" s="384" t="n"/>
      <c r="I561" s="384" t="n"/>
      <c r="J561" s="384" t="n"/>
      <c r="K561" s="384" t="n"/>
      <c r="L561" s="384" t="n"/>
      <c r="M561" s="384" t="n"/>
      <c r="N561" s="384" t="n"/>
      <c r="O561" s="384" t="n"/>
      <c r="P561" s="384" t="n"/>
      <c r="Q561" s="384" t="n"/>
      <c r="R561" s="384" t="n"/>
      <c r="S561" s="384" t="n"/>
      <c r="T561" s="384" t="n"/>
      <c r="U561" s="384" t="n"/>
      <c r="V561" s="384" t="n"/>
      <c r="W561" s="384" t="n"/>
      <c r="X561" s="645">
        <f>IF(_epmOfflineCondition_,"I_E100756",EPMOlapMemberO("[C_INTERCO].[PARENTH1].[I_E100756]","","I_E100756","","000"))</f>
        <v/>
      </c>
      <c r="Y561" s="870">
        <f>IF(_epmOfflineCondition_,"贵港市绿色方舟新能源有限公司",EPMMemberDesc(X561))</f>
        <v/>
      </c>
      <c r="Z561" s="1302" t="n"/>
      <c r="AA561" s="1302" t="n"/>
      <c r="AB561" s="858" t="n"/>
      <c r="AC561" s="1302" t="n"/>
      <c r="AD561" s="1302" t="n"/>
      <c r="AE561" s="1302" t="inlineStr"/>
      <c r="AF561" s="1302" t="inlineStr"/>
      <c r="AG561" s="1302" t="inlineStr"/>
      <c r="AH561" s="1302" t="n"/>
      <c r="AI561" s="1302" t="n"/>
      <c r="AJ561" s="1302" t="n"/>
      <c r="AK561" s="1302">
        <f>AI561-AJ561</f>
        <v/>
      </c>
      <c r="AL561" s="858" t="n"/>
      <c r="AM561" s="1297" t="inlineStr"/>
      <c r="AN561" s="1298" t="n"/>
      <c r="AO561" s="13">
        <f>IF(_epmOfflineCondition_,0,EPMSaveDataOnly(AB561,,AB$29,AB$25,AB$26,AB$31,AB$32,$AA$37,AO$14,AO$15,AO$16,AO$17,AO$18,X561))</f>
        <v/>
      </c>
      <c r="AP561" s="13">
        <f>IF(_epmOfflineCondition_,0,EPMSaveDataOnly(AL561,,AL$29,AL$25,AL$26,AL$31,AL$32,$AA$37,AP$14,AP$15,AP$16,AP$17,AP$18,$X561))</f>
        <v/>
      </c>
      <c r="AQ561" s="13">
        <f>IF(_epmOfflineCondition_,0,EPMSaveData(AM561,,AM$29,AM$25,AM$26,$C$6,AM$32,$AA$37,AQ$14,AQ$15,AQ$16,AQ$17,AQ$18,$X561))</f>
        <v/>
      </c>
      <c r="AR561" s="13">
        <f>IF(_epmOfflineCondition_,0,EPMSaveDataOnly(AN561,,AN$29,AN$25,AN$26,AN$31,AN$32,$AA$37,AR$14,AR$15,AR$16,AR$17,AR$18,$X561))</f>
        <v/>
      </c>
      <c r="AS561" s="384" t="n"/>
    </row>
    <row r="562" hidden="1" ht="15.75" customHeight="1" s="1181">
      <c r="A562" s="384" t="n"/>
      <c r="B562" s="384" t="n"/>
      <c r="C562" s="384" t="n"/>
      <c r="D562" s="384" t="n"/>
      <c r="E562" s="384" t="n"/>
      <c r="F562" s="384" t="n"/>
      <c r="G562" s="384" t="n"/>
      <c r="H562" s="384" t="n"/>
      <c r="I562" s="384" t="n"/>
      <c r="J562" s="384" t="n"/>
      <c r="K562" s="384" t="n"/>
      <c r="L562" s="384" t="n"/>
      <c r="M562" s="384" t="n"/>
      <c r="N562" s="384" t="n"/>
      <c r="O562" s="384" t="n"/>
      <c r="P562" s="384" t="n"/>
      <c r="Q562" s="384" t="n"/>
      <c r="R562" s="384" t="n"/>
      <c r="S562" s="384" t="n"/>
      <c r="T562" s="384" t="n"/>
      <c r="U562" s="384" t="n"/>
      <c r="V562" s="384" t="n"/>
      <c r="W562" s="384" t="n"/>
      <c r="X562" s="645">
        <f>IF(_epmOfflineCondition_,"I_E100764",EPMOlapMemberO("[C_INTERCO].[PARENTH1].[I_E100764]","","I_E100764","","000"))</f>
        <v/>
      </c>
      <c r="Y562" s="870">
        <f>IF(_epmOfflineCondition_,"联合光伏（深圳）有限公司",EPMMemberDesc(X562))</f>
        <v/>
      </c>
      <c r="Z562" s="1302" t="n"/>
      <c r="AA562" s="1302" t="n"/>
      <c r="AB562" s="858" t="n"/>
      <c r="AC562" s="1302" t="n"/>
      <c r="AD562" s="1302" t="n"/>
      <c r="AE562" s="1302" t="inlineStr"/>
      <c r="AF562" s="1302" t="inlineStr"/>
      <c r="AG562" s="1302" t="inlineStr"/>
      <c r="AH562" s="1302" t="n"/>
      <c r="AI562" s="1302" t="n"/>
      <c r="AJ562" s="1302" t="n"/>
      <c r="AK562" s="1302">
        <f>AI562-AJ562</f>
        <v/>
      </c>
      <c r="AL562" s="858" t="n"/>
      <c r="AM562" s="1297" t="inlineStr"/>
      <c r="AN562" s="1298" t="n"/>
      <c r="AO562" s="13">
        <f>IF(_epmOfflineCondition_,0,EPMSaveDataOnly(AB562,,AB$29,AB$25,AB$26,AB$31,AB$32,$AA$37,AO$14,AO$15,AO$16,AO$17,AO$18,X562))</f>
        <v/>
      </c>
      <c r="AP562" s="13">
        <f>IF(_epmOfflineCondition_,0,EPMSaveDataOnly(AL562,,AL$29,AL$25,AL$26,AL$31,AL$32,$AA$37,AP$14,AP$15,AP$16,AP$17,AP$18,$X562))</f>
        <v/>
      </c>
      <c r="AQ562" s="13">
        <f>IF(_epmOfflineCondition_,0,EPMSaveData(AM562,,AM$29,AM$25,AM$26,$C$6,AM$32,$AA$37,AQ$14,AQ$15,AQ$16,AQ$17,AQ$18,$X562))</f>
        <v/>
      </c>
      <c r="AR562" s="13">
        <f>IF(_epmOfflineCondition_,0,EPMSaveDataOnly(AN562,,AN$29,AN$25,AN$26,AN$31,AN$32,$AA$37,AR$14,AR$15,AR$16,AR$17,AR$18,$X562))</f>
        <v/>
      </c>
      <c r="AS562" s="384" t="n"/>
    </row>
    <row r="563" hidden="1" ht="15.75" customHeight="1" s="1181">
      <c r="A563" s="384" t="n"/>
      <c r="B563" s="384" t="n"/>
      <c r="C563" s="384" t="n"/>
      <c r="D563" s="384" t="n"/>
      <c r="E563" s="384" t="n"/>
      <c r="F563" s="384" t="n"/>
      <c r="G563" s="384" t="n"/>
      <c r="H563" s="384" t="n"/>
      <c r="I563" s="384" t="n"/>
      <c r="J563" s="384" t="n"/>
      <c r="K563" s="384" t="n"/>
      <c r="L563" s="384" t="n"/>
      <c r="M563" s="384" t="n"/>
      <c r="N563" s="384" t="n"/>
      <c r="O563" s="384" t="n"/>
      <c r="P563" s="384" t="n"/>
      <c r="Q563" s="384" t="n"/>
      <c r="R563" s="384" t="n"/>
      <c r="S563" s="384" t="n"/>
      <c r="T563" s="384" t="n"/>
      <c r="U563" s="384" t="n"/>
      <c r="V563" s="384" t="n"/>
      <c r="W563" s="384" t="n"/>
      <c r="X563" s="645">
        <f>IF(_epmOfflineCondition_,"I_E100765",EPMOlapMemberO("[C_INTERCO].[PARENTH1].[I_E100765]","","I_E100765","","000"))</f>
        <v/>
      </c>
      <c r="Y563" s="870">
        <f>IF(_epmOfflineCondition_,"哈密辉腾光伏电力有限公司",EPMMemberDesc(X563))</f>
        <v/>
      </c>
      <c r="Z563" s="1302" t="n"/>
      <c r="AA563" s="1302" t="n"/>
      <c r="AB563" s="858" t="n"/>
      <c r="AC563" s="1302" t="n"/>
      <c r="AD563" s="1302" t="n"/>
      <c r="AE563" s="1302" t="inlineStr"/>
      <c r="AF563" s="1302" t="inlineStr"/>
      <c r="AG563" s="1302" t="inlineStr"/>
      <c r="AH563" s="1302" t="n"/>
      <c r="AI563" s="1302" t="n"/>
      <c r="AJ563" s="1302" t="n"/>
      <c r="AK563" s="1302">
        <f>AI563-AJ563</f>
        <v/>
      </c>
      <c r="AL563" s="858" t="n"/>
      <c r="AM563" s="1297" t="inlineStr"/>
      <c r="AN563" s="1298" t="n"/>
      <c r="AO563" s="13">
        <f>IF(_epmOfflineCondition_,0,EPMSaveDataOnly(AB563,,AB$29,AB$25,AB$26,AB$31,AB$32,$AA$37,AO$14,AO$15,AO$16,AO$17,AO$18,X563))</f>
        <v/>
      </c>
      <c r="AP563" s="13">
        <f>IF(_epmOfflineCondition_,0,EPMSaveDataOnly(AL563,,AL$29,AL$25,AL$26,AL$31,AL$32,$AA$37,AP$14,AP$15,AP$16,AP$17,AP$18,$X563))</f>
        <v/>
      </c>
      <c r="AQ563" s="13">
        <f>IF(_epmOfflineCondition_,0,EPMSaveData(AM563,,AM$29,AM$25,AM$26,$C$6,AM$32,$AA$37,AQ$14,AQ$15,AQ$16,AQ$17,AQ$18,$X563))</f>
        <v/>
      </c>
      <c r="AR563" s="13">
        <f>IF(_epmOfflineCondition_,0,EPMSaveDataOnly(AN563,,AN$29,AN$25,AN$26,AN$31,AN$32,$AA$37,AR$14,AR$15,AR$16,AR$17,AR$18,$X563))</f>
        <v/>
      </c>
      <c r="AS563" s="384" t="n"/>
    </row>
    <row r="564" hidden="1" ht="15.75" customHeight="1" s="1181">
      <c r="A564" s="384" t="n"/>
      <c r="B564" s="384" t="n"/>
      <c r="C564" s="384" t="n"/>
      <c r="D564" s="384" t="n"/>
      <c r="E564" s="384" t="n"/>
      <c r="F564" s="384" t="n"/>
      <c r="G564" s="384" t="n"/>
      <c r="H564" s="384" t="n"/>
      <c r="I564" s="384" t="n"/>
      <c r="J564" s="384" t="n"/>
      <c r="K564" s="384" t="n"/>
      <c r="L564" s="384" t="n"/>
      <c r="M564" s="384" t="n"/>
      <c r="N564" s="384" t="n"/>
      <c r="O564" s="384" t="n"/>
      <c r="P564" s="384" t="n"/>
      <c r="Q564" s="384" t="n"/>
      <c r="R564" s="384" t="n"/>
      <c r="S564" s="384" t="n"/>
      <c r="T564" s="384" t="n"/>
      <c r="U564" s="384" t="n"/>
      <c r="V564" s="384" t="n"/>
      <c r="W564" s="384" t="n"/>
      <c r="X564" s="645">
        <f>IF(_epmOfflineCondition_,"I_E100779",EPMOlapMemberO("[C_INTERCO].[PARENTH1].[I_E100779]","","I_E100779","","000"))</f>
        <v/>
      </c>
      <c r="Y564" s="870">
        <f>IF(_epmOfflineCondition_,"五家渠利商光伏电力有限公司",EPMMemberDesc(X564))</f>
        <v/>
      </c>
      <c r="Z564" s="1302" t="n"/>
      <c r="AA564" s="1302" t="n"/>
      <c r="AB564" s="858" t="n"/>
      <c r="AC564" s="1302" t="n"/>
      <c r="AD564" s="1302" t="n"/>
      <c r="AE564" s="1302" t="inlineStr"/>
      <c r="AF564" s="1302" t="inlineStr"/>
      <c r="AG564" s="1302" t="inlineStr"/>
      <c r="AH564" s="1302" t="n"/>
      <c r="AI564" s="1302" t="n"/>
      <c r="AJ564" s="1302" t="n"/>
      <c r="AK564" s="1302">
        <f>AI564-AJ564</f>
        <v/>
      </c>
      <c r="AL564" s="858" t="n"/>
      <c r="AM564" s="1297" t="inlineStr"/>
      <c r="AN564" s="1298" t="n"/>
      <c r="AO564" s="13">
        <f>IF(_epmOfflineCondition_,0,EPMSaveDataOnly(AB564,,AB$29,AB$25,AB$26,AB$31,AB$32,$AA$37,AO$14,AO$15,AO$16,AO$17,AO$18,X564))</f>
        <v/>
      </c>
      <c r="AP564" s="13">
        <f>IF(_epmOfflineCondition_,0,EPMSaveDataOnly(AL564,,AL$29,AL$25,AL$26,AL$31,AL$32,$AA$37,AP$14,AP$15,AP$16,AP$17,AP$18,$X564))</f>
        <v/>
      </c>
      <c r="AQ564" s="13">
        <f>IF(_epmOfflineCondition_,0,EPMSaveData(AM564,,AM$29,AM$25,AM$26,$C$6,AM$32,$AA$37,AQ$14,AQ$15,AQ$16,AQ$17,AQ$18,$X564))</f>
        <v/>
      </c>
      <c r="AR564" s="13">
        <f>IF(_epmOfflineCondition_,0,EPMSaveDataOnly(AN564,,AN$29,AN$25,AN$26,AN$31,AN$32,$AA$37,AR$14,AR$15,AR$16,AR$17,AR$18,$X564))</f>
        <v/>
      </c>
      <c r="AS564" s="384" t="n"/>
    </row>
    <row r="565" hidden="1" ht="15.75" customHeight="1" s="1181">
      <c r="A565" s="384" t="n"/>
      <c r="B565" s="384" t="n"/>
      <c r="C565" s="384" t="n"/>
      <c r="D565" s="384" t="n"/>
      <c r="E565" s="384" t="n"/>
      <c r="F565" s="384" t="n"/>
      <c r="G565" s="384" t="n"/>
      <c r="H565" s="384" t="n"/>
      <c r="I565" s="384" t="n"/>
      <c r="J565" s="384" t="n"/>
      <c r="K565" s="384" t="n"/>
      <c r="L565" s="384" t="n"/>
      <c r="M565" s="384" t="n"/>
      <c r="N565" s="384" t="n"/>
      <c r="O565" s="384" t="n"/>
      <c r="P565" s="384" t="n"/>
      <c r="Q565" s="384" t="n"/>
      <c r="R565" s="384" t="n"/>
      <c r="S565" s="384" t="n"/>
      <c r="T565" s="384" t="n"/>
      <c r="U565" s="384" t="n"/>
      <c r="V565" s="384" t="n"/>
      <c r="W565" s="384" t="n"/>
      <c r="X565" s="645">
        <f>IF(_epmOfflineCondition_,"I_E100832",EPMOlapMemberO("[C_INTERCO].[PARENTH1].[I_E100832]","","I_E100832","","000"))</f>
        <v/>
      </c>
      <c r="Y565" s="870">
        <f>IF(_epmOfflineCondition_,"阜新爱友新能源有限公司",EPMMemberDesc(X565))</f>
        <v/>
      </c>
      <c r="Z565" s="1302" t="n"/>
      <c r="AA565" s="1302" t="n"/>
      <c r="AB565" s="858" t="n"/>
      <c r="AC565" s="1302" t="n"/>
      <c r="AD565" s="1302" t="n"/>
      <c r="AE565" s="1302" t="inlineStr"/>
      <c r="AF565" s="1302" t="inlineStr"/>
      <c r="AG565" s="1302" t="inlineStr"/>
      <c r="AH565" s="1302" t="n"/>
      <c r="AI565" s="1302" t="n"/>
      <c r="AJ565" s="1302" t="n"/>
      <c r="AK565" s="1302">
        <f>AI565-AJ565</f>
        <v/>
      </c>
      <c r="AL565" s="858" t="n"/>
      <c r="AM565" s="1297" t="inlineStr"/>
      <c r="AN565" s="1298" t="n"/>
      <c r="AO565" s="13">
        <f>IF(_epmOfflineCondition_,0,EPMSaveDataOnly(AB565,,AB$29,AB$25,AB$26,AB$31,AB$32,$AA$37,AO$14,AO$15,AO$16,AO$17,AO$18,X565))</f>
        <v/>
      </c>
      <c r="AP565" s="13">
        <f>IF(_epmOfflineCondition_,0,EPMSaveDataOnly(AL565,,AL$29,AL$25,AL$26,AL$31,AL$32,$AA$37,AP$14,AP$15,AP$16,AP$17,AP$18,$X565))</f>
        <v/>
      </c>
      <c r="AQ565" s="13">
        <f>IF(_epmOfflineCondition_,0,EPMSaveData(AM565,,AM$29,AM$25,AM$26,$C$6,AM$32,$AA$37,AQ$14,AQ$15,AQ$16,AQ$17,AQ$18,$X565))</f>
        <v/>
      </c>
      <c r="AR565" s="13">
        <f>IF(_epmOfflineCondition_,0,EPMSaveDataOnly(AN565,,AN$29,AN$25,AN$26,AN$31,AN$32,$AA$37,AR$14,AR$15,AR$16,AR$17,AR$18,$X565))</f>
        <v/>
      </c>
      <c r="AS565" s="384" t="n"/>
    </row>
    <row r="566" hidden="1" ht="15.75" customHeight="1" s="1181">
      <c r="A566" s="384" t="n"/>
      <c r="B566" s="384" t="n"/>
      <c r="C566" s="384" t="n"/>
      <c r="D566" s="384" t="n"/>
      <c r="E566" s="384" t="n"/>
      <c r="F566" s="384" t="n"/>
      <c r="G566" s="384" t="n"/>
      <c r="H566" s="384" t="n"/>
      <c r="I566" s="384" t="n"/>
      <c r="J566" s="384" t="n"/>
      <c r="K566" s="384" t="n"/>
      <c r="L566" s="384" t="n"/>
      <c r="M566" s="384" t="n"/>
      <c r="N566" s="384" t="n"/>
      <c r="O566" s="384" t="n"/>
      <c r="P566" s="384" t="n"/>
      <c r="Q566" s="384" t="n"/>
      <c r="R566" s="384" t="n"/>
      <c r="S566" s="384" t="n"/>
      <c r="T566" s="384" t="n"/>
      <c r="U566" s="384" t="n"/>
      <c r="V566" s="384" t="n"/>
      <c r="W566" s="384" t="n"/>
      <c r="X566" s="645">
        <f>IF(_epmOfflineCondition_,"I_E100833",EPMOlapMemberO("[C_INTERCO].[PARENTH1].[I_E100833]","","I_E100833","","000"))</f>
        <v/>
      </c>
      <c r="Y566" s="870">
        <f>IF(_epmOfflineCondition_,"阜新东泰新能源有限公司",EPMMemberDesc(X566))</f>
        <v/>
      </c>
      <c r="Z566" s="1302" t="n"/>
      <c r="AA566" s="1302" t="n"/>
      <c r="AB566" s="858" t="n"/>
      <c r="AC566" s="1302" t="n"/>
      <c r="AD566" s="1302" t="n"/>
      <c r="AE566" s="1302" t="inlineStr"/>
      <c r="AF566" s="1302" t="inlineStr"/>
      <c r="AG566" s="1302" t="inlineStr"/>
      <c r="AH566" s="1302" t="n"/>
      <c r="AI566" s="1302" t="n"/>
      <c r="AJ566" s="1302" t="n"/>
      <c r="AK566" s="1302">
        <f>AI566-AJ566</f>
        <v/>
      </c>
      <c r="AL566" s="858" t="n"/>
      <c r="AM566" s="1297" t="inlineStr"/>
      <c r="AN566" s="1298" t="n"/>
      <c r="AO566" s="13">
        <f>IF(_epmOfflineCondition_,0,EPMSaveDataOnly(AB566,,AB$29,AB$25,AB$26,AB$31,AB$32,$AA$37,AO$14,AO$15,AO$16,AO$17,AO$18,X566))</f>
        <v/>
      </c>
      <c r="AP566" s="13">
        <f>IF(_epmOfflineCondition_,0,EPMSaveDataOnly(AL566,,AL$29,AL$25,AL$26,AL$31,AL$32,$AA$37,AP$14,AP$15,AP$16,AP$17,AP$18,$X566))</f>
        <v/>
      </c>
      <c r="AQ566" s="13">
        <f>IF(_epmOfflineCondition_,0,EPMSaveData(AM566,,AM$29,AM$25,AM$26,$C$6,AM$32,$AA$37,AQ$14,AQ$15,AQ$16,AQ$17,AQ$18,$X566))</f>
        <v/>
      </c>
      <c r="AR566" s="13">
        <f>IF(_epmOfflineCondition_,0,EPMSaveDataOnly(AN566,,AN$29,AN$25,AN$26,AN$31,AN$32,$AA$37,AR$14,AR$15,AR$16,AR$17,AR$18,$X566))</f>
        <v/>
      </c>
      <c r="AS566" s="384" t="n"/>
    </row>
    <row r="567" hidden="1" ht="15.75" customHeight="1" s="1181">
      <c r="A567" s="384" t="n"/>
      <c r="B567" s="384" t="n"/>
      <c r="C567" s="384" t="n"/>
      <c r="D567" s="384" t="n"/>
      <c r="E567" s="384" t="n"/>
      <c r="F567" s="384" t="n"/>
      <c r="G567" s="384" t="n"/>
      <c r="H567" s="384" t="n"/>
      <c r="I567" s="384" t="n"/>
      <c r="J567" s="384" t="n"/>
      <c r="K567" s="384" t="n"/>
      <c r="L567" s="384" t="n"/>
      <c r="M567" s="384" t="n"/>
      <c r="N567" s="384" t="n"/>
      <c r="O567" s="384" t="n"/>
      <c r="P567" s="384" t="n"/>
      <c r="Q567" s="384" t="n"/>
      <c r="R567" s="384" t="n"/>
      <c r="S567" s="384" t="n"/>
      <c r="T567" s="384" t="n"/>
      <c r="U567" s="384" t="n"/>
      <c r="V567" s="384" t="n"/>
      <c r="W567" s="384" t="n"/>
      <c r="X567" s="645">
        <f>IF(_epmOfflineCondition_,"I_E100834",EPMOlapMemberO("[C_INTERCO].[PARENTH1].[I_E100834]","","I_E100834","","000"))</f>
        <v/>
      </c>
      <c r="Y567" s="870">
        <f>IF(_epmOfflineCondition_,"阜新吉娅泰新能源有限公司",EPMMemberDesc(X567))</f>
        <v/>
      </c>
      <c r="Z567" s="1302" t="n"/>
      <c r="AA567" s="1302" t="n"/>
      <c r="AB567" s="858" t="n"/>
      <c r="AC567" s="1302" t="n"/>
      <c r="AD567" s="1302" t="n"/>
      <c r="AE567" s="1302" t="inlineStr"/>
      <c r="AF567" s="1302" t="inlineStr"/>
      <c r="AG567" s="1302" t="inlineStr"/>
      <c r="AH567" s="1302" t="n"/>
      <c r="AI567" s="1302" t="n"/>
      <c r="AJ567" s="1302" t="n"/>
      <c r="AK567" s="1302">
        <f>AI567-AJ567</f>
        <v/>
      </c>
      <c r="AL567" s="858" t="n"/>
      <c r="AM567" s="1297" t="inlineStr"/>
      <c r="AN567" s="1298" t="n"/>
      <c r="AO567" s="13">
        <f>IF(_epmOfflineCondition_,0,EPMSaveDataOnly(AB567,,AB$29,AB$25,AB$26,AB$31,AB$32,$AA$37,AO$14,AO$15,AO$16,AO$17,AO$18,X567))</f>
        <v/>
      </c>
      <c r="AP567" s="13">
        <f>IF(_epmOfflineCondition_,0,EPMSaveDataOnly(AL567,,AL$29,AL$25,AL$26,AL$31,AL$32,$AA$37,AP$14,AP$15,AP$16,AP$17,AP$18,$X567))</f>
        <v/>
      </c>
      <c r="AQ567" s="13">
        <f>IF(_epmOfflineCondition_,0,EPMSaveData(AM567,,AM$29,AM$25,AM$26,$C$6,AM$32,$AA$37,AQ$14,AQ$15,AQ$16,AQ$17,AQ$18,$X567))</f>
        <v/>
      </c>
      <c r="AR567" s="13">
        <f>IF(_epmOfflineCondition_,0,EPMSaveDataOnly(AN567,,AN$29,AN$25,AN$26,AN$31,AN$32,$AA$37,AR$14,AR$15,AR$16,AR$17,AR$18,$X567))</f>
        <v/>
      </c>
      <c r="AS567" s="384" t="n"/>
    </row>
    <row r="568" hidden="1" ht="15.75" customHeight="1" s="1181">
      <c r="A568" s="384" t="n"/>
      <c r="B568" s="384" t="n"/>
      <c r="C568" s="384" t="n"/>
      <c r="D568" s="384" t="n"/>
      <c r="E568" s="384" t="n"/>
      <c r="F568" s="384" t="n"/>
      <c r="G568" s="384" t="n"/>
      <c r="H568" s="384" t="n"/>
      <c r="I568" s="384" t="n"/>
      <c r="J568" s="384" t="n"/>
      <c r="K568" s="384" t="n"/>
      <c r="L568" s="384" t="n"/>
      <c r="M568" s="384" t="n"/>
      <c r="N568" s="384" t="n"/>
      <c r="O568" s="384" t="n"/>
      <c r="P568" s="384" t="n"/>
      <c r="Q568" s="384" t="n"/>
      <c r="R568" s="384" t="n"/>
      <c r="S568" s="384" t="n"/>
      <c r="T568" s="384" t="n"/>
      <c r="U568" s="384" t="n"/>
      <c r="V568" s="384" t="n"/>
      <c r="W568" s="384" t="n"/>
      <c r="X568" s="645">
        <f>IF(_epmOfflineCondition_,"I_E100835",EPMOlapMemberO("[C_INTERCO].[PARENTH1].[I_E100835]","","I_E100835","","000"))</f>
        <v/>
      </c>
      <c r="Y568" s="870">
        <f>IF(_epmOfflineCondition_,"阜新架木苏新能源有限公司",EPMMemberDesc(X568))</f>
        <v/>
      </c>
      <c r="Z568" s="1302" t="n"/>
      <c r="AA568" s="1302" t="n"/>
      <c r="AB568" s="858" t="n"/>
      <c r="AC568" s="1302" t="n"/>
      <c r="AD568" s="1302" t="n"/>
      <c r="AE568" s="1302" t="inlineStr"/>
      <c r="AF568" s="1302" t="inlineStr"/>
      <c r="AG568" s="1302" t="inlineStr"/>
      <c r="AH568" s="1302" t="n"/>
      <c r="AI568" s="1302" t="n"/>
      <c r="AJ568" s="1302" t="n"/>
      <c r="AK568" s="1302">
        <f>AI568-AJ568</f>
        <v/>
      </c>
      <c r="AL568" s="858" t="n"/>
      <c r="AM568" s="1297" t="inlineStr"/>
      <c r="AN568" s="1298" t="n"/>
      <c r="AO568" s="13">
        <f>IF(_epmOfflineCondition_,0,EPMSaveDataOnly(AB568,,AB$29,AB$25,AB$26,AB$31,AB$32,$AA$37,AO$14,AO$15,AO$16,AO$17,AO$18,X568))</f>
        <v/>
      </c>
      <c r="AP568" s="13">
        <f>IF(_epmOfflineCondition_,0,EPMSaveDataOnly(AL568,,AL$29,AL$25,AL$26,AL$31,AL$32,$AA$37,AP$14,AP$15,AP$16,AP$17,AP$18,$X568))</f>
        <v/>
      </c>
      <c r="AQ568" s="13">
        <f>IF(_epmOfflineCondition_,0,EPMSaveData(AM568,,AM$29,AM$25,AM$26,$C$6,AM$32,$AA$37,AQ$14,AQ$15,AQ$16,AQ$17,AQ$18,$X568))</f>
        <v/>
      </c>
      <c r="AR568" s="13">
        <f>IF(_epmOfflineCondition_,0,EPMSaveDataOnly(AN568,,AN$29,AN$25,AN$26,AN$31,AN$32,$AA$37,AR$14,AR$15,AR$16,AR$17,AR$18,$X568))</f>
        <v/>
      </c>
      <c r="AS568" s="384" t="n"/>
    </row>
    <row r="569" hidden="1" ht="15.75" customHeight="1" s="1181">
      <c r="A569" s="384" t="n"/>
      <c r="B569" s="384" t="n"/>
      <c r="C569" s="384" t="n"/>
      <c r="D569" s="384" t="n"/>
      <c r="E569" s="384" t="n"/>
      <c r="F569" s="384" t="n"/>
      <c r="G569" s="384" t="n"/>
      <c r="H569" s="384" t="n"/>
      <c r="I569" s="384" t="n"/>
      <c r="J569" s="384" t="n"/>
      <c r="K569" s="384" t="n"/>
      <c r="L569" s="384" t="n"/>
      <c r="M569" s="384" t="n"/>
      <c r="N569" s="384" t="n"/>
      <c r="O569" s="384" t="n"/>
      <c r="P569" s="384" t="n"/>
      <c r="Q569" s="384" t="n"/>
      <c r="R569" s="384" t="n"/>
      <c r="S569" s="384" t="n"/>
      <c r="T569" s="384" t="n"/>
      <c r="U569" s="384" t="n"/>
      <c r="V569" s="384" t="n"/>
      <c r="W569" s="384" t="n"/>
      <c r="X569" s="645">
        <f>IF(_epmOfflineCondition_,"I_E100836",EPMOlapMemberO("[C_INTERCO].[PARENTH1].[I_E100836]","","I_E100836","","000"))</f>
        <v/>
      </c>
      <c r="Y569" s="870">
        <f>IF(_epmOfflineCondition_,"阜新金元新能源有限公司",EPMMemberDesc(X569))</f>
        <v/>
      </c>
      <c r="Z569" s="1302" t="n"/>
      <c r="AA569" s="1302" t="n"/>
      <c r="AB569" s="858" t="n"/>
      <c r="AC569" s="1302" t="n"/>
      <c r="AD569" s="1302" t="n"/>
      <c r="AE569" s="1302" t="inlineStr"/>
      <c r="AF569" s="1302" t="inlineStr"/>
      <c r="AG569" s="1302" t="inlineStr"/>
      <c r="AH569" s="1302" t="n"/>
      <c r="AI569" s="1302" t="n"/>
      <c r="AJ569" s="1302" t="n"/>
      <c r="AK569" s="1302">
        <f>AI569-AJ569</f>
        <v/>
      </c>
      <c r="AL569" s="858" t="n"/>
      <c r="AM569" s="1297" t="inlineStr"/>
      <c r="AN569" s="1298" t="n"/>
      <c r="AO569" s="13">
        <f>IF(_epmOfflineCondition_,0,EPMSaveDataOnly(AB569,,AB$29,AB$25,AB$26,AB$31,AB$32,$AA$37,AO$14,AO$15,AO$16,AO$17,AO$18,X569))</f>
        <v/>
      </c>
      <c r="AP569" s="13">
        <f>IF(_epmOfflineCondition_,0,EPMSaveDataOnly(AL569,,AL$29,AL$25,AL$26,AL$31,AL$32,$AA$37,AP$14,AP$15,AP$16,AP$17,AP$18,$X569))</f>
        <v/>
      </c>
      <c r="AQ569" s="13">
        <f>IF(_epmOfflineCondition_,0,EPMSaveData(AM569,,AM$29,AM$25,AM$26,$C$6,AM$32,$AA$37,AQ$14,AQ$15,AQ$16,AQ$17,AQ$18,$X569))</f>
        <v/>
      </c>
      <c r="AR569" s="13">
        <f>IF(_epmOfflineCondition_,0,EPMSaveDataOnly(AN569,,AN$29,AN$25,AN$26,AN$31,AN$32,$AA$37,AR$14,AR$15,AR$16,AR$17,AR$18,$X569))</f>
        <v/>
      </c>
      <c r="AS569" s="384" t="n"/>
    </row>
    <row r="570" hidden="1" ht="15.75" customHeight="1" s="1181">
      <c r="A570" s="384" t="n"/>
      <c r="B570" s="384" t="n"/>
      <c r="C570" s="384" t="n"/>
      <c r="D570" s="384" t="n"/>
      <c r="E570" s="384" t="n"/>
      <c r="F570" s="384" t="n"/>
      <c r="G570" s="384" t="n"/>
      <c r="H570" s="384" t="n"/>
      <c r="I570" s="384" t="n"/>
      <c r="J570" s="384" t="n"/>
      <c r="K570" s="384" t="n"/>
      <c r="L570" s="384" t="n"/>
      <c r="M570" s="384" t="n"/>
      <c r="N570" s="384" t="n"/>
      <c r="O570" s="384" t="n"/>
      <c r="P570" s="384" t="n"/>
      <c r="Q570" s="384" t="n"/>
      <c r="R570" s="384" t="n"/>
      <c r="S570" s="384" t="n"/>
      <c r="T570" s="384" t="n"/>
      <c r="U570" s="384" t="n"/>
      <c r="V570" s="384" t="n"/>
      <c r="W570" s="384" t="n"/>
      <c r="X570" s="645">
        <f>IF(_epmOfflineCondition_,"I_E100837",EPMOlapMemberO("[C_INTERCO].[PARENTH1].[I_E100837]","","I_E100837","","000"))</f>
        <v/>
      </c>
      <c r="Y570" s="870">
        <f>IF(_epmOfflineCondition_,"阜新塞罕新能源有限公司",EPMMemberDesc(X570))</f>
        <v/>
      </c>
      <c r="Z570" s="1302" t="n"/>
      <c r="AA570" s="1302" t="n"/>
      <c r="AB570" s="858" t="n"/>
      <c r="AC570" s="1302" t="n"/>
      <c r="AD570" s="1302" t="n"/>
      <c r="AE570" s="1302" t="inlineStr"/>
      <c r="AF570" s="1302" t="inlineStr"/>
      <c r="AG570" s="1302" t="inlineStr"/>
      <c r="AH570" s="1302" t="n"/>
      <c r="AI570" s="1302" t="n"/>
      <c r="AJ570" s="1302" t="n"/>
      <c r="AK570" s="1302">
        <f>AI570-AJ570</f>
        <v/>
      </c>
      <c r="AL570" s="858" t="n"/>
      <c r="AM570" s="1297" t="inlineStr"/>
      <c r="AN570" s="1298" t="n"/>
      <c r="AO570" s="13">
        <f>IF(_epmOfflineCondition_,0,EPMSaveDataOnly(AB570,,AB$29,AB$25,AB$26,AB$31,AB$32,$AA$37,AO$14,AO$15,AO$16,AO$17,AO$18,X570))</f>
        <v/>
      </c>
      <c r="AP570" s="13">
        <f>IF(_epmOfflineCondition_,0,EPMSaveDataOnly(AL570,,AL$29,AL$25,AL$26,AL$31,AL$32,$AA$37,AP$14,AP$15,AP$16,AP$17,AP$18,$X570))</f>
        <v/>
      </c>
      <c r="AQ570" s="13">
        <f>IF(_epmOfflineCondition_,0,EPMSaveData(AM570,,AM$29,AM$25,AM$26,$C$6,AM$32,$AA$37,AQ$14,AQ$15,AQ$16,AQ$17,AQ$18,$X570))</f>
        <v/>
      </c>
      <c r="AR570" s="13">
        <f>IF(_epmOfflineCondition_,0,EPMSaveDataOnly(AN570,,AN$29,AN$25,AN$26,AN$31,AN$32,$AA$37,AR$14,AR$15,AR$16,AR$17,AR$18,$X570))</f>
        <v/>
      </c>
      <c r="AS570" s="384" t="n"/>
    </row>
    <row r="571" hidden="1" ht="15.75" customHeight="1" s="1181">
      <c r="A571" s="384" t="n"/>
      <c r="B571" s="384" t="n"/>
      <c r="C571" s="384" t="n"/>
      <c r="D571" s="384" t="n"/>
      <c r="E571" s="384" t="n"/>
      <c r="F571" s="384" t="n"/>
      <c r="G571" s="384" t="n"/>
      <c r="H571" s="384" t="n"/>
      <c r="I571" s="384" t="n"/>
      <c r="J571" s="384" t="n"/>
      <c r="K571" s="384" t="n"/>
      <c r="L571" s="384" t="n"/>
      <c r="M571" s="384" t="n"/>
      <c r="N571" s="384" t="n"/>
      <c r="O571" s="384" t="n"/>
      <c r="P571" s="384" t="n"/>
      <c r="Q571" s="384" t="n"/>
      <c r="R571" s="384" t="n"/>
      <c r="S571" s="384" t="n"/>
      <c r="T571" s="384" t="n"/>
      <c r="U571" s="384" t="n"/>
      <c r="V571" s="384" t="n"/>
      <c r="W571" s="384" t="n"/>
      <c r="X571" s="645">
        <f>IF(_epmOfflineCondition_,"I_E100838",EPMOlapMemberO("[C_INTERCO].[PARENTH1].[I_E100838]","","I_E100838","","000"))</f>
        <v/>
      </c>
      <c r="Y571" s="870">
        <f>IF(_epmOfflineCondition_,"阜新赛纳新能源有限公司",EPMMemberDesc(X571))</f>
        <v/>
      </c>
      <c r="Z571" s="1302" t="n"/>
      <c r="AA571" s="1302" t="n"/>
      <c r="AB571" s="858" t="n"/>
      <c r="AC571" s="1302" t="n"/>
      <c r="AD571" s="1302" t="n"/>
      <c r="AE571" s="1302" t="inlineStr"/>
      <c r="AF571" s="1302" t="inlineStr"/>
      <c r="AG571" s="1302" t="inlineStr"/>
      <c r="AH571" s="1302" t="n"/>
      <c r="AI571" s="1302" t="n"/>
      <c r="AJ571" s="1302" t="n"/>
      <c r="AK571" s="1302">
        <f>AI571-AJ571</f>
        <v/>
      </c>
      <c r="AL571" s="858" t="n"/>
      <c r="AM571" s="1297" t="inlineStr"/>
      <c r="AN571" s="1298" t="n"/>
      <c r="AO571" s="13">
        <f>IF(_epmOfflineCondition_,0,EPMSaveDataOnly(AB571,,AB$29,AB$25,AB$26,AB$31,AB$32,$AA$37,AO$14,AO$15,AO$16,AO$17,AO$18,X571))</f>
        <v/>
      </c>
      <c r="AP571" s="13">
        <f>IF(_epmOfflineCondition_,0,EPMSaveDataOnly(AL571,,AL$29,AL$25,AL$26,AL$31,AL$32,$AA$37,AP$14,AP$15,AP$16,AP$17,AP$18,$X571))</f>
        <v/>
      </c>
      <c r="AQ571" s="13">
        <f>IF(_epmOfflineCondition_,0,EPMSaveData(AM571,,AM$29,AM$25,AM$26,$C$6,AM$32,$AA$37,AQ$14,AQ$15,AQ$16,AQ$17,AQ$18,$X571))</f>
        <v/>
      </c>
      <c r="AR571" s="13">
        <f>IF(_epmOfflineCondition_,0,EPMSaveDataOnly(AN571,,AN$29,AN$25,AN$26,AN$31,AN$32,$AA$37,AR$14,AR$15,AR$16,AR$17,AR$18,$X571))</f>
        <v/>
      </c>
      <c r="AS571" s="384" t="n"/>
    </row>
    <row r="572" hidden="1" ht="15.75" customHeight="1" s="1181">
      <c r="A572" s="384" t="n"/>
      <c r="B572" s="384" t="n"/>
      <c r="C572" s="384" t="n"/>
      <c r="D572" s="384" t="n"/>
      <c r="E572" s="384" t="n"/>
      <c r="F572" s="384" t="n"/>
      <c r="G572" s="384" t="n"/>
      <c r="H572" s="384" t="n"/>
      <c r="I572" s="384" t="n"/>
      <c r="J572" s="384" t="n"/>
      <c r="K572" s="384" t="n"/>
      <c r="L572" s="384" t="n"/>
      <c r="M572" s="384" t="n"/>
      <c r="N572" s="384" t="n"/>
      <c r="O572" s="384" t="n"/>
      <c r="P572" s="384" t="n"/>
      <c r="Q572" s="384" t="n"/>
      <c r="R572" s="384" t="n"/>
      <c r="S572" s="384" t="n"/>
      <c r="T572" s="384" t="n"/>
      <c r="U572" s="384" t="n"/>
      <c r="V572" s="384" t="n"/>
      <c r="W572" s="384" t="n"/>
      <c r="X572" s="645">
        <f>IF(_epmOfflineCondition_,"I_E100840",EPMOlapMemberO("[C_INTERCO].[PARENTH1].[I_E100840]","","I_E100840","","000"))</f>
        <v/>
      </c>
      <c r="Y572" s="870">
        <f>IF(_epmOfflineCondition_,"新疆信友新能源发电有限公司",EPMMemberDesc(X572))</f>
        <v/>
      </c>
      <c r="Z572" s="1302" t="n"/>
      <c r="AA572" s="1302" t="n"/>
      <c r="AB572" s="858" t="n"/>
      <c r="AC572" s="1302" t="n"/>
      <c r="AD572" s="1302" t="n"/>
      <c r="AE572" s="1302" t="inlineStr"/>
      <c r="AF572" s="1302" t="inlineStr"/>
      <c r="AG572" s="1302" t="inlineStr"/>
      <c r="AH572" s="1302" t="n"/>
      <c r="AI572" s="1302" t="n"/>
      <c r="AJ572" s="1302" t="n"/>
      <c r="AK572" s="1302">
        <f>AI572-AJ572</f>
        <v/>
      </c>
      <c r="AL572" s="858" t="n"/>
      <c r="AM572" s="1297" t="inlineStr"/>
      <c r="AN572" s="1298" t="n"/>
      <c r="AO572" s="13">
        <f>IF(_epmOfflineCondition_,0,EPMSaveDataOnly(AB572,,AB$29,AB$25,AB$26,AB$31,AB$32,$AA$37,AO$14,AO$15,AO$16,AO$17,AO$18,X572))</f>
        <v/>
      </c>
      <c r="AP572" s="13">
        <f>IF(_epmOfflineCondition_,0,EPMSaveDataOnly(AL572,,AL$29,AL$25,AL$26,AL$31,AL$32,$AA$37,AP$14,AP$15,AP$16,AP$17,AP$18,$X572))</f>
        <v/>
      </c>
      <c r="AQ572" s="13">
        <f>IF(_epmOfflineCondition_,0,EPMSaveData(AM572,,AM$29,AM$25,AM$26,$C$6,AM$32,$AA$37,AQ$14,AQ$15,AQ$16,AQ$17,AQ$18,$X572))</f>
        <v/>
      </c>
      <c r="AR572" s="13">
        <f>IF(_epmOfflineCondition_,0,EPMSaveDataOnly(AN572,,AN$29,AN$25,AN$26,AN$31,AN$32,$AA$37,AR$14,AR$15,AR$16,AR$17,AR$18,$X572))</f>
        <v/>
      </c>
      <c r="AS572" s="384" t="n"/>
    </row>
    <row r="573" hidden="1" ht="15.75" customHeight="1" s="1181">
      <c r="A573" s="384" t="n"/>
      <c r="B573" s="384" t="n"/>
      <c r="C573" s="384" t="n"/>
      <c r="D573" s="384" t="n"/>
      <c r="E573" s="384" t="n"/>
      <c r="F573" s="384" t="n"/>
      <c r="G573" s="384" t="n"/>
      <c r="H573" s="384" t="n"/>
      <c r="I573" s="384" t="n"/>
      <c r="J573" s="384" t="n"/>
      <c r="K573" s="384" t="n"/>
      <c r="L573" s="384" t="n"/>
      <c r="M573" s="384" t="n"/>
      <c r="N573" s="384" t="n"/>
      <c r="O573" s="384" t="n"/>
      <c r="P573" s="384" t="n"/>
      <c r="Q573" s="384" t="n"/>
      <c r="R573" s="384" t="n"/>
      <c r="S573" s="384" t="n"/>
      <c r="T573" s="384" t="n"/>
      <c r="U573" s="384" t="n"/>
      <c r="V573" s="384" t="n"/>
      <c r="W573" s="384" t="n"/>
      <c r="X573" s="645">
        <f>IF(_epmOfflineCondition_,"I_E100841",EPMOlapMemberO("[C_INTERCO].[PARENTH1].[I_E100841]","","I_E100841","","000"))</f>
        <v/>
      </c>
      <c r="Y573" s="870">
        <f>IF(_epmOfflineCondition_,"昌吉亿晶光伏科技有限公司",EPMMemberDesc(X573))</f>
        <v/>
      </c>
      <c r="Z573" s="1302" t="n"/>
      <c r="AA573" s="1302" t="n"/>
      <c r="AB573" s="858" t="n"/>
      <c r="AC573" s="1302" t="n"/>
      <c r="AD573" s="1302" t="n"/>
      <c r="AE573" s="1302" t="inlineStr"/>
      <c r="AF573" s="1302" t="inlineStr"/>
      <c r="AG573" s="1302" t="inlineStr"/>
      <c r="AH573" s="1302" t="n"/>
      <c r="AI573" s="1302" t="n"/>
      <c r="AJ573" s="1302" t="n"/>
      <c r="AK573" s="1302">
        <f>AI573-AJ573</f>
        <v/>
      </c>
      <c r="AL573" s="858" t="n"/>
      <c r="AM573" s="1297" t="inlineStr"/>
      <c r="AN573" s="1298" t="n"/>
      <c r="AO573" s="13">
        <f>IF(_epmOfflineCondition_,0,EPMSaveDataOnly(AB573,,AB$29,AB$25,AB$26,AB$31,AB$32,$AA$37,AO$14,AO$15,AO$16,AO$17,AO$18,X573))</f>
        <v/>
      </c>
      <c r="AP573" s="13">
        <f>IF(_epmOfflineCondition_,0,EPMSaveDataOnly(AL573,,AL$29,AL$25,AL$26,AL$31,AL$32,$AA$37,AP$14,AP$15,AP$16,AP$17,AP$18,$X573))</f>
        <v/>
      </c>
      <c r="AQ573" s="13">
        <f>IF(_epmOfflineCondition_,0,EPMSaveData(AM573,,AM$29,AM$25,AM$26,$C$6,AM$32,$AA$37,AQ$14,AQ$15,AQ$16,AQ$17,AQ$18,$X573))</f>
        <v/>
      </c>
      <c r="AR573" s="13">
        <f>IF(_epmOfflineCondition_,0,EPMSaveDataOnly(AN573,,AN$29,AN$25,AN$26,AN$31,AN$32,$AA$37,AR$14,AR$15,AR$16,AR$17,AR$18,$X573))</f>
        <v/>
      </c>
      <c r="AS573" s="384" t="n"/>
    </row>
    <row r="574" hidden="1" ht="15.75" customHeight="1" s="1181">
      <c r="A574" s="384" t="n"/>
      <c r="B574" s="384" t="n"/>
      <c r="C574" s="384" t="n"/>
      <c r="D574" s="384" t="n"/>
      <c r="E574" s="384" t="n"/>
      <c r="F574" s="384" t="n"/>
      <c r="G574" s="384" t="n"/>
      <c r="H574" s="384" t="n"/>
      <c r="I574" s="384" t="n"/>
      <c r="J574" s="384" t="n"/>
      <c r="K574" s="384" t="n"/>
      <c r="L574" s="384" t="n"/>
      <c r="M574" s="384" t="n"/>
      <c r="N574" s="384" t="n"/>
      <c r="O574" s="384" t="n"/>
      <c r="P574" s="384" t="n"/>
      <c r="Q574" s="384" t="n"/>
      <c r="R574" s="384" t="n"/>
      <c r="S574" s="384" t="n"/>
      <c r="T574" s="384" t="n"/>
      <c r="U574" s="384" t="n"/>
      <c r="V574" s="384" t="n"/>
      <c r="W574" s="384" t="n"/>
      <c r="X574" s="645">
        <f>IF(_epmOfflineCondition_,"I_E100848",EPMOlapMemberO("[C_INTERCO].[PARENTH1].[I_E100848]","","I_E100848","","000"))</f>
        <v/>
      </c>
      <c r="Y574" s="870">
        <f>IF(_epmOfflineCondition_,"阳曲县蔚蓝新能源有限公司",EPMMemberDesc(X574))</f>
        <v/>
      </c>
      <c r="Z574" s="1302" t="n"/>
      <c r="AA574" s="1302" t="n"/>
      <c r="AB574" s="858" t="n"/>
      <c r="AC574" s="1302" t="n"/>
      <c r="AD574" s="1302" t="n"/>
      <c r="AE574" s="1302" t="inlineStr"/>
      <c r="AF574" s="1302" t="inlineStr"/>
      <c r="AG574" s="1302" t="inlineStr"/>
      <c r="AH574" s="1302" t="n"/>
      <c r="AI574" s="1302" t="n"/>
      <c r="AJ574" s="1302" t="n"/>
      <c r="AK574" s="1302">
        <f>AI574-AJ574</f>
        <v/>
      </c>
      <c r="AL574" s="858" t="n"/>
      <c r="AM574" s="1297" t="inlineStr"/>
      <c r="AN574" s="1298" t="n"/>
      <c r="AO574" s="13">
        <f>IF(_epmOfflineCondition_,0,EPMSaveDataOnly(AB574,,AB$29,AB$25,AB$26,AB$31,AB$32,$AA$37,AO$14,AO$15,AO$16,AO$17,AO$18,X574))</f>
        <v/>
      </c>
      <c r="AP574" s="13">
        <f>IF(_epmOfflineCondition_,0,EPMSaveDataOnly(AL574,,AL$29,AL$25,AL$26,AL$31,AL$32,$AA$37,AP$14,AP$15,AP$16,AP$17,AP$18,$X574))</f>
        <v/>
      </c>
      <c r="AQ574" s="13">
        <f>IF(_epmOfflineCondition_,0,EPMSaveData(AM574,,AM$29,AM$25,AM$26,$C$6,AM$32,$AA$37,AQ$14,AQ$15,AQ$16,AQ$17,AQ$18,$X574))</f>
        <v/>
      </c>
      <c r="AR574" s="13">
        <f>IF(_epmOfflineCondition_,0,EPMSaveDataOnly(AN574,,AN$29,AN$25,AN$26,AN$31,AN$32,$AA$37,AR$14,AR$15,AR$16,AR$17,AR$18,$X574))</f>
        <v/>
      </c>
      <c r="AS574" s="384" t="n"/>
    </row>
    <row r="575" hidden="1" ht="15.75" customHeight="1" s="1181">
      <c r="A575" s="384" t="n"/>
      <c r="B575" s="384" t="n"/>
      <c r="C575" s="384" t="n"/>
      <c r="D575" s="384" t="n"/>
      <c r="E575" s="384" t="n"/>
      <c r="F575" s="384" t="n"/>
      <c r="G575" s="384" t="n"/>
      <c r="H575" s="384" t="n"/>
      <c r="I575" s="384" t="n"/>
      <c r="J575" s="384" t="n"/>
      <c r="K575" s="384" t="n"/>
      <c r="L575" s="384" t="n"/>
      <c r="M575" s="384" t="n"/>
      <c r="N575" s="384" t="n"/>
      <c r="O575" s="384" t="n"/>
      <c r="P575" s="384" t="n"/>
      <c r="Q575" s="384" t="n"/>
      <c r="R575" s="384" t="n"/>
      <c r="S575" s="384" t="n"/>
      <c r="T575" s="384" t="n"/>
      <c r="U575" s="384" t="n"/>
      <c r="V575" s="384" t="n"/>
      <c r="W575" s="384" t="n"/>
      <c r="X575" s="645">
        <f>IF(_epmOfflineCondition_,"I_E100849",EPMOlapMemberO("[C_INTERCO].[PARENTH1].[I_E100849]","","I_E100849","","000"))</f>
        <v/>
      </c>
      <c r="Y575" s="870">
        <f>IF(_epmOfflineCondition_,"正定启阳光伏发电有限公司",EPMMemberDesc(X575))</f>
        <v/>
      </c>
      <c r="Z575" s="1302" t="n"/>
      <c r="AA575" s="1302" t="n"/>
      <c r="AB575" s="858" t="n"/>
      <c r="AC575" s="1302" t="n"/>
      <c r="AD575" s="1302" t="n"/>
      <c r="AE575" s="1302" t="inlineStr"/>
      <c r="AF575" s="1302" t="inlineStr"/>
      <c r="AG575" s="1302" t="inlineStr"/>
      <c r="AH575" s="1302" t="n"/>
      <c r="AI575" s="1302" t="n"/>
      <c r="AJ575" s="1302" t="n"/>
      <c r="AK575" s="1302">
        <f>AI575-AJ575</f>
        <v/>
      </c>
      <c r="AL575" s="858" t="n"/>
      <c r="AM575" s="1297" t="inlineStr"/>
      <c r="AN575" s="1298" t="n"/>
      <c r="AO575" s="13">
        <f>IF(_epmOfflineCondition_,0,EPMSaveDataOnly(AB575,,AB$29,AB$25,AB$26,AB$31,AB$32,$AA$37,AO$14,AO$15,AO$16,AO$17,AO$18,X575))</f>
        <v/>
      </c>
      <c r="AP575" s="13">
        <f>IF(_epmOfflineCondition_,0,EPMSaveDataOnly(AL575,,AL$29,AL$25,AL$26,AL$31,AL$32,$AA$37,AP$14,AP$15,AP$16,AP$17,AP$18,$X575))</f>
        <v/>
      </c>
      <c r="AQ575" s="13">
        <f>IF(_epmOfflineCondition_,0,EPMSaveData(AM575,,AM$29,AM$25,AM$26,$C$6,AM$32,$AA$37,AQ$14,AQ$15,AQ$16,AQ$17,AQ$18,$X575))</f>
        <v/>
      </c>
      <c r="AR575" s="13">
        <f>IF(_epmOfflineCondition_,0,EPMSaveDataOnly(AN575,,AN$29,AN$25,AN$26,AN$31,AN$32,$AA$37,AR$14,AR$15,AR$16,AR$17,AR$18,$X575))</f>
        <v/>
      </c>
      <c r="AS575" s="384" t="n"/>
    </row>
    <row r="576" hidden="1" ht="15.75" customHeight="1" s="1181">
      <c r="A576" s="384" t="n"/>
      <c r="B576" s="384" t="n"/>
      <c r="C576" s="384" t="n"/>
      <c r="D576" s="384" t="n"/>
      <c r="E576" s="384" t="n"/>
      <c r="F576" s="384" t="n"/>
      <c r="G576" s="384" t="n"/>
      <c r="H576" s="384" t="n"/>
      <c r="I576" s="384" t="n"/>
      <c r="J576" s="384" t="n"/>
      <c r="K576" s="384" t="n"/>
      <c r="L576" s="384" t="n"/>
      <c r="M576" s="384" t="n"/>
      <c r="N576" s="384" t="n"/>
      <c r="O576" s="384" t="n"/>
      <c r="P576" s="384" t="n"/>
      <c r="Q576" s="384" t="n"/>
      <c r="R576" s="384" t="n"/>
      <c r="S576" s="384" t="n"/>
      <c r="T576" s="384" t="n"/>
      <c r="U576" s="384" t="n"/>
      <c r="V576" s="384" t="n"/>
      <c r="W576" s="384" t="n"/>
      <c r="X576" s="645">
        <f>IF(_epmOfflineCondition_,"I_E100850",EPMOlapMemberO("[C_INTERCO].[PARENTH1].[I_E100850]","","I_E100850","","000"))</f>
        <v/>
      </c>
      <c r="Y576" s="870">
        <f>IF(_epmOfflineCondition_,"邢台信诺新能源开发有限公司",EPMMemberDesc(X576))</f>
        <v/>
      </c>
      <c r="Z576" s="1302" t="n"/>
      <c r="AA576" s="1302" t="n"/>
      <c r="AB576" s="858" t="n"/>
      <c r="AC576" s="1302" t="n"/>
      <c r="AD576" s="1302" t="n"/>
      <c r="AE576" s="1302" t="inlineStr"/>
      <c r="AF576" s="1302" t="inlineStr"/>
      <c r="AG576" s="1302" t="inlineStr"/>
      <c r="AH576" s="1302" t="n"/>
      <c r="AI576" s="1302" t="n"/>
      <c r="AJ576" s="1302" t="n"/>
      <c r="AK576" s="1302">
        <f>AI576-AJ576</f>
        <v/>
      </c>
      <c r="AL576" s="858" t="n"/>
      <c r="AM576" s="1297" t="inlineStr"/>
      <c r="AN576" s="1298" t="n"/>
      <c r="AO576" s="13">
        <f>IF(_epmOfflineCondition_,0,EPMSaveDataOnly(AB576,,AB$29,AB$25,AB$26,AB$31,AB$32,$AA$37,AO$14,AO$15,AO$16,AO$17,AO$18,X576))</f>
        <v/>
      </c>
      <c r="AP576" s="13">
        <f>IF(_epmOfflineCondition_,0,EPMSaveDataOnly(AL576,,AL$29,AL$25,AL$26,AL$31,AL$32,$AA$37,AP$14,AP$15,AP$16,AP$17,AP$18,$X576))</f>
        <v/>
      </c>
      <c r="AQ576" s="13">
        <f>IF(_epmOfflineCondition_,0,EPMSaveData(AM576,,AM$29,AM$25,AM$26,$C$6,AM$32,$AA$37,AQ$14,AQ$15,AQ$16,AQ$17,AQ$18,$X576))</f>
        <v/>
      </c>
      <c r="AR576" s="13">
        <f>IF(_epmOfflineCondition_,0,EPMSaveDataOnly(AN576,,AN$29,AN$25,AN$26,AN$31,AN$32,$AA$37,AR$14,AR$15,AR$16,AR$17,AR$18,$X576))</f>
        <v/>
      </c>
      <c r="AS576" s="384" t="n"/>
    </row>
    <row r="577" hidden="1" ht="15.75" customHeight="1" s="1181">
      <c r="A577" s="384" t="n"/>
      <c r="B577" s="384" t="n"/>
      <c r="C577" s="384" t="n"/>
      <c r="D577" s="384" t="n"/>
      <c r="E577" s="384" t="n"/>
      <c r="F577" s="384" t="n"/>
      <c r="G577" s="384" t="n"/>
      <c r="H577" s="384" t="n"/>
      <c r="I577" s="384" t="n"/>
      <c r="J577" s="384" t="n"/>
      <c r="K577" s="384" t="n"/>
      <c r="L577" s="384" t="n"/>
      <c r="M577" s="384" t="n"/>
      <c r="N577" s="384" t="n"/>
      <c r="O577" s="384" t="n"/>
      <c r="P577" s="384" t="n"/>
      <c r="Q577" s="384" t="n"/>
      <c r="R577" s="384" t="n"/>
      <c r="S577" s="384" t="n"/>
      <c r="T577" s="384" t="n"/>
      <c r="U577" s="384" t="n"/>
      <c r="V577" s="384" t="n"/>
      <c r="W577" s="384" t="n"/>
      <c r="X577" s="645">
        <f>IF(_epmOfflineCondition_,"I_E100851",EPMOlapMemberO("[C_INTERCO].[PARENTH1].[I_E100851]","","I_E100851","","000"))</f>
        <v/>
      </c>
      <c r="Y577" s="870">
        <f>IF(_epmOfflineCondition_,"河北盈坤新能源开发有限公司",EPMMemberDesc(X577))</f>
        <v/>
      </c>
      <c r="Z577" s="1302" t="n"/>
      <c r="AA577" s="1302" t="n"/>
      <c r="AB577" s="858" t="n"/>
      <c r="AC577" s="1302" t="n"/>
      <c r="AD577" s="1302" t="n"/>
      <c r="AE577" s="1302" t="inlineStr"/>
      <c r="AF577" s="1302" t="inlineStr"/>
      <c r="AG577" s="1302" t="inlineStr"/>
      <c r="AH577" s="1302" t="n"/>
      <c r="AI577" s="1302" t="n"/>
      <c r="AJ577" s="1302" t="n"/>
      <c r="AK577" s="1302">
        <f>AI577-AJ577</f>
        <v/>
      </c>
      <c r="AL577" s="858" t="n"/>
      <c r="AM577" s="1297" t="inlineStr"/>
      <c r="AN577" s="1298" t="n"/>
      <c r="AO577" s="13">
        <f>IF(_epmOfflineCondition_,0,EPMSaveDataOnly(AB577,,AB$29,AB$25,AB$26,AB$31,AB$32,$AA$37,AO$14,AO$15,AO$16,AO$17,AO$18,X577))</f>
        <v/>
      </c>
      <c r="AP577" s="13">
        <f>IF(_epmOfflineCondition_,0,EPMSaveDataOnly(AL577,,AL$29,AL$25,AL$26,AL$31,AL$32,$AA$37,AP$14,AP$15,AP$16,AP$17,AP$18,$X577))</f>
        <v/>
      </c>
      <c r="AQ577" s="13">
        <f>IF(_epmOfflineCondition_,0,EPMSaveData(AM577,,AM$29,AM$25,AM$26,$C$6,AM$32,$AA$37,AQ$14,AQ$15,AQ$16,AQ$17,AQ$18,$X577))</f>
        <v/>
      </c>
      <c r="AR577" s="13">
        <f>IF(_epmOfflineCondition_,0,EPMSaveDataOnly(AN577,,AN$29,AN$25,AN$26,AN$31,AN$32,$AA$37,AR$14,AR$15,AR$16,AR$17,AR$18,$X577))</f>
        <v/>
      </c>
      <c r="AS577" s="384" t="n"/>
    </row>
    <row r="578" hidden="1" ht="15.75" customHeight="1" s="1181">
      <c r="A578" s="384" t="n"/>
      <c r="B578" s="384" t="n"/>
      <c r="C578" s="384" t="n"/>
      <c r="D578" s="384" t="n"/>
      <c r="E578" s="384" t="n"/>
      <c r="F578" s="384" t="n"/>
      <c r="G578" s="384" t="n"/>
      <c r="H578" s="384" t="n"/>
      <c r="I578" s="384" t="n"/>
      <c r="J578" s="384" t="n"/>
      <c r="K578" s="384" t="n"/>
      <c r="L578" s="384" t="n"/>
      <c r="M578" s="384" t="n"/>
      <c r="N578" s="384" t="n"/>
      <c r="O578" s="384" t="n"/>
      <c r="P578" s="384" t="n"/>
      <c r="Q578" s="384" t="n"/>
      <c r="R578" s="384" t="n"/>
      <c r="S578" s="384" t="n"/>
      <c r="T578" s="384" t="n"/>
      <c r="U578" s="384" t="n"/>
      <c r="V578" s="384" t="n"/>
      <c r="W578" s="384" t="n"/>
      <c r="X578" s="645">
        <f>IF(_epmOfflineCondition_,"I_E100852",EPMOlapMemberO("[C_INTERCO].[PARENTH1].[I_E100852]","","I_E100852","","000"))</f>
        <v/>
      </c>
      <c r="Y578" s="870">
        <f>IF(_epmOfflineCondition_,"成安县华辉新能源科技有限公司",EPMMemberDesc(X578))</f>
        <v/>
      </c>
      <c r="Z578" s="1302" t="n"/>
      <c r="AA578" s="1302" t="n"/>
      <c r="AB578" s="858" t="n"/>
      <c r="AC578" s="1302" t="n"/>
      <c r="AD578" s="1302" t="n"/>
      <c r="AE578" s="1302" t="inlineStr"/>
      <c r="AF578" s="1302" t="inlineStr"/>
      <c r="AG578" s="1302" t="inlineStr"/>
      <c r="AH578" s="1302" t="n"/>
      <c r="AI578" s="1302" t="n"/>
      <c r="AJ578" s="1302" t="n"/>
      <c r="AK578" s="1302">
        <f>AI578-AJ578</f>
        <v/>
      </c>
      <c r="AL578" s="858" t="n"/>
      <c r="AM578" s="1297" t="inlineStr"/>
      <c r="AN578" s="1298" t="n"/>
      <c r="AO578" s="13">
        <f>IF(_epmOfflineCondition_,0,EPMSaveDataOnly(AB578,,AB$29,AB$25,AB$26,AB$31,AB$32,$AA$37,AO$14,AO$15,AO$16,AO$17,AO$18,X578))</f>
        <v/>
      </c>
      <c r="AP578" s="13">
        <f>IF(_epmOfflineCondition_,0,EPMSaveDataOnly(AL578,,AL$29,AL$25,AL$26,AL$31,AL$32,$AA$37,AP$14,AP$15,AP$16,AP$17,AP$18,$X578))</f>
        <v/>
      </c>
      <c r="AQ578" s="13">
        <f>IF(_epmOfflineCondition_,0,EPMSaveData(AM578,,AM$29,AM$25,AM$26,$C$6,AM$32,$AA$37,AQ$14,AQ$15,AQ$16,AQ$17,AQ$18,$X578))</f>
        <v/>
      </c>
      <c r="AR578" s="13">
        <f>IF(_epmOfflineCondition_,0,EPMSaveDataOnly(AN578,,AN$29,AN$25,AN$26,AN$31,AN$32,$AA$37,AR$14,AR$15,AR$16,AR$17,AR$18,$X578))</f>
        <v/>
      </c>
      <c r="AS578" s="384" t="n"/>
    </row>
    <row r="579" hidden="1" ht="15.75" customHeight="1" s="1181">
      <c r="A579" s="384" t="n"/>
      <c r="B579" s="384" t="n"/>
      <c r="C579" s="384" t="n"/>
      <c r="D579" s="384" t="n"/>
      <c r="E579" s="384" t="n"/>
      <c r="F579" s="384" t="n"/>
      <c r="G579" s="384" t="n"/>
      <c r="H579" s="384" t="n"/>
      <c r="I579" s="384" t="n"/>
      <c r="J579" s="384" t="n"/>
      <c r="K579" s="384" t="n"/>
      <c r="L579" s="384" t="n"/>
      <c r="M579" s="384" t="n"/>
      <c r="N579" s="384" t="n"/>
      <c r="O579" s="384" t="n"/>
      <c r="P579" s="384" t="n"/>
      <c r="Q579" s="384" t="n"/>
      <c r="R579" s="384" t="n"/>
      <c r="S579" s="384" t="n"/>
      <c r="T579" s="384" t="n"/>
      <c r="U579" s="384" t="n"/>
      <c r="V579" s="384" t="n"/>
      <c r="W579" s="384" t="n"/>
      <c r="X579" s="645">
        <f>IF(_epmOfflineCondition_,"I_E100854",EPMOlapMemberO("[C_INTERCO].[PARENTH1].[I_E100854]","","I_E100854","","000"))</f>
        <v/>
      </c>
      <c r="Y579" s="870">
        <f>IF(_epmOfflineCondition_,"阳春市招联绿辉光伏发电有限公司",EPMMemberDesc(X579))</f>
        <v/>
      </c>
      <c r="Z579" s="1302" t="n"/>
      <c r="AA579" s="1302" t="n"/>
      <c r="AB579" s="858" t="n"/>
      <c r="AC579" s="1302" t="n"/>
      <c r="AD579" s="1302" t="n"/>
      <c r="AE579" s="1302" t="inlineStr"/>
      <c r="AF579" s="1302" t="inlineStr"/>
      <c r="AG579" s="1302" t="inlineStr"/>
      <c r="AH579" s="1302" t="n"/>
      <c r="AI579" s="1302" t="n"/>
      <c r="AJ579" s="1302" t="n"/>
      <c r="AK579" s="1302">
        <f>AI579-AJ579</f>
        <v/>
      </c>
      <c r="AL579" s="858" t="n"/>
      <c r="AM579" s="1297" t="inlineStr"/>
      <c r="AN579" s="1298" t="n"/>
      <c r="AO579" s="13">
        <f>IF(_epmOfflineCondition_,0,EPMSaveDataOnly(AB579,,AB$29,AB$25,AB$26,AB$31,AB$32,$AA$37,AO$14,AO$15,AO$16,AO$17,AO$18,X579))</f>
        <v/>
      </c>
      <c r="AP579" s="13">
        <f>IF(_epmOfflineCondition_,0,EPMSaveDataOnly(AL579,,AL$29,AL$25,AL$26,AL$31,AL$32,$AA$37,AP$14,AP$15,AP$16,AP$17,AP$18,$X579))</f>
        <v/>
      </c>
      <c r="AQ579" s="13">
        <f>IF(_epmOfflineCondition_,0,EPMSaveData(AM579,,AM$29,AM$25,AM$26,$C$6,AM$32,$AA$37,AQ$14,AQ$15,AQ$16,AQ$17,AQ$18,$X579))</f>
        <v/>
      </c>
      <c r="AR579" s="13">
        <f>IF(_epmOfflineCondition_,0,EPMSaveDataOnly(AN579,,AN$29,AN$25,AN$26,AN$31,AN$32,$AA$37,AR$14,AR$15,AR$16,AR$17,AR$18,$X579))</f>
        <v/>
      </c>
      <c r="AS579" s="384" t="n"/>
    </row>
    <row r="580" hidden="1" ht="15.75" customHeight="1" s="1181">
      <c r="A580" s="384" t="n"/>
      <c r="B580" s="384" t="n"/>
      <c r="C580" s="384" t="n"/>
      <c r="D580" s="384" t="n"/>
      <c r="E580" s="384" t="n"/>
      <c r="F580" s="384" t="n"/>
      <c r="G580" s="384" t="n"/>
      <c r="H580" s="384" t="n"/>
      <c r="I580" s="384" t="n"/>
      <c r="J580" s="384" t="n"/>
      <c r="K580" s="384" t="n"/>
      <c r="L580" s="384" t="n"/>
      <c r="M580" s="384" t="n"/>
      <c r="N580" s="384" t="n"/>
      <c r="O580" s="384" t="n"/>
      <c r="P580" s="384" t="n"/>
      <c r="Q580" s="384" t="n"/>
      <c r="R580" s="384" t="n"/>
      <c r="S580" s="384" t="n"/>
      <c r="T580" s="384" t="n"/>
      <c r="U580" s="384" t="n"/>
      <c r="V580" s="384" t="n"/>
      <c r="W580" s="384" t="n"/>
      <c r="X580" s="645">
        <f>IF(_epmOfflineCondition_,"I_E100855",EPMOlapMemberO("[C_INTERCO].[PARENTH1].[I_E100855]","","I_E100855","","000"))</f>
        <v/>
      </c>
      <c r="Y580" s="870">
        <f>IF(_epmOfflineCondition_,"宁夏盐池凯能光伏发电有限公司",EPMMemberDesc(X580))</f>
        <v/>
      </c>
      <c r="Z580" s="1302" t="n"/>
      <c r="AA580" s="1302" t="n"/>
      <c r="AB580" s="858" t="n"/>
      <c r="AC580" s="1302" t="n"/>
      <c r="AD580" s="1302" t="n"/>
      <c r="AE580" s="1302" t="inlineStr"/>
      <c r="AF580" s="1302" t="inlineStr"/>
      <c r="AG580" s="1302" t="inlineStr"/>
      <c r="AH580" s="1302" t="n"/>
      <c r="AI580" s="1302" t="n"/>
      <c r="AJ580" s="1302" t="n"/>
      <c r="AK580" s="1302">
        <f>AI580-AJ580</f>
        <v/>
      </c>
      <c r="AL580" s="858" t="n"/>
      <c r="AM580" s="1297" t="inlineStr"/>
      <c r="AN580" s="1298" t="n"/>
      <c r="AO580" s="13">
        <f>IF(_epmOfflineCondition_,0,EPMSaveDataOnly(AB580,,AB$29,AB$25,AB$26,AB$31,AB$32,$AA$37,AO$14,AO$15,AO$16,AO$17,AO$18,X580))</f>
        <v/>
      </c>
      <c r="AP580" s="13">
        <f>IF(_epmOfflineCondition_,0,EPMSaveDataOnly(AL580,,AL$29,AL$25,AL$26,AL$31,AL$32,$AA$37,AP$14,AP$15,AP$16,AP$17,AP$18,$X580))</f>
        <v/>
      </c>
      <c r="AQ580" s="13">
        <f>IF(_epmOfflineCondition_,0,EPMSaveData(AM580,,AM$29,AM$25,AM$26,$C$6,AM$32,$AA$37,AQ$14,AQ$15,AQ$16,AQ$17,AQ$18,$X580))</f>
        <v/>
      </c>
      <c r="AR580" s="13">
        <f>IF(_epmOfflineCondition_,0,EPMSaveDataOnly(AN580,,AN$29,AN$25,AN$26,AN$31,AN$32,$AA$37,AR$14,AR$15,AR$16,AR$17,AR$18,$X580))</f>
        <v/>
      </c>
      <c r="AS580" s="384" t="n"/>
    </row>
    <row r="581" hidden="1" ht="15.75" customHeight="1" s="1181">
      <c r="A581" s="384" t="n"/>
      <c r="B581" s="384" t="n"/>
      <c r="C581" s="384" t="n"/>
      <c r="D581" s="384" t="n"/>
      <c r="E581" s="384" t="n"/>
      <c r="F581" s="384" t="n"/>
      <c r="G581" s="384" t="n"/>
      <c r="H581" s="384" t="n"/>
      <c r="I581" s="384" t="n"/>
      <c r="J581" s="384" t="n"/>
      <c r="K581" s="384" t="n"/>
      <c r="L581" s="384" t="n"/>
      <c r="M581" s="384" t="n"/>
      <c r="N581" s="384" t="n"/>
      <c r="O581" s="384" t="n"/>
      <c r="P581" s="384" t="n"/>
      <c r="Q581" s="384" t="n"/>
      <c r="R581" s="384" t="n"/>
      <c r="S581" s="384" t="n"/>
      <c r="T581" s="384" t="n"/>
      <c r="U581" s="384" t="n"/>
      <c r="V581" s="384" t="n"/>
      <c r="W581" s="384" t="n"/>
      <c r="X581" s="645">
        <f>IF(_epmOfflineCondition_,"I_E100856",EPMOlapMemberO("[C_INTERCO].[PARENTH1].[I_E100856]","","I_E100856","","000"))</f>
        <v/>
      </c>
      <c r="Y581" s="870">
        <f>IF(_epmOfflineCondition_,"海东市乐都区融智新能源开发有限公司",EPMMemberDesc(X581))</f>
        <v/>
      </c>
      <c r="Z581" s="1302" t="n"/>
      <c r="AA581" s="1302" t="n"/>
      <c r="AB581" s="858" t="n"/>
      <c r="AC581" s="1302" t="n"/>
      <c r="AD581" s="1302" t="n"/>
      <c r="AE581" s="1302" t="inlineStr"/>
      <c r="AF581" s="1302" t="inlineStr"/>
      <c r="AG581" s="1302" t="inlineStr"/>
      <c r="AH581" s="1302" t="n"/>
      <c r="AI581" s="1302" t="n"/>
      <c r="AJ581" s="1302" t="n"/>
      <c r="AK581" s="1302">
        <f>AI581-AJ581</f>
        <v/>
      </c>
      <c r="AL581" s="858" t="n"/>
      <c r="AM581" s="1297" t="inlineStr"/>
      <c r="AN581" s="1298" t="n"/>
      <c r="AO581" s="13">
        <f>IF(_epmOfflineCondition_,0,EPMSaveDataOnly(AB581,,AB$29,AB$25,AB$26,AB$31,AB$32,$AA$37,AO$14,AO$15,AO$16,AO$17,AO$18,X581))</f>
        <v/>
      </c>
      <c r="AP581" s="13">
        <f>IF(_epmOfflineCondition_,0,EPMSaveDataOnly(AL581,,AL$29,AL$25,AL$26,AL$31,AL$32,$AA$37,AP$14,AP$15,AP$16,AP$17,AP$18,$X581))</f>
        <v/>
      </c>
      <c r="AQ581" s="13">
        <f>IF(_epmOfflineCondition_,0,EPMSaveData(AM581,,AM$29,AM$25,AM$26,$C$6,AM$32,$AA$37,AQ$14,AQ$15,AQ$16,AQ$17,AQ$18,$X581))</f>
        <v/>
      </c>
      <c r="AR581" s="13">
        <f>IF(_epmOfflineCondition_,0,EPMSaveDataOnly(AN581,,AN$29,AN$25,AN$26,AN$31,AN$32,$AA$37,AR$14,AR$15,AR$16,AR$17,AR$18,$X581))</f>
        <v/>
      </c>
      <c r="AS581" s="384" t="n"/>
    </row>
    <row r="582" hidden="1" ht="15.75" customHeight="1" s="1181">
      <c r="A582" s="384" t="n"/>
      <c r="B582" s="384" t="n"/>
      <c r="C582" s="384" t="n"/>
      <c r="D582" s="384" t="n"/>
      <c r="E582" s="384" t="n"/>
      <c r="F582" s="384" t="n"/>
      <c r="G582" s="384" t="n"/>
      <c r="H582" s="384" t="n"/>
      <c r="I582" s="384" t="n"/>
      <c r="J582" s="384" t="n"/>
      <c r="K582" s="384" t="n"/>
      <c r="L582" s="384" t="n"/>
      <c r="M582" s="384" t="n"/>
      <c r="N582" s="384" t="n"/>
      <c r="O582" s="384" t="n"/>
      <c r="P582" s="384" t="n"/>
      <c r="Q582" s="384" t="n"/>
      <c r="R582" s="384" t="n"/>
      <c r="S582" s="384" t="n"/>
      <c r="T582" s="384" t="n"/>
      <c r="U582" s="384" t="n"/>
      <c r="V582" s="384" t="n"/>
      <c r="W582" s="384" t="n"/>
      <c r="X582" s="645">
        <f>IF(_epmOfflineCondition_,"I_E100860",EPMOlapMemberO("[C_INTERCO].[PARENTH1].[I_E100860]","","I_E100860","","000"))</f>
        <v/>
      </c>
      <c r="Y582" s="870">
        <f>IF(_epmOfflineCondition_,"北京京能绿色能源并购投资基金（有限合伙）",EPMMemberDesc(X582))</f>
        <v/>
      </c>
      <c r="Z582" s="1302" t="n"/>
      <c r="AA582" s="1302" t="n"/>
      <c r="AB582" s="858" t="n"/>
      <c r="AC582" s="1302" t="n"/>
      <c r="AD582" s="1302" t="n"/>
      <c r="AE582" s="1302" t="inlineStr"/>
      <c r="AF582" s="1302" t="inlineStr"/>
      <c r="AG582" s="1302" t="inlineStr"/>
      <c r="AH582" s="1302" t="n"/>
      <c r="AI582" s="1302" t="n"/>
      <c r="AJ582" s="1302" t="n"/>
      <c r="AK582" s="1302">
        <f>AI582-AJ582</f>
        <v/>
      </c>
      <c r="AL582" s="858" t="n"/>
      <c r="AM582" s="1297" t="inlineStr"/>
      <c r="AN582" s="1298" t="n"/>
      <c r="AO582" s="13">
        <f>IF(_epmOfflineCondition_,0,EPMSaveDataOnly(AB582,,AB$29,AB$25,AB$26,AB$31,AB$32,$AA$37,AO$14,AO$15,AO$16,AO$17,AO$18,X582))</f>
        <v/>
      </c>
      <c r="AP582" s="13">
        <f>IF(_epmOfflineCondition_,0,EPMSaveDataOnly(AL582,,AL$29,AL$25,AL$26,AL$31,AL$32,$AA$37,AP$14,AP$15,AP$16,AP$17,AP$18,$X582))</f>
        <v/>
      </c>
      <c r="AQ582" s="13">
        <f>IF(_epmOfflineCondition_,0,EPMSaveData(AM582,,AM$29,AM$25,AM$26,$C$6,AM$32,$AA$37,AQ$14,AQ$15,AQ$16,AQ$17,AQ$18,$X582))</f>
        <v/>
      </c>
      <c r="AR582" s="13">
        <f>IF(_epmOfflineCondition_,0,EPMSaveDataOnly(AN582,,AN$29,AN$25,AN$26,AN$31,AN$32,$AA$37,AR$14,AR$15,AR$16,AR$17,AR$18,$X582))</f>
        <v/>
      </c>
      <c r="AS582" s="384" t="n"/>
    </row>
    <row r="583" hidden="1" ht="15.75" customHeight="1" s="1181">
      <c r="A583" s="384" t="n"/>
      <c r="B583" s="384" t="n"/>
      <c r="C583" s="384" t="n"/>
      <c r="D583" s="384" t="n"/>
      <c r="E583" s="384" t="n"/>
      <c r="F583" s="384" t="n"/>
      <c r="G583" s="384" t="n"/>
      <c r="H583" s="384" t="n"/>
      <c r="I583" s="384" t="n"/>
      <c r="J583" s="384" t="n"/>
      <c r="K583" s="384" t="n"/>
      <c r="L583" s="384" t="n"/>
      <c r="M583" s="384" t="n"/>
      <c r="N583" s="384" t="n"/>
      <c r="O583" s="384" t="n"/>
      <c r="P583" s="384" t="n"/>
      <c r="Q583" s="384" t="n"/>
      <c r="R583" s="384" t="n"/>
      <c r="S583" s="384" t="n"/>
      <c r="T583" s="384" t="n"/>
      <c r="U583" s="384" t="n"/>
      <c r="V583" s="384" t="n"/>
      <c r="W583" s="384" t="n"/>
      <c r="X583" s="645">
        <f>IF(_epmOfflineCondition_,"I_E100862",EPMOlapMemberO("[C_INTERCO].[PARENTH1].[I_E100862]","","I_E100862","","000"))</f>
        <v/>
      </c>
      <c r="Y583" s="870">
        <f>IF(_epmOfflineCondition_,"京能玉门新能源有限公司",EPMMemberDesc(X583))</f>
        <v/>
      </c>
      <c r="Z583" s="1302" t="n"/>
      <c r="AA583" s="1302" t="n"/>
      <c r="AB583" s="858" t="n"/>
      <c r="AC583" s="1302" t="n"/>
      <c r="AD583" s="1302" t="n"/>
      <c r="AE583" s="1302" t="inlineStr"/>
      <c r="AF583" s="1302" t="inlineStr"/>
      <c r="AG583" s="1302" t="inlineStr"/>
      <c r="AH583" s="1302" t="n"/>
      <c r="AI583" s="1302" t="n"/>
      <c r="AJ583" s="1302" t="n"/>
      <c r="AK583" s="1302">
        <f>AI583-AJ583</f>
        <v/>
      </c>
      <c r="AL583" s="858" t="n"/>
      <c r="AM583" s="1297" t="inlineStr"/>
      <c r="AN583" s="1298" t="n"/>
      <c r="AO583" s="13">
        <f>IF(_epmOfflineCondition_,0,EPMSaveDataOnly(AB583,,AB$29,AB$25,AB$26,AB$31,AB$32,$AA$37,AO$14,AO$15,AO$16,AO$17,AO$18,X583))</f>
        <v/>
      </c>
      <c r="AP583" s="13">
        <f>IF(_epmOfflineCondition_,0,EPMSaveDataOnly(AL583,,AL$29,AL$25,AL$26,AL$31,AL$32,$AA$37,AP$14,AP$15,AP$16,AP$17,AP$18,$X583))</f>
        <v/>
      </c>
      <c r="AQ583" s="13">
        <f>IF(_epmOfflineCondition_,0,EPMSaveData(AM583,,AM$29,AM$25,AM$26,$C$6,AM$32,$AA$37,AQ$14,AQ$15,AQ$16,AQ$17,AQ$18,$X583))</f>
        <v/>
      </c>
      <c r="AR583" s="13">
        <f>IF(_epmOfflineCondition_,0,EPMSaveDataOnly(AN583,,AN$29,AN$25,AN$26,AN$31,AN$32,$AA$37,AR$14,AR$15,AR$16,AR$17,AR$18,$X583))</f>
        <v/>
      </c>
      <c r="AS583" s="384" t="n"/>
    </row>
    <row r="584" hidden="1" ht="15.75" customHeight="1" s="1181">
      <c r="A584" s="384" t="n"/>
      <c r="B584" s="384" t="n"/>
      <c r="C584" s="384" t="n"/>
      <c r="D584" s="384" t="n"/>
      <c r="E584" s="384" t="n"/>
      <c r="F584" s="384" t="n"/>
      <c r="G584" s="384" t="n"/>
      <c r="H584" s="384" t="n"/>
      <c r="I584" s="384" t="n"/>
      <c r="J584" s="384" t="n"/>
      <c r="K584" s="384" t="n"/>
      <c r="L584" s="384" t="n"/>
      <c r="M584" s="384" t="n"/>
      <c r="N584" s="384" t="n"/>
      <c r="O584" s="384" t="n"/>
      <c r="P584" s="384" t="n"/>
      <c r="Q584" s="384" t="n"/>
      <c r="R584" s="384" t="n"/>
      <c r="S584" s="384" t="n"/>
      <c r="T584" s="384" t="n"/>
      <c r="U584" s="384" t="n"/>
      <c r="V584" s="384" t="n"/>
      <c r="W584" s="384" t="n"/>
      <c r="X584" s="645">
        <f>IF(_epmOfflineCondition_,"I_E100863",EPMOlapMemberO("[C_INTERCO].[PARENTH1].[I_E100863]","","I_E100863","","000"))</f>
        <v/>
      </c>
      <c r="Y584" s="870">
        <f>IF(_epmOfflineCondition_,"京骐（玉门）新能源有限公司",EPMMemberDesc(X584))</f>
        <v/>
      </c>
      <c r="Z584" s="1302" t="n"/>
      <c r="AA584" s="1302" t="n"/>
      <c r="AB584" s="858" t="n"/>
      <c r="AC584" s="1302" t="n"/>
      <c r="AD584" s="1302" t="n"/>
      <c r="AE584" s="1302" t="inlineStr"/>
      <c r="AF584" s="1302" t="inlineStr"/>
      <c r="AG584" s="1302" t="inlineStr"/>
      <c r="AH584" s="1302" t="n"/>
      <c r="AI584" s="1302" t="n"/>
      <c r="AJ584" s="1302" t="n"/>
      <c r="AK584" s="1302">
        <f>AI584-AJ584</f>
        <v/>
      </c>
      <c r="AL584" s="858" t="n"/>
      <c r="AM584" s="1297" t="inlineStr"/>
      <c r="AN584" s="1298" t="n"/>
      <c r="AO584" s="13">
        <f>IF(_epmOfflineCondition_,0,EPMSaveDataOnly(AB584,,AB$29,AB$25,AB$26,AB$31,AB$32,$AA$37,AO$14,AO$15,AO$16,AO$17,AO$18,X584))</f>
        <v/>
      </c>
      <c r="AP584" s="13">
        <f>IF(_epmOfflineCondition_,0,EPMSaveDataOnly(AL584,,AL$29,AL$25,AL$26,AL$31,AL$32,$AA$37,AP$14,AP$15,AP$16,AP$17,AP$18,$X584))</f>
        <v/>
      </c>
      <c r="AQ584" s="13">
        <f>IF(_epmOfflineCondition_,0,EPMSaveData(AM584,,AM$29,AM$25,AM$26,$C$6,AM$32,$AA$37,AQ$14,AQ$15,AQ$16,AQ$17,AQ$18,$X584))</f>
        <v/>
      </c>
      <c r="AR584" s="13">
        <f>IF(_epmOfflineCondition_,0,EPMSaveDataOnly(AN584,,AN$29,AN$25,AN$26,AN$31,AN$32,$AA$37,AR$14,AR$15,AR$16,AR$17,AR$18,$X584))</f>
        <v/>
      </c>
      <c r="AS584" s="384" t="n"/>
    </row>
    <row r="585" hidden="1" ht="15.75" customHeight="1" s="1181">
      <c r="A585" s="384" t="n"/>
      <c r="B585" s="384" t="n"/>
      <c r="C585" s="384" t="n"/>
      <c r="D585" s="384" t="n"/>
      <c r="E585" s="384" t="n"/>
      <c r="F585" s="384" t="n"/>
      <c r="G585" s="384" t="n"/>
      <c r="H585" s="384" t="n"/>
      <c r="I585" s="384" t="n"/>
      <c r="J585" s="384" t="n"/>
      <c r="K585" s="384" t="n"/>
      <c r="L585" s="384" t="n"/>
      <c r="M585" s="384" t="n"/>
      <c r="N585" s="384" t="n"/>
      <c r="O585" s="384" t="n"/>
      <c r="P585" s="384" t="n"/>
      <c r="Q585" s="384" t="n"/>
      <c r="R585" s="384" t="n"/>
      <c r="S585" s="384" t="n"/>
      <c r="T585" s="384" t="n"/>
      <c r="U585" s="384" t="n"/>
      <c r="V585" s="384" t="n"/>
      <c r="W585" s="384" t="n"/>
      <c r="X585" s="645">
        <f>IF(_epmOfflineCondition_,"I_E100864",EPMOlapMemberO("[C_INTERCO].[PARENTH1].[I_E100864]","","I_E100864","","000"))</f>
        <v/>
      </c>
      <c r="Y585" s="870">
        <f>IF(_epmOfflineCondition_,"西藏中自新能源技术有限公司",EPMMemberDesc(X585))</f>
        <v/>
      </c>
      <c r="Z585" s="1302" t="n"/>
      <c r="AA585" s="1302" t="n"/>
      <c r="AB585" s="858" t="n"/>
      <c r="AC585" s="1302" t="n"/>
      <c r="AD585" s="1302" t="n"/>
      <c r="AE585" s="1302" t="inlineStr"/>
      <c r="AF585" s="1302" t="inlineStr"/>
      <c r="AG585" s="1302" t="inlineStr"/>
      <c r="AH585" s="1302" t="n"/>
      <c r="AI585" s="1302" t="n"/>
      <c r="AJ585" s="1302" t="n"/>
      <c r="AK585" s="1302">
        <f>AI585-AJ585</f>
        <v/>
      </c>
      <c r="AL585" s="858" t="n"/>
      <c r="AM585" s="1297" t="inlineStr"/>
      <c r="AN585" s="1298" t="n"/>
      <c r="AO585" s="13">
        <f>IF(_epmOfflineCondition_,0,EPMSaveDataOnly(AB585,,AB$29,AB$25,AB$26,AB$31,AB$32,$AA$37,AO$14,AO$15,AO$16,AO$17,AO$18,X585))</f>
        <v/>
      </c>
      <c r="AP585" s="13">
        <f>IF(_epmOfflineCondition_,0,EPMSaveDataOnly(AL585,,AL$29,AL$25,AL$26,AL$31,AL$32,$AA$37,AP$14,AP$15,AP$16,AP$17,AP$18,$X585))</f>
        <v/>
      </c>
      <c r="AQ585" s="13">
        <f>IF(_epmOfflineCondition_,0,EPMSaveData(AM585,,AM$29,AM$25,AM$26,$C$6,AM$32,$AA$37,AQ$14,AQ$15,AQ$16,AQ$17,AQ$18,$X585))</f>
        <v/>
      </c>
      <c r="AR585" s="13">
        <f>IF(_epmOfflineCondition_,0,EPMSaveDataOnly(AN585,,AN$29,AN$25,AN$26,AN$31,AN$32,$AA$37,AR$14,AR$15,AR$16,AR$17,AR$18,$X585))</f>
        <v/>
      </c>
      <c r="AS585" s="384" t="n"/>
    </row>
    <row r="586" hidden="1" ht="15.75" customHeight="1" s="1181">
      <c r="A586" s="384" t="n"/>
      <c r="B586" s="384" t="n"/>
      <c r="C586" s="384" t="n"/>
      <c r="D586" s="384" t="n"/>
      <c r="E586" s="384" t="n"/>
      <c r="F586" s="384" t="n"/>
      <c r="G586" s="384" t="n"/>
      <c r="H586" s="384" t="n"/>
      <c r="I586" s="384" t="n"/>
      <c r="J586" s="384" t="n"/>
      <c r="K586" s="384" t="n"/>
      <c r="L586" s="384" t="n"/>
      <c r="M586" s="384" t="n"/>
      <c r="N586" s="384" t="n"/>
      <c r="O586" s="384" t="n"/>
      <c r="P586" s="384" t="n"/>
      <c r="Q586" s="384" t="n"/>
      <c r="R586" s="384" t="n"/>
      <c r="S586" s="384" t="n"/>
      <c r="T586" s="384" t="n"/>
      <c r="U586" s="384" t="n"/>
      <c r="V586" s="384" t="n"/>
      <c r="W586" s="384" t="n"/>
      <c r="X586" s="645">
        <f>IF(_epmOfflineCondition_,"I_E100881",EPMOlapMemberO("[C_INTERCO].[PARENTH1].[I_E100881]","","I_E100881","","000"))</f>
        <v/>
      </c>
      <c r="Y586" s="870">
        <f>IF(_epmOfflineCondition_,"中国太阳能电力集团有限公司",EPMMemberDesc(X586))</f>
        <v/>
      </c>
      <c r="Z586" s="1302" t="n"/>
      <c r="AA586" s="1302" t="n"/>
      <c r="AB586" s="858" t="n"/>
      <c r="AC586" s="1302" t="n"/>
      <c r="AD586" s="1302" t="n"/>
      <c r="AE586" s="1302" t="inlineStr"/>
      <c r="AF586" s="1302" t="inlineStr"/>
      <c r="AG586" s="1302" t="inlineStr"/>
      <c r="AH586" s="1302" t="n"/>
      <c r="AI586" s="1302" t="n"/>
      <c r="AJ586" s="1302" t="n"/>
      <c r="AK586" s="1302">
        <f>AI586-AJ586</f>
        <v/>
      </c>
      <c r="AL586" s="858" t="n"/>
      <c r="AM586" s="1297" t="inlineStr"/>
      <c r="AN586" s="1298" t="n"/>
      <c r="AO586" s="13">
        <f>IF(_epmOfflineCondition_,0,EPMSaveDataOnly(AB586,,AB$29,AB$25,AB$26,AB$31,AB$32,$AA$37,AO$14,AO$15,AO$16,AO$17,AO$18,X586))</f>
        <v/>
      </c>
      <c r="AP586" s="13">
        <f>IF(_epmOfflineCondition_,0,EPMSaveDataOnly(AL586,,AL$29,AL$25,AL$26,AL$31,AL$32,$AA$37,AP$14,AP$15,AP$16,AP$17,AP$18,$X586))</f>
        <v/>
      </c>
      <c r="AQ586" s="13">
        <f>IF(_epmOfflineCondition_,0,EPMSaveData(AM586,,AM$29,AM$25,AM$26,$C$6,AM$32,$AA$37,AQ$14,AQ$15,AQ$16,AQ$17,AQ$18,$X586))</f>
        <v/>
      </c>
      <c r="AR586" s="13">
        <f>IF(_epmOfflineCondition_,0,EPMSaveDataOnly(AN586,,AN$29,AN$25,AN$26,AN$31,AN$32,$AA$37,AR$14,AR$15,AR$16,AR$17,AR$18,$X586))</f>
        <v/>
      </c>
      <c r="AS586" s="384" t="n"/>
    </row>
    <row r="587" hidden="1" ht="15.75" customHeight="1" s="1181">
      <c r="A587" s="384" t="n"/>
      <c r="B587" s="384" t="n"/>
      <c r="C587" s="384" t="n"/>
      <c r="D587" s="384" t="n"/>
      <c r="E587" s="384" t="n"/>
      <c r="F587" s="384" t="n"/>
      <c r="G587" s="384" t="n"/>
      <c r="H587" s="384" t="n"/>
      <c r="I587" s="384" t="n"/>
      <c r="J587" s="384" t="n"/>
      <c r="K587" s="384" t="n"/>
      <c r="L587" s="384" t="n"/>
      <c r="M587" s="384" t="n"/>
      <c r="N587" s="384" t="n"/>
      <c r="O587" s="384" t="n"/>
      <c r="P587" s="384" t="n"/>
      <c r="Q587" s="384" t="n"/>
      <c r="R587" s="384" t="n"/>
      <c r="S587" s="384" t="n"/>
      <c r="T587" s="384" t="n"/>
      <c r="U587" s="384" t="n"/>
      <c r="V587" s="384" t="n"/>
      <c r="W587" s="384" t="n"/>
      <c r="X587" s="645">
        <f>IF(_epmOfflineCondition_,"I_E100882",EPMOlapMemberO("[C_INTERCO].[PARENTH1].[I_E100882]","","I_E100882","","000"))</f>
        <v/>
      </c>
      <c r="Y587" s="870">
        <f>IF(_epmOfflineCondition_,"中国科技新能源有限公司-（2025年1月注销）",EPMMemberDesc(X587))</f>
        <v/>
      </c>
      <c r="Z587" s="1302" t="n"/>
      <c r="AA587" s="1302" t="n"/>
      <c r="AB587" s="858" t="n"/>
      <c r="AC587" s="1302" t="n"/>
      <c r="AD587" s="1302" t="n"/>
      <c r="AE587" s="1302" t="inlineStr"/>
      <c r="AF587" s="1302" t="inlineStr"/>
      <c r="AG587" s="1302" t="inlineStr"/>
      <c r="AH587" s="1302" t="n"/>
      <c r="AI587" s="1302" t="n"/>
      <c r="AJ587" s="1302" t="n"/>
      <c r="AK587" s="1302">
        <f>AI587-AJ587</f>
        <v/>
      </c>
      <c r="AL587" s="858" t="n"/>
      <c r="AM587" s="1297" t="inlineStr"/>
      <c r="AN587" s="1298" t="n"/>
      <c r="AO587" s="13">
        <f>IF(_epmOfflineCondition_,0,EPMSaveDataOnly(AB587,,AB$29,AB$25,AB$26,AB$31,AB$32,$AA$37,AO$14,AO$15,AO$16,AO$17,AO$18,X587))</f>
        <v/>
      </c>
      <c r="AP587" s="13">
        <f>IF(_epmOfflineCondition_,0,EPMSaveDataOnly(AL587,,AL$29,AL$25,AL$26,AL$31,AL$32,$AA$37,AP$14,AP$15,AP$16,AP$17,AP$18,$X587))</f>
        <v/>
      </c>
      <c r="AQ587" s="13">
        <f>IF(_epmOfflineCondition_,0,EPMSaveData(AM587,,AM$29,AM$25,AM$26,$C$6,AM$32,$AA$37,AQ$14,AQ$15,AQ$16,AQ$17,AQ$18,$X587))</f>
        <v/>
      </c>
      <c r="AR587" s="13">
        <f>IF(_epmOfflineCondition_,0,EPMSaveDataOnly(AN587,,AN$29,AN$25,AN$26,AN$31,AN$32,$AA$37,AR$14,AR$15,AR$16,AR$17,AR$18,$X587))</f>
        <v/>
      </c>
      <c r="AS587" s="384" t="n"/>
    </row>
    <row r="588" hidden="1" ht="15.75" customHeight="1" s="1181">
      <c r="A588" s="384" t="n"/>
      <c r="B588" s="384" t="n"/>
      <c r="C588" s="384" t="n"/>
      <c r="D588" s="384" t="n"/>
      <c r="E588" s="384" t="n"/>
      <c r="F588" s="384" t="n"/>
      <c r="G588" s="384" t="n"/>
      <c r="H588" s="384" t="n"/>
      <c r="I588" s="384" t="n"/>
      <c r="J588" s="384" t="n"/>
      <c r="K588" s="384" t="n"/>
      <c r="L588" s="384" t="n"/>
      <c r="M588" s="384" t="n"/>
      <c r="N588" s="384" t="n"/>
      <c r="O588" s="384" t="n"/>
      <c r="P588" s="384" t="n"/>
      <c r="Q588" s="384" t="n"/>
      <c r="R588" s="384" t="n"/>
      <c r="S588" s="384" t="n"/>
      <c r="T588" s="384" t="n"/>
      <c r="U588" s="384" t="n"/>
      <c r="V588" s="384" t="n"/>
      <c r="W588" s="384" t="n"/>
      <c r="X588" s="645">
        <f>IF(_epmOfflineCondition_,"I_E100883",EPMOlapMemberO("[C_INTERCO].[PARENTH1].[I_E100883]","","I_E100883","","000"))</f>
        <v/>
      </c>
      <c r="Y588" s="870">
        <f>IF(_epmOfflineCondition_,"北京能源国际投资有限公司",EPMMemberDesc(X588))</f>
        <v/>
      </c>
      <c r="Z588" s="1302" t="n"/>
      <c r="AA588" s="1302" t="n"/>
      <c r="AB588" s="858" t="n"/>
      <c r="AC588" s="1302" t="n"/>
      <c r="AD588" s="1302" t="n"/>
      <c r="AE588" s="1302" t="inlineStr"/>
      <c r="AF588" s="1302" t="inlineStr"/>
      <c r="AG588" s="1302" t="inlineStr"/>
      <c r="AH588" s="1302" t="n"/>
      <c r="AI588" s="1302" t="n"/>
      <c r="AJ588" s="1302" t="n"/>
      <c r="AK588" s="1302">
        <f>AI588-AJ588</f>
        <v/>
      </c>
      <c r="AL588" s="858" t="n"/>
      <c r="AM588" s="1297" t="inlineStr"/>
      <c r="AN588" s="1298" t="n"/>
      <c r="AO588" s="13">
        <f>IF(_epmOfflineCondition_,0,EPMSaveDataOnly(AB588,,AB$29,AB$25,AB$26,AB$31,AB$32,$AA$37,AO$14,AO$15,AO$16,AO$17,AO$18,X588))</f>
        <v/>
      </c>
      <c r="AP588" s="13">
        <f>IF(_epmOfflineCondition_,0,EPMSaveDataOnly(AL588,,AL$29,AL$25,AL$26,AL$31,AL$32,$AA$37,AP$14,AP$15,AP$16,AP$17,AP$18,$X588))</f>
        <v/>
      </c>
      <c r="AQ588" s="13">
        <f>IF(_epmOfflineCondition_,0,EPMSaveData(AM588,,AM$29,AM$25,AM$26,$C$6,AM$32,$AA$37,AQ$14,AQ$15,AQ$16,AQ$17,AQ$18,$X588))</f>
        <v/>
      </c>
      <c r="AR588" s="13">
        <f>IF(_epmOfflineCondition_,0,EPMSaveDataOnly(AN588,,AN$29,AN$25,AN$26,AN$31,AN$32,$AA$37,AR$14,AR$15,AR$16,AR$17,AR$18,$X588))</f>
        <v/>
      </c>
      <c r="AS588" s="384" t="n"/>
    </row>
    <row r="589" hidden="1" ht="15.75" customHeight="1" s="1181">
      <c r="A589" s="384" t="n"/>
      <c r="B589" s="384" t="n"/>
      <c r="C589" s="384" t="n"/>
      <c r="D589" s="384" t="n"/>
      <c r="E589" s="384" t="n"/>
      <c r="F589" s="384" t="n"/>
      <c r="G589" s="384" t="n"/>
      <c r="H589" s="384" t="n"/>
      <c r="I589" s="384" t="n"/>
      <c r="J589" s="384" t="n"/>
      <c r="K589" s="384" t="n"/>
      <c r="L589" s="384" t="n"/>
      <c r="M589" s="384" t="n"/>
      <c r="N589" s="384" t="n"/>
      <c r="O589" s="384" t="n"/>
      <c r="P589" s="384" t="n"/>
      <c r="Q589" s="384" t="n"/>
      <c r="R589" s="384" t="n"/>
      <c r="S589" s="384" t="n"/>
      <c r="T589" s="384" t="n"/>
      <c r="U589" s="384" t="n"/>
      <c r="V589" s="384" t="n"/>
      <c r="W589" s="384" t="n"/>
      <c r="X589" s="645">
        <f>IF(_epmOfflineCondition_,"I_E100887",EPMOlapMemberO("[C_INTERCO].[PARENTH1].[I_E100887]","","I_E100887","","000"))</f>
        <v/>
      </c>
      <c r="Y589" s="870">
        <f>IF(_epmOfflineCondition_,"京能（荣成）新能源有限公司",EPMMemberDesc(X589))</f>
        <v/>
      </c>
      <c r="Z589" s="1302" t="n"/>
      <c r="AA589" s="1302" t="n"/>
      <c r="AB589" s="858" t="n"/>
      <c r="AC589" s="1302" t="n"/>
      <c r="AD589" s="1302" t="n"/>
      <c r="AE589" s="1302" t="inlineStr"/>
      <c r="AF589" s="1302" t="inlineStr"/>
      <c r="AG589" s="1302" t="inlineStr"/>
      <c r="AH589" s="1302" t="n"/>
      <c r="AI589" s="1302" t="n"/>
      <c r="AJ589" s="1302" t="n"/>
      <c r="AK589" s="1302">
        <f>AI589-AJ589</f>
        <v/>
      </c>
      <c r="AL589" s="858" t="n"/>
      <c r="AM589" s="1297" t="inlineStr"/>
      <c r="AN589" s="1298" t="n"/>
      <c r="AO589" s="13">
        <f>IF(_epmOfflineCondition_,0,EPMSaveDataOnly(AB589,,AB$29,AB$25,AB$26,AB$31,AB$32,$AA$37,AO$14,AO$15,AO$16,AO$17,AO$18,X589))</f>
        <v/>
      </c>
      <c r="AP589" s="13">
        <f>IF(_epmOfflineCondition_,0,EPMSaveDataOnly(AL589,,AL$29,AL$25,AL$26,AL$31,AL$32,$AA$37,AP$14,AP$15,AP$16,AP$17,AP$18,$X589))</f>
        <v/>
      </c>
      <c r="AQ589" s="13">
        <f>IF(_epmOfflineCondition_,0,EPMSaveData(AM589,,AM$29,AM$25,AM$26,$C$6,AM$32,$AA$37,AQ$14,AQ$15,AQ$16,AQ$17,AQ$18,$X589))</f>
        <v/>
      </c>
      <c r="AR589" s="13">
        <f>IF(_epmOfflineCondition_,0,EPMSaveDataOnly(AN589,,AN$29,AN$25,AN$26,AN$31,AN$32,$AA$37,AR$14,AR$15,AR$16,AR$17,AR$18,$X589))</f>
        <v/>
      </c>
      <c r="AS589" s="384" t="n"/>
    </row>
    <row r="590" hidden="1" ht="15.75" customHeight="1" s="1181">
      <c r="A590" s="384" t="n"/>
      <c r="B590" s="384" t="n"/>
      <c r="C590" s="384" t="n"/>
      <c r="D590" s="384" t="n"/>
      <c r="E590" s="384" t="n"/>
      <c r="F590" s="384" t="n"/>
      <c r="G590" s="384" t="n"/>
      <c r="H590" s="384" t="n"/>
      <c r="I590" s="384" t="n"/>
      <c r="J590" s="384" t="n"/>
      <c r="K590" s="384" t="n"/>
      <c r="L590" s="384" t="n"/>
      <c r="M590" s="384" t="n"/>
      <c r="N590" s="384" t="n"/>
      <c r="O590" s="384" t="n"/>
      <c r="P590" s="384" t="n"/>
      <c r="Q590" s="384" t="n"/>
      <c r="R590" s="384" t="n"/>
      <c r="S590" s="384" t="n"/>
      <c r="T590" s="384" t="n"/>
      <c r="U590" s="384" t="n"/>
      <c r="V590" s="384" t="n"/>
      <c r="W590" s="384" t="n"/>
      <c r="X590" s="645">
        <f>IF(_epmOfflineCondition_,"I_E100889",EPMOlapMemberO("[C_INTERCO].[PARENTH1].[I_E100889]","","I_E100889","","000"))</f>
        <v/>
      </c>
      <c r="Y590" s="870">
        <f>IF(_epmOfflineCondition_,"京能（德城区）新能源科技有限公司",EPMMemberDesc(X590))</f>
        <v/>
      </c>
      <c r="Z590" s="1302" t="n"/>
      <c r="AA590" s="1302" t="n"/>
      <c r="AB590" s="858" t="n"/>
      <c r="AC590" s="1302" t="n"/>
      <c r="AD590" s="1302" t="n"/>
      <c r="AE590" s="1302" t="inlineStr"/>
      <c r="AF590" s="1302" t="inlineStr"/>
      <c r="AG590" s="1302" t="inlineStr"/>
      <c r="AH590" s="1302" t="n"/>
      <c r="AI590" s="1302" t="n"/>
      <c r="AJ590" s="1302" t="n"/>
      <c r="AK590" s="1302">
        <f>AI590-AJ590</f>
        <v/>
      </c>
      <c r="AL590" s="858" t="n"/>
      <c r="AM590" s="1297" t="inlineStr"/>
      <c r="AN590" s="1298" t="n"/>
      <c r="AO590" s="13">
        <f>IF(_epmOfflineCondition_,0,EPMSaveDataOnly(AB590,,AB$29,AB$25,AB$26,AB$31,AB$32,$AA$37,AO$14,AO$15,AO$16,AO$17,AO$18,X590))</f>
        <v/>
      </c>
      <c r="AP590" s="13">
        <f>IF(_epmOfflineCondition_,0,EPMSaveDataOnly(AL590,,AL$29,AL$25,AL$26,AL$31,AL$32,$AA$37,AP$14,AP$15,AP$16,AP$17,AP$18,$X590))</f>
        <v/>
      </c>
      <c r="AQ590" s="13">
        <f>IF(_epmOfflineCondition_,0,EPMSaveData(AM590,,AM$29,AM$25,AM$26,$C$6,AM$32,$AA$37,AQ$14,AQ$15,AQ$16,AQ$17,AQ$18,$X590))</f>
        <v/>
      </c>
      <c r="AR590" s="13">
        <f>IF(_epmOfflineCondition_,0,EPMSaveDataOnly(AN590,,AN$29,AN$25,AN$26,AN$31,AN$32,$AA$37,AR$14,AR$15,AR$16,AR$17,AR$18,$X590))</f>
        <v/>
      </c>
      <c r="AS590" s="384" t="n"/>
    </row>
    <row r="591" hidden="1" ht="15.75" customHeight="1" s="1181">
      <c r="A591" s="384" t="n"/>
      <c r="B591" s="384" t="n"/>
      <c r="C591" s="384" t="n"/>
      <c r="D591" s="384" t="n"/>
      <c r="E591" s="384" t="n"/>
      <c r="F591" s="384" t="n"/>
      <c r="G591" s="384" t="n"/>
      <c r="H591" s="384" t="n"/>
      <c r="I591" s="384" t="n"/>
      <c r="J591" s="384" t="n"/>
      <c r="K591" s="384" t="n"/>
      <c r="L591" s="384" t="n"/>
      <c r="M591" s="384" t="n"/>
      <c r="N591" s="384" t="n"/>
      <c r="O591" s="384" t="n"/>
      <c r="P591" s="384" t="n"/>
      <c r="Q591" s="384" t="n"/>
      <c r="R591" s="384" t="n"/>
      <c r="S591" s="384" t="n"/>
      <c r="T591" s="384" t="n"/>
      <c r="U591" s="384" t="n"/>
      <c r="V591" s="384" t="n"/>
      <c r="W591" s="384" t="n"/>
      <c r="X591" s="645">
        <f>IF(_epmOfflineCondition_,"I_E100890",EPMOlapMemberO("[C_INTERCO].[PARENTH1].[I_E100890]","","I_E100890","","000"))</f>
        <v/>
      </c>
      <c r="Y591" s="870">
        <f>IF(_epmOfflineCondition_,"德州聚盛新能源科技有限公司",EPMMemberDesc(X591))</f>
        <v/>
      </c>
      <c r="Z591" s="1302" t="n"/>
      <c r="AA591" s="1302" t="n"/>
      <c r="AB591" s="858" t="n"/>
      <c r="AC591" s="1302" t="n"/>
      <c r="AD591" s="1302" t="n"/>
      <c r="AE591" s="1302" t="inlineStr"/>
      <c r="AF591" s="1302" t="inlineStr"/>
      <c r="AG591" s="1302" t="inlineStr"/>
      <c r="AH591" s="1302" t="n"/>
      <c r="AI591" s="1302" t="n"/>
      <c r="AJ591" s="1302" t="n"/>
      <c r="AK591" s="1302">
        <f>AI591-AJ591</f>
        <v/>
      </c>
      <c r="AL591" s="858" t="n"/>
      <c r="AM591" s="1297" t="inlineStr"/>
      <c r="AN591" s="1298" t="n"/>
      <c r="AO591" s="13">
        <f>IF(_epmOfflineCondition_,0,EPMSaveDataOnly(AB591,,AB$29,AB$25,AB$26,AB$31,AB$32,$AA$37,AO$14,AO$15,AO$16,AO$17,AO$18,X591))</f>
        <v/>
      </c>
      <c r="AP591" s="13">
        <f>IF(_epmOfflineCondition_,0,EPMSaveDataOnly(AL591,,AL$29,AL$25,AL$26,AL$31,AL$32,$AA$37,AP$14,AP$15,AP$16,AP$17,AP$18,$X591))</f>
        <v/>
      </c>
      <c r="AQ591" s="13">
        <f>IF(_epmOfflineCondition_,0,EPMSaveData(AM591,,AM$29,AM$25,AM$26,$C$6,AM$32,$AA$37,AQ$14,AQ$15,AQ$16,AQ$17,AQ$18,$X591))</f>
        <v/>
      </c>
      <c r="AR591" s="13">
        <f>IF(_epmOfflineCondition_,0,EPMSaveDataOnly(AN591,,AN$29,AN$25,AN$26,AN$31,AN$32,$AA$37,AR$14,AR$15,AR$16,AR$17,AR$18,$X591))</f>
        <v/>
      </c>
      <c r="AS591" s="384" t="n"/>
    </row>
    <row r="592" hidden="1" ht="15.75" customHeight="1" s="1181">
      <c r="A592" s="384" t="n"/>
      <c r="B592" s="384" t="n"/>
      <c r="C592" s="384" t="n"/>
      <c r="D592" s="384" t="n"/>
      <c r="E592" s="384" t="n"/>
      <c r="F592" s="384" t="n"/>
      <c r="G592" s="384" t="n"/>
      <c r="H592" s="384" t="n"/>
      <c r="I592" s="384" t="n"/>
      <c r="J592" s="384" t="n"/>
      <c r="K592" s="384" t="n"/>
      <c r="L592" s="384" t="n"/>
      <c r="M592" s="384" t="n"/>
      <c r="N592" s="384" t="n"/>
      <c r="O592" s="384" t="n"/>
      <c r="P592" s="384" t="n"/>
      <c r="Q592" s="384" t="n"/>
      <c r="R592" s="384" t="n"/>
      <c r="S592" s="384" t="n"/>
      <c r="T592" s="384" t="n"/>
      <c r="U592" s="384" t="n"/>
      <c r="V592" s="384" t="n"/>
      <c r="W592" s="384" t="n"/>
      <c r="X592" s="645">
        <f>IF(_epmOfflineCondition_,"I_E100892",EPMOlapMemberO("[C_INTERCO].[PARENTH1].[I_E100892]","","I_E100892","","000"))</f>
        <v/>
      </c>
      <c r="Y592" s="870">
        <f>IF(_epmOfflineCondition_,"京能（莱阳）新能源有限公司",EPMMemberDesc(X592))</f>
        <v/>
      </c>
      <c r="Z592" s="1302" t="n"/>
      <c r="AA592" s="1302" t="n"/>
      <c r="AB592" s="858" t="n"/>
      <c r="AC592" s="1302" t="n"/>
      <c r="AD592" s="1302" t="n"/>
      <c r="AE592" s="1302" t="inlineStr"/>
      <c r="AF592" s="1302" t="inlineStr"/>
      <c r="AG592" s="1302" t="inlineStr"/>
      <c r="AH592" s="1302" t="n"/>
      <c r="AI592" s="1302" t="n"/>
      <c r="AJ592" s="1302" t="n"/>
      <c r="AK592" s="1302">
        <f>AI592-AJ592</f>
        <v/>
      </c>
      <c r="AL592" s="858" t="n"/>
      <c r="AM592" s="1297" t="inlineStr"/>
      <c r="AN592" s="1298" t="n"/>
      <c r="AO592" s="13">
        <f>IF(_epmOfflineCondition_,0,EPMSaveDataOnly(AB592,,AB$29,AB$25,AB$26,AB$31,AB$32,$AA$37,AO$14,AO$15,AO$16,AO$17,AO$18,X592))</f>
        <v/>
      </c>
      <c r="AP592" s="13">
        <f>IF(_epmOfflineCondition_,0,EPMSaveDataOnly(AL592,,AL$29,AL$25,AL$26,AL$31,AL$32,$AA$37,AP$14,AP$15,AP$16,AP$17,AP$18,$X592))</f>
        <v/>
      </c>
      <c r="AQ592" s="13">
        <f>IF(_epmOfflineCondition_,0,EPMSaveData(AM592,,AM$29,AM$25,AM$26,$C$6,AM$32,$AA$37,AQ$14,AQ$15,AQ$16,AQ$17,AQ$18,$X592))</f>
        <v/>
      </c>
      <c r="AR592" s="13">
        <f>IF(_epmOfflineCondition_,0,EPMSaveDataOnly(AN592,,AN$29,AN$25,AN$26,AN$31,AN$32,$AA$37,AR$14,AR$15,AR$16,AR$17,AR$18,$X592))</f>
        <v/>
      </c>
      <c r="AS592" s="384" t="n"/>
    </row>
    <row r="593" hidden="1" ht="15.75" customHeight="1" s="1181">
      <c r="A593" s="384" t="n"/>
      <c r="B593" s="384" t="n"/>
      <c r="C593" s="384" t="n"/>
      <c r="D593" s="384" t="n"/>
      <c r="E593" s="384" t="n"/>
      <c r="F593" s="384" t="n"/>
      <c r="G593" s="384" t="n"/>
      <c r="H593" s="384" t="n"/>
      <c r="I593" s="384" t="n"/>
      <c r="J593" s="384" t="n"/>
      <c r="K593" s="384" t="n"/>
      <c r="L593" s="384" t="n"/>
      <c r="M593" s="384" t="n"/>
      <c r="N593" s="384" t="n"/>
      <c r="O593" s="384" t="n"/>
      <c r="P593" s="384" t="n"/>
      <c r="Q593" s="384" t="n"/>
      <c r="R593" s="384" t="n"/>
      <c r="S593" s="384" t="n"/>
      <c r="T593" s="384" t="n"/>
      <c r="U593" s="384" t="n"/>
      <c r="V593" s="384" t="n"/>
      <c r="W593" s="384" t="n"/>
      <c r="X593" s="645">
        <f>IF(_epmOfflineCondition_,"I_E100893",EPMOlapMemberO("[C_INTERCO].[PARENTH1].[I_E100893]","","I_E100893","","000"))</f>
        <v/>
      </c>
      <c r="Y593" s="870">
        <f>IF(_epmOfflineCondition_,"纽莱（威海）新能源有限公司",EPMMemberDesc(X593))</f>
        <v/>
      </c>
      <c r="Z593" s="1302" t="n"/>
      <c r="AA593" s="1302" t="n"/>
      <c r="AB593" s="858" t="n"/>
      <c r="AC593" s="1302" t="n"/>
      <c r="AD593" s="1302" t="n"/>
      <c r="AE593" s="1302" t="inlineStr"/>
      <c r="AF593" s="1302" t="inlineStr"/>
      <c r="AG593" s="1302" t="inlineStr"/>
      <c r="AH593" s="1302" t="n"/>
      <c r="AI593" s="1302" t="n"/>
      <c r="AJ593" s="1302" t="n"/>
      <c r="AK593" s="1302">
        <f>AI593-AJ593</f>
        <v/>
      </c>
      <c r="AL593" s="858" t="n"/>
      <c r="AM593" s="1297" t="inlineStr"/>
      <c r="AN593" s="1298" t="n"/>
      <c r="AO593" s="13">
        <f>IF(_epmOfflineCondition_,0,EPMSaveDataOnly(AB593,,AB$29,AB$25,AB$26,AB$31,AB$32,$AA$37,AO$14,AO$15,AO$16,AO$17,AO$18,X593))</f>
        <v/>
      </c>
      <c r="AP593" s="13">
        <f>IF(_epmOfflineCondition_,0,EPMSaveDataOnly(AL593,,AL$29,AL$25,AL$26,AL$31,AL$32,$AA$37,AP$14,AP$15,AP$16,AP$17,AP$18,$X593))</f>
        <v/>
      </c>
      <c r="AQ593" s="13">
        <f>IF(_epmOfflineCondition_,0,EPMSaveData(AM593,,AM$29,AM$25,AM$26,$C$6,AM$32,$AA$37,AQ$14,AQ$15,AQ$16,AQ$17,AQ$18,$X593))</f>
        <v/>
      </c>
      <c r="AR593" s="13">
        <f>IF(_epmOfflineCondition_,0,EPMSaveDataOnly(AN593,,AN$29,AN$25,AN$26,AN$31,AN$32,$AA$37,AR$14,AR$15,AR$16,AR$17,AR$18,$X593))</f>
        <v/>
      </c>
      <c r="AS593" s="384" t="n"/>
    </row>
    <row r="594" hidden="1" ht="15.75" customHeight="1" s="1181">
      <c r="A594" s="384" t="n"/>
      <c r="B594" s="384" t="n"/>
      <c r="C594" s="384" t="n"/>
      <c r="D594" s="384" t="n"/>
      <c r="E594" s="384" t="n"/>
      <c r="F594" s="384" t="n"/>
      <c r="G594" s="384" t="n"/>
      <c r="H594" s="384" t="n"/>
      <c r="I594" s="384" t="n"/>
      <c r="J594" s="384" t="n"/>
      <c r="K594" s="384" t="n"/>
      <c r="L594" s="384" t="n"/>
      <c r="M594" s="384" t="n"/>
      <c r="N594" s="384" t="n"/>
      <c r="O594" s="384" t="n"/>
      <c r="P594" s="384" t="n"/>
      <c r="Q594" s="384" t="n"/>
      <c r="R594" s="384" t="n"/>
      <c r="S594" s="384" t="n"/>
      <c r="T594" s="384" t="n"/>
      <c r="U594" s="384" t="n"/>
      <c r="V594" s="384" t="n"/>
      <c r="W594" s="384" t="n"/>
      <c r="X594" s="645">
        <f>IF(_epmOfflineCondition_,"I_E100894",EPMOlapMemberO("[C_INTERCO].[PARENTH1].[I_E100894]","","I_E100894","","000"))</f>
        <v/>
      </c>
      <c r="Y594" s="870">
        <f>IF(_epmOfflineCondition_,"京能国际（高邮）新能源有限公司",EPMMemberDesc(X594))</f>
        <v/>
      </c>
      <c r="Z594" s="1302" t="n"/>
      <c r="AA594" s="1302" t="n"/>
      <c r="AB594" s="858" t="n"/>
      <c r="AC594" s="1302" t="n"/>
      <c r="AD594" s="1302" t="n"/>
      <c r="AE594" s="1302" t="inlineStr"/>
      <c r="AF594" s="1302" t="inlineStr"/>
      <c r="AG594" s="1302" t="inlineStr"/>
      <c r="AH594" s="1302" t="n"/>
      <c r="AI594" s="1302" t="n"/>
      <c r="AJ594" s="1302" t="n"/>
      <c r="AK594" s="1302">
        <f>AI594-AJ594</f>
        <v/>
      </c>
      <c r="AL594" s="858" t="n"/>
      <c r="AM594" s="1297" t="inlineStr"/>
      <c r="AN594" s="1298" t="n"/>
      <c r="AO594" s="13">
        <f>IF(_epmOfflineCondition_,0,EPMSaveDataOnly(AB594,,AB$29,AB$25,AB$26,AB$31,AB$32,$AA$37,AO$14,AO$15,AO$16,AO$17,AO$18,X594))</f>
        <v/>
      </c>
      <c r="AP594" s="13">
        <f>IF(_epmOfflineCondition_,0,EPMSaveDataOnly(AL594,,AL$29,AL$25,AL$26,AL$31,AL$32,$AA$37,AP$14,AP$15,AP$16,AP$17,AP$18,$X594))</f>
        <v/>
      </c>
      <c r="AQ594" s="13">
        <f>IF(_epmOfflineCondition_,0,EPMSaveData(AM594,,AM$29,AM$25,AM$26,$C$6,AM$32,$AA$37,AQ$14,AQ$15,AQ$16,AQ$17,AQ$18,$X594))</f>
        <v/>
      </c>
      <c r="AR594" s="13">
        <f>IF(_epmOfflineCondition_,0,EPMSaveDataOnly(AN594,,AN$29,AN$25,AN$26,AN$31,AN$32,$AA$37,AR$14,AR$15,AR$16,AR$17,AR$18,$X594))</f>
        <v/>
      </c>
      <c r="AS594" s="384" t="n"/>
    </row>
    <row r="595" hidden="1" ht="15.75" customHeight="1" s="1181">
      <c r="A595" s="384" t="n"/>
      <c r="B595" s="384" t="n"/>
      <c r="C595" s="384" t="n"/>
      <c r="D595" s="384" t="n"/>
      <c r="E595" s="384" t="n"/>
      <c r="F595" s="384" t="n"/>
      <c r="G595" s="384" t="n"/>
      <c r="H595" s="384" t="n"/>
      <c r="I595" s="384" t="n"/>
      <c r="J595" s="384" t="n"/>
      <c r="K595" s="384" t="n"/>
      <c r="L595" s="384" t="n"/>
      <c r="M595" s="384" t="n"/>
      <c r="N595" s="384" t="n"/>
      <c r="O595" s="384" t="n"/>
      <c r="P595" s="384" t="n"/>
      <c r="Q595" s="384" t="n"/>
      <c r="R595" s="384" t="n"/>
      <c r="S595" s="384" t="n"/>
      <c r="T595" s="384" t="n"/>
      <c r="U595" s="384" t="n"/>
      <c r="V595" s="384" t="n"/>
      <c r="W595" s="384" t="n"/>
      <c r="X595" s="645">
        <f>IF(_epmOfflineCondition_,"I_E100895",EPMOlapMemberO("[C_INTERCO].[PARENTH1].[I_E100895]","","I_E100895","","000"))</f>
        <v/>
      </c>
      <c r="Y595" s="870">
        <f>IF(_epmOfflineCondition_,"京临（沂水）新能源有限公司",EPMMemberDesc(X595))</f>
        <v/>
      </c>
      <c r="Z595" s="1302" t="n"/>
      <c r="AA595" s="1302" t="n"/>
      <c r="AB595" s="858" t="n"/>
      <c r="AC595" s="1302" t="n"/>
      <c r="AD595" s="1302" t="n"/>
      <c r="AE595" s="1302" t="inlineStr"/>
      <c r="AF595" s="1302" t="inlineStr"/>
      <c r="AG595" s="1302" t="inlineStr"/>
      <c r="AH595" s="1302" t="n"/>
      <c r="AI595" s="1302" t="n"/>
      <c r="AJ595" s="1302" t="n"/>
      <c r="AK595" s="1302">
        <f>AI595-AJ595</f>
        <v/>
      </c>
      <c r="AL595" s="858" t="n"/>
      <c r="AM595" s="1297" t="inlineStr"/>
      <c r="AN595" s="1298" t="n"/>
      <c r="AO595" s="13">
        <f>IF(_epmOfflineCondition_,0,EPMSaveDataOnly(AB595,,AB$29,AB$25,AB$26,AB$31,AB$32,$AA$37,AO$14,AO$15,AO$16,AO$17,AO$18,X595))</f>
        <v/>
      </c>
      <c r="AP595" s="13">
        <f>IF(_epmOfflineCondition_,0,EPMSaveDataOnly(AL595,,AL$29,AL$25,AL$26,AL$31,AL$32,$AA$37,AP$14,AP$15,AP$16,AP$17,AP$18,$X595))</f>
        <v/>
      </c>
      <c r="AQ595" s="13">
        <f>IF(_epmOfflineCondition_,0,EPMSaveData(AM595,,AM$29,AM$25,AM$26,$C$6,AM$32,$AA$37,AQ$14,AQ$15,AQ$16,AQ$17,AQ$18,$X595))</f>
        <v/>
      </c>
      <c r="AR595" s="13">
        <f>IF(_epmOfflineCondition_,0,EPMSaveDataOnly(AN595,,AN$29,AN$25,AN$26,AN$31,AN$32,$AA$37,AR$14,AR$15,AR$16,AR$17,AR$18,$X595))</f>
        <v/>
      </c>
      <c r="AS595" s="384" t="n"/>
    </row>
    <row r="596" hidden="1" ht="15.75" customHeight="1" s="1181">
      <c r="A596" s="384" t="n"/>
      <c r="B596" s="384" t="n"/>
      <c r="C596" s="384" t="n"/>
      <c r="D596" s="384" t="n"/>
      <c r="E596" s="384" t="n"/>
      <c r="F596" s="384" t="n"/>
      <c r="G596" s="384" t="n"/>
      <c r="H596" s="384" t="n"/>
      <c r="I596" s="384" t="n"/>
      <c r="J596" s="384" t="n"/>
      <c r="K596" s="384" t="n"/>
      <c r="L596" s="384" t="n"/>
      <c r="M596" s="384" t="n"/>
      <c r="N596" s="384" t="n"/>
      <c r="O596" s="384" t="n"/>
      <c r="P596" s="384" t="n"/>
      <c r="Q596" s="384" t="n"/>
      <c r="R596" s="384" t="n"/>
      <c r="S596" s="384" t="n"/>
      <c r="T596" s="384" t="n"/>
      <c r="U596" s="384" t="n"/>
      <c r="V596" s="384" t="n"/>
      <c r="W596" s="384" t="n"/>
      <c r="X596" s="645">
        <f>IF(_epmOfflineCondition_,"I_E100897",EPMOlapMemberO("[C_INTERCO].[PARENTH1].[I_E100897]","","I_E100897","","000"))</f>
        <v/>
      </c>
      <c r="Y596" s="870">
        <f>IF(_epmOfflineCondition_,"京能（承德县）新能源有限公司",EPMMemberDesc(X596))</f>
        <v/>
      </c>
      <c r="Z596" s="1302" t="n"/>
      <c r="AA596" s="1302" t="n"/>
      <c r="AB596" s="858" t="n"/>
      <c r="AC596" s="1302" t="n"/>
      <c r="AD596" s="1302" t="n"/>
      <c r="AE596" s="1302" t="inlineStr"/>
      <c r="AF596" s="1302" t="inlineStr"/>
      <c r="AG596" s="1302" t="inlineStr"/>
      <c r="AH596" s="1302" t="n"/>
      <c r="AI596" s="1302" t="n"/>
      <c r="AJ596" s="1302" t="n"/>
      <c r="AK596" s="1302">
        <f>AI596-AJ596</f>
        <v/>
      </c>
      <c r="AL596" s="858" t="n"/>
      <c r="AM596" s="1297" t="inlineStr"/>
      <c r="AN596" s="1298" t="n"/>
      <c r="AO596" s="13">
        <f>IF(_epmOfflineCondition_,0,EPMSaveDataOnly(AB596,,AB$29,AB$25,AB$26,AB$31,AB$32,$AA$37,AO$14,AO$15,AO$16,AO$17,AO$18,X596))</f>
        <v/>
      </c>
      <c r="AP596" s="13">
        <f>IF(_epmOfflineCondition_,0,EPMSaveDataOnly(AL596,,AL$29,AL$25,AL$26,AL$31,AL$32,$AA$37,AP$14,AP$15,AP$16,AP$17,AP$18,$X596))</f>
        <v/>
      </c>
      <c r="AQ596" s="13">
        <f>IF(_epmOfflineCondition_,0,EPMSaveData(AM596,,AM$29,AM$25,AM$26,$C$6,AM$32,$AA$37,AQ$14,AQ$15,AQ$16,AQ$17,AQ$18,$X596))</f>
        <v/>
      </c>
      <c r="AR596" s="13">
        <f>IF(_epmOfflineCondition_,0,EPMSaveDataOnly(AN596,,AN$29,AN$25,AN$26,AN$31,AN$32,$AA$37,AR$14,AR$15,AR$16,AR$17,AR$18,$X596))</f>
        <v/>
      </c>
      <c r="AS596" s="384" t="n"/>
    </row>
    <row r="597" hidden="1" ht="15.75" customHeight="1" s="1181">
      <c r="A597" s="384" t="n"/>
      <c r="B597" s="384" t="n"/>
      <c r="C597" s="384" t="n"/>
      <c r="D597" s="384" t="n"/>
      <c r="E597" s="384" t="n"/>
      <c r="F597" s="384" t="n"/>
      <c r="G597" s="384" t="n"/>
      <c r="H597" s="384" t="n"/>
      <c r="I597" s="384" t="n"/>
      <c r="J597" s="384" t="n"/>
      <c r="K597" s="384" t="n"/>
      <c r="L597" s="384" t="n"/>
      <c r="M597" s="384" t="n"/>
      <c r="N597" s="384" t="n"/>
      <c r="O597" s="384" t="n"/>
      <c r="P597" s="384" t="n"/>
      <c r="Q597" s="384" t="n"/>
      <c r="R597" s="384" t="n"/>
      <c r="S597" s="384" t="n"/>
      <c r="T597" s="384" t="n"/>
      <c r="U597" s="384" t="n"/>
      <c r="V597" s="384" t="n"/>
      <c r="W597" s="384" t="n"/>
      <c r="X597" s="645">
        <f>IF(_epmOfflineCondition_,"I_E100898",EPMOlapMemberO("[C_INTERCO].[PARENTH1].[I_E100898]","","I_E100898","","000"))</f>
        <v/>
      </c>
      <c r="Y597" s="870">
        <f>IF(_epmOfflineCondition_,"京莱（张家口）新能源有限公司",EPMMemberDesc(X597))</f>
        <v/>
      </c>
      <c r="Z597" s="1302" t="n"/>
      <c r="AA597" s="1302" t="n"/>
      <c r="AB597" s="858" t="n"/>
      <c r="AC597" s="1302" t="n"/>
      <c r="AD597" s="1302" t="n"/>
      <c r="AE597" s="1302" t="inlineStr"/>
      <c r="AF597" s="1302" t="inlineStr"/>
      <c r="AG597" s="1302" t="inlineStr"/>
      <c r="AH597" s="1302" t="n"/>
      <c r="AI597" s="1302" t="n"/>
      <c r="AJ597" s="1302" t="n"/>
      <c r="AK597" s="1302">
        <f>AI597-AJ597</f>
        <v/>
      </c>
      <c r="AL597" s="858" t="n"/>
      <c r="AM597" s="1297" t="inlineStr"/>
      <c r="AN597" s="1298" t="n"/>
      <c r="AO597" s="13">
        <f>IF(_epmOfflineCondition_,0,EPMSaveDataOnly(AB597,,AB$29,AB$25,AB$26,AB$31,AB$32,$AA$37,AO$14,AO$15,AO$16,AO$17,AO$18,X597))</f>
        <v/>
      </c>
      <c r="AP597" s="13">
        <f>IF(_epmOfflineCondition_,0,EPMSaveDataOnly(AL597,,AL$29,AL$25,AL$26,AL$31,AL$32,$AA$37,AP$14,AP$15,AP$16,AP$17,AP$18,$X597))</f>
        <v/>
      </c>
      <c r="AQ597" s="13">
        <f>IF(_epmOfflineCondition_,0,EPMSaveData(AM597,,AM$29,AM$25,AM$26,$C$6,AM$32,$AA$37,AQ$14,AQ$15,AQ$16,AQ$17,AQ$18,$X597))</f>
        <v/>
      </c>
      <c r="AR597" s="13">
        <f>IF(_epmOfflineCondition_,0,EPMSaveDataOnly(AN597,,AN$29,AN$25,AN$26,AN$31,AN$32,$AA$37,AR$14,AR$15,AR$16,AR$17,AR$18,$X597))</f>
        <v/>
      </c>
      <c r="AS597" s="384" t="n"/>
    </row>
    <row r="598" hidden="1" ht="15.75" customHeight="1" s="1181">
      <c r="A598" s="384" t="n"/>
      <c r="B598" s="384" t="n"/>
      <c r="C598" s="384" t="n"/>
      <c r="D598" s="384" t="n"/>
      <c r="E598" s="384" t="n"/>
      <c r="F598" s="384" t="n"/>
      <c r="G598" s="384" t="n"/>
      <c r="H598" s="384" t="n"/>
      <c r="I598" s="384" t="n"/>
      <c r="J598" s="384" t="n"/>
      <c r="K598" s="384" t="n"/>
      <c r="L598" s="384" t="n"/>
      <c r="M598" s="384" t="n"/>
      <c r="N598" s="384" t="n"/>
      <c r="O598" s="384" t="n"/>
      <c r="P598" s="384" t="n"/>
      <c r="Q598" s="384" t="n"/>
      <c r="R598" s="384" t="n"/>
      <c r="S598" s="384" t="n"/>
      <c r="T598" s="384" t="n"/>
      <c r="U598" s="384" t="n"/>
      <c r="V598" s="384" t="n"/>
      <c r="W598" s="384" t="n"/>
      <c r="X598" s="645">
        <f>IF(_epmOfflineCondition_,"I_E100899",EPMOlapMemberO("[C_INTERCO].[PARENTH1].[I_E100899]","","I_E100899","","000"))</f>
        <v/>
      </c>
      <c r="Y598" s="870">
        <f>IF(_epmOfflineCondition_,"北京京云穆家峪新能源有限公司",EPMMemberDesc(X598))</f>
        <v/>
      </c>
      <c r="Z598" s="1302" t="n"/>
      <c r="AA598" s="1302" t="n"/>
      <c r="AB598" s="858" t="n"/>
      <c r="AC598" s="1302" t="n"/>
      <c r="AD598" s="1302" t="n"/>
      <c r="AE598" s="1302" t="inlineStr"/>
      <c r="AF598" s="1302" t="inlineStr"/>
      <c r="AG598" s="1302" t="inlineStr"/>
      <c r="AH598" s="1302" t="n"/>
      <c r="AI598" s="1302" t="n"/>
      <c r="AJ598" s="1302" t="n"/>
      <c r="AK598" s="1302">
        <f>AI598-AJ598</f>
        <v/>
      </c>
      <c r="AL598" s="858" t="n"/>
      <c r="AM598" s="1297" t="inlineStr"/>
      <c r="AN598" s="1298" t="n"/>
      <c r="AO598" s="13">
        <f>IF(_epmOfflineCondition_,0,EPMSaveDataOnly(AB598,,AB$29,AB$25,AB$26,AB$31,AB$32,$AA$37,AO$14,AO$15,AO$16,AO$17,AO$18,X598))</f>
        <v/>
      </c>
      <c r="AP598" s="13">
        <f>IF(_epmOfflineCondition_,0,EPMSaveDataOnly(AL598,,AL$29,AL$25,AL$26,AL$31,AL$32,$AA$37,AP$14,AP$15,AP$16,AP$17,AP$18,$X598))</f>
        <v/>
      </c>
      <c r="AQ598" s="13">
        <f>IF(_epmOfflineCondition_,0,EPMSaveData(AM598,,AM$29,AM$25,AM$26,$C$6,AM$32,$AA$37,AQ$14,AQ$15,AQ$16,AQ$17,AQ$18,$X598))</f>
        <v/>
      </c>
      <c r="AR598" s="13">
        <f>IF(_epmOfflineCondition_,0,EPMSaveDataOnly(AN598,,AN$29,AN$25,AN$26,AN$31,AN$32,$AA$37,AR$14,AR$15,AR$16,AR$17,AR$18,$X598))</f>
        <v/>
      </c>
      <c r="AS598" s="384" t="n"/>
    </row>
    <row r="599" hidden="1" ht="15.75" customHeight="1" s="1181">
      <c r="A599" s="384" t="n"/>
      <c r="B599" s="384" t="n"/>
      <c r="C599" s="384" t="n"/>
      <c r="D599" s="384" t="n"/>
      <c r="E599" s="384" t="n"/>
      <c r="F599" s="384" t="n"/>
      <c r="G599" s="384" t="n"/>
      <c r="H599" s="384" t="n"/>
      <c r="I599" s="384" t="n"/>
      <c r="J599" s="384" t="n"/>
      <c r="K599" s="384" t="n"/>
      <c r="L599" s="384" t="n"/>
      <c r="M599" s="384" t="n"/>
      <c r="N599" s="384" t="n"/>
      <c r="O599" s="384" t="n"/>
      <c r="P599" s="384" t="n"/>
      <c r="Q599" s="384" t="n"/>
      <c r="R599" s="384" t="n"/>
      <c r="S599" s="384" t="n"/>
      <c r="T599" s="384" t="n"/>
      <c r="U599" s="384" t="n"/>
      <c r="V599" s="384" t="n"/>
      <c r="W599" s="384" t="n"/>
      <c r="X599" s="645">
        <f>IF(_epmOfflineCondition_,"I_E100900",EPMOlapMemberO("[C_INTERCO].[PARENTH1].[I_E100900]","","I_E100900","","000"))</f>
        <v/>
      </c>
      <c r="Y599" s="870">
        <f>IF(_epmOfflineCondition_,"京能（牟定）新能源有限公司",EPMMemberDesc(X599))</f>
        <v/>
      </c>
      <c r="Z599" s="1302" t="n"/>
      <c r="AA599" s="1302" t="n"/>
      <c r="AB599" s="858" t="n"/>
      <c r="AC599" s="1302" t="n"/>
      <c r="AD599" s="1302" t="n"/>
      <c r="AE599" s="1302" t="inlineStr"/>
      <c r="AF599" s="1302" t="inlineStr"/>
      <c r="AG599" s="1302" t="inlineStr"/>
      <c r="AH599" s="1302" t="n"/>
      <c r="AI599" s="1302" t="n"/>
      <c r="AJ599" s="1302" t="n"/>
      <c r="AK599" s="1302">
        <f>AI599-AJ599</f>
        <v/>
      </c>
      <c r="AL599" s="858" t="n"/>
      <c r="AM599" s="1297" t="inlineStr"/>
      <c r="AN599" s="1298" t="n"/>
      <c r="AO599" s="13">
        <f>IF(_epmOfflineCondition_,0,EPMSaveDataOnly(AB599,,AB$29,AB$25,AB$26,AB$31,AB$32,$AA$37,AO$14,AO$15,AO$16,AO$17,AO$18,X599))</f>
        <v/>
      </c>
      <c r="AP599" s="13">
        <f>IF(_epmOfflineCondition_,0,EPMSaveDataOnly(AL599,,AL$29,AL$25,AL$26,AL$31,AL$32,$AA$37,AP$14,AP$15,AP$16,AP$17,AP$18,$X599))</f>
        <v/>
      </c>
      <c r="AQ599" s="13">
        <f>IF(_epmOfflineCondition_,0,EPMSaveData(AM599,,AM$29,AM$25,AM$26,$C$6,AM$32,$AA$37,AQ$14,AQ$15,AQ$16,AQ$17,AQ$18,$X599))</f>
        <v/>
      </c>
      <c r="AR599" s="13">
        <f>IF(_epmOfflineCondition_,0,EPMSaveDataOnly(AN599,,AN$29,AN$25,AN$26,AN$31,AN$32,$AA$37,AR$14,AR$15,AR$16,AR$17,AR$18,$X599))</f>
        <v/>
      </c>
      <c r="AS599" s="384" t="n"/>
    </row>
    <row r="600" hidden="1" ht="15.75" customHeight="1" s="1181">
      <c r="A600" s="384" t="n"/>
      <c r="B600" s="384" t="n"/>
      <c r="C600" s="384" t="n"/>
      <c r="D600" s="384" t="n"/>
      <c r="E600" s="384" t="n"/>
      <c r="F600" s="384" t="n"/>
      <c r="G600" s="384" t="n"/>
      <c r="H600" s="384" t="n"/>
      <c r="I600" s="384" t="n"/>
      <c r="J600" s="384" t="n"/>
      <c r="K600" s="384" t="n"/>
      <c r="L600" s="384" t="n"/>
      <c r="M600" s="384" t="n"/>
      <c r="N600" s="384" t="n"/>
      <c r="O600" s="384" t="n"/>
      <c r="P600" s="384" t="n"/>
      <c r="Q600" s="384" t="n"/>
      <c r="R600" s="384" t="n"/>
      <c r="S600" s="384" t="n"/>
      <c r="T600" s="384" t="n"/>
      <c r="U600" s="384" t="n"/>
      <c r="V600" s="384" t="n"/>
      <c r="W600" s="384" t="n"/>
      <c r="X600" s="645">
        <f>IF(_epmOfflineCondition_,"I_E100901",EPMOlapMemberO("[C_INTERCO].[PARENTH1].[I_E100901]","","I_E100901","","000"))</f>
        <v/>
      </c>
      <c r="Y600" s="870">
        <f>IF(_epmOfflineCondition_,"深圳前海京平新能源技术服务有限公司",EPMMemberDesc(X600))</f>
        <v/>
      </c>
      <c r="Z600" s="1302" t="n"/>
      <c r="AA600" s="1302" t="n"/>
      <c r="AB600" s="858" t="n"/>
      <c r="AC600" s="1302" t="n"/>
      <c r="AD600" s="1302" t="n"/>
      <c r="AE600" s="1302" t="inlineStr"/>
      <c r="AF600" s="1302" t="inlineStr"/>
      <c r="AG600" s="1302" t="inlineStr"/>
      <c r="AH600" s="1302" t="n"/>
      <c r="AI600" s="1302" t="n"/>
      <c r="AJ600" s="1302" t="n"/>
      <c r="AK600" s="1302">
        <f>AI600-AJ600</f>
        <v/>
      </c>
      <c r="AL600" s="858" t="n"/>
      <c r="AM600" s="1297" t="inlineStr"/>
      <c r="AN600" s="1298" t="n"/>
      <c r="AO600" s="13">
        <f>IF(_epmOfflineCondition_,0,EPMSaveDataOnly(AB600,,AB$29,AB$25,AB$26,AB$31,AB$32,$AA$37,AO$14,AO$15,AO$16,AO$17,AO$18,X600))</f>
        <v/>
      </c>
      <c r="AP600" s="13">
        <f>IF(_epmOfflineCondition_,0,EPMSaveDataOnly(AL600,,AL$29,AL$25,AL$26,AL$31,AL$32,$AA$37,AP$14,AP$15,AP$16,AP$17,AP$18,$X600))</f>
        <v/>
      </c>
      <c r="AQ600" s="13">
        <f>IF(_epmOfflineCondition_,0,EPMSaveData(AM600,,AM$29,AM$25,AM$26,$C$6,AM$32,$AA$37,AQ$14,AQ$15,AQ$16,AQ$17,AQ$18,$X600))</f>
        <v/>
      </c>
      <c r="AR600" s="13">
        <f>IF(_epmOfflineCondition_,0,EPMSaveDataOnly(AN600,,AN$29,AN$25,AN$26,AN$31,AN$32,$AA$37,AR$14,AR$15,AR$16,AR$17,AR$18,$X600))</f>
        <v/>
      </c>
      <c r="AS600" s="384" t="n"/>
    </row>
    <row r="601" hidden="1" ht="15.75" customHeight="1" s="1181">
      <c r="A601" s="384" t="n"/>
      <c r="B601" s="384" t="n"/>
      <c r="C601" s="384" t="n"/>
      <c r="D601" s="384" t="n"/>
      <c r="E601" s="384" t="n"/>
      <c r="F601" s="384" t="n"/>
      <c r="G601" s="384" t="n"/>
      <c r="H601" s="384" t="n"/>
      <c r="I601" s="384" t="n"/>
      <c r="J601" s="384" t="n"/>
      <c r="K601" s="384" t="n"/>
      <c r="L601" s="384" t="n"/>
      <c r="M601" s="384" t="n"/>
      <c r="N601" s="384" t="n"/>
      <c r="O601" s="384" t="n"/>
      <c r="P601" s="384" t="n"/>
      <c r="Q601" s="384" t="n"/>
      <c r="R601" s="384" t="n"/>
      <c r="S601" s="384" t="n"/>
      <c r="T601" s="384" t="n"/>
      <c r="U601" s="384" t="n"/>
      <c r="V601" s="384" t="n"/>
      <c r="W601" s="384" t="n"/>
      <c r="X601" s="645">
        <f>IF(_epmOfflineCondition_,"I_E100902",EPMOlapMemberO("[C_INTERCO].[PARENTH1].[I_E100902]","","I_E100902","","000"))</f>
        <v/>
      </c>
      <c r="Y601" s="870">
        <f>IF(_epmOfflineCondition_,"张家口丝绸之路新能源有限公司",EPMMemberDesc(X601))</f>
        <v/>
      </c>
      <c r="Z601" s="1302" t="n"/>
      <c r="AA601" s="1302" t="n"/>
      <c r="AB601" s="858" t="n"/>
      <c r="AC601" s="1302" t="n"/>
      <c r="AD601" s="1302" t="n"/>
      <c r="AE601" s="1302" t="inlineStr"/>
      <c r="AF601" s="1302" t="inlineStr"/>
      <c r="AG601" s="1302" t="inlineStr"/>
      <c r="AH601" s="1302" t="n"/>
      <c r="AI601" s="1302" t="n"/>
      <c r="AJ601" s="1302" t="n"/>
      <c r="AK601" s="1302">
        <f>AI601-AJ601</f>
        <v/>
      </c>
      <c r="AL601" s="858" t="n"/>
      <c r="AM601" s="1297" t="inlineStr"/>
      <c r="AN601" s="1298" t="n"/>
      <c r="AO601" s="13">
        <f>IF(_epmOfflineCondition_,0,EPMSaveDataOnly(AB601,,AB$29,AB$25,AB$26,AB$31,AB$32,$AA$37,AO$14,AO$15,AO$16,AO$17,AO$18,X601))</f>
        <v/>
      </c>
      <c r="AP601" s="13">
        <f>IF(_epmOfflineCondition_,0,EPMSaveDataOnly(AL601,,AL$29,AL$25,AL$26,AL$31,AL$32,$AA$37,AP$14,AP$15,AP$16,AP$17,AP$18,$X601))</f>
        <v/>
      </c>
      <c r="AQ601" s="13">
        <f>IF(_epmOfflineCondition_,0,EPMSaveData(AM601,,AM$29,AM$25,AM$26,$C$6,AM$32,$AA$37,AQ$14,AQ$15,AQ$16,AQ$17,AQ$18,$X601))</f>
        <v/>
      </c>
      <c r="AR601" s="13">
        <f>IF(_epmOfflineCondition_,0,EPMSaveDataOnly(AN601,,AN$29,AN$25,AN$26,AN$31,AN$32,$AA$37,AR$14,AR$15,AR$16,AR$17,AR$18,$X601))</f>
        <v/>
      </c>
      <c r="AS601" s="384" t="n"/>
    </row>
    <row r="602" hidden="1" ht="15.75" customHeight="1" s="1181">
      <c r="A602" s="384" t="n"/>
      <c r="B602" s="384" t="n"/>
      <c r="C602" s="384" t="n"/>
      <c r="D602" s="384" t="n"/>
      <c r="E602" s="384" t="n"/>
      <c r="F602" s="384" t="n"/>
      <c r="G602" s="384" t="n"/>
      <c r="H602" s="384" t="n"/>
      <c r="I602" s="384" t="n"/>
      <c r="J602" s="384" t="n"/>
      <c r="K602" s="384" t="n"/>
      <c r="L602" s="384" t="n"/>
      <c r="M602" s="384" t="n"/>
      <c r="N602" s="384" t="n"/>
      <c r="O602" s="384" t="n"/>
      <c r="P602" s="384" t="n"/>
      <c r="Q602" s="384" t="n"/>
      <c r="R602" s="384" t="n"/>
      <c r="S602" s="384" t="n"/>
      <c r="T602" s="384" t="n"/>
      <c r="U602" s="384" t="n"/>
      <c r="V602" s="384" t="n"/>
      <c r="W602" s="384" t="n"/>
      <c r="X602" s="645">
        <f>IF(_epmOfflineCondition_,"I_E100903",EPMOlapMemberO("[C_INTERCO].[PARENTH1].[I_E100903]","","I_E100903","","000"))</f>
        <v/>
      </c>
      <c r="Y602" s="870">
        <f>IF(_epmOfflineCondition_,"唐山招新生态农业开发有限公司",EPMMemberDesc(X602))</f>
        <v/>
      </c>
      <c r="Z602" s="1302" t="n"/>
      <c r="AA602" s="1302" t="n"/>
      <c r="AB602" s="858" t="n"/>
      <c r="AC602" s="1302" t="n"/>
      <c r="AD602" s="1302" t="n"/>
      <c r="AE602" s="1302" t="inlineStr"/>
      <c r="AF602" s="1302" t="inlineStr"/>
      <c r="AG602" s="1302" t="inlineStr"/>
      <c r="AH602" s="1302" t="n"/>
      <c r="AI602" s="1302" t="n"/>
      <c r="AJ602" s="1302" t="n"/>
      <c r="AK602" s="1302">
        <f>AI602-AJ602</f>
        <v/>
      </c>
      <c r="AL602" s="858" t="n"/>
      <c r="AM602" s="1297" t="inlineStr"/>
      <c r="AN602" s="1298" t="n"/>
      <c r="AO602" s="13">
        <f>IF(_epmOfflineCondition_,0,EPMSaveDataOnly(AB602,,AB$29,AB$25,AB$26,AB$31,AB$32,$AA$37,AO$14,AO$15,AO$16,AO$17,AO$18,X602))</f>
        <v/>
      </c>
      <c r="AP602" s="13">
        <f>IF(_epmOfflineCondition_,0,EPMSaveDataOnly(AL602,,AL$29,AL$25,AL$26,AL$31,AL$32,$AA$37,AP$14,AP$15,AP$16,AP$17,AP$18,$X602))</f>
        <v/>
      </c>
      <c r="AQ602" s="13">
        <f>IF(_epmOfflineCondition_,0,EPMSaveData(AM602,,AM$29,AM$25,AM$26,$C$6,AM$32,$AA$37,AQ$14,AQ$15,AQ$16,AQ$17,AQ$18,$X602))</f>
        <v/>
      </c>
      <c r="AR602" s="13">
        <f>IF(_epmOfflineCondition_,0,EPMSaveDataOnly(AN602,,AN$29,AN$25,AN$26,AN$31,AN$32,$AA$37,AR$14,AR$15,AR$16,AR$17,AR$18,$X602))</f>
        <v/>
      </c>
      <c r="AS602" s="384" t="n"/>
    </row>
    <row r="603" hidden="1" ht="15.75" customHeight="1" s="1181">
      <c r="A603" s="384" t="n"/>
      <c r="B603" s="384" t="n"/>
      <c r="C603" s="384" t="n"/>
      <c r="D603" s="384" t="n"/>
      <c r="E603" s="384" t="n"/>
      <c r="F603" s="384" t="n"/>
      <c r="G603" s="384" t="n"/>
      <c r="H603" s="384" t="n"/>
      <c r="I603" s="384" t="n"/>
      <c r="J603" s="384" t="n"/>
      <c r="K603" s="384" t="n"/>
      <c r="L603" s="384" t="n"/>
      <c r="M603" s="384" t="n"/>
      <c r="N603" s="384" t="n"/>
      <c r="O603" s="384" t="n"/>
      <c r="P603" s="384" t="n"/>
      <c r="Q603" s="384" t="n"/>
      <c r="R603" s="384" t="n"/>
      <c r="S603" s="384" t="n"/>
      <c r="T603" s="384" t="n"/>
      <c r="U603" s="384" t="n"/>
      <c r="V603" s="384" t="n"/>
      <c r="W603" s="384" t="n"/>
      <c r="X603" s="645">
        <f>IF(_epmOfflineCondition_,"I_E100904",EPMOlapMemberO("[C_INTERCO].[PARENTH1].[I_E100904]","","I_E100904","","000"))</f>
        <v/>
      </c>
      <c r="Y603" s="870">
        <f>IF(_epmOfflineCondition_,"灵石京合光伏发电有限公司",EPMMemberDesc(X603))</f>
        <v/>
      </c>
      <c r="Z603" s="1302" t="n"/>
      <c r="AA603" s="1302" t="n"/>
      <c r="AB603" s="858" t="n"/>
      <c r="AC603" s="1302" t="n"/>
      <c r="AD603" s="1302" t="n"/>
      <c r="AE603" s="1302" t="inlineStr"/>
      <c r="AF603" s="1302" t="inlineStr"/>
      <c r="AG603" s="1302" t="inlineStr"/>
      <c r="AH603" s="1302" t="n"/>
      <c r="AI603" s="1302" t="n"/>
      <c r="AJ603" s="1302" t="n"/>
      <c r="AK603" s="1302">
        <f>AI603-AJ603</f>
        <v/>
      </c>
      <c r="AL603" s="858" t="n"/>
      <c r="AM603" s="1297" t="inlineStr"/>
      <c r="AN603" s="1298" t="n"/>
      <c r="AO603" s="13">
        <f>IF(_epmOfflineCondition_,0,EPMSaveDataOnly(AB603,,AB$29,AB$25,AB$26,AB$31,AB$32,$AA$37,AO$14,AO$15,AO$16,AO$17,AO$18,X603))</f>
        <v/>
      </c>
      <c r="AP603" s="13">
        <f>IF(_epmOfflineCondition_,0,EPMSaveDataOnly(AL603,,AL$29,AL$25,AL$26,AL$31,AL$32,$AA$37,AP$14,AP$15,AP$16,AP$17,AP$18,$X603))</f>
        <v/>
      </c>
      <c r="AQ603" s="13">
        <f>IF(_epmOfflineCondition_,0,EPMSaveData(AM603,,AM$29,AM$25,AM$26,$C$6,AM$32,$AA$37,AQ$14,AQ$15,AQ$16,AQ$17,AQ$18,$X603))</f>
        <v/>
      </c>
      <c r="AR603" s="13">
        <f>IF(_epmOfflineCondition_,0,EPMSaveDataOnly(AN603,,AN$29,AN$25,AN$26,AN$31,AN$32,$AA$37,AR$14,AR$15,AR$16,AR$17,AR$18,$X603))</f>
        <v/>
      </c>
      <c r="AS603" s="384" t="n"/>
    </row>
    <row r="604" hidden="1" ht="15.75" customHeight="1" s="1181">
      <c r="A604" s="384" t="n"/>
      <c r="B604" s="384" t="n"/>
      <c r="C604" s="384" t="n"/>
      <c r="D604" s="384" t="n"/>
      <c r="E604" s="384" t="n"/>
      <c r="F604" s="384" t="n"/>
      <c r="G604" s="384" t="n"/>
      <c r="H604" s="384" t="n"/>
      <c r="I604" s="384" t="n"/>
      <c r="J604" s="384" t="n"/>
      <c r="K604" s="384" t="n"/>
      <c r="L604" s="384" t="n"/>
      <c r="M604" s="384" t="n"/>
      <c r="N604" s="384" t="n"/>
      <c r="O604" s="384" t="n"/>
      <c r="P604" s="384" t="n"/>
      <c r="Q604" s="384" t="n"/>
      <c r="R604" s="384" t="n"/>
      <c r="S604" s="384" t="n"/>
      <c r="T604" s="384" t="n"/>
      <c r="U604" s="384" t="n"/>
      <c r="V604" s="384" t="n"/>
      <c r="W604" s="384" t="n"/>
      <c r="X604" s="645">
        <f>IF(_epmOfflineCondition_,"I_E100905",EPMOlapMemberO("[C_INTERCO].[PARENTH1].[I_E100905]","","I_E100905","","000"))</f>
        <v/>
      </c>
      <c r="Y604" s="870">
        <f>IF(_epmOfflineCondition_,"南宫市国顺新能源科技有限公司",EPMMemberDesc(X604))</f>
        <v/>
      </c>
      <c r="Z604" s="1302" t="n"/>
      <c r="AA604" s="1302" t="n"/>
      <c r="AB604" s="858" t="n"/>
      <c r="AC604" s="1302" t="n"/>
      <c r="AD604" s="1302" t="n"/>
      <c r="AE604" s="1302" t="inlineStr"/>
      <c r="AF604" s="1302" t="inlineStr"/>
      <c r="AG604" s="1302" t="inlineStr"/>
      <c r="AH604" s="1302" t="n"/>
      <c r="AI604" s="1302" t="n"/>
      <c r="AJ604" s="1302" t="n"/>
      <c r="AK604" s="1302">
        <f>AI604-AJ604</f>
        <v/>
      </c>
      <c r="AL604" s="858" t="n"/>
      <c r="AM604" s="1297" t="inlineStr"/>
      <c r="AN604" s="1298" t="n"/>
      <c r="AO604" s="13">
        <f>IF(_epmOfflineCondition_,0,EPMSaveDataOnly(AB604,,AB$29,AB$25,AB$26,AB$31,AB$32,$AA$37,AO$14,AO$15,AO$16,AO$17,AO$18,X604))</f>
        <v/>
      </c>
      <c r="AP604" s="13">
        <f>IF(_epmOfflineCondition_,0,EPMSaveDataOnly(AL604,,AL$29,AL$25,AL$26,AL$31,AL$32,$AA$37,AP$14,AP$15,AP$16,AP$17,AP$18,$X604))</f>
        <v/>
      </c>
      <c r="AQ604" s="13">
        <f>IF(_epmOfflineCondition_,0,EPMSaveData(AM604,,AM$29,AM$25,AM$26,$C$6,AM$32,$AA$37,AQ$14,AQ$15,AQ$16,AQ$17,AQ$18,$X604))</f>
        <v/>
      </c>
      <c r="AR604" s="13">
        <f>IF(_epmOfflineCondition_,0,EPMSaveDataOnly(AN604,,AN$29,AN$25,AN$26,AN$31,AN$32,$AA$37,AR$14,AR$15,AR$16,AR$17,AR$18,$X604))</f>
        <v/>
      </c>
      <c r="AS604" s="384" t="n"/>
    </row>
    <row r="605" hidden="1" ht="15.75" customHeight="1" s="1181">
      <c r="A605" s="384" t="n"/>
      <c r="B605" s="384" t="n"/>
      <c r="C605" s="384" t="n"/>
      <c r="D605" s="384" t="n"/>
      <c r="E605" s="384" t="n"/>
      <c r="F605" s="384" t="n"/>
      <c r="G605" s="384" t="n"/>
      <c r="H605" s="384" t="n"/>
      <c r="I605" s="384" t="n"/>
      <c r="J605" s="384" t="n"/>
      <c r="K605" s="384" t="n"/>
      <c r="L605" s="384" t="n"/>
      <c r="M605" s="384" t="n"/>
      <c r="N605" s="384" t="n"/>
      <c r="O605" s="384" t="n"/>
      <c r="P605" s="384" t="n"/>
      <c r="Q605" s="384" t="n"/>
      <c r="R605" s="384" t="n"/>
      <c r="S605" s="384" t="n"/>
      <c r="T605" s="384" t="n"/>
      <c r="U605" s="384" t="n"/>
      <c r="V605" s="384" t="n"/>
      <c r="W605" s="384" t="n"/>
      <c r="X605" s="645">
        <f>IF(_epmOfflineCondition_,"I_E100906",EPMOlapMemberO("[C_INTERCO].[PARENTH1].[I_E100906]","","I_E100906","","000"))</f>
        <v/>
      </c>
      <c r="Y605" s="870">
        <f>IF(_epmOfflineCondition_,"广宗县国瑞能源有限公司",EPMMemberDesc(X605))</f>
        <v/>
      </c>
      <c r="Z605" s="1302" t="n"/>
      <c r="AA605" s="1302" t="n"/>
      <c r="AB605" s="858" t="n"/>
      <c r="AC605" s="1302" t="n"/>
      <c r="AD605" s="1302" t="n"/>
      <c r="AE605" s="1302" t="inlineStr"/>
      <c r="AF605" s="1302" t="inlineStr"/>
      <c r="AG605" s="1302" t="inlineStr"/>
      <c r="AH605" s="1302" t="n"/>
      <c r="AI605" s="1302" t="n"/>
      <c r="AJ605" s="1302" t="n"/>
      <c r="AK605" s="1302">
        <f>AI605-AJ605</f>
        <v/>
      </c>
      <c r="AL605" s="858" t="n"/>
      <c r="AM605" s="1297" t="inlineStr"/>
      <c r="AN605" s="1298" t="n"/>
      <c r="AO605" s="13">
        <f>IF(_epmOfflineCondition_,0,EPMSaveDataOnly(AB605,,AB$29,AB$25,AB$26,AB$31,AB$32,$AA$37,AO$14,AO$15,AO$16,AO$17,AO$18,X605))</f>
        <v/>
      </c>
      <c r="AP605" s="13">
        <f>IF(_epmOfflineCondition_,0,EPMSaveDataOnly(AL605,,AL$29,AL$25,AL$26,AL$31,AL$32,$AA$37,AP$14,AP$15,AP$16,AP$17,AP$18,$X605))</f>
        <v/>
      </c>
      <c r="AQ605" s="13">
        <f>IF(_epmOfflineCondition_,0,EPMSaveData(AM605,,AM$29,AM$25,AM$26,$C$6,AM$32,$AA$37,AQ$14,AQ$15,AQ$16,AQ$17,AQ$18,$X605))</f>
        <v/>
      </c>
      <c r="AR605" s="13">
        <f>IF(_epmOfflineCondition_,0,EPMSaveDataOnly(AN605,,AN$29,AN$25,AN$26,AN$31,AN$32,$AA$37,AR$14,AR$15,AR$16,AR$17,AR$18,$X605))</f>
        <v/>
      </c>
      <c r="AS605" s="384" t="n"/>
    </row>
    <row r="606" hidden="1" ht="15.75" customHeight="1" s="1181">
      <c r="A606" s="384" t="n"/>
      <c r="B606" s="384" t="n"/>
      <c r="C606" s="384" t="n"/>
      <c r="D606" s="384" t="n"/>
      <c r="E606" s="384" t="n"/>
      <c r="F606" s="384" t="n"/>
      <c r="G606" s="384" t="n"/>
      <c r="H606" s="384" t="n"/>
      <c r="I606" s="384" t="n"/>
      <c r="J606" s="384" t="n"/>
      <c r="K606" s="384" t="n"/>
      <c r="L606" s="384" t="n"/>
      <c r="M606" s="384" t="n"/>
      <c r="N606" s="384" t="n"/>
      <c r="O606" s="384" t="n"/>
      <c r="P606" s="384" t="n"/>
      <c r="Q606" s="384" t="n"/>
      <c r="R606" s="384" t="n"/>
      <c r="S606" s="384" t="n"/>
      <c r="T606" s="384" t="n"/>
      <c r="U606" s="384" t="n"/>
      <c r="V606" s="384" t="n"/>
      <c r="W606" s="384" t="n"/>
      <c r="X606" s="645">
        <f>IF(_epmOfflineCondition_,"I_E100907",EPMOlapMemberO("[C_INTERCO].[PARENTH1].[I_E100907]","","I_E100907","","000"))</f>
        <v/>
      </c>
      <c r="Y606" s="870">
        <f>IF(_epmOfflineCondition_,"隆尧县国昌新能源科技有限公司",EPMMemberDesc(X606))</f>
        <v/>
      </c>
      <c r="Z606" s="1302" t="n"/>
      <c r="AA606" s="1302" t="n"/>
      <c r="AB606" s="858" t="n"/>
      <c r="AC606" s="1302" t="n"/>
      <c r="AD606" s="1302" t="n"/>
      <c r="AE606" s="1302" t="inlineStr"/>
      <c r="AF606" s="1302" t="inlineStr"/>
      <c r="AG606" s="1302" t="inlineStr"/>
      <c r="AH606" s="1302" t="n"/>
      <c r="AI606" s="1302" t="n"/>
      <c r="AJ606" s="1302" t="n"/>
      <c r="AK606" s="1302">
        <f>AI606-AJ606</f>
        <v/>
      </c>
      <c r="AL606" s="858" t="n"/>
      <c r="AM606" s="1297" t="inlineStr"/>
      <c r="AN606" s="1298" t="n"/>
      <c r="AO606" s="13">
        <f>IF(_epmOfflineCondition_,0,EPMSaveDataOnly(AB606,,AB$29,AB$25,AB$26,AB$31,AB$32,$AA$37,AO$14,AO$15,AO$16,AO$17,AO$18,X606))</f>
        <v/>
      </c>
      <c r="AP606" s="13">
        <f>IF(_epmOfflineCondition_,0,EPMSaveDataOnly(AL606,,AL$29,AL$25,AL$26,AL$31,AL$32,$AA$37,AP$14,AP$15,AP$16,AP$17,AP$18,$X606))</f>
        <v/>
      </c>
      <c r="AQ606" s="13">
        <f>IF(_epmOfflineCondition_,0,EPMSaveData(AM606,,AM$29,AM$25,AM$26,$C$6,AM$32,$AA$37,AQ$14,AQ$15,AQ$16,AQ$17,AQ$18,$X606))</f>
        <v/>
      </c>
      <c r="AR606" s="13">
        <f>IF(_epmOfflineCondition_,0,EPMSaveDataOnly(AN606,,AN$29,AN$25,AN$26,AN$31,AN$32,$AA$37,AR$14,AR$15,AR$16,AR$17,AR$18,$X606))</f>
        <v/>
      </c>
      <c r="AS606" s="384" t="n"/>
    </row>
    <row r="607" hidden="1" ht="15.75" customHeight="1" s="1181">
      <c r="A607" s="384" t="n"/>
      <c r="B607" s="384" t="n"/>
      <c r="C607" s="384" t="n"/>
      <c r="D607" s="384" t="n"/>
      <c r="E607" s="384" t="n"/>
      <c r="F607" s="384" t="n"/>
      <c r="G607" s="384" t="n"/>
      <c r="H607" s="384" t="n"/>
      <c r="I607" s="384" t="n"/>
      <c r="J607" s="384" t="n"/>
      <c r="K607" s="384" t="n"/>
      <c r="L607" s="384" t="n"/>
      <c r="M607" s="384" t="n"/>
      <c r="N607" s="384" t="n"/>
      <c r="O607" s="384" t="n"/>
      <c r="P607" s="384" t="n"/>
      <c r="Q607" s="384" t="n"/>
      <c r="R607" s="384" t="n"/>
      <c r="S607" s="384" t="n"/>
      <c r="T607" s="384" t="n"/>
      <c r="U607" s="384" t="n"/>
      <c r="V607" s="384" t="n"/>
      <c r="W607" s="384" t="n"/>
      <c r="X607" s="645">
        <f>IF(_epmOfflineCondition_,"I_E100911",EPMOlapMemberO("[C_INTERCO].[PARENTH1].[I_E100911]","","I_E100911","","000"))</f>
        <v/>
      </c>
      <c r="Y607" s="870">
        <f>IF(_epmOfflineCondition_,"河北度凯新能源科技有限公司",EPMMemberDesc(X607))</f>
        <v/>
      </c>
      <c r="Z607" s="1302" t="n"/>
      <c r="AA607" s="1302" t="n"/>
      <c r="AB607" s="858" t="n"/>
      <c r="AC607" s="1302" t="n"/>
      <c r="AD607" s="1302" t="n"/>
      <c r="AE607" s="1302" t="inlineStr"/>
      <c r="AF607" s="1302" t="inlineStr"/>
      <c r="AG607" s="1302" t="inlineStr"/>
      <c r="AH607" s="1302" t="n"/>
      <c r="AI607" s="1302" t="n"/>
      <c r="AJ607" s="1302" t="n"/>
      <c r="AK607" s="1302">
        <f>AI607-AJ607</f>
        <v/>
      </c>
      <c r="AL607" s="858" t="n"/>
      <c r="AM607" s="1297" t="inlineStr"/>
      <c r="AN607" s="1298" t="n"/>
      <c r="AO607" s="13">
        <f>IF(_epmOfflineCondition_,0,EPMSaveDataOnly(AB607,,AB$29,AB$25,AB$26,AB$31,AB$32,$AA$37,AO$14,AO$15,AO$16,AO$17,AO$18,X607))</f>
        <v/>
      </c>
      <c r="AP607" s="13">
        <f>IF(_epmOfflineCondition_,0,EPMSaveDataOnly(AL607,,AL$29,AL$25,AL$26,AL$31,AL$32,$AA$37,AP$14,AP$15,AP$16,AP$17,AP$18,$X607))</f>
        <v/>
      </c>
      <c r="AQ607" s="13">
        <f>IF(_epmOfflineCondition_,0,EPMSaveData(AM607,,AM$29,AM$25,AM$26,$C$6,AM$32,$AA$37,AQ$14,AQ$15,AQ$16,AQ$17,AQ$18,$X607))</f>
        <v/>
      </c>
      <c r="AR607" s="13">
        <f>IF(_epmOfflineCondition_,0,EPMSaveDataOnly(AN607,,AN$29,AN$25,AN$26,AN$31,AN$32,$AA$37,AR$14,AR$15,AR$16,AR$17,AR$18,$X607))</f>
        <v/>
      </c>
      <c r="AS607" s="384" t="n"/>
    </row>
    <row r="608" hidden="1" ht="15.75" customHeight="1" s="1181">
      <c r="A608" s="384" t="n"/>
      <c r="B608" s="384" t="n"/>
      <c r="C608" s="384" t="n"/>
      <c r="D608" s="384" t="n"/>
      <c r="E608" s="384" t="n"/>
      <c r="F608" s="384" t="n"/>
      <c r="G608" s="384" t="n"/>
      <c r="H608" s="384" t="n"/>
      <c r="I608" s="384" t="n"/>
      <c r="J608" s="384" t="n"/>
      <c r="K608" s="384" t="n"/>
      <c r="L608" s="384" t="n"/>
      <c r="M608" s="384" t="n"/>
      <c r="N608" s="384" t="n"/>
      <c r="O608" s="384" t="n"/>
      <c r="P608" s="384" t="n"/>
      <c r="Q608" s="384" t="n"/>
      <c r="R608" s="384" t="n"/>
      <c r="S608" s="384" t="n"/>
      <c r="T608" s="384" t="n"/>
      <c r="U608" s="384" t="n"/>
      <c r="V608" s="384" t="n"/>
      <c r="W608" s="384" t="n"/>
      <c r="X608" s="645">
        <f>IF(_epmOfflineCondition_,"I_E100912",EPMOlapMemberO("[C_INTERCO].[PARENTH1].[I_E100912]","","I_E100912","","000"))</f>
        <v/>
      </c>
      <c r="Y608" s="870">
        <f>IF(_epmOfflineCondition_,"光山县辉达新能源科技有限公司",EPMMemberDesc(X608))</f>
        <v/>
      </c>
      <c r="Z608" s="1302" t="n"/>
      <c r="AA608" s="1302" t="n"/>
      <c r="AB608" s="858" t="n"/>
      <c r="AC608" s="1302" t="n"/>
      <c r="AD608" s="1302" t="n"/>
      <c r="AE608" s="1302" t="inlineStr"/>
      <c r="AF608" s="1302" t="inlineStr"/>
      <c r="AG608" s="1302" t="inlineStr"/>
      <c r="AH608" s="1302" t="n"/>
      <c r="AI608" s="1302" t="n"/>
      <c r="AJ608" s="1302" t="n"/>
      <c r="AK608" s="1302">
        <f>AI608-AJ608</f>
        <v/>
      </c>
      <c r="AL608" s="858" t="n"/>
      <c r="AM608" s="1297" t="inlineStr"/>
      <c r="AN608" s="1298" t="n"/>
      <c r="AO608" s="13">
        <f>IF(_epmOfflineCondition_,0,EPMSaveDataOnly(AB608,,AB$29,AB$25,AB$26,AB$31,AB$32,$AA$37,AO$14,AO$15,AO$16,AO$17,AO$18,X608))</f>
        <v/>
      </c>
      <c r="AP608" s="13">
        <f>IF(_epmOfflineCondition_,0,EPMSaveDataOnly(AL608,,AL$29,AL$25,AL$26,AL$31,AL$32,$AA$37,AP$14,AP$15,AP$16,AP$17,AP$18,$X608))</f>
        <v/>
      </c>
      <c r="AQ608" s="13">
        <f>IF(_epmOfflineCondition_,0,EPMSaveData(AM608,,AM$29,AM$25,AM$26,$C$6,AM$32,$AA$37,AQ$14,AQ$15,AQ$16,AQ$17,AQ$18,$X608))</f>
        <v/>
      </c>
      <c r="AR608" s="13">
        <f>IF(_epmOfflineCondition_,0,EPMSaveDataOnly(AN608,,AN$29,AN$25,AN$26,AN$31,AN$32,$AA$37,AR$14,AR$15,AR$16,AR$17,AR$18,$X608))</f>
        <v/>
      </c>
      <c r="AS608" s="384" t="n"/>
    </row>
    <row r="609" hidden="1" ht="15.75" customHeight="1" s="1181">
      <c r="A609" s="384" t="n"/>
      <c r="B609" s="384" t="n"/>
      <c r="C609" s="384" t="n"/>
      <c r="D609" s="384" t="n"/>
      <c r="E609" s="384" t="n"/>
      <c r="F609" s="384" t="n"/>
      <c r="G609" s="384" t="n"/>
      <c r="H609" s="384" t="n"/>
      <c r="I609" s="384" t="n"/>
      <c r="J609" s="384" t="n"/>
      <c r="K609" s="384" t="n"/>
      <c r="L609" s="384" t="n"/>
      <c r="M609" s="384" t="n"/>
      <c r="N609" s="384" t="n"/>
      <c r="O609" s="384" t="n"/>
      <c r="P609" s="384" t="n"/>
      <c r="Q609" s="384" t="n"/>
      <c r="R609" s="384" t="n"/>
      <c r="S609" s="384" t="n"/>
      <c r="T609" s="384" t="n"/>
      <c r="U609" s="384" t="n"/>
      <c r="V609" s="384" t="n"/>
      <c r="W609" s="384" t="n"/>
      <c r="X609" s="645">
        <f>IF(_epmOfflineCondition_,"I_E100913",EPMOlapMemberO("[C_INTERCO].[PARENTH1].[I_E100913]","","I_E100913","","000"))</f>
        <v/>
      </c>
      <c r="Y609" s="870">
        <f>IF(_epmOfflineCondition_,"隆尧县烁昇新能源科技有限公司",EPMMemberDesc(X609))</f>
        <v/>
      </c>
      <c r="Z609" s="1302" t="n"/>
      <c r="AA609" s="1302" t="n"/>
      <c r="AB609" s="858" t="n"/>
      <c r="AC609" s="1302" t="n"/>
      <c r="AD609" s="1302" t="n"/>
      <c r="AE609" s="1302" t="inlineStr"/>
      <c r="AF609" s="1302" t="inlineStr"/>
      <c r="AG609" s="1302" t="inlineStr"/>
      <c r="AH609" s="1302" t="n"/>
      <c r="AI609" s="1302" t="n"/>
      <c r="AJ609" s="1302" t="n"/>
      <c r="AK609" s="1302">
        <f>AI609-AJ609</f>
        <v/>
      </c>
      <c r="AL609" s="858" t="n"/>
      <c r="AM609" s="1297" t="inlineStr"/>
      <c r="AN609" s="1298" t="n"/>
      <c r="AO609" s="13">
        <f>IF(_epmOfflineCondition_,0,EPMSaveDataOnly(AB609,,AB$29,AB$25,AB$26,AB$31,AB$32,$AA$37,AO$14,AO$15,AO$16,AO$17,AO$18,X609))</f>
        <v/>
      </c>
      <c r="AP609" s="13">
        <f>IF(_epmOfflineCondition_,0,EPMSaveDataOnly(AL609,,AL$29,AL$25,AL$26,AL$31,AL$32,$AA$37,AP$14,AP$15,AP$16,AP$17,AP$18,$X609))</f>
        <v/>
      </c>
      <c r="AQ609" s="13">
        <f>IF(_epmOfflineCondition_,0,EPMSaveData(AM609,,AM$29,AM$25,AM$26,$C$6,AM$32,$AA$37,AQ$14,AQ$15,AQ$16,AQ$17,AQ$18,$X609))</f>
        <v/>
      </c>
      <c r="AR609" s="13">
        <f>IF(_epmOfflineCondition_,0,EPMSaveDataOnly(AN609,,AN$29,AN$25,AN$26,AN$31,AN$32,$AA$37,AR$14,AR$15,AR$16,AR$17,AR$18,$X609))</f>
        <v/>
      </c>
      <c r="AS609" s="384" t="n"/>
    </row>
    <row r="610" hidden="1" ht="15.75" customHeight="1" s="1181">
      <c r="A610" s="384" t="n"/>
      <c r="B610" s="384" t="n"/>
      <c r="C610" s="384" t="n"/>
      <c r="D610" s="384" t="n"/>
      <c r="E610" s="384" t="n"/>
      <c r="F610" s="384" t="n"/>
      <c r="G610" s="384" t="n"/>
      <c r="H610" s="384" t="n"/>
      <c r="I610" s="384" t="n"/>
      <c r="J610" s="384" t="n"/>
      <c r="K610" s="384" t="n"/>
      <c r="L610" s="384" t="n"/>
      <c r="M610" s="384" t="n"/>
      <c r="N610" s="384" t="n"/>
      <c r="O610" s="384" t="n"/>
      <c r="P610" s="384" t="n"/>
      <c r="Q610" s="384" t="n"/>
      <c r="R610" s="384" t="n"/>
      <c r="S610" s="384" t="n"/>
      <c r="T610" s="384" t="n"/>
      <c r="U610" s="384" t="n"/>
      <c r="V610" s="384" t="n"/>
      <c r="W610" s="384" t="n"/>
      <c r="X610" s="645">
        <f>IF(_epmOfflineCondition_,"I_E100914",EPMOlapMemberO("[C_INTERCO].[PARENTH1].[I_E100914]","","I_E100914","","000"))</f>
        <v/>
      </c>
      <c r="Y610" s="870">
        <f>IF(_epmOfflineCondition_,"邢台市邦力新能源科技有限公司",EPMMemberDesc(X610))</f>
        <v/>
      </c>
      <c r="Z610" s="1302" t="n"/>
      <c r="AA610" s="1302" t="n"/>
      <c r="AB610" s="858" t="n"/>
      <c r="AC610" s="1302" t="n"/>
      <c r="AD610" s="1302" t="n"/>
      <c r="AE610" s="1302" t="inlineStr"/>
      <c r="AF610" s="1302" t="inlineStr"/>
      <c r="AG610" s="1302" t="inlineStr"/>
      <c r="AH610" s="1302" t="n"/>
      <c r="AI610" s="1302" t="n"/>
      <c r="AJ610" s="1302" t="n"/>
      <c r="AK610" s="1302">
        <f>AI610-AJ610</f>
        <v/>
      </c>
      <c r="AL610" s="858" t="n"/>
      <c r="AM610" s="1297" t="inlineStr"/>
      <c r="AN610" s="1298" t="n"/>
      <c r="AO610" s="13">
        <f>IF(_epmOfflineCondition_,0,EPMSaveDataOnly(AB610,,AB$29,AB$25,AB$26,AB$31,AB$32,$AA$37,AO$14,AO$15,AO$16,AO$17,AO$18,X610))</f>
        <v/>
      </c>
      <c r="AP610" s="13">
        <f>IF(_epmOfflineCondition_,0,EPMSaveDataOnly(AL610,,AL$29,AL$25,AL$26,AL$31,AL$32,$AA$37,AP$14,AP$15,AP$16,AP$17,AP$18,$X610))</f>
        <v/>
      </c>
      <c r="AQ610" s="13">
        <f>IF(_epmOfflineCondition_,0,EPMSaveData(AM610,,AM$29,AM$25,AM$26,$C$6,AM$32,$AA$37,AQ$14,AQ$15,AQ$16,AQ$17,AQ$18,$X610))</f>
        <v/>
      </c>
      <c r="AR610" s="13">
        <f>IF(_epmOfflineCondition_,0,EPMSaveDataOnly(AN610,,AN$29,AN$25,AN$26,AN$31,AN$32,$AA$37,AR$14,AR$15,AR$16,AR$17,AR$18,$X610))</f>
        <v/>
      </c>
      <c r="AS610" s="384" t="n"/>
    </row>
    <row r="611" hidden="1" ht="15.75" customHeight="1" s="1181">
      <c r="A611" s="384" t="n"/>
      <c r="B611" s="384" t="n"/>
      <c r="C611" s="384" t="n"/>
      <c r="D611" s="384" t="n"/>
      <c r="E611" s="384" t="n"/>
      <c r="F611" s="384" t="n"/>
      <c r="G611" s="384" t="n"/>
      <c r="H611" s="384" t="n"/>
      <c r="I611" s="384" t="n"/>
      <c r="J611" s="384" t="n"/>
      <c r="K611" s="384" t="n"/>
      <c r="L611" s="384" t="n"/>
      <c r="M611" s="384" t="n"/>
      <c r="N611" s="384" t="n"/>
      <c r="O611" s="384" t="n"/>
      <c r="P611" s="384" t="n"/>
      <c r="Q611" s="384" t="n"/>
      <c r="R611" s="384" t="n"/>
      <c r="S611" s="384" t="n"/>
      <c r="T611" s="384" t="n"/>
      <c r="U611" s="384" t="n"/>
      <c r="V611" s="384" t="n"/>
      <c r="W611" s="384" t="n"/>
      <c r="X611" s="645">
        <f>IF(_epmOfflineCondition_,"I_E100915",EPMOlapMemberO("[C_INTERCO].[PARENTH1].[I_E100915]","","I_E100915","","000"))</f>
        <v/>
      </c>
      <c r="Y611" s="870">
        <f>IF(_epmOfflineCondition_,"涉县耀光新能源科技有限公司",EPMMemberDesc(X611))</f>
        <v/>
      </c>
      <c r="Z611" s="1302" t="n"/>
      <c r="AA611" s="1302" t="n"/>
      <c r="AB611" s="858" t="n"/>
      <c r="AC611" s="1302" t="n"/>
      <c r="AD611" s="1302" t="n"/>
      <c r="AE611" s="1302" t="inlineStr"/>
      <c r="AF611" s="1302" t="inlineStr"/>
      <c r="AG611" s="1302" t="inlineStr"/>
      <c r="AH611" s="1302" t="n"/>
      <c r="AI611" s="1302" t="n"/>
      <c r="AJ611" s="1302" t="n"/>
      <c r="AK611" s="1302">
        <f>AI611-AJ611</f>
        <v/>
      </c>
      <c r="AL611" s="858" t="n"/>
      <c r="AM611" s="1297" t="inlineStr"/>
      <c r="AN611" s="1298" t="n"/>
      <c r="AO611" s="13">
        <f>IF(_epmOfflineCondition_,0,EPMSaveDataOnly(AB611,,AB$29,AB$25,AB$26,AB$31,AB$32,$AA$37,AO$14,AO$15,AO$16,AO$17,AO$18,X611))</f>
        <v/>
      </c>
      <c r="AP611" s="13">
        <f>IF(_epmOfflineCondition_,0,EPMSaveDataOnly(AL611,,AL$29,AL$25,AL$26,AL$31,AL$32,$AA$37,AP$14,AP$15,AP$16,AP$17,AP$18,$X611))</f>
        <v/>
      </c>
      <c r="AQ611" s="13">
        <f>IF(_epmOfflineCondition_,0,EPMSaveData(AM611,,AM$29,AM$25,AM$26,$C$6,AM$32,$AA$37,AQ$14,AQ$15,AQ$16,AQ$17,AQ$18,$X611))</f>
        <v/>
      </c>
      <c r="AR611" s="13">
        <f>IF(_epmOfflineCondition_,0,EPMSaveDataOnly(AN611,,AN$29,AN$25,AN$26,AN$31,AN$32,$AA$37,AR$14,AR$15,AR$16,AR$17,AR$18,$X611))</f>
        <v/>
      </c>
      <c r="AS611" s="384" t="n"/>
    </row>
    <row r="612" hidden="1" ht="15.75" customHeight="1" s="1181">
      <c r="A612" s="384" t="n"/>
      <c r="B612" s="384" t="n"/>
      <c r="C612" s="384" t="n"/>
      <c r="D612" s="384" t="n"/>
      <c r="E612" s="384" t="n"/>
      <c r="F612" s="384" t="n"/>
      <c r="G612" s="384" t="n"/>
      <c r="H612" s="384" t="n"/>
      <c r="I612" s="384" t="n"/>
      <c r="J612" s="384" t="n"/>
      <c r="K612" s="384" t="n"/>
      <c r="L612" s="384" t="n"/>
      <c r="M612" s="384" t="n"/>
      <c r="N612" s="384" t="n"/>
      <c r="O612" s="384" t="n"/>
      <c r="P612" s="384" t="n"/>
      <c r="Q612" s="384" t="n"/>
      <c r="R612" s="384" t="n"/>
      <c r="S612" s="384" t="n"/>
      <c r="T612" s="384" t="n"/>
      <c r="U612" s="384" t="n"/>
      <c r="V612" s="384" t="n"/>
      <c r="W612" s="384" t="n"/>
      <c r="X612" s="645">
        <f>IF(_epmOfflineCondition_,"I_E100916",EPMOlapMemberO("[C_INTERCO].[PARENTH1].[I_E100916]","","I_E100916","","000"))</f>
        <v/>
      </c>
      <c r="Y612" s="870">
        <f>IF(_epmOfflineCondition_,"焦作市盈聚新能源科技有限公司",EPMMemberDesc(X612))</f>
        <v/>
      </c>
      <c r="Z612" s="1302" t="n"/>
      <c r="AA612" s="1302" t="n"/>
      <c r="AB612" s="858" t="n"/>
      <c r="AC612" s="1302" t="n"/>
      <c r="AD612" s="1302" t="n"/>
      <c r="AE612" s="1302" t="inlineStr"/>
      <c r="AF612" s="1302" t="inlineStr"/>
      <c r="AG612" s="1302" t="inlineStr"/>
      <c r="AH612" s="1302" t="n"/>
      <c r="AI612" s="1302" t="n"/>
      <c r="AJ612" s="1302" t="n"/>
      <c r="AK612" s="1302">
        <f>AI612-AJ612</f>
        <v/>
      </c>
      <c r="AL612" s="858" t="n"/>
      <c r="AM612" s="1297" t="inlineStr"/>
      <c r="AN612" s="1298" t="n"/>
      <c r="AO612" s="13">
        <f>IF(_epmOfflineCondition_,0,EPMSaveDataOnly(AB612,,AB$29,AB$25,AB$26,AB$31,AB$32,$AA$37,AO$14,AO$15,AO$16,AO$17,AO$18,X612))</f>
        <v/>
      </c>
      <c r="AP612" s="13">
        <f>IF(_epmOfflineCondition_,0,EPMSaveDataOnly(AL612,,AL$29,AL$25,AL$26,AL$31,AL$32,$AA$37,AP$14,AP$15,AP$16,AP$17,AP$18,$X612))</f>
        <v/>
      </c>
      <c r="AQ612" s="13">
        <f>IF(_epmOfflineCondition_,0,EPMSaveData(AM612,,AM$29,AM$25,AM$26,$C$6,AM$32,$AA$37,AQ$14,AQ$15,AQ$16,AQ$17,AQ$18,$X612))</f>
        <v/>
      </c>
      <c r="AR612" s="13">
        <f>IF(_epmOfflineCondition_,0,EPMSaveDataOnly(AN612,,AN$29,AN$25,AN$26,AN$31,AN$32,$AA$37,AR$14,AR$15,AR$16,AR$17,AR$18,$X612))</f>
        <v/>
      </c>
      <c r="AS612" s="384" t="n"/>
    </row>
    <row r="613" hidden="1" ht="15.75" customHeight="1" s="1181">
      <c r="A613" s="384" t="n"/>
      <c r="B613" s="384" t="n"/>
      <c r="C613" s="384" t="n"/>
      <c r="D613" s="384" t="n"/>
      <c r="E613" s="384" t="n"/>
      <c r="F613" s="384" t="n"/>
      <c r="G613" s="384" t="n"/>
      <c r="H613" s="384" t="n"/>
      <c r="I613" s="384" t="n"/>
      <c r="J613" s="384" t="n"/>
      <c r="K613" s="384" t="n"/>
      <c r="L613" s="384" t="n"/>
      <c r="M613" s="384" t="n"/>
      <c r="N613" s="384" t="n"/>
      <c r="O613" s="384" t="n"/>
      <c r="P613" s="384" t="n"/>
      <c r="Q613" s="384" t="n"/>
      <c r="R613" s="384" t="n"/>
      <c r="S613" s="384" t="n"/>
      <c r="T613" s="384" t="n"/>
      <c r="U613" s="384" t="n"/>
      <c r="V613" s="384" t="n"/>
      <c r="W613" s="384" t="n"/>
      <c r="X613" s="645">
        <f>IF(_epmOfflineCondition_,"I_E100917",EPMOlapMemberO("[C_INTERCO].[PARENTH1].[I_E100917]","","I_E100917","","000"))</f>
        <v/>
      </c>
      <c r="Y613" s="870">
        <f>IF(_epmOfflineCondition_,"绍兴昱耀新能源科技有限公司",EPMMemberDesc(X613))</f>
        <v/>
      </c>
      <c r="Z613" s="1302" t="n"/>
      <c r="AA613" s="1302" t="n"/>
      <c r="AB613" s="858" t="n"/>
      <c r="AC613" s="1302" t="n"/>
      <c r="AD613" s="1302" t="n"/>
      <c r="AE613" s="1302" t="inlineStr"/>
      <c r="AF613" s="1302" t="inlineStr"/>
      <c r="AG613" s="1302" t="inlineStr"/>
      <c r="AH613" s="1302" t="n"/>
      <c r="AI613" s="1302" t="n"/>
      <c r="AJ613" s="1302" t="n"/>
      <c r="AK613" s="1302">
        <f>AI613-AJ613</f>
        <v/>
      </c>
      <c r="AL613" s="858" t="n"/>
      <c r="AM613" s="1297" t="inlineStr"/>
      <c r="AN613" s="1298" t="n"/>
      <c r="AO613" s="13">
        <f>IF(_epmOfflineCondition_,0,EPMSaveDataOnly(AB613,,AB$29,AB$25,AB$26,AB$31,AB$32,$AA$37,AO$14,AO$15,AO$16,AO$17,AO$18,X613))</f>
        <v/>
      </c>
      <c r="AP613" s="13">
        <f>IF(_epmOfflineCondition_,0,EPMSaveDataOnly(AL613,,AL$29,AL$25,AL$26,AL$31,AL$32,$AA$37,AP$14,AP$15,AP$16,AP$17,AP$18,$X613))</f>
        <v/>
      </c>
      <c r="AQ613" s="13">
        <f>IF(_epmOfflineCondition_,0,EPMSaveData(AM613,,AM$29,AM$25,AM$26,$C$6,AM$32,$AA$37,AQ$14,AQ$15,AQ$16,AQ$17,AQ$18,$X613))</f>
        <v/>
      </c>
      <c r="AR613" s="13">
        <f>IF(_epmOfflineCondition_,0,EPMSaveDataOnly(AN613,,AN$29,AN$25,AN$26,AN$31,AN$32,$AA$37,AR$14,AR$15,AR$16,AR$17,AR$18,$X613))</f>
        <v/>
      </c>
      <c r="AS613" s="384" t="n"/>
    </row>
    <row r="614" hidden="1" ht="15.75" customHeight="1" s="1181">
      <c r="A614" s="384" t="n"/>
      <c r="B614" s="384" t="n"/>
      <c r="C614" s="384" t="n"/>
      <c r="D614" s="384" t="n"/>
      <c r="E614" s="384" t="n"/>
      <c r="F614" s="384" t="n"/>
      <c r="G614" s="384" t="n"/>
      <c r="H614" s="384" t="n"/>
      <c r="I614" s="384" t="n"/>
      <c r="J614" s="384" t="n"/>
      <c r="K614" s="384" t="n"/>
      <c r="L614" s="384" t="n"/>
      <c r="M614" s="384" t="n"/>
      <c r="N614" s="384" t="n"/>
      <c r="O614" s="384" t="n"/>
      <c r="P614" s="384" t="n"/>
      <c r="Q614" s="384" t="n"/>
      <c r="R614" s="384" t="n"/>
      <c r="S614" s="384" t="n"/>
      <c r="T614" s="384" t="n"/>
      <c r="U614" s="384" t="n"/>
      <c r="V614" s="384" t="n"/>
      <c r="W614" s="384" t="n"/>
      <c r="X614" s="645">
        <f>IF(_epmOfflineCondition_,"I_E100918",EPMOlapMemberO("[C_INTERCO].[PARENTH1].[I_E100918]","","I_E100918","","000"))</f>
        <v/>
      </c>
      <c r="Y614" s="870">
        <f>IF(_epmOfflineCondition_,"绍兴上虞昱煌新能源科技有限公司",EPMMemberDesc(X614))</f>
        <v/>
      </c>
      <c r="Z614" s="1302" t="n"/>
      <c r="AA614" s="1302" t="n"/>
      <c r="AB614" s="858" t="n"/>
      <c r="AC614" s="1302" t="n"/>
      <c r="AD614" s="1302" t="n"/>
      <c r="AE614" s="1302" t="inlineStr"/>
      <c r="AF614" s="1302" t="inlineStr"/>
      <c r="AG614" s="1302" t="inlineStr"/>
      <c r="AH614" s="1302" t="n"/>
      <c r="AI614" s="1302" t="n"/>
      <c r="AJ614" s="1302" t="n"/>
      <c r="AK614" s="1302">
        <f>AI614-AJ614</f>
        <v/>
      </c>
      <c r="AL614" s="858" t="n"/>
      <c r="AM614" s="1297" t="inlineStr"/>
      <c r="AN614" s="1298" t="n"/>
      <c r="AO614" s="13">
        <f>IF(_epmOfflineCondition_,0,EPMSaveDataOnly(AB614,,AB$29,AB$25,AB$26,AB$31,AB$32,$AA$37,AO$14,AO$15,AO$16,AO$17,AO$18,X614))</f>
        <v/>
      </c>
      <c r="AP614" s="13">
        <f>IF(_epmOfflineCondition_,0,EPMSaveDataOnly(AL614,,AL$29,AL$25,AL$26,AL$31,AL$32,$AA$37,AP$14,AP$15,AP$16,AP$17,AP$18,$X614))</f>
        <v/>
      </c>
      <c r="AQ614" s="13">
        <f>IF(_epmOfflineCondition_,0,EPMSaveData(AM614,,AM$29,AM$25,AM$26,$C$6,AM$32,$AA$37,AQ$14,AQ$15,AQ$16,AQ$17,AQ$18,$X614))</f>
        <v/>
      </c>
      <c r="AR614" s="13">
        <f>IF(_epmOfflineCondition_,0,EPMSaveDataOnly(AN614,,AN$29,AN$25,AN$26,AN$31,AN$32,$AA$37,AR$14,AR$15,AR$16,AR$17,AR$18,$X614))</f>
        <v/>
      </c>
      <c r="AS614" s="384" t="n"/>
    </row>
    <row r="615" hidden="1" ht="15.75" customHeight="1" s="1181">
      <c r="A615" s="384" t="n"/>
      <c r="B615" s="384" t="n"/>
      <c r="C615" s="384" t="n"/>
      <c r="D615" s="384" t="n"/>
      <c r="E615" s="384" t="n"/>
      <c r="F615" s="384" t="n"/>
      <c r="G615" s="384" t="n"/>
      <c r="H615" s="384" t="n"/>
      <c r="I615" s="384" t="n"/>
      <c r="J615" s="384" t="n"/>
      <c r="K615" s="384" t="n"/>
      <c r="L615" s="384" t="n"/>
      <c r="M615" s="384" t="n"/>
      <c r="N615" s="384" t="n"/>
      <c r="O615" s="384" t="n"/>
      <c r="P615" s="384" t="n"/>
      <c r="Q615" s="384" t="n"/>
      <c r="R615" s="384" t="n"/>
      <c r="S615" s="384" t="n"/>
      <c r="T615" s="384" t="n"/>
      <c r="U615" s="384" t="n"/>
      <c r="V615" s="384" t="n"/>
      <c r="W615" s="384" t="n"/>
      <c r="X615" s="645">
        <f>IF(_epmOfflineCondition_,"I_E100919",EPMOlapMemberO("[C_INTERCO].[PARENTH1].[I_E100919]","","I_E100919","","000"))</f>
        <v/>
      </c>
      <c r="Y615" s="870">
        <f>IF(_epmOfflineCondition_,"五莲县鹏光新能源有限公司",EPMMemberDesc(X615))</f>
        <v/>
      </c>
      <c r="Z615" s="1302" t="n"/>
      <c r="AA615" s="1302" t="n"/>
      <c r="AB615" s="858" t="n"/>
      <c r="AC615" s="1302" t="n"/>
      <c r="AD615" s="1302" t="n"/>
      <c r="AE615" s="1302" t="inlineStr"/>
      <c r="AF615" s="1302" t="inlineStr"/>
      <c r="AG615" s="1302" t="inlineStr"/>
      <c r="AH615" s="1302" t="n"/>
      <c r="AI615" s="1302" t="n"/>
      <c r="AJ615" s="1302" t="n"/>
      <c r="AK615" s="1302">
        <f>AI615-AJ615</f>
        <v/>
      </c>
      <c r="AL615" s="858" t="n"/>
      <c r="AM615" s="1297" t="inlineStr"/>
      <c r="AN615" s="1298" t="n"/>
      <c r="AO615" s="13">
        <f>IF(_epmOfflineCondition_,0,EPMSaveDataOnly(AB615,,AB$29,AB$25,AB$26,AB$31,AB$32,$AA$37,AO$14,AO$15,AO$16,AO$17,AO$18,X615))</f>
        <v/>
      </c>
      <c r="AP615" s="13">
        <f>IF(_epmOfflineCondition_,0,EPMSaveDataOnly(AL615,,AL$29,AL$25,AL$26,AL$31,AL$32,$AA$37,AP$14,AP$15,AP$16,AP$17,AP$18,$X615))</f>
        <v/>
      </c>
      <c r="AQ615" s="13">
        <f>IF(_epmOfflineCondition_,0,EPMSaveData(AM615,,AM$29,AM$25,AM$26,$C$6,AM$32,$AA$37,AQ$14,AQ$15,AQ$16,AQ$17,AQ$18,$X615))</f>
        <v/>
      </c>
      <c r="AR615" s="13">
        <f>IF(_epmOfflineCondition_,0,EPMSaveDataOnly(AN615,,AN$29,AN$25,AN$26,AN$31,AN$32,$AA$37,AR$14,AR$15,AR$16,AR$17,AR$18,$X615))</f>
        <v/>
      </c>
      <c r="AS615" s="384" t="n"/>
    </row>
    <row r="616" hidden="1" ht="15.75" customHeight="1" s="1181">
      <c r="A616" s="384" t="n"/>
      <c r="B616" s="384" t="n"/>
      <c r="C616" s="384" t="n"/>
      <c r="D616" s="384" t="n"/>
      <c r="E616" s="384" t="n"/>
      <c r="F616" s="384" t="n"/>
      <c r="G616" s="384" t="n"/>
      <c r="H616" s="384" t="n"/>
      <c r="I616" s="384" t="n"/>
      <c r="J616" s="384" t="n"/>
      <c r="K616" s="384" t="n"/>
      <c r="L616" s="384" t="n"/>
      <c r="M616" s="384" t="n"/>
      <c r="N616" s="384" t="n"/>
      <c r="O616" s="384" t="n"/>
      <c r="P616" s="384" t="n"/>
      <c r="Q616" s="384" t="n"/>
      <c r="R616" s="384" t="n"/>
      <c r="S616" s="384" t="n"/>
      <c r="T616" s="384" t="n"/>
      <c r="U616" s="384" t="n"/>
      <c r="V616" s="384" t="n"/>
      <c r="W616" s="384" t="n"/>
      <c r="X616" s="645">
        <f>IF(_epmOfflineCondition_,"I_E100920",EPMOlapMemberO("[C_INTERCO].[PARENTH1].[I_E100920]","","I_E100920","","000"))</f>
        <v/>
      </c>
      <c r="Y616" s="870">
        <f>IF(_epmOfflineCondition_,"五莲县宁旭新能源有限公司",EPMMemberDesc(X616))</f>
        <v/>
      </c>
      <c r="Z616" s="1302" t="n"/>
      <c r="AA616" s="1302" t="n"/>
      <c r="AB616" s="858" t="n"/>
      <c r="AC616" s="1302" t="n"/>
      <c r="AD616" s="1302" t="n"/>
      <c r="AE616" s="1302" t="inlineStr"/>
      <c r="AF616" s="1302" t="inlineStr"/>
      <c r="AG616" s="1302" t="inlineStr"/>
      <c r="AH616" s="1302" t="n"/>
      <c r="AI616" s="1302" t="n"/>
      <c r="AJ616" s="1302" t="n"/>
      <c r="AK616" s="1302">
        <f>AI616-AJ616</f>
        <v/>
      </c>
      <c r="AL616" s="858" t="n"/>
      <c r="AM616" s="1297" t="inlineStr"/>
      <c r="AN616" s="1298" t="n"/>
      <c r="AO616" s="13">
        <f>IF(_epmOfflineCondition_,0,EPMSaveDataOnly(AB616,,AB$29,AB$25,AB$26,AB$31,AB$32,$AA$37,AO$14,AO$15,AO$16,AO$17,AO$18,X616))</f>
        <v/>
      </c>
      <c r="AP616" s="13">
        <f>IF(_epmOfflineCondition_,0,EPMSaveDataOnly(AL616,,AL$29,AL$25,AL$26,AL$31,AL$32,$AA$37,AP$14,AP$15,AP$16,AP$17,AP$18,$X616))</f>
        <v/>
      </c>
      <c r="AQ616" s="13">
        <f>IF(_epmOfflineCondition_,0,EPMSaveData(AM616,,AM$29,AM$25,AM$26,$C$6,AM$32,$AA$37,AQ$14,AQ$15,AQ$16,AQ$17,AQ$18,$X616))</f>
        <v/>
      </c>
      <c r="AR616" s="13">
        <f>IF(_epmOfflineCondition_,0,EPMSaveDataOnly(AN616,,AN$29,AN$25,AN$26,AN$31,AN$32,$AA$37,AR$14,AR$15,AR$16,AR$17,AR$18,$X616))</f>
        <v/>
      </c>
      <c r="AS616" s="384" t="n"/>
    </row>
    <row r="617" hidden="1" ht="15.75" customHeight="1" s="1181">
      <c r="A617" s="384" t="n"/>
      <c r="B617" s="384" t="n"/>
      <c r="C617" s="384" t="n"/>
      <c r="D617" s="384" t="n"/>
      <c r="E617" s="384" t="n"/>
      <c r="F617" s="384" t="n"/>
      <c r="G617" s="384" t="n"/>
      <c r="H617" s="384" t="n"/>
      <c r="I617" s="384" t="n"/>
      <c r="J617" s="384" t="n"/>
      <c r="K617" s="384" t="n"/>
      <c r="L617" s="384" t="n"/>
      <c r="M617" s="384" t="n"/>
      <c r="N617" s="384" t="n"/>
      <c r="O617" s="384" t="n"/>
      <c r="P617" s="384" t="n"/>
      <c r="Q617" s="384" t="n"/>
      <c r="R617" s="384" t="n"/>
      <c r="S617" s="384" t="n"/>
      <c r="T617" s="384" t="n"/>
      <c r="U617" s="384" t="n"/>
      <c r="V617" s="384" t="n"/>
      <c r="W617" s="384" t="n"/>
      <c r="X617" s="645">
        <f>IF(_epmOfflineCondition_,"I_E100921",EPMOlapMemberO("[C_INTERCO].[PARENTH1].[I_E100921]","","I_E100921","","000"))</f>
        <v/>
      </c>
      <c r="Y617" s="870">
        <f>IF(_epmOfflineCondition_,"北京京能绿通新能源有限公司",EPMMemberDesc(X617))</f>
        <v/>
      </c>
      <c r="Z617" s="1302" t="n"/>
      <c r="AA617" s="1302" t="n"/>
      <c r="AB617" s="858" t="n"/>
      <c r="AC617" s="1302" t="n"/>
      <c r="AD617" s="1302" t="n"/>
      <c r="AE617" s="1302" t="inlineStr"/>
      <c r="AF617" s="1302" t="inlineStr"/>
      <c r="AG617" s="1302" t="inlineStr"/>
      <c r="AH617" s="1302" t="n"/>
      <c r="AI617" s="1302" t="n"/>
      <c r="AJ617" s="1302" t="n"/>
      <c r="AK617" s="1302">
        <f>AI617-AJ617</f>
        <v/>
      </c>
      <c r="AL617" s="858" t="n"/>
      <c r="AM617" s="1297" t="inlineStr"/>
      <c r="AN617" s="1298" t="n"/>
      <c r="AO617" s="13">
        <f>IF(_epmOfflineCondition_,0,EPMSaveDataOnly(AB617,,AB$29,AB$25,AB$26,AB$31,AB$32,$AA$37,AO$14,AO$15,AO$16,AO$17,AO$18,X617))</f>
        <v/>
      </c>
      <c r="AP617" s="13">
        <f>IF(_epmOfflineCondition_,0,EPMSaveDataOnly(AL617,,AL$29,AL$25,AL$26,AL$31,AL$32,$AA$37,AP$14,AP$15,AP$16,AP$17,AP$18,$X617))</f>
        <v/>
      </c>
      <c r="AQ617" s="13">
        <f>IF(_epmOfflineCondition_,0,EPMSaveData(AM617,,AM$29,AM$25,AM$26,$C$6,AM$32,$AA$37,AQ$14,AQ$15,AQ$16,AQ$17,AQ$18,$X617))</f>
        <v/>
      </c>
      <c r="AR617" s="13">
        <f>IF(_epmOfflineCondition_,0,EPMSaveDataOnly(AN617,,AN$29,AN$25,AN$26,AN$31,AN$32,$AA$37,AR$14,AR$15,AR$16,AR$17,AR$18,$X617))</f>
        <v/>
      </c>
      <c r="AS617" s="384" t="n"/>
    </row>
    <row r="618" hidden="1" ht="15.75" customHeight="1" s="1181">
      <c r="A618" s="384" t="n"/>
      <c r="B618" s="384" t="n"/>
      <c r="C618" s="384" t="n"/>
      <c r="D618" s="384" t="n"/>
      <c r="E618" s="384" t="n"/>
      <c r="F618" s="384" t="n"/>
      <c r="G618" s="384" t="n"/>
      <c r="H618" s="384" t="n"/>
      <c r="I618" s="384" t="n"/>
      <c r="J618" s="384" t="n"/>
      <c r="K618" s="384" t="n"/>
      <c r="L618" s="384" t="n"/>
      <c r="M618" s="384" t="n"/>
      <c r="N618" s="384" t="n"/>
      <c r="O618" s="384" t="n"/>
      <c r="P618" s="384" t="n"/>
      <c r="Q618" s="384" t="n"/>
      <c r="R618" s="384" t="n"/>
      <c r="S618" s="384" t="n"/>
      <c r="T618" s="384" t="n"/>
      <c r="U618" s="384" t="n"/>
      <c r="V618" s="384" t="n"/>
      <c r="W618" s="384" t="n"/>
      <c r="X618" s="645">
        <f>IF(_epmOfflineCondition_,"I_E100922",EPMOlapMemberO("[C_INTERCO].[PARENTH1].[I_E100922]","","I_E100922","","000"))</f>
        <v/>
      </c>
      <c r="Y618" s="870">
        <f>IF(_epmOfflineCondition_,"京傲（达茂）新能源有限公司",EPMMemberDesc(X618))</f>
        <v/>
      </c>
      <c r="Z618" s="1302" t="n"/>
      <c r="AA618" s="1302" t="n"/>
      <c r="AB618" s="858" t="n"/>
      <c r="AC618" s="1302" t="n"/>
      <c r="AD618" s="1302" t="n"/>
      <c r="AE618" s="1302" t="inlineStr"/>
      <c r="AF618" s="1302" t="inlineStr"/>
      <c r="AG618" s="1302" t="inlineStr"/>
      <c r="AH618" s="1302" t="n"/>
      <c r="AI618" s="1302" t="n"/>
      <c r="AJ618" s="1302" t="n"/>
      <c r="AK618" s="1302">
        <f>AI618-AJ618</f>
        <v/>
      </c>
      <c r="AL618" s="858" t="n"/>
      <c r="AM618" s="1297" t="inlineStr"/>
      <c r="AN618" s="1298" t="n"/>
      <c r="AO618" s="13">
        <f>IF(_epmOfflineCondition_,0,EPMSaveDataOnly(AB618,,AB$29,AB$25,AB$26,AB$31,AB$32,$AA$37,AO$14,AO$15,AO$16,AO$17,AO$18,X618))</f>
        <v/>
      </c>
      <c r="AP618" s="13">
        <f>IF(_epmOfflineCondition_,0,EPMSaveDataOnly(AL618,,AL$29,AL$25,AL$26,AL$31,AL$32,$AA$37,AP$14,AP$15,AP$16,AP$17,AP$18,$X618))</f>
        <v/>
      </c>
      <c r="AQ618" s="13">
        <f>IF(_epmOfflineCondition_,0,EPMSaveData(AM618,,AM$29,AM$25,AM$26,$C$6,AM$32,$AA$37,AQ$14,AQ$15,AQ$16,AQ$17,AQ$18,$X618))</f>
        <v/>
      </c>
      <c r="AR618" s="13">
        <f>IF(_epmOfflineCondition_,0,EPMSaveDataOnly(AN618,,AN$29,AN$25,AN$26,AN$31,AN$32,$AA$37,AR$14,AR$15,AR$16,AR$17,AR$18,$X618))</f>
        <v/>
      </c>
      <c r="AS618" s="384" t="n"/>
    </row>
    <row r="619" hidden="1" ht="15.75" customHeight="1" s="1181">
      <c r="A619" s="384" t="n"/>
      <c r="B619" s="384" t="n"/>
      <c r="C619" s="384" t="n"/>
      <c r="D619" s="384" t="n"/>
      <c r="E619" s="384" t="n"/>
      <c r="F619" s="384" t="n"/>
      <c r="G619" s="384" t="n"/>
      <c r="H619" s="384" t="n"/>
      <c r="I619" s="384" t="n"/>
      <c r="J619" s="384" t="n"/>
      <c r="K619" s="384" t="n"/>
      <c r="L619" s="384" t="n"/>
      <c r="M619" s="384" t="n"/>
      <c r="N619" s="384" t="n"/>
      <c r="O619" s="384" t="n"/>
      <c r="P619" s="384" t="n"/>
      <c r="Q619" s="384" t="n"/>
      <c r="R619" s="384" t="n"/>
      <c r="S619" s="384" t="n"/>
      <c r="T619" s="384" t="n"/>
      <c r="U619" s="384" t="n"/>
      <c r="V619" s="384" t="n"/>
      <c r="W619" s="384" t="n"/>
      <c r="X619" s="645">
        <f>IF(_epmOfflineCondition_,"I_E100923",EPMOlapMemberO("[C_INTERCO].[PARENTH1].[I_E100923]","","I_E100923","","000"))</f>
        <v/>
      </c>
      <c r="Y619" s="870">
        <f>IF(_epmOfflineCondition_,"武汉京能低碳新能源有限公司",EPMMemberDesc(X619))</f>
        <v/>
      </c>
      <c r="Z619" s="1302" t="n"/>
      <c r="AA619" s="1302" t="n"/>
      <c r="AB619" s="858" t="n"/>
      <c r="AC619" s="1302" t="n"/>
      <c r="AD619" s="1302" t="n"/>
      <c r="AE619" s="1302" t="inlineStr"/>
      <c r="AF619" s="1302" t="inlineStr"/>
      <c r="AG619" s="1302" t="inlineStr"/>
      <c r="AH619" s="1302" t="n"/>
      <c r="AI619" s="1302" t="n"/>
      <c r="AJ619" s="1302" t="n"/>
      <c r="AK619" s="1302">
        <f>AI619-AJ619</f>
        <v/>
      </c>
      <c r="AL619" s="858" t="n"/>
      <c r="AM619" s="1297" t="inlineStr"/>
      <c r="AN619" s="1298" t="n"/>
      <c r="AO619" s="13">
        <f>IF(_epmOfflineCondition_,0,EPMSaveDataOnly(AB619,,AB$29,AB$25,AB$26,AB$31,AB$32,$AA$37,AO$14,AO$15,AO$16,AO$17,AO$18,X619))</f>
        <v/>
      </c>
      <c r="AP619" s="13">
        <f>IF(_epmOfflineCondition_,0,EPMSaveDataOnly(AL619,,AL$29,AL$25,AL$26,AL$31,AL$32,$AA$37,AP$14,AP$15,AP$16,AP$17,AP$18,$X619))</f>
        <v/>
      </c>
      <c r="AQ619" s="13">
        <f>IF(_epmOfflineCondition_,0,EPMSaveData(AM619,,AM$29,AM$25,AM$26,$C$6,AM$32,$AA$37,AQ$14,AQ$15,AQ$16,AQ$17,AQ$18,$X619))</f>
        <v/>
      </c>
      <c r="AR619" s="13">
        <f>IF(_epmOfflineCondition_,0,EPMSaveDataOnly(AN619,,AN$29,AN$25,AN$26,AN$31,AN$32,$AA$37,AR$14,AR$15,AR$16,AR$17,AR$18,$X619))</f>
        <v/>
      </c>
      <c r="AS619" s="384" t="n"/>
    </row>
    <row r="620" hidden="1" ht="15.75" customHeight="1" s="1181">
      <c r="A620" s="384" t="n"/>
      <c r="B620" s="384" t="n"/>
      <c r="C620" s="384" t="n"/>
      <c r="D620" s="384" t="n"/>
      <c r="E620" s="384" t="n"/>
      <c r="F620" s="384" t="n"/>
      <c r="G620" s="384" t="n"/>
      <c r="H620" s="384" t="n"/>
      <c r="I620" s="384" t="n"/>
      <c r="J620" s="384" t="n"/>
      <c r="K620" s="384" t="n"/>
      <c r="L620" s="384" t="n"/>
      <c r="M620" s="384" t="n"/>
      <c r="N620" s="384" t="n"/>
      <c r="O620" s="384" t="n"/>
      <c r="P620" s="384" t="n"/>
      <c r="Q620" s="384" t="n"/>
      <c r="R620" s="384" t="n"/>
      <c r="S620" s="384" t="n"/>
      <c r="T620" s="384" t="n"/>
      <c r="U620" s="384" t="n"/>
      <c r="V620" s="384" t="n"/>
      <c r="W620" s="384" t="n"/>
      <c r="X620" s="645">
        <f>IF(_epmOfflineCondition_,"I_E100924",EPMOlapMemberO("[C_INTERCO].[PARENTH1].[I_E100924]","","I_E100924","","000"))</f>
        <v/>
      </c>
      <c r="Y620" s="870">
        <f>IF(_epmOfflineCondition_,"白城市华儒新能源开发有限公司",EPMMemberDesc(X620))</f>
        <v/>
      </c>
      <c r="Z620" s="1302" t="n"/>
      <c r="AA620" s="1302" t="n"/>
      <c r="AB620" s="858" t="n"/>
      <c r="AC620" s="1302" t="n"/>
      <c r="AD620" s="1302" t="n"/>
      <c r="AE620" s="1302" t="inlineStr"/>
      <c r="AF620" s="1302" t="inlineStr"/>
      <c r="AG620" s="1302" t="inlineStr"/>
      <c r="AH620" s="1302" t="n"/>
      <c r="AI620" s="1302" t="n"/>
      <c r="AJ620" s="1302" t="n"/>
      <c r="AK620" s="1302">
        <f>AI620-AJ620</f>
        <v/>
      </c>
      <c r="AL620" s="858" t="n"/>
      <c r="AM620" s="1297" t="inlineStr"/>
      <c r="AN620" s="1298" t="n"/>
      <c r="AO620" s="13">
        <f>IF(_epmOfflineCondition_,0,EPMSaveDataOnly(AB620,,AB$29,AB$25,AB$26,AB$31,AB$32,$AA$37,AO$14,AO$15,AO$16,AO$17,AO$18,X620))</f>
        <v/>
      </c>
      <c r="AP620" s="13">
        <f>IF(_epmOfflineCondition_,0,EPMSaveDataOnly(AL620,,AL$29,AL$25,AL$26,AL$31,AL$32,$AA$37,AP$14,AP$15,AP$16,AP$17,AP$18,$X620))</f>
        <v/>
      </c>
      <c r="AQ620" s="13">
        <f>IF(_epmOfflineCondition_,0,EPMSaveData(AM620,,AM$29,AM$25,AM$26,$C$6,AM$32,$AA$37,AQ$14,AQ$15,AQ$16,AQ$17,AQ$18,$X620))</f>
        <v/>
      </c>
      <c r="AR620" s="13">
        <f>IF(_epmOfflineCondition_,0,EPMSaveDataOnly(AN620,,AN$29,AN$25,AN$26,AN$31,AN$32,$AA$37,AR$14,AR$15,AR$16,AR$17,AR$18,$X620))</f>
        <v/>
      </c>
      <c r="AS620" s="384" t="n"/>
    </row>
    <row r="621" hidden="1" ht="15.75" customHeight="1" s="1181">
      <c r="A621" s="384" t="n"/>
      <c r="B621" s="384" t="n"/>
      <c r="C621" s="384" t="n"/>
      <c r="D621" s="384" t="n"/>
      <c r="E621" s="384" t="n"/>
      <c r="F621" s="384" t="n"/>
      <c r="G621" s="384" t="n"/>
      <c r="H621" s="384" t="n"/>
      <c r="I621" s="384" t="n"/>
      <c r="J621" s="384" t="n"/>
      <c r="K621" s="384" t="n"/>
      <c r="L621" s="384" t="n"/>
      <c r="M621" s="384" t="n"/>
      <c r="N621" s="384" t="n"/>
      <c r="O621" s="384" t="n"/>
      <c r="P621" s="384" t="n"/>
      <c r="Q621" s="384" t="n"/>
      <c r="R621" s="384" t="n"/>
      <c r="S621" s="384" t="n"/>
      <c r="T621" s="384" t="n"/>
      <c r="U621" s="384" t="n"/>
      <c r="V621" s="384" t="n"/>
      <c r="W621" s="384" t="n"/>
      <c r="X621" s="645">
        <f>IF(_epmOfflineCondition_,"I_E100925",EPMOlapMemberO("[C_INTERCO].[PARENTH1].[I_E100925]","","I_E100925","","000"))</f>
        <v/>
      </c>
      <c r="Y621" s="870">
        <f>IF(_epmOfflineCondition_,"平山县天汇能源科技有限公司",EPMMemberDesc(X621))</f>
        <v/>
      </c>
      <c r="Z621" s="1302" t="n"/>
      <c r="AA621" s="1302" t="n"/>
      <c r="AB621" s="858" t="n"/>
      <c r="AC621" s="1302" t="n"/>
      <c r="AD621" s="1302" t="n"/>
      <c r="AE621" s="1302" t="inlineStr"/>
      <c r="AF621" s="1302" t="inlineStr"/>
      <c r="AG621" s="1302" t="inlineStr"/>
      <c r="AH621" s="1302" t="n"/>
      <c r="AI621" s="1302" t="n"/>
      <c r="AJ621" s="1302" t="n"/>
      <c r="AK621" s="1302">
        <f>AI621-AJ621</f>
        <v/>
      </c>
      <c r="AL621" s="858" t="n"/>
      <c r="AM621" s="1297" t="inlineStr"/>
      <c r="AN621" s="1298" t="n"/>
      <c r="AO621" s="13">
        <f>IF(_epmOfflineCondition_,0,EPMSaveDataOnly(AB621,,AB$29,AB$25,AB$26,AB$31,AB$32,$AA$37,AO$14,AO$15,AO$16,AO$17,AO$18,X621))</f>
        <v/>
      </c>
      <c r="AP621" s="13">
        <f>IF(_epmOfflineCondition_,0,EPMSaveDataOnly(AL621,,AL$29,AL$25,AL$26,AL$31,AL$32,$AA$37,AP$14,AP$15,AP$16,AP$17,AP$18,$X621))</f>
        <v/>
      </c>
      <c r="AQ621" s="13">
        <f>IF(_epmOfflineCondition_,0,EPMSaveData(AM621,,AM$29,AM$25,AM$26,$C$6,AM$32,$AA$37,AQ$14,AQ$15,AQ$16,AQ$17,AQ$18,$X621))</f>
        <v/>
      </c>
      <c r="AR621" s="13">
        <f>IF(_epmOfflineCondition_,0,EPMSaveDataOnly(AN621,,AN$29,AN$25,AN$26,AN$31,AN$32,$AA$37,AR$14,AR$15,AR$16,AR$17,AR$18,$X621))</f>
        <v/>
      </c>
      <c r="AS621" s="384" t="n"/>
    </row>
    <row r="622" hidden="1" ht="15.75" customHeight="1" s="1181">
      <c r="A622" s="384" t="n"/>
      <c r="B622" s="384" t="n"/>
      <c r="C622" s="384" t="n"/>
      <c r="D622" s="384" t="n"/>
      <c r="E622" s="384" t="n"/>
      <c r="F622" s="384" t="n"/>
      <c r="G622" s="384" t="n"/>
      <c r="H622" s="384" t="n"/>
      <c r="I622" s="384" t="n"/>
      <c r="J622" s="384" t="n"/>
      <c r="K622" s="384" t="n"/>
      <c r="L622" s="384" t="n"/>
      <c r="M622" s="384" t="n"/>
      <c r="N622" s="384" t="n"/>
      <c r="O622" s="384" t="n"/>
      <c r="P622" s="384" t="n"/>
      <c r="Q622" s="384" t="n"/>
      <c r="R622" s="384" t="n"/>
      <c r="S622" s="384" t="n"/>
      <c r="T622" s="384" t="n"/>
      <c r="U622" s="384" t="n"/>
      <c r="V622" s="384" t="n"/>
      <c r="W622" s="384" t="n"/>
      <c r="X622" s="645">
        <f>IF(_epmOfflineCondition_,"I_E100926",EPMOlapMemberO("[C_INTERCO].[PARENTH1].[I_E100926]","","I_E100926","","000"))</f>
        <v/>
      </c>
      <c r="Y622" s="870">
        <f>IF(_epmOfflineCondition_,"浙江阿波溪仑光伏科技有限公司",EPMMemberDesc(X622))</f>
        <v/>
      </c>
      <c r="Z622" s="1302" t="n"/>
      <c r="AA622" s="1302" t="n"/>
      <c r="AB622" s="858" t="n"/>
      <c r="AC622" s="1302" t="n"/>
      <c r="AD622" s="1302" t="n"/>
      <c r="AE622" s="1302" t="inlineStr"/>
      <c r="AF622" s="1302" t="inlineStr"/>
      <c r="AG622" s="1302" t="inlineStr"/>
      <c r="AH622" s="1302" t="n"/>
      <c r="AI622" s="1302" t="n"/>
      <c r="AJ622" s="1302" t="n"/>
      <c r="AK622" s="1302">
        <f>AI622-AJ622</f>
        <v/>
      </c>
      <c r="AL622" s="858" t="n"/>
      <c r="AM622" s="1297" t="inlineStr"/>
      <c r="AN622" s="1298" t="n"/>
      <c r="AO622" s="13">
        <f>IF(_epmOfflineCondition_,0,EPMSaveDataOnly(AB622,,AB$29,AB$25,AB$26,AB$31,AB$32,$AA$37,AO$14,AO$15,AO$16,AO$17,AO$18,X622))</f>
        <v/>
      </c>
      <c r="AP622" s="13">
        <f>IF(_epmOfflineCondition_,0,EPMSaveDataOnly(AL622,,AL$29,AL$25,AL$26,AL$31,AL$32,$AA$37,AP$14,AP$15,AP$16,AP$17,AP$18,$X622))</f>
        <v/>
      </c>
      <c r="AQ622" s="13">
        <f>IF(_epmOfflineCondition_,0,EPMSaveData(AM622,,AM$29,AM$25,AM$26,$C$6,AM$32,$AA$37,AQ$14,AQ$15,AQ$16,AQ$17,AQ$18,$X622))</f>
        <v/>
      </c>
      <c r="AR622" s="13">
        <f>IF(_epmOfflineCondition_,0,EPMSaveDataOnly(AN622,,AN$29,AN$25,AN$26,AN$31,AN$32,$AA$37,AR$14,AR$15,AR$16,AR$17,AR$18,$X622))</f>
        <v/>
      </c>
      <c r="AS622" s="384" t="n"/>
    </row>
    <row r="623" hidden="1" ht="15.75" customHeight="1" s="1181">
      <c r="A623" s="384" t="n"/>
      <c r="B623" s="384" t="n"/>
      <c r="C623" s="384" t="n"/>
      <c r="D623" s="384" t="n"/>
      <c r="E623" s="384" t="n"/>
      <c r="F623" s="384" t="n"/>
      <c r="G623" s="384" t="n"/>
      <c r="H623" s="384" t="n"/>
      <c r="I623" s="384" t="n"/>
      <c r="J623" s="384" t="n"/>
      <c r="K623" s="384" t="n"/>
      <c r="L623" s="384" t="n"/>
      <c r="M623" s="384" t="n"/>
      <c r="N623" s="384" t="n"/>
      <c r="O623" s="384" t="n"/>
      <c r="P623" s="384" t="n"/>
      <c r="Q623" s="384" t="n"/>
      <c r="R623" s="384" t="n"/>
      <c r="S623" s="384" t="n"/>
      <c r="T623" s="384" t="n"/>
      <c r="U623" s="384" t="n"/>
      <c r="V623" s="384" t="n"/>
      <c r="W623" s="384" t="n"/>
      <c r="X623" s="645">
        <f>IF(_epmOfflineCondition_,"I_E100927",EPMOlapMemberO("[C_INTERCO].[PARENTH1].[I_E100927]","","I_E100927","","000"))</f>
        <v/>
      </c>
      <c r="Y623" s="870">
        <f>IF(_epmOfflineCondition_,"偏关县斯能风电有限公司",EPMMemberDesc(X623))</f>
        <v/>
      </c>
      <c r="Z623" s="1302" t="n"/>
      <c r="AA623" s="1302" t="n"/>
      <c r="AB623" s="858" t="n"/>
      <c r="AC623" s="1302" t="n"/>
      <c r="AD623" s="1302" t="n"/>
      <c r="AE623" s="1302" t="inlineStr"/>
      <c r="AF623" s="1302" t="inlineStr"/>
      <c r="AG623" s="1302" t="inlineStr"/>
      <c r="AH623" s="1302" t="n"/>
      <c r="AI623" s="1302" t="n"/>
      <c r="AJ623" s="1302" t="n"/>
      <c r="AK623" s="1302">
        <f>AI623-AJ623</f>
        <v/>
      </c>
      <c r="AL623" s="858" t="n"/>
      <c r="AM623" s="1297" t="inlineStr"/>
      <c r="AN623" s="1298" t="n"/>
      <c r="AO623" s="13">
        <f>IF(_epmOfflineCondition_,0,EPMSaveDataOnly(AB623,,AB$29,AB$25,AB$26,AB$31,AB$32,$AA$37,AO$14,AO$15,AO$16,AO$17,AO$18,X623))</f>
        <v/>
      </c>
      <c r="AP623" s="13">
        <f>IF(_epmOfflineCondition_,0,EPMSaveDataOnly(AL623,,AL$29,AL$25,AL$26,AL$31,AL$32,$AA$37,AP$14,AP$15,AP$16,AP$17,AP$18,$X623))</f>
        <v/>
      </c>
      <c r="AQ623" s="13">
        <f>IF(_epmOfflineCondition_,0,EPMSaveData(AM623,,AM$29,AM$25,AM$26,$C$6,AM$32,$AA$37,AQ$14,AQ$15,AQ$16,AQ$17,AQ$18,$X623))</f>
        <v/>
      </c>
      <c r="AR623" s="13">
        <f>IF(_epmOfflineCondition_,0,EPMSaveDataOnly(AN623,,AN$29,AN$25,AN$26,AN$31,AN$32,$AA$37,AR$14,AR$15,AR$16,AR$17,AR$18,$X623))</f>
        <v/>
      </c>
      <c r="AS623" s="384" t="n"/>
    </row>
    <row r="624" hidden="1" ht="15.75" customHeight="1" s="1181">
      <c r="A624" s="384" t="n"/>
      <c r="B624" s="384" t="n"/>
      <c r="C624" s="384" t="n"/>
      <c r="D624" s="384" t="n"/>
      <c r="E624" s="384" t="n"/>
      <c r="F624" s="384" t="n"/>
      <c r="G624" s="384" t="n"/>
      <c r="H624" s="384" t="n"/>
      <c r="I624" s="384" t="n"/>
      <c r="J624" s="384" t="n"/>
      <c r="K624" s="384" t="n"/>
      <c r="L624" s="384" t="n"/>
      <c r="M624" s="384" t="n"/>
      <c r="N624" s="384" t="n"/>
      <c r="O624" s="384" t="n"/>
      <c r="P624" s="384" t="n"/>
      <c r="Q624" s="384" t="n"/>
      <c r="R624" s="384" t="n"/>
      <c r="S624" s="384" t="n"/>
      <c r="T624" s="384" t="n"/>
      <c r="U624" s="384" t="n"/>
      <c r="V624" s="384" t="n"/>
      <c r="W624" s="384" t="n"/>
      <c r="X624" s="645">
        <f>IF(_epmOfflineCondition_,"I_E100928",EPMOlapMemberO("[C_INTERCO].[PARENTH1].[I_E100928]","","I_E100928","","000"))</f>
        <v/>
      </c>
      <c r="Y624" s="870">
        <f>IF(_epmOfflineCondition_,"南宫市国隆新能源科技有限公司",EPMMemberDesc(X624))</f>
        <v/>
      </c>
      <c r="Z624" s="1302" t="n"/>
      <c r="AA624" s="1302" t="n"/>
      <c r="AB624" s="858" t="n"/>
      <c r="AC624" s="1302" t="n"/>
      <c r="AD624" s="1302" t="n"/>
      <c r="AE624" s="1302" t="inlineStr"/>
      <c r="AF624" s="1302" t="inlineStr"/>
      <c r="AG624" s="1302" t="inlineStr"/>
      <c r="AH624" s="1302" t="n"/>
      <c r="AI624" s="1302" t="n"/>
      <c r="AJ624" s="1302" t="n"/>
      <c r="AK624" s="1302">
        <f>AI624-AJ624</f>
        <v/>
      </c>
      <c r="AL624" s="858" t="n"/>
      <c r="AM624" s="1297" t="inlineStr"/>
      <c r="AN624" s="1298" t="n"/>
      <c r="AO624" s="13">
        <f>IF(_epmOfflineCondition_,0,EPMSaveDataOnly(AB624,,AB$29,AB$25,AB$26,AB$31,AB$32,$AA$37,AO$14,AO$15,AO$16,AO$17,AO$18,X624))</f>
        <v/>
      </c>
      <c r="AP624" s="13">
        <f>IF(_epmOfflineCondition_,0,EPMSaveDataOnly(AL624,,AL$29,AL$25,AL$26,AL$31,AL$32,$AA$37,AP$14,AP$15,AP$16,AP$17,AP$18,$X624))</f>
        <v/>
      </c>
      <c r="AQ624" s="13">
        <f>IF(_epmOfflineCondition_,0,EPMSaveData(AM624,,AM$29,AM$25,AM$26,$C$6,AM$32,$AA$37,AQ$14,AQ$15,AQ$16,AQ$17,AQ$18,$X624))</f>
        <v/>
      </c>
      <c r="AR624" s="13">
        <f>IF(_epmOfflineCondition_,0,EPMSaveDataOnly(AN624,,AN$29,AN$25,AN$26,AN$31,AN$32,$AA$37,AR$14,AR$15,AR$16,AR$17,AR$18,$X624))</f>
        <v/>
      </c>
      <c r="AS624" s="384" t="n"/>
    </row>
    <row r="625" hidden="1" ht="15.75" customHeight="1" s="1181">
      <c r="A625" s="384" t="n"/>
      <c r="B625" s="384" t="n"/>
      <c r="C625" s="384" t="n"/>
      <c r="D625" s="384" t="n"/>
      <c r="E625" s="384" t="n"/>
      <c r="F625" s="384" t="n"/>
      <c r="G625" s="384" t="n"/>
      <c r="H625" s="384" t="n"/>
      <c r="I625" s="384" t="n"/>
      <c r="J625" s="384" t="n"/>
      <c r="K625" s="384" t="n"/>
      <c r="L625" s="384" t="n"/>
      <c r="M625" s="384" t="n"/>
      <c r="N625" s="384" t="n"/>
      <c r="O625" s="384" t="n"/>
      <c r="P625" s="384" t="n"/>
      <c r="Q625" s="384" t="n"/>
      <c r="R625" s="384" t="n"/>
      <c r="S625" s="384" t="n"/>
      <c r="T625" s="384" t="n"/>
      <c r="U625" s="384" t="n"/>
      <c r="V625" s="384" t="n"/>
      <c r="W625" s="384" t="n"/>
      <c r="X625" s="645">
        <f>IF(_epmOfflineCondition_,"I_E100929",EPMOlapMemberO("[C_INTERCO].[PARENTH1].[I_E100929]","","I_E100929","","000"))</f>
        <v/>
      </c>
      <c r="Y625" s="870">
        <f>IF(_epmOfflineCondition_,"和顺县斯能风电有限公司",EPMMemberDesc(X625))</f>
        <v/>
      </c>
      <c r="Z625" s="1302" t="n"/>
      <c r="AA625" s="1302" t="n"/>
      <c r="AB625" s="858" t="n"/>
      <c r="AC625" s="1302" t="n"/>
      <c r="AD625" s="1302" t="n"/>
      <c r="AE625" s="1302" t="inlineStr"/>
      <c r="AF625" s="1302" t="inlineStr"/>
      <c r="AG625" s="1302" t="inlineStr"/>
      <c r="AH625" s="1302" t="n"/>
      <c r="AI625" s="1302" t="n"/>
      <c r="AJ625" s="1302" t="n"/>
      <c r="AK625" s="1302">
        <f>AI625-AJ625</f>
        <v/>
      </c>
      <c r="AL625" s="858" t="n"/>
      <c r="AM625" s="1297" t="inlineStr"/>
      <c r="AN625" s="1298" t="n"/>
      <c r="AO625" s="13">
        <f>IF(_epmOfflineCondition_,0,EPMSaveDataOnly(AB625,,AB$29,AB$25,AB$26,AB$31,AB$32,$AA$37,AO$14,AO$15,AO$16,AO$17,AO$18,X625))</f>
        <v/>
      </c>
      <c r="AP625" s="13">
        <f>IF(_epmOfflineCondition_,0,EPMSaveDataOnly(AL625,,AL$29,AL$25,AL$26,AL$31,AL$32,$AA$37,AP$14,AP$15,AP$16,AP$17,AP$18,$X625))</f>
        <v/>
      </c>
      <c r="AQ625" s="13">
        <f>IF(_epmOfflineCondition_,0,EPMSaveData(AM625,,AM$29,AM$25,AM$26,$C$6,AM$32,$AA$37,AQ$14,AQ$15,AQ$16,AQ$17,AQ$18,$X625))</f>
        <v/>
      </c>
      <c r="AR625" s="13">
        <f>IF(_epmOfflineCondition_,0,EPMSaveDataOnly(AN625,,AN$29,AN$25,AN$26,AN$31,AN$32,$AA$37,AR$14,AR$15,AR$16,AR$17,AR$18,$X625))</f>
        <v/>
      </c>
      <c r="AS625" s="384" t="n"/>
    </row>
    <row r="626" hidden="1" ht="15.75" customHeight="1" s="1181">
      <c r="A626" s="384" t="n"/>
      <c r="B626" s="384" t="n"/>
      <c r="C626" s="384" t="n"/>
      <c r="D626" s="384" t="n"/>
      <c r="E626" s="384" t="n"/>
      <c r="F626" s="384" t="n"/>
      <c r="G626" s="384" t="n"/>
      <c r="H626" s="384" t="n"/>
      <c r="I626" s="384" t="n"/>
      <c r="J626" s="384" t="n"/>
      <c r="K626" s="384" t="n"/>
      <c r="L626" s="384" t="n"/>
      <c r="M626" s="384" t="n"/>
      <c r="N626" s="384" t="n"/>
      <c r="O626" s="384" t="n"/>
      <c r="P626" s="384" t="n"/>
      <c r="Q626" s="384" t="n"/>
      <c r="R626" s="384" t="n"/>
      <c r="S626" s="384" t="n"/>
      <c r="T626" s="384" t="n"/>
      <c r="U626" s="384" t="n"/>
      <c r="V626" s="384" t="n"/>
      <c r="W626" s="384" t="n"/>
      <c r="X626" s="645">
        <f>IF(_epmOfflineCondition_,"I_E100930",EPMOlapMemberO("[C_INTERCO].[PARENTH1].[I_E100930]","","I_E100930","","000"))</f>
        <v/>
      </c>
      <c r="Y626" s="870">
        <f>IF(_epmOfflineCondition_,"浑源斯能新能源有限公司",EPMMemberDesc(X626))</f>
        <v/>
      </c>
      <c r="Z626" s="1302" t="n"/>
      <c r="AA626" s="1302" t="n"/>
      <c r="AB626" s="858" t="n"/>
      <c r="AC626" s="1302" t="n"/>
      <c r="AD626" s="1302" t="n"/>
      <c r="AE626" s="1302" t="inlineStr"/>
      <c r="AF626" s="1302" t="inlineStr"/>
      <c r="AG626" s="1302" t="inlineStr"/>
      <c r="AH626" s="1302" t="n"/>
      <c r="AI626" s="1302" t="n"/>
      <c r="AJ626" s="1302" t="n"/>
      <c r="AK626" s="1302">
        <f>AI626-AJ626</f>
        <v/>
      </c>
      <c r="AL626" s="858" t="n"/>
      <c r="AM626" s="1297" t="inlineStr"/>
      <c r="AN626" s="1298" t="n"/>
      <c r="AO626" s="13">
        <f>IF(_epmOfflineCondition_,0,EPMSaveDataOnly(AB626,,AB$29,AB$25,AB$26,AB$31,AB$32,$AA$37,AO$14,AO$15,AO$16,AO$17,AO$18,X626))</f>
        <v/>
      </c>
      <c r="AP626" s="13">
        <f>IF(_epmOfflineCondition_,0,EPMSaveDataOnly(AL626,,AL$29,AL$25,AL$26,AL$31,AL$32,$AA$37,AP$14,AP$15,AP$16,AP$17,AP$18,$X626))</f>
        <v/>
      </c>
      <c r="AQ626" s="13">
        <f>IF(_epmOfflineCondition_,0,EPMSaveData(AM626,,AM$29,AM$25,AM$26,$C$6,AM$32,$AA$37,AQ$14,AQ$15,AQ$16,AQ$17,AQ$18,$X626))</f>
        <v/>
      </c>
      <c r="AR626" s="13">
        <f>IF(_epmOfflineCondition_,0,EPMSaveDataOnly(AN626,,AN$29,AN$25,AN$26,AN$31,AN$32,$AA$37,AR$14,AR$15,AR$16,AR$17,AR$18,$X626))</f>
        <v/>
      </c>
      <c r="AS626" s="384" t="n"/>
    </row>
    <row r="627" hidden="1" ht="15.75" customHeight="1" s="1181">
      <c r="A627" s="384" t="n"/>
      <c r="B627" s="384" t="n"/>
      <c r="C627" s="384" t="n"/>
      <c r="D627" s="384" t="n"/>
      <c r="E627" s="384" t="n"/>
      <c r="F627" s="384" t="n"/>
      <c r="G627" s="384" t="n"/>
      <c r="H627" s="384" t="n"/>
      <c r="I627" s="384" t="n"/>
      <c r="J627" s="384" t="n"/>
      <c r="K627" s="384" t="n"/>
      <c r="L627" s="384" t="n"/>
      <c r="M627" s="384" t="n"/>
      <c r="N627" s="384" t="n"/>
      <c r="O627" s="384" t="n"/>
      <c r="P627" s="384" t="n"/>
      <c r="Q627" s="384" t="n"/>
      <c r="R627" s="384" t="n"/>
      <c r="S627" s="384" t="n"/>
      <c r="T627" s="384" t="n"/>
      <c r="U627" s="384" t="n"/>
      <c r="V627" s="384" t="n"/>
      <c r="W627" s="384" t="n"/>
      <c r="X627" s="645">
        <f>IF(_epmOfflineCondition_,"I_E100931",EPMOlapMemberO("[C_INTERCO].[PARENTH1].[I_E100931]","","I_E100931","","000"))</f>
        <v/>
      </c>
      <c r="Y627" s="870">
        <f>IF(_epmOfflineCondition_,"南宫市国瑞新能源科技有限公司",EPMMemberDesc(X627))</f>
        <v/>
      </c>
      <c r="Z627" s="1302" t="n"/>
      <c r="AA627" s="1302" t="n"/>
      <c r="AB627" s="858" t="n"/>
      <c r="AC627" s="1302" t="n"/>
      <c r="AD627" s="1302" t="n"/>
      <c r="AE627" s="1302" t="inlineStr"/>
      <c r="AF627" s="1302" t="inlineStr"/>
      <c r="AG627" s="1302" t="inlineStr"/>
      <c r="AH627" s="1302" t="n"/>
      <c r="AI627" s="1302" t="n"/>
      <c r="AJ627" s="1302" t="n"/>
      <c r="AK627" s="1302">
        <f>AI627-AJ627</f>
        <v/>
      </c>
      <c r="AL627" s="858" t="n"/>
      <c r="AM627" s="1297" t="inlineStr"/>
      <c r="AN627" s="1298" t="n"/>
      <c r="AO627" s="13">
        <f>IF(_epmOfflineCondition_,0,EPMSaveDataOnly(AB627,,AB$29,AB$25,AB$26,AB$31,AB$32,$AA$37,AO$14,AO$15,AO$16,AO$17,AO$18,X627))</f>
        <v/>
      </c>
      <c r="AP627" s="13">
        <f>IF(_epmOfflineCondition_,0,EPMSaveDataOnly(AL627,,AL$29,AL$25,AL$26,AL$31,AL$32,$AA$37,AP$14,AP$15,AP$16,AP$17,AP$18,$X627))</f>
        <v/>
      </c>
      <c r="AQ627" s="13">
        <f>IF(_epmOfflineCondition_,0,EPMSaveData(AM627,,AM$29,AM$25,AM$26,$C$6,AM$32,$AA$37,AQ$14,AQ$15,AQ$16,AQ$17,AQ$18,$X627))</f>
        <v/>
      </c>
      <c r="AR627" s="13">
        <f>IF(_epmOfflineCondition_,0,EPMSaveDataOnly(AN627,,AN$29,AN$25,AN$26,AN$31,AN$32,$AA$37,AR$14,AR$15,AR$16,AR$17,AR$18,$X627))</f>
        <v/>
      </c>
      <c r="AS627" s="384" t="n"/>
    </row>
    <row r="628" hidden="1" ht="15.75" customHeight="1" s="1181">
      <c r="A628" s="384" t="n"/>
      <c r="B628" s="384" t="n"/>
      <c r="C628" s="384" t="n"/>
      <c r="D628" s="384" t="n"/>
      <c r="E628" s="384" t="n"/>
      <c r="F628" s="384" t="n"/>
      <c r="G628" s="384" t="n"/>
      <c r="H628" s="384" t="n"/>
      <c r="I628" s="384" t="n"/>
      <c r="J628" s="384" t="n"/>
      <c r="K628" s="384" t="n"/>
      <c r="L628" s="384" t="n"/>
      <c r="M628" s="384" t="n"/>
      <c r="N628" s="384" t="n"/>
      <c r="O628" s="384" t="n"/>
      <c r="P628" s="384" t="n"/>
      <c r="Q628" s="384" t="n"/>
      <c r="R628" s="384" t="n"/>
      <c r="S628" s="384" t="n"/>
      <c r="T628" s="384" t="n"/>
      <c r="U628" s="384" t="n"/>
      <c r="V628" s="384" t="n"/>
      <c r="W628" s="384" t="n"/>
      <c r="X628" s="645">
        <f>IF(_epmOfflineCondition_,"I_E100932",EPMOlapMemberO("[C_INTERCO].[PARENTH1].[I_E100932]","","I_E100932","","000"))</f>
        <v/>
      </c>
      <c r="Y628" s="870">
        <f>IF(_epmOfflineCondition_,"青海思迅新能源有限公司",EPMMemberDesc(X628))</f>
        <v/>
      </c>
      <c r="Z628" s="1302" t="n"/>
      <c r="AA628" s="1302" t="n"/>
      <c r="AB628" s="858" t="n"/>
      <c r="AC628" s="1302" t="n"/>
      <c r="AD628" s="1302" t="n"/>
      <c r="AE628" s="1302" t="inlineStr"/>
      <c r="AF628" s="1302" t="inlineStr"/>
      <c r="AG628" s="1302" t="inlineStr"/>
      <c r="AH628" s="1302" t="n"/>
      <c r="AI628" s="1302" t="n"/>
      <c r="AJ628" s="1302" t="n"/>
      <c r="AK628" s="1302">
        <f>AI628-AJ628</f>
        <v/>
      </c>
      <c r="AL628" s="858" t="n"/>
      <c r="AM628" s="1297" t="inlineStr"/>
      <c r="AN628" s="1298" t="n"/>
      <c r="AO628" s="13">
        <f>IF(_epmOfflineCondition_,0,EPMSaveDataOnly(AB628,,AB$29,AB$25,AB$26,AB$31,AB$32,$AA$37,AO$14,AO$15,AO$16,AO$17,AO$18,X628))</f>
        <v/>
      </c>
      <c r="AP628" s="13">
        <f>IF(_epmOfflineCondition_,0,EPMSaveDataOnly(AL628,,AL$29,AL$25,AL$26,AL$31,AL$32,$AA$37,AP$14,AP$15,AP$16,AP$17,AP$18,$X628))</f>
        <v/>
      </c>
      <c r="AQ628" s="13">
        <f>IF(_epmOfflineCondition_,0,EPMSaveData(AM628,,AM$29,AM$25,AM$26,$C$6,AM$32,$AA$37,AQ$14,AQ$15,AQ$16,AQ$17,AQ$18,$X628))</f>
        <v/>
      </c>
      <c r="AR628" s="13">
        <f>IF(_epmOfflineCondition_,0,EPMSaveDataOnly(AN628,,AN$29,AN$25,AN$26,AN$31,AN$32,$AA$37,AR$14,AR$15,AR$16,AR$17,AR$18,$X628))</f>
        <v/>
      </c>
      <c r="AS628" s="384" t="n"/>
    </row>
    <row r="629" hidden="1" ht="15.75" customHeight="1" s="1181">
      <c r="A629" s="384" t="n"/>
      <c r="B629" s="384" t="n"/>
      <c r="C629" s="384" t="n"/>
      <c r="D629" s="384" t="n"/>
      <c r="E629" s="384" t="n"/>
      <c r="F629" s="384" t="n"/>
      <c r="G629" s="384" t="n"/>
      <c r="H629" s="384" t="n"/>
      <c r="I629" s="384" t="n"/>
      <c r="J629" s="384" t="n"/>
      <c r="K629" s="384" t="n"/>
      <c r="L629" s="384" t="n"/>
      <c r="M629" s="384" t="n"/>
      <c r="N629" s="384" t="n"/>
      <c r="O629" s="384" t="n"/>
      <c r="P629" s="384" t="n"/>
      <c r="Q629" s="384" t="n"/>
      <c r="R629" s="384" t="n"/>
      <c r="S629" s="384" t="n"/>
      <c r="T629" s="384" t="n"/>
      <c r="U629" s="384" t="n"/>
      <c r="V629" s="384" t="n"/>
      <c r="W629" s="384" t="n"/>
      <c r="X629" s="645">
        <f>IF(_epmOfflineCondition_,"I_E100933",EPMOlapMemberO("[C_INTERCO].[PARENTH1].[I_E100933]","","I_E100933","","000"))</f>
        <v/>
      </c>
      <c r="Y629" s="870">
        <f>IF(_epmOfflineCondition_,"京莘（上海）新能源有限公司",EPMMemberDesc(X629))</f>
        <v/>
      </c>
      <c r="Z629" s="1302" t="n"/>
      <c r="AA629" s="1302" t="n"/>
      <c r="AB629" s="858" t="n"/>
      <c r="AC629" s="1302" t="n"/>
      <c r="AD629" s="1302" t="n"/>
      <c r="AE629" s="1302" t="inlineStr"/>
      <c r="AF629" s="1302" t="inlineStr"/>
      <c r="AG629" s="1302" t="inlineStr"/>
      <c r="AH629" s="1302" t="n"/>
      <c r="AI629" s="1302" t="n"/>
      <c r="AJ629" s="1302" t="n"/>
      <c r="AK629" s="1302">
        <f>AI629-AJ629</f>
        <v/>
      </c>
      <c r="AL629" s="858" t="n"/>
      <c r="AM629" s="1297" t="inlineStr"/>
      <c r="AN629" s="1298" t="n"/>
      <c r="AO629" s="13">
        <f>IF(_epmOfflineCondition_,0,EPMSaveDataOnly(AB629,,AB$29,AB$25,AB$26,AB$31,AB$32,$AA$37,AO$14,AO$15,AO$16,AO$17,AO$18,X629))</f>
        <v/>
      </c>
      <c r="AP629" s="13">
        <f>IF(_epmOfflineCondition_,0,EPMSaveDataOnly(AL629,,AL$29,AL$25,AL$26,AL$31,AL$32,$AA$37,AP$14,AP$15,AP$16,AP$17,AP$18,$X629))</f>
        <v/>
      </c>
      <c r="AQ629" s="13">
        <f>IF(_epmOfflineCondition_,0,EPMSaveData(AM629,,AM$29,AM$25,AM$26,$C$6,AM$32,$AA$37,AQ$14,AQ$15,AQ$16,AQ$17,AQ$18,$X629))</f>
        <v/>
      </c>
      <c r="AR629" s="13">
        <f>IF(_epmOfflineCondition_,0,EPMSaveDataOnly(AN629,,AN$29,AN$25,AN$26,AN$31,AN$32,$AA$37,AR$14,AR$15,AR$16,AR$17,AR$18,$X629))</f>
        <v/>
      </c>
      <c r="AS629" s="384" t="n"/>
    </row>
    <row r="630" hidden="1" ht="15.75" customHeight="1" s="1181">
      <c r="A630" s="384" t="n"/>
      <c r="B630" s="384" t="n"/>
      <c r="C630" s="384" t="n"/>
      <c r="D630" s="384" t="n"/>
      <c r="E630" s="384" t="n"/>
      <c r="F630" s="384" t="n"/>
      <c r="G630" s="384" t="n"/>
      <c r="H630" s="384" t="n"/>
      <c r="I630" s="384" t="n"/>
      <c r="J630" s="384" t="n"/>
      <c r="K630" s="384" t="n"/>
      <c r="L630" s="384" t="n"/>
      <c r="M630" s="384" t="n"/>
      <c r="N630" s="384" t="n"/>
      <c r="O630" s="384" t="n"/>
      <c r="P630" s="384" t="n"/>
      <c r="Q630" s="384" t="n"/>
      <c r="R630" s="384" t="n"/>
      <c r="S630" s="384" t="n"/>
      <c r="T630" s="384" t="n"/>
      <c r="U630" s="384" t="n"/>
      <c r="V630" s="384" t="n"/>
      <c r="W630" s="384" t="n"/>
      <c r="X630" s="645">
        <f>IF(_epmOfflineCondition_,"I_E100934",EPMOlapMemberO("[C_INTERCO].[PARENTH1].[I_E100934]","","I_E100934","","000"))</f>
        <v/>
      </c>
      <c r="Y630" s="870">
        <f>IF(_epmOfflineCondition_,"京伏（唐县）新能源开发有限公司",EPMMemberDesc(X630))</f>
        <v/>
      </c>
      <c r="Z630" s="1302" t="n"/>
      <c r="AA630" s="1302" t="n"/>
      <c r="AB630" s="858" t="n"/>
      <c r="AC630" s="1302" t="n"/>
      <c r="AD630" s="1302" t="n"/>
      <c r="AE630" s="1302" t="inlineStr"/>
      <c r="AF630" s="1302" t="inlineStr"/>
      <c r="AG630" s="1302" t="inlineStr"/>
      <c r="AH630" s="1302" t="n"/>
      <c r="AI630" s="1302" t="n"/>
      <c r="AJ630" s="1302" t="n"/>
      <c r="AK630" s="1302">
        <f>AI630-AJ630</f>
        <v/>
      </c>
      <c r="AL630" s="858" t="n"/>
      <c r="AM630" s="1297" t="inlineStr"/>
      <c r="AN630" s="1298" t="n"/>
      <c r="AO630" s="13">
        <f>IF(_epmOfflineCondition_,0,EPMSaveDataOnly(AB630,,AB$29,AB$25,AB$26,AB$31,AB$32,$AA$37,AO$14,AO$15,AO$16,AO$17,AO$18,X630))</f>
        <v/>
      </c>
      <c r="AP630" s="13">
        <f>IF(_epmOfflineCondition_,0,EPMSaveDataOnly(AL630,,AL$29,AL$25,AL$26,AL$31,AL$32,$AA$37,AP$14,AP$15,AP$16,AP$17,AP$18,$X630))</f>
        <v/>
      </c>
      <c r="AQ630" s="13">
        <f>IF(_epmOfflineCondition_,0,EPMSaveData(AM630,,AM$29,AM$25,AM$26,$C$6,AM$32,$AA$37,AQ$14,AQ$15,AQ$16,AQ$17,AQ$18,$X630))</f>
        <v/>
      </c>
      <c r="AR630" s="13">
        <f>IF(_epmOfflineCondition_,0,EPMSaveDataOnly(AN630,,AN$29,AN$25,AN$26,AN$31,AN$32,$AA$37,AR$14,AR$15,AR$16,AR$17,AR$18,$X630))</f>
        <v/>
      </c>
      <c r="AS630" s="384" t="n"/>
    </row>
    <row r="631" hidden="1" ht="15.75" customHeight="1" s="1181">
      <c r="A631" s="384" t="n"/>
      <c r="B631" s="384" t="n"/>
      <c r="C631" s="384" t="n"/>
      <c r="D631" s="384" t="n"/>
      <c r="E631" s="384" t="n"/>
      <c r="F631" s="384" t="n"/>
      <c r="G631" s="384" t="n"/>
      <c r="H631" s="384" t="n"/>
      <c r="I631" s="384" t="n"/>
      <c r="J631" s="384" t="n"/>
      <c r="K631" s="384" t="n"/>
      <c r="L631" s="384" t="n"/>
      <c r="M631" s="384" t="n"/>
      <c r="N631" s="384" t="n"/>
      <c r="O631" s="384" t="n"/>
      <c r="P631" s="384" t="n"/>
      <c r="Q631" s="384" t="n"/>
      <c r="R631" s="384" t="n"/>
      <c r="S631" s="384" t="n"/>
      <c r="T631" s="384" t="n"/>
      <c r="U631" s="384" t="n"/>
      <c r="V631" s="384" t="n"/>
      <c r="W631" s="384" t="n"/>
      <c r="X631" s="645">
        <f>IF(_epmOfflineCondition_,"I_E100935",EPMOlapMemberO("[C_INTERCO].[PARENTH1].[I_E100935]","","I_E100935","","000"))</f>
        <v/>
      </c>
      <c r="Y631" s="870">
        <f>IF(_epmOfflineCondition_,"诸城维奥新能源有限公司",EPMMemberDesc(X631))</f>
        <v/>
      </c>
      <c r="Z631" s="1302" t="n"/>
      <c r="AA631" s="1302" t="n"/>
      <c r="AB631" s="858" t="n"/>
      <c r="AC631" s="1302" t="n"/>
      <c r="AD631" s="1302" t="n"/>
      <c r="AE631" s="1302" t="inlineStr"/>
      <c r="AF631" s="1302" t="inlineStr"/>
      <c r="AG631" s="1302" t="inlineStr"/>
      <c r="AH631" s="1302" t="n"/>
      <c r="AI631" s="1302" t="n"/>
      <c r="AJ631" s="1302" t="n"/>
      <c r="AK631" s="1302">
        <f>AI631-AJ631</f>
        <v/>
      </c>
      <c r="AL631" s="858" t="n"/>
      <c r="AM631" s="1297" t="inlineStr"/>
      <c r="AN631" s="1298" t="n"/>
      <c r="AO631" s="13">
        <f>IF(_epmOfflineCondition_,0,EPMSaveDataOnly(AB631,,AB$29,AB$25,AB$26,AB$31,AB$32,$AA$37,AO$14,AO$15,AO$16,AO$17,AO$18,X631))</f>
        <v/>
      </c>
      <c r="AP631" s="13">
        <f>IF(_epmOfflineCondition_,0,EPMSaveDataOnly(AL631,,AL$29,AL$25,AL$26,AL$31,AL$32,$AA$37,AP$14,AP$15,AP$16,AP$17,AP$18,$X631))</f>
        <v/>
      </c>
      <c r="AQ631" s="13">
        <f>IF(_epmOfflineCondition_,0,EPMSaveData(AM631,,AM$29,AM$25,AM$26,$C$6,AM$32,$AA$37,AQ$14,AQ$15,AQ$16,AQ$17,AQ$18,$X631))</f>
        <v/>
      </c>
      <c r="AR631" s="13">
        <f>IF(_epmOfflineCondition_,0,EPMSaveDataOnly(AN631,,AN$29,AN$25,AN$26,AN$31,AN$32,$AA$37,AR$14,AR$15,AR$16,AR$17,AR$18,$X631))</f>
        <v/>
      </c>
      <c r="AS631" s="384" t="n"/>
    </row>
    <row r="632" hidden="1" ht="15.75" customHeight="1" s="1181">
      <c r="A632" s="384" t="n"/>
      <c r="B632" s="384" t="n"/>
      <c r="C632" s="384" t="n"/>
      <c r="D632" s="384" t="n"/>
      <c r="E632" s="384" t="n"/>
      <c r="F632" s="384" t="n"/>
      <c r="G632" s="384" t="n"/>
      <c r="H632" s="384" t="n"/>
      <c r="I632" s="384" t="n"/>
      <c r="J632" s="384" t="n"/>
      <c r="K632" s="384" t="n"/>
      <c r="L632" s="384" t="n"/>
      <c r="M632" s="384" t="n"/>
      <c r="N632" s="384" t="n"/>
      <c r="O632" s="384" t="n"/>
      <c r="P632" s="384" t="n"/>
      <c r="Q632" s="384" t="n"/>
      <c r="R632" s="384" t="n"/>
      <c r="S632" s="384" t="n"/>
      <c r="T632" s="384" t="n"/>
      <c r="U632" s="384" t="n"/>
      <c r="V632" s="384" t="n"/>
      <c r="W632" s="384" t="n"/>
      <c r="X632" s="645">
        <f>IF(_epmOfflineCondition_,"I_E100936",EPMOlapMemberO("[C_INTERCO].[PARENTH1].[I_E100936]","","I_E100936","","000"))</f>
        <v/>
      </c>
      <c r="Y632" s="870">
        <f>IF(_epmOfflineCondition_,"木垒县通川风光新能源有限公司",EPMMemberDesc(X632))</f>
        <v/>
      </c>
      <c r="Z632" s="1302" t="n"/>
      <c r="AA632" s="1302" t="n"/>
      <c r="AB632" s="858" t="n"/>
      <c r="AC632" s="1302" t="n"/>
      <c r="AD632" s="1302" t="n"/>
      <c r="AE632" s="1302" t="inlineStr"/>
      <c r="AF632" s="1302" t="inlineStr"/>
      <c r="AG632" s="1302" t="inlineStr"/>
      <c r="AH632" s="1302" t="n"/>
      <c r="AI632" s="1302" t="n"/>
      <c r="AJ632" s="1302" t="n"/>
      <c r="AK632" s="1302">
        <f>AI632-AJ632</f>
        <v/>
      </c>
      <c r="AL632" s="858" t="n"/>
      <c r="AM632" s="1297" t="inlineStr"/>
      <c r="AN632" s="1298" t="n"/>
      <c r="AO632" s="13">
        <f>IF(_epmOfflineCondition_,0,EPMSaveDataOnly(AB632,,AB$29,AB$25,AB$26,AB$31,AB$32,$AA$37,AO$14,AO$15,AO$16,AO$17,AO$18,X632))</f>
        <v/>
      </c>
      <c r="AP632" s="13">
        <f>IF(_epmOfflineCondition_,0,EPMSaveDataOnly(AL632,,AL$29,AL$25,AL$26,AL$31,AL$32,$AA$37,AP$14,AP$15,AP$16,AP$17,AP$18,$X632))</f>
        <v/>
      </c>
      <c r="AQ632" s="13">
        <f>IF(_epmOfflineCondition_,0,EPMSaveData(AM632,,AM$29,AM$25,AM$26,$C$6,AM$32,$AA$37,AQ$14,AQ$15,AQ$16,AQ$17,AQ$18,$X632))</f>
        <v/>
      </c>
      <c r="AR632" s="13">
        <f>IF(_epmOfflineCondition_,0,EPMSaveDataOnly(AN632,,AN$29,AN$25,AN$26,AN$31,AN$32,$AA$37,AR$14,AR$15,AR$16,AR$17,AR$18,$X632))</f>
        <v/>
      </c>
      <c r="AS632" s="384" t="n"/>
    </row>
    <row r="633" hidden="1" ht="15.75" customHeight="1" s="1181">
      <c r="A633" s="384" t="n"/>
      <c r="B633" s="384" t="n"/>
      <c r="C633" s="384" t="n"/>
      <c r="D633" s="384" t="n"/>
      <c r="E633" s="384" t="n"/>
      <c r="F633" s="384" t="n"/>
      <c r="G633" s="384" t="n"/>
      <c r="H633" s="384" t="n"/>
      <c r="I633" s="384" t="n"/>
      <c r="J633" s="384" t="n"/>
      <c r="K633" s="384" t="n"/>
      <c r="L633" s="384" t="n"/>
      <c r="M633" s="384" t="n"/>
      <c r="N633" s="384" t="n"/>
      <c r="O633" s="384" t="n"/>
      <c r="P633" s="384" t="n"/>
      <c r="Q633" s="384" t="n"/>
      <c r="R633" s="384" t="n"/>
      <c r="S633" s="384" t="n"/>
      <c r="T633" s="384" t="n"/>
      <c r="U633" s="384" t="n"/>
      <c r="V633" s="384" t="n"/>
      <c r="W633" s="384" t="n"/>
      <c r="X633" s="645">
        <f>IF(_epmOfflineCondition_,"I_E100937",EPMOlapMemberO("[C_INTERCO].[PARENTH1].[I_E100937]","","I_E100937","","000"))</f>
        <v/>
      </c>
      <c r="Y633" s="870">
        <f>IF(_epmOfflineCondition_,"兰州西固区京能新能源有限公司",EPMMemberDesc(X633))</f>
        <v/>
      </c>
      <c r="Z633" s="1302" t="n"/>
      <c r="AA633" s="1302" t="n"/>
      <c r="AB633" s="858" t="n"/>
      <c r="AC633" s="1302" t="n"/>
      <c r="AD633" s="1302" t="n"/>
      <c r="AE633" s="1302" t="inlineStr"/>
      <c r="AF633" s="1302" t="inlineStr"/>
      <c r="AG633" s="1302" t="inlineStr"/>
      <c r="AH633" s="1302" t="n"/>
      <c r="AI633" s="1302" t="n"/>
      <c r="AJ633" s="1302" t="n"/>
      <c r="AK633" s="1302">
        <f>AI633-AJ633</f>
        <v/>
      </c>
      <c r="AL633" s="858" t="n"/>
      <c r="AM633" s="1297" t="inlineStr"/>
      <c r="AN633" s="1298" t="n"/>
      <c r="AO633" s="13">
        <f>IF(_epmOfflineCondition_,0,EPMSaveDataOnly(AB633,,AB$29,AB$25,AB$26,AB$31,AB$32,$AA$37,AO$14,AO$15,AO$16,AO$17,AO$18,X633))</f>
        <v/>
      </c>
      <c r="AP633" s="13">
        <f>IF(_epmOfflineCondition_,0,EPMSaveDataOnly(AL633,,AL$29,AL$25,AL$26,AL$31,AL$32,$AA$37,AP$14,AP$15,AP$16,AP$17,AP$18,$X633))</f>
        <v/>
      </c>
      <c r="AQ633" s="13">
        <f>IF(_epmOfflineCondition_,0,EPMSaveData(AM633,,AM$29,AM$25,AM$26,$C$6,AM$32,$AA$37,AQ$14,AQ$15,AQ$16,AQ$17,AQ$18,$X633))</f>
        <v/>
      </c>
      <c r="AR633" s="13">
        <f>IF(_epmOfflineCondition_,0,EPMSaveDataOnly(AN633,,AN$29,AN$25,AN$26,AN$31,AN$32,$AA$37,AR$14,AR$15,AR$16,AR$17,AR$18,$X633))</f>
        <v/>
      </c>
      <c r="AS633" s="384" t="n"/>
    </row>
    <row r="634" hidden="1" ht="15.75" customHeight="1" s="1181">
      <c r="A634" s="384" t="n"/>
      <c r="B634" s="384" t="n"/>
      <c r="C634" s="384" t="n"/>
      <c r="D634" s="384" t="n"/>
      <c r="E634" s="384" t="n"/>
      <c r="F634" s="384" t="n"/>
      <c r="G634" s="384" t="n"/>
      <c r="H634" s="384" t="n"/>
      <c r="I634" s="384" t="n"/>
      <c r="J634" s="384" t="n"/>
      <c r="K634" s="384" t="n"/>
      <c r="L634" s="384" t="n"/>
      <c r="M634" s="384" t="n"/>
      <c r="N634" s="384" t="n"/>
      <c r="O634" s="384" t="n"/>
      <c r="P634" s="384" t="n"/>
      <c r="Q634" s="384" t="n"/>
      <c r="R634" s="384" t="n"/>
      <c r="S634" s="384" t="n"/>
      <c r="T634" s="384" t="n"/>
      <c r="U634" s="384" t="n"/>
      <c r="V634" s="384" t="n"/>
      <c r="W634" s="384" t="n"/>
      <c r="X634" s="645">
        <f>IF(_epmOfflineCondition_,"I_E100938",EPMOlapMemberO("[C_INTERCO].[PARENTH1].[I_E100938]","","I_E100938","","000"))</f>
        <v/>
      </c>
      <c r="Y634" s="870">
        <f>IF(_epmOfflineCondition_,"京能（怀安）新能源有限公司",EPMMemberDesc(X634))</f>
        <v/>
      </c>
      <c r="Z634" s="1302" t="n"/>
      <c r="AA634" s="1302" t="n"/>
      <c r="AB634" s="858" t="n"/>
      <c r="AC634" s="1302" t="n"/>
      <c r="AD634" s="1302" t="n"/>
      <c r="AE634" s="1302" t="inlineStr"/>
      <c r="AF634" s="1302" t="inlineStr"/>
      <c r="AG634" s="1302" t="inlineStr"/>
      <c r="AH634" s="1302" t="n"/>
      <c r="AI634" s="1302" t="n"/>
      <c r="AJ634" s="1302" t="n"/>
      <c r="AK634" s="1302">
        <f>AI634-AJ634</f>
        <v/>
      </c>
      <c r="AL634" s="858" t="n"/>
      <c r="AM634" s="1297" t="inlineStr"/>
      <c r="AN634" s="1298" t="n"/>
      <c r="AO634" s="13">
        <f>IF(_epmOfflineCondition_,0,EPMSaveDataOnly(AB634,,AB$29,AB$25,AB$26,AB$31,AB$32,$AA$37,AO$14,AO$15,AO$16,AO$17,AO$18,X634))</f>
        <v/>
      </c>
      <c r="AP634" s="13">
        <f>IF(_epmOfflineCondition_,0,EPMSaveDataOnly(AL634,,AL$29,AL$25,AL$26,AL$31,AL$32,$AA$37,AP$14,AP$15,AP$16,AP$17,AP$18,$X634))</f>
        <v/>
      </c>
      <c r="AQ634" s="13">
        <f>IF(_epmOfflineCondition_,0,EPMSaveData(AM634,,AM$29,AM$25,AM$26,$C$6,AM$32,$AA$37,AQ$14,AQ$15,AQ$16,AQ$17,AQ$18,$X634))</f>
        <v/>
      </c>
      <c r="AR634" s="13">
        <f>IF(_epmOfflineCondition_,0,EPMSaveDataOnly(AN634,,AN$29,AN$25,AN$26,AN$31,AN$32,$AA$37,AR$14,AR$15,AR$16,AR$17,AR$18,$X634))</f>
        <v/>
      </c>
      <c r="AS634" s="384" t="n"/>
    </row>
    <row r="635" hidden="1" ht="15.75" customHeight="1" s="1181">
      <c r="A635" s="384" t="n"/>
      <c r="B635" s="384" t="n"/>
      <c r="C635" s="384" t="n"/>
      <c r="D635" s="384" t="n"/>
      <c r="E635" s="384" t="n"/>
      <c r="F635" s="384" t="n"/>
      <c r="G635" s="384" t="n"/>
      <c r="H635" s="384" t="n"/>
      <c r="I635" s="384" t="n"/>
      <c r="J635" s="384" t="n"/>
      <c r="K635" s="384" t="n"/>
      <c r="L635" s="384" t="n"/>
      <c r="M635" s="384" t="n"/>
      <c r="N635" s="384" t="n"/>
      <c r="O635" s="384" t="n"/>
      <c r="P635" s="384" t="n"/>
      <c r="Q635" s="384" t="n"/>
      <c r="R635" s="384" t="n"/>
      <c r="S635" s="384" t="n"/>
      <c r="T635" s="384" t="n"/>
      <c r="U635" s="384" t="n"/>
      <c r="V635" s="384" t="n"/>
      <c r="W635" s="384" t="n"/>
      <c r="X635" s="645">
        <f>IF(_epmOfflineCondition_,"I_E100939",EPMOlapMemberO("[C_INTERCO].[PARENTH1].[I_E100939]","","I_E100939","","000"))</f>
        <v/>
      </c>
      <c r="Y635" s="870">
        <f>IF(_epmOfflineCondition_,"乌拉特后旗源海新能源有限责任公司",EPMMemberDesc(X635))</f>
        <v/>
      </c>
      <c r="Z635" s="1302" t="n"/>
      <c r="AA635" s="1302" t="n"/>
      <c r="AB635" s="858" t="n"/>
      <c r="AC635" s="1302" t="n"/>
      <c r="AD635" s="1302" t="n"/>
      <c r="AE635" s="1302" t="inlineStr"/>
      <c r="AF635" s="1302" t="inlineStr"/>
      <c r="AG635" s="1302" t="inlineStr"/>
      <c r="AH635" s="1302" t="n"/>
      <c r="AI635" s="1302" t="n"/>
      <c r="AJ635" s="1302" t="n"/>
      <c r="AK635" s="1302">
        <f>AI635-AJ635</f>
        <v/>
      </c>
      <c r="AL635" s="858" t="n"/>
      <c r="AM635" s="1297" t="inlineStr"/>
      <c r="AN635" s="1298" t="n"/>
      <c r="AO635" s="13">
        <f>IF(_epmOfflineCondition_,0,EPMSaveDataOnly(AB635,,AB$29,AB$25,AB$26,AB$31,AB$32,$AA$37,AO$14,AO$15,AO$16,AO$17,AO$18,X635))</f>
        <v/>
      </c>
      <c r="AP635" s="13">
        <f>IF(_epmOfflineCondition_,0,EPMSaveDataOnly(AL635,,AL$29,AL$25,AL$26,AL$31,AL$32,$AA$37,AP$14,AP$15,AP$16,AP$17,AP$18,$X635))</f>
        <v/>
      </c>
      <c r="AQ635" s="13">
        <f>IF(_epmOfflineCondition_,0,EPMSaveData(AM635,,AM$29,AM$25,AM$26,$C$6,AM$32,$AA$37,AQ$14,AQ$15,AQ$16,AQ$17,AQ$18,$X635))</f>
        <v/>
      </c>
      <c r="AR635" s="13">
        <f>IF(_epmOfflineCondition_,0,EPMSaveDataOnly(AN635,,AN$29,AN$25,AN$26,AN$31,AN$32,$AA$37,AR$14,AR$15,AR$16,AR$17,AR$18,$X635))</f>
        <v/>
      </c>
      <c r="AS635" s="384" t="n"/>
    </row>
    <row r="636" hidden="1" ht="15.75" customHeight="1" s="1181">
      <c r="A636" s="384" t="n"/>
      <c r="B636" s="384" t="n"/>
      <c r="C636" s="384" t="n"/>
      <c r="D636" s="384" t="n"/>
      <c r="E636" s="384" t="n"/>
      <c r="F636" s="384" t="n"/>
      <c r="G636" s="384" t="n"/>
      <c r="H636" s="384" t="n"/>
      <c r="I636" s="384" t="n"/>
      <c r="J636" s="384" t="n"/>
      <c r="K636" s="384" t="n"/>
      <c r="L636" s="384" t="n"/>
      <c r="M636" s="384" t="n"/>
      <c r="N636" s="384" t="n"/>
      <c r="O636" s="384" t="n"/>
      <c r="P636" s="384" t="n"/>
      <c r="Q636" s="384" t="n"/>
      <c r="R636" s="384" t="n"/>
      <c r="S636" s="384" t="n"/>
      <c r="T636" s="384" t="n"/>
      <c r="U636" s="384" t="n"/>
      <c r="V636" s="384" t="n"/>
      <c r="W636" s="384" t="n"/>
      <c r="X636" s="645">
        <f>IF(_epmOfflineCondition_,"I_E100940",EPMOlapMemberO("[C_INTERCO].[PARENTH1].[I_E100940]","","I_E100940","","000"))</f>
        <v/>
      </c>
      <c r="Y636" s="870">
        <f>IF(_epmOfflineCondition_,"榆林市江山永宸新能源有限公司",EPMMemberDesc(X636))</f>
        <v/>
      </c>
      <c r="Z636" s="1302" t="n"/>
      <c r="AA636" s="1302" t="n"/>
      <c r="AB636" s="858" t="n"/>
      <c r="AC636" s="1302" t="n"/>
      <c r="AD636" s="1302" t="n"/>
      <c r="AE636" s="1302" t="inlineStr"/>
      <c r="AF636" s="1302" t="inlineStr"/>
      <c r="AG636" s="1302" t="inlineStr"/>
      <c r="AH636" s="1302" t="n"/>
      <c r="AI636" s="1302" t="n"/>
      <c r="AJ636" s="1302" t="n"/>
      <c r="AK636" s="1302">
        <f>AI636-AJ636</f>
        <v/>
      </c>
      <c r="AL636" s="858" t="n"/>
      <c r="AM636" s="1297" t="inlineStr"/>
      <c r="AN636" s="1298" t="n"/>
      <c r="AO636" s="13">
        <f>IF(_epmOfflineCondition_,0,EPMSaveDataOnly(AB636,,AB$29,AB$25,AB$26,AB$31,AB$32,$AA$37,AO$14,AO$15,AO$16,AO$17,AO$18,X636))</f>
        <v/>
      </c>
      <c r="AP636" s="13">
        <f>IF(_epmOfflineCondition_,0,EPMSaveDataOnly(AL636,,AL$29,AL$25,AL$26,AL$31,AL$32,$AA$37,AP$14,AP$15,AP$16,AP$17,AP$18,$X636))</f>
        <v/>
      </c>
      <c r="AQ636" s="13">
        <f>IF(_epmOfflineCondition_,0,EPMSaveData(AM636,,AM$29,AM$25,AM$26,$C$6,AM$32,$AA$37,AQ$14,AQ$15,AQ$16,AQ$17,AQ$18,$X636))</f>
        <v/>
      </c>
      <c r="AR636" s="13">
        <f>IF(_epmOfflineCondition_,0,EPMSaveDataOnly(AN636,,AN$29,AN$25,AN$26,AN$31,AN$32,$AA$37,AR$14,AR$15,AR$16,AR$17,AR$18,$X636))</f>
        <v/>
      </c>
      <c r="AS636" s="384" t="n"/>
    </row>
    <row r="637" hidden="1" ht="15.75" customHeight="1" s="1181">
      <c r="A637" s="384" t="n"/>
      <c r="B637" s="384" t="n"/>
      <c r="C637" s="384" t="n"/>
      <c r="D637" s="384" t="n"/>
      <c r="E637" s="384" t="n"/>
      <c r="F637" s="384" t="n"/>
      <c r="G637" s="384" t="n"/>
      <c r="H637" s="384" t="n"/>
      <c r="I637" s="384" t="n"/>
      <c r="J637" s="384" t="n"/>
      <c r="K637" s="384" t="n"/>
      <c r="L637" s="384" t="n"/>
      <c r="M637" s="384" t="n"/>
      <c r="N637" s="384" t="n"/>
      <c r="O637" s="384" t="n"/>
      <c r="P637" s="384" t="n"/>
      <c r="Q637" s="384" t="n"/>
      <c r="R637" s="384" t="n"/>
      <c r="S637" s="384" t="n"/>
      <c r="T637" s="384" t="n"/>
      <c r="U637" s="384" t="n"/>
      <c r="V637" s="384" t="n"/>
      <c r="W637" s="384" t="n"/>
      <c r="X637" s="645">
        <f>IF(_epmOfflineCondition_,"I_E100941",EPMOlapMemberO("[C_INTERCO].[PARENTH1].[I_E100941]","","I_E100941","","000"))</f>
        <v/>
      </c>
      <c r="Y637" s="870">
        <f>IF(_epmOfflineCondition_,"北京国电盛唐科技发展有限公司",EPMMemberDesc(X637))</f>
        <v/>
      </c>
      <c r="Z637" s="1302" t="n"/>
      <c r="AA637" s="1302" t="n"/>
      <c r="AB637" s="858" t="n"/>
      <c r="AC637" s="1302" t="n"/>
      <c r="AD637" s="1302" t="n"/>
      <c r="AE637" s="1302" t="inlineStr"/>
      <c r="AF637" s="1302" t="inlineStr"/>
      <c r="AG637" s="1302" t="inlineStr"/>
      <c r="AH637" s="1302" t="n"/>
      <c r="AI637" s="1302" t="n"/>
      <c r="AJ637" s="1302" t="n"/>
      <c r="AK637" s="1302">
        <f>AI637-AJ637</f>
        <v/>
      </c>
      <c r="AL637" s="858" t="n"/>
      <c r="AM637" s="1297" t="inlineStr"/>
      <c r="AN637" s="1298" t="n"/>
      <c r="AO637" s="13">
        <f>IF(_epmOfflineCondition_,0,EPMSaveDataOnly(AB637,,AB$29,AB$25,AB$26,AB$31,AB$32,$AA$37,AO$14,AO$15,AO$16,AO$17,AO$18,X637))</f>
        <v/>
      </c>
      <c r="AP637" s="13">
        <f>IF(_epmOfflineCondition_,0,EPMSaveDataOnly(AL637,,AL$29,AL$25,AL$26,AL$31,AL$32,$AA$37,AP$14,AP$15,AP$16,AP$17,AP$18,$X637))</f>
        <v/>
      </c>
      <c r="AQ637" s="13">
        <f>IF(_epmOfflineCondition_,0,EPMSaveData(AM637,,AM$29,AM$25,AM$26,$C$6,AM$32,$AA$37,AQ$14,AQ$15,AQ$16,AQ$17,AQ$18,$X637))</f>
        <v/>
      </c>
      <c r="AR637" s="13">
        <f>IF(_epmOfflineCondition_,0,EPMSaveDataOnly(AN637,,AN$29,AN$25,AN$26,AN$31,AN$32,$AA$37,AR$14,AR$15,AR$16,AR$17,AR$18,$X637))</f>
        <v/>
      </c>
      <c r="AS637" s="384" t="n"/>
    </row>
    <row r="638" hidden="1" ht="15.75" customHeight="1" s="1181">
      <c r="A638" s="384" t="n"/>
      <c r="B638" s="384" t="n"/>
      <c r="C638" s="384" t="n"/>
      <c r="D638" s="384" t="n"/>
      <c r="E638" s="384" t="n"/>
      <c r="F638" s="384" t="n"/>
      <c r="G638" s="384" t="n"/>
      <c r="H638" s="384" t="n"/>
      <c r="I638" s="384" t="n"/>
      <c r="J638" s="384" t="n"/>
      <c r="K638" s="384" t="n"/>
      <c r="L638" s="384" t="n"/>
      <c r="M638" s="384" t="n"/>
      <c r="N638" s="384" t="n"/>
      <c r="O638" s="384" t="n"/>
      <c r="P638" s="384" t="n"/>
      <c r="Q638" s="384" t="n"/>
      <c r="R638" s="384" t="n"/>
      <c r="S638" s="384" t="n"/>
      <c r="T638" s="384" t="n"/>
      <c r="U638" s="384" t="n"/>
      <c r="V638" s="384" t="n"/>
      <c r="W638" s="384" t="n"/>
      <c r="X638" s="645">
        <f>IF(_epmOfflineCondition_,"I_E100942",EPMOlapMemberO("[C_INTERCO].[PARENTH1].[I_E100942]","","I_E100942","","000"))</f>
        <v/>
      </c>
      <c r="Y638" s="870">
        <f>IF(_epmOfflineCondition_,"玛纳斯京能新能源有限公司",EPMMemberDesc(X638))</f>
        <v/>
      </c>
      <c r="Z638" s="1302" t="n"/>
      <c r="AA638" s="1302" t="n"/>
      <c r="AB638" s="858" t="n"/>
      <c r="AC638" s="1302" t="n"/>
      <c r="AD638" s="1302" t="n"/>
      <c r="AE638" s="1302" t="inlineStr"/>
      <c r="AF638" s="1302" t="inlineStr"/>
      <c r="AG638" s="1302" t="inlineStr"/>
      <c r="AH638" s="1302" t="n"/>
      <c r="AI638" s="1302" t="n"/>
      <c r="AJ638" s="1302" t="n"/>
      <c r="AK638" s="1302">
        <f>AI638-AJ638</f>
        <v/>
      </c>
      <c r="AL638" s="858" t="n"/>
      <c r="AM638" s="1297" t="inlineStr"/>
      <c r="AN638" s="1298" t="n"/>
      <c r="AO638" s="13">
        <f>IF(_epmOfflineCondition_,0,EPMSaveDataOnly(AB638,,AB$29,AB$25,AB$26,AB$31,AB$32,$AA$37,AO$14,AO$15,AO$16,AO$17,AO$18,X638))</f>
        <v/>
      </c>
      <c r="AP638" s="13">
        <f>IF(_epmOfflineCondition_,0,EPMSaveDataOnly(AL638,,AL$29,AL$25,AL$26,AL$31,AL$32,$AA$37,AP$14,AP$15,AP$16,AP$17,AP$18,$X638))</f>
        <v/>
      </c>
      <c r="AQ638" s="13">
        <f>IF(_epmOfflineCondition_,0,EPMSaveData(AM638,,AM$29,AM$25,AM$26,$C$6,AM$32,$AA$37,AQ$14,AQ$15,AQ$16,AQ$17,AQ$18,$X638))</f>
        <v/>
      </c>
      <c r="AR638" s="13">
        <f>IF(_epmOfflineCondition_,0,EPMSaveDataOnly(AN638,,AN$29,AN$25,AN$26,AN$31,AN$32,$AA$37,AR$14,AR$15,AR$16,AR$17,AR$18,$X638))</f>
        <v/>
      </c>
      <c r="AS638" s="384" t="n"/>
    </row>
    <row r="639" hidden="1" ht="15.75" customHeight="1" s="1181">
      <c r="A639" s="384" t="n"/>
      <c r="B639" s="384" t="n"/>
      <c r="C639" s="384" t="n"/>
      <c r="D639" s="384" t="n"/>
      <c r="E639" s="384" t="n"/>
      <c r="F639" s="384" t="n"/>
      <c r="G639" s="384" t="n"/>
      <c r="H639" s="384" t="n"/>
      <c r="I639" s="384" t="n"/>
      <c r="J639" s="384" t="n"/>
      <c r="K639" s="384" t="n"/>
      <c r="L639" s="384" t="n"/>
      <c r="M639" s="384" t="n"/>
      <c r="N639" s="384" t="n"/>
      <c r="O639" s="384" t="n"/>
      <c r="P639" s="384" t="n"/>
      <c r="Q639" s="384" t="n"/>
      <c r="R639" s="384" t="n"/>
      <c r="S639" s="384" t="n"/>
      <c r="T639" s="384" t="n"/>
      <c r="U639" s="384" t="n"/>
      <c r="V639" s="384" t="n"/>
      <c r="W639" s="384" t="n"/>
      <c r="X639" s="645">
        <f>IF(_epmOfflineCondition_,"I_E100944",EPMOlapMemberO("[C_INTERCO].[PARENTH1].[I_E100944]","","I_E100944","","000"))</f>
        <v/>
      </c>
      <c r="Y639" s="870">
        <f>IF(_epmOfflineCondition_,"招新诺能（常州）新能源有限公司",EPMMemberDesc(X639))</f>
        <v/>
      </c>
      <c r="Z639" s="1302" t="n"/>
      <c r="AA639" s="1302" t="n"/>
      <c r="AB639" s="858" t="n"/>
      <c r="AC639" s="1302" t="n"/>
      <c r="AD639" s="1302" t="n"/>
      <c r="AE639" s="1302" t="inlineStr"/>
      <c r="AF639" s="1302" t="inlineStr"/>
      <c r="AG639" s="1302" t="inlineStr"/>
      <c r="AH639" s="1302" t="n"/>
      <c r="AI639" s="1302" t="n"/>
      <c r="AJ639" s="1302" t="n"/>
      <c r="AK639" s="1302">
        <f>AI639-AJ639</f>
        <v/>
      </c>
      <c r="AL639" s="858" t="n"/>
      <c r="AM639" s="1297" t="inlineStr"/>
      <c r="AN639" s="1298" t="n"/>
      <c r="AO639" s="13">
        <f>IF(_epmOfflineCondition_,0,EPMSaveDataOnly(AB639,,AB$29,AB$25,AB$26,AB$31,AB$32,$AA$37,AO$14,AO$15,AO$16,AO$17,AO$18,X639))</f>
        <v/>
      </c>
      <c r="AP639" s="13">
        <f>IF(_epmOfflineCondition_,0,EPMSaveDataOnly(AL639,,AL$29,AL$25,AL$26,AL$31,AL$32,$AA$37,AP$14,AP$15,AP$16,AP$17,AP$18,$X639))</f>
        <v/>
      </c>
      <c r="AQ639" s="13">
        <f>IF(_epmOfflineCondition_,0,EPMSaveData(AM639,,AM$29,AM$25,AM$26,$C$6,AM$32,$AA$37,AQ$14,AQ$15,AQ$16,AQ$17,AQ$18,$X639))</f>
        <v/>
      </c>
      <c r="AR639" s="13">
        <f>IF(_epmOfflineCondition_,0,EPMSaveDataOnly(AN639,,AN$29,AN$25,AN$26,AN$31,AN$32,$AA$37,AR$14,AR$15,AR$16,AR$17,AR$18,$X639))</f>
        <v/>
      </c>
      <c r="AS639" s="384" t="n"/>
    </row>
    <row r="640" hidden="1" ht="15.75" customHeight="1" s="1181">
      <c r="A640" s="384" t="n"/>
      <c r="B640" s="384" t="n"/>
      <c r="C640" s="384" t="n"/>
      <c r="D640" s="384" t="n"/>
      <c r="E640" s="384" t="n"/>
      <c r="F640" s="384" t="n"/>
      <c r="G640" s="384" t="n"/>
      <c r="H640" s="384" t="n"/>
      <c r="I640" s="384" t="n"/>
      <c r="J640" s="384" t="n"/>
      <c r="K640" s="384" t="n"/>
      <c r="L640" s="384" t="n"/>
      <c r="M640" s="384" t="n"/>
      <c r="N640" s="384" t="n"/>
      <c r="O640" s="384" t="n"/>
      <c r="P640" s="384" t="n"/>
      <c r="Q640" s="384" t="n"/>
      <c r="R640" s="384" t="n"/>
      <c r="S640" s="384" t="n"/>
      <c r="T640" s="384" t="n"/>
      <c r="U640" s="384" t="n"/>
      <c r="V640" s="384" t="n"/>
      <c r="W640" s="384" t="n"/>
      <c r="X640" s="645">
        <f>IF(_epmOfflineCondition_,"I_E100945",EPMOlapMemberO("[C_INTERCO].[PARENTH1].[I_E100945]","","I_E100945","","000"))</f>
        <v/>
      </c>
      <c r="Y640" s="870">
        <f>IF(_epmOfflineCondition_,"唐山招新太阳能发电有限公司",EPMMemberDesc(X640))</f>
        <v/>
      </c>
      <c r="Z640" s="1302" t="n"/>
      <c r="AA640" s="1302" t="n"/>
      <c r="AB640" s="858" t="n"/>
      <c r="AC640" s="1302" t="n"/>
      <c r="AD640" s="1302" t="n"/>
      <c r="AE640" s="1302" t="inlineStr"/>
      <c r="AF640" s="1302" t="inlineStr"/>
      <c r="AG640" s="1302" t="inlineStr"/>
      <c r="AH640" s="1302" t="n"/>
      <c r="AI640" s="1302" t="n"/>
      <c r="AJ640" s="1302" t="n"/>
      <c r="AK640" s="1302">
        <f>AI640-AJ640</f>
        <v/>
      </c>
      <c r="AL640" s="858" t="n"/>
      <c r="AM640" s="1297" t="inlineStr"/>
      <c r="AN640" s="1298" t="n"/>
      <c r="AO640" s="13">
        <f>IF(_epmOfflineCondition_,0,EPMSaveDataOnly(AB640,,AB$29,AB$25,AB$26,AB$31,AB$32,$AA$37,AO$14,AO$15,AO$16,AO$17,AO$18,X640))</f>
        <v/>
      </c>
      <c r="AP640" s="13">
        <f>IF(_epmOfflineCondition_,0,EPMSaveDataOnly(AL640,,AL$29,AL$25,AL$26,AL$31,AL$32,$AA$37,AP$14,AP$15,AP$16,AP$17,AP$18,$X640))</f>
        <v/>
      </c>
      <c r="AQ640" s="13">
        <f>IF(_epmOfflineCondition_,0,EPMSaveData(AM640,,AM$29,AM$25,AM$26,$C$6,AM$32,$AA$37,AQ$14,AQ$15,AQ$16,AQ$17,AQ$18,$X640))</f>
        <v/>
      </c>
      <c r="AR640" s="13">
        <f>IF(_epmOfflineCondition_,0,EPMSaveDataOnly(AN640,,AN$29,AN$25,AN$26,AN$31,AN$32,$AA$37,AR$14,AR$15,AR$16,AR$17,AR$18,$X640))</f>
        <v/>
      </c>
      <c r="AS640" s="384" t="n"/>
    </row>
    <row r="641" hidden="1" ht="15.75" customHeight="1" s="1181">
      <c r="A641" s="384" t="n"/>
      <c r="B641" s="384" t="n"/>
      <c r="C641" s="384" t="n"/>
      <c r="D641" s="384" t="n"/>
      <c r="E641" s="384" t="n"/>
      <c r="F641" s="384" t="n"/>
      <c r="G641" s="384" t="n"/>
      <c r="H641" s="384" t="n"/>
      <c r="I641" s="384" t="n"/>
      <c r="J641" s="384" t="n"/>
      <c r="K641" s="384" t="n"/>
      <c r="L641" s="384" t="n"/>
      <c r="M641" s="384" t="n"/>
      <c r="N641" s="384" t="n"/>
      <c r="O641" s="384" t="n"/>
      <c r="P641" s="384" t="n"/>
      <c r="Q641" s="384" t="n"/>
      <c r="R641" s="384" t="n"/>
      <c r="S641" s="384" t="n"/>
      <c r="T641" s="384" t="n"/>
      <c r="U641" s="384" t="n"/>
      <c r="V641" s="384" t="n"/>
      <c r="W641" s="384" t="n"/>
      <c r="X641" s="645">
        <f>IF(_epmOfflineCondition_,"I_E100946",EPMOlapMemberO("[C_INTERCO].[PARENTH1].[I_E100946]","","I_E100946","","000"))</f>
        <v/>
      </c>
      <c r="Y641" s="870">
        <f>IF(_epmOfflineCondition_,"北京京能雁栖新能源技术有限公司",EPMMemberDesc(X641))</f>
        <v/>
      </c>
      <c r="Z641" s="1302" t="n"/>
      <c r="AA641" s="1302" t="n"/>
      <c r="AB641" s="858" t="n"/>
      <c r="AC641" s="1302" t="n"/>
      <c r="AD641" s="1302" t="n"/>
      <c r="AE641" s="1302" t="inlineStr"/>
      <c r="AF641" s="1302" t="inlineStr"/>
      <c r="AG641" s="1302" t="inlineStr"/>
      <c r="AH641" s="1302" t="n"/>
      <c r="AI641" s="1302" t="n"/>
      <c r="AJ641" s="1302" t="n"/>
      <c r="AK641" s="1302">
        <f>AI641-AJ641</f>
        <v/>
      </c>
      <c r="AL641" s="858" t="n"/>
      <c r="AM641" s="1297" t="inlineStr"/>
      <c r="AN641" s="1298" t="n"/>
      <c r="AO641" s="13">
        <f>IF(_epmOfflineCondition_,0,EPMSaveDataOnly(AB641,,AB$29,AB$25,AB$26,AB$31,AB$32,$AA$37,AO$14,AO$15,AO$16,AO$17,AO$18,X641))</f>
        <v/>
      </c>
      <c r="AP641" s="13">
        <f>IF(_epmOfflineCondition_,0,EPMSaveDataOnly(AL641,,AL$29,AL$25,AL$26,AL$31,AL$32,$AA$37,AP$14,AP$15,AP$16,AP$17,AP$18,$X641))</f>
        <v/>
      </c>
      <c r="AQ641" s="13">
        <f>IF(_epmOfflineCondition_,0,EPMSaveData(AM641,,AM$29,AM$25,AM$26,$C$6,AM$32,$AA$37,AQ$14,AQ$15,AQ$16,AQ$17,AQ$18,$X641))</f>
        <v/>
      </c>
      <c r="AR641" s="13">
        <f>IF(_epmOfflineCondition_,0,EPMSaveDataOnly(AN641,,AN$29,AN$25,AN$26,AN$31,AN$32,$AA$37,AR$14,AR$15,AR$16,AR$17,AR$18,$X641))</f>
        <v/>
      </c>
      <c r="AS641" s="384" t="n"/>
    </row>
    <row r="642" hidden="1" ht="15.75" customHeight="1" s="1181">
      <c r="A642" s="384" t="n"/>
      <c r="B642" s="384" t="n"/>
      <c r="C642" s="384" t="n"/>
      <c r="D642" s="384" t="n"/>
      <c r="E642" s="384" t="n"/>
      <c r="F642" s="384" t="n"/>
      <c r="G642" s="384" t="n"/>
      <c r="H642" s="384" t="n"/>
      <c r="I642" s="384" t="n"/>
      <c r="J642" s="384" t="n"/>
      <c r="K642" s="384" t="n"/>
      <c r="L642" s="384" t="n"/>
      <c r="M642" s="384" t="n"/>
      <c r="N642" s="384" t="n"/>
      <c r="O642" s="384" t="n"/>
      <c r="P642" s="384" t="n"/>
      <c r="Q642" s="384" t="n"/>
      <c r="R642" s="384" t="n"/>
      <c r="S642" s="384" t="n"/>
      <c r="T642" s="384" t="n"/>
      <c r="U642" s="384" t="n"/>
      <c r="V642" s="384" t="n"/>
      <c r="W642" s="384" t="n"/>
      <c r="X642" s="645">
        <f>IF(_epmOfflineCondition_,"I_E100947",EPMOlapMemberO("[C_INTERCO].[PARENTH1].[I_E100947]","","I_E100947","","000"))</f>
        <v/>
      </c>
      <c r="Y642" s="870">
        <f>IF(_epmOfflineCondition_,"山东新泰楼德佳阳光伏发电有限公司",EPMMemberDesc(X642))</f>
        <v/>
      </c>
      <c r="Z642" s="1302" t="n"/>
      <c r="AA642" s="1302" t="n"/>
      <c r="AB642" s="858" t="n"/>
      <c r="AC642" s="1302" t="n"/>
      <c r="AD642" s="1302" t="n"/>
      <c r="AE642" s="1302" t="inlineStr"/>
      <c r="AF642" s="1302" t="inlineStr"/>
      <c r="AG642" s="1302" t="inlineStr"/>
      <c r="AH642" s="1302" t="n"/>
      <c r="AI642" s="1302" t="n"/>
      <c r="AJ642" s="1302" t="n"/>
      <c r="AK642" s="1302">
        <f>AI642-AJ642</f>
        <v/>
      </c>
      <c r="AL642" s="858" t="n"/>
      <c r="AM642" s="1297" t="inlineStr"/>
      <c r="AN642" s="1298" t="n"/>
      <c r="AO642" s="13">
        <f>IF(_epmOfflineCondition_,0,EPMSaveDataOnly(AB642,,AB$29,AB$25,AB$26,AB$31,AB$32,$AA$37,AO$14,AO$15,AO$16,AO$17,AO$18,X642))</f>
        <v/>
      </c>
      <c r="AP642" s="13">
        <f>IF(_epmOfflineCondition_,0,EPMSaveDataOnly(AL642,,AL$29,AL$25,AL$26,AL$31,AL$32,$AA$37,AP$14,AP$15,AP$16,AP$17,AP$18,$X642))</f>
        <v/>
      </c>
      <c r="AQ642" s="13">
        <f>IF(_epmOfflineCondition_,0,EPMSaveData(AM642,,AM$29,AM$25,AM$26,$C$6,AM$32,$AA$37,AQ$14,AQ$15,AQ$16,AQ$17,AQ$18,$X642))</f>
        <v/>
      </c>
      <c r="AR642" s="13">
        <f>IF(_epmOfflineCondition_,0,EPMSaveDataOnly(AN642,,AN$29,AN$25,AN$26,AN$31,AN$32,$AA$37,AR$14,AR$15,AR$16,AR$17,AR$18,$X642))</f>
        <v/>
      </c>
      <c r="AS642" s="384" t="n"/>
    </row>
    <row r="643" hidden="1" ht="15.75" customHeight="1" s="1181">
      <c r="A643" s="384" t="n"/>
      <c r="B643" s="384" t="n"/>
      <c r="C643" s="384" t="n"/>
      <c r="D643" s="384" t="n"/>
      <c r="E643" s="384" t="n"/>
      <c r="F643" s="384" t="n"/>
      <c r="G643" s="384" t="n"/>
      <c r="H643" s="384" t="n"/>
      <c r="I643" s="384" t="n"/>
      <c r="J643" s="384" t="n"/>
      <c r="K643" s="384" t="n"/>
      <c r="L643" s="384" t="n"/>
      <c r="M643" s="384" t="n"/>
      <c r="N643" s="384" t="n"/>
      <c r="O643" s="384" t="n"/>
      <c r="P643" s="384" t="n"/>
      <c r="Q643" s="384" t="n"/>
      <c r="R643" s="384" t="n"/>
      <c r="S643" s="384" t="n"/>
      <c r="T643" s="384" t="n"/>
      <c r="U643" s="384" t="n"/>
      <c r="V643" s="384" t="n"/>
      <c r="W643" s="384" t="n"/>
      <c r="X643" s="645">
        <f>IF(_epmOfflineCondition_,"I_E100948",EPMOlapMemberO("[C_INTERCO].[PARENTH1].[I_E100948]","","I_E100948","","000"))</f>
        <v/>
      </c>
      <c r="Y643" s="870">
        <f>IF(_epmOfflineCondition_,"威县天海光伏发电有限公司",EPMMemberDesc(X643))</f>
        <v/>
      </c>
      <c r="Z643" s="1302" t="n"/>
      <c r="AA643" s="1302" t="n"/>
      <c r="AB643" s="858" t="n"/>
      <c r="AC643" s="1302" t="n"/>
      <c r="AD643" s="1302" t="n"/>
      <c r="AE643" s="1302" t="inlineStr"/>
      <c r="AF643" s="1302" t="inlineStr"/>
      <c r="AG643" s="1302" t="inlineStr"/>
      <c r="AH643" s="1302" t="n"/>
      <c r="AI643" s="1302" t="n"/>
      <c r="AJ643" s="1302" t="n"/>
      <c r="AK643" s="1302">
        <f>AI643-AJ643</f>
        <v/>
      </c>
      <c r="AL643" s="858" t="n"/>
      <c r="AM643" s="1297" t="inlineStr"/>
      <c r="AN643" s="1298" t="n"/>
      <c r="AO643" s="13">
        <f>IF(_epmOfflineCondition_,0,EPMSaveDataOnly(AB643,,AB$29,AB$25,AB$26,AB$31,AB$32,$AA$37,AO$14,AO$15,AO$16,AO$17,AO$18,X643))</f>
        <v/>
      </c>
      <c r="AP643" s="13">
        <f>IF(_epmOfflineCondition_,0,EPMSaveDataOnly(AL643,,AL$29,AL$25,AL$26,AL$31,AL$32,$AA$37,AP$14,AP$15,AP$16,AP$17,AP$18,$X643))</f>
        <v/>
      </c>
      <c r="AQ643" s="13">
        <f>IF(_epmOfflineCondition_,0,EPMSaveData(AM643,,AM$29,AM$25,AM$26,$C$6,AM$32,$AA$37,AQ$14,AQ$15,AQ$16,AQ$17,AQ$18,$X643))</f>
        <v/>
      </c>
      <c r="AR643" s="13">
        <f>IF(_epmOfflineCondition_,0,EPMSaveDataOnly(AN643,,AN$29,AN$25,AN$26,AN$31,AN$32,$AA$37,AR$14,AR$15,AR$16,AR$17,AR$18,$X643))</f>
        <v/>
      </c>
      <c r="AS643" s="384" t="n"/>
    </row>
    <row r="644" hidden="1" ht="15.75" customHeight="1" s="1181">
      <c r="A644" s="384" t="n"/>
      <c r="B644" s="384" t="n"/>
      <c r="C644" s="384" t="n"/>
      <c r="D644" s="384" t="n"/>
      <c r="E644" s="384" t="n"/>
      <c r="F644" s="384" t="n"/>
      <c r="G644" s="384" t="n"/>
      <c r="H644" s="384" t="n"/>
      <c r="I644" s="384" t="n"/>
      <c r="J644" s="384" t="n"/>
      <c r="K644" s="384" t="n"/>
      <c r="L644" s="384" t="n"/>
      <c r="M644" s="384" t="n"/>
      <c r="N644" s="384" t="n"/>
      <c r="O644" s="384" t="n"/>
      <c r="P644" s="384" t="n"/>
      <c r="Q644" s="384" t="n"/>
      <c r="R644" s="384" t="n"/>
      <c r="S644" s="384" t="n"/>
      <c r="T644" s="384" t="n"/>
      <c r="U644" s="384" t="n"/>
      <c r="V644" s="384" t="n"/>
      <c r="W644" s="384" t="n"/>
      <c r="X644" s="645">
        <f>IF(_epmOfflineCondition_,"I_E100949",EPMOlapMemberO("[C_INTERCO].[PARENTH1].[I_E100949]","","I_E100949","","000"))</f>
        <v/>
      </c>
      <c r="Y644" s="870">
        <f>IF(_epmOfflineCondition_,"常州晋合新能源有限公司",EPMMemberDesc(X644))</f>
        <v/>
      </c>
      <c r="Z644" s="1302" t="n"/>
      <c r="AA644" s="1302" t="n"/>
      <c r="AB644" s="858" t="n"/>
      <c r="AC644" s="1302" t="n"/>
      <c r="AD644" s="1302" t="n"/>
      <c r="AE644" s="1302" t="inlineStr"/>
      <c r="AF644" s="1302" t="inlineStr"/>
      <c r="AG644" s="1302" t="inlineStr"/>
      <c r="AH644" s="1302" t="n"/>
      <c r="AI644" s="1302" t="n"/>
      <c r="AJ644" s="1302" t="n"/>
      <c r="AK644" s="1302">
        <f>AI644-AJ644</f>
        <v/>
      </c>
      <c r="AL644" s="858" t="n"/>
      <c r="AM644" s="1297" t="inlineStr"/>
      <c r="AN644" s="1298" t="n"/>
      <c r="AO644" s="13">
        <f>IF(_epmOfflineCondition_,0,EPMSaveDataOnly(AB644,,AB$29,AB$25,AB$26,AB$31,AB$32,$AA$37,AO$14,AO$15,AO$16,AO$17,AO$18,X644))</f>
        <v/>
      </c>
      <c r="AP644" s="13">
        <f>IF(_epmOfflineCondition_,0,EPMSaveDataOnly(AL644,,AL$29,AL$25,AL$26,AL$31,AL$32,$AA$37,AP$14,AP$15,AP$16,AP$17,AP$18,$X644))</f>
        <v/>
      </c>
      <c r="AQ644" s="13">
        <f>IF(_epmOfflineCondition_,0,EPMSaveData(AM644,,AM$29,AM$25,AM$26,$C$6,AM$32,$AA$37,AQ$14,AQ$15,AQ$16,AQ$17,AQ$18,$X644))</f>
        <v/>
      </c>
      <c r="AR644" s="13">
        <f>IF(_epmOfflineCondition_,0,EPMSaveDataOnly(AN644,,AN$29,AN$25,AN$26,AN$31,AN$32,$AA$37,AR$14,AR$15,AR$16,AR$17,AR$18,$X644))</f>
        <v/>
      </c>
      <c r="AS644" s="384" t="n"/>
    </row>
    <row r="645" hidden="1" ht="15.75" customHeight="1" s="1181">
      <c r="A645" s="384" t="n"/>
      <c r="B645" s="384" t="n"/>
      <c r="C645" s="384" t="n"/>
      <c r="D645" s="384" t="n"/>
      <c r="E645" s="384" t="n"/>
      <c r="F645" s="384" t="n"/>
      <c r="G645" s="384" t="n"/>
      <c r="H645" s="384" t="n"/>
      <c r="I645" s="384" t="n"/>
      <c r="J645" s="384" t="n"/>
      <c r="K645" s="384" t="n"/>
      <c r="L645" s="384" t="n"/>
      <c r="M645" s="384" t="n"/>
      <c r="N645" s="384" t="n"/>
      <c r="O645" s="384" t="n"/>
      <c r="P645" s="384" t="n"/>
      <c r="Q645" s="384" t="n"/>
      <c r="R645" s="384" t="n"/>
      <c r="S645" s="384" t="n"/>
      <c r="T645" s="384" t="n"/>
      <c r="U645" s="384" t="n"/>
      <c r="V645" s="384" t="n"/>
      <c r="W645" s="384" t="n"/>
      <c r="X645" s="645">
        <f>IF(_epmOfflineCondition_,"I_E100950",EPMOlapMemberO("[C_INTERCO].[PARENTH1].[I_E100950]","","I_E100950","","000"))</f>
        <v/>
      </c>
      <c r="Y645" s="870">
        <f>IF(_epmOfflineCondition_,"内蒙古明华新能源股份有限公司",EPMMemberDesc(X645))</f>
        <v/>
      </c>
      <c r="Z645" s="1302" t="n"/>
      <c r="AA645" s="1302" t="n"/>
      <c r="AB645" s="858" t="n"/>
      <c r="AC645" s="1302" t="n"/>
      <c r="AD645" s="1302" t="n"/>
      <c r="AE645" s="1302" t="inlineStr"/>
      <c r="AF645" s="1302" t="inlineStr"/>
      <c r="AG645" s="1302" t="inlineStr"/>
      <c r="AH645" s="1302" t="n"/>
      <c r="AI645" s="1302" t="n"/>
      <c r="AJ645" s="1302" t="n"/>
      <c r="AK645" s="1302">
        <f>AI645-AJ645</f>
        <v/>
      </c>
      <c r="AL645" s="858" t="n"/>
      <c r="AM645" s="1297" t="inlineStr"/>
      <c r="AN645" s="1298" t="n"/>
      <c r="AO645" s="13">
        <f>IF(_epmOfflineCondition_,0,EPMSaveDataOnly(AB645,,AB$29,AB$25,AB$26,AB$31,AB$32,$AA$37,AO$14,AO$15,AO$16,AO$17,AO$18,X645))</f>
        <v/>
      </c>
      <c r="AP645" s="13">
        <f>IF(_epmOfflineCondition_,0,EPMSaveDataOnly(AL645,,AL$29,AL$25,AL$26,AL$31,AL$32,$AA$37,AP$14,AP$15,AP$16,AP$17,AP$18,$X645))</f>
        <v/>
      </c>
      <c r="AQ645" s="13">
        <f>IF(_epmOfflineCondition_,0,EPMSaveData(AM645,,AM$29,AM$25,AM$26,$C$6,AM$32,$AA$37,AQ$14,AQ$15,AQ$16,AQ$17,AQ$18,$X645))</f>
        <v/>
      </c>
      <c r="AR645" s="13">
        <f>IF(_epmOfflineCondition_,0,EPMSaveDataOnly(AN645,,AN$29,AN$25,AN$26,AN$31,AN$32,$AA$37,AR$14,AR$15,AR$16,AR$17,AR$18,$X645))</f>
        <v/>
      </c>
      <c r="AS645" s="384" t="n"/>
    </row>
    <row r="646" hidden="1" ht="15.75" customHeight="1" s="1181">
      <c r="A646" s="384" t="n"/>
      <c r="B646" s="384" t="n"/>
      <c r="C646" s="384" t="n"/>
      <c r="D646" s="384" t="n"/>
      <c r="E646" s="384" t="n"/>
      <c r="F646" s="384" t="n"/>
      <c r="G646" s="384" t="n"/>
      <c r="H646" s="384" t="n"/>
      <c r="I646" s="384" t="n"/>
      <c r="J646" s="384" t="n"/>
      <c r="K646" s="384" t="n"/>
      <c r="L646" s="384" t="n"/>
      <c r="M646" s="384" t="n"/>
      <c r="N646" s="384" t="n"/>
      <c r="O646" s="384" t="n"/>
      <c r="P646" s="384" t="n"/>
      <c r="Q646" s="384" t="n"/>
      <c r="R646" s="384" t="n"/>
      <c r="S646" s="384" t="n"/>
      <c r="T646" s="384" t="n"/>
      <c r="U646" s="384" t="n"/>
      <c r="V646" s="384" t="n"/>
      <c r="W646" s="384" t="n"/>
      <c r="X646" s="645">
        <f>IF(_epmOfflineCondition_,"I_E100951",EPMOlapMemberO("[C_INTERCO].[PARENTH1].[I_E100951]","","I_E100951","","000"))</f>
        <v/>
      </c>
      <c r="Y646" s="870">
        <f>IF(_epmOfflineCondition_,"内蒙古傲都能源有限公司",EPMMemberDesc(X646))</f>
        <v/>
      </c>
      <c r="Z646" s="1302" t="n"/>
      <c r="AA646" s="1302" t="n"/>
      <c r="AB646" s="858" t="n"/>
      <c r="AC646" s="1302" t="n"/>
      <c r="AD646" s="1302" t="n"/>
      <c r="AE646" s="1302" t="inlineStr"/>
      <c r="AF646" s="1302" t="inlineStr"/>
      <c r="AG646" s="1302" t="inlineStr"/>
      <c r="AH646" s="1302" t="n"/>
      <c r="AI646" s="1302" t="n"/>
      <c r="AJ646" s="1302" t="n"/>
      <c r="AK646" s="1302">
        <f>AI646-AJ646</f>
        <v/>
      </c>
      <c r="AL646" s="858" t="n"/>
      <c r="AM646" s="1297" t="inlineStr"/>
      <c r="AN646" s="1298" t="n"/>
      <c r="AO646" s="13">
        <f>IF(_epmOfflineCondition_,0,EPMSaveDataOnly(AB646,,AB$29,AB$25,AB$26,AB$31,AB$32,$AA$37,AO$14,AO$15,AO$16,AO$17,AO$18,X646))</f>
        <v/>
      </c>
      <c r="AP646" s="13">
        <f>IF(_epmOfflineCondition_,0,EPMSaveDataOnly(AL646,,AL$29,AL$25,AL$26,AL$31,AL$32,$AA$37,AP$14,AP$15,AP$16,AP$17,AP$18,$X646))</f>
        <v/>
      </c>
      <c r="AQ646" s="13">
        <f>IF(_epmOfflineCondition_,0,EPMSaveData(AM646,,AM$29,AM$25,AM$26,$C$6,AM$32,$AA$37,AQ$14,AQ$15,AQ$16,AQ$17,AQ$18,$X646))</f>
        <v/>
      </c>
      <c r="AR646" s="13">
        <f>IF(_epmOfflineCondition_,0,EPMSaveDataOnly(AN646,,AN$29,AN$25,AN$26,AN$31,AN$32,$AA$37,AR$14,AR$15,AR$16,AR$17,AR$18,$X646))</f>
        <v/>
      </c>
      <c r="AS646" s="384" t="n"/>
    </row>
    <row r="647" hidden="1" ht="15.75" customHeight="1" s="1181">
      <c r="A647" s="384" t="n"/>
      <c r="B647" s="384" t="n"/>
      <c r="C647" s="384" t="n"/>
      <c r="D647" s="384" t="n"/>
      <c r="E647" s="384" t="n"/>
      <c r="F647" s="384" t="n"/>
      <c r="G647" s="384" t="n"/>
      <c r="H647" s="384" t="n"/>
      <c r="I647" s="384" t="n"/>
      <c r="J647" s="384" t="n"/>
      <c r="K647" s="384" t="n"/>
      <c r="L647" s="384" t="n"/>
      <c r="M647" s="384" t="n"/>
      <c r="N647" s="384" t="n"/>
      <c r="O647" s="384" t="n"/>
      <c r="P647" s="384" t="n"/>
      <c r="Q647" s="384" t="n"/>
      <c r="R647" s="384" t="n"/>
      <c r="S647" s="384" t="n"/>
      <c r="T647" s="384" t="n"/>
      <c r="U647" s="384" t="n"/>
      <c r="V647" s="384" t="n"/>
      <c r="W647" s="384" t="n"/>
      <c r="X647" s="645">
        <f>IF(_epmOfflineCondition_,"I_E100952",EPMOlapMemberO("[C_INTERCO].[PARENTH1].[I_E100952]","","I_E100952","","000"))</f>
        <v/>
      </c>
      <c r="Y647" s="870">
        <f>IF(_epmOfflineCondition_,"呼和浩特市联合新能源开发有限公司",EPMMemberDesc(X647))</f>
        <v/>
      </c>
      <c r="Z647" s="1302" t="n"/>
      <c r="AA647" s="1302" t="n"/>
      <c r="AB647" s="858" t="n"/>
      <c r="AC647" s="1302" t="n"/>
      <c r="AD647" s="1302" t="n"/>
      <c r="AE647" s="1302" t="inlineStr"/>
      <c r="AF647" s="1302" t="inlineStr"/>
      <c r="AG647" s="1302" t="inlineStr"/>
      <c r="AH647" s="1302" t="n"/>
      <c r="AI647" s="1302" t="n"/>
      <c r="AJ647" s="1302" t="n"/>
      <c r="AK647" s="1302">
        <f>AI647-AJ647</f>
        <v/>
      </c>
      <c r="AL647" s="858" t="n"/>
      <c r="AM647" s="1297" t="inlineStr"/>
      <c r="AN647" s="1298" t="n"/>
      <c r="AO647" s="13">
        <f>IF(_epmOfflineCondition_,0,EPMSaveDataOnly(AB647,,AB$29,AB$25,AB$26,AB$31,AB$32,$AA$37,AO$14,AO$15,AO$16,AO$17,AO$18,X647))</f>
        <v/>
      </c>
      <c r="AP647" s="13">
        <f>IF(_epmOfflineCondition_,0,EPMSaveDataOnly(AL647,,AL$29,AL$25,AL$26,AL$31,AL$32,$AA$37,AP$14,AP$15,AP$16,AP$17,AP$18,$X647))</f>
        <v/>
      </c>
      <c r="AQ647" s="13">
        <f>IF(_epmOfflineCondition_,0,EPMSaveData(AM647,,AM$29,AM$25,AM$26,$C$6,AM$32,$AA$37,AQ$14,AQ$15,AQ$16,AQ$17,AQ$18,$X647))</f>
        <v/>
      </c>
      <c r="AR647" s="13">
        <f>IF(_epmOfflineCondition_,0,EPMSaveDataOnly(AN647,,AN$29,AN$25,AN$26,AN$31,AN$32,$AA$37,AR$14,AR$15,AR$16,AR$17,AR$18,$X647))</f>
        <v/>
      </c>
      <c r="AS647" s="384" t="n"/>
    </row>
    <row r="648" hidden="1" ht="15.75" customHeight="1" s="1181">
      <c r="A648" s="384" t="n"/>
      <c r="B648" s="384" t="n"/>
      <c r="C648" s="384" t="n"/>
      <c r="D648" s="384" t="n"/>
      <c r="E648" s="384" t="n"/>
      <c r="F648" s="384" t="n"/>
      <c r="G648" s="384" t="n"/>
      <c r="H648" s="384" t="n"/>
      <c r="I648" s="384" t="n"/>
      <c r="J648" s="384" t="n"/>
      <c r="K648" s="384" t="n"/>
      <c r="L648" s="384" t="n"/>
      <c r="M648" s="384" t="n"/>
      <c r="N648" s="384" t="n"/>
      <c r="O648" s="384" t="n"/>
      <c r="P648" s="384" t="n"/>
      <c r="Q648" s="384" t="n"/>
      <c r="R648" s="384" t="n"/>
      <c r="S648" s="384" t="n"/>
      <c r="T648" s="384" t="n"/>
      <c r="U648" s="384" t="n"/>
      <c r="V648" s="384" t="n"/>
      <c r="W648" s="384" t="n"/>
      <c r="X648" s="645">
        <f>IF(_epmOfflineCondition_,"I_E100953",EPMOlapMemberO("[C_INTERCO].[PARENTH1].[I_E100953]","","I_E100953","","000"))</f>
        <v/>
      </c>
      <c r="Y648" s="870">
        <f>IF(_epmOfflineCondition_,"清水河县惠民光伏发电有限公司",EPMMemberDesc(X648))</f>
        <v/>
      </c>
      <c r="Z648" s="1302" t="n"/>
      <c r="AA648" s="1302" t="n"/>
      <c r="AB648" s="858" t="n"/>
      <c r="AC648" s="1302" t="n"/>
      <c r="AD648" s="1302" t="n"/>
      <c r="AE648" s="1302" t="inlineStr"/>
      <c r="AF648" s="1302" t="inlineStr"/>
      <c r="AG648" s="1302" t="inlineStr"/>
      <c r="AH648" s="1302" t="n"/>
      <c r="AI648" s="1302" t="n"/>
      <c r="AJ648" s="1302" t="n"/>
      <c r="AK648" s="1302">
        <f>AI648-AJ648</f>
        <v/>
      </c>
      <c r="AL648" s="858" t="n"/>
      <c r="AM648" s="1297" t="inlineStr"/>
      <c r="AN648" s="1298" t="n"/>
      <c r="AO648" s="13">
        <f>IF(_epmOfflineCondition_,0,EPMSaveDataOnly(AB648,,AB$29,AB$25,AB$26,AB$31,AB$32,$AA$37,AO$14,AO$15,AO$16,AO$17,AO$18,X648))</f>
        <v/>
      </c>
      <c r="AP648" s="13">
        <f>IF(_epmOfflineCondition_,0,EPMSaveDataOnly(AL648,,AL$29,AL$25,AL$26,AL$31,AL$32,$AA$37,AP$14,AP$15,AP$16,AP$17,AP$18,$X648))</f>
        <v/>
      </c>
      <c r="AQ648" s="13">
        <f>IF(_epmOfflineCondition_,0,EPMSaveData(AM648,,AM$29,AM$25,AM$26,$C$6,AM$32,$AA$37,AQ$14,AQ$15,AQ$16,AQ$17,AQ$18,$X648))</f>
        <v/>
      </c>
      <c r="AR648" s="13">
        <f>IF(_epmOfflineCondition_,0,EPMSaveDataOnly(AN648,,AN$29,AN$25,AN$26,AN$31,AN$32,$AA$37,AR$14,AR$15,AR$16,AR$17,AR$18,$X648))</f>
        <v/>
      </c>
      <c r="AS648" s="384" t="n"/>
    </row>
    <row r="649" hidden="1" ht="15.75" customHeight="1" s="1181">
      <c r="A649" s="384" t="n"/>
      <c r="B649" s="384" t="n"/>
      <c r="C649" s="384" t="n"/>
      <c r="D649" s="384" t="n"/>
      <c r="E649" s="384" t="n"/>
      <c r="F649" s="384" t="n"/>
      <c r="G649" s="384" t="n"/>
      <c r="H649" s="384" t="n"/>
      <c r="I649" s="384" t="n"/>
      <c r="J649" s="384" t="n"/>
      <c r="K649" s="384" t="n"/>
      <c r="L649" s="384" t="n"/>
      <c r="M649" s="384" t="n"/>
      <c r="N649" s="384" t="n"/>
      <c r="O649" s="384" t="n"/>
      <c r="P649" s="384" t="n"/>
      <c r="Q649" s="384" t="n"/>
      <c r="R649" s="384" t="n"/>
      <c r="S649" s="384" t="n"/>
      <c r="T649" s="384" t="n"/>
      <c r="U649" s="384" t="n"/>
      <c r="V649" s="384" t="n"/>
      <c r="W649" s="384" t="n"/>
      <c r="X649" s="645">
        <f>IF(_epmOfflineCondition_,"I_E100954",EPMOlapMemberO("[C_INTERCO].[PARENTH1].[I_E100954]","","I_E100954","","000"))</f>
        <v/>
      </c>
      <c r="Y649" s="870">
        <f>IF(_epmOfflineCondition_,"大同联合光伏新能源有限公司",EPMMemberDesc(X649))</f>
        <v/>
      </c>
      <c r="Z649" s="1302" t="n"/>
      <c r="AA649" s="1302" t="n"/>
      <c r="AB649" s="858" t="n"/>
      <c r="AC649" s="1302" t="n"/>
      <c r="AD649" s="1302" t="n"/>
      <c r="AE649" s="1302" t="inlineStr"/>
      <c r="AF649" s="1302" t="inlineStr"/>
      <c r="AG649" s="1302" t="inlineStr"/>
      <c r="AH649" s="1302" t="n"/>
      <c r="AI649" s="1302" t="n"/>
      <c r="AJ649" s="1302" t="n"/>
      <c r="AK649" s="1302">
        <f>AI649-AJ649</f>
        <v/>
      </c>
      <c r="AL649" s="858" t="n"/>
      <c r="AM649" s="1297" t="inlineStr"/>
      <c r="AN649" s="1298" t="n"/>
      <c r="AO649" s="13">
        <f>IF(_epmOfflineCondition_,0,EPMSaveDataOnly(AB649,,AB$29,AB$25,AB$26,AB$31,AB$32,$AA$37,AO$14,AO$15,AO$16,AO$17,AO$18,X649))</f>
        <v/>
      </c>
      <c r="AP649" s="13">
        <f>IF(_epmOfflineCondition_,0,EPMSaveDataOnly(AL649,,AL$29,AL$25,AL$26,AL$31,AL$32,$AA$37,AP$14,AP$15,AP$16,AP$17,AP$18,$X649))</f>
        <v/>
      </c>
      <c r="AQ649" s="13">
        <f>IF(_epmOfflineCondition_,0,EPMSaveData(AM649,,AM$29,AM$25,AM$26,$C$6,AM$32,$AA$37,AQ$14,AQ$15,AQ$16,AQ$17,AQ$18,$X649))</f>
        <v/>
      </c>
      <c r="AR649" s="13">
        <f>IF(_epmOfflineCondition_,0,EPMSaveDataOnly(AN649,,AN$29,AN$25,AN$26,AN$31,AN$32,$AA$37,AR$14,AR$15,AR$16,AR$17,AR$18,$X649))</f>
        <v/>
      </c>
      <c r="AS649" s="384" t="n"/>
    </row>
    <row r="650" hidden="1" ht="15.75" customHeight="1" s="1181">
      <c r="A650" s="384" t="n"/>
      <c r="B650" s="384" t="n"/>
      <c r="C650" s="384" t="n"/>
      <c r="D650" s="384" t="n"/>
      <c r="E650" s="384" t="n"/>
      <c r="F650" s="384" t="n"/>
      <c r="G650" s="384" t="n"/>
      <c r="H650" s="384" t="n"/>
      <c r="I650" s="384" t="n"/>
      <c r="J650" s="384" t="n"/>
      <c r="K650" s="384" t="n"/>
      <c r="L650" s="384" t="n"/>
      <c r="M650" s="384" t="n"/>
      <c r="N650" s="384" t="n"/>
      <c r="O650" s="384" t="n"/>
      <c r="P650" s="384" t="n"/>
      <c r="Q650" s="384" t="n"/>
      <c r="R650" s="384" t="n"/>
      <c r="S650" s="384" t="n"/>
      <c r="T650" s="384" t="n"/>
      <c r="U650" s="384" t="n"/>
      <c r="V650" s="384" t="n"/>
      <c r="W650" s="384" t="n"/>
      <c r="X650" s="645">
        <f>IF(_epmOfflineCondition_,"I_E100955",EPMOlapMemberO("[C_INTERCO].[PARENTH1].[I_E100955]","","I_E100955","","000"))</f>
        <v/>
      </c>
      <c r="Y650" s="870">
        <f>IF(_epmOfflineCondition_,"常州鼎晖新能源有限公司",EPMMemberDesc(X650))</f>
        <v/>
      </c>
      <c r="Z650" s="1302" t="n"/>
      <c r="AA650" s="1302" t="n"/>
      <c r="AB650" s="858" t="n"/>
      <c r="AC650" s="1302" t="n"/>
      <c r="AD650" s="1302" t="n"/>
      <c r="AE650" s="1302" t="inlineStr"/>
      <c r="AF650" s="1302" t="inlineStr"/>
      <c r="AG650" s="1302" t="inlineStr"/>
      <c r="AH650" s="1302" t="n"/>
      <c r="AI650" s="1302" t="n"/>
      <c r="AJ650" s="1302" t="n"/>
      <c r="AK650" s="1302">
        <f>AI650-AJ650</f>
        <v/>
      </c>
      <c r="AL650" s="858" t="n"/>
      <c r="AM650" s="1297" t="inlineStr"/>
      <c r="AN650" s="1298" t="n"/>
      <c r="AO650" s="13">
        <f>IF(_epmOfflineCondition_,0,EPMSaveDataOnly(AB650,,AB$29,AB$25,AB$26,AB$31,AB$32,$AA$37,AO$14,AO$15,AO$16,AO$17,AO$18,X650))</f>
        <v/>
      </c>
      <c r="AP650" s="13">
        <f>IF(_epmOfflineCondition_,0,EPMSaveDataOnly(AL650,,AL$29,AL$25,AL$26,AL$31,AL$32,$AA$37,AP$14,AP$15,AP$16,AP$17,AP$18,$X650))</f>
        <v/>
      </c>
      <c r="AQ650" s="13">
        <f>IF(_epmOfflineCondition_,0,EPMSaveData(AM650,,AM$29,AM$25,AM$26,$C$6,AM$32,$AA$37,AQ$14,AQ$15,AQ$16,AQ$17,AQ$18,$X650))</f>
        <v/>
      </c>
      <c r="AR650" s="13">
        <f>IF(_epmOfflineCondition_,0,EPMSaveDataOnly(AN650,,AN$29,AN$25,AN$26,AN$31,AN$32,$AA$37,AR$14,AR$15,AR$16,AR$17,AR$18,$X650))</f>
        <v/>
      </c>
      <c r="AS650" s="384" t="n"/>
    </row>
    <row r="651" hidden="1" ht="15.75" customHeight="1" s="1181">
      <c r="A651" s="384" t="n"/>
      <c r="B651" s="384" t="n"/>
      <c r="C651" s="384" t="n"/>
      <c r="D651" s="384" t="n"/>
      <c r="E651" s="384" t="n"/>
      <c r="F651" s="384" t="n"/>
      <c r="G651" s="384" t="n"/>
      <c r="H651" s="384" t="n"/>
      <c r="I651" s="384" t="n"/>
      <c r="J651" s="384" t="n"/>
      <c r="K651" s="384" t="n"/>
      <c r="L651" s="384" t="n"/>
      <c r="M651" s="384" t="n"/>
      <c r="N651" s="384" t="n"/>
      <c r="O651" s="384" t="n"/>
      <c r="P651" s="384" t="n"/>
      <c r="Q651" s="384" t="n"/>
      <c r="R651" s="384" t="n"/>
      <c r="S651" s="384" t="n"/>
      <c r="T651" s="384" t="n"/>
      <c r="U651" s="384" t="n"/>
      <c r="V651" s="384" t="n"/>
      <c r="W651" s="384" t="n"/>
      <c r="X651" s="645">
        <f>IF(_epmOfflineCondition_,"I_E100956",EPMOlapMemberO("[C_INTERCO].[PARENTH1].[I_E100956]","","I_E100956","","000"))</f>
        <v/>
      </c>
      <c r="Y651" s="870">
        <f>IF(_epmOfflineCondition_,"常州光昱新能源有限公司",EPMMemberDesc(X651))</f>
        <v/>
      </c>
      <c r="Z651" s="1302" t="n"/>
      <c r="AA651" s="1302" t="n"/>
      <c r="AB651" s="858" t="n"/>
      <c r="AC651" s="1302" t="n"/>
      <c r="AD651" s="1302" t="n"/>
      <c r="AE651" s="1302" t="inlineStr"/>
      <c r="AF651" s="1302" t="inlineStr"/>
      <c r="AG651" s="1302" t="inlineStr"/>
      <c r="AH651" s="1302" t="n"/>
      <c r="AI651" s="1302" t="n"/>
      <c r="AJ651" s="1302" t="n"/>
      <c r="AK651" s="1302">
        <f>AI651-AJ651</f>
        <v/>
      </c>
      <c r="AL651" s="858" t="n"/>
      <c r="AM651" s="1297" t="inlineStr"/>
      <c r="AN651" s="1298" t="n"/>
      <c r="AO651" s="13">
        <f>IF(_epmOfflineCondition_,0,EPMSaveDataOnly(AB651,,AB$29,AB$25,AB$26,AB$31,AB$32,$AA$37,AO$14,AO$15,AO$16,AO$17,AO$18,X651))</f>
        <v/>
      </c>
      <c r="AP651" s="13">
        <f>IF(_epmOfflineCondition_,0,EPMSaveDataOnly(AL651,,AL$29,AL$25,AL$26,AL$31,AL$32,$AA$37,AP$14,AP$15,AP$16,AP$17,AP$18,$X651))</f>
        <v/>
      </c>
      <c r="AQ651" s="13">
        <f>IF(_epmOfflineCondition_,0,EPMSaveData(AM651,,AM$29,AM$25,AM$26,$C$6,AM$32,$AA$37,AQ$14,AQ$15,AQ$16,AQ$17,AQ$18,$X651))</f>
        <v/>
      </c>
      <c r="AR651" s="13">
        <f>IF(_epmOfflineCondition_,0,EPMSaveDataOnly(AN651,,AN$29,AN$25,AN$26,AN$31,AN$32,$AA$37,AR$14,AR$15,AR$16,AR$17,AR$18,$X651))</f>
        <v/>
      </c>
      <c r="AS651" s="384" t="n"/>
    </row>
    <row r="652" hidden="1" ht="15.75" customHeight="1" s="1181">
      <c r="A652" s="384" t="n"/>
      <c r="B652" s="384" t="n"/>
      <c r="C652" s="384" t="n"/>
      <c r="D652" s="384" t="n"/>
      <c r="E652" s="384" t="n"/>
      <c r="F652" s="384" t="n"/>
      <c r="G652" s="384" t="n"/>
      <c r="H652" s="384" t="n"/>
      <c r="I652" s="384" t="n"/>
      <c r="J652" s="384" t="n"/>
      <c r="K652" s="384" t="n"/>
      <c r="L652" s="384" t="n"/>
      <c r="M652" s="384" t="n"/>
      <c r="N652" s="384" t="n"/>
      <c r="O652" s="384" t="n"/>
      <c r="P652" s="384" t="n"/>
      <c r="Q652" s="384" t="n"/>
      <c r="R652" s="384" t="n"/>
      <c r="S652" s="384" t="n"/>
      <c r="T652" s="384" t="n"/>
      <c r="U652" s="384" t="n"/>
      <c r="V652" s="384" t="n"/>
      <c r="W652" s="384" t="n"/>
      <c r="X652" s="645">
        <f>IF(_epmOfflineCondition_,"I_E100957",EPMOlapMemberO("[C_INTERCO].[PARENTH1].[I_E100957]","","I_E100957","","000"))</f>
        <v/>
      </c>
      <c r="Y652" s="870">
        <f>IF(_epmOfflineCondition_,"常州市招联绿达新能源有限公司",EPMMemberDesc(X652))</f>
        <v/>
      </c>
      <c r="Z652" s="1302" t="n"/>
      <c r="AA652" s="1302" t="n"/>
      <c r="AB652" s="858" t="n"/>
      <c r="AC652" s="1302" t="n"/>
      <c r="AD652" s="1302" t="n"/>
      <c r="AE652" s="1302" t="inlineStr"/>
      <c r="AF652" s="1302" t="inlineStr"/>
      <c r="AG652" s="1302" t="inlineStr"/>
      <c r="AH652" s="1302" t="n"/>
      <c r="AI652" s="1302" t="n"/>
      <c r="AJ652" s="1302" t="n"/>
      <c r="AK652" s="1302">
        <f>AI652-AJ652</f>
        <v/>
      </c>
      <c r="AL652" s="858" t="n"/>
      <c r="AM652" s="1297" t="inlineStr"/>
      <c r="AN652" s="1298" t="n"/>
      <c r="AO652" s="13">
        <f>IF(_epmOfflineCondition_,0,EPMSaveDataOnly(AB652,,AB$29,AB$25,AB$26,AB$31,AB$32,$AA$37,AO$14,AO$15,AO$16,AO$17,AO$18,X652))</f>
        <v/>
      </c>
      <c r="AP652" s="13">
        <f>IF(_epmOfflineCondition_,0,EPMSaveDataOnly(AL652,,AL$29,AL$25,AL$26,AL$31,AL$32,$AA$37,AP$14,AP$15,AP$16,AP$17,AP$18,$X652))</f>
        <v/>
      </c>
      <c r="AQ652" s="13">
        <f>IF(_epmOfflineCondition_,0,EPMSaveData(AM652,,AM$29,AM$25,AM$26,$C$6,AM$32,$AA$37,AQ$14,AQ$15,AQ$16,AQ$17,AQ$18,$X652))</f>
        <v/>
      </c>
      <c r="AR652" s="13">
        <f>IF(_epmOfflineCondition_,0,EPMSaveDataOnly(AN652,,AN$29,AN$25,AN$26,AN$31,AN$32,$AA$37,AR$14,AR$15,AR$16,AR$17,AR$18,$X652))</f>
        <v/>
      </c>
      <c r="AS652" s="384" t="n"/>
    </row>
    <row r="653" hidden="1" ht="15.75" customHeight="1" s="1181">
      <c r="A653" s="384" t="n"/>
      <c r="B653" s="384" t="n"/>
      <c r="C653" s="384" t="n"/>
      <c r="D653" s="384" t="n"/>
      <c r="E653" s="384" t="n"/>
      <c r="F653" s="384" t="n"/>
      <c r="G653" s="384" t="n"/>
      <c r="H653" s="384" t="n"/>
      <c r="I653" s="384" t="n"/>
      <c r="J653" s="384" t="n"/>
      <c r="K653" s="384" t="n"/>
      <c r="L653" s="384" t="n"/>
      <c r="M653" s="384" t="n"/>
      <c r="N653" s="384" t="n"/>
      <c r="O653" s="384" t="n"/>
      <c r="P653" s="384" t="n"/>
      <c r="Q653" s="384" t="n"/>
      <c r="R653" s="384" t="n"/>
      <c r="S653" s="384" t="n"/>
      <c r="T653" s="384" t="n"/>
      <c r="U653" s="384" t="n"/>
      <c r="V653" s="384" t="n"/>
      <c r="W653" s="384" t="n"/>
      <c r="X653" s="645">
        <f>IF(_epmOfflineCondition_,"I_E100958",EPMOlapMemberO("[C_INTERCO].[PARENTH1].[I_E100958]","","I_E100958","","000"))</f>
        <v/>
      </c>
      <c r="Y653" s="870">
        <f>IF(_epmOfflineCondition_,"常州市招联绿港新能源有限公司",EPMMemberDesc(X653))</f>
        <v/>
      </c>
      <c r="Z653" s="1302" t="n"/>
      <c r="AA653" s="1302" t="n"/>
      <c r="AB653" s="858" t="n"/>
      <c r="AC653" s="1302" t="n"/>
      <c r="AD653" s="1302" t="n"/>
      <c r="AE653" s="1302" t="inlineStr"/>
      <c r="AF653" s="1302" t="inlineStr"/>
      <c r="AG653" s="1302" t="inlineStr"/>
      <c r="AH653" s="1302" t="n"/>
      <c r="AI653" s="1302" t="n"/>
      <c r="AJ653" s="1302" t="n"/>
      <c r="AK653" s="1302">
        <f>AI653-AJ653</f>
        <v/>
      </c>
      <c r="AL653" s="858" t="n"/>
      <c r="AM653" s="1297" t="inlineStr"/>
      <c r="AN653" s="1298" t="n"/>
      <c r="AO653" s="13">
        <f>IF(_epmOfflineCondition_,0,EPMSaveDataOnly(AB653,,AB$29,AB$25,AB$26,AB$31,AB$32,$AA$37,AO$14,AO$15,AO$16,AO$17,AO$18,X653))</f>
        <v/>
      </c>
      <c r="AP653" s="13">
        <f>IF(_epmOfflineCondition_,0,EPMSaveDataOnly(AL653,,AL$29,AL$25,AL$26,AL$31,AL$32,$AA$37,AP$14,AP$15,AP$16,AP$17,AP$18,$X653))</f>
        <v/>
      </c>
      <c r="AQ653" s="13">
        <f>IF(_epmOfflineCondition_,0,EPMSaveData(AM653,,AM$29,AM$25,AM$26,$C$6,AM$32,$AA$37,AQ$14,AQ$15,AQ$16,AQ$17,AQ$18,$X653))</f>
        <v/>
      </c>
      <c r="AR653" s="13">
        <f>IF(_epmOfflineCondition_,0,EPMSaveDataOnly(AN653,,AN$29,AN$25,AN$26,AN$31,AN$32,$AA$37,AR$14,AR$15,AR$16,AR$17,AR$18,$X653))</f>
        <v/>
      </c>
      <c r="AS653" s="384" t="n"/>
    </row>
    <row r="654" hidden="1" ht="15.75" customHeight="1" s="1181">
      <c r="A654" s="384" t="n"/>
      <c r="B654" s="384" t="n"/>
      <c r="C654" s="384" t="n"/>
      <c r="D654" s="384" t="n"/>
      <c r="E654" s="384" t="n"/>
      <c r="F654" s="384" t="n"/>
      <c r="G654" s="384" t="n"/>
      <c r="H654" s="384" t="n"/>
      <c r="I654" s="384" t="n"/>
      <c r="J654" s="384" t="n"/>
      <c r="K654" s="384" t="n"/>
      <c r="L654" s="384" t="n"/>
      <c r="M654" s="384" t="n"/>
      <c r="N654" s="384" t="n"/>
      <c r="O654" s="384" t="n"/>
      <c r="P654" s="384" t="n"/>
      <c r="Q654" s="384" t="n"/>
      <c r="R654" s="384" t="n"/>
      <c r="S654" s="384" t="n"/>
      <c r="T654" s="384" t="n"/>
      <c r="U654" s="384" t="n"/>
      <c r="V654" s="384" t="n"/>
      <c r="W654" s="384" t="n"/>
      <c r="X654" s="645">
        <f>IF(_epmOfflineCondition_,"I_E100959",EPMOlapMemberO("[C_INTERCO].[PARENTH1].[I_E100959]","","I_E100959","","000"))</f>
        <v/>
      </c>
      <c r="Y654" s="870">
        <f>IF(_epmOfflineCondition_,"昆明邦业新能源发电有限公司",EPMMemberDesc(X654))</f>
        <v/>
      </c>
      <c r="Z654" s="1302" t="n"/>
      <c r="AA654" s="1302" t="n"/>
      <c r="AB654" s="858" t="n"/>
      <c r="AC654" s="1302" t="n"/>
      <c r="AD654" s="1302" t="n"/>
      <c r="AE654" s="1302" t="inlineStr"/>
      <c r="AF654" s="1302" t="inlineStr"/>
      <c r="AG654" s="1302" t="inlineStr"/>
      <c r="AH654" s="1302" t="n"/>
      <c r="AI654" s="1302" t="n"/>
      <c r="AJ654" s="1302" t="n"/>
      <c r="AK654" s="1302">
        <f>AI654-AJ654</f>
        <v/>
      </c>
      <c r="AL654" s="858" t="n"/>
      <c r="AM654" s="1297" t="inlineStr"/>
      <c r="AN654" s="1298" t="n"/>
      <c r="AO654" s="13">
        <f>IF(_epmOfflineCondition_,0,EPMSaveDataOnly(AB654,,AB$29,AB$25,AB$26,AB$31,AB$32,$AA$37,AO$14,AO$15,AO$16,AO$17,AO$18,X654))</f>
        <v/>
      </c>
      <c r="AP654" s="13">
        <f>IF(_epmOfflineCondition_,0,EPMSaveDataOnly(AL654,,AL$29,AL$25,AL$26,AL$31,AL$32,$AA$37,AP$14,AP$15,AP$16,AP$17,AP$18,$X654))</f>
        <v/>
      </c>
      <c r="AQ654" s="13">
        <f>IF(_epmOfflineCondition_,0,EPMSaveData(AM654,,AM$29,AM$25,AM$26,$C$6,AM$32,$AA$37,AQ$14,AQ$15,AQ$16,AQ$17,AQ$18,$X654))</f>
        <v/>
      </c>
      <c r="AR654" s="13">
        <f>IF(_epmOfflineCondition_,0,EPMSaveDataOnly(AN654,,AN$29,AN$25,AN$26,AN$31,AN$32,$AA$37,AR$14,AR$15,AR$16,AR$17,AR$18,$X654))</f>
        <v/>
      </c>
      <c r="AS654" s="384" t="n"/>
    </row>
    <row r="655" hidden="1" ht="15.75" customHeight="1" s="1181">
      <c r="A655" s="384" t="n"/>
      <c r="B655" s="384" t="n"/>
      <c r="C655" s="384" t="n"/>
      <c r="D655" s="384" t="n"/>
      <c r="E655" s="384" t="n"/>
      <c r="F655" s="384" t="n"/>
      <c r="G655" s="384" t="n"/>
      <c r="H655" s="384" t="n"/>
      <c r="I655" s="384" t="n"/>
      <c r="J655" s="384" t="n"/>
      <c r="K655" s="384" t="n"/>
      <c r="L655" s="384" t="n"/>
      <c r="M655" s="384" t="n"/>
      <c r="N655" s="384" t="n"/>
      <c r="O655" s="384" t="n"/>
      <c r="P655" s="384" t="n"/>
      <c r="Q655" s="384" t="n"/>
      <c r="R655" s="384" t="n"/>
      <c r="S655" s="384" t="n"/>
      <c r="T655" s="384" t="n"/>
      <c r="U655" s="384" t="n"/>
      <c r="V655" s="384" t="n"/>
      <c r="W655" s="384" t="n"/>
      <c r="X655" s="645">
        <f>IF(_epmOfflineCondition_,"I_E100960",EPMOlapMemberO("[C_INTERCO].[PARENTH1].[I_E100960]","","I_E100960","","000"))</f>
        <v/>
      </c>
      <c r="Y655" s="870">
        <f>IF(_epmOfflineCondition_,"常州市晖达新能源有限公司-2025年2月注销",EPMMemberDesc(X655))</f>
        <v/>
      </c>
      <c r="Z655" s="1302" t="n"/>
      <c r="AA655" s="1302" t="n"/>
      <c r="AB655" s="858" t="n"/>
      <c r="AC655" s="1302" t="n"/>
      <c r="AD655" s="1302" t="n"/>
      <c r="AE655" s="1302" t="inlineStr"/>
      <c r="AF655" s="1302" t="inlineStr"/>
      <c r="AG655" s="1302" t="inlineStr"/>
      <c r="AH655" s="1302" t="n"/>
      <c r="AI655" s="1302" t="n"/>
      <c r="AJ655" s="1302" t="n"/>
      <c r="AK655" s="1302">
        <f>AI655-AJ655</f>
        <v/>
      </c>
      <c r="AL655" s="858" t="n"/>
      <c r="AM655" s="1297" t="inlineStr"/>
      <c r="AN655" s="1298" t="n"/>
      <c r="AO655" s="13">
        <f>IF(_epmOfflineCondition_,0,EPMSaveDataOnly(AB655,,AB$29,AB$25,AB$26,AB$31,AB$32,$AA$37,AO$14,AO$15,AO$16,AO$17,AO$18,X655))</f>
        <v/>
      </c>
      <c r="AP655" s="13">
        <f>IF(_epmOfflineCondition_,0,EPMSaveDataOnly(AL655,,AL$29,AL$25,AL$26,AL$31,AL$32,$AA$37,AP$14,AP$15,AP$16,AP$17,AP$18,$X655))</f>
        <v/>
      </c>
      <c r="AQ655" s="13">
        <f>IF(_epmOfflineCondition_,0,EPMSaveData(AM655,,AM$29,AM$25,AM$26,$C$6,AM$32,$AA$37,AQ$14,AQ$15,AQ$16,AQ$17,AQ$18,$X655))</f>
        <v/>
      </c>
      <c r="AR655" s="13">
        <f>IF(_epmOfflineCondition_,0,EPMSaveDataOnly(AN655,,AN$29,AN$25,AN$26,AN$31,AN$32,$AA$37,AR$14,AR$15,AR$16,AR$17,AR$18,$X655))</f>
        <v/>
      </c>
      <c r="AS655" s="384" t="n"/>
    </row>
    <row r="656" hidden="1" ht="15.75" customHeight="1" s="1181">
      <c r="A656" s="384" t="n"/>
      <c r="B656" s="384" t="n"/>
      <c r="C656" s="384" t="n"/>
      <c r="D656" s="384" t="n"/>
      <c r="E656" s="384" t="n"/>
      <c r="F656" s="384" t="n"/>
      <c r="G656" s="384" t="n"/>
      <c r="H656" s="384" t="n"/>
      <c r="I656" s="384" t="n"/>
      <c r="J656" s="384" t="n"/>
      <c r="K656" s="384" t="n"/>
      <c r="L656" s="384" t="n"/>
      <c r="M656" s="384" t="n"/>
      <c r="N656" s="384" t="n"/>
      <c r="O656" s="384" t="n"/>
      <c r="P656" s="384" t="n"/>
      <c r="Q656" s="384" t="n"/>
      <c r="R656" s="384" t="n"/>
      <c r="S656" s="384" t="n"/>
      <c r="T656" s="384" t="n"/>
      <c r="U656" s="384" t="n"/>
      <c r="V656" s="384" t="n"/>
      <c r="W656" s="384" t="n"/>
      <c r="X656" s="645">
        <f>IF(_epmOfflineCondition_,"I_E100961",EPMOlapMemberO("[C_INTERCO].[PARENTH1].[I_E100961]","","I_E100961","","000"))</f>
        <v/>
      </c>
      <c r="Y656" s="870">
        <f>IF(_epmOfflineCondition_,"惠州市晟合光电科技有限公司",EPMMemberDesc(X656))</f>
        <v/>
      </c>
      <c r="Z656" s="1302" t="n"/>
      <c r="AA656" s="1302" t="n"/>
      <c r="AB656" s="858" t="n"/>
      <c r="AC656" s="1302" t="n"/>
      <c r="AD656" s="1302" t="n"/>
      <c r="AE656" s="1302" t="inlineStr"/>
      <c r="AF656" s="1302" t="inlineStr"/>
      <c r="AG656" s="1302" t="inlineStr"/>
      <c r="AH656" s="1302" t="n"/>
      <c r="AI656" s="1302" t="n"/>
      <c r="AJ656" s="1302" t="n"/>
      <c r="AK656" s="1302">
        <f>AI656-AJ656</f>
        <v/>
      </c>
      <c r="AL656" s="858" t="n"/>
      <c r="AM656" s="1297" t="inlineStr"/>
      <c r="AN656" s="1298" t="n"/>
      <c r="AO656" s="13">
        <f>IF(_epmOfflineCondition_,0,EPMSaveDataOnly(AB656,,AB$29,AB$25,AB$26,AB$31,AB$32,$AA$37,AO$14,AO$15,AO$16,AO$17,AO$18,X656))</f>
        <v/>
      </c>
      <c r="AP656" s="13">
        <f>IF(_epmOfflineCondition_,0,EPMSaveDataOnly(AL656,,AL$29,AL$25,AL$26,AL$31,AL$32,$AA$37,AP$14,AP$15,AP$16,AP$17,AP$18,$X656))</f>
        <v/>
      </c>
      <c r="AQ656" s="13">
        <f>IF(_epmOfflineCondition_,0,EPMSaveData(AM656,,AM$29,AM$25,AM$26,$C$6,AM$32,$AA$37,AQ$14,AQ$15,AQ$16,AQ$17,AQ$18,$X656))</f>
        <v/>
      </c>
      <c r="AR656" s="13">
        <f>IF(_epmOfflineCondition_,0,EPMSaveDataOnly(AN656,,AN$29,AN$25,AN$26,AN$31,AN$32,$AA$37,AR$14,AR$15,AR$16,AR$17,AR$18,$X656))</f>
        <v/>
      </c>
      <c r="AS656" s="384" t="n"/>
    </row>
    <row r="657" hidden="1" ht="15.75" customHeight="1" s="1181">
      <c r="A657" s="384" t="n"/>
      <c r="B657" s="384" t="n"/>
      <c r="C657" s="384" t="n"/>
      <c r="D657" s="384" t="n"/>
      <c r="E657" s="384" t="n"/>
      <c r="F657" s="384" t="n"/>
      <c r="G657" s="384" t="n"/>
      <c r="H657" s="384" t="n"/>
      <c r="I657" s="384" t="n"/>
      <c r="J657" s="384" t="n"/>
      <c r="K657" s="384" t="n"/>
      <c r="L657" s="384" t="n"/>
      <c r="M657" s="384" t="n"/>
      <c r="N657" s="384" t="n"/>
      <c r="O657" s="384" t="n"/>
      <c r="P657" s="384" t="n"/>
      <c r="Q657" s="384" t="n"/>
      <c r="R657" s="384" t="n"/>
      <c r="S657" s="384" t="n"/>
      <c r="T657" s="384" t="n"/>
      <c r="U657" s="384" t="n"/>
      <c r="V657" s="384" t="n"/>
      <c r="W657" s="384" t="n"/>
      <c r="X657" s="645">
        <f>IF(_epmOfflineCondition_,"I_E100962",EPMOlapMemberO("[C_INTERCO].[PARENTH1].[I_E100962]","","I_E100962","","000"))</f>
        <v/>
      </c>
      <c r="Y657" s="870">
        <f>IF(_epmOfflineCondition_,"东源县老围光电科技有限公司",EPMMemberDesc(X657))</f>
        <v/>
      </c>
      <c r="Z657" s="1302" t="n"/>
      <c r="AA657" s="1302" t="n"/>
      <c r="AB657" s="858" t="n"/>
      <c r="AC657" s="1302" t="n"/>
      <c r="AD657" s="1302" t="n"/>
      <c r="AE657" s="1302" t="inlineStr"/>
      <c r="AF657" s="1302" t="inlineStr"/>
      <c r="AG657" s="1302" t="inlineStr"/>
      <c r="AH657" s="1302" t="n"/>
      <c r="AI657" s="1302" t="n"/>
      <c r="AJ657" s="1302" t="n"/>
      <c r="AK657" s="1302">
        <f>AI657-AJ657</f>
        <v/>
      </c>
      <c r="AL657" s="858" t="n"/>
      <c r="AM657" s="1297" t="inlineStr"/>
      <c r="AN657" s="1298" t="n"/>
      <c r="AO657" s="13">
        <f>IF(_epmOfflineCondition_,0,EPMSaveDataOnly(AB657,,AB$29,AB$25,AB$26,AB$31,AB$32,$AA$37,AO$14,AO$15,AO$16,AO$17,AO$18,X657))</f>
        <v/>
      </c>
      <c r="AP657" s="13">
        <f>IF(_epmOfflineCondition_,0,EPMSaveDataOnly(AL657,,AL$29,AL$25,AL$26,AL$31,AL$32,$AA$37,AP$14,AP$15,AP$16,AP$17,AP$18,$X657))</f>
        <v/>
      </c>
      <c r="AQ657" s="13">
        <f>IF(_epmOfflineCondition_,0,EPMSaveData(AM657,,AM$29,AM$25,AM$26,$C$6,AM$32,$AA$37,AQ$14,AQ$15,AQ$16,AQ$17,AQ$18,$X657))</f>
        <v/>
      </c>
      <c r="AR657" s="13">
        <f>IF(_epmOfflineCondition_,0,EPMSaveDataOnly(AN657,,AN$29,AN$25,AN$26,AN$31,AN$32,$AA$37,AR$14,AR$15,AR$16,AR$17,AR$18,$X657))</f>
        <v/>
      </c>
      <c r="AS657" s="384" t="n"/>
    </row>
    <row r="658" hidden="1" ht="15.75" customHeight="1" s="1181">
      <c r="A658" s="384" t="n"/>
      <c r="B658" s="384" t="n"/>
      <c r="C658" s="384" t="n"/>
      <c r="D658" s="384" t="n"/>
      <c r="E658" s="384" t="n"/>
      <c r="F658" s="384" t="n"/>
      <c r="G658" s="384" t="n"/>
      <c r="H658" s="384" t="n"/>
      <c r="I658" s="384" t="n"/>
      <c r="J658" s="384" t="n"/>
      <c r="K658" s="384" t="n"/>
      <c r="L658" s="384" t="n"/>
      <c r="M658" s="384" t="n"/>
      <c r="N658" s="384" t="n"/>
      <c r="O658" s="384" t="n"/>
      <c r="P658" s="384" t="n"/>
      <c r="Q658" s="384" t="n"/>
      <c r="R658" s="384" t="n"/>
      <c r="S658" s="384" t="n"/>
      <c r="T658" s="384" t="n"/>
      <c r="U658" s="384" t="n"/>
      <c r="V658" s="384" t="n"/>
      <c r="W658" s="384" t="n"/>
      <c r="X658" s="645">
        <f>IF(_epmOfflineCondition_,"I_E100963",EPMOlapMemberO("[C_INTERCO].[PARENTH1].[I_E100963]","","I_E100963","","000"))</f>
        <v/>
      </c>
      <c r="Y658" s="870">
        <f>IF(_epmOfflineCondition_,"丝绸之路新能源（常州）有限公司",EPMMemberDesc(X658))</f>
        <v/>
      </c>
      <c r="Z658" s="1302" t="n"/>
      <c r="AA658" s="1302" t="n"/>
      <c r="AB658" s="858" t="n"/>
      <c r="AC658" s="1302" t="n"/>
      <c r="AD658" s="1302" t="n"/>
      <c r="AE658" s="1302" t="inlineStr"/>
      <c r="AF658" s="1302" t="inlineStr"/>
      <c r="AG658" s="1302" t="inlineStr"/>
      <c r="AH658" s="1302" t="n"/>
      <c r="AI658" s="1302" t="n"/>
      <c r="AJ658" s="1302" t="n"/>
      <c r="AK658" s="1302">
        <f>AI658-AJ658</f>
        <v/>
      </c>
      <c r="AL658" s="858" t="n"/>
      <c r="AM658" s="1297" t="inlineStr"/>
      <c r="AN658" s="1298" t="n"/>
      <c r="AO658" s="13">
        <f>IF(_epmOfflineCondition_,0,EPMSaveDataOnly(AB658,,AB$29,AB$25,AB$26,AB$31,AB$32,$AA$37,AO$14,AO$15,AO$16,AO$17,AO$18,X658))</f>
        <v/>
      </c>
      <c r="AP658" s="13">
        <f>IF(_epmOfflineCondition_,0,EPMSaveDataOnly(AL658,,AL$29,AL$25,AL$26,AL$31,AL$32,$AA$37,AP$14,AP$15,AP$16,AP$17,AP$18,$X658))</f>
        <v/>
      </c>
      <c r="AQ658" s="13">
        <f>IF(_epmOfflineCondition_,0,EPMSaveData(AM658,,AM$29,AM$25,AM$26,$C$6,AM$32,$AA$37,AQ$14,AQ$15,AQ$16,AQ$17,AQ$18,$X658))</f>
        <v/>
      </c>
      <c r="AR658" s="13">
        <f>IF(_epmOfflineCondition_,0,EPMSaveDataOnly(AN658,,AN$29,AN$25,AN$26,AN$31,AN$32,$AA$37,AR$14,AR$15,AR$16,AR$17,AR$18,$X658))</f>
        <v/>
      </c>
      <c r="AS658" s="384" t="n"/>
    </row>
    <row r="659" hidden="1" ht="15.75" customHeight="1" s="1181">
      <c r="A659" s="384" t="n"/>
      <c r="B659" s="384" t="n"/>
      <c r="C659" s="384" t="n"/>
      <c r="D659" s="384" t="n"/>
      <c r="E659" s="384" t="n"/>
      <c r="F659" s="384" t="n"/>
      <c r="G659" s="384" t="n"/>
      <c r="H659" s="384" t="n"/>
      <c r="I659" s="384" t="n"/>
      <c r="J659" s="384" t="n"/>
      <c r="K659" s="384" t="n"/>
      <c r="L659" s="384" t="n"/>
      <c r="M659" s="384" t="n"/>
      <c r="N659" s="384" t="n"/>
      <c r="O659" s="384" t="n"/>
      <c r="P659" s="384" t="n"/>
      <c r="Q659" s="384" t="n"/>
      <c r="R659" s="384" t="n"/>
      <c r="S659" s="384" t="n"/>
      <c r="T659" s="384" t="n"/>
      <c r="U659" s="384" t="n"/>
      <c r="V659" s="384" t="n"/>
      <c r="W659" s="384" t="n"/>
      <c r="X659" s="645">
        <f>IF(_epmOfflineCondition_,"I_E100964",EPMOlapMemberO("[C_INTERCO].[PARENTH1].[I_E100964]","","I_E100964","","000"))</f>
        <v/>
      </c>
      <c r="Y659" s="870">
        <f>IF(_epmOfflineCondition_,"吐鲁番禾粟农业科技有限公司",EPMMemberDesc(X659))</f>
        <v/>
      </c>
      <c r="Z659" s="1302" t="n"/>
      <c r="AA659" s="1302" t="n"/>
      <c r="AB659" s="858" t="n"/>
      <c r="AC659" s="1302" t="n"/>
      <c r="AD659" s="1302" t="n"/>
      <c r="AE659" s="1302" t="inlineStr"/>
      <c r="AF659" s="1302" t="inlineStr"/>
      <c r="AG659" s="1302" t="inlineStr"/>
      <c r="AH659" s="1302" t="n"/>
      <c r="AI659" s="1302" t="n"/>
      <c r="AJ659" s="1302" t="n"/>
      <c r="AK659" s="1302">
        <f>AI659-AJ659</f>
        <v/>
      </c>
      <c r="AL659" s="858" t="n"/>
      <c r="AM659" s="1297" t="inlineStr"/>
      <c r="AN659" s="1298" t="n"/>
      <c r="AO659" s="13">
        <f>IF(_epmOfflineCondition_,0,EPMSaveDataOnly(AB659,,AB$29,AB$25,AB$26,AB$31,AB$32,$AA$37,AO$14,AO$15,AO$16,AO$17,AO$18,X659))</f>
        <v/>
      </c>
      <c r="AP659" s="13">
        <f>IF(_epmOfflineCondition_,0,EPMSaveDataOnly(AL659,,AL$29,AL$25,AL$26,AL$31,AL$32,$AA$37,AP$14,AP$15,AP$16,AP$17,AP$18,$X659))</f>
        <v/>
      </c>
      <c r="AQ659" s="13">
        <f>IF(_epmOfflineCondition_,0,EPMSaveData(AM659,,AM$29,AM$25,AM$26,$C$6,AM$32,$AA$37,AQ$14,AQ$15,AQ$16,AQ$17,AQ$18,$X659))</f>
        <v/>
      </c>
      <c r="AR659" s="13">
        <f>IF(_epmOfflineCondition_,0,EPMSaveDataOnly(AN659,,AN$29,AN$25,AN$26,AN$31,AN$32,$AA$37,AR$14,AR$15,AR$16,AR$17,AR$18,$X659))</f>
        <v/>
      </c>
      <c r="AS659" s="384" t="n"/>
    </row>
    <row r="660" hidden="1" ht="15.75" customHeight="1" s="1181">
      <c r="A660" s="384" t="n"/>
      <c r="B660" s="384" t="n"/>
      <c r="C660" s="384" t="n"/>
      <c r="D660" s="384" t="n"/>
      <c r="E660" s="384" t="n"/>
      <c r="F660" s="384" t="n"/>
      <c r="G660" s="384" t="n"/>
      <c r="H660" s="384" t="n"/>
      <c r="I660" s="384" t="n"/>
      <c r="J660" s="384" t="n"/>
      <c r="K660" s="384" t="n"/>
      <c r="L660" s="384" t="n"/>
      <c r="M660" s="384" t="n"/>
      <c r="N660" s="384" t="n"/>
      <c r="O660" s="384" t="n"/>
      <c r="P660" s="384" t="n"/>
      <c r="Q660" s="384" t="n"/>
      <c r="R660" s="384" t="n"/>
      <c r="S660" s="384" t="n"/>
      <c r="T660" s="384" t="n"/>
      <c r="U660" s="384" t="n"/>
      <c r="V660" s="384" t="n"/>
      <c r="W660" s="384" t="n"/>
      <c r="X660" s="645">
        <f>IF(_epmOfflineCondition_,"I_E100965",EPMOlapMemberO("[C_INTERCO].[PARENTH1].[I_E100965]","","I_E100965","","000"))</f>
        <v/>
      </c>
      <c r="Y660" s="870">
        <f>IF(_epmOfflineCondition_,"石拐丝绸之路光伏发电有限公司",EPMMemberDesc(X660))</f>
        <v/>
      </c>
      <c r="Z660" s="1302" t="n"/>
      <c r="AA660" s="1302" t="n"/>
      <c r="AB660" s="858" t="n"/>
      <c r="AC660" s="1302" t="n"/>
      <c r="AD660" s="1302" t="n"/>
      <c r="AE660" s="1302" t="inlineStr"/>
      <c r="AF660" s="1302" t="inlineStr"/>
      <c r="AG660" s="1302" t="inlineStr"/>
      <c r="AH660" s="1302" t="n"/>
      <c r="AI660" s="1302" t="n"/>
      <c r="AJ660" s="1302" t="n"/>
      <c r="AK660" s="1302">
        <f>AI660-AJ660</f>
        <v/>
      </c>
      <c r="AL660" s="858" t="n"/>
      <c r="AM660" s="1297" t="inlineStr"/>
      <c r="AN660" s="1298" t="n"/>
      <c r="AO660" s="13">
        <f>IF(_epmOfflineCondition_,0,EPMSaveDataOnly(AB660,,AB$29,AB$25,AB$26,AB$31,AB$32,$AA$37,AO$14,AO$15,AO$16,AO$17,AO$18,X660))</f>
        <v/>
      </c>
      <c r="AP660" s="13">
        <f>IF(_epmOfflineCondition_,0,EPMSaveDataOnly(AL660,,AL$29,AL$25,AL$26,AL$31,AL$32,$AA$37,AP$14,AP$15,AP$16,AP$17,AP$18,$X660))</f>
        <v/>
      </c>
      <c r="AQ660" s="13">
        <f>IF(_epmOfflineCondition_,0,EPMSaveData(AM660,,AM$29,AM$25,AM$26,$C$6,AM$32,$AA$37,AQ$14,AQ$15,AQ$16,AQ$17,AQ$18,$X660))</f>
        <v/>
      </c>
      <c r="AR660" s="13">
        <f>IF(_epmOfflineCondition_,0,EPMSaveDataOnly(AN660,,AN$29,AN$25,AN$26,AN$31,AN$32,$AA$37,AR$14,AR$15,AR$16,AR$17,AR$18,$X660))</f>
        <v/>
      </c>
      <c r="AS660" s="384" t="n"/>
    </row>
    <row r="661" hidden="1" ht="15.75" customHeight="1" s="1181">
      <c r="A661" s="384" t="n"/>
      <c r="B661" s="384" t="n"/>
      <c r="C661" s="384" t="n"/>
      <c r="D661" s="384" t="n"/>
      <c r="E661" s="384" t="n"/>
      <c r="F661" s="384" t="n"/>
      <c r="G661" s="384" t="n"/>
      <c r="H661" s="384" t="n"/>
      <c r="I661" s="384" t="n"/>
      <c r="J661" s="384" t="n"/>
      <c r="K661" s="384" t="n"/>
      <c r="L661" s="384" t="n"/>
      <c r="M661" s="384" t="n"/>
      <c r="N661" s="384" t="n"/>
      <c r="O661" s="384" t="n"/>
      <c r="P661" s="384" t="n"/>
      <c r="Q661" s="384" t="n"/>
      <c r="R661" s="384" t="n"/>
      <c r="S661" s="384" t="n"/>
      <c r="T661" s="384" t="n"/>
      <c r="U661" s="384" t="n"/>
      <c r="V661" s="384" t="n"/>
      <c r="W661" s="384" t="n"/>
      <c r="X661" s="645">
        <f>IF(_epmOfflineCondition_,"I_E100966",EPMOlapMemberO("[C_INTERCO].[PARENTH1].[I_E100966]","","I_E100966","","000"))</f>
        <v/>
      </c>
      <c r="Y661" s="870">
        <f>IF(_epmOfflineCondition_,"乡城联合光伏开发有限公司",EPMMemberDesc(X661))</f>
        <v/>
      </c>
      <c r="Z661" s="1302" t="n"/>
      <c r="AA661" s="1302" t="n"/>
      <c r="AB661" s="858" t="n"/>
      <c r="AC661" s="1302" t="n"/>
      <c r="AD661" s="1302" t="n"/>
      <c r="AE661" s="1302" t="inlineStr"/>
      <c r="AF661" s="1302" t="inlineStr"/>
      <c r="AG661" s="1302" t="inlineStr"/>
      <c r="AH661" s="1302" t="n"/>
      <c r="AI661" s="1302" t="n"/>
      <c r="AJ661" s="1302" t="n"/>
      <c r="AK661" s="1302">
        <f>AI661-AJ661</f>
        <v/>
      </c>
      <c r="AL661" s="858" t="n"/>
      <c r="AM661" s="1297" t="inlineStr"/>
      <c r="AN661" s="1298" t="n"/>
      <c r="AO661" s="13">
        <f>IF(_epmOfflineCondition_,0,EPMSaveDataOnly(AB661,,AB$29,AB$25,AB$26,AB$31,AB$32,$AA$37,AO$14,AO$15,AO$16,AO$17,AO$18,X661))</f>
        <v/>
      </c>
      <c r="AP661" s="13">
        <f>IF(_epmOfflineCondition_,0,EPMSaveDataOnly(AL661,,AL$29,AL$25,AL$26,AL$31,AL$32,$AA$37,AP$14,AP$15,AP$16,AP$17,AP$18,$X661))</f>
        <v/>
      </c>
      <c r="AQ661" s="13">
        <f>IF(_epmOfflineCondition_,0,EPMSaveData(AM661,,AM$29,AM$25,AM$26,$C$6,AM$32,$AA$37,AQ$14,AQ$15,AQ$16,AQ$17,AQ$18,$X661))</f>
        <v/>
      </c>
      <c r="AR661" s="13">
        <f>IF(_epmOfflineCondition_,0,EPMSaveDataOnly(AN661,,AN$29,AN$25,AN$26,AN$31,AN$32,$AA$37,AR$14,AR$15,AR$16,AR$17,AR$18,$X661))</f>
        <v/>
      </c>
      <c r="AS661" s="384" t="n"/>
    </row>
    <row r="662" hidden="1" ht="15.75" customHeight="1" s="1181">
      <c r="A662" s="384" t="n"/>
      <c r="B662" s="384" t="n"/>
      <c r="C662" s="384" t="n"/>
      <c r="D662" s="384" t="n"/>
      <c r="E662" s="384" t="n"/>
      <c r="F662" s="384" t="n"/>
      <c r="G662" s="384" t="n"/>
      <c r="H662" s="384" t="n"/>
      <c r="I662" s="384" t="n"/>
      <c r="J662" s="384" t="n"/>
      <c r="K662" s="384" t="n"/>
      <c r="L662" s="384" t="n"/>
      <c r="M662" s="384" t="n"/>
      <c r="N662" s="384" t="n"/>
      <c r="O662" s="384" t="n"/>
      <c r="P662" s="384" t="n"/>
      <c r="Q662" s="384" t="n"/>
      <c r="R662" s="384" t="n"/>
      <c r="S662" s="384" t="n"/>
      <c r="T662" s="384" t="n"/>
      <c r="U662" s="384" t="n"/>
      <c r="V662" s="384" t="n"/>
      <c r="W662" s="384" t="n"/>
      <c r="X662" s="645">
        <f>IF(_epmOfflineCondition_,"I_E100967",EPMOlapMemberO("[C_INTERCO].[PARENTH1].[I_E100967]","","I_E100967","","000"))</f>
        <v/>
      </c>
      <c r="Y662" s="870">
        <f>IF(_epmOfflineCondition_,"国电乌拉特后旗光伏发电有限公司",EPMMemberDesc(X662))</f>
        <v/>
      </c>
      <c r="Z662" s="1302" t="n"/>
      <c r="AA662" s="1302" t="n"/>
      <c r="AB662" s="858" t="n"/>
      <c r="AC662" s="1302" t="n"/>
      <c r="AD662" s="1302" t="n"/>
      <c r="AE662" s="1302" t="inlineStr"/>
      <c r="AF662" s="1302" t="inlineStr"/>
      <c r="AG662" s="1302" t="inlineStr"/>
      <c r="AH662" s="1302" t="n"/>
      <c r="AI662" s="1302" t="n"/>
      <c r="AJ662" s="1302" t="n"/>
      <c r="AK662" s="1302">
        <f>AI662-AJ662</f>
        <v/>
      </c>
      <c r="AL662" s="858" t="n"/>
      <c r="AM662" s="1297" t="inlineStr"/>
      <c r="AN662" s="1298" t="n"/>
      <c r="AO662" s="13">
        <f>IF(_epmOfflineCondition_,0,EPMSaveDataOnly(AB662,,AB$29,AB$25,AB$26,AB$31,AB$32,$AA$37,AO$14,AO$15,AO$16,AO$17,AO$18,X662))</f>
        <v/>
      </c>
      <c r="AP662" s="13">
        <f>IF(_epmOfflineCondition_,0,EPMSaveDataOnly(AL662,,AL$29,AL$25,AL$26,AL$31,AL$32,$AA$37,AP$14,AP$15,AP$16,AP$17,AP$18,$X662))</f>
        <v/>
      </c>
      <c r="AQ662" s="13">
        <f>IF(_epmOfflineCondition_,0,EPMSaveData(AM662,,AM$29,AM$25,AM$26,$C$6,AM$32,$AA$37,AQ$14,AQ$15,AQ$16,AQ$17,AQ$18,$X662))</f>
        <v/>
      </c>
      <c r="AR662" s="13">
        <f>IF(_epmOfflineCondition_,0,EPMSaveDataOnly(AN662,,AN$29,AN$25,AN$26,AN$31,AN$32,$AA$37,AR$14,AR$15,AR$16,AR$17,AR$18,$X662))</f>
        <v/>
      </c>
      <c r="AS662" s="384" t="n"/>
    </row>
    <row r="663" hidden="1" ht="15.75" customHeight="1" s="1181">
      <c r="A663" s="384" t="n"/>
      <c r="B663" s="384" t="n"/>
      <c r="C663" s="384" t="n"/>
      <c r="D663" s="384" t="n"/>
      <c r="E663" s="384" t="n"/>
      <c r="F663" s="384" t="n"/>
      <c r="G663" s="384" t="n"/>
      <c r="H663" s="384" t="n"/>
      <c r="I663" s="384" t="n"/>
      <c r="J663" s="384" t="n"/>
      <c r="K663" s="384" t="n"/>
      <c r="L663" s="384" t="n"/>
      <c r="M663" s="384" t="n"/>
      <c r="N663" s="384" t="n"/>
      <c r="O663" s="384" t="n"/>
      <c r="P663" s="384" t="n"/>
      <c r="Q663" s="384" t="n"/>
      <c r="R663" s="384" t="n"/>
      <c r="S663" s="384" t="n"/>
      <c r="T663" s="384" t="n"/>
      <c r="U663" s="384" t="n"/>
      <c r="V663" s="384" t="n"/>
      <c r="W663" s="384" t="n"/>
      <c r="X663" s="645">
        <f>IF(_epmOfflineCondition_,"I_E100968",EPMOlapMemberO("[C_INTERCO].[PARENTH1].[I_E100968]","","I_E100968","","000"))</f>
        <v/>
      </c>
      <c r="Y663" s="870">
        <f>IF(_epmOfflineCondition_,"国电察哈尔右翼前旗光伏发电有限公司",EPMMemberDesc(X663))</f>
        <v/>
      </c>
      <c r="Z663" s="1302" t="n"/>
      <c r="AA663" s="1302" t="n"/>
      <c r="AB663" s="858" t="n"/>
      <c r="AC663" s="1302" t="n"/>
      <c r="AD663" s="1302" t="n"/>
      <c r="AE663" s="1302" t="inlineStr"/>
      <c r="AF663" s="1302" t="inlineStr"/>
      <c r="AG663" s="1302" t="inlineStr"/>
      <c r="AH663" s="1302" t="n"/>
      <c r="AI663" s="1302" t="n"/>
      <c r="AJ663" s="1302" t="n"/>
      <c r="AK663" s="1302">
        <f>AI663-AJ663</f>
        <v/>
      </c>
      <c r="AL663" s="858" t="n"/>
      <c r="AM663" s="1297" t="inlineStr"/>
      <c r="AN663" s="1298" t="n"/>
      <c r="AO663" s="13">
        <f>IF(_epmOfflineCondition_,0,EPMSaveDataOnly(AB663,,AB$29,AB$25,AB$26,AB$31,AB$32,$AA$37,AO$14,AO$15,AO$16,AO$17,AO$18,X663))</f>
        <v/>
      </c>
      <c r="AP663" s="13">
        <f>IF(_epmOfflineCondition_,0,EPMSaveDataOnly(AL663,,AL$29,AL$25,AL$26,AL$31,AL$32,$AA$37,AP$14,AP$15,AP$16,AP$17,AP$18,$X663))</f>
        <v/>
      </c>
      <c r="AQ663" s="13">
        <f>IF(_epmOfflineCondition_,0,EPMSaveData(AM663,,AM$29,AM$25,AM$26,$C$6,AM$32,$AA$37,AQ$14,AQ$15,AQ$16,AQ$17,AQ$18,$X663))</f>
        <v/>
      </c>
      <c r="AR663" s="13">
        <f>IF(_epmOfflineCondition_,0,EPMSaveDataOnly(AN663,,AN$29,AN$25,AN$26,AN$31,AN$32,$AA$37,AR$14,AR$15,AR$16,AR$17,AR$18,$X663))</f>
        <v/>
      </c>
      <c r="AS663" s="384" t="n"/>
    </row>
    <row r="664" hidden="1" ht="15.75" customHeight="1" s="1181">
      <c r="A664" s="384" t="n"/>
      <c r="B664" s="384" t="n"/>
      <c r="C664" s="384" t="n"/>
      <c r="D664" s="384" t="n"/>
      <c r="E664" s="384" t="n"/>
      <c r="F664" s="384" t="n"/>
      <c r="G664" s="384" t="n"/>
      <c r="H664" s="384" t="n"/>
      <c r="I664" s="384" t="n"/>
      <c r="J664" s="384" t="n"/>
      <c r="K664" s="384" t="n"/>
      <c r="L664" s="384" t="n"/>
      <c r="M664" s="384" t="n"/>
      <c r="N664" s="384" t="n"/>
      <c r="O664" s="384" t="n"/>
      <c r="P664" s="384" t="n"/>
      <c r="Q664" s="384" t="n"/>
      <c r="R664" s="384" t="n"/>
      <c r="S664" s="384" t="n"/>
      <c r="T664" s="384" t="n"/>
      <c r="U664" s="384" t="n"/>
      <c r="V664" s="384" t="n"/>
      <c r="W664" s="384" t="n"/>
      <c r="X664" s="645">
        <f>IF(_epmOfflineCondition_,"I_E100969",EPMOlapMemberO("[C_INTERCO].[PARENTH1].[I_E100969]","","I_E100969","","000"))</f>
        <v/>
      </c>
      <c r="Y664" s="870">
        <f>IF(_epmOfflineCondition_,"国电托克托县光伏发电有限公司",EPMMemberDesc(X664))</f>
        <v/>
      </c>
      <c r="Z664" s="1302" t="n"/>
      <c r="AA664" s="1302" t="n"/>
      <c r="AB664" s="858" t="n"/>
      <c r="AC664" s="1302" t="n"/>
      <c r="AD664" s="1302" t="n"/>
      <c r="AE664" s="1302" t="inlineStr"/>
      <c r="AF664" s="1302" t="inlineStr"/>
      <c r="AG664" s="1302" t="inlineStr"/>
      <c r="AH664" s="1302" t="n"/>
      <c r="AI664" s="1302" t="n"/>
      <c r="AJ664" s="1302" t="n"/>
      <c r="AK664" s="1302">
        <f>AI664-AJ664</f>
        <v/>
      </c>
      <c r="AL664" s="858" t="n"/>
      <c r="AM664" s="1297" t="inlineStr"/>
      <c r="AN664" s="1298" t="n"/>
      <c r="AO664" s="13">
        <f>IF(_epmOfflineCondition_,0,EPMSaveDataOnly(AB664,,AB$29,AB$25,AB$26,AB$31,AB$32,$AA$37,AO$14,AO$15,AO$16,AO$17,AO$18,X664))</f>
        <v/>
      </c>
      <c r="AP664" s="13">
        <f>IF(_epmOfflineCondition_,0,EPMSaveDataOnly(AL664,,AL$29,AL$25,AL$26,AL$31,AL$32,$AA$37,AP$14,AP$15,AP$16,AP$17,AP$18,$X664))</f>
        <v/>
      </c>
      <c r="AQ664" s="13">
        <f>IF(_epmOfflineCondition_,0,EPMSaveData(AM664,,AM$29,AM$25,AM$26,$C$6,AM$32,$AA$37,AQ$14,AQ$15,AQ$16,AQ$17,AQ$18,$X664))</f>
        <v/>
      </c>
      <c r="AR664" s="13">
        <f>IF(_epmOfflineCondition_,0,EPMSaveDataOnly(AN664,,AN$29,AN$25,AN$26,AN$31,AN$32,$AA$37,AR$14,AR$15,AR$16,AR$17,AR$18,$X664))</f>
        <v/>
      </c>
      <c r="AS664" s="384" t="n"/>
    </row>
    <row r="665" hidden="1" ht="15.75" customHeight="1" s="1181">
      <c r="A665" s="384" t="n"/>
      <c r="B665" s="384" t="n"/>
      <c r="C665" s="384" t="n"/>
      <c r="D665" s="384" t="n"/>
      <c r="E665" s="384" t="n"/>
      <c r="F665" s="384" t="n"/>
      <c r="G665" s="384" t="n"/>
      <c r="H665" s="384" t="n"/>
      <c r="I665" s="384" t="n"/>
      <c r="J665" s="384" t="n"/>
      <c r="K665" s="384" t="n"/>
      <c r="L665" s="384" t="n"/>
      <c r="M665" s="384" t="n"/>
      <c r="N665" s="384" t="n"/>
      <c r="O665" s="384" t="n"/>
      <c r="P665" s="384" t="n"/>
      <c r="Q665" s="384" t="n"/>
      <c r="R665" s="384" t="n"/>
      <c r="S665" s="384" t="n"/>
      <c r="T665" s="384" t="n"/>
      <c r="U665" s="384" t="n"/>
      <c r="V665" s="384" t="n"/>
      <c r="W665" s="384" t="n"/>
      <c r="X665" s="645">
        <f>IF(_epmOfflineCondition_,"I_E100970",EPMOlapMemberO("[C_INTERCO].[PARENTH1].[I_E100970]","","I_E100970","","000"))</f>
        <v/>
      </c>
      <c r="Y665" s="870">
        <f>IF(_epmOfflineCondition_,"林周藏电开发有限公司",EPMMemberDesc(X665))</f>
        <v/>
      </c>
      <c r="Z665" s="1302" t="n"/>
      <c r="AA665" s="1302" t="n"/>
      <c r="AB665" s="858" t="n"/>
      <c r="AC665" s="1302" t="n"/>
      <c r="AD665" s="1302" t="n"/>
      <c r="AE665" s="1302" t="inlineStr"/>
      <c r="AF665" s="1302" t="inlineStr"/>
      <c r="AG665" s="1302" t="inlineStr"/>
      <c r="AH665" s="1302" t="n"/>
      <c r="AI665" s="1302" t="n"/>
      <c r="AJ665" s="1302" t="n"/>
      <c r="AK665" s="1302">
        <f>AI665-AJ665</f>
        <v/>
      </c>
      <c r="AL665" s="858" t="n"/>
      <c r="AM665" s="1297" t="inlineStr"/>
      <c r="AN665" s="1298" t="n"/>
      <c r="AO665" s="13">
        <f>IF(_epmOfflineCondition_,0,EPMSaveDataOnly(AB665,,AB$29,AB$25,AB$26,AB$31,AB$32,$AA$37,AO$14,AO$15,AO$16,AO$17,AO$18,X665))</f>
        <v/>
      </c>
      <c r="AP665" s="13">
        <f>IF(_epmOfflineCondition_,0,EPMSaveDataOnly(AL665,,AL$29,AL$25,AL$26,AL$31,AL$32,$AA$37,AP$14,AP$15,AP$16,AP$17,AP$18,$X665))</f>
        <v/>
      </c>
      <c r="AQ665" s="13">
        <f>IF(_epmOfflineCondition_,0,EPMSaveData(AM665,,AM$29,AM$25,AM$26,$C$6,AM$32,$AA$37,AQ$14,AQ$15,AQ$16,AQ$17,AQ$18,$X665))</f>
        <v/>
      </c>
      <c r="AR665" s="13">
        <f>IF(_epmOfflineCondition_,0,EPMSaveDataOnly(AN665,,AN$29,AN$25,AN$26,AN$31,AN$32,$AA$37,AR$14,AR$15,AR$16,AR$17,AR$18,$X665))</f>
        <v/>
      </c>
      <c r="AS665" s="384" t="n"/>
    </row>
    <row r="666" hidden="1" ht="15.75" customHeight="1" s="1181">
      <c r="A666" s="384" t="n"/>
      <c r="B666" s="384" t="n"/>
      <c r="C666" s="384" t="n"/>
      <c r="D666" s="384" t="n"/>
      <c r="E666" s="384" t="n"/>
      <c r="F666" s="384" t="n"/>
      <c r="G666" s="384" t="n"/>
      <c r="H666" s="384" t="n"/>
      <c r="I666" s="384" t="n"/>
      <c r="J666" s="384" t="n"/>
      <c r="K666" s="384" t="n"/>
      <c r="L666" s="384" t="n"/>
      <c r="M666" s="384" t="n"/>
      <c r="N666" s="384" t="n"/>
      <c r="O666" s="384" t="n"/>
      <c r="P666" s="384" t="n"/>
      <c r="Q666" s="384" t="n"/>
      <c r="R666" s="384" t="n"/>
      <c r="S666" s="384" t="n"/>
      <c r="T666" s="384" t="n"/>
      <c r="U666" s="384" t="n"/>
      <c r="V666" s="384" t="n"/>
      <c r="W666" s="384" t="n"/>
      <c r="X666" s="645">
        <f>IF(_epmOfflineCondition_,"I_E100971",EPMOlapMemberO("[C_INTERCO].[PARENTH1].[I_E100971]","","I_E100971","","000"))</f>
        <v/>
      </c>
      <c r="Y666" s="870">
        <f>IF(_epmOfflineCondition_,"曲水茂昌光伏产业发展有限公司",EPMMemberDesc(X666))</f>
        <v/>
      </c>
      <c r="Z666" s="1302" t="n"/>
      <c r="AA666" s="1302" t="n"/>
      <c r="AB666" s="858" t="n"/>
      <c r="AC666" s="1302" t="n"/>
      <c r="AD666" s="1302" t="n"/>
      <c r="AE666" s="1302" t="inlineStr"/>
      <c r="AF666" s="1302" t="inlineStr"/>
      <c r="AG666" s="1302" t="inlineStr"/>
      <c r="AH666" s="1302" t="n"/>
      <c r="AI666" s="1302" t="n"/>
      <c r="AJ666" s="1302" t="n"/>
      <c r="AK666" s="1302">
        <f>AI666-AJ666</f>
        <v/>
      </c>
      <c r="AL666" s="858" t="n"/>
      <c r="AM666" s="1297" t="inlineStr"/>
      <c r="AN666" s="1298" t="n"/>
      <c r="AO666" s="13">
        <f>IF(_epmOfflineCondition_,0,EPMSaveDataOnly(AB666,,AB$29,AB$25,AB$26,AB$31,AB$32,$AA$37,AO$14,AO$15,AO$16,AO$17,AO$18,X666))</f>
        <v/>
      </c>
      <c r="AP666" s="13">
        <f>IF(_epmOfflineCondition_,0,EPMSaveDataOnly(AL666,,AL$29,AL$25,AL$26,AL$31,AL$32,$AA$37,AP$14,AP$15,AP$16,AP$17,AP$18,$X666))</f>
        <v/>
      </c>
      <c r="AQ666" s="13">
        <f>IF(_epmOfflineCondition_,0,EPMSaveData(AM666,,AM$29,AM$25,AM$26,$C$6,AM$32,$AA$37,AQ$14,AQ$15,AQ$16,AQ$17,AQ$18,$X666))</f>
        <v/>
      </c>
      <c r="AR666" s="13">
        <f>IF(_epmOfflineCondition_,0,EPMSaveDataOnly(AN666,,AN$29,AN$25,AN$26,AN$31,AN$32,$AA$37,AR$14,AR$15,AR$16,AR$17,AR$18,$X666))</f>
        <v/>
      </c>
      <c r="AS666" s="384" t="n"/>
    </row>
    <row r="667" hidden="1" ht="15.75" customHeight="1" s="1181">
      <c r="A667" s="384" t="n"/>
      <c r="B667" s="384" t="n"/>
      <c r="C667" s="384" t="n"/>
      <c r="D667" s="384" t="n"/>
      <c r="E667" s="384" t="n"/>
      <c r="F667" s="384" t="n"/>
      <c r="G667" s="384" t="n"/>
      <c r="H667" s="384" t="n"/>
      <c r="I667" s="384" t="n"/>
      <c r="J667" s="384" t="n"/>
      <c r="K667" s="384" t="n"/>
      <c r="L667" s="384" t="n"/>
      <c r="M667" s="384" t="n"/>
      <c r="N667" s="384" t="n"/>
      <c r="O667" s="384" t="n"/>
      <c r="P667" s="384" t="n"/>
      <c r="Q667" s="384" t="n"/>
      <c r="R667" s="384" t="n"/>
      <c r="S667" s="384" t="n"/>
      <c r="T667" s="384" t="n"/>
      <c r="U667" s="384" t="n"/>
      <c r="V667" s="384" t="n"/>
      <c r="W667" s="384" t="n"/>
      <c r="X667" s="645">
        <f>IF(_epmOfflineCondition_,"I_E100973",EPMOlapMemberO("[C_INTERCO].[PARENTH1].[I_E100973]","","I_E100973","","000"))</f>
        <v/>
      </c>
      <c r="Y667" s="870">
        <f>IF(_epmOfflineCondition_,"察右前旗联合光伏发电有限公司",EPMMemberDesc(X667))</f>
        <v/>
      </c>
      <c r="Z667" s="1302" t="n"/>
      <c r="AA667" s="1302" t="n"/>
      <c r="AB667" s="858" t="n"/>
      <c r="AC667" s="1302" t="n"/>
      <c r="AD667" s="1302" t="n"/>
      <c r="AE667" s="1302" t="inlineStr"/>
      <c r="AF667" s="1302" t="inlineStr"/>
      <c r="AG667" s="1302" t="inlineStr"/>
      <c r="AH667" s="1302" t="n"/>
      <c r="AI667" s="1302" t="n"/>
      <c r="AJ667" s="1302" t="n"/>
      <c r="AK667" s="1302">
        <f>AI667-AJ667</f>
        <v/>
      </c>
      <c r="AL667" s="858" t="n"/>
      <c r="AM667" s="1297" t="inlineStr"/>
      <c r="AN667" s="1298" t="n"/>
      <c r="AO667" s="13">
        <f>IF(_epmOfflineCondition_,0,EPMSaveDataOnly(AB667,,AB$29,AB$25,AB$26,AB$31,AB$32,$AA$37,AO$14,AO$15,AO$16,AO$17,AO$18,X667))</f>
        <v/>
      </c>
      <c r="AP667" s="13">
        <f>IF(_epmOfflineCondition_,0,EPMSaveDataOnly(AL667,,AL$29,AL$25,AL$26,AL$31,AL$32,$AA$37,AP$14,AP$15,AP$16,AP$17,AP$18,$X667))</f>
        <v/>
      </c>
      <c r="AQ667" s="13">
        <f>IF(_epmOfflineCondition_,0,EPMSaveData(AM667,,AM$29,AM$25,AM$26,$C$6,AM$32,$AA$37,AQ$14,AQ$15,AQ$16,AQ$17,AQ$18,$X667))</f>
        <v/>
      </c>
      <c r="AR667" s="13">
        <f>IF(_epmOfflineCondition_,0,EPMSaveDataOnly(AN667,,AN$29,AN$25,AN$26,AN$31,AN$32,$AA$37,AR$14,AR$15,AR$16,AR$17,AR$18,$X667))</f>
        <v/>
      </c>
      <c r="AS667" s="384" t="n"/>
    </row>
    <row r="668" hidden="1" ht="15.75" customHeight="1" s="1181">
      <c r="A668" s="384" t="n"/>
      <c r="B668" s="384" t="n"/>
      <c r="C668" s="384" t="n"/>
      <c r="D668" s="384" t="n"/>
      <c r="E668" s="384" t="n"/>
      <c r="F668" s="384" t="n"/>
      <c r="G668" s="384" t="n"/>
      <c r="H668" s="384" t="n"/>
      <c r="I668" s="384" t="n"/>
      <c r="J668" s="384" t="n"/>
      <c r="K668" s="384" t="n"/>
      <c r="L668" s="384" t="n"/>
      <c r="M668" s="384" t="n"/>
      <c r="N668" s="384" t="n"/>
      <c r="O668" s="384" t="n"/>
      <c r="P668" s="384" t="n"/>
      <c r="Q668" s="384" t="n"/>
      <c r="R668" s="384" t="n"/>
      <c r="S668" s="384" t="n"/>
      <c r="T668" s="384" t="n"/>
      <c r="U668" s="384" t="n"/>
      <c r="V668" s="384" t="n"/>
      <c r="W668" s="384" t="n"/>
      <c r="X668" s="645">
        <f>IF(_epmOfflineCondition_,"I_E100974",EPMOlapMemberO("[C_INTERCO].[PARENTH1].[I_E100974]","","I_E100974","","000"))</f>
        <v/>
      </c>
      <c r="Y668" s="870">
        <f>IF(_epmOfflineCondition_,"内蒙古国润（察右前旗）发电有限公司",EPMMemberDesc(X668))</f>
        <v/>
      </c>
      <c r="Z668" s="1302" t="n"/>
      <c r="AA668" s="1302" t="n"/>
      <c r="AB668" s="858" t="n"/>
      <c r="AC668" s="1302" t="n"/>
      <c r="AD668" s="1302" t="n"/>
      <c r="AE668" s="1302" t="inlineStr"/>
      <c r="AF668" s="1302" t="inlineStr"/>
      <c r="AG668" s="1302" t="inlineStr"/>
      <c r="AH668" s="1302" t="n"/>
      <c r="AI668" s="1302" t="n"/>
      <c r="AJ668" s="1302" t="n"/>
      <c r="AK668" s="1302">
        <f>AI668-AJ668</f>
        <v/>
      </c>
      <c r="AL668" s="858" t="n"/>
      <c r="AM668" s="1297" t="inlineStr"/>
      <c r="AN668" s="1298" t="n"/>
      <c r="AO668" s="13">
        <f>IF(_epmOfflineCondition_,0,EPMSaveDataOnly(AB668,,AB$29,AB$25,AB$26,AB$31,AB$32,$AA$37,AO$14,AO$15,AO$16,AO$17,AO$18,X668))</f>
        <v/>
      </c>
      <c r="AP668" s="13">
        <f>IF(_epmOfflineCondition_,0,EPMSaveDataOnly(AL668,,AL$29,AL$25,AL$26,AL$31,AL$32,$AA$37,AP$14,AP$15,AP$16,AP$17,AP$18,$X668))</f>
        <v/>
      </c>
      <c r="AQ668" s="13">
        <f>IF(_epmOfflineCondition_,0,EPMSaveData(AM668,,AM$29,AM$25,AM$26,$C$6,AM$32,$AA$37,AQ$14,AQ$15,AQ$16,AQ$17,AQ$18,$X668))</f>
        <v/>
      </c>
      <c r="AR668" s="13">
        <f>IF(_epmOfflineCondition_,0,EPMSaveDataOnly(AN668,,AN$29,AN$25,AN$26,AN$31,AN$32,$AA$37,AR$14,AR$15,AR$16,AR$17,AR$18,$X668))</f>
        <v/>
      </c>
      <c r="AS668" s="384" t="n"/>
    </row>
    <row r="669" hidden="1" ht="15.75" customHeight="1" s="1181">
      <c r="A669" s="384" t="n"/>
      <c r="B669" s="384" t="n"/>
      <c r="C669" s="384" t="n"/>
      <c r="D669" s="384" t="n"/>
      <c r="E669" s="384" t="n"/>
      <c r="F669" s="384" t="n"/>
      <c r="G669" s="384" t="n"/>
      <c r="H669" s="384" t="n"/>
      <c r="I669" s="384" t="n"/>
      <c r="J669" s="384" t="n"/>
      <c r="K669" s="384" t="n"/>
      <c r="L669" s="384" t="n"/>
      <c r="M669" s="384" t="n"/>
      <c r="N669" s="384" t="n"/>
      <c r="O669" s="384" t="n"/>
      <c r="P669" s="384" t="n"/>
      <c r="Q669" s="384" t="n"/>
      <c r="R669" s="384" t="n"/>
      <c r="S669" s="384" t="n"/>
      <c r="T669" s="384" t="n"/>
      <c r="U669" s="384" t="n"/>
      <c r="V669" s="384" t="n"/>
      <c r="W669" s="384" t="n"/>
      <c r="X669" s="645">
        <f>IF(_epmOfflineCondition_,"I_E100975",EPMOlapMemberO("[C_INTERCO].[PARENTH1].[I_E100975]","","I_E100975","","000"))</f>
        <v/>
      </c>
      <c r="Y669" s="870">
        <f>IF(_epmOfflineCondition_,"卓资县陆阳新能源有限公司",EPMMemberDesc(X669))</f>
        <v/>
      </c>
      <c r="Z669" s="1302" t="n"/>
      <c r="AA669" s="1302" t="n"/>
      <c r="AB669" s="858" t="n"/>
      <c r="AC669" s="1302" t="n"/>
      <c r="AD669" s="1302" t="n"/>
      <c r="AE669" s="1302" t="inlineStr"/>
      <c r="AF669" s="1302" t="inlineStr"/>
      <c r="AG669" s="1302" t="inlineStr"/>
      <c r="AH669" s="1302" t="n"/>
      <c r="AI669" s="1302" t="n"/>
      <c r="AJ669" s="1302" t="n"/>
      <c r="AK669" s="1302">
        <f>AI669-AJ669</f>
        <v/>
      </c>
      <c r="AL669" s="858" t="n"/>
      <c r="AM669" s="1297" t="inlineStr"/>
      <c r="AN669" s="1298" t="n"/>
      <c r="AO669" s="13">
        <f>IF(_epmOfflineCondition_,0,EPMSaveDataOnly(AB669,,AB$29,AB$25,AB$26,AB$31,AB$32,$AA$37,AO$14,AO$15,AO$16,AO$17,AO$18,X669))</f>
        <v/>
      </c>
      <c r="AP669" s="13">
        <f>IF(_epmOfflineCondition_,0,EPMSaveDataOnly(AL669,,AL$29,AL$25,AL$26,AL$31,AL$32,$AA$37,AP$14,AP$15,AP$16,AP$17,AP$18,$X669))</f>
        <v/>
      </c>
      <c r="AQ669" s="13">
        <f>IF(_epmOfflineCondition_,0,EPMSaveData(AM669,,AM$29,AM$25,AM$26,$C$6,AM$32,$AA$37,AQ$14,AQ$15,AQ$16,AQ$17,AQ$18,$X669))</f>
        <v/>
      </c>
      <c r="AR669" s="13">
        <f>IF(_epmOfflineCondition_,0,EPMSaveDataOnly(AN669,,AN$29,AN$25,AN$26,AN$31,AN$32,$AA$37,AR$14,AR$15,AR$16,AR$17,AR$18,$X669))</f>
        <v/>
      </c>
      <c r="AS669" s="384" t="n"/>
    </row>
    <row r="670" hidden="1" ht="15.75" customHeight="1" s="1181">
      <c r="A670" s="384" t="n"/>
      <c r="B670" s="384" t="n"/>
      <c r="C670" s="384" t="n"/>
      <c r="D670" s="384" t="n"/>
      <c r="E670" s="384" t="n"/>
      <c r="F670" s="384" t="n"/>
      <c r="G670" s="384" t="n"/>
      <c r="H670" s="384" t="n"/>
      <c r="I670" s="384" t="n"/>
      <c r="J670" s="384" t="n"/>
      <c r="K670" s="384" t="n"/>
      <c r="L670" s="384" t="n"/>
      <c r="M670" s="384" t="n"/>
      <c r="N670" s="384" t="n"/>
      <c r="O670" s="384" t="n"/>
      <c r="P670" s="384" t="n"/>
      <c r="Q670" s="384" t="n"/>
      <c r="R670" s="384" t="n"/>
      <c r="S670" s="384" t="n"/>
      <c r="T670" s="384" t="n"/>
      <c r="U670" s="384" t="n"/>
      <c r="V670" s="384" t="n"/>
      <c r="W670" s="384" t="n"/>
      <c r="X670" s="645">
        <f>IF(_epmOfflineCondition_,"I_E100976",EPMOlapMemberO("[C_INTERCO].[PARENTH1].[I_E100976]","","I_E100976","","000"))</f>
        <v/>
      </c>
      <c r="Y670" s="870">
        <f>IF(_epmOfflineCondition_,"杭锦后旗国电光伏发电有限公司",EPMMemberDesc(X670))</f>
        <v/>
      </c>
      <c r="Z670" s="1302" t="n"/>
      <c r="AA670" s="1302" t="n"/>
      <c r="AB670" s="858" t="n"/>
      <c r="AC670" s="1302" t="n"/>
      <c r="AD670" s="1302" t="n"/>
      <c r="AE670" s="1302" t="inlineStr"/>
      <c r="AF670" s="1302" t="inlineStr"/>
      <c r="AG670" s="1302" t="inlineStr"/>
      <c r="AH670" s="1302" t="n"/>
      <c r="AI670" s="1302" t="n"/>
      <c r="AJ670" s="1302" t="n"/>
      <c r="AK670" s="1302">
        <f>AI670-AJ670</f>
        <v/>
      </c>
      <c r="AL670" s="858" t="n"/>
      <c r="AM670" s="1297" t="inlineStr"/>
      <c r="AN670" s="1298" t="n"/>
      <c r="AO670" s="13">
        <f>IF(_epmOfflineCondition_,0,EPMSaveDataOnly(AB670,,AB$29,AB$25,AB$26,AB$31,AB$32,$AA$37,AO$14,AO$15,AO$16,AO$17,AO$18,X670))</f>
        <v/>
      </c>
      <c r="AP670" s="13">
        <f>IF(_epmOfflineCondition_,0,EPMSaveDataOnly(AL670,,AL$29,AL$25,AL$26,AL$31,AL$32,$AA$37,AP$14,AP$15,AP$16,AP$17,AP$18,$X670))</f>
        <v/>
      </c>
      <c r="AQ670" s="13">
        <f>IF(_epmOfflineCondition_,0,EPMSaveData(AM670,,AM$29,AM$25,AM$26,$C$6,AM$32,$AA$37,AQ$14,AQ$15,AQ$16,AQ$17,AQ$18,$X670))</f>
        <v/>
      </c>
      <c r="AR670" s="13">
        <f>IF(_epmOfflineCondition_,0,EPMSaveDataOnly(AN670,,AN$29,AN$25,AN$26,AN$31,AN$32,$AA$37,AR$14,AR$15,AR$16,AR$17,AR$18,$X670))</f>
        <v/>
      </c>
      <c r="AS670" s="384" t="n"/>
    </row>
    <row r="671" hidden="1" ht="15.75" customHeight="1" s="1181">
      <c r="A671" s="384" t="n"/>
      <c r="B671" s="384" t="n"/>
      <c r="C671" s="384" t="n"/>
      <c r="D671" s="384" t="n"/>
      <c r="E671" s="384" t="n"/>
      <c r="F671" s="384" t="n"/>
      <c r="G671" s="384" t="n"/>
      <c r="H671" s="384" t="n"/>
      <c r="I671" s="384" t="n"/>
      <c r="J671" s="384" t="n"/>
      <c r="K671" s="384" t="n"/>
      <c r="L671" s="384" t="n"/>
      <c r="M671" s="384" t="n"/>
      <c r="N671" s="384" t="n"/>
      <c r="O671" s="384" t="n"/>
      <c r="P671" s="384" t="n"/>
      <c r="Q671" s="384" t="n"/>
      <c r="R671" s="384" t="n"/>
      <c r="S671" s="384" t="n"/>
      <c r="T671" s="384" t="n"/>
      <c r="U671" s="384" t="n"/>
      <c r="V671" s="384" t="n"/>
      <c r="W671" s="384" t="n"/>
      <c r="X671" s="645">
        <f>IF(_epmOfflineCondition_,"I_E100978",EPMOlapMemberO("[C_INTERCO].[PARENTH1].[I_E100978]","","I_E100978","","000"))</f>
        <v/>
      </c>
      <c r="Y671" s="870">
        <f>IF(_epmOfflineCondition_,"常州市招联绿新新能源有限公司",EPMMemberDesc(X671))</f>
        <v/>
      </c>
      <c r="Z671" s="1302" t="n"/>
      <c r="AA671" s="1302" t="n"/>
      <c r="AB671" s="858" t="n"/>
      <c r="AC671" s="1302" t="n"/>
      <c r="AD671" s="1302" t="n"/>
      <c r="AE671" s="1302" t="inlineStr"/>
      <c r="AF671" s="1302" t="inlineStr"/>
      <c r="AG671" s="1302" t="inlineStr"/>
      <c r="AH671" s="1302" t="n"/>
      <c r="AI671" s="1302" t="n"/>
      <c r="AJ671" s="1302" t="n"/>
      <c r="AK671" s="1302">
        <f>AI671-AJ671</f>
        <v/>
      </c>
      <c r="AL671" s="858" t="n"/>
      <c r="AM671" s="1297" t="inlineStr"/>
      <c r="AN671" s="1298" t="n"/>
      <c r="AO671" s="13">
        <f>IF(_epmOfflineCondition_,0,EPMSaveDataOnly(AB671,,AB$29,AB$25,AB$26,AB$31,AB$32,$AA$37,AO$14,AO$15,AO$16,AO$17,AO$18,X671))</f>
        <v/>
      </c>
      <c r="AP671" s="13">
        <f>IF(_epmOfflineCondition_,0,EPMSaveDataOnly(AL671,,AL$29,AL$25,AL$26,AL$31,AL$32,$AA$37,AP$14,AP$15,AP$16,AP$17,AP$18,$X671))</f>
        <v/>
      </c>
      <c r="AQ671" s="13">
        <f>IF(_epmOfflineCondition_,0,EPMSaveData(AM671,,AM$29,AM$25,AM$26,$C$6,AM$32,$AA$37,AQ$14,AQ$15,AQ$16,AQ$17,AQ$18,$X671))</f>
        <v/>
      </c>
      <c r="AR671" s="13">
        <f>IF(_epmOfflineCondition_,0,EPMSaveDataOnly(AN671,,AN$29,AN$25,AN$26,AN$31,AN$32,$AA$37,AR$14,AR$15,AR$16,AR$17,AR$18,$X671))</f>
        <v/>
      </c>
      <c r="AS671" s="384" t="n"/>
    </row>
    <row r="672" hidden="1" ht="15.75" customHeight="1" s="1181">
      <c r="A672" s="384" t="n"/>
      <c r="B672" s="384" t="n"/>
      <c r="C672" s="384" t="n"/>
      <c r="D672" s="384" t="n"/>
      <c r="E672" s="384" t="n"/>
      <c r="F672" s="384" t="n"/>
      <c r="G672" s="384" t="n"/>
      <c r="H672" s="384" t="n"/>
      <c r="I672" s="384" t="n"/>
      <c r="J672" s="384" t="n"/>
      <c r="K672" s="384" t="n"/>
      <c r="L672" s="384" t="n"/>
      <c r="M672" s="384" t="n"/>
      <c r="N672" s="384" t="n"/>
      <c r="O672" s="384" t="n"/>
      <c r="P672" s="384" t="n"/>
      <c r="Q672" s="384" t="n"/>
      <c r="R672" s="384" t="n"/>
      <c r="S672" s="384" t="n"/>
      <c r="T672" s="384" t="n"/>
      <c r="U672" s="384" t="n"/>
      <c r="V672" s="384" t="n"/>
      <c r="W672" s="384" t="n"/>
      <c r="X672" s="645">
        <f>IF(_epmOfflineCondition_,"I_E100979",EPMOlapMemberO("[C_INTERCO].[PARENTH1].[I_E100979]","","I_E100979","","000"))</f>
        <v/>
      </c>
      <c r="Y672" s="870">
        <f>IF(_epmOfflineCondition_,"湖北晶泰光伏电力有限公司",EPMMemberDesc(X672))</f>
        <v/>
      </c>
      <c r="Z672" s="1302" t="n"/>
      <c r="AA672" s="1302" t="n"/>
      <c r="AB672" s="858" t="n"/>
      <c r="AC672" s="1302" t="n"/>
      <c r="AD672" s="1302" t="n"/>
      <c r="AE672" s="1302" t="inlineStr"/>
      <c r="AF672" s="1302" t="inlineStr"/>
      <c r="AG672" s="1302" t="inlineStr"/>
      <c r="AH672" s="1302" t="n"/>
      <c r="AI672" s="1302" t="n"/>
      <c r="AJ672" s="1302" t="n"/>
      <c r="AK672" s="1302">
        <f>AI672-AJ672</f>
        <v/>
      </c>
      <c r="AL672" s="858" t="n"/>
      <c r="AM672" s="1297" t="inlineStr"/>
      <c r="AN672" s="1298" t="n"/>
      <c r="AO672" s="13">
        <f>IF(_epmOfflineCondition_,0,EPMSaveDataOnly(AB672,,AB$29,AB$25,AB$26,AB$31,AB$32,$AA$37,AO$14,AO$15,AO$16,AO$17,AO$18,X672))</f>
        <v/>
      </c>
      <c r="AP672" s="13">
        <f>IF(_epmOfflineCondition_,0,EPMSaveDataOnly(AL672,,AL$29,AL$25,AL$26,AL$31,AL$32,$AA$37,AP$14,AP$15,AP$16,AP$17,AP$18,$X672))</f>
        <v/>
      </c>
      <c r="AQ672" s="13">
        <f>IF(_epmOfflineCondition_,0,EPMSaveData(AM672,,AM$29,AM$25,AM$26,$C$6,AM$32,$AA$37,AQ$14,AQ$15,AQ$16,AQ$17,AQ$18,$X672))</f>
        <v/>
      </c>
      <c r="AR672" s="13">
        <f>IF(_epmOfflineCondition_,0,EPMSaveDataOnly(AN672,,AN$29,AN$25,AN$26,AN$31,AN$32,$AA$37,AR$14,AR$15,AR$16,AR$17,AR$18,$X672))</f>
        <v/>
      </c>
      <c r="AS672" s="384" t="n"/>
    </row>
    <row r="673" hidden="1" ht="15.75" customHeight="1" s="1181">
      <c r="A673" s="384" t="n"/>
      <c r="B673" s="384" t="n"/>
      <c r="C673" s="384" t="n"/>
      <c r="D673" s="384" t="n"/>
      <c r="E673" s="384" t="n"/>
      <c r="F673" s="384" t="n"/>
      <c r="G673" s="384" t="n"/>
      <c r="H673" s="384" t="n"/>
      <c r="I673" s="384" t="n"/>
      <c r="J673" s="384" t="n"/>
      <c r="K673" s="384" t="n"/>
      <c r="L673" s="384" t="n"/>
      <c r="M673" s="384" t="n"/>
      <c r="N673" s="384" t="n"/>
      <c r="O673" s="384" t="n"/>
      <c r="P673" s="384" t="n"/>
      <c r="Q673" s="384" t="n"/>
      <c r="R673" s="384" t="n"/>
      <c r="S673" s="384" t="n"/>
      <c r="T673" s="384" t="n"/>
      <c r="U673" s="384" t="n"/>
      <c r="V673" s="384" t="n"/>
      <c r="W673" s="384" t="n"/>
      <c r="X673" s="645">
        <f>IF(_epmOfflineCondition_,"I_E100981",EPMOlapMemberO("[C_INTERCO].[PARENTH1].[I_E100981]","","I_E100981","","000"))</f>
        <v/>
      </c>
      <c r="Y673" s="870">
        <f>IF(_epmOfflineCondition_,"常州市招联绿庆新能源有限公司",EPMMemberDesc(X673))</f>
        <v/>
      </c>
      <c r="Z673" s="1302" t="n"/>
      <c r="AA673" s="1302" t="n"/>
      <c r="AB673" s="858" t="n"/>
      <c r="AC673" s="1302" t="n"/>
      <c r="AD673" s="1302" t="n"/>
      <c r="AE673" s="1302" t="inlineStr"/>
      <c r="AF673" s="1302" t="inlineStr"/>
      <c r="AG673" s="1302" t="inlineStr"/>
      <c r="AH673" s="1302" t="n"/>
      <c r="AI673" s="1302" t="n"/>
      <c r="AJ673" s="1302" t="n"/>
      <c r="AK673" s="1302">
        <f>AI673-AJ673</f>
        <v/>
      </c>
      <c r="AL673" s="858" t="n"/>
      <c r="AM673" s="1297" t="inlineStr"/>
      <c r="AN673" s="1298" t="n"/>
      <c r="AO673" s="13">
        <f>IF(_epmOfflineCondition_,0,EPMSaveDataOnly(AB673,,AB$29,AB$25,AB$26,AB$31,AB$32,$AA$37,AO$14,AO$15,AO$16,AO$17,AO$18,X673))</f>
        <v/>
      </c>
      <c r="AP673" s="13">
        <f>IF(_epmOfflineCondition_,0,EPMSaveDataOnly(AL673,,AL$29,AL$25,AL$26,AL$31,AL$32,$AA$37,AP$14,AP$15,AP$16,AP$17,AP$18,$X673))</f>
        <v/>
      </c>
      <c r="AQ673" s="13">
        <f>IF(_epmOfflineCondition_,0,EPMSaveData(AM673,,AM$29,AM$25,AM$26,$C$6,AM$32,$AA$37,AQ$14,AQ$15,AQ$16,AQ$17,AQ$18,$X673))</f>
        <v/>
      </c>
      <c r="AR673" s="13">
        <f>IF(_epmOfflineCondition_,0,EPMSaveDataOnly(AN673,,AN$29,AN$25,AN$26,AN$31,AN$32,$AA$37,AR$14,AR$15,AR$16,AR$17,AR$18,$X673))</f>
        <v/>
      </c>
      <c r="AS673" s="384" t="n"/>
    </row>
    <row r="674" hidden="1" ht="15.75" customHeight="1" s="1181">
      <c r="A674" s="384" t="n"/>
      <c r="B674" s="384" t="n"/>
      <c r="C674" s="384" t="n"/>
      <c r="D674" s="384" t="n"/>
      <c r="E674" s="384" t="n"/>
      <c r="F674" s="384" t="n"/>
      <c r="G674" s="384" t="n"/>
      <c r="H674" s="384" t="n"/>
      <c r="I674" s="384" t="n"/>
      <c r="J674" s="384" t="n"/>
      <c r="K674" s="384" t="n"/>
      <c r="L674" s="384" t="n"/>
      <c r="M674" s="384" t="n"/>
      <c r="N674" s="384" t="n"/>
      <c r="O674" s="384" t="n"/>
      <c r="P674" s="384" t="n"/>
      <c r="Q674" s="384" t="n"/>
      <c r="R674" s="384" t="n"/>
      <c r="S674" s="384" t="n"/>
      <c r="T674" s="384" t="n"/>
      <c r="U674" s="384" t="n"/>
      <c r="V674" s="384" t="n"/>
      <c r="W674" s="384" t="n"/>
      <c r="X674" s="645">
        <f>IF(_epmOfflineCondition_,"I_E100982",EPMOlapMemberO("[C_INTERCO].[PARENTH1].[I_E100982]","","I_E100982","","000"))</f>
        <v/>
      </c>
      <c r="Y674" s="870">
        <f>IF(_epmOfflineCondition_,"青海晖达光伏有限公司",EPMMemberDesc(X674))</f>
        <v/>
      </c>
      <c r="Z674" s="1302" t="n"/>
      <c r="AA674" s="1302" t="n"/>
      <c r="AB674" s="858" t="n"/>
      <c r="AC674" s="1302" t="n"/>
      <c r="AD674" s="1302" t="n"/>
      <c r="AE674" s="1302" t="inlineStr"/>
      <c r="AF674" s="1302" t="inlineStr"/>
      <c r="AG674" s="1302" t="inlineStr"/>
      <c r="AH674" s="1302" t="n"/>
      <c r="AI674" s="1302" t="n"/>
      <c r="AJ674" s="1302" t="n"/>
      <c r="AK674" s="1302">
        <f>AI674-AJ674</f>
        <v/>
      </c>
      <c r="AL674" s="858" t="n"/>
      <c r="AM674" s="1297" t="inlineStr"/>
      <c r="AN674" s="1298" t="n"/>
      <c r="AO674" s="13">
        <f>IF(_epmOfflineCondition_,0,EPMSaveDataOnly(AB674,,AB$29,AB$25,AB$26,AB$31,AB$32,$AA$37,AO$14,AO$15,AO$16,AO$17,AO$18,X674))</f>
        <v/>
      </c>
      <c r="AP674" s="13">
        <f>IF(_epmOfflineCondition_,0,EPMSaveDataOnly(AL674,,AL$29,AL$25,AL$26,AL$31,AL$32,$AA$37,AP$14,AP$15,AP$16,AP$17,AP$18,$X674))</f>
        <v/>
      </c>
      <c r="AQ674" s="13">
        <f>IF(_epmOfflineCondition_,0,EPMSaveData(AM674,,AM$29,AM$25,AM$26,$C$6,AM$32,$AA$37,AQ$14,AQ$15,AQ$16,AQ$17,AQ$18,$X674))</f>
        <v/>
      </c>
      <c r="AR674" s="13">
        <f>IF(_epmOfflineCondition_,0,EPMSaveDataOnly(AN674,,AN$29,AN$25,AN$26,AN$31,AN$32,$AA$37,AR$14,AR$15,AR$16,AR$17,AR$18,$X674))</f>
        <v/>
      </c>
      <c r="AS674" s="384" t="n"/>
    </row>
    <row r="675" hidden="1" ht="15.75" customHeight="1" s="1181">
      <c r="A675" s="384" t="n"/>
      <c r="B675" s="384" t="n"/>
      <c r="C675" s="384" t="n"/>
      <c r="D675" s="384" t="n"/>
      <c r="E675" s="384" t="n"/>
      <c r="F675" s="384" t="n"/>
      <c r="G675" s="384" t="n"/>
      <c r="H675" s="384" t="n"/>
      <c r="I675" s="384" t="n"/>
      <c r="J675" s="384" t="n"/>
      <c r="K675" s="384" t="n"/>
      <c r="L675" s="384" t="n"/>
      <c r="M675" s="384" t="n"/>
      <c r="N675" s="384" t="n"/>
      <c r="O675" s="384" t="n"/>
      <c r="P675" s="384" t="n"/>
      <c r="Q675" s="384" t="n"/>
      <c r="R675" s="384" t="n"/>
      <c r="S675" s="384" t="n"/>
      <c r="T675" s="384" t="n"/>
      <c r="U675" s="384" t="n"/>
      <c r="V675" s="384" t="n"/>
      <c r="W675" s="384" t="n"/>
      <c r="X675" s="645">
        <f>IF(_epmOfflineCondition_,"I_E100983",EPMOlapMemberO("[C_INTERCO].[PARENTH1].[I_E100983]","","I_E100983","","000"))</f>
        <v/>
      </c>
      <c r="Y675" s="870">
        <f>IF(_epmOfflineCondition_,"常州市招联绿格新能源有限公司",EPMMemberDesc(X675))</f>
        <v/>
      </c>
      <c r="Z675" s="1302" t="n"/>
      <c r="AA675" s="1302" t="n"/>
      <c r="AB675" s="858" t="n"/>
      <c r="AC675" s="1302" t="n"/>
      <c r="AD675" s="1302" t="n"/>
      <c r="AE675" s="1302" t="inlineStr"/>
      <c r="AF675" s="1302" t="inlineStr"/>
      <c r="AG675" s="1302" t="inlineStr"/>
      <c r="AH675" s="1302" t="n"/>
      <c r="AI675" s="1302" t="n"/>
      <c r="AJ675" s="1302" t="n"/>
      <c r="AK675" s="1302">
        <f>AI675-AJ675</f>
        <v/>
      </c>
      <c r="AL675" s="858" t="n"/>
      <c r="AM675" s="1297" t="inlineStr"/>
      <c r="AN675" s="1298" t="n"/>
      <c r="AO675" s="13">
        <f>IF(_epmOfflineCondition_,0,EPMSaveDataOnly(AB675,,AB$29,AB$25,AB$26,AB$31,AB$32,$AA$37,AO$14,AO$15,AO$16,AO$17,AO$18,X675))</f>
        <v/>
      </c>
      <c r="AP675" s="13">
        <f>IF(_epmOfflineCondition_,0,EPMSaveDataOnly(AL675,,AL$29,AL$25,AL$26,AL$31,AL$32,$AA$37,AP$14,AP$15,AP$16,AP$17,AP$18,$X675))</f>
        <v/>
      </c>
      <c r="AQ675" s="13">
        <f>IF(_epmOfflineCondition_,0,EPMSaveData(AM675,,AM$29,AM$25,AM$26,$C$6,AM$32,$AA$37,AQ$14,AQ$15,AQ$16,AQ$17,AQ$18,$X675))</f>
        <v/>
      </c>
      <c r="AR675" s="13">
        <f>IF(_epmOfflineCondition_,0,EPMSaveDataOnly(AN675,,AN$29,AN$25,AN$26,AN$31,AN$32,$AA$37,AR$14,AR$15,AR$16,AR$17,AR$18,$X675))</f>
        <v/>
      </c>
      <c r="AS675" s="384" t="n"/>
    </row>
    <row r="676" hidden="1" ht="15.75" customHeight="1" s="1181">
      <c r="A676" s="384" t="n"/>
      <c r="B676" s="384" t="n"/>
      <c r="C676" s="384" t="n"/>
      <c r="D676" s="384" t="n"/>
      <c r="E676" s="384" t="n"/>
      <c r="F676" s="384" t="n"/>
      <c r="G676" s="384" t="n"/>
      <c r="H676" s="384" t="n"/>
      <c r="I676" s="384" t="n"/>
      <c r="J676" s="384" t="n"/>
      <c r="K676" s="384" t="n"/>
      <c r="L676" s="384" t="n"/>
      <c r="M676" s="384" t="n"/>
      <c r="N676" s="384" t="n"/>
      <c r="O676" s="384" t="n"/>
      <c r="P676" s="384" t="n"/>
      <c r="Q676" s="384" t="n"/>
      <c r="R676" s="384" t="n"/>
      <c r="S676" s="384" t="n"/>
      <c r="T676" s="384" t="n"/>
      <c r="U676" s="384" t="n"/>
      <c r="V676" s="384" t="n"/>
      <c r="W676" s="384" t="n"/>
      <c r="X676" s="645">
        <f>IF(_epmOfflineCondition_,"I_E100984",EPMOlapMemberO("[C_INTERCO].[PARENTH1].[I_E100984]","","I_E100984","","000"))</f>
        <v/>
      </c>
      <c r="Y676" s="870">
        <f>IF(_epmOfflineCondition_,"杭州灿鸿投资管理合伙企业（有限合伙）",EPMMemberDesc(X676))</f>
        <v/>
      </c>
      <c r="Z676" s="1302" t="n"/>
      <c r="AA676" s="1302" t="n"/>
      <c r="AB676" s="858" t="n"/>
      <c r="AC676" s="1302" t="n"/>
      <c r="AD676" s="1302" t="n"/>
      <c r="AE676" s="1302" t="inlineStr"/>
      <c r="AF676" s="1302" t="inlineStr"/>
      <c r="AG676" s="1302" t="inlineStr"/>
      <c r="AH676" s="1302" t="n"/>
      <c r="AI676" s="1302" t="n"/>
      <c r="AJ676" s="1302" t="n"/>
      <c r="AK676" s="1302">
        <f>AI676-AJ676</f>
        <v/>
      </c>
      <c r="AL676" s="858" t="n"/>
      <c r="AM676" s="1297" t="inlineStr"/>
      <c r="AN676" s="1298" t="n"/>
      <c r="AO676" s="13">
        <f>IF(_epmOfflineCondition_,0,EPMSaveDataOnly(AB676,,AB$29,AB$25,AB$26,AB$31,AB$32,$AA$37,AO$14,AO$15,AO$16,AO$17,AO$18,X676))</f>
        <v/>
      </c>
      <c r="AP676" s="13">
        <f>IF(_epmOfflineCondition_,0,EPMSaveDataOnly(AL676,,AL$29,AL$25,AL$26,AL$31,AL$32,$AA$37,AP$14,AP$15,AP$16,AP$17,AP$18,$X676))</f>
        <v/>
      </c>
      <c r="AQ676" s="13">
        <f>IF(_epmOfflineCondition_,0,EPMSaveData(AM676,,AM$29,AM$25,AM$26,$C$6,AM$32,$AA$37,AQ$14,AQ$15,AQ$16,AQ$17,AQ$18,$X676))</f>
        <v/>
      </c>
      <c r="AR676" s="13">
        <f>IF(_epmOfflineCondition_,0,EPMSaveDataOnly(AN676,,AN$29,AN$25,AN$26,AN$31,AN$32,$AA$37,AR$14,AR$15,AR$16,AR$17,AR$18,$X676))</f>
        <v/>
      </c>
      <c r="AS676" s="384" t="n"/>
    </row>
    <row r="677" hidden="1" ht="15.75" customHeight="1" s="1181">
      <c r="A677" s="384" t="n"/>
      <c r="B677" s="384" t="n"/>
      <c r="C677" s="384" t="n"/>
      <c r="D677" s="384" t="n"/>
      <c r="E677" s="384" t="n"/>
      <c r="F677" s="384" t="n"/>
      <c r="G677" s="384" t="n"/>
      <c r="H677" s="384" t="n"/>
      <c r="I677" s="384" t="n"/>
      <c r="J677" s="384" t="n"/>
      <c r="K677" s="384" t="n"/>
      <c r="L677" s="384" t="n"/>
      <c r="M677" s="384" t="n"/>
      <c r="N677" s="384" t="n"/>
      <c r="O677" s="384" t="n"/>
      <c r="P677" s="384" t="n"/>
      <c r="Q677" s="384" t="n"/>
      <c r="R677" s="384" t="n"/>
      <c r="S677" s="384" t="n"/>
      <c r="T677" s="384" t="n"/>
      <c r="U677" s="384" t="n"/>
      <c r="V677" s="384" t="n"/>
      <c r="W677" s="384" t="n"/>
      <c r="X677" s="645">
        <f>IF(_epmOfflineCondition_,"I_E100985",EPMOlapMemberO("[C_INTERCO].[PARENTH1].[I_E100985]","","I_E100985","","000"))</f>
        <v/>
      </c>
      <c r="Y677" s="870">
        <f>IF(_epmOfflineCondition_,"常州市招联绿邦新能源有限公司",EPMMemberDesc(X677))</f>
        <v/>
      </c>
      <c r="Z677" s="1302" t="n"/>
      <c r="AA677" s="1302" t="n"/>
      <c r="AB677" s="858" t="n"/>
      <c r="AC677" s="1302" t="n"/>
      <c r="AD677" s="1302" t="n"/>
      <c r="AE677" s="1302" t="inlineStr"/>
      <c r="AF677" s="1302" t="inlineStr"/>
      <c r="AG677" s="1302" t="inlineStr"/>
      <c r="AH677" s="1302" t="n"/>
      <c r="AI677" s="1302" t="n"/>
      <c r="AJ677" s="1302" t="n"/>
      <c r="AK677" s="1302">
        <f>AI677-AJ677</f>
        <v/>
      </c>
      <c r="AL677" s="858" t="n"/>
      <c r="AM677" s="1297" t="inlineStr"/>
      <c r="AN677" s="1298" t="n"/>
      <c r="AO677" s="13">
        <f>IF(_epmOfflineCondition_,0,EPMSaveDataOnly(AB677,,AB$29,AB$25,AB$26,AB$31,AB$32,$AA$37,AO$14,AO$15,AO$16,AO$17,AO$18,X677))</f>
        <v/>
      </c>
      <c r="AP677" s="13">
        <f>IF(_epmOfflineCondition_,0,EPMSaveDataOnly(AL677,,AL$29,AL$25,AL$26,AL$31,AL$32,$AA$37,AP$14,AP$15,AP$16,AP$17,AP$18,$X677))</f>
        <v/>
      </c>
      <c r="AQ677" s="13">
        <f>IF(_epmOfflineCondition_,0,EPMSaveData(AM677,,AM$29,AM$25,AM$26,$C$6,AM$32,$AA$37,AQ$14,AQ$15,AQ$16,AQ$17,AQ$18,$X677))</f>
        <v/>
      </c>
      <c r="AR677" s="13">
        <f>IF(_epmOfflineCondition_,0,EPMSaveDataOnly(AN677,,AN$29,AN$25,AN$26,AN$31,AN$32,$AA$37,AR$14,AR$15,AR$16,AR$17,AR$18,$X677))</f>
        <v/>
      </c>
      <c r="AS677" s="384" t="n"/>
    </row>
    <row r="678" hidden="1" ht="15.75" customHeight="1" s="1181">
      <c r="A678" s="384" t="n"/>
      <c r="B678" s="384" t="n"/>
      <c r="C678" s="384" t="n"/>
      <c r="D678" s="384" t="n"/>
      <c r="E678" s="384" t="n"/>
      <c r="F678" s="384" t="n"/>
      <c r="G678" s="384" t="n"/>
      <c r="H678" s="384" t="n"/>
      <c r="I678" s="384" t="n"/>
      <c r="J678" s="384" t="n"/>
      <c r="K678" s="384" t="n"/>
      <c r="L678" s="384" t="n"/>
      <c r="M678" s="384" t="n"/>
      <c r="N678" s="384" t="n"/>
      <c r="O678" s="384" t="n"/>
      <c r="P678" s="384" t="n"/>
      <c r="Q678" s="384" t="n"/>
      <c r="R678" s="384" t="n"/>
      <c r="S678" s="384" t="n"/>
      <c r="T678" s="384" t="n"/>
      <c r="U678" s="384" t="n"/>
      <c r="V678" s="384" t="n"/>
      <c r="W678" s="384" t="n"/>
      <c r="X678" s="645">
        <f>IF(_epmOfflineCondition_,"I_E100986",EPMOlapMemberO("[C_INTERCO].[PARENTH1].[I_E100986]","","I_E100986","","000"))</f>
        <v/>
      </c>
      <c r="Y678" s="870">
        <f>IF(_epmOfflineCondition_,"常州市招联绿景新能源有限公司",EPMMemberDesc(X678))</f>
        <v/>
      </c>
      <c r="Z678" s="1302" t="n"/>
      <c r="AA678" s="1302" t="n"/>
      <c r="AB678" s="858" t="n"/>
      <c r="AC678" s="1302" t="n"/>
      <c r="AD678" s="1302" t="n"/>
      <c r="AE678" s="1302" t="inlineStr"/>
      <c r="AF678" s="1302" t="inlineStr"/>
      <c r="AG678" s="1302" t="inlineStr"/>
      <c r="AH678" s="1302" t="n"/>
      <c r="AI678" s="1302" t="n"/>
      <c r="AJ678" s="1302" t="n"/>
      <c r="AK678" s="1302">
        <f>AI678-AJ678</f>
        <v/>
      </c>
      <c r="AL678" s="858" t="n"/>
      <c r="AM678" s="1297" t="inlineStr"/>
      <c r="AN678" s="1298" t="n"/>
      <c r="AO678" s="13">
        <f>IF(_epmOfflineCondition_,0,EPMSaveDataOnly(AB678,,AB$29,AB$25,AB$26,AB$31,AB$32,$AA$37,AO$14,AO$15,AO$16,AO$17,AO$18,X678))</f>
        <v/>
      </c>
      <c r="AP678" s="13">
        <f>IF(_epmOfflineCondition_,0,EPMSaveDataOnly(AL678,,AL$29,AL$25,AL$26,AL$31,AL$32,$AA$37,AP$14,AP$15,AP$16,AP$17,AP$18,$X678))</f>
        <v/>
      </c>
      <c r="AQ678" s="13">
        <f>IF(_epmOfflineCondition_,0,EPMSaveData(AM678,,AM$29,AM$25,AM$26,$C$6,AM$32,$AA$37,AQ$14,AQ$15,AQ$16,AQ$17,AQ$18,$X678))</f>
        <v/>
      </c>
      <c r="AR678" s="13">
        <f>IF(_epmOfflineCondition_,0,EPMSaveDataOnly(AN678,,AN$29,AN$25,AN$26,AN$31,AN$32,$AA$37,AR$14,AR$15,AR$16,AR$17,AR$18,$X678))</f>
        <v/>
      </c>
      <c r="AS678" s="384" t="n"/>
    </row>
    <row r="679" hidden="1" ht="15.75" customHeight="1" s="1181">
      <c r="A679" s="384" t="n"/>
      <c r="B679" s="384" t="n"/>
      <c r="C679" s="384" t="n"/>
      <c r="D679" s="384" t="n"/>
      <c r="E679" s="384" t="n"/>
      <c r="F679" s="384" t="n"/>
      <c r="G679" s="384" t="n"/>
      <c r="H679" s="384" t="n"/>
      <c r="I679" s="384" t="n"/>
      <c r="J679" s="384" t="n"/>
      <c r="K679" s="384" t="n"/>
      <c r="L679" s="384" t="n"/>
      <c r="M679" s="384" t="n"/>
      <c r="N679" s="384" t="n"/>
      <c r="O679" s="384" t="n"/>
      <c r="P679" s="384" t="n"/>
      <c r="Q679" s="384" t="n"/>
      <c r="R679" s="384" t="n"/>
      <c r="S679" s="384" t="n"/>
      <c r="T679" s="384" t="n"/>
      <c r="U679" s="384" t="n"/>
      <c r="V679" s="384" t="n"/>
      <c r="W679" s="384" t="n"/>
      <c r="X679" s="645">
        <f>IF(_epmOfflineCondition_,"I_E100987",EPMOlapMemberO("[C_INTERCO].[PARENTH1].[I_E100987]","","I_E100987","","000"))</f>
        <v/>
      </c>
      <c r="Y679" s="870">
        <f>IF(_epmOfflineCondition_,"常州市招联绿臻新能源有限公司",EPMMemberDesc(X679))</f>
        <v/>
      </c>
      <c r="Z679" s="1302" t="n"/>
      <c r="AA679" s="1302" t="n"/>
      <c r="AB679" s="858" t="n"/>
      <c r="AC679" s="1302" t="n"/>
      <c r="AD679" s="1302" t="n"/>
      <c r="AE679" s="1302" t="inlineStr"/>
      <c r="AF679" s="1302" t="inlineStr"/>
      <c r="AG679" s="1302" t="inlineStr"/>
      <c r="AH679" s="1302" t="n"/>
      <c r="AI679" s="1302" t="n"/>
      <c r="AJ679" s="1302" t="n"/>
      <c r="AK679" s="1302">
        <f>AI679-AJ679</f>
        <v/>
      </c>
      <c r="AL679" s="858" t="n"/>
      <c r="AM679" s="1297" t="inlineStr"/>
      <c r="AN679" s="1298" t="n"/>
      <c r="AO679" s="13">
        <f>IF(_epmOfflineCondition_,0,EPMSaveDataOnly(AB679,,AB$29,AB$25,AB$26,AB$31,AB$32,$AA$37,AO$14,AO$15,AO$16,AO$17,AO$18,X679))</f>
        <v/>
      </c>
      <c r="AP679" s="13">
        <f>IF(_epmOfflineCondition_,0,EPMSaveDataOnly(AL679,,AL$29,AL$25,AL$26,AL$31,AL$32,$AA$37,AP$14,AP$15,AP$16,AP$17,AP$18,$X679))</f>
        <v/>
      </c>
      <c r="AQ679" s="13">
        <f>IF(_epmOfflineCondition_,0,EPMSaveData(AM679,,AM$29,AM$25,AM$26,$C$6,AM$32,$AA$37,AQ$14,AQ$15,AQ$16,AQ$17,AQ$18,$X679))</f>
        <v/>
      </c>
      <c r="AR679" s="13">
        <f>IF(_epmOfflineCondition_,0,EPMSaveDataOnly(AN679,,AN$29,AN$25,AN$26,AN$31,AN$32,$AA$37,AR$14,AR$15,AR$16,AR$17,AR$18,$X679))</f>
        <v/>
      </c>
      <c r="AS679" s="384" t="n"/>
    </row>
    <row r="680" hidden="1" ht="15.75" customHeight="1" s="1181">
      <c r="A680" s="384" t="n"/>
      <c r="B680" s="384" t="n"/>
      <c r="C680" s="384" t="n"/>
      <c r="D680" s="384" t="n"/>
      <c r="E680" s="384" t="n"/>
      <c r="F680" s="384" t="n"/>
      <c r="G680" s="384" t="n"/>
      <c r="H680" s="384" t="n"/>
      <c r="I680" s="384" t="n"/>
      <c r="J680" s="384" t="n"/>
      <c r="K680" s="384" t="n"/>
      <c r="L680" s="384" t="n"/>
      <c r="M680" s="384" t="n"/>
      <c r="N680" s="384" t="n"/>
      <c r="O680" s="384" t="n"/>
      <c r="P680" s="384" t="n"/>
      <c r="Q680" s="384" t="n"/>
      <c r="R680" s="384" t="n"/>
      <c r="S680" s="384" t="n"/>
      <c r="T680" s="384" t="n"/>
      <c r="U680" s="384" t="n"/>
      <c r="V680" s="384" t="n"/>
      <c r="W680" s="384" t="n"/>
      <c r="X680" s="645">
        <f>IF(_epmOfflineCondition_,"I_E100988",EPMOlapMemberO("[C_INTERCO].[PARENTH1].[I_E100988]","","I_E100988","","000"))</f>
        <v/>
      </c>
      <c r="Y680" s="870">
        <f>IF(_epmOfflineCondition_,"常州市招联绿睿新能源有限公司",EPMMemberDesc(X680))</f>
        <v/>
      </c>
      <c r="Z680" s="1302" t="n"/>
      <c r="AA680" s="1302" t="n"/>
      <c r="AB680" s="858" t="n"/>
      <c r="AC680" s="1302" t="n"/>
      <c r="AD680" s="1302" t="n"/>
      <c r="AE680" s="1302" t="inlineStr"/>
      <c r="AF680" s="1302" t="inlineStr"/>
      <c r="AG680" s="1302" t="inlineStr"/>
      <c r="AH680" s="1302" t="n"/>
      <c r="AI680" s="1302" t="n"/>
      <c r="AJ680" s="1302" t="n"/>
      <c r="AK680" s="1302">
        <f>AI680-AJ680</f>
        <v/>
      </c>
      <c r="AL680" s="858" t="n"/>
      <c r="AM680" s="1297" t="inlineStr"/>
      <c r="AN680" s="1298" t="n"/>
      <c r="AO680" s="13">
        <f>IF(_epmOfflineCondition_,0,EPMSaveDataOnly(AB680,,AB$29,AB$25,AB$26,AB$31,AB$32,$AA$37,AO$14,AO$15,AO$16,AO$17,AO$18,X680))</f>
        <v/>
      </c>
      <c r="AP680" s="13">
        <f>IF(_epmOfflineCondition_,0,EPMSaveDataOnly(AL680,,AL$29,AL$25,AL$26,AL$31,AL$32,$AA$37,AP$14,AP$15,AP$16,AP$17,AP$18,$X680))</f>
        <v/>
      </c>
      <c r="AQ680" s="13">
        <f>IF(_epmOfflineCondition_,0,EPMSaveData(AM680,,AM$29,AM$25,AM$26,$C$6,AM$32,$AA$37,AQ$14,AQ$15,AQ$16,AQ$17,AQ$18,$X680))</f>
        <v/>
      </c>
      <c r="AR680" s="13">
        <f>IF(_epmOfflineCondition_,0,EPMSaveDataOnly(AN680,,AN$29,AN$25,AN$26,AN$31,AN$32,$AA$37,AR$14,AR$15,AR$16,AR$17,AR$18,$X680))</f>
        <v/>
      </c>
      <c r="AS680" s="384" t="n"/>
    </row>
    <row r="681" hidden="1" ht="15.75" customHeight="1" s="1181">
      <c r="A681" s="384" t="n"/>
      <c r="B681" s="384" t="n"/>
      <c r="C681" s="384" t="n"/>
      <c r="D681" s="384" t="n"/>
      <c r="E681" s="384" t="n"/>
      <c r="F681" s="384" t="n"/>
      <c r="G681" s="384" t="n"/>
      <c r="H681" s="384" t="n"/>
      <c r="I681" s="384" t="n"/>
      <c r="J681" s="384" t="n"/>
      <c r="K681" s="384" t="n"/>
      <c r="L681" s="384" t="n"/>
      <c r="M681" s="384" t="n"/>
      <c r="N681" s="384" t="n"/>
      <c r="O681" s="384" t="n"/>
      <c r="P681" s="384" t="n"/>
      <c r="Q681" s="384" t="n"/>
      <c r="R681" s="384" t="n"/>
      <c r="S681" s="384" t="n"/>
      <c r="T681" s="384" t="n"/>
      <c r="U681" s="384" t="n"/>
      <c r="V681" s="384" t="n"/>
      <c r="W681" s="384" t="n"/>
      <c r="X681" s="645">
        <f>IF(_epmOfflineCondition_,"I_E100989",EPMOlapMemberO("[C_INTERCO].[PARENTH1].[I_E100989]","","I_E100989","","000"))</f>
        <v/>
      </c>
      <c r="Y681" s="870">
        <f>IF(_epmOfflineCondition_,"宁波保税区招联绿邦新能源有限公司",EPMMemberDesc(X681))</f>
        <v/>
      </c>
      <c r="Z681" s="1302" t="n"/>
      <c r="AA681" s="1302" t="n"/>
      <c r="AB681" s="858" t="n"/>
      <c r="AC681" s="1302" t="n"/>
      <c r="AD681" s="1302" t="n"/>
      <c r="AE681" s="1302" t="inlineStr"/>
      <c r="AF681" s="1302" t="inlineStr"/>
      <c r="AG681" s="1302" t="inlineStr"/>
      <c r="AH681" s="1302" t="n"/>
      <c r="AI681" s="1302" t="n"/>
      <c r="AJ681" s="1302" t="n"/>
      <c r="AK681" s="1302">
        <f>AI681-AJ681</f>
        <v/>
      </c>
      <c r="AL681" s="858" t="n"/>
      <c r="AM681" s="1297" t="inlineStr"/>
      <c r="AN681" s="1298" t="n"/>
      <c r="AO681" s="13">
        <f>IF(_epmOfflineCondition_,0,EPMSaveDataOnly(AB681,,AB$29,AB$25,AB$26,AB$31,AB$32,$AA$37,AO$14,AO$15,AO$16,AO$17,AO$18,X681))</f>
        <v/>
      </c>
      <c r="AP681" s="13">
        <f>IF(_epmOfflineCondition_,0,EPMSaveDataOnly(AL681,,AL$29,AL$25,AL$26,AL$31,AL$32,$AA$37,AP$14,AP$15,AP$16,AP$17,AP$18,$X681))</f>
        <v/>
      </c>
      <c r="AQ681" s="13">
        <f>IF(_epmOfflineCondition_,0,EPMSaveData(AM681,,AM$29,AM$25,AM$26,$C$6,AM$32,$AA$37,AQ$14,AQ$15,AQ$16,AQ$17,AQ$18,$X681))</f>
        <v/>
      </c>
      <c r="AR681" s="13">
        <f>IF(_epmOfflineCondition_,0,EPMSaveDataOnly(AN681,,AN$29,AN$25,AN$26,AN$31,AN$32,$AA$37,AR$14,AR$15,AR$16,AR$17,AR$18,$X681))</f>
        <v/>
      </c>
      <c r="AS681" s="384" t="n"/>
    </row>
    <row r="682" hidden="1" ht="15.75" customHeight="1" s="1181">
      <c r="A682" s="384" t="n"/>
      <c r="B682" s="384" t="n"/>
      <c r="C682" s="384" t="n"/>
      <c r="D682" s="384" t="n"/>
      <c r="E682" s="384" t="n"/>
      <c r="F682" s="384" t="n"/>
      <c r="G682" s="384" t="n"/>
      <c r="H682" s="384" t="n"/>
      <c r="I682" s="384" t="n"/>
      <c r="J682" s="384" t="n"/>
      <c r="K682" s="384" t="n"/>
      <c r="L682" s="384" t="n"/>
      <c r="M682" s="384" t="n"/>
      <c r="N682" s="384" t="n"/>
      <c r="O682" s="384" t="n"/>
      <c r="P682" s="384" t="n"/>
      <c r="Q682" s="384" t="n"/>
      <c r="R682" s="384" t="n"/>
      <c r="S682" s="384" t="n"/>
      <c r="T682" s="384" t="n"/>
      <c r="U682" s="384" t="n"/>
      <c r="V682" s="384" t="n"/>
      <c r="W682" s="384" t="n"/>
      <c r="X682" s="645">
        <f>IF(_epmOfflineCondition_,"I_E100990",EPMOlapMemberO("[C_INTERCO].[PARENTH1].[I_E100990]","","I_E100990","","000"))</f>
        <v/>
      </c>
      <c r="Y682" s="870">
        <f>IF(_epmOfflineCondition_,"汉寿昊晖太阳能发电有限公司",EPMMemberDesc(X682))</f>
        <v/>
      </c>
      <c r="Z682" s="1302" t="n"/>
      <c r="AA682" s="1302" t="n"/>
      <c r="AB682" s="858" t="n"/>
      <c r="AC682" s="1302" t="n"/>
      <c r="AD682" s="1302" t="n"/>
      <c r="AE682" s="1302" t="inlineStr"/>
      <c r="AF682" s="1302" t="inlineStr"/>
      <c r="AG682" s="1302" t="inlineStr"/>
      <c r="AH682" s="1302" t="n"/>
      <c r="AI682" s="1302" t="n"/>
      <c r="AJ682" s="1302" t="n"/>
      <c r="AK682" s="1302">
        <f>AI682-AJ682</f>
        <v/>
      </c>
      <c r="AL682" s="858" t="n"/>
      <c r="AM682" s="1297" t="inlineStr"/>
      <c r="AN682" s="1298" t="n"/>
      <c r="AO682" s="13">
        <f>IF(_epmOfflineCondition_,0,EPMSaveDataOnly(AB682,,AB$29,AB$25,AB$26,AB$31,AB$32,$AA$37,AO$14,AO$15,AO$16,AO$17,AO$18,X682))</f>
        <v/>
      </c>
      <c r="AP682" s="13">
        <f>IF(_epmOfflineCondition_,0,EPMSaveDataOnly(AL682,,AL$29,AL$25,AL$26,AL$31,AL$32,$AA$37,AP$14,AP$15,AP$16,AP$17,AP$18,$X682))</f>
        <v/>
      </c>
      <c r="AQ682" s="13">
        <f>IF(_epmOfflineCondition_,0,EPMSaveData(AM682,,AM$29,AM$25,AM$26,$C$6,AM$32,$AA$37,AQ$14,AQ$15,AQ$16,AQ$17,AQ$18,$X682))</f>
        <v/>
      </c>
      <c r="AR682" s="13">
        <f>IF(_epmOfflineCondition_,0,EPMSaveDataOnly(AN682,,AN$29,AN$25,AN$26,AN$31,AN$32,$AA$37,AR$14,AR$15,AR$16,AR$17,AR$18,$X682))</f>
        <v/>
      </c>
      <c r="AS682" s="384" t="n"/>
    </row>
    <row r="683" hidden="1" ht="15.75" customHeight="1" s="1181">
      <c r="A683" s="384" t="n"/>
      <c r="B683" s="384" t="n"/>
      <c r="C683" s="384" t="n"/>
      <c r="D683" s="384" t="n"/>
      <c r="E683" s="384" t="n"/>
      <c r="F683" s="384" t="n"/>
      <c r="G683" s="384" t="n"/>
      <c r="H683" s="384" t="n"/>
      <c r="I683" s="384" t="n"/>
      <c r="J683" s="384" t="n"/>
      <c r="K683" s="384" t="n"/>
      <c r="L683" s="384" t="n"/>
      <c r="M683" s="384" t="n"/>
      <c r="N683" s="384" t="n"/>
      <c r="O683" s="384" t="n"/>
      <c r="P683" s="384" t="n"/>
      <c r="Q683" s="384" t="n"/>
      <c r="R683" s="384" t="n"/>
      <c r="S683" s="384" t="n"/>
      <c r="T683" s="384" t="n"/>
      <c r="U683" s="384" t="n"/>
      <c r="V683" s="384" t="n"/>
      <c r="W683" s="384" t="n"/>
      <c r="X683" s="645">
        <f>IF(_epmOfflineCondition_,"I_E100991",EPMOlapMemberO("[C_INTERCO].[PARENTH1].[I_E100991]","","I_E100991","","000"))</f>
        <v/>
      </c>
      <c r="Y683" s="870">
        <f>IF(_epmOfflineCondition_,"常熟宏丰光伏电站开发有限公司",EPMMemberDesc(X683))</f>
        <v/>
      </c>
      <c r="Z683" s="1302" t="n"/>
      <c r="AA683" s="1302" t="n"/>
      <c r="AB683" s="858" t="n"/>
      <c r="AC683" s="1302" t="n"/>
      <c r="AD683" s="1302" t="n"/>
      <c r="AE683" s="1302" t="inlineStr"/>
      <c r="AF683" s="1302" t="inlineStr"/>
      <c r="AG683" s="1302" t="inlineStr"/>
      <c r="AH683" s="1302" t="n"/>
      <c r="AI683" s="1302" t="n"/>
      <c r="AJ683" s="1302" t="n"/>
      <c r="AK683" s="1302">
        <f>AI683-AJ683</f>
        <v/>
      </c>
      <c r="AL683" s="858" t="n"/>
      <c r="AM683" s="1297" t="inlineStr"/>
      <c r="AN683" s="1298" t="n"/>
      <c r="AO683" s="13">
        <f>IF(_epmOfflineCondition_,0,EPMSaveDataOnly(AB683,,AB$29,AB$25,AB$26,AB$31,AB$32,$AA$37,AO$14,AO$15,AO$16,AO$17,AO$18,X683))</f>
        <v/>
      </c>
      <c r="AP683" s="13">
        <f>IF(_epmOfflineCondition_,0,EPMSaveDataOnly(AL683,,AL$29,AL$25,AL$26,AL$31,AL$32,$AA$37,AP$14,AP$15,AP$16,AP$17,AP$18,$X683))</f>
        <v/>
      </c>
      <c r="AQ683" s="13">
        <f>IF(_epmOfflineCondition_,0,EPMSaveData(AM683,,AM$29,AM$25,AM$26,$C$6,AM$32,$AA$37,AQ$14,AQ$15,AQ$16,AQ$17,AQ$18,$X683))</f>
        <v/>
      </c>
      <c r="AR683" s="13">
        <f>IF(_epmOfflineCondition_,0,EPMSaveDataOnly(AN683,,AN$29,AN$25,AN$26,AN$31,AN$32,$AA$37,AR$14,AR$15,AR$16,AR$17,AR$18,$X683))</f>
        <v/>
      </c>
      <c r="AS683" s="384" t="n"/>
    </row>
    <row r="684" hidden="1" ht="15.75" customHeight="1" s="1181">
      <c r="A684" s="384" t="n"/>
      <c r="B684" s="384" t="n"/>
      <c r="C684" s="384" t="n"/>
      <c r="D684" s="384" t="n"/>
      <c r="E684" s="384" t="n"/>
      <c r="F684" s="384" t="n"/>
      <c r="G684" s="384" t="n"/>
      <c r="H684" s="384" t="n"/>
      <c r="I684" s="384" t="n"/>
      <c r="J684" s="384" t="n"/>
      <c r="K684" s="384" t="n"/>
      <c r="L684" s="384" t="n"/>
      <c r="M684" s="384" t="n"/>
      <c r="N684" s="384" t="n"/>
      <c r="O684" s="384" t="n"/>
      <c r="P684" s="384" t="n"/>
      <c r="Q684" s="384" t="n"/>
      <c r="R684" s="384" t="n"/>
      <c r="S684" s="384" t="n"/>
      <c r="T684" s="384" t="n"/>
      <c r="U684" s="384" t="n"/>
      <c r="V684" s="384" t="n"/>
      <c r="W684" s="384" t="n"/>
      <c r="X684" s="645">
        <f>IF(_epmOfflineCondition_,"I_E100992",EPMOlapMemberO("[C_INTERCO].[PARENTH1].[I_E100992]","","I_E100992","","000"))</f>
        <v/>
      </c>
      <c r="Y684" s="870">
        <f>IF(_epmOfflineCondition_,"汉寿中晖太阳能发电有限公司",EPMMemberDesc(X684))</f>
        <v/>
      </c>
      <c r="Z684" s="1302" t="n"/>
      <c r="AA684" s="1302" t="n"/>
      <c r="AB684" s="858" t="n"/>
      <c r="AC684" s="1302" t="n"/>
      <c r="AD684" s="1302" t="n"/>
      <c r="AE684" s="1302" t="inlineStr"/>
      <c r="AF684" s="1302" t="inlineStr"/>
      <c r="AG684" s="1302" t="inlineStr"/>
      <c r="AH684" s="1302" t="n"/>
      <c r="AI684" s="1302" t="n"/>
      <c r="AJ684" s="1302" t="n"/>
      <c r="AK684" s="1302">
        <f>AI684-AJ684</f>
        <v/>
      </c>
      <c r="AL684" s="858" t="n"/>
      <c r="AM684" s="1297" t="inlineStr"/>
      <c r="AN684" s="1298" t="n"/>
      <c r="AO684" s="13">
        <f>IF(_epmOfflineCondition_,0,EPMSaveDataOnly(AB684,,AB$29,AB$25,AB$26,AB$31,AB$32,$AA$37,AO$14,AO$15,AO$16,AO$17,AO$18,X684))</f>
        <v/>
      </c>
      <c r="AP684" s="13">
        <f>IF(_epmOfflineCondition_,0,EPMSaveDataOnly(AL684,,AL$29,AL$25,AL$26,AL$31,AL$32,$AA$37,AP$14,AP$15,AP$16,AP$17,AP$18,$X684))</f>
        <v/>
      </c>
      <c r="AQ684" s="13">
        <f>IF(_epmOfflineCondition_,0,EPMSaveData(AM684,,AM$29,AM$25,AM$26,$C$6,AM$32,$AA$37,AQ$14,AQ$15,AQ$16,AQ$17,AQ$18,$X684))</f>
        <v/>
      </c>
      <c r="AR684" s="13">
        <f>IF(_epmOfflineCondition_,0,EPMSaveDataOnly(AN684,,AN$29,AN$25,AN$26,AN$31,AN$32,$AA$37,AR$14,AR$15,AR$16,AR$17,AR$18,$X684))</f>
        <v/>
      </c>
      <c r="AS684" s="384" t="n"/>
    </row>
    <row r="685" hidden="1" ht="15.75" customHeight="1" s="1181">
      <c r="A685" s="384" t="n"/>
      <c r="B685" s="384" t="n"/>
      <c r="C685" s="384" t="n"/>
      <c r="D685" s="384" t="n"/>
      <c r="E685" s="384" t="n"/>
      <c r="F685" s="384" t="n"/>
      <c r="G685" s="384" t="n"/>
      <c r="H685" s="384" t="n"/>
      <c r="I685" s="384" t="n"/>
      <c r="J685" s="384" t="n"/>
      <c r="K685" s="384" t="n"/>
      <c r="L685" s="384" t="n"/>
      <c r="M685" s="384" t="n"/>
      <c r="N685" s="384" t="n"/>
      <c r="O685" s="384" t="n"/>
      <c r="P685" s="384" t="n"/>
      <c r="Q685" s="384" t="n"/>
      <c r="R685" s="384" t="n"/>
      <c r="S685" s="384" t="n"/>
      <c r="T685" s="384" t="n"/>
      <c r="U685" s="384" t="n"/>
      <c r="V685" s="384" t="n"/>
      <c r="W685" s="384" t="n"/>
      <c r="X685" s="645">
        <f>IF(_epmOfflineCondition_,"I_E100993",EPMOlapMemberO("[C_INTERCO].[PARENTH1].[I_E100993]","","I_E100993","","000"))</f>
        <v/>
      </c>
      <c r="Y685" s="870">
        <f>IF(_epmOfflineCondition_,"常州市招联绿晖新能源有限公司",EPMMemberDesc(X685))</f>
        <v/>
      </c>
      <c r="Z685" s="1302" t="n"/>
      <c r="AA685" s="1302" t="n"/>
      <c r="AB685" s="858" t="n"/>
      <c r="AC685" s="1302" t="n"/>
      <c r="AD685" s="1302" t="n"/>
      <c r="AE685" s="1302" t="inlineStr"/>
      <c r="AF685" s="1302" t="inlineStr"/>
      <c r="AG685" s="1302" t="inlineStr"/>
      <c r="AH685" s="1302" t="n"/>
      <c r="AI685" s="1302" t="n"/>
      <c r="AJ685" s="1302" t="n"/>
      <c r="AK685" s="1302">
        <f>AI685-AJ685</f>
        <v/>
      </c>
      <c r="AL685" s="858" t="n"/>
      <c r="AM685" s="1297" t="inlineStr"/>
      <c r="AN685" s="1298" t="n"/>
      <c r="AO685" s="13">
        <f>IF(_epmOfflineCondition_,0,EPMSaveDataOnly(AB685,,AB$29,AB$25,AB$26,AB$31,AB$32,$AA$37,AO$14,AO$15,AO$16,AO$17,AO$18,X685))</f>
        <v/>
      </c>
      <c r="AP685" s="13">
        <f>IF(_epmOfflineCondition_,0,EPMSaveDataOnly(AL685,,AL$29,AL$25,AL$26,AL$31,AL$32,$AA$37,AP$14,AP$15,AP$16,AP$17,AP$18,$X685))</f>
        <v/>
      </c>
      <c r="AQ685" s="13">
        <f>IF(_epmOfflineCondition_,0,EPMSaveData(AM685,,AM$29,AM$25,AM$26,$C$6,AM$32,$AA$37,AQ$14,AQ$15,AQ$16,AQ$17,AQ$18,$X685))</f>
        <v/>
      </c>
      <c r="AR685" s="13">
        <f>IF(_epmOfflineCondition_,0,EPMSaveDataOnly(AN685,,AN$29,AN$25,AN$26,AN$31,AN$32,$AA$37,AR$14,AR$15,AR$16,AR$17,AR$18,$X685))</f>
        <v/>
      </c>
      <c r="AS685" s="384" t="n"/>
    </row>
    <row r="686" hidden="1" ht="15.75" customHeight="1" s="1181">
      <c r="A686" s="384" t="n"/>
      <c r="B686" s="384" t="n"/>
      <c r="C686" s="384" t="n"/>
      <c r="D686" s="384" t="n"/>
      <c r="E686" s="384" t="n"/>
      <c r="F686" s="384" t="n"/>
      <c r="G686" s="384" t="n"/>
      <c r="H686" s="384" t="n"/>
      <c r="I686" s="384" t="n"/>
      <c r="J686" s="384" t="n"/>
      <c r="K686" s="384" t="n"/>
      <c r="L686" s="384" t="n"/>
      <c r="M686" s="384" t="n"/>
      <c r="N686" s="384" t="n"/>
      <c r="O686" s="384" t="n"/>
      <c r="P686" s="384" t="n"/>
      <c r="Q686" s="384" t="n"/>
      <c r="R686" s="384" t="n"/>
      <c r="S686" s="384" t="n"/>
      <c r="T686" s="384" t="n"/>
      <c r="U686" s="384" t="n"/>
      <c r="V686" s="384" t="n"/>
      <c r="W686" s="384" t="n"/>
      <c r="X686" s="645">
        <f>IF(_epmOfflineCondition_,"I_E100994",EPMOlapMemberO("[C_INTERCO].[PARENTH1].[I_E100994]","","I_E100994","","000"))</f>
        <v/>
      </c>
      <c r="Y686" s="870">
        <f>IF(_epmOfflineCondition_,"安徽招联清洁能源有限公司",EPMMemberDesc(X686))</f>
        <v/>
      </c>
      <c r="Z686" s="1302" t="n"/>
      <c r="AA686" s="1302" t="n"/>
      <c r="AB686" s="858" t="n"/>
      <c r="AC686" s="1302" t="n"/>
      <c r="AD686" s="1302" t="n"/>
      <c r="AE686" s="1302" t="inlineStr"/>
      <c r="AF686" s="1302" t="inlineStr"/>
      <c r="AG686" s="1302" t="inlineStr"/>
      <c r="AH686" s="1302" t="n"/>
      <c r="AI686" s="1302" t="n"/>
      <c r="AJ686" s="1302" t="n"/>
      <c r="AK686" s="1302">
        <f>AI686-AJ686</f>
        <v/>
      </c>
      <c r="AL686" s="858" t="n"/>
      <c r="AM686" s="1297" t="inlineStr"/>
      <c r="AN686" s="1298" t="n"/>
      <c r="AO686" s="13">
        <f>IF(_epmOfflineCondition_,0,EPMSaveDataOnly(AB686,,AB$29,AB$25,AB$26,AB$31,AB$32,$AA$37,AO$14,AO$15,AO$16,AO$17,AO$18,X686))</f>
        <v/>
      </c>
      <c r="AP686" s="13">
        <f>IF(_epmOfflineCondition_,0,EPMSaveDataOnly(AL686,,AL$29,AL$25,AL$26,AL$31,AL$32,$AA$37,AP$14,AP$15,AP$16,AP$17,AP$18,$X686))</f>
        <v/>
      </c>
      <c r="AQ686" s="13">
        <f>IF(_epmOfflineCondition_,0,EPMSaveData(AM686,,AM$29,AM$25,AM$26,$C$6,AM$32,$AA$37,AQ$14,AQ$15,AQ$16,AQ$17,AQ$18,$X686))</f>
        <v/>
      </c>
      <c r="AR686" s="13">
        <f>IF(_epmOfflineCondition_,0,EPMSaveDataOnly(AN686,,AN$29,AN$25,AN$26,AN$31,AN$32,$AA$37,AR$14,AR$15,AR$16,AR$17,AR$18,$X686))</f>
        <v/>
      </c>
      <c r="AS686" s="384" t="n"/>
    </row>
    <row r="687" hidden="1" ht="15.75" customHeight="1" s="1181">
      <c r="A687" s="384" t="n"/>
      <c r="B687" s="384" t="n"/>
      <c r="C687" s="384" t="n"/>
      <c r="D687" s="384" t="n"/>
      <c r="E687" s="384" t="n"/>
      <c r="F687" s="384" t="n"/>
      <c r="G687" s="384" t="n"/>
      <c r="H687" s="384" t="n"/>
      <c r="I687" s="384" t="n"/>
      <c r="J687" s="384" t="n"/>
      <c r="K687" s="384" t="n"/>
      <c r="L687" s="384" t="n"/>
      <c r="M687" s="384" t="n"/>
      <c r="N687" s="384" t="n"/>
      <c r="O687" s="384" t="n"/>
      <c r="P687" s="384" t="n"/>
      <c r="Q687" s="384" t="n"/>
      <c r="R687" s="384" t="n"/>
      <c r="S687" s="384" t="n"/>
      <c r="T687" s="384" t="n"/>
      <c r="U687" s="384" t="n"/>
      <c r="V687" s="384" t="n"/>
      <c r="W687" s="384" t="n"/>
      <c r="X687" s="645">
        <f>IF(_epmOfflineCondition_,"I_E100995",EPMOlapMemberO("[C_INTERCO].[PARENTH1].[I_E100995]","","I_E100995","","000"))</f>
        <v/>
      </c>
      <c r="Y687" s="870">
        <f>IF(_epmOfflineCondition_,"阳春市光晏光伏发电有限公司",EPMMemberDesc(X687))</f>
        <v/>
      </c>
      <c r="Z687" s="1302" t="n"/>
      <c r="AA687" s="1302" t="n"/>
      <c r="AB687" s="858" t="n"/>
      <c r="AC687" s="1302" t="n"/>
      <c r="AD687" s="1302" t="n"/>
      <c r="AE687" s="1302" t="inlineStr"/>
      <c r="AF687" s="1302" t="inlineStr"/>
      <c r="AG687" s="1302" t="inlineStr"/>
      <c r="AH687" s="1302" t="n"/>
      <c r="AI687" s="1302" t="n"/>
      <c r="AJ687" s="1302" t="n"/>
      <c r="AK687" s="1302">
        <f>AI687-AJ687</f>
        <v/>
      </c>
      <c r="AL687" s="858" t="n"/>
      <c r="AM687" s="1297" t="inlineStr"/>
      <c r="AN687" s="1298" t="n"/>
      <c r="AO687" s="13">
        <f>IF(_epmOfflineCondition_,0,EPMSaveDataOnly(AB687,,AB$29,AB$25,AB$26,AB$31,AB$32,$AA$37,AO$14,AO$15,AO$16,AO$17,AO$18,X687))</f>
        <v/>
      </c>
      <c r="AP687" s="13">
        <f>IF(_epmOfflineCondition_,0,EPMSaveDataOnly(AL687,,AL$29,AL$25,AL$26,AL$31,AL$32,$AA$37,AP$14,AP$15,AP$16,AP$17,AP$18,$X687))</f>
        <v/>
      </c>
      <c r="AQ687" s="13">
        <f>IF(_epmOfflineCondition_,0,EPMSaveData(AM687,,AM$29,AM$25,AM$26,$C$6,AM$32,$AA$37,AQ$14,AQ$15,AQ$16,AQ$17,AQ$18,$X687))</f>
        <v/>
      </c>
      <c r="AR687" s="13">
        <f>IF(_epmOfflineCondition_,0,EPMSaveDataOnly(AN687,,AN$29,AN$25,AN$26,AN$31,AN$32,$AA$37,AR$14,AR$15,AR$16,AR$17,AR$18,$X687))</f>
        <v/>
      </c>
      <c r="AS687" s="384" t="n"/>
    </row>
    <row r="688" hidden="1" ht="15.75" customHeight="1" s="1181">
      <c r="A688" s="384" t="n"/>
      <c r="B688" s="384" t="n"/>
      <c r="C688" s="384" t="n"/>
      <c r="D688" s="384" t="n"/>
      <c r="E688" s="384" t="n"/>
      <c r="F688" s="384" t="n"/>
      <c r="G688" s="384" t="n"/>
      <c r="H688" s="384" t="n"/>
      <c r="I688" s="384" t="n"/>
      <c r="J688" s="384" t="n"/>
      <c r="K688" s="384" t="n"/>
      <c r="L688" s="384" t="n"/>
      <c r="M688" s="384" t="n"/>
      <c r="N688" s="384" t="n"/>
      <c r="O688" s="384" t="n"/>
      <c r="P688" s="384" t="n"/>
      <c r="Q688" s="384" t="n"/>
      <c r="R688" s="384" t="n"/>
      <c r="S688" s="384" t="n"/>
      <c r="T688" s="384" t="n"/>
      <c r="U688" s="384" t="n"/>
      <c r="V688" s="384" t="n"/>
      <c r="W688" s="384" t="n"/>
      <c r="X688" s="645">
        <f>IF(_epmOfflineCondition_,"I_E100996",EPMOlapMemberO("[C_INTERCO].[PARENTH1].[I_E100996]","","I_E100996","","000"))</f>
        <v/>
      </c>
      <c r="Y688" s="870">
        <f>IF(_epmOfflineCondition_,"遂溪京能新能源有限公司",EPMMemberDesc(X688))</f>
        <v/>
      </c>
      <c r="Z688" s="1302" t="n"/>
      <c r="AA688" s="1302" t="n"/>
      <c r="AB688" s="858" t="n"/>
      <c r="AC688" s="1302" t="n"/>
      <c r="AD688" s="1302" t="n"/>
      <c r="AE688" s="1302" t="inlineStr"/>
      <c r="AF688" s="1302" t="inlineStr"/>
      <c r="AG688" s="1302" t="inlineStr"/>
      <c r="AH688" s="1302" t="n"/>
      <c r="AI688" s="1302" t="n"/>
      <c r="AJ688" s="1302" t="n"/>
      <c r="AK688" s="1302">
        <f>AI688-AJ688</f>
        <v/>
      </c>
      <c r="AL688" s="858" t="n"/>
      <c r="AM688" s="1297" t="inlineStr"/>
      <c r="AN688" s="1298" t="n"/>
      <c r="AO688" s="13">
        <f>IF(_epmOfflineCondition_,0,EPMSaveDataOnly(AB688,,AB$29,AB$25,AB$26,AB$31,AB$32,$AA$37,AO$14,AO$15,AO$16,AO$17,AO$18,X688))</f>
        <v/>
      </c>
      <c r="AP688" s="13">
        <f>IF(_epmOfflineCondition_,0,EPMSaveDataOnly(AL688,,AL$29,AL$25,AL$26,AL$31,AL$32,$AA$37,AP$14,AP$15,AP$16,AP$17,AP$18,$X688))</f>
        <v/>
      </c>
      <c r="AQ688" s="13">
        <f>IF(_epmOfflineCondition_,0,EPMSaveData(AM688,,AM$29,AM$25,AM$26,$C$6,AM$32,$AA$37,AQ$14,AQ$15,AQ$16,AQ$17,AQ$18,$X688))</f>
        <v/>
      </c>
      <c r="AR688" s="13">
        <f>IF(_epmOfflineCondition_,0,EPMSaveDataOnly(AN688,,AN$29,AN$25,AN$26,AN$31,AN$32,$AA$37,AR$14,AR$15,AR$16,AR$17,AR$18,$X688))</f>
        <v/>
      </c>
      <c r="AS688" s="384" t="n"/>
    </row>
    <row r="689" hidden="1" ht="15.75" customHeight="1" s="1181">
      <c r="A689" s="384" t="n"/>
      <c r="B689" s="384" t="n"/>
      <c r="C689" s="384" t="n"/>
      <c r="D689" s="384" t="n"/>
      <c r="E689" s="384" t="n"/>
      <c r="F689" s="384" t="n"/>
      <c r="G689" s="384" t="n"/>
      <c r="H689" s="384" t="n"/>
      <c r="I689" s="384" t="n"/>
      <c r="J689" s="384" t="n"/>
      <c r="K689" s="384" t="n"/>
      <c r="L689" s="384" t="n"/>
      <c r="M689" s="384" t="n"/>
      <c r="N689" s="384" t="n"/>
      <c r="O689" s="384" t="n"/>
      <c r="P689" s="384" t="n"/>
      <c r="Q689" s="384" t="n"/>
      <c r="R689" s="384" t="n"/>
      <c r="S689" s="384" t="n"/>
      <c r="T689" s="384" t="n"/>
      <c r="U689" s="384" t="n"/>
      <c r="V689" s="384" t="n"/>
      <c r="W689" s="384" t="n"/>
      <c r="X689" s="645">
        <f>IF(_epmOfflineCondition_,"I_E100997",EPMOlapMemberO("[C_INTERCO].[PARENTH1].[I_E100997]","","I_E100997","","000"))</f>
        <v/>
      </c>
      <c r="Y689" s="870">
        <f>IF(_epmOfflineCondition_,"京能（烟台栖霞市）光伏发电有限公司",EPMMemberDesc(X689))</f>
        <v/>
      </c>
      <c r="Z689" s="1302" t="n"/>
      <c r="AA689" s="1302" t="n"/>
      <c r="AB689" s="858" t="n"/>
      <c r="AC689" s="1302" t="n"/>
      <c r="AD689" s="1302" t="n"/>
      <c r="AE689" s="1302" t="inlineStr"/>
      <c r="AF689" s="1302" t="inlineStr"/>
      <c r="AG689" s="1302" t="inlineStr"/>
      <c r="AH689" s="1302" t="n"/>
      <c r="AI689" s="1302" t="n"/>
      <c r="AJ689" s="1302" t="n"/>
      <c r="AK689" s="1302">
        <f>AI689-AJ689</f>
        <v/>
      </c>
      <c r="AL689" s="858" t="n"/>
      <c r="AM689" s="1297" t="inlineStr"/>
      <c r="AN689" s="1298" t="n"/>
      <c r="AO689" s="13">
        <f>IF(_epmOfflineCondition_,0,EPMSaveDataOnly(AB689,,AB$29,AB$25,AB$26,AB$31,AB$32,$AA$37,AO$14,AO$15,AO$16,AO$17,AO$18,X689))</f>
        <v/>
      </c>
      <c r="AP689" s="13">
        <f>IF(_epmOfflineCondition_,0,EPMSaveDataOnly(AL689,,AL$29,AL$25,AL$26,AL$31,AL$32,$AA$37,AP$14,AP$15,AP$16,AP$17,AP$18,$X689))</f>
        <v/>
      </c>
      <c r="AQ689" s="13">
        <f>IF(_epmOfflineCondition_,0,EPMSaveData(AM689,,AM$29,AM$25,AM$26,$C$6,AM$32,$AA$37,AQ$14,AQ$15,AQ$16,AQ$17,AQ$18,$X689))</f>
        <v/>
      </c>
      <c r="AR689" s="13">
        <f>IF(_epmOfflineCondition_,0,EPMSaveDataOnly(AN689,,AN$29,AN$25,AN$26,AN$31,AN$32,$AA$37,AR$14,AR$15,AR$16,AR$17,AR$18,$X689))</f>
        <v/>
      </c>
      <c r="AS689" s="384" t="n"/>
    </row>
    <row r="690" hidden="1" ht="15.75" customHeight="1" s="1181">
      <c r="A690" s="384" t="n"/>
      <c r="B690" s="384" t="n"/>
      <c r="C690" s="384" t="n"/>
      <c r="D690" s="384" t="n"/>
      <c r="E690" s="384" t="n"/>
      <c r="F690" s="384" t="n"/>
      <c r="G690" s="384" t="n"/>
      <c r="H690" s="384" t="n"/>
      <c r="I690" s="384" t="n"/>
      <c r="J690" s="384" t="n"/>
      <c r="K690" s="384" t="n"/>
      <c r="L690" s="384" t="n"/>
      <c r="M690" s="384" t="n"/>
      <c r="N690" s="384" t="n"/>
      <c r="O690" s="384" t="n"/>
      <c r="P690" s="384" t="n"/>
      <c r="Q690" s="384" t="n"/>
      <c r="R690" s="384" t="n"/>
      <c r="S690" s="384" t="n"/>
      <c r="T690" s="384" t="n"/>
      <c r="U690" s="384" t="n"/>
      <c r="V690" s="384" t="n"/>
      <c r="W690" s="384" t="n"/>
      <c r="X690" s="645">
        <f>IF(_epmOfflineCondition_,"I_E100998",EPMOlapMemberO("[C_INTERCO].[PARENTH1].[I_E100998]","","I_E100998","","000"))</f>
        <v/>
      </c>
      <c r="Y690" s="870">
        <f>IF(_epmOfflineCondition_,"京能（聊城）风力发电有限公司",EPMMemberDesc(X690))</f>
        <v/>
      </c>
      <c r="Z690" s="1302" t="n"/>
      <c r="AA690" s="1302" t="n"/>
      <c r="AB690" s="858" t="n"/>
      <c r="AC690" s="1302" t="n"/>
      <c r="AD690" s="1302" t="n"/>
      <c r="AE690" s="1302" t="inlineStr"/>
      <c r="AF690" s="1302" t="inlineStr"/>
      <c r="AG690" s="1302" t="inlineStr"/>
      <c r="AH690" s="1302" t="n"/>
      <c r="AI690" s="1302" t="n"/>
      <c r="AJ690" s="1302" t="n"/>
      <c r="AK690" s="1302">
        <f>AI690-AJ690</f>
        <v/>
      </c>
      <c r="AL690" s="858" t="n"/>
      <c r="AM690" s="1297" t="inlineStr"/>
      <c r="AN690" s="1298" t="n"/>
      <c r="AO690" s="13">
        <f>IF(_epmOfflineCondition_,0,EPMSaveDataOnly(AB690,,AB$29,AB$25,AB$26,AB$31,AB$32,$AA$37,AO$14,AO$15,AO$16,AO$17,AO$18,X690))</f>
        <v/>
      </c>
      <c r="AP690" s="13">
        <f>IF(_epmOfflineCondition_,0,EPMSaveDataOnly(AL690,,AL$29,AL$25,AL$26,AL$31,AL$32,$AA$37,AP$14,AP$15,AP$16,AP$17,AP$18,$X690))</f>
        <v/>
      </c>
      <c r="AQ690" s="13">
        <f>IF(_epmOfflineCondition_,0,EPMSaveData(AM690,,AM$29,AM$25,AM$26,$C$6,AM$32,$AA$37,AQ$14,AQ$15,AQ$16,AQ$17,AQ$18,$X690))</f>
        <v/>
      </c>
      <c r="AR690" s="13">
        <f>IF(_epmOfflineCondition_,0,EPMSaveDataOnly(AN690,,AN$29,AN$25,AN$26,AN$31,AN$32,$AA$37,AR$14,AR$15,AR$16,AR$17,AR$18,$X690))</f>
        <v/>
      </c>
      <c r="AS690" s="384" t="n"/>
    </row>
    <row r="691" hidden="1" ht="15.75" customHeight="1" s="1181">
      <c r="A691" s="384" t="n"/>
      <c r="B691" s="384" t="n"/>
      <c r="C691" s="384" t="n"/>
      <c r="D691" s="384" t="n"/>
      <c r="E691" s="384" t="n"/>
      <c r="F691" s="384" t="n"/>
      <c r="G691" s="384" t="n"/>
      <c r="H691" s="384" t="n"/>
      <c r="I691" s="384" t="n"/>
      <c r="J691" s="384" t="n"/>
      <c r="K691" s="384" t="n"/>
      <c r="L691" s="384" t="n"/>
      <c r="M691" s="384" t="n"/>
      <c r="N691" s="384" t="n"/>
      <c r="O691" s="384" t="n"/>
      <c r="P691" s="384" t="n"/>
      <c r="Q691" s="384" t="n"/>
      <c r="R691" s="384" t="n"/>
      <c r="S691" s="384" t="n"/>
      <c r="T691" s="384" t="n"/>
      <c r="U691" s="384" t="n"/>
      <c r="V691" s="384" t="n"/>
      <c r="W691" s="384" t="n"/>
      <c r="X691" s="645">
        <f>IF(_epmOfflineCondition_,"I_E100999",EPMOlapMemberO("[C_INTERCO].[PARENTH1].[I_E100999]","","I_E100999","","000"))</f>
        <v/>
      </c>
      <c r="Y691" s="870">
        <f>IF(_epmOfflineCondition_,"京能（菏泽高新区）新能源有限公司",EPMMemberDesc(X691))</f>
        <v/>
      </c>
      <c r="Z691" s="1302" t="n"/>
      <c r="AA691" s="1302" t="n"/>
      <c r="AB691" s="858" t="n"/>
      <c r="AC691" s="1302" t="n"/>
      <c r="AD691" s="1302" t="n"/>
      <c r="AE691" s="1302" t="inlineStr"/>
      <c r="AF691" s="1302" t="inlineStr"/>
      <c r="AG691" s="1302" t="inlineStr"/>
      <c r="AH691" s="1302" t="n"/>
      <c r="AI691" s="1302" t="n"/>
      <c r="AJ691" s="1302" t="n"/>
      <c r="AK691" s="1302">
        <f>AI691-AJ691</f>
        <v/>
      </c>
      <c r="AL691" s="858" t="n"/>
      <c r="AM691" s="1297" t="inlineStr"/>
      <c r="AN691" s="1298" t="n"/>
      <c r="AO691" s="13">
        <f>IF(_epmOfflineCondition_,0,EPMSaveDataOnly(AB691,,AB$29,AB$25,AB$26,AB$31,AB$32,$AA$37,AO$14,AO$15,AO$16,AO$17,AO$18,X691))</f>
        <v/>
      </c>
      <c r="AP691" s="13">
        <f>IF(_epmOfflineCondition_,0,EPMSaveDataOnly(AL691,,AL$29,AL$25,AL$26,AL$31,AL$32,$AA$37,AP$14,AP$15,AP$16,AP$17,AP$18,$X691))</f>
        <v/>
      </c>
      <c r="AQ691" s="13">
        <f>IF(_epmOfflineCondition_,0,EPMSaveData(AM691,,AM$29,AM$25,AM$26,$C$6,AM$32,$AA$37,AQ$14,AQ$15,AQ$16,AQ$17,AQ$18,$X691))</f>
        <v/>
      </c>
      <c r="AR691" s="13">
        <f>IF(_epmOfflineCondition_,0,EPMSaveDataOnly(AN691,,AN$29,AN$25,AN$26,AN$31,AN$32,$AA$37,AR$14,AR$15,AR$16,AR$17,AR$18,$X691))</f>
        <v/>
      </c>
      <c r="AS691" s="384" t="n"/>
    </row>
    <row r="692" hidden="1" ht="15.75" customHeight="1" s="1181">
      <c r="A692" s="384" t="n"/>
      <c r="B692" s="384" t="n"/>
      <c r="C692" s="384" t="n"/>
      <c r="D692" s="384" t="n"/>
      <c r="E692" s="384" t="n"/>
      <c r="F692" s="384" t="n"/>
      <c r="G692" s="384" t="n"/>
      <c r="H692" s="384" t="n"/>
      <c r="I692" s="384" t="n"/>
      <c r="J692" s="384" t="n"/>
      <c r="K692" s="384" t="n"/>
      <c r="L692" s="384" t="n"/>
      <c r="M692" s="384" t="n"/>
      <c r="N692" s="384" t="n"/>
      <c r="O692" s="384" t="n"/>
      <c r="P692" s="384" t="n"/>
      <c r="Q692" s="384" t="n"/>
      <c r="R692" s="384" t="n"/>
      <c r="S692" s="384" t="n"/>
      <c r="T692" s="384" t="n"/>
      <c r="U692" s="384" t="n"/>
      <c r="V692" s="384" t="n"/>
      <c r="W692" s="384" t="n"/>
      <c r="X692" s="645">
        <f>IF(_epmOfflineCondition_,"I_E101001",EPMOlapMemberO("[C_INTERCO].[PARENTH1].[I_E101001]","","I_E101001","","000"))</f>
        <v/>
      </c>
      <c r="Y692" s="870">
        <f>IF(_epmOfflineCondition_,"迅产有限公司迅产有限公司-（2025年1月注销）",EPMMemberDesc(X692))</f>
        <v/>
      </c>
      <c r="Z692" s="1302" t="n"/>
      <c r="AA692" s="1302" t="n"/>
      <c r="AB692" s="858" t="n"/>
      <c r="AC692" s="1302" t="n"/>
      <c r="AD692" s="1302" t="n"/>
      <c r="AE692" s="1302" t="inlineStr"/>
      <c r="AF692" s="1302" t="inlineStr"/>
      <c r="AG692" s="1302" t="inlineStr"/>
      <c r="AH692" s="1302" t="n"/>
      <c r="AI692" s="1302" t="n"/>
      <c r="AJ692" s="1302" t="n"/>
      <c r="AK692" s="1302">
        <f>AI692-AJ692</f>
        <v/>
      </c>
      <c r="AL692" s="858" t="n"/>
      <c r="AM692" s="1297" t="inlineStr"/>
      <c r="AN692" s="1298" t="n"/>
      <c r="AO692" s="13">
        <f>IF(_epmOfflineCondition_,0,EPMSaveDataOnly(AB692,,AB$29,AB$25,AB$26,AB$31,AB$32,$AA$37,AO$14,AO$15,AO$16,AO$17,AO$18,X692))</f>
        <v/>
      </c>
      <c r="AP692" s="13">
        <f>IF(_epmOfflineCondition_,0,EPMSaveDataOnly(AL692,,AL$29,AL$25,AL$26,AL$31,AL$32,$AA$37,AP$14,AP$15,AP$16,AP$17,AP$18,$X692))</f>
        <v/>
      </c>
      <c r="AQ692" s="13">
        <f>IF(_epmOfflineCondition_,0,EPMSaveData(AM692,,AM$29,AM$25,AM$26,$C$6,AM$32,$AA$37,AQ$14,AQ$15,AQ$16,AQ$17,AQ$18,$X692))</f>
        <v/>
      </c>
      <c r="AR692" s="13">
        <f>IF(_epmOfflineCondition_,0,EPMSaveDataOnly(AN692,,AN$29,AN$25,AN$26,AN$31,AN$32,$AA$37,AR$14,AR$15,AR$16,AR$17,AR$18,$X692))</f>
        <v/>
      </c>
      <c r="AS692" s="384" t="n"/>
    </row>
    <row r="693" hidden="1" ht="15.75" customHeight="1" s="1181">
      <c r="A693" s="384" t="n"/>
      <c r="B693" s="384" t="n"/>
      <c r="C693" s="384" t="n"/>
      <c r="D693" s="384" t="n"/>
      <c r="E693" s="384" t="n"/>
      <c r="F693" s="384" t="n"/>
      <c r="G693" s="384" t="n"/>
      <c r="H693" s="384" t="n"/>
      <c r="I693" s="384" t="n"/>
      <c r="J693" s="384" t="n"/>
      <c r="K693" s="384" t="n"/>
      <c r="L693" s="384" t="n"/>
      <c r="M693" s="384" t="n"/>
      <c r="N693" s="384" t="n"/>
      <c r="O693" s="384" t="n"/>
      <c r="P693" s="384" t="n"/>
      <c r="Q693" s="384" t="n"/>
      <c r="R693" s="384" t="n"/>
      <c r="S693" s="384" t="n"/>
      <c r="T693" s="384" t="n"/>
      <c r="U693" s="384" t="n"/>
      <c r="V693" s="384" t="n"/>
      <c r="W693" s="384" t="n"/>
      <c r="X693" s="645">
        <f>IF(_epmOfflineCondition_,"I_E101003",EPMOlapMemberO("[C_INTERCO].[PARENTH1].[I_E101003]","","I_E101003","","000"))</f>
        <v/>
      </c>
      <c r="Y693" s="870">
        <f>IF(_epmOfflineCondition_,"动力绿能控股有限公司",EPMMemberDesc(X693))</f>
        <v/>
      </c>
      <c r="Z693" s="1302" t="n"/>
      <c r="AA693" s="1302" t="n"/>
      <c r="AB693" s="858" t="n"/>
      <c r="AC693" s="1302" t="n"/>
      <c r="AD693" s="1302" t="n"/>
      <c r="AE693" s="1302" t="inlineStr"/>
      <c r="AF693" s="1302" t="inlineStr"/>
      <c r="AG693" s="1302" t="inlineStr"/>
      <c r="AH693" s="1302" t="n"/>
      <c r="AI693" s="1302" t="n"/>
      <c r="AJ693" s="1302" t="n"/>
      <c r="AK693" s="1302">
        <f>AI693-AJ693</f>
        <v/>
      </c>
      <c r="AL693" s="858" t="n"/>
      <c r="AM693" s="1297" t="inlineStr"/>
      <c r="AN693" s="1298" t="n"/>
      <c r="AO693" s="13">
        <f>IF(_epmOfflineCondition_,0,EPMSaveDataOnly(AB693,,AB$29,AB$25,AB$26,AB$31,AB$32,$AA$37,AO$14,AO$15,AO$16,AO$17,AO$18,X693))</f>
        <v/>
      </c>
      <c r="AP693" s="13">
        <f>IF(_epmOfflineCondition_,0,EPMSaveDataOnly(AL693,,AL$29,AL$25,AL$26,AL$31,AL$32,$AA$37,AP$14,AP$15,AP$16,AP$17,AP$18,$X693))</f>
        <v/>
      </c>
      <c r="AQ693" s="13">
        <f>IF(_epmOfflineCondition_,0,EPMSaveData(AM693,,AM$29,AM$25,AM$26,$C$6,AM$32,$AA$37,AQ$14,AQ$15,AQ$16,AQ$17,AQ$18,$X693))</f>
        <v/>
      </c>
      <c r="AR693" s="13">
        <f>IF(_epmOfflineCondition_,0,EPMSaveDataOnly(AN693,,AN$29,AN$25,AN$26,AN$31,AN$32,$AA$37,AR$14,AR$15,AR$16,AR$17,AR$18,$X693))</f>
        <v/>
      </c>
      <c r="AS693" s="384" t="n"/>
    </row>
    <row r="694" hidden="1" ht="15.75" customHeight="1" s="1181">
      <c r="A694" s="384" t="n"/>
      <c r="B694" s="384" t="n"/>
      <c r="C694" s="384" t="n"/>
      <c r="D694" s="384" t="n"/>
      <c r="E694" s="384" t="n"/>
      <c r="F694" s="384" t="n"/>
      <c r="G694" s="384" t="n"/>
      <c r="H694" s="384" t="n"/>
      <c r="I694" s="384" t="n"/>
      <c r="J694" s="384" t="n"/>
      <c r="K694" s="384" t="n"/>
      <c r="L694" s="384" t="n"/>
      <c r="M694" s="384" t="n"/>
      <c r="N694" s="384" t="n"/>
      <c r="O694" s="384" t="n"/>
      <c r="P694" s="384" t="n"/>
      <c r="Q694" s="384" t="n"/>
      <c r="R694" s="384" t="n"/>
      <c r="S694" s="384" t="n"/>
      <c r="T694" s="384" t="n"/>
      <c r="U694" s="384" t="n"/>
      <c r="V694" s="384" t="n"/>
      <c r="W694" s="384" t="n"/>
      <c r="X694" s="645">
        <f>IF(_epmOfflineCondition_,"I_E101004",EPMOlapMemberO("[C_INTERCO].[PARENTH1].[I_E101004]","","I_E101004","","000"))</f>
        <v/>
      </c>
      <c r="Y694" s="870">
        <f>IF(_epmOfflineCondition_,"绿联新能源（常州）有限公司",EPMMemberDesc(X694))</f>
        <v/>
      </c>
      <c r="Z694" s="1302" t="n"/>
      <c r="AA694" s="1302" t="n"/>
      <c r="AB694" s="858" t="n"/>
      <c r="AC694" s="1302" t="n"/>
      <c r="AD694" s="1302" t="n"/>
      <c r="AE694" s="1302" t="inlineStr"/>
      <c r="AF694" s="1302" t="inlineStr"/>
      <c r="AG694" s="1302" t="inlineStr"/>
      <c r="AH694" s="1302" t="n"/>
      <c r="AI694" s="1302" t="n"/>
      <c r="AJ694" s="1302" t="n"/>
      <c r="AK694" s="1302">
        <f>AI694-AJ694</f>
        <v/>
      </c>
      <c r="AL694" s="858" t="n"/>
      <c r="AM694" s="1297" t="inlineStr"/>
      <c r="AN694" s="1298" t="n"/>
      <c r="AO694" s="13">
        <f>IF(_epmOfflineCondition_,0,EPMSaveDataOnly(AB694,,AB$29,AB$25,AB$26,AB$31,AB$32,$AA$37,AO$14,AO$15,AO$16,AO$17,AO$18,X694))</f>
        <v/>
      </c>
      <c r="AP694" s="13">
        <f>IF(_epmOfflineCondition_,0,EPMSaveDataOnly(AL694,,AL$29,AL$25,AL$26,AL$31,AL$32,$AA$37,AP$14,AP$15,AP$16,AP$17,AP$18,$X694))</f>
        <v/>
      </c>
      <c r="AQ694" s="13">
        <f>IF(_epmOfflineCondition_,0,EPMSaveData(AM694,,AM$29,AM$25,AM$26,$C$6,AM$32,$AA$37,AQ$14,AQ$15,AQ$16,AQ$17,AQ$18,$X694))</f>
        <v/>
      </c>
      <c r="AR694" s="13">
        <f>IF(_epmOfflineCondition_,0,EPMSaveDataOnly(AN694,,AN$29,AN$25,AN$26,AN$31,AN$32,$AA$37,AR$14,AR$15,AR$16,AR$17,AR$18,$X694))</f>
        <v/>
      </c>
      <c r="AS694" s="384" t="n"/>
    </row>
    <row r="695" hidden="1" ht="15.75" customHeight="1" s="1181">
      <c r="A695" s="384" t="n"/>
      <c r="B695" s="384" t="n"/>
      <c r="C695" s="384" t="n"/>
      <c r="D695" s="384" t="n"/>
      <c r="E695" s="384" t="n"/>
      <c r="F695" s="384" t="n"/>
      <c r="G695" s="384" t="n"/>
      <c r="H695" s="384" t="n"/>
      <c r="I695" s="384" t="n"/>
      <c r="J695" s="384" t="n"/>
      <c r="K695" s="384" t="n"/>
      <c r="L695" s="384" t="n"/>
      <c r="M695" s="384" t="n"/>
      <c r="N695" s="384" t="n"/>
      <c r="O695" s="384" t="n"/>
      <c r="P695" s="384" t="n"/>
      <c r="Q695" s="384" t="n"/>
      <c r="R695" s="384" t="n"/>
      <c r="S695" s="384" t="n"/>
      <c r="T695" s="384" t="n"/>
      <c r="U695" s="384" t="n"/>
      <c r="V695" s="384" t="n"/>
      <c r="W695" s="384" t="n"/>
      <c r="X695" s="645">
        <f>IF(_epmOfflineCondition_,"I_E101006",EPMOlapMemberO("[C_INTERCO].[PARENTH1].[I_E101006]","","I_E101006","","000"))</f>
        <v/>
      </c>
      <c r="Y695" s="870">
        <f>IF(_epmOfflineCondition_,"佳益控股有限公司",EPMMemberDesc(X695))</f>
        <v/>
      </c>
      <c r="Z695" s="1302" t="n"/>
      <c r="AA695" s="1302" t="n"/>
      <c r="AB695" s="858" t="n"/>
      <c r="AC695" s="1302" t="n"/>
      <c r="AD695" s="1302" t="n"/>
      <c r="AE695" s="1302" t="inlineStr"/>
      <c r="AF695" s="1302" t="inlineStr"/>
      <c r="AG695" s="1302" t="inlineStr"/>
      <c r="AH695" s="1302" t="n"/>
      <c r="AI695" s="1302" t="n"/>
      <c r="AJ695" s="1302" t="n"/>
      <c r="AK695" s="1302">
        <f>AI695-AJ695</f>
        <v/>
      </c>
      <c r="AL695" s="858" t="n"/>
      <c r="AM695" s="1297" t="inlineStr"/>
      <c r="AN695" s="1298" t="n"/>
      <c r="AO695" s="13">
        <f>IF(_epmOfflineCondition_,0,EPMSaveDataOnly(AB695,,AB$29,AB$25,AB$26,AB$31,AB$32,$AA$37,AO$14,AO$15,AO$16,AO$17,AO$18,X695))</f>
        <v/>
      </c>
      <c r="AP695" s="13">
        <f>IF(_epmOfflineCondition_,0,EPMSaveDataOnly(AL695,,AL$29,AL$25,AL$26,AL$31,AL$32,$AA$37,AP$14,AP$15,AP$16,AP$17,AP$18,$X695))</f>
        <v/>
      </c>
      <c r="AQ695" s="13">
        <f>IF(_epmOfflineCondition_,0,EPMSaveData(AM695,,AM$29,AM$25,AM$26,$C$6,AM$32,$AA$37,AQ$14,AQ$15,AQ$16,AQ$17,AQ$18,$X695))</f>
        <v/>
      </c>
      <c r="AR695" s="13">
        <f>IF(_epmOfflineCondition_,0,EPMSaveDataOnly(AN695,,AN$29,AN$25,AN$26,AN$31,AN$32,$AA$37,AR$14,AR$15,AR$16,AR$17,AR$18,$X695))</f>
        <v/>
      </c>
      <c r="AS695" s="384" t="n"/>
    </row>
    <row r="696" hidden="1" ht="15.75" customHeight="1" s="1181">
      <c r="A696" s="384" t="n"/>
      <c r="B696" s="384" t="n"/>
      <c r="C696" s="384" t="n"/>
      <c r="D696" s="384" t="n"/>
      <c r="E696" s="384" t="n"/>
      <c r="F696" s="384" t="n"/>
      <c r="G696" s="384" t="n"/>
      <c r="H696" s="384" t="n"/>
      <c r="I696" s="384" t="n"/>
      <c r="J696" s="384" t="n"/>
      <c r="K696" s="384" t="n"/>
      <c r="L696" s="384" t="n"/>
      <c r="M696" s="384" t="n"/>
      <c r="N696" s="384" t="n"/>
      <c r="O696" s="384" t="n"/>
      <c r="P696" s="384" t="n"/>
      <c r="Q696" s="384" t="n"/>
      <c r="R696" s="384" t="n"/>
      <c r="S696" s="384" t="n"/>
      <c r="T696" s="384" t="n"/>
      <c r="U696" s="384" t="n"/>
      <c r="V696" s="384" t="n"/>
      <c r="W696" s="384" t="n"/>
      <c r="X696" s="645">
        <f>IF(_epmOfflineCondition_,"I_E101007",EPMOlapMemberO("[C_INTERCO].[PARENTH1].[I_E101007]","","I_E101007","","000"))</f>
        <v/>
      </c>
      <c r="Y696" s="870">
        <f>IF(_epmOfflineCondition_,"骏耀新能源（常州）有限公司",EPMMemberDesc(X696))</f>
        <v/>
      </c>
      <c r="Z696" s="1302" t="n"/>
      <c r="AA696" s="1302" t="n"/>
      <c r="AB696" s="858" t="n"/>
      <c r="AC696" s="1302" t="n"/>
      <c r="AD696" s="1302" t="n"/>
      <c r="AE696" s="1302" t="inlineStr"/>
      <c r="AF696" s="1302" t="inlineStr"/>
      <c r="AG696" s="1302" t="inlineStr"/>
      <c r="AH696" s="1302" t="n"/>
      <c r="AI696" s="1302" t="n"/>
      <c r="AJ696" s="1302" t="n"/>
      <c r="AK696" s="1302">
        <f>AI696-AJ696</f>
        <v/>
      </c>
      <c r="AL696" s="858" t="n"/>
      <c r="AM696" s="1297" t="inlineStr"/>
      <c r="AN696" s="1298" t="n"/>
      <c r="AO696" s="13">
        <f>IF(_epmOfflineCondition_,0,EPMSaveDataOnly(AB696,,AB$29,AB$25,AB$26,AB$31,AB$32,$AA$37,AO$14,AO$15,AO$16,AO$17,AO$18,X696))</f>
        <v/>
      </c>
      <c r="AP696" s="13">
        <f>IF(_epmOfflineCondition_,0,EPMSaveDataOnly(AL696,,AL$29,AL$25,AL$26,AL$31,AL$32,$AA$37,AP$14,AP$15,AP$16,AP$17,AP$18,$X696))</f>
        <v/>
      </c>
      <c r="AQ696" s="13">
        <f>IF(_epmOfflineCondition_,0,EPMSaveData(AM696,,AM$29,AM$25,AM$26,$C$6,AM$32,$AA$37,AQ$14,AQ$15,AQ$16,AQ$17,AQ$18,$X696))</f>
        <v/>
      </c>
      <c r="AR696" s="13">
        <f>IF(_epmOfflineCondition_,0,EPMSaveDataOnly(AN696,,AN$29,AN$25,AN$26,AN$31,AN$32,$AA$37,AR$14,AR$15,AR$16,AR$17,AR$18,$X696))</f>
        <v/>
      </c>
      <c r="AS696" s="384" t="n"/>
    </row>
    <row r="697" hidden="1" ht="15.75" customHeight="1" s="1181">
      <c r="A697" s="384" t="n"/>
      <c r="B697" s="384" t="n"/>
      <c r="C697" s="384" t="n"/>
      <c r="D697" s="384" t="n"/>
      <c r="E697" s="384" t="n"/>
      <c r="F697" s="384" t="n"/>
      <c r="G697" s="384" t="n"/>
      <c r="H697" s="384" t="n"/>
      <c r="I697" s="384" t="n"/>
      <c r="J697" s="384" t="n"/>
      <c r="K697" s="384" t="n"/>
      <c r="L697" s="384" t="n"/>
      <c r="M697" s="384" t="n"/>
      <c r="N697" s="384" t="n"/>
      <c r="O697" s="384" t="n"/>
      <c r="P697" s="384" t="n"/>
      <c r="Q697" s="384" t="n"/>
      <c r="R697" s="384" t="n"/>
      <c r="S697" s="384" t="n"/>
      <c r="T697" s="384" t="n"/>
      <c r="U697" s="384" t="n"/>
      <c r="V697" s="384" t="n"/>
      <c r="W697" s="384" t="n"/>
      <c r="X697" s="645">
        <f>IF(_epmOfflineCondition_,"I_E101008",EPMOlapMemberO("[C_INTERCO].[PARENTH1].[I_E101008]","","I_E101008","","000"))</f>
        <v/>
      </c>
      <c r="Y697" s="870">
        <f>IF(_epmOfflineCondition_,"南京丝绸之路新能源有限公司",EPMMemberDesc(X697))</f>
        <v/>
      </c>
      <c r="Z697" s="1302" t="n"/>
      <c r="AA697" s="1302" t="n"/>
      <c r="AB697" s="858" t="n"/>
      <c r="AC697" s="1302" t="n"/>
      <c r="AD697" s="1302" t="n"/>
      <c r="AE697" s="1302" t="inlineStr"/>
      <c r="AF697" s="1302" t="inlineStr"/>
      <c r="AG697" s="1302" t="inlineStr"/>
      <c r="AH697" s="1302" t="n"/>
      <c r="AI697" s="1302" t="n"/>
      <c r="AJ697" s="1302" t="n"/>
      <c r="AK697" s="1302">
        <f>AI697-AJ697</f>
        <v/>
      </c>
      <c r="AL697" s="858" t="n"/>
      <c r="AM697" s="1297" t="inlineStr"/>
      <c r="AN697" s="1298" t="n"/>
      <c r="AO697" s="13">
        <f>IF(_epmOfflineCondition_,0,EPMSaveDataOnly(AB697,,AB$29,AB$25,AB$26,AB$31,AB$32,$AA$37,AO$14,AO$15,AO$16,AO$17,AO$18,X697))</f>
        <v/>
      </c>
      <c r="AP697" s="13">
        <f>IF(_epmOfflineCondition_,0,EPMSaveDataOnly(AL697,,AL$29,AL$25,AL$26,AL$31,AL$32,$AA$37,AP$14,AP$15,AP$16,AP$17,AP$18,$X697))</f>
        <v/>
      </c>
      <c r="AQ697" s="13">
        <f>IF(_epmOfflineCondition_,0,EPMSaveData(AM697,,AM$29,AM$25,AM$26,$C$6,AM$32,$AA$37,AQ$14,AQ$15,AQ$16,AQ$17,AQ$18,$X697))</f>
        <v/>
      </c>
      <c r="AR697" s="13">
        <f>IF(_epmOfflineCondition_,0,EPMSaveDataOnly(AN697,,AN$29,AN$25,AN$26,AN$31,AN$32,$AA$37,AR$14,AR$15,AR$16,AR$17,AR$18,$X697))</f>
        <v/>
      </c>
      <c r="AS697" s="384" t="n"/>
    </row>
    <row r="698" hidden="1" ht="15.75" customHeight="1" s="1181">
      <c r="A698" s="384" t="n"/>
      <c r="B698" s="384" t="n"/>
      <c r="C698" s="384" t="n"/>
      <c r="D698" s="384" t="n"/>
      <c r="E698" s="384" t="n"/>
      <c r="F698" s="384" t="n"/>
      <c r="G698" s="384" t="n"/>
      <c r="H698" s="384" t="n"/>
      <c r="I698" s="384" t="n"/>
      <c r="J698" s="384" t="n"/>
      <c r="K698" s="384" t="n"/>
      <c r="L698" s="384" t="n"/>
      <c r="M698" s="384" t="n"/>
      <c r="N698" s="384" t="n"/>
      <c r="O698" s="384" t="n"/>
      <c r="P698" s="384" t="n"/>
      <c r="Q698" s="384" t="n"/>
      <c r="R698" s="384" t="n"/>
      <c r="S698" s="384" t="n"/>
      <c r="T698" s="384" t="n"/>
      <c r="U698" s="384" t="n"/>
      <c r="V698" s="384" t="n"/>
      <c r="W698" s="384" t="n"/>
      <c r="X698" s="645">
        <f>IF(_epmOfflineCondition_,"I_E101009",EPMOlapMemberO("[C_INTERCO].[PARENTH1].[I_E101009]","","I_E101009","","000"))</f>
        <v/>
      </c>
      <c r="Y698" s="870">
        <f>IF(_epmOfflineCondition_,"国电察哈尔右翼前旗第二光伏发电有限公司",EPMMemberDesc(X698))</f>
        <v/>
      </c>
      <c r="Z698" s="1302" t="n"/>
      <c r="AA698" s="1302" t="n"/>
      <c r="AB698" s="858" t="n"/>
      <c r="AC698" s="1302" t="n"/>
      <c r="AD698" s="1302" t="n"/>
      <c r="AE698" s="1302" t="inlineStr"/>
      <c r="AF698" s="1302" t="inlineStr"/>
      <c r="AG698" s="1302" t="inlineStr"/>
      <c r="AH698" s="1302" t="n"/>
      <c r="AI698" s="1302" t="n"/>
      <c r="AJ698" s="1302" t="n"/>
      <c r="AK698" s="1302">
        <f>AI698-AJ698</f>
        <v/>
      </c>
      <c r="AL698" s="858" t="n"/>
      <c r="AM698" s="1297" t="inlineStr"/>
      <c r="AN698" s="1298" t="n"/>
      <c r="AO698" s="13">
        <f>IF(_epmOfflineCondition_,0,EPMSaveDataOnly(AB698,,AB$29,AB$25,AB$26,AB$31,AB$32,$AA$37,AO$14,AO$15,AO$16,AO$17,AO$18,X698))</f>
        <v/>
      </c>
      <c r="AP698" s="13">
        <f>IF(_epmOfflineCondition_,0,EPMSaveDataOnly(AL698,,AL$29,AL$25,AL$26,AL$31,AL$32,$AA$37,AP$14,AP$15,AP$16,AP$17,AP$18,$X698))</f>
        <v/>
      </c>
      <c r="AQ698" s="13">
        <f>IF(_epmOfflineCondition_,0,EPMSaveData(AM698,,AM$29,AM$25,AM$26,$C$6,AM$32,$AA$37,AQ$14,AQ$15,AQ$16,AQ$17,AQ$18,$X698))</f>
        <v/>
      </c>
      <c r="AR698" s="13">
        <f>IF(_epmOfflineCondition_,0,EPMSaveDataOnly(AN698,,AN$29,AN$25,AN$26,AN$31,AN$32,$AA$37,AR$14,AR$15,AR$16,AR$17,AR$18,$X698))</f>
        <v/>
      </c>
      <c r="AS698" s="384" t="n"/>
    </row>
    <row r="699" hidden="1" ht="15.75" customHeight="1" s="1181">
      <c r="A699" s="384" t="n"/>
      <c r="B699" s="384" t="n"/>
      <c r="C699" s="384" t="n"/>
      <c r="D699" s="384" t="n"/>
      <c r="E699" s="384" t="n"/>
      <c r="F699" s="384" t="n"/>
      <c r="G699" s="384" t="n"/>
      <c r="H699" s="384" t="n"/>
      <c r="I699" s="384" t="n"/>
      <c r="J699" s="384" t="n"/>
      <c r="K699" s="384" t="n"/>
      <c r="L699" s="384" t="n"/>
      <c r="M699" s="384" t="n"/>
      <c r="N699" s="384" t="n"/>
      <c r="O699" s="384" t="n"/>
      <c r="P699" s="384" t="n"/>
      <c r="Q699" s="384" t="n"/>
      <c r="R699" s="384" t="n"/>
      <c r="S699" s="384" t="n"/>
      <c r="T699" s="384" t="n"/>
      <c r="U699" s="384" t="n"/>
      <c r="V699" s="384" t="n"/>
      <c r="W699" s="384" t="n"/>
      <c r="X699" s="645">
        <f>IF(_epmOfflineCondition_,"I_E101010",EPMOlapMemberO("[C_INTERCO].[PARENTH1].[I_E101010]","","I_E101010","","000"))</f>
        <v/>
      </c>
      <c r="Y699" s="870">
        <f>IF(_epmOfflineCondition_,"国电科左中旗光伏发电有限公司",EPMMemberDesc(X699))</f>
        <v/>
      </c>
      <c r="Z699" s="1302" t="n"/>
      <c r="AA699" s="1302" t="n"/>
      <c r="AB699" s="858" t="n"/>
      <c r="AC699" s="1302" t="n"/>
      <c r="AD699" s="1302" t="n"/>
      <c r="AE699" s="1302" t="inlineStr"/>
      <c r="AF699" s="1302" t="inlineStr"/>
      <c r="AG699" s="1302" t="inlineStr"/>
      <c r="AH699" s="1302" t="n"/>
      <c r="AI699" s="1302" t="n"/>
      <c r="AJ699" s="1302" t="n"/>
      <c r="AK699" s="1302">
        <f>AI699-AJ699</f>
        <v/>
      </c>
      <c r="AL699" s="858" t="n"/>
      <c r="AM699" s="1297" t="inlineStr"/>
      <c r="AN699" s="1298" t="n"/>
      <c r="AO699" s="13">
        <f>IF(_epmOfflineCondition_,0,EPMSaveDataOnly(AB699,,AB$29,AB$25,AB$26,AB$31,AB$32,$AA$37,AO$14,AO$15,AO$16,AO$17,AO$18,X699))</f>
        <v/>
      </c>
      <c r="AP699" s="13">
        <f>IF(_epmOfflineCondition_,0,EPMSaveDataOnly(AL699,,AL$29,AL$25,AL$26,AL$31,AL$32,$AA$37,AP$14,AP$15,AP$16,AP$17,AP$18,$X699))</f>
        <v/>
      </c>
      <c r="AQ699" s="13">
        <f>IF(_epmOfflineCondition_,0,EPMSaveData(AM699,,AM$29,AM$25,AM$26,$C$6,AM$32,$AA$37,AQ$14,AQ$15,AQ$16,AQ$17,AQ$18,$X699))</f>
        <v/>
      </c>
      <c r="AR699" s="13">
        <f>IF(_epmOfflineCondition_,0,EPMSaveDataOnly(AN699,,AN$29,AN$25,AN$26,AN$31,AN$32,$AA$37,AR$14,AR$15,AR$16,AR$17,AR$18,$X699))</f>
        <v/>
      </c>
      <c r="AS699" s="384" t="n"/>
    </row>
    <row r="700" hidden="1" ht="15.75" customHeight="1" s="1181">
      <c r="A700" s="384" t="n"/>
      <c r="B700" s="384" t="n"/>
      <c r="C700" s="384" t="n"/>
      <c r="D700" s="384" t="n"/>
      <c r="E700" s="384" t="n"/>
      <c r="F700" s="384" t="n"/>
      <c r="G700" s="384" t="n"/>
      <c r="H700" s="384" t="n"/>
      <c r="I700" s="384" t="n"/>
      <c r="J700" s="384" t="n"/>
      <c r="K700" s="384" t="n"/>
      <c r="L700" s="384" t="n"/>
      <c r="M700" s="384" t="n"/>
      <c r="N700" s="384" t="n"/>
      <c r="O700" s="384" t="n"/>
      <c r="P700" s="384" t="n"/>
      <c r="Q700" s="384" t="n"/>
      <c r="R700" s="384" t="n"/>
      <c r="S700" s="384" t="n"/>
      <c r="T700" s="384" t="n"/>
      <c r="U700" s="384" t="n"/>
      <c r="V700" s="384" t="n"/>
      <c r="W700" s="384" t="n"/>
      <c r="X700" s="645">
        <f>IF(_epmOfflineCondition_,"I_E101011",EPMOlapMemberO("[C_INTERCO].[PARENTH1].[I_E101011]","","I_E101011","","000"))</f>
        <v/>
      </c>
      <c r="Y700" s="870">
        <f>IF(_epmOfflineCondition_,"国电商都县第二光伏发电有限公司",EPMMemberDesc(X700))</f>
        <v/>
      </c>
      <c r="Z700" s="1302" t="n"/>
      <c r="AA700" s="1302" t="n"/>
      <c r="AB700" s="858" t="n"/>
      <c r="AC700" s="1302" t="n"/>
      <c r="AD700" s="1302" t="n"/>
      <c r="AE700" s="1302" t="inlineStr"/>
      <c r="AF700" s="1302" t="inlineStr"/>
      <c r="AG700" s="1302" t="inlineStr"/>
      <c r="AH700" s="1302" t="n"/>
      <c r="AI700" s="1302" t="n"/>
      <c r="AJ700" s="1302" t="n"/>
      <c r="AK700" s="1302">
        <f>AI700-AJ700</f>
        <v/>
      </c>
      <c r="AL700" s="858" t="n"/>
      <c r="AM700" s="1297" t="inlineStr"/>
      <c r="AN700" s="1298" t="n"/>
      <c r="AO700" s="13">
        <f>IF(_epmOfflineCondition_,0,EPMSaveDataOnly(AB700,,AB$29,AB$25,AB$26,AB$31,AB$32,$AA$37,AO$14,AO$15,AO$16,AO$17,AO$18,X700))</f>
        <v/>
      </c>
      <c r="AP700" s="13">
        <f>IF(_epmOfflineCondition_,0,EPMSaveDataOnly(AL700,,AL$29,AL$25,AL$26,AL$31,AL$32,$AA$37,AP$14,AP$15,AP$16,AP$17,AP$18,$X700))</f>
        <v/>
      </c>
      <c r="AQ700" s="13">
        <f>IF(_epmOfflineCondition_,0,EPMSaveData(AM700,,AM$29,AM$25,AM$26,$C$6,AM$32,$AA$37,AQ$14,AQ$15,AQ$16,AQ$17,AQ$18,$X700))</f>
        <v/>
      </c>
      <c r="AR700" s="13">
        <f>IF(_epmOfflineCondition_,0,EPMSaveDataOnly(AN700,,AN$29,AN$25,AN$26,AN$31,AN$32,$AA$37,AR$14,AR$15,AR$16,AR$17,AR$18,$X700))</f>
        <v/>
      </c>
      <c r="AS700" s="384" t="n"/>
    </row>
    <row r="701" hidden="1" ht="15.75" customHeight="1" s="1181">
      <c r="A701" s="384" t="n"/>
      <c r="B701" s="384" t="n"/>
      <c r="C701" s="384" t="n"/>
      <c r="D701" s="384" t="n"/>
      <c r="E701" s="384" t="n"/>
      <c r="F701" s="384" t="n"/>
      <c r="G701" s="384" t="n"/>
      <c r="H701" s="384" t="n"/>
      <c r="I701" s="384" t="n"/>
      <c r="J701" s="384" t="n"/>
      <c r="K701" s="384" t="n"/>
      <c r="L701" s="384" t="n"/>
      <c r="M701" s="384" t="n"/>
      <c r="N701" s="384" t="n"/>
      <c r="O701" s="384" t="n"/>
      <c r="P701" s="384" t="n"/>
      <c r="Q701" s="384" t="n"/>
      <c r="R701" s="384" t="n"/>
      <c r="S701" s="384" t="n"/>
      <c r="T701" s="384" t="n"/>
      <c r="U701" s="384" t="n"/>
      <c r="V701" s="384" t="n"/>
      <c r="W701" s="384" t="n"/>
      <c r="X701" s="645">
        <f>IF(_epmOfflineCondition_,"I_E101012",EPMOlapMemberO("[C_INTERCO].[PARENTH1].[I_E101012]","","I_E101012","","000"))</f>
        <v/>
      </c>
      <c r="Y701" s="870">
        <f>IF(_epmOfflineCondition_,"常州市招联绿伏新能源有限公司",EPMMemberDesc(X701))</f>
        <v/>
      </c>
      <c r="Z701" s="1302" t="n"/>
      <c r="AA701" s="1302" t="n"/>
      <c r="AB701" s="858" t="n"/>
      <c r="AC701" s="1302" t="n"/>
      <c r="AD701" s="1302" t="n"/>
      <c r="AE701" s="1302" t="inlineStr"/>
      <c r="AF701" s="1302" t="inlineStr"/>
      <c r="AG701" s="1302" t="inlineStr"/>
      <c r="AH701" s="1302" t="n"/>
      <c r="AI701" s="1302" t="n"/>
      <c r="AJ701" s="1302" t="n"/>
      <c r="AK701" s="1302">
        <f>AI701-AJ701</f>
        <v/>
      </c>
      <c r="AL701" s="858" t="n"/>
      <c r="AM701" s="1297" t="inlineStr"/>
      <c r="AN701" s="1298" t="n"/>
      <c r="AO701" s="13">
        <f>IF(_epmOfflineCondition_,0,EPMSaveDataOnly(AB701,,AB$29,AB$25,AB$26,AB$31,AB$32,$AA$37,AO$14,AO$15,AO$16,AO$17,AO$18,X701))</f>
        <v/>
      </c>
      <c r="AP701" s="13">
        <f>IF(_epmOfflineCondition_,0,EPMSaveDataOnly(AL701,,AL$29,AL$25,AL$26,AL$31,AL$32,$AA$37,AP$14,AP$15,AP$16,AP$17,AP$18,$X701))</f>
        <v/>
      </c>
      <c r="AQ701" s="13">
        <f>IF(_epmOfflineCondition_,0,EPMSaveData(AM701,,AM$29,AM$25,AM$26,$C$6,AM$32,$AA$37,AQ$14,AQ$15,AQ$16,AQ$17,AQ$18,$X701))</f>
        <v/>
      </c>
      <c r="AR701" s="13">
        <f>IF(_epmOfflineCondition_,0,EPMSaveDataOnly(AN701,,AN$29,AN$25,AN$26,AN$31,AN$32,$AA$37,AR$14,AR$15,AR$16,AR$17,AR$18,$X701))</f>
        <v/>
      </c>
      <c r="AS701" s="384" t="n"/>
    </row>
    <row r="702" hidden="1" ht="15.75" customHeight="1" s="1181">
      <c r="A702" s="384" t="n"/>
      <c r="B702" s="384" t="n"/>
      <c r="C702" s="384" t="n"/>
      <c r="D702" s="384" t="n"/>
      <c r="E702" s="384" t="n"/>
      <c r="F702" s="384" t="n"/>
      <c r="G702" s="384" t="n"/>
      <c r="H702" s="384" t="n"/>
      <c r="I702" s="384" t="n"/>
      <c r="J702" s="384" t="n"/>
      <c r="K702" s="384" t="n"/>
      <c r="L702" s="384" t="n"/>
      <c r="M702" s="384" t="n"/>
      <c r="N702" s="384" t="n"/>
      <c r="O702" s="384" t="n"/>
      <c r="P702" s="384" t="n"/>
      <c r="Q702" s="384" t="n"/>
      <c r="R702" s="384" t="n"/>
      <c r="S702" s="384" t="n"/>
      <c r="T702" s="384" t="n"/>
      <c r="U702" s="384" t="n"/>
      <c r="V702" s="384" t="n"/>
      <c r="W702" s="384" t="n"/>
      <c r="X702" s="645">
        <f>IF(_epmOfflineCondition_,"I_E101013",EPMOlapMemberO("[C_INTERCO].[PARENTH1].[I_E101013]","","I_E101013","","000"))</f>
        <v/>
      </c>
      <c r="Y702" s="870">
        <f>IF(_epmOfflineCondition_,"海阳鑫顺风光电科技有限公司",EPMMemberDesc(X702))</f>
        <v/>
      </c>
      <c r="Z702" s="1302" t="n"/>
      <c r="AA702" s="1302" t="n"/>
      <c r="AB702" s="858" t="n"/>
      <c r="AC702" s="1302" t="n"/>
      <c r="AD702" s="1302" t="n"/>
      <c r="AE702" s="1302" t="inlineStr"/>
      <c r="AF702" s="1302" t="inlineStr"/>
      <c r="AG702" s="1302" t="inlineStr"/>
      <c r="AH702" s="1302" t="n"/>
      <c r="AI702" s="1302" t="n"/>
      <c r="AJ702" s="1302" t="n"/>
      <c r="AK702" s="1302">
        <f>AI702-AJ702</f>
        <v/>
      </c>
      <c r="AL702" s="858" t="n"/>
      <c r="AM702" s="1297" t="inlineStr"/>
      <c r="AN702" s="1298" t="n"/>
      <c r="AO702" s="13">
        <f>IF(_epmOfflineCondition_,0,EPMSaveDataOnly(AB702,,AB$29,AB$25,AB$26,AB$31,AB$32,$AA$37,AO$14,AO$15,AO$16,AO$17,AO$18,X702))</f>
        <v/>
      </c>
      <c r="AP702" s="13">
        <f>IF(_epmOfflineCondition_,0,EPMSaveDataOnly(AL702,,AL$29,AL$25,AL$26,AL$31,AL$32,$AA$37,AP$14,AP$15,AP$16,AP$17,AP$18,$X702))</f>
        <v/>
      </c>
      <c r="AQ702" s="13">
        <f>IF(_epmOfflineCondition_,0,EPMSaveData(AM702,,AM$29,AM$25,AM$26,$C$6,AM$32,$AA$37,AQ$14,AQ$15,AQ$16,AQ$17,AQ$18,$X702))</f>
        <v/>
      </c>
      <c r="AR702" s="13">
        <f>IF(_epmOfflineCondition_,0,EPMSaveDataOnly(AN702,,AN$29,AN$25,AN$26,AN$31,AN$32,$AA$37,AR$14,AR$15,AR$16,AR$17,AR$18,$X702))</f>
        <v/>
      </c>
      <c r="AS702" s="384" t="n"/>
    </row>
    <row r="703" hidden="1" ht="15.75" customHeight="1" s="1181">
      <c r="A703" s="384" t="n"/>
      <c r="B703" s="384" t="n"/>
      <c r="C703" s="384" t="n"/>
      <c r="D703" s="384" t="n"/>
      <c r="E703" s="384" t="n"/>
      <c r="F703" s="384" t="n"/>
      <c r="G703" s="384" t="n"/>
      <c r="H703" s="384" t="n"/>
      <c r="I703" s="384" t="n"/>
      <c r="J703" s="384" t="n"/>
      <c r="K703" s="384" t="n"/>
      <c r="L703" s="384" t="n"/>
      <c r="M703" s="384" t="n"/>
      <c r="N703" s="384" t="n"/>
      <c r="O703" s="384" t="n"/>
      <c r="P703" s="384" t="n"/>
      <c r="Q703" s="384" t="n"/>
      <c r="R703" s="384" t="n"/>
      <c r="S703" s="384" t="n"/>
      <c r="T703" s="384" t="n"/>
      <c r="U703" s="384" t="n"/>
      <c r="V703" s="384" t="n"/>
      <c r="W703" s="384" t="n"/>
      <c r="X703" s="645">
        <f>IF(_epmOfflineCondition_,"I_E101015",EPMOlapMemberO("[C_INTERCO].[PARENTH1].[I_E101015]","","I_E101015","","000"))</f>
        <v/>
      </c>
      <c r="Y703" s="870">
        <f>IF(_epmOfflineCondition_,"新光资产有限公司",EPMMemberDesc(X703))</f>
        <v/>
      </c>
      <c r="Z703" s="1302" t="n"/>
      <c r="AA703" s="1302" t="n"/>
      <c r="AB703" s="858" t="n"/>
      <c r="AC703" s="1302" t="n"/>
      <c r="AD703" s="1302" t="n"/>
      <c r="AE703" s="1302" t="inlineStr"/>
      <c r="AF703" s="1302" t="inlineStr"/>
      <c r="AG703" s="1302" t="inlineStr"/>
      <c r="AH703" s="1302" t="n"/>
      <c r="AI703" s="1302" t="n"/>
      <c r="AJ703" s="1302" t="n"/>
      <c r="AK703" s="1302">
        <f>AI703-AJ703</f>
        <v/>
      </c>
      <c r="AL703" s="858" t="n"/>
      <c r="AM703" s="1297" t="inlineStr"/>
      <c r="AN703" s="1298" t="n"/>
      <c r="AO703" s="13">
        <f>IF(_epmOfflineCondition_,0,EPMSaveDataOnly(AB703,,AB$29,AB$25,AB$26,AB$31,AB$32,$AA$37,AO$14,AO$15,AO$16,AO$17,AO$18,X703))</f>
        <v/>
      </c>
      <c r="AP703" s="13">
        <f>IF(_epmOfflineCondition_,0,EPMSaveDataOnly(AL703,,AL$29,AL$25,AL$26,AL$31,AL$32,$AA$37,AP$14,AP$15,AP$16,AP$17,AP$18,$X703))</f>
        <v/>
      </c>
      <c r="AQ703" s="13">
        <f>IF(_epmOfflineCondition_,0,EPMSaveData(AM703,,AM$29,AM$25,AM$26,$C$6,AM$32,$AA$37,AQ$14,AQ$15,AQ$16,AQ$17,AQ$18,$X703))</f>
        <v/>
      </c>
      <c r="AR703" s="13">
        <f>IF(_epmOfflineCondition_,0,EPMSaveDataOnly(AN703,,AN$29,AN$25,AN$26,AN$31,AN$32,$AA$37,AR$14,AR$15,AR$16,AR$17,AR$18,$X703))</f>
        <v/>
      </c>
      <c r="AS703" s="384" t="n"/>
    </row>
    <row r="704" hidden="1" ht="15.75" customHeight="1" s="1181">
      <c r="A704" s="384" t="n"/>
      <c r="B704" s="384" t="n"/>
      <c r="C704" s="384" t="n"/>
      <c r="D704" s="384" t="n"/>
      <c r="E704" s="384" t="n"/>
      <c r="F704" s="384" t="n"/>
      <c r="G704" s="384" t="n"/>
      <c r="H704" s="384" t="n"/>
      <c r="I704" s="384" t="n"/>
      <c r="J704" s="384" t="n"/>
      <c r="K704" s="384" t="n"/>
      <c r="L704" s="384" t="n"/>
      <c r="M704" s="384" t="n"/>
      <c r="N704" s="384" t="n"/>
      <c r="O704" s="384" t="n"/>
      <c r="P704" s="384" t="n"/>
      <c r="Q704" s="384" t="n"/>
      <c r="R704" s="384" t="n"/>
      <c r="S704" s="384" t="n"/>
      <c r="T704" s="384" t="n"/>
      <c r="U704" s="384" t="n"/>
      <c r="V704" s="384" t="n"/>
      <c r="W704" s="384" t="n"/>
      <c r="X704" s="645">
        <f>IF(_epmOfflineCondition_,"I_E101016",EPMOlapMemberO("[C_INTERCO].[PARENTH1].[I_E101016]","","I_E101016","","000"))</f>
        <v/>
      </c>
      <c r="Y704" s="870">
        <f>IF(_epmOfflineCondition_,"丝绸之路招商新能源（常州）有限公司",EPMMemberDesc(X704))</f>
        <v/>
      </c>
      <c r="Z704" s="1302" t="n"/>
      <c r="AA704" s="1302" t="n"/>
      <c r="AB704" s="858" t="n"/>
      <c r="AC704" s="1302" t="n"/>
      <c r="AD704" s="1302" t="n"/>
      <c r="AE704" s="1302" t="inlineStr"/>
      <c r="AF704" s="1302" t="inlineStr"/>
      <c r="AG704" s="1302" t="inlineStr"/>
      <c r="AH704" s="1302" t="n"/>
      <c r="AI704" s="1302" t="n"/>
      <c r="AJ704" s="1302" t="n"/>
      <c r="AK704" s="1302">
        <f>AI704-AJ704</f>
        <v/>
      </c>
      <c r="AL704" s="858" t="n"/>
      <c r="AM704" s="1297" t="inlineStr"/>
      <c r="AN704" s="1298" t="n"/>
      <c r="AO704" s="13">
        <f>IF(_epmOfflineCondition_,0,EPMSaveDataOnly(AB704,,AB$29,AB$25,AB$26,AB$31,AB$32,$AA$37,AO$14,AO$15,AO$16,AO$17,AO$18,X704))</f>
        <v/>
      </c>
      <c r="AP704" s="13">
        <f>IF(_epmOfflineCondition_,0,EPMSaveDataOnly(AL704,,AL$29,AL$25,AL$26,AL$31,AL$32,$AA$37,AP$14,AP$15,AP$16,AP$17,AP$18,$X704))</f>
        <v/>
      </c>
      <c r="AQ704" s="13">
        <f>IF(_epmOfflineCondition_,0,EPMSaveData(AM704,,AM$29,AM$25,AM$26,$C$6,AM$32,$AA$37,AQ$14,AQ$15,AQ$16,AQ$17,AQ$18,$X704))</f>
        <v/>
      </c>
      <c r="AR704" s="13">
        <f>IF(_epmOfflineCondition_,0,EPMSaveDataOnly(AN704,,AN$29,AN$25,AN$26,AN$31,AN$32,$AA$37,AR$14,AR$15,AR$16,AR$17,AR$18,$X704))</f>
        <v/>
      </c>
      <c r="AS704" s="384" t="n"/>
    </row>
    <row r="705" hidden="1" ht="15.75" customHeight="1" s="1181">
      <c r="A705" s="384" t="n"/>
      <c r="B705" s="384" t="n"/>
      <c r="C705" s="384" t="n"/>
      <c r="D705" s="384" t="n"/>
      <c r="E705" s="384" t="n"/>
      <c r="F705" s="384" t="n"/>
      <c r="G705" s="384" t="n"/>
      <c r="H705" s="384" t="n"/>
      <c r="I705" s="384" t="n"/>
      <c r="J705" s="384" t="n"/>
      <c r="K705" s="384" t="n"/>
      <c r="L705" s="384" t="n"/>
      <c r="M705" s="384" t="n"/>
      <c r="N705" s="384" t="n"/>
      <c r="O705" s="384" t="n"/>
      <c r="P705" s="384" t="n"/>
      <c r="Q705" s="384" t="n"/>
      <c r="R705" s="384" t="n"/>
      <c r="S705" s="384" t="n"/>
      <c r="T705" s="384" t="n"/>
      <c r="U705" s="384" t="n"/>
      <c r="V705" s="384" t="n"/>
      <c r="W705" s="384" t="n"/>
      <c r="X705" s="645">
        <f>IF(_epmOfflineCondition_,"I_E101017",EPMOlapMemberO("[C_INTERCO].[PARENTH1].[I_E101017]","","I_E101017","","000"))</f>
        <v/>
      </c>
      <c r="Y705" s="870">
        <f>IF(_epmOfflineCondition_,"常州新光新能源有限公司",EPMMemberDesc(X705))</f>
        <v/>
      </c>
      <c r="Z705" s="1302" t="n"/>
      <c r="AA705" s="1302" t="n"/>
      <c r="AB705" s="858" t="n"/>
      <c r="AC705" s="1302" t="n"/>
      <c r="AD705" s="1302" t="n"/>
      <c r="AE705" s="1302" t="inlineStr"/>
      <c r="AF705" s="1302" t="inlineStr"/>
      <c r="AG705" s="1302" t="inlineStr"/>
      <c r="AH705" s="1302" t="n"/>
      <c r="AI705" s="1302" t="n"/>
      <c r="AJ705" s="1302" t="n"/>
      <c r="AK705" s="1302">
        <f>AI705-AJ705</f>
        <v/>
      </c>
      <c r="AL705" s="858" t="n"/>
      <c r="AM705" s="1297" t="inlineStr"/>
      <c r="AN705" s="1298" t="n"/>
      <c r="AO705" s="13">
        <f>IF(_epmOfflineCondition_,0,EPMSaveDataOnly(AB705,,AB$29,AB$25,AB$26,AB$31,AB$32,$AA$37,AO$14,AO$15,AO$16,AO$17,AO$18,X705))</f>
        <v/>
      </c>
      <c r="AP705" s="13">
        <f>IF(_epmOfflineCondition_,0,EPMSaveDataOnly(AL705,,AL$29,AL$25,AL$26,AL$31,AL$32,$AA$37,AP$14,AP$15,AP$16,AP$17,AP$18,$X705))</f>
        <v/>
      </c>
      <c r="AQ705" s="13">
        <f>IF(_epmOfflineCondition_,0,EPMSaveData(AM705,,AM$29,AM$25,AM$26,$C$6,AM$32,$AA$37,AQ$14,AQ$15,AQ$16,AQ$17,AQ$18,$X705))</f>
        <v/>
      </c>
      <c r="AR705" s="13">
        <f>IF(_epmOfflineCondition_,0,EPMSaveDataOnly(AN705,,AN$29,AN$25,AN$26,AN$31,AN$32,$AA$37,AR$14,AR$15,AR$16,AR$17,AR$18,$X705))</f>
        <v/>
      </c>
      <c r="AS705" s="384" t="n"/>
    </row>
    <row r="706" hidden="1" ht="15.75" customHeight="1" s="1181">
      <c r="A706" s="384" t="n"/>
      <c r="B706" s="384" t="n"/>
      <c r="C706" s="384" t="n"/>
      <c r="D706" s="384" t="n"/>
      <c r="E706" s="384" t="n"/>
      <c r="F706" s="384" t="n"/>
      <c r="G706" s="384" t="n"/>
      <c r="H706" s="384" t="n"/>
      <c r="I706" s="384" t="n"/>
      <c r="J706" s="384" t="n"/>
      <c r="K706" s="384" t="n"/>
      <c r="L706" s="384" t="n"/>
      <c r="M706" s="384" t="n"/>
      <c r="N706" s="384" t="n"/>
      <c r="O706" s="384" t="n"/>
      <c r="P706" s="384" t="n"/>
      <c r="Q706" s="384" t="n"/>
      <c r="R706" s="384" t="n"/>
      <c r="S706" s="384" t="n"/>
      <c r="T706" s="384" t="n"/>
      <c r="U706" s="384" t="n"/>
      <c r="V706" s="384" t="n"/>
      <c r="W706" s="384" t="n"/>
      <c r="X706" s="645">
        <f>IF(_epmOfflineCondition_,"I_E101018",EPMOlapMemberO("[C_INTERCO].[PARENTH1].[I_E101018]","","I_E101018","","000"))</f>
        <v/>
      </c>
      <c r="Y706" s="870">
        <f>IF(_epmOfflineCondition_,"阳原中久能源开发科技有限公司",EPMMemberDesc(X706))</f>
        <v/>
      </c>
      <c r="Z706" s="1302" t="n"/>
      <c r="AA706" s="1302" t="n"/>
      <c r="AB706" s="858" t="n"/>
      <c r="AC706" s="1302" t="n"/>
      <c r="AD706" s="1302" t="n"/>
      <c r="AE706" s="1302" t="inlineStr"/>
      <c r="AF706" s="1302" t="inlineStr"/>
      <c r="AG706" s="1302" t="inlineStr"/>
      <c r="AH706" s="1302" t="n"/>
      <c r="AI706" s="1302" t="n"/>
      <c r="AJ706" s="1302" t="n"/>
      <c r="AK706" s="1302">
        <f>AI706-AJ706</f>
        <v/>
      </c>
      <c r="AL706" s="858" t="n"/>
      <c r="AM706" s="1297" t="inlineStr"/>
      <c r="AN706" s="1298" t="n"/>
      <c r="AO706" s="13">
        <f>IF(_epmOfflineCondition_,0,EPMSaveDataOnly(AB706,,AB$29,AB$25,AB$26,AB$31,AB$32,$AA$37,AO$14,AO$15,AO$16,AO$17,AO$18,X706))</f>
        <v/>
      </c>
      <c r="AP706" s="13">
        <f>IF(_epmOfflineCondition_,0,EPMSaveDataOnly(AL706,,AL$29,AL$25,AL$26,AL$31,AL$32,$AA$37,AP$14,AP$15,AP$16,AP$17,AP$18,$X706))</f>
        <v/>
      </c>
      <c r="AQ706" s="13">
        <f>IF(_epmOfflineCondition_,0,EPMSaveData(AM706,,AM$29,AM$25,AM$26,$C$6,AM$32,$AA$37,AQ$14,AQ$15,AQ$16,AQ$17,AQ$18,$X706))</f>
        <v/>
      </c>
      <c r="AR706" s="13">
        <f>IF(_epmOfflineCondition_,0,EPMSaveDataOnly(AN706,,AN$29,AN$25,AN$26,AN$31,AN$32,$AA$37,AR$14,AR$15,AR$16,AR$17,AR$18,$X706))</f>
        <v/>
      </c>
      <c r="AS706" s="384" t="n"/>
    </row>
    <row r="707" hidden="1" ht="15.75" customHeight="1" s="1181">
      <c r="A707" s="384" t="n"/>
      <c r="B707" s="384" t="n"/>
      <c r="C707" s="384" t="n"/>
      <c r="D707" s="384" t="n"/>
      <c r="E707" s="384" t="n"/>
      <c r="F707" s="384" t="n"/>
      <c r="G707" s="384" t="n"/>
      <c r="H707" s="384" t="n"/>
      <c r="I707" s="384" t="n"/>
      <c r="J707" s="384" t="n"/>
      <c r="K707" s="384" t="n"/>
      <c r="L707" s="384" t="n"/>
      <c r="M707" s="384" t="n"/>
      <c r="N707" s="384" t="n"/>
      <c r="O707" s="384" t="n"/>
      <c r="P707" s="384" t="n"/>
      <c r="Q707" s="384" t="n"/>
      <c r="R707" s="384" t="n"/>
      <c r="S707" s="384" t="n"/>
      <c r="T707" s="384" t="n"/>
      <c r="U707" s="384" t="n"/>
      <c r="V707" s="384" t="n"/>
      <c r="W707" s="384" t="n"/>
      <c r="X707" s="645">
        <f>IF(_epmOfflineCondition_,"I_E101019",EPMOlapMemberO("[C_INTERCO].[PARENTH1].[I_E101019]","","I_E101019","","000"))</f>
        <v/>
      </c>
      <c r="Y707" s="870">
        <f>IF(_epmOfflineCondition_,"招商局漳州开发区丝路方舟碳资产管理有限公司",EPMMemberDesc(X707))</f>
        <v/>
      </c>
      <c r="Z707" s="1302" t="n"/>
      <c r="AA707" s="1302" t="n"/>
      <c r="AB707" s="858" t="n"/>
      <c r="AC707" s="1302" t="n"/>
      <c r="AD707" s="1302" t="n"/>
      <c r="AE707" s="1302" t="inlineStr"/>
      <c r="AF707" s="1302" t="inlineStr"/>
      <c r="AG707" s="1302" t="inlineStr"/>
      <c r="AH707" s="1302" t="n"/>
      <c r="AI707" s="1302" t="n"/>
      <c r="AJ707" s="1302" t="n"/>
      <c r="AK707" s="1302">
        <f>AI707-AJ707</f>
        <v/>
      </c>
      <c r="AL707" s="858" t="n"/>
      <c r="AM707" s="1297" t="inlineStr"/>
      <c r="AN707" s="1298" t="n"/>
      <c r="AO707" s="13">
        <f>IF(_epmOfflineCondition_,0,EPMSaveDataOnly(AB707,,AB$29,AB$25,AB$26,AB$31,AB$32,$AA$37,AO$14,AO$15,AO$16,AO$17,AO$18,X707))</f>
        <v/>
      </c>
      <c r="AP707" s="13">
        <f>IF(_epmOfflineCondition_,0,EPMSaveDataOnly(AL707,,AL$29,AL$25,AL$26,AL$31,AL$32,$AA$37,AP$14,AP$15,AP$16,AP$17,AP$18,$X707))</f>
        <v/>
      </c>
      <c r="AQ707" s="13">
        <f>IF(_epmOfflineCondition_,0,EPMSaveData(AM707,,AM$29,AM$25,AM$26,$C$6,AM$32,$AA$37,AQ$14,AQ$15,AQ$16,AQ$17,AQ$18,$X707))</f>
        <v/>
      </c>
      <c r="AR707" s="13">
        <f>IF(_epmOfflineCondition_,0,EPMSaveDataOnly(AN707,,AN$29,AN$25,AN$26,AN$31,AN$32,$AA$37,AR$14,AR$15,AR$16,AR$17,AR$18,$X707))</f>
        <v/>
      </c>
      <c r="AS707" s="384" t="n"/>
    </row>
    <row r="708" hidden="1" ht="15.75" customHeight="1" s="1181">
      <c r="A708" s="384" t="n"/>
      <c r="B708" s="384" t="n"/>
      <c r="C708" s="384" t="n"/>
      <c r="D708" s="384" t="n"/>
      <c r="E708" s="384" t="n"/>
      <c r="F708" s="384" t="n"/>
      <c r="G708" s="384" t="n"/>
      <c r="H708" s="384" t="n"/>
      <c r="I708" s="384" t="n"/>
      <c r="J708" s="384" t="n"/>
      <c r="K708" s="384" t="n"/>
      <c r="L708" s="384" t="n"/>
      <c r="M708" s="384" t="n"/>
      <c r="N708" s="384" t="n"/>
      <c r="O708" s="384" t="n"/>
      <c r="P708" s="384" t="n"/>
      <c r="Q708" s="384" t="n"/>
      <c r="R708" s="384" t="n"/>
      <c r="S708" s="384" t="n"/>
      <c r="T708" s="384" t="n"/>
      <c r="U708" s="384" t="n"/>
      <c r="V708" s="384" t="n"/>
      <c r="W708" s="384" t="n"/>
      <c r="X708" s="645">
        <f>IF(_epmOfflineCondition_,"I_E101020",EPMOlapMemberO("[C_INTERCO].[PARENTH1].[I_E101020]","","I_E101020","","000"))</f>
        <v/>
      </c>
      <c r="Y708" s="870">
        <f>IF(_epmOfflineCondition_,"招商局漳州开发区博新太阳能科技有限公司",EPMMemberDesc(X708))</f>
        <v/>
      </c>
      <c r="Z708" s="1302" t="n"/>
      <c r="AA708" s="1302" t="n"/>
      <c r="AB708" s="858" t="n"/>
      <c r="AC708" s="1302" t="n"/>
      <c r="AD708" s="1302" t="n"/>
      <c r="AE708" s="1302" t="inlineStr"/>
      <c r="AF708" s="1302" t="inlineStr"/>
      <c r="AG708" s="1302" t="inlineStr"/>
      <c r="AH708" s="1302" t="n"/>
      <c r="AI708" s="1302" t="n"/>
      <c r="AJ708" s="1302" t="n"/>
      <c r="AK708" s="1302">
        <f>AI708-AJ708</f>
        <v/>
      </c>
      <c r="AL708" s="858" t="n"/>
      <c r="AM708" s="1297" t="inlineStr"/>
      <c r="AN708" s="1298" t="n"/>
      <c r="AO708" s="13">
        <f>IF(_epmOfflineCondition_,0,EPMSaveDataOnly(AB708,,AB$29,AB$25,AB$26,AB$31,AB$32,$AA$37,AO$14,AO$15,AO$16,AO$17,AO$18,X708))</f>
        <v/>
      </c>
      <c r="AP708" s="13">
        <f>IF(_epmOfflineCondition_,0,EPMSaveDataOnly(AL708,,AL$29,AL$25,AL$26,AL$31,AL$32,$AA$37,AP$14,AP$15,AP$16,AP$17,AP$18,$X708))</f>
        <v/>
      </c>
      <c r="AQ708" s="13">
        <f>IF(_epmOfflineCondition_,0,EPMSaveData(AM708,,AM$29,AM$25,AM$26,$C$6,AM$32,$AA$37,AQ$14,AQ$15,AQ$16,AQ$17,AQ$18,$X708))</f>
        <v/>
      </c>
      <c r="AR708" s="13">
        <f>IF(_epmOfflineCondition_,0,EPMSaveDataOnly(AN708,,AN$29,AN$25,AN$26,AN$31,AN$32,$AA$37,AR$14,AR$15,AR$16,AR$17,AR$18,$X708))</f>
        <v/>
      </c>
      <c r="AS708" s="384" t="n"/>
    </row>
    <row r="709" hidden="1" ht="15.75" customHeight="1" s="1181">
      <c r="A709" s="384" t="n"/>
      <c r="B709" s="384" t="n"/>
      <c r="C709" s="384" t="n"/>
      <c r="D709" s="384" t="n"/>
      <c r="E709" s="384" t="n"/>
      <c r="F709" s="384" t="n"/>
      <c r="G709" s="384" t="n"/>
      <c r="H709" s="384" t="n"/>
      <c r="I709" s="384" t="n"/>
      <c r="J709" s="384" t="n"/>
      <c r="K709" s="384" t="n"/>
      <c r="L709" s="384" t="n"/>
      <c r="M709" s="384" t="n"/>
      <c r="N709" s="384" t="n"/>
      <c r="O709" s="384" t="n"/>
      <c r="P709" s="384" t="n"/>
      <c r="Q709" s="384" t="n"/>
      <c r="R709" s="384" t="n"/>
      <c r="S709" s="384" t="n"/>
      <c r="T709" s="384" t="n"/>
      <c r="U709" s="384" t="n"/>
      <c r="V709" s="384" t="n"/>
      <c r="W709" s="384" t="n"/>
      <c r="X709" s="645">
        <f>IF(_epmOfflineCondition_,"I_E101021",EPMOlapMemberO("[C_INTERCO].[PARENTH1].[I_E101021]","","I_E101021","","000"))</f>
        <v/>
      </c>
      <c r="Y709" s="870">
        <f>IF(_epmOfflineCondition_,"环球可再生能源有限公司-（2025年1月注销）",EPMMemberDesc(X709))</f>
        <v/>
      </c>
      <c r="Z709" s="1302" t="n"/>
      <c r="AA709" s="1302" t="n"/>
      <c r="AB709" s="858" t="n"/>
      <c r="AC709" s="1302" t="n"/>
      <c r="AD709" s="1302" t="n"/>
      <c r="AE709" s="1302" t="inlineStr"/>
      <c r="AF709" s="1302" t="inlineStr"/>
      <c r="AG709" s="1302" t="inlineStr"/>
      <c r="AH709" s="1302" t="n"/>
      <c r="AI709" s="1302" t="n"/>
      <c r="AJ709" s="1302" t="n"/>
      <c r="AK709" s="1302">
        <f>AI709-AJ709</f>
        <v/>
      </c>
      <c r="AL709" s="858" t="n"/>
      <c r="AM709" s="1297" t="inlineStr"/>
      <c r="AN709" s="1298" t="n"/>
      <c r="AO709" s="13">
        <f>IF(_epmOfflineCondition_,0,EPMSaveDataOnly(AB709,,AB$29,AB$25,AB$26,AB$31,AB$32,$AA$37,AO$14,AO$15,AO$16,AO$17,AO$18,X709))</f>
        <v/>
      </c>
      <c r="AP709" s="13">
        <f>IF(_epmOfflineCondition_,0,EPMSaveDataOnly(AL709,,AL$29,AL$25,AL$26,AL$31,AL$32,$AA$37,AP$14,AP$15,AP$16,AP$17,AP$18,$X709))</f>
        <v/>
      </c>
      <c r="AQ709" s="13">
        <f>IF(_epmOfflineCondition_,0,EPMSaveData(AM709,,AM$29,AM$25,AM$26,$C$6,AM$32,$AA$37,AQ$14,AQ$15,AQ$16,AQ$17,AQ$18,$X709))</f>
        <v/>
      </c>
      <c r="AR709" s="13">
        <f>IF(_epmOfflineCondition_,0,EPMSaveDataOnly(AN709,,AN$29,AN$25,AN$26,AN$31,AN$32,$AA$37,AR$14,AR$15,AR$16,AR$17,AR$18,$X709))</f>
        <v/>
      </c>
      <c r="AS709" s="384" t="n"/>
    </row>
    <row r="710" hidden="1" ht="15.75" customHeight="1" s="1181">
      <c r="A710" s="384" t="n"/>
      <c r="B710" s="384" t="n"/>
      <c r="C710" s="384" t="n"/>
      <c r="D710" s="384" t="n"/>
      <c r="E710" s="384" t="n"/>
      <c r="F710" s="384" t="n"/>
      <c r="G710" s="384" t="n"/>
      <c r="H710" s="384" t="n"/>
      <c r="I710" s="384" t="n"/>
      <c r="J710" s="384" t="n"/>
      <c r="K710" s="384" t="n"/>
      <c r="L710" s="384" t="n"/>
      <c r="M710" s="384" t="n"/>
      <c r="N710" s="384" t="n"/>
      <c r="O710" s="384" t="n"/>
      <c r="P710" s="384" t="n"/>
      <c r="Q710" s="384" t="n"/>
      <c r="R710" s="384" t="n"/>
      <c r="S710" s="384" t="n"/>
      <c r="T710" s="384" t="n"/>
      <c r="U710" s="384" t="n"/>
      <c r="V710" s="384" t="n"/>
      <c r="W710" s="384" t="n"/>
      <c r="X710" s="645">
        <f>IF(_epmOfflineCondition_,"I_E101022",EPMOlapMemberO("[C_INTERCO].[PARENTH1].[I_E101022]","","I_E101022","","000"))</f>
        <v/>
      </c>
      <c r="Y710" s="870">
        <f>IF(_epmOfflineCondition_,"环球可再生能源控股有限公司-（2025年1月注销）",EPMMemberDesc(X710))</f>
        <v/>
      </c>
      <c r="Z710" s="1302" t="n"/>
      <c r="AA710" s="1302" t="n"/>
      <c r="AB710" s="858" t="n"/>
      <c r="AC710" s="1302" t="n"/>
      <c r="AD710" s="1302" t="n"/>
      <c r="AE710" s="1302" t="inlineStr"/>
      <c r="AF710" s="1302" t="inlineStr"/>
      <c r="AG710" s="1302" t="inlineStr"/>
      <c r="AH710" s="1302" t="n"/>
      <c r="AI710" s="1302" t="n"/>
      <c r="AJ710" s="1302" t="n"/>
      <c r="AK710" s="1302">
        <f>AI710-AJ710</f>
        <v/>
      </c>
      <c r="AL710" s="858" t="n"/>
      <c r="AM710" s="1297" t="inlineStr"/>
      <c r="AN710" s="1298" t="n"/>
      <c r="AO710" s="13">
        <f>IF(_epmOfflineCondition_,0,EPMSaveDataOnly(AB710,,AB$29,AB$25,AB$26,AB$31,AB$32,$AA$37,AO$14,AO$15,AO$16,AO$17,AO$18,X710))</f>
        <v/>
      </c>
      <c r="AP710" s="13">
        <f>IF(_epmOfflineCondition_,0,EPMSaveDataOnly(AL710,,AL$29,AL$25,AL$26,AL$31,AL$32,$AA$37,AP$14,AP$15,AP$16,AP$17,AP$18,$X710))</f>
        <v/>
      </c>
      <c r="AQ710" s="13">
        <f>IF(_epmOfflineCondition_,0,EPMSaveData(AM710,,AM$29,AM$25,AM$26,$C$6,AM$32,$AA$37,AQ$14,AQ$15,AQ$16,AQ$17,AQ$18,$X710))</f>
        <v/>
      </c>
      <c r="AR710" s="13">
        <f>IF(_epmOfflineCondition_,0,EPMSaveDataOnly(AN710,,AN$29,AN$25,AN$26,AN$31,AN$32,$AA$37,AR$14,AR$15,AR$16,AR$17,AR$18,$X710))</f>
        <v/>
      </c>
      <c r="AS710" s="384" t="n"/>
    </row>
    <row r="711" hidden="1" ht="15.75" customHeight="1" s="1181">
      <c r="A711" s="384" t="n"/>
      <c r="B711" s="384" t="n"/>
      <c r="C711" s="384" t="n"/>
      <c r="D711" s="384" t="n"/>
      <c r="E711" s="384" t="n"/>
      <c r="F711" s="384" t="n"/>
      <c r="G711" s="384" t="n"/>
      <c r="H711" s="384" t="n"/>
      <c r="I711" s="384" t="n"/>
      <c r="J711" s="384" t="n"/>
      <c r="K711" s="384" t="n"/>
      <c r="L711" s="384" t="n"/>
      <c r="M711" s="384" t="n"/>
      <c r="N711" s="384" t="n"/>
      <c r="O711" s="384" t="n"/>
      <c r="P711" s="384" t="n"/>
      <c r="Q711" s="384" t="n"/>
      <c r="R711" s="384" t="n"/>
      <c r="S711" s="384" t="n"/>
      <c r="T711" s="384" t="n"/>
      <c r="U711" s="384" t="n"/>
      <c r="V711" s="384" t="n"/>
      <c r="W711" s="384" t="n"/>
      <c r="X711" s="645">
        <f>IF(_epmOfflineCondition_,"I_E101024",EPMOlapMemberO("[C_INTERCO].[PARENTH1].[I_E101024]","","I_E101024","","000"))</f>
        <v/>
      </c>
      <c r="Y711" s="870">
        <f>IF(_epmOfflineCondition_,"金轮控股有限公司",EPMMemberDesc(X711))</f>
        <v/>
      </c>
      <c r="Z711" s="1302" t="n"/>
      <c r="AA711" s="1302" t="n"/>
      <c r="AB711" s="858" t="n"/>
      <c r="AC711" s="1302" t="n"/>
      <c r="AD711" s="1302" t="n"/>
      <c r="AE711" s="1302" t="inlineStr"/>
      <c r="AF711" s="1302" t="inlineStr"/>
      <c r="AG711" s="1302" t="inlineStr"/>
      <c r="AH711" s="1302" t="n"/>
      <c r="AI711" s="1302" t="n"/>
      <c r="AJ711" s="1302" t="n"/>
      <c r="AK711" s="1302">
        <f>AI711-AJ711</f>
        <v/>
      </c>
      <c r="AL711" s="858" t="n"/>
      <c r="AM711" s="1297" t="inlineStr"/>
      <c r="AN711" s="1298" t="n"/>
      <c r="AO711" s="13">
        <f>IF(_epmOfflineCondition_,0,EPMSaveDataOnly(AB711,,AB$29,AB$25,AB$26,AB$31,AB$32,$AA$37,AO$14,AO$15,AO$16,AO$17,AO$18,X711))</f>
        <v/>
      </c>
      <c r="AP711" s="13">
        <f>IF(_epmOfflineCondition_,0,EPMSaveDataOnly(AL711,,AL$29,AL$25,AL$26,AL$31,AL$32,$AA$37,AP$14,AP$15,AP$16,AP$17,AP$18,$X711))</f>
        <v/>
      </c>
      <c r="AQ711" s="13">
        <f>IF(_epmOfflineCondition_,0,EPMSaveData(AM711,,AM$29,AM$25,AM$26,$C$6,AM$32,$AA$37,AQ$14,AQ$15,AQ$16,AQ$17,AQ$18,$X711))</f>
        <v/>
      </c>
      <c r="AR711" s="13">
        <f>IF(_epmOfflineCondition_,0,EPMSaveDataOnly(AN711,,AN$29,AN$25,AN$26,AN$31,AN$32,$AA$37,AR$14,AR$15,AR$16,AR$17,AR$18,$X711))</f>
        <v/>
      </c>
      <c r="AS711" s="384" t="n"/>
    </row>
    <row r="712" hidden="1" ht="15.75" customHeight="1" s="1181">
      <c r="A712" s="384" t="n"/>
      <c r="B712" s="384" t="n"/>
      <c r="C712" s="384" t="n"/>
      <c r="D712" s="384" t="n"/>
      <c r="E712" s="384" t="n"/>
      <c r="F712" s="384" t="n"/>
      <c r="G712" s="384" t="n"/>
      <c r="H712" s="384" t="n"/>
      <c r="I712" s="384" t="n"/>
      <c r="J712" s="384" t="n"/>
      <c r="K712" s="384" t="n"/>
      <c r="L712" s="384" t="n"/>
      <c r="M712" s="384" t="n"/>
      <c r="N712" s="384" t="n"/>
      <c r="O712" s="384" t="n"/>
      <c r="P712" s="384" t="n"/>
      <c r="Q712" s="384" t="n"/>
      <c r="R712" s="384" t="n"/>
      <c r="S712" s="384" t="n"/>
      <c r="T712" s="384" t="n"/>
      <c r="U712" s="384" t="n"/>
      <c r="V712" s="384" t="n"/>
      <c r="W712" s="384" t="n"/>
      <c r="X712" s="645">
        <f>IF(_epmOfflineCondition_,"I_E101025",EPMOlapMemberO("[C_INTERCO].[PARENTH1].[I_E101025]","","I_E101025","","000"))</f>
        <v/>
      </c>
      <c r="Y712" s="870">
        <f>IF(_epmOfflineCondition_,"招联（珠海）清洁能源投资有限公司",EPMMemberDesc(X712))</f>
        <v/>
      </c>
      <c r="Z712" s="1302" t="n"/>
      <c r="AA712" s="1302" t="n"/>
      <c r="AB712" s="858" t="n"/>
      <c r="AC712" s="1302" t="n"/>
      <c r="AD712" s="1302" t="n"/>
      <c r="AE712" s="1302" t="inlineStr"/>
      <c r="AF712" s="1302" t="inlineStr"/>
      <c r="AG712" s="1302" t="inlineStr"/>
      <c r="AH712" s="1302" t="n"/>
      <c r="AI712" s="1302" t="n"/>
      <c r="AJ712" s="1302" t="n"/>
      <c r="AK712" s="1302">
        <f>AI712-AJ712</f>
        <v/>
      </c>
      <c r="AL712" s="858" t="n"/>
      <c r="AM712" s="1297" t="inlineStr"/>
      <c r="AN712" s="1298" t="n"/>
      <c r="AO712" s="13">
        <f>IF(_epmOfflineCondition_,0,EPMSaveDataOnly(AB712,,AB$29,AB$25,AB$26,AB$31,AB$32,$AA$37,AO$14,AO$15,AO$16,AO$17,AO$18,X712))</f>
        <v/>
      </c>
      <c r="AP712" s="13">
        <f>IF(_epmOfflineCondition_,0,EPMSaveDataOnly(AL712,,AL$29,AL$25,AL$26,AL$31,AL$32,$AA$37,AP$14,AP$15,AP$16,AP$17,AP$18,$X712))</f>
        <v/>
      </c>
      <c r="AQ712" s="13">
        <f>IF(_epmOfflineCondition_,0,EPMSaveData(AM712,,AM$29,AM$25,AM$26,$C$6,AM$32,$AA$37,AQ$14,AQ$15,AQ$16,AQ$17,AQ$18,$X712))</f>
        <v/>
      </c>
      <c r="AR712" s="13">
        <f>IF(_epmOfflineCondition_,0,EPMSaveDataOnly(AN712,,AN$29,AN$25,AN$26,AN$31,AN$32,$AA$37,AR$14,AR$15,AR$16,AR$17,AR$18,$X712))</f>
        <v/>
      </c>
      <c r="AS712" s="384" t="n"/>
    </row>
    <row r="713" hidden="1" ht="15.75" customHeight="1" s="1181">
      <c r="A713" s="384" t="n"/>
      <c r="B713" s="384" t="n"/>
      <c r="C713" s="384" t="n"/>
      <c r="D713" s="384" t="n"/>
      <c r="E713" s="384" t="n"/>
      <c r="F713" s="384" t="n"/>
      <c r="G713" s="384" t="n"/>
      <c r="H713" s="384" t="n"/>
      <c r="I713" s="384" t="n"/>
      <c r="J713" s="384" t="n"/>
      <c r="K713" s="384" t="n"/>
      <c r="L713" s="384" t="n"/>
      <c r="M713" s="384" t="n"/>
      <c r="N713" s="384" t="n"/>
      <c r="O713" s="384" t="n"/>
      <c r="P713" s="384" t="n"/>
      <c r="Q713" s="384" t="n"/>
      <c r="R713" s="384" t="n"/>
      <c r="S713" s="384" t="n"/>
      <c r="T713" s="384" t="n"/>
      <c r="U713" s="384" t="n"/>
      <c r="V713" s="384" t="n"/>
      <c r="W713" s="384" t="n"/>
      <c r="X713" s="645">
        <f>IF(_epmOfflineCondition_,"I_E101026",EPMOlapMemberO("[C_INTERCO].[PARENTH1].[I_E101026]","","I_E101026","","000"))</f>
        <v/>
      </c>
      <c r="Y713" s="870">
        <f>IF(_epmOfflineCondition_,"常州市招联绿灿新能源有限公司",EPMMemberDesc(X713))</f>
        <v/>
      </c>
      <c r="Z713" s="1302" t="n"/>
      <c r="AA713" s="1302" t="n"/>
      <c r="AB713" s="858" t="n"/>
      <c r="AC713" s="1302" t="n"/>
      <c r="AD713" s="1302" t="n"/>
      <c r="AE713" s="1302" t="inlineStr"/>
      <c r="AF713" s="1302" t="inlineStr"/>
      <c r="AG713" s="1302" t="inlineStr"/>
      <c r="AH713" s="1302" t="n"/>
      <c r="AI713" s="1302" t="n"/>
      <c r="AJ713" s="1302" t="n"/>
      <c r="AK713" s="1302">
        <f>AI713-AJ713</f>
        <v/>
      </c>
      <c r="AL713" s="858" t="n"/>
      <c r="AM713" s="1297" t="inlineStr"/>
      <c r="AN713" s="1298" t="n"/>
      <c r="AO713" s="13">
        <f>IF(_epmOfflineCondition_,0,EPMSaveDataOnly(AB713,,AB$29,AB$25,AB$26,AB$31,AB$32,$AA$37,AO$14,AO$15,AO$16,AO$17,AO$18,X713))</f>
        <v/>
      </c>
      <c r="AP713" s="13">
        <f>IF(_epmOfflineCondition_,0,EPMSaveDataOnly(AL713,,AL$29,AL$25,AL$26,AL$31,AL$32,$AA$37,AP$14,AP$15,AP$16,AP$17,AP$18,$X713))</f>
        <v/>
      </c>
      <c r="AQ713" s="13">
        <f>IF(_epmOfflineCondition_,0,EPMSaveData(AM713,,AM$29,AM$25,AM$26,$C$6,AM$32,$AA$37,AQ$14,AQ$15,AQ$16,AQ$17,AQ$18,$X713))</f>
        <v/>
      </c>
      <c r="AR713" s="13">
        <f>IF(_epmOfflineCondition_,0,EPMSaveDataOnly(AN713,,AN$29,AN$25,AN$26,AN$31,AN$32,$AA$37,AR$14,AR$15,AR$16,AR$17,AR$18,$X713))</f>
        <v/>
      </c>
      <c r="AS713" s="384" t="n"/>
    </row>
    <row r="714" hidden="1" ht="15.75" customHeight="1" s="1181">
      <c r="A714" s="384" t="n"/>
      <c r="B714" s="384" t="n"/>
      <c r="C714" s="384" t="n"/>
      <c r="D714" s="384" t="n"/>
      <c r="E714" s="384" t="n"/>
      <c r="F714" s="384" t="n"/>
      <c r="G714" s="384" t="n"/>
      <c r="H714" s="384" t="n"/>
      <c r="I714" s="384" t="n"/>
      <c r="J714" s="384" t="n"/>
      <c r="K714" s="384" t="n"/>
      <c r="L714" s="384" t="n"/>
      <c r="M714" s="384" t="n"/>
      <c r="N714" s="384" t="n"/>
      <c r="O714" s="384" t="n"/>
      <c r="P714" s="384" t="n"/>
      <c r="Q714" s="384" t="n"/>
      <c r="R714" s="384" t="n"/>
      <c r="S714" s="384" t="n"/>
      <c r="T714" s="384" t="n"/>
      <c r="U714" s="384" t="n"/>
      <c r="V714" s="384" t="n"/>
      <c r="W714" s="384" t="n"/>
      <c r="X714" s="645">
        <f>IF(_epmOfflineCondition_,"I_E101028",EPMOlapMemberO("[C_INTERCO].[PARENTH1].[I_E101028]","","I_E101028","","000"))</f>
        <v/>
      </c>
      <c r="Y714" s="870">
        <f>IF(_epmOfflineCondition_,"可再生能源英国投资组合有限公司",EPMMemberDesc(X714))</f>
        <v/>
      </c>
      <c r="Z714" s="1302" t="n"/>
      <c r="AA714" s="1302" t="n"/>
      <c r="AB714" s="858" t="n"/>
      <c r="AC714" s="1302" t="n"/>
      <c r="AD714" s="1302" t="n"/>
      <c r="AE714" s="1302" t="inlineStr"/>
      <c r="AF714" s="1302" t="inlineStr"/>
      <c r="AG714" s="1302" t="inlineStr"/>
      <c r="AH714" s="1302" t="n"/>
      <c r="AI714" s="1302" t="n"/>
      <c r="AJ714" s="1302" t="n"/>
      <c r="AK714" s="1302">
        <f>AI714-AJ714</f>
        <v/>
      </c>
      <c r="AL714" s="858" t="n"/>
      <c r="AM714" s="1297" t="inlineStr"/>
      <c r="AN714" s="1298" t="n"/>
      <c r="AO714" s="13">
        <f>IF(_epmOfflineCondition_,0,EPMSaveDataOnly(AB714,,AB$29,AB$25,AB$26,AB$31,AB$32,$AA$37,AO$14,AO$15,AO$16,AO$17,AO$18,X714))</f>
        <v/>
      </c>
      <c r="AP714" s="13">
        <f>IF(_epmOfflineCondition_,0,EPMSaveDataOnly(AL714,,AL$29,AL$25,AL$26,AL$31,AL$32,$AA$37,AP$14,AP$15,AP$16,AP$17,AP$18,$X714))</f>
        <v/>
      </c>
      <c r="AQ714" s="13">
        <f>IF(_epmOfflineCondition_,0,EPMSaveData(AM714,,AM$29,AM$25,AM$26,$C$6,AM$32,$AA$37,AQ$14,AQ$15,AQ$16,AQ$17,AQ$18,$X714))</f>
        <v/>
      </c>
      <c r="AR714" s="13">
        <f>IF(_epmOfflineCondition_,0,EPMSaveDataOnly(AN714,,AN$29,AN$25,AN$26,AN$31,AN$32,$AA$37,AR$14,AR$15,AR$16,AR$17,AR$18,$X714))</f>
        <v/>
      </c>
      <c r="AS714" s="384" t="n"/>
    </row>
    <row r="715" hidden="1" ht="15.75" customHeight="1" s="1181">
      <c r="A715" s="384" t="n"/>
      <c r="B715" s="384" t="n"/>
      <c r="C715" s="384" t="n"/>
      <c r="D715" s="384" t="n"/>
      <c r="E715" s="384" t="n"/>
      <c r="F715" s="384" t="n"/>
      <c r="G715" s="384" t="n"/>
      <c r="H715" s="384" t="n"/>
      <c r="I715" s="384" t="n"/>
      <c r="J715" s="384" t="n"/>
      <c r="K715" s="384" t="n"/>
      <c r="L715" s="384" t="n"/>
      <c r="M715" s="384" t="n"/>
      <c r="N715" s="384" t="n"/>
      <c r="O715" s="384" t="n"/>
      <c r="P715" s="384" t="n"/>
      <c r="Q715" s="384" t="n"/>
      <c r="R715" s="384" t="n"/>
      <c r="S715" s="384" t="n"/>
      <c r="T715" s="384" t="n"/>
      <c r="U715" s="384" t="n"/>
      <c r="V715" s="384" t="n"/>
      <c r="W715" s="384" t="n"/>
      <c r="X715" s="645">
        <f>IF(_epmOfflineCondition_,"I_E101029",EPMOlapMemberO("[C_INTERCO].[PARENTH1].[I_E101029]","","I_E101029","","000"))</f>
        <v/>
      </c>
      <c r="Y715" s="870">
        <f>IF(_epmOfflineCondition_,"珍珠国际投资有限公司",EPMMemberDesc(X715))</f>
        <v/>
      </c>
      <c r="Z715" s="1302" t="n"/>
      <c r="AA715" s="1302" t="n"/>
      <c r="AB715" s="858" t="n"/>
      <c r="AC715" s="1302" t="n"/>
      <c r="AD715" s="1302" t="n"/>
      <c r="AE715" s="1302" t="inlineStr"/>
      <c r="AF715" s="1302" t="inlineStr"/>
      <c r="AG715" s="1302" t="inlineStr"/>
      <c r="AH715" s="1302" t="n"/>
      <c r="AI715" s="1302" t="n"/>
      <c r="AJ715" s="1302" t="n"/>
      <c r="AK715" s="1302">
        <f>AI715-AJ715</f>
        <v/>
      </c>
      <c r="AL715" s="858" t="n"/>
      <c r="AM715" s="1297" t="inlineStr"/>
      <c r="AN715" s="1298" t="n"/>
      <c r="AO715" s="13">
        <f>IF(_epmOfflineCondition_,0,EPMSaveDataOnly(AB715,,AB$29,AB$25,AB$26,AB$31,AB$32,$AA$37,AO$14,AO$15,AO$16,AO$17,AO$18,X715))</f>
        <v/>
      </c>
      <c r="AP715" s="13">
        <f>IF(_epmOfflineCondition_,0,EPMSaveDataOnly(AL715,,AL$29,AL$25,AL$26,AL$31,AL$32,$AA$37,AP$14,AP$15,AP$16,AP$17,AP$18,$X715))</f>
        <v/>
      </c>
      <c r="AQ715" s="13">
        <f>IF(_epmOfflineCondition_,0,EPMSaveData(AM715,,AM$29,AM$25,AM$26,$C$6,AM$32,$AA$37,AQ$14,AQ$15,AQ$16,AQ$17,AQ$18,$X715))</f>
        <v/>
      </c>
      <c r="AR715" s="13">
        <f>IF(_epmOfflineCondition_,0,EPMSaveDataOnly(AN715,,AN$29,AN$25,AN$26,AN$31,AN$32,$AA$37,AR$14,AR$15,AR$16,AR$17,AR$18,$X715))</f>
        <v/>
      </c>
      <c r="AS715" s="384" t="n"/>
    </row>
    <row r="716" hidden="1" ht="15.75" customHeight="1" s="1181">
      <c r="A716" s="384" t="n"/>
      <c r="B716" s="384" t="n"/>
      <c r="C716" s="384" t="n"/>
      <c r="D716" s="384" t="n"/>
      <c r="E716" s="384" t="n"/>
      <c r="F716" s="384" t="n"/>
      <c r="G716" s="384" t="n"/>
      <c r="H716" s="384" t="n"/>
      <c r="I716" s="384" t="n"/>
      <c r="J716" s="384" t="n"/>
      <c r="K716" s="384" t="n"/>
      <c r="L716" s="384" t="n"/>
      <c r="M716" s="384" t="n"/>
      <c r="N716" s="384" t="n"/>
      <c r="O716" s="384" t="n"/>
      <c r="P716" s="384" t="n"/>
      <c r="Q716" s="384" t="n"/>
      <c r="R716" s="384" t="n"/>
      <c r="S716" s="384" t="n"/>
      <c r="T716" s="384" t="n"/>
      <c r="U716" s="384" t="n"/>
      <c r="V716" s="384" t="n"/>
      <c r="W716" s="384" t="n"/>
      <c r="X716" s="645">
        <f>IF(_epmOfflineCondition_,"I_E101031",EPMOlapMemberO("[C_INTERCO].[PARENTH1].[I_E101031]","","I_E101031","","000"))</f>
        <v/>
      </c>
      <c r="Y716" s="870">
        <f>IF(_epmOfflineCondition_,"熊猫绿色电力集团有限公司-（2025年1月注销）",EPMMemberDesc(X716))</f>
        <v/>
      </c>
      <c r="Z716" s="1302" t="n"/>
      <c r="AA716" s="1302" t="n"/>
      <c r="AB716" s="858" t="n"/>
      <c r="AC716" s="1302" t="n"/>
      <c r="AD716" s="1302" t="n"/>
      <c r="AE716" s="1302" t="inlineStr"/>
      <c r="AF716" s="1302" t="inlineStr"/>
      <c r="AG716" s="1302" t="inlineStr"/>
      <c r="AH716" s="1302" t="n"/>
      <c r="AI716" s="1302" t="n"/>
      <c r="AJ716" s="1302" t="n"/>
      <c r="AK716" s="1302">
        <f>AI716-AJ716</f>
        <v/>
      </c>
      <c r="AL716" s="858" t="n"/>
      <c r="AM716" s="1297" t="inlineStr"/>
      <c r="AN716" s="1298" t="n"/>
      <c r="AO716" s="13">
        <f>IF(_epmOfflineCondition_,0,EPMSaveDataOnly(AB716,,AB$29,AB$25,AB$26,AB$31,AB$32,$AA$37,AO$14,AO$15,AO$16,AO$17,AO$18,X716))</f>
        <v/>
      </c>
      <c r="AP716" s="13">
        <f>IF(_epmOfflineCondition_,0,EPMSaveDataOnly(AL716,,AL$29,AL$25,AL$26,AL$31,AL$32,$AA$37,AP$14,AP$15,AP$16,AP$17,AP$18,$X716))</f>
        <v/>
      </c>
      <c r="AQ716" s="13">
        <f>IF(_epmOfflineCondition_,0,EPMSaveData(AM716,,AM$29,AM$25,AM$26,$C$6,AM$32,$AA$37,AQ$14,AQ$15,AQ$16,AQ$17,AQ$18,$X716))</f>
        <v/>
      </c>
      <c r="AR716" s="13">
        <f>IF(_epmOfflineCondition_,0,EPMSaveDataOnly(AN716,,AN$29,AN$25,AN$26,AN$31,AN$32,$AA$37,AR$14,AR$15,AR$16,AR$17,AR$18,$X716))</f>
        <v/>
      </c>
      <c r="AS716" s="384" t="n"/>
    </row>
    <row r="717" hidden="1" ht="15.75" customHeight="1" s="1181">
      <c r="A717" s="384" t="n"/>
      <c r="B717" s="384" t="n"/>
      <c r="C717" s="384" t="n"/>
      <c r="D717" s="384" t="n"/>
      <c r="E717" s="384" t="n"/>
      <c r="F717" s="384" t="n"/>
      <c r="G717" s="384" t="n"/>
      <c r="H717" s="384" t="n"/>
      <c r="I717" s="384" t="n"/>
      <c r="J717" s="384" t="n"/>
      <c r="K717" s="384" t="n"/>
      <c r="L717" s="384" t="n"/>
      <c r="M717" s="384" t="n"/>
      <c r="N717" s="384" t="n"/>
      <c r="O717" s="384" t="n"/>
      <c r="P717" s="384" t="n"/>
      <c r="Q717" s="384" t="n"/>
      <c r="R717" s="384" t="n"/>
      <c r="S717" s="384" t="n"/>
      <c r="T717" s="384" t="n"/>
      <c r="U717" s="384" t="n"/>
      <c r="V717" s="384" t="n"/>
      <c r="W717" s="384" t="n"/>
      <c r="X717" s="645">
        <f>IF(_epmOfflineCondition_,"I_E101033",EPMOlapMemberO("[C_INTERCO].[PARENTH1].[I_E101033]","","I_E101033","","000"))</f>
        <v/>
      </c>
      <c r="Y717" s="870">
        <f>IF(_epmOfflineCondition_,"亚东新能源集团有限公司",EPMMemberDesc(X717))</f>
        <v/>
      </c>
      <c r="Z717" s="1302" t="n"/>
      <c r="AA717" s="1302" t="n"/>
      <c r="AB717" s="858" t="n"/>
      <c r="AC717" s="1302" t="n"/>
      <c r="AD717" s="1302" t="n"/>
      <c r="AE717" s="1302" t="inlineStr"/>
      <c r="AF717" s="1302" t="inlineStr"/>
      <c r="AG717" s="1302" t="inlineStr"/>
      <c r="AH717" s="1302" t="n"/>
      <c r="AI717" s="1302" t="n"/>
      <c r="AJ717" s="1302" t="n"/>
      <c r="AK717" s="1302">
        <f>AI717-AJ717</f>
        <v/>
      </c>
      <c r="AL717" s="858" t="n"/>
      <c r="AM717" s="1297" t="inlineStr"/>
      <c r="AN717" s="1298" t="n"/>
      <c r="AO717" s="13">
        <f>IF(_epmOfflineCondition_,0,EPMSaveDataOnly(AB717,,AB$29,AB$25,AB$26,AB$31,AB$32,$AA$37,AO$14,AO$15,AO$16,AO$17,AO$18,X717))</f>
        <v/>
      </c>
      <c r="AP717" s="13">
        <f>IF(_epmOfflineCondition_,0,EPMSaveDataOnly(AL717,,AL$29,AL$25,AL$26,AL$31,AL$32,$AA$37,AP$14,AP$15,AP$16,AP$17,AP$18,$X717))</f>
        <v/>
      </c>
      <c r="AQ717" s="13">
        <f>IF(_epmOfflineCondition_,0,EPMSaveData(AM717,,AM$29,AM$25,AM$26,$C$6,AM$32,$AA$37,AQ$14,AQ$15,AQ$16,AQ$17,AQ$18,$X717))</f>
        <v/>
      </c>
      <c r="AR717" s="13">
        <f>IF(_epmOfflineCondition_,0,EPMSaveDataOnly(AN717,,AN$29,AN$25,AN$26,AN$31,AN$32,$AA$37,AR$14,AR$15,AR$16,AR$17,AR$18,$X717))</f>
        <v/>
      </c>
      <c r="AS717" s="384" t="n"/>
    </row>
    <row r="718" hidden="1" ht="15.75" customHeight="1" s="1181">
      <c r="A718" s="384" t="n"/>
      <c r="B718" s="384" t="n"/>
      <c r="C718" s="384" t="n"/>
      <c r="D718" s="384" t="n"/>
      <c r="E718" s="384" t="n"/>
      <c r="F718" s="384" t="n"/>
      <c r="G718" s="384" t="n"/>
      <c r="H718" s="384" t="n"/>
      <c r="I718" s="384" t="n"/>
      <c r="J718" s="384" t="n"/>
      <c r="K718" s="384" t="n"/>
      <c r="L718" s="384" t="n"/>
      <c r="M718" s="384" t="n"/>
      <c r="N718" s="384" t="n"/>
      <c r="O718" s="384" t="n"/>
      <c r="P718" s="384" t="n"/>
      <c r="Q718" s="384" t="n"/>
      <c r="R718" s="384" t="n"/>
      <c r="S718" s="384" t="n"/>
      <c r="T718" s="384" t="n"/>
      <c r="U718" s="384" t="n"/>
      <c r="V718" s="384" t="n"/>
      <c r="W718" s="384" t="n"/>
      <c r="X718" s="645">
        <f>IF(_epmOfflineCondition_,"I_E101034",EPMOlapMemberO("[C_INTERCO].[PARENTH1].[I_E101034]","","I_E101034","","000"))</f>
        <v/>
      </c>
      <c r="Y718" s="870">
        <f>IF(_epmOfflineCondition_,"西藏顺吉新能源科技有限公司",EPMMemberDesc(X718))</f>
        <v/>
      </c>
      <c r="Z718" s="1302" t="n"/>
      <c r="AA718" s="1302" t="n"/>
      <c r="AB718" s="858" t="n"/>
      <c r="AC718" s="1302" t="n"/>
      <c r="AD718" s="1302" t="n"/>
      <c r="AE718" s="1302" t="inlineStr"/>
      <c r="AF718" s="1302" t="inlineStr"/>
      <c r="AG718" s="1302" t="inlineStr"/>
      <c r="AH718" s="1302" t="n"/>
      <c r="AI718" s="1302" t="n"/>
      <c r="AJ718" s="1302" t="n"/>
      <c r="AK718" s="1302">
        <f>AI718-AJ718</f>
        <v/>
      </c>
      <c r="AL718" s="858" t="n"/>
      <c r="AM718" s="1297" t="inlineStr"/>
      <c r="AN718" s="1298" t="n"/>
      <c r="AO718" s="13">
        <f>IF(_epmOfflineCondition_,0,EPMSaveDataOnly(AB718,,AB$29,AB$25,AB$26,AB$31,AB$32,$AA$37,AO$14,AO$15,AO$16,AO$17,AO$18,X718))</f>
        <v/>
      </c>
      <c r="AP718" s="13">
        <f>IF(_epmOfflineCondition_,0,EPMSaveDataOnly(AL718,,AL$29,AL$25,AL$26,AL$31,AL$32,$AA$37,AP$14,AP$15,AP$16,AP$17,AP$18,$X718))</f>
        <v/>
      </c>
      <c r="AQ718" s="13">
        <f>IF(_epmOfflineCondition_,0,EPMSaveData(AM718,,AM$29,AM$25,AM$26,$C$6,AM$32,$AA$37,AQ$14,AQ$15,AQ$16,AQ$17,AQ$18,$X718))</f>
        <v/>
      </c>
      <c r="AR718" s="13">
        <f>IF(_epmOfflineCondition_,0,EPMSaveDataOnly(AN718,,AN$29,AN$25,AN$26,AN$31,AN$32,$AA$37,AR$14,AR$15,AR$16,AR$17,AR$18,$X718))</f>
        <v/>
      </c>
      <c r="AS718" s="384" t="n"/>
    </row>
    <row r="719" hidden="1" ht="15.75" customHeight="1" s="1181">
      <c r="A719" s="384" t="n"/>
      <c r="B719" s="384" t="n"/>
      <c r="C719" s="384" t="n"/>
      <c r="D719" s="384" t="n"/>
      <c r="E719" s="384" t="n"/>
      <c r="F719" s="384" t="n"/>
      <c r="G719" s="384" t="n"/>
      <c r="H719" s="384" t="n"/>
      <c r="I719" s="384" t="n"/>
      <c r="J719" s="384" t="n"/>
      <c r="K719" s="384" t="n"/>
      <c r="L719" s="384" t="n"/>
      <c r="M719" s="384" t="n"/>
      <c r="N719" s="384" t="n"/>
      <c r="O719" s="384" t="n"/>
      <c r="P719" s="384" t="n"/>
      <c r="Q719" s="384" t="n"/>
      <c r="R719" s="384" t="n"/>
      <c r="S719" s="384" t="n"/>
      <c r="T719" s="384" t="n"/>
      <c r="U719" s="384" t="n"/>
      <c r="V719" s="384" t="n"/>
      <c r="W719" s="384" t="n"/>
      <c r="X719" s="645">
        <f>IF(_epmOfflineCondition_,"I_E101035",EPMOlapMemberO("[C_INTERCO].[PARENTH1].[I_E101035]","","I_E101035","","000"))</f>
        <v/>
      </c>
      <c r="Y719" s="870">
        <f>IF(_epmOfflineCondition_,"西藏林周县藏能新能源开发有限公司",EPMMemberDesc(X719))</f>
        <v/>
      </c>
      <c r="Z719" s="1302" t="n"/>
      <c r="AA719" s="1302" t="n"/>
      <c r="AB719" s="858" t="n"/>
      <c r="AC719" s="1302" t="n"/>
      <c r="AD719" s="1302" t="n"/>
      <c r="AE719" s="1302" t="inlineStr"/>
      <c r="AF719" s="1302" t="inlineStr"/>
      <c r="AG719" s="1302" t="inlineStr"/>
      <c r="AH719" s="1302" t="n"/>
      <c r="AI719" s="1302" t="n"/>
      <c r="AJ719" s="1302" t="n"/>
      <c r="AK719" s="1302">
        <f>AI719-AJ719</f>
        <v/>
      </c>
      <c r="AL719" s="858" t="n"/>
      <c r="AM719" s="1297" t="inlineStr"/>
      <c r="AN719" s="1298" t="n"/>
      <c r="AO719" s="13">
        <f>IF(_epmOfflineCondition_,0,EPMSaveDataOnly(AB719,,AB$29,AB$25,AB$26,AB$31,AB$32,$AA$37,AO$14,AO$15,AO$16,AO$17,AO$18,X719))</f>
        <v/>
      </c>
      <c r="AP719" s="13">
        <f>IF(_epmOfflineCondition_,0,EPMSaveDataOnly(AL719,,AL$29,AL$25,AL$26,AL$31,AL$32,$AA$37,AP$14,AP$15,AP$16,AP$17,AP$18,$X719))</f>
        <v/>
      </c>
      <c r="AQ719" s="13">
        <f>IF(_epmOfflineCondition_,0,EPMSaveData(AM719,,AM$29,AM$25,AM$26,$C$6,AM$32,$AA$37,AQ$14,AQ$15,AQ$16,AQ$17,AQ$18,$X719))</f>
        <v/>
      </c>
      <c r="AR719" s="13">
        <f>IF(_epmOfflineCondition_,0,EPMSaveDataOnly(AN719,,AN$29,AN$25,AN$26,AN$31,AN$32,$AA$37,AR$14,AR$15,AR$16,AR$17,AR$18,$X719))</f>
        <v/>
      </c>
      <c r="AS719" s="384" t="n"/>
    </row>
    <row r="720" hidden="1" ht="15.75" customHeight="1" s="1181">
      <c r="A720" s="384" t="n"/>
      <c r="B720" s="384" t="n"/>
      <c r="C720" s="384" t="n"/>
      <c r="D720" s="384" t="n"/>
      <c r="E720" s="384" t="n"/>
      <c r="F720" s="384" t="n"/>
      <c r="G720" s="384" t="n"/>
      <c r="H720" s="384" t="n"/>
      <c r="I720" s="384" t="n"/>
      <c r="J720" s="384" t="n"/>
      <c r="K720" s="384" t="n"/>
      <c r="L720" s="384" t="n"/>
      <c r="M720" s="384" t="n"/>
      <c r="N720" s="384" t="n"/>
      <c r="O720" s="384" t="n"/>
      <c r="P720" s="384" t="n"/>
      <c r="Q720" s="384" t="n"/>
      <c r="R720" s="384" t="n"/>
      <c r="S720" s="384" t="n"/>
      <c r="T720" s="384" t="n"/>
      <c r="U720" s="384" t="n"/>
      <c r="V720" s="384" t="n"/>
      <c r="W720" s="384" t="n"/>
      <c r="X720" s="645">
        <f>IF(_epmOfflineCondition_,"I_E101036",EPMOlapMemberO("[C_INTERCO].[PARENTH1].[I_E101036]","","I_E101036","","000"))</f>
        <v/>
      </c>
      <c r="Y720" s="870">
        <f>IF(_epmOfflineCondition_,"西藏林芝藏能拉月曲水电开发有限责任公司",EPMMemberDesc(X720))</f>
        <v/>
      </c>
      <c r="Z720" s="1302" t="n"/>
      <c r="AA720" s="1302" t="n"/>
      <c r="AB720" s="858" t="n"/>
      <c r="AC720" s="1302" t="n"/>
      <c r="AD720" s="1302" t="n"/>
      <c r="AE720" s="1302" t="inlineStr"/>
      <c r="AF720" s="1302" t="inlineStr"/>
      <c r="AG720" s="1302" t="inlineStr"/>
      <c r="AH720" s="1302" t="n"/>
      <c r="AI720" s="1302" t="n"/>
      <c r="AJ720" s="1302" t="n"/>
      <c r="AK720" s="1302">
        <f>AI720-AJ720</f>
        <v/>
      </c>
      <c r="AL720" s="858" t="n"/>
      <c r="AM720" s="1297" t="inlineStr"/>
      <c r="AN720" s="1298" t="n"/>
      <c r="AO720" s="13">
        <f>IF(_epmOfflineCondition_,0,EPMSaveDataOnly(AB720,,AB$29,AB$25,AB$26,AB$31,AB$32,$AA$37,AO$14,AO$15,AO$16,AO$17,AO$18,X720))</f>
        <v/>
      </c>
      <c r="AP720" s="13">
        <f>IF(_epmOfflineCondition_,0,EPMSaveDataOnly(AL720,,AL$29,AL$25,AL$26,AL$31,AL$32,$AA$37,AP$14,AP$15,AP$16,AP$17,AP$18,$X720))</f>
        <v/>
      </c>
      <c r="AQ720" s="13">
        <f>IF(_epmOfflineCondition_,0,EPMSaveData(AM720,,AM$29,AM$25,AM$26,$C$6,AM$32,$AA$37,AQ$14,AQ$15,AQ$16,AQ$17,AQ$18,$X720))</f>
        <v/>
      </c>
      <c r="AR720" s="13">
        <f>IF(_epmOfflineCondition_,0,EPMSaveDataOnly(AN720,,AN$29,AN$25,AN$26,AN$31,AN$32,$AA$37,AR$14,AR$15,AR$16,AR$17,AR$18,$X720))</f>
        <v/>
      </c>
      <c r="AS720" s="384" t="n"/>
    </row>
    <row r="721" hidden="1" ht="15.75" customHeight="1" s="1181">
      <c r="A721" s="384" t="n"/>
      <c r="B721" s="384" t="n"/>
      <c r="C721" s="384" t="n"/>
      <c r="D721" s="384" t="n"/>
      <c r="E721" s="384" t="n"/>
      <c r="F721" s="384" t="n"/>
      <c r="G721" s="384" t="n"/>
      <c r="H721" s="384" t="n"/>
      <c r="I721" s="384" t="n"/>
      <c r="J721" s="384" t="n"/>
      <c r="K721" s="384" t="n"/>
      <c r="L721" s="384" t="n"/>
      <c r="M721" s="384" t="n"/>
      <c r="N721" s="384" t="n"/>
      <c r="O721" s="384" t="n"/>
      <c r="P721" s="384" t="n"/>
      <c r="Q721" s="384" t="n"/>
      <c r="R721" s="384" t="n"/>
      <c r="S721" s="384" t="n"/>
      <c r="T721" s="384" t="n"/>
      <c r="U721" s="384" t="n"/>
      <c r="V721" s="384" t="n"/>
      <c r="W721" s="384" t="n"/>
      <c r="X721" s="645">
        <f>IF(_epmOfflineCondition_,"I_E101037",EPMOlapMemberO("[C_INTERCO].[PARENTH1].[I_E101037]","","I_E101037","","000"))</f>
        <v/>
      </c>
      <c r="Y721" s="870">
        <f>IF(_epmOfflineCondition_,"西藏昌都藏能新能源开发有限公司",EPMMemberDesc(X721))</f>
        <v/>
      </c>
      <c r="Z721" s="1302" t="n"/>
      <c r="AA721" s="1302" t="n"/>
      <c r="AB721" s="858" t="n"/>
      <c r="AC721" s="1302" t="n"/>
      <c r="AD721" s="1302" t="n"/>
      <c r="AE721" s="1302" t="inlineStr"/>
      <c r="AF721" s="1302" t="inlineStr"/>
      <c r="AG721" s="1302" t="inlineStr"/>
      <c r="AH721" s="1302" t="n"/>
      <c r="AI721" s="1302" t="n"/>
      <c r="AJ721" s="1302" t="n"/>
      <c r="AK721" s="1302">
        <f>AI721-AJ721</f>
        <v/>
      </c>
      <c r="AL721" s="858" t="n"/>
      <c r="AM721" s="1297" t="inlineStr"/>
      <c r="AN721" s="1298" t="n"/>
      <c r="AO721" s="13">
        <f>IF(_epmOfflineCondition_,0,EPMSaveDataOnly(AB721,,AB$29,AB$25,AB$26,AB$31,AB$32,$AA$37,AO$14,AO$15,AO$16,AO$17,AO$18,X721))</f>
        <v/>
      </c>
      <c r="AP721" s="13">
        <f>IF(_epmOfflineCondition_,0,EPMSaveDataOnly(AL721,,AL$29,AL$25,AL$26,AL$31,AL$32,$AA$37,AP$14,AP$15,AP$16,AP$17,AP$18,$X721))</f>
        <v/>
      </c>
      <c r="AQ721" s="13">
        <f>IF(_epmOfflineCondition_,0,EPMSaveData(AM721,,AM$29,AM$25,AM$26,$C$6,AM$32,$AA$37,AQ$14,AQ$15,AQ$16,AQ$17,AQ$18,$X721))</f>
        <v/>
      </c>
      <c r="AR721" s="13">
        <f>IF(_epmOfflineCondition_,0,EPMSaveDataOnly(AN721,,AN$29,AN$25,AN$26,AN$31,AN$32,$AA$37,AR$14,AR$15,AR$16,AR$17,AR$18,$X721))</f>
        <v/>
      </c>
      <c r="AS721" s="384" t="n"/>
    </row>
    <row r="722" hidden="1" ht="15.75" customHeight="1" s="1181">
      <c r="A722" s="384" t="n"/>
      <c r="B722" s="384" t="n"/>
      <c r="C722" s="384" t="n"/>
      <c r="D722" s="384" t="n"/>
      <c r="E722" s="384" t="n"/>
      <c r="F722" s="384" t="n"/>
      <c r="G722" s="384" t="n"/>
      <c r="H722" s="384" t="n"/>
      <c r="I722" s="384" t="n"/>
      <c r="J722" s="384" t="n"/>
      <c r="K722" s="384" t="n"/>
      <c r="L722" s="384" t="n"/>
      <c r="M722" s="384" t="n"/>
      <c r="N722" s="384" t="n"/>
      <c r="O722" s="384" t="n"/>
      <c r="P722" s="384" t="n"/>
      <c r="Q722" s="384" t="n"/>
      <c r="R722" s="384" t="n"/>
      <c r="S722" s="384" t="n"/>
      <c r="T722" s="384" t="n"/>
      <c r="U722" s="384" t="n"/>
      <c r="V722" s="384" t="n"/>
      <c r="W722" s="384" t="n"/>
      <c r="X722" s="645">
        <f>IF(_epmOfflineCondition_,"I_E101038",EPMOlapMemberO("[C_INTERCO].[PARENTH1].[I_E101038]","","I_E101038","","000"))</f>
        <v/>
      </c>
      <c r="Y722" s="870">
        <f>IF(_epmOfflineCondition_,"白玉县赠曲河水电开发有限公司",EPMMemberDesc(X722))</f>
        <v/>
      </c>
      <c r="Z722" s="1302" t="n"/>
      <c r="AA722" s="1302" t="n"/>
      <c r="AB722" s="858" t="n"/>
      <c r="AC722" s="1302" t="n"/>
      <c r="AD722" s="1302" t="n"/>
      <c r="AE722" s="1302" t="inlineStr"/>
      <c r="AF722" s="1302" t="inlineStr"/>
      <c r="AG722" s="1302" t="inlineStr"/>
      <c r="AH722" s="1302" t="n"/>
      <c r="AI722" s="1302" t="n"/>
      <c r="AJ722" s="1302" t="n"/>
      <c r="AK722" s="1302">
        <f>AI722-AJ722</f>
        <v/>
      </c>
      <c r="AL722" s="858" t="n"/>
      <c r="AM722" s="1297" t="inlineStr"/>
      <c r="AN722" s="1298" t="n"/>
      <c r="AO722" s="13">
        <f>IF(_epmOfflineCondition_,0,EPMSaveDataOnly(AB722,,AB$29,AB$25,AB$26,AB$31,AB$32,$AA$37,AO$14,AO$15,AO$16,AO$17,AO$18,X722))</f>
        <v/>
      </c>
      <c r="AP722" s="13">
        <f>IF(_epmOfflineCondition_,0,EPMSaveDataOnly(AL722,,AL$29,AL$25,AL$26,AL$31,AL$32,$AA$37,AP$14,AP$15,AP$16,AP$17,AP$18,$X722))</f>
        <v/>
      </c>
      <c r="AQ722" s="13">
        <f>IF(_epmOfflineCondition_,0,EPMSaveData(AM722,,AM$29,AM$25,AM$26,$C$6,AM$32,$AA$37,AQ$14,AQ$15,AQ$16,AQ$17,AQ$18,$X722))</f>
        <v/>
      </c>
      <c r="AR722" s="13">
        <f>IF(_epmOfflineCondition_,0,EPMSaveDataOnly(AN722,,AN$29,AN$25,AN$26,AN$31,AN$32,$AA$37,AR$14,AR$15,AR$16,AR$17,AR$18,$X722))</f>
        <v/>
      </c>
      <c r="AS722" s="384" t="n"/>
    </row>
    <row r="723" hidden="1" ht="15.75" customHeight="1" s="1181">
      <c r="A723" s="384" t="n"/>
      <c r="B723" s="384" t="n"/>
      <c r="C723" s="384" t="n"/>
      <c r="D723" s="384" t="n"/>
      <c r="E723" s="384" t="n"/>
      <c r="F723" s="384" t="n"/>
      <c r="G723" s="384" t="n"/>
      <c r="H723" s="384" t="n"/>
      <c r="I723" s="384" t="n"/>
      <c r="J723" s="384" t="n"/>
      <c r="K723" s="384" t="n"/>
      <c r="L723" s="384" t="n"/>
      <c r="M723" s="384" t="n"/>
      <c r="N723" s="384" t="n"/>
      <c r="O723" s="384" t="n"/>
      <c r="P723" s="384" t="n"/>
      <c r="Q723" s="384" t="n"/>
      <c r="R723" s="384" t="n"/>
      <c r="S723" s="384" t="n"/>
      <c r="T723" s="384" t="n"/>
      <c r="U723" s="384" t="n"/>
      <c r="V723" s="384" t="n"/>
      <c r="W723" s="384" t="n"/>
      <c r="X723" s="645">
        <f>IF(_epmOfflineCondition_,"I_E101039",EPMOlapMemberO("[C_INTERCO].[PARENTH1].[I_E101039]","","I_E101039","","000"))</f>
        <v/>
      </c>
      <c r="Y723" s="870">
        <f>IF(_epmOfflineCondition_,"巴塘县溪河水电开发有限责任公司",EPMMemberDesc(X723))</f>
        <v/>
      </c>
      <c r="Z723" s="1302" t="n"/>
      <c r="AA723" s="1302" t="n"/>
      <c r="AB723" s="858" t="n"/>
      <c r="AC723" s="1302" t="n"/>
      <c r="AD723" s="1302" t="n"/>
      <c r="AE723" s="1302" t="inlineStr"/>
      <c r="AF723" s="1302" t="inlineStr"/>
      <c r="AG723" s="1302" t="inlineStr"/>
      <c r="AH723" s="1302" t="n"/>
      <c r="AI723" s="1302" t="n"/>
      <c r="AJ723" s="1302" t="n"/>
      <c r="AK723" s="1302">
        <f>AI723-AJ723</f>
        <v/>
      </c>
      <c r="AL723" s="858" t="n"/>
      <c r="AM723" s="1297" t="inlineStr"/>
      <c r="AN723" s="1298" t="n"/>
      <c r="AO723" s="13">
        <f>IF(_epmOfflineCondition_,0,EPMSaveDataOnly(AB723,,AB$29,AB$25,AB$26,AB$31,AB$32,$AA$37,AO$14,AO$15,AO$16,AO$17,AO$18,X723))</f>
        <v/>
      </c>
      <c r="AP723" s="13">
        <f>IF(_epmOfflineCondition_,0,EPMSaveDataOnly(AL723,,AL$29,AL$25,AL$26,AL$31,AL$32,$AA$37,AP$14,AP$15,AP$16,AP$17,AP$18,$X723))</f>
        <v/>
      </c>
      <c r="AQ723" s="13">
        <f>IF(_epmOfflineCondition_,0,EPMSaveData(AM723,,AM$29,AM$25,AM$26,$C$6,AM$32,$AA$37,AQ$14,AQ$15,AQ$16,AQ$17,AQ$18,$X723))</f>
        <v/>
      </c>
      <c r="AR723" s="13">
        <f>IF(_epmOfflineCondition_,0,EPMSaveDataOnly(AN723,,AN$29,AN$25,AN$26,AN$31,AN$32,$AA$37,AR$14,AR$15,AR$16,AR$17,AR$18,$X723))</f>
        <v/>
      </c>
      <c r="AS723" s="384" t="n"/>
    </row>
    <row r="724" hidden="1" ht="15.75" customHeight="1" s="1181">
      <c r="A724" s="384" t="n"/>
      <c r="B724" s="384" t="n"/>
      <c r="C724" s="384" t="n"/>
      <c r="D724" s="384" t="n"/>
      <c r="E724" s="384" t="n"/>
      <c r="F724" s="384" t="n"/>
      <c r="G724" s="384" t="n"/>
      <c r="H724" s="384" t="n"/>
      <c r="I724" s="384" t="n"/>
      <c r="J724" s="384" t="n"/>
      <c r="K724" s="384" t="n"/>
      <c r="L724" s="384" t="n"/>
      <c r="M724" s="384" t="n"/>
      <c r="N724" s="384" t="n"/>
      <c r="O724" s="384" t="n"/>
      <c r="P724" s="384" t="n"/>
      <c r="Q724" s="384" t="n"/>
      <c r="R724" s="384" t="n"/>
      <c r="S724" s="384" t="n"/>
      <c r="T724" s="384" t="n"/>
      <c r="U724" s="384" t="n"/>
      <c r="V724" s="384" t="n"/>
      <c r="W724" s="384" t="n"/>
      <c r="X724" s="645">
        <f>IF(_epmOfflineCondition_,"I_E101040",EPMOlapMemberO("[C_INTERCO].[PARENTH1].[I_E101040]","","I_E101040","","000"))</f>
        <v/>
      </c>
      <c r="Y724" s="870">
        <f>IF(_epmOfflineCondition_,"西藏能源投资集团(香港)有限公司-2025年1月注销",EPMMemberDesc(X724))</f>
        <v/>
      </c>
      <c r="Z724" s="1302" t="n"/>
      <c r="AA724" s="1302" t="n"/>
      <c r="AB724" s="858" t="n"/>
      <c r="AC724" s="1302" t="n"/>
      <c r="AD724" s="1302" t="n"/>
      <c r="AE724" s="1302" t="inlineStr"/>
      <c r="AF724" s="1302" t="inlineStr"/>
      <c r="AG724" s="1302" t="inlineStr"/>
      <c r="AH724" s="1302" t="n"/>
      <c r="AI724" s="1302" t="n"/>
      <c r="AJ724" s="1302" t="n"/>
      <c r="AK724" s="1302">
        <f>AI724-AJ724</f>
        <v/>
      </c>
      <c r="AL724" s="858" t="n"/>
      <c r="AM724" s="1297" t="inlineStr"/>
      <c r="AN724" s="1298" t="n"/>
      <c r="AO724" s="13">
        <f>IF(_epmOfflineCondition_,0,EPMSaveDataOnly(AB724,,AB$29,AB$25,AB$26,AB$31,AB$32,$AA$37,AO$14,AO$15,AO$16,AO$17,AO$18,X724))</f>
        <v/>
      </c>
      <c r="AP724" s="13">
        <f>IF(_epmOfflineCondition_,0,EPMSaveDataOnly(AL724,,AL$29,AL$25,AL$26,AL$31,AL$32,$AA$37,AP$14,AP$15,AP$16,AP$17,AP$18,$X724))</f>
        <v/>
      </c>
      <c r="AQ724" s="13">
        <f>IF(_epmOfflineCondition_,0,EPMSaveData(AM724,,AM$29,AM$25,AM$26,$C$6,AM$32,$AA$37,AQ$14,AQ$15,AQ$16,AQ$17,AQ$18,$X724))</f>
        <v/>
      </c>
      <c r="AR724" s="13">
        <f>IF(_epmOfflineCondition_,0,EPMSaveDataOnly(AN724,,AN$29,AN$25,AN$26,AN$31,AN$32,$AA$37,AR$14,AR$15,AR$16,AR$17,AR$18,$X724))</f>
        <v/>
      </c>
      <c r="AS724" s="384" t="n"/>
    </row>
    <row r="725" hidden="1" ht="15.75" customHeight="1" s="1181">
      <c r="A725" s="384" t="n"/>
      <c r="B725" s="384" t="n"/>
      <c r="C725" s="384" t="n"/>
      <c r="D725" s="384" t="n"/>
      <c r="E725" s="384" t="n"/>
      <c r="F725" s="384" t="n"/>
      <c r="G725" s="384" t="n"/>
      <c r="H725" s="384" t="n"/>
      <c r="I725" s="384" t="n"/>
      <c r="J725" s="384" t="n"/>
      <c r="K725" s="384" t="n"/>
      <c r="L725" s="384" t="n"/>
      <c r="M725" s="384" t="n"/>
      <c r="N725" s="384" t="n"/>
      <c r="O725" s="384" t="n"/>
      <c r="P725" s="384" t="n"/>
      <c r="Q725" s="384" t="n"/>
      <c r="R725" s="384" t="n"/>
      <c r="S725" s="384" t="n"/>
      <c r="T725" s="384" t="n"/>
      <c r="U725" s="384" t="n"/>
      <c r="V725" s="384" t="n"/>
      <c r="W725" s="384" t="n"/>
      <c r="X725" s="645">
        <f>IF(_epmOfflineCondition_,"I_E101041",EPMOlapMemberO("[C_INTERCO].[PARENTH1].[I_E101041]","","I_E101041","","000"))</f>
        <v/>
      </c>
      <c r="Y725" s="870">
        <f>IF(_epmOfflineCondition_,"中国新能源集团（香港）有限公司",EPMMemberDesc(X725))</f>
        <v/>
      </c>
      <c r="Z725" s="1302" t="n"/>
      <c r="AA725" s="1302" t="n"/>
      <c r="AB725" s="858" t="n"/>
      <c r="AC725" s="1302" t="n"/>
      <c r="AD725" s="1302" t="n"/>
      <c r="AE725" s="1302" t="inlineStr"/>
      <c r="AF725" s="1302" t="inlineStr"/>
      <c r="AG725" s="1302" t="inlineStr"/>
      <c r="AH725" s="1302" t="n"/>
      <c r="AI725" s="1302" t="n"/>
      <c r="AJ725" s="1302" t="n"/>
      <c r="AK725" s="1302">
        <f>AI725-AJ725</f>
        <v/>
      </c>
      <c r="AL725" s="858" t="n"/>
      <c r="AM725" s="1297" t="inlineStr"/>
      <c r="AN725" s="1298" t="n"/>
      <c r="AO725" s="13">
        <f>IF(_epmOfflineCondition_,0,EPMSaveDataOnly(AB725,,AB$29,AB$25,AB$26,AB$31,AB$32,$AA$37,AO$14,AO$15,AO$16,AO$17,AO$18,X725))</f>
        <v/>
      </c>
      <c r="AP725" s="13">
        <f>IF(_epmOfflineCondition_,0,EPMSaveDataOnly(AL725,,AL$29,AL$25,AL$26,AL$31,AL$32,$AA$37,AP$14,AP$15,AP$16,AP$17,AP$18,$X725))</f>
        <v/>
      </c>
      <c r="AQ725" s="13">
        <f>IF(_epmOfflineCondition_,0,EPMSaveData(AM725,,AM$29,AM$25,AM$26,$C$6,AM$32,$AA$37,AQ$14,AQ$15,AQ$16,AQ$17,AQ$18,$X725))</f>
        <v/>
      </c>
      <c r="AR725" s="13">
        <f>IF(_epmOfflineCondition_,0,EPMSaveDataOnly(AN725,,AN$29,AN$25,AN$26,AN$31,AN$32,$AA$37,AR$14,AR$15,AR$16,AR$17,AR$18,$X725))</f>
        <v/>
      </c>
      <c r="AS725" s="384" t="n"/>
    </row>
    <row r="726" hidden="1" ht="15.75" customHeight="1" s="1181">
      <c r="A726" s="384" t="n"/>
      <c r="B726" s="384" t="n"/>
      <c r="C726" s="384" t="n"/>
      <c r="D726" s="384" t="n"/>
      <c r="E726" s="384" t="n"/>
      <c r="F726" s="384" t="n"/>
      <c r="G726" s="384" t="n"/>
      <c r="H726" s="384" t="n"/>
      <c r="I726" s="384" t="n"/>
      <c r="J726" s="384" t="n"/>
      <c r="K726" s="384" t="n"/>
      <c r="L726" s="384" t="n"/>
      <c r="M726" s="384" t="n"/>
      <c r="N726" s="384" t="n"/>
      <c r="O726" s="384" t="n"/>
      <c r="P726" s="384" t="n"/>
      <c r="Q726" s="384" t="n"/>
      <c r="R726" s="384" t="n"/>
      <c r="S726" s="384" t="n"/>
      <c r="T726" s="384" t="n"/>
      <c r="U726" s="384" t="n"/>
      <c r="V726" s="384" t="n"/>
      <c r="W726" s="384" t="n"/>
      <c r="X726" s="645">
        <f>IF(_epmOfflineCondition_,"I_E101042",EPMOlapMemberO("[C_INTERCO].[PARENTH1].[I_E101042]","","I_E101042","","000"))</f>
        <v/>
      </c>
      <c r="Y726" s="870">
        <f>IF(_epmOfflineCondition_,"西藏能源投资集团(香港)有限公司-2025年1月注销",EPMMemberDesc(X726))</f>
        <v/>
      </c>
      <c r="Z726" s="1302" t="n"/>
      <c r="AA726" s="1302" t="n"/>
      <c r="AB726" s="858" t="n"/>
      <c r="AC726" s="1302" t="n"/>
      <c r="AD726" s="1302" t="n"/>
      <c r="AE726" s="1302" t="inlineStr"/>
      <c r="AF726" s="1302" t="inlineStr"/>
      <c r="AG726" s="1302" t="inlineStr"/>
      <c r="AH726" s="1302" t="n"/>
      <c r="AI726" s="1302" t="n"/>
      <c r="AJ726" s="1302" t="n"/>
      <c r="AK726" s="1302">
        <f>AI726-AJ726</f>
        <v/>
      </c>
      <c r="AL726" s="858" t="n"/>
      <c r="AM726" s="1297" t="inlineStr"/>
      <c r="AN726" s="1298" t="n"/>
      <c r="AO726" s="13">
        <f>IF(_epmOfflineCondition_,0,EPMSaveDataOnly(AB726,,AB$29,AB$25,AB$26,AB$31,AB$32,$AA$37,AO$14,AO$15,AO$16,AO$17,AO$18,X726))</f>
        <v/>
      </c>
      <c r="AP726" s="13">
        <f>IF(_epmOfflineCondition_,0,EPMSaveDataOnly(AL726,,AL$29,AL$25,AL$26,AL$31,AL$32,$AA$37,AP$14,AP$15,AP$16,AP$17,AP$18,$X726))</f>
        <v/>
      </c>
      <c r="AQ726" s="13">
        <f>IF(_epmOfflineCondition_,0,EPMSaveData(AM726,,AM$29,AM$25,AM$26,$C$6,AM$32,$AA$37,AQ$14,AQ$15,AQ$16,AQ$17,AQ$18,$X726))</f>
        <v/>
      </c>
      <c r="AR726" s="13">
        <f>IF(_epmOfflineCondition_,0,EPMSaveDataOnly(AN726,,AN$29,AN$25,AN$26,AN$31,AN$32,$AA$37,AR$14,AR$15,AR$16,AR$17,AR$18,$X726))</f>
        <v/>
      </c>
      <c r="AS726" s="384" t="n"/>
    </row>
    <row r="727" hidden="1" ht="15.75" customHeight="1" s="1181">
      <c r="A727" s="384" t="n"/>
      <c r="B727" s="384" t="n"/>
      <c r="C727" s="384" t="n"/>
      <c r="D727" s="384" t="n"/>
      <c r="E727" s="384" t="n"/>
      <c r="F727" s="384" t="n"/>
      <c r="G727" s="384" t="n"/>
      <c r="H727" s="384" t="n"/>
      <c r="I727" s="384" t="n"/>
      <c r="J727" s="384" t="n"/>
      <c r="K727" s="384" t="n"/>
      <c r="L727" s="384" t="n"/>
      <c r="M727" s="384" t="n"/>
      <c r="N727" s="384" t="n"/>
      <c r="O727" s="384" t="n"/>
      <c r="P727" s="384" t="n"/>
      <c r="Q727" s="384" t="n"/>
      <c r="R727" s="384" t="n"/>
      <c r="S727" s="384" t="n"/>
      <c r="T727" s="384" t="n"/>
      <c r="U727" s="384" t="n"/>
      <c r="V727" s="384" t="n"/>
      <c r="W727" s="384" t="n"/>
      <c r="X727" s="645">
        <f>IF(_epmOfflineCondition_,"I_E101043",EPMOlapMemberO("[C_INTERCO].[PARENTH1].[I_E101043]","","I_E101043","","000"))</f>
        <v/>
      </c>
      <c r="Y727" s="870">
        <f>IF(_epmOfflineCondition_,"熊猫绿色能源集团有限公司",EPMMemberDesc(X727))</f>
        <v/>
      </c>
      <c r="Z727" s="1302" t="n"/>
      <c r="AA727" s="1302" t="n"/>
      <c r="AB727" s="858" t="n"/>
      <c r="AC727" s="1302" t="n"/>
      <c r="AD727" s="1302" t="n"/>
      <c r="AE727" s="1302" t="inlineStr"/>
      <c r="AF727" s="1302" t="inlineStr"/>
      <c r="AG727" s="1302" t="inlineStr"/>
      <c r="AH727" s="1302" t="n"/>
      <c r="AI727" s="1302" t="n"/>
      <c r="AJ727" s="1302" t="n"/>
      <c r="AK727" s="1302">
        <f>AI727-AJ727</f>
        <v/>
      </c>
      <c r="AL727" s="858" t="n"/>
      <c r="AM727" s="1297" t="inlineStr"/>
      <c r="AN727" s="1298" t="n"/>
      <c r="AO727" s="13">
        <f>IF(_epmOfflineCondition_,0,EPMSaveDataOnly(AB727,,AB$29,AB$25,AB$26,AB$31,AB$32,$AA$37,AO$14,AO$15,AO$16,AO$17,AO$18,X727))</f>
        <v/>
      </c>
      <c r="AP727" s="13">
        <f>IF(_epmOfflineCondition_,0,EPMSaveDataOnly(AL727,,AL$29,AL$25,AL$26,AL$31,AL$32,$AA$37,AP$14,AP$15,AP$16,AP$17,AP$18,$X727))</f>
        <v/>
      </c>
      <c r="AQ727" s="13">
        <f>IF(_epmOfflineCondition_,0,EPMSaveData(AM727,,AM$29,AM$25,AM$26,$C$6,AM$32,$AA$37,AQ$14,AQ$15,AQ$16,AQ$17,AQ$18,$X727))</f>
        <v/>
      </c>
      <c r="AR727" s="13">
        <f>IF(_epmOfflineCondition_,0,EPMSaveDataOnly(AN727,,AN$29,AN$25,AN$26,AN$31,AN$32,$AA$37,AR$14,AR$15,AR$16,AR$17,AR$18,$X727))</f>
        <v/>
      </c>
      <c r="AS727" s="384" t="n"/>
    </row>
    <row r="728" hidden="1" ht="15.75" customHeight="1" s="1181">
      <c r="A728" s="384" t="n"/>
      <c r="B728" s="384" t="n"/>
      <c r="C728" s="384" t="n"/>
      <c r="D728" s="384" t="n"/>
      <c r="E728" s="384" t="n"/>
      <c r="F728" s="384" t="n"/>
      <c r="G728" s="384" t="n"/>
      <c r="H728" s="384" t="n"/>
      <c r="I728" s="384" t="n"/>
      <c r="J728" s="384" t="n"/>
      <c r="K728" s="384" t="n"/>
      <c r="L728" s="384" t="n"/>
      <c r="M728" s="384" t="n"/>
      <c r="N728" s="384" t="n"/>
      <c r="O728" s="384" t="n"/>
      <c r="P728" s="384" t="n"/>
      <c r="Q728" s="384" t="n"/>
      <c r="R728" s="384" t="n"/>
      <c r="S728" s="384" t="n"/>
      <c r="T728" s="384" t="n"/>
      <c r="U728" s="384" t="n"/>
      <c r="V728" s="384" t="n"/>
      <c r="W728" s="384" t="n"/>
      <c r="X728" s="645">
        <f>IF(_epmOfflineCondition_,"I_E101044",EPMOlapMemberO("[C_INTERCO].[PARENTH1].[I_E101044]","","I_E101044","","000"))</f>
        <v/>
      </c>
      <c r="Y728" s="870">
        <f>IF(_epmOfflineCondition_,"京能可再生能源国际集团有限公司",EPMMemberDesc(X728))</f>
        <v/>
      </c>
      <c r="Z728" s="1302" t="n"/>
      <c r="AA728" s="1302" t="n"/>
      <c r="AB728" s="858" t="n"/>
      <c r="AC728" s="1302" t="n"/>
      <c r="AD728" s="1302" t="n"/>
      <c r="AE728" s="1302" t="inlineStr"/>
      <c r="AF728" s="1302" t="inlineStr"/>
      <c r="AG728" s="1302" t="inlineStr"/>
      <c r="AH728" s="1302" t="n"/>
      <c r="AI728" s="1302" t="n"/>
      <c r="AJ728" s="1302" t="n"/>
      <c r="AK728" s="1302">
        <f>AI728-AJ728</f>
        <v/>
      </c>
      <c r="AL728" s="858" t="n"/>
      <c r="AM728" s="1297" t="inlineStr"/>
      <c r="AN728" s="1298" t="n"/>
      <c r="AO728" s="13">
        <f>IF(_epmOfflineCondition_,0,EPMSaveDataOnly(AB728,,AB$29,AB$25,AB$26,AB$31,AB$32,$AA$37,AO$14,AO$15,AO$16,AO$17,AO$18,X728))</f>
        <v/>
      </c>
      <c r="AP728" s="13">
        <f>IF(_epmOfflineCondition_,0,EPMSaveDataOnly(AL728,,AL$29,AL$25,AL$26,AL$31,AL$32,$AA$37,AP$14,AP$15,AP$16,AP$17,AP$18,$X728))</f>
        <v/>
      </c>
      <c r="AQ728" s="13">
        <f>IF(_epmOfflineCondition_,0,EPMSaveData(AM728,,AM$29,AM$25,AM$26,$C$6,AM$32,$AA$37,AQ$14,AQ$15,AQ$16,AQ$17,AQ$18,$X728))</f>
        <v/>
      </c>
      <c r="AR728" s="13">
        <f>IF(_epmOfflineCondition_,0,EPMSaveDataOnly(AN728,,AN$29,AN$25,AN$26,AN$31,AN$32,$AA$37,AR$14,AR$15,AR$16,AR$17,AR$18,$X728))</f>
        <v/>
      </c>
      <c r="AS728" s="384" t="n"/>
    </row>
    <row r="729" hidden="1" ht="15.75" customHeight="1" s="1181">
      <c r="A729" s="384" t="n"/>
      <c r="B729" s="384" t="n"/>
      <c r="C729" s="384" t="n"/>
      <c r="D729" s="384" t="n"/>
      <c r="E729" s="384" t="n"/>
      <c r="F729" s="384" t="n"/>
      <c r="G729" s="384" t="n"/>
      <c r="H729" s="384" t="n"/>
      <c r="I729" s="384" t="n"/>
      <c r="J729" s="384" t="n"/>
      <c r="K729" s="384" t="n"/>
      <c r="L729" s="384" t="n"/>
      <c r="M729" s="384" t="n"/>
      <c r="N729" s="384" t="n"/>
      <c r="O729" s="384" t="n"/>
      <c r="P729" s="384" t="n"/>
      <c r="Q729" s="384" t="n"/>
      <c r="R729" s="384" t="n"/>
      <c r="S729" s="384" t="n"/>
      <c r="T729" s="384" t="n"/>
      <c r="U729" s="384" t="n"/>
      <c r="V729" s="384" t="n"/>
      <c r="W729" s="384" t="n"/>
      <c r="X729" s="645">
        <f>IF(_epmOfflineCondition_,"I_E101045",EPMOlapMemberO("[C_INTERCO].[PARENTH1].[I_E101045]","","I_E101045","","000"))</f>
        <v/>
      </c>
      <c r="Y729" s="870">
        <f>IF(_epmOfflineCondition_,"北京能源国际（澳洲）控股有限公司",EPMMemberDesc(X729))</f>
        <v/>
      </c>
      <c r="Z729" s="1302" t="n"/>
      <c r="AA729" s="1302" t="n"/>
      <c r="AB729" s="858" t="n"/>
      <c r="AC729" s="1302" t="n"/>
      <c r="AD729" s="1302" t="n"/>
      <c r="AE729" s="1302" t="inlineStr"/>
      <c r="AF729" s="1302" t="inlineStr"/>
      <c r="AG729" s="1302" t="inlineStr"/>
      <c r="AH729" s="1302" t="n"/>
      <c r="AI729" s="1302" t="n"/>
      <c r="AJ729" s="1302" t="n"/>
      <c r="AK729" s="1302">
        <f>AI729-AJ729</f>
        <v/>
      </c>
      <c r="AL729" s="858" t="n"/>
      <c r="AM729" s="1297" t="inlineStr"/>
      <c r="AN729" s="1298" t="n"/>
      <c r="AO729" s="13">
        <f>IF(_epmOfflineCondition_,0,EPMSaveDataOnly(AB729,,AB$29,AB$25,AB$26,AB$31,AB$32,$AA$37,AO$14,AO$15,AO$16,AO$17,AO$18,X729))</f>
        <v/>
      </c>
      <c r="AP729" s="13">
        <f>IF(_epmOfflineCondition_,0,EPMSaveDataOnly(AL729,,AL$29,AL$25,AL$26,AL$31,AL$32,$AA$37,AP$14,AP$15,AP$16,AP$17,AP$18,$X729))</f>
        <v/>
      </c>
      <c r="AQ729" s="13">
        <f>IF(_epmOfflineCondition_,0,EPMSaveData(AM729,,AM$29,AM$25,AM$26,$C$6,AM$32,$AA$37,AQ$14,AQ$15,AQ$16,AQ$17,AQ$18,$X729))</f>
        <v/>
      </c>
      <c r="AR729" s="13">
        <f>IF(_epmOfflineCondition_,0,EPMSaveDataOnly(AN729,,AN$29,AN$25,AN$26,AN$31,AN$32,$AA$37,AR$14,AR$15,AR$16,AR$17,AR$18,$X729))</f>
        <v/>
      </c>
      <c r="AS729" s="384" t="n"/>
    </row>
    <row r="730" hidden="1" ht="15.75" customHeight="1" s="1181">
      <c r="A730" s="384" t="n"/>
      <c r="B730" s="384" t="n"/>
      <c r="C730" s="384" t="n"/>
      <c r="D730" s="384" t="n"/>
      <c r="E730" s="384" t="n"/>
      <c r="F730" s="384" t="n"/>
      <c r="G730" s="384" t="n"/>
      <c r="H730" s="384" t="n"/>
      <c r="I730" s="384" t="n"/>
      <c r="J730" s="384" t="n"/>
      <c r="K730" s="384" t="n"/>
      <c r="L730" s="384" t="n"/>
      <c r="M730" s="384" t="n"/>
      <c r="N730" s="384" t="n"/>
      <c r="O730" s="384" t="n"/>
      <c r="P730" s="384" t="n"/>
      <c r="Q730" s="384" t="n"/>
      <c r="R730" s="384" t="n"/>
      <c r="S730" s="384" t="n"/>
      <c r="T730" s="384" t="n"/>
      <c r="U730" s="384" t="n"/>
      <c r="V730" s="384" t="n"/>
      <c r="W730" s="384" t="n"/>
      <c r="X730" s="645">
        <f>IF(_epmOfflineCondition_,"I_E101046",EPMOlapMemberO("[C_INTERCO].[PARENTH1].[I_E101046]","","I_E101046","","000"))</f>
        <v/>
      </c>
      <c r="Y730" s="870">
        <f>IF(_epmOfflineCondition_,"沃拉太阳能控股有限公司",EPMMemberDesc(X730))</f>
        <v/>
      </c>
      <c r="Z730" s="1302" t="n"/>
      <c r="AA730" s="1302" t="n"/>
      <c r="AB730" s="858" t="n"/>
      <c r="AC730" s="1302" t="n"/>
      <c r="AD730" s="1302" t="n"/>
      <c r="AE730" s="1302" t="inlineStr"/>
      <c r="AF730" s="1302" t="inlineStr"/>
      <c r="AG730" s="1302" t="inlineStr"/>
      <c r="AH730" s="1302" t="n"/>
      <c r="AI730" s="1302" t="n"/>
      <c r="AJ730" s="1302" t="n"/>
      <c r="AK730" s="1302">
        <f>AI730-AJ730</f>
        <v/>
      </c>
      <c r="AL730" s="858" t="n"/>
      <c r="AM730" s="1297" t="inlineStr"/>
      <c r="AN730" s="1298" t="n"/>
      <c r="AO730" s="13">
        <f>IF(_epmOfflineCondition_,0,EPMSaveDataOnly(AB730,,AB$29,AB$25,AB$26,AB$31,AB$32,$AA$37,AO$14,AO$15,AO$16,AO$17,AO$18,X730))</f>
        <v/>
      </c>
      <c r="AP730" s="13">
        <f>IF(_epmOfflineCondition_,0,EPMSaveDataOnly(AL730,,AL$29,AL$25,AL$26,AL$31,AL$32,$AA$37,AP$14,AP$15,AP$16,AP$17,AP$18,$X730))</f>
        <v/>
      </c>
      <c r="AQ730" s="13">
        <f>IF(_epmOfflineCondition_,0,EPMSaveData(AM730,,AM$29,AM$25,AM$26,$C$6,AM$32,$AA$37,AQ$14,AQ$15,AQ$16,AQ$17,AQ$18,$X730))</f>
        <v/>
      </c>
      <c r="AR730" s="13">
        <f>IF(_epmOfflineCondition_,0,EPMSaveDataOnly(AN730,,AN$29,AN$25,AN$26,AN$31,AN$32,$AA$37,AR$14,AR$15,AR$16,AR$17,AR$18,$X730))</f>
        <v/>
      </c>
      <c r="AS730" s="384" t="n"/>
    </row>
    <row r="731" hidden="1" ht="15.75" customHeight="1" s="1181">
      <c r="A731" s="384" t="n"/>
      <c r="B731" s="384" t="n"/>
      <c r="C731" s="384" t="n"/>
      <c r="D731" s="384" t="n"/>
      <c r="E731" s="384" t="n"/>
      <c r="F731" s="384" t="n"/>
      <c r="G731" s="384" t="n"/>
      <c r="H731" s="384" t="n"/>
      <c r="I731" s="384" t="n"/>
      <c r="J731" s="384" t="n"/>
      <c r="K731" s="384" t="n"/>
      <c r="L731" s="384" t="n"/>
      <c r="M731" s="384" t="n"/>
      <c r="N731" s="384" t="n"/>
      <c r="O731" s="384" t="n"/>
      <c r="P731" s="384" t="n"/>
      <c r="Q731" s="384" t="n"/>
      <c r="R731" s="384" t="n"/>
      <c r="S731" s="384" t="n"/>
      <c r="T731" s="384" t="n"/>
      <c r="U731" s="384" t="n"/>
      <c r="V731" s="384" t="n"/>
      <c r="W731" s="384" t="n"/>
      <c r="X731" s="645">
        <f>IF(_epmOfflineCondition_,"I_E101047",EPMOlapMemberO("[C_INTERCO].[PARENTH1].[I_E101047]","","I_E101047","","000"))</f>
        <v/>
      </c>
      <c r="Y731" s="870">
        <f>IF(_epmOfflineCondition_,"MNS风力控股有限公司",EPMMemberDesc(X731))</f>
        <v/>
      </c>
      <c r="Z731" s="1302" t="n"/>
      <c r="AA731" s="1302" t="n"/>
      <c r="AB731" s="858" t="n"/>
      <c r="AC731" s="1302" t="n"/>
      <c r="AD731" s="1302" t="n"/>
      <c r="AE731" s="1302" t="inlineStr"/>
      <c r="AF731" s="1302" t="inlineStr"/>
      <c r="AG731" s="1302" t="inlineStr"/>
      <c r="AH731" s="1302" t="n"/>
      <c r="AI731" s="1302" t="n"/>
      <c r="AJ731" s="1302" t="n"/>
      <c r="AK731" s="1302">
        <f>AI731-AJ731</f>
        <v/>
      </c>
      <c r="AL731" s="858" t="n"/>
      <c r="AM731" s="1297" t="inlineStr"/>
      <c r="AN731" s="1298" t="n"/>
      <c r="AO731" s="13">
        <f>IF(_epmOfflineCondition_,0,EPMSaveDataOnly(AB731,,AB$29,AB$25,AB$26,AB$31,AB$32,$AA$37,AO$14,AO$15,AO$16,AO$17,AO$18,X731))</f>
        <v/>
      </c>
      <c r="AP731" s="13">
        <f>IF(_epmOfflineCondition_,0,EPMSaveDataOnly(AL731,,AL$29,AL$25,AL$26,AL$31,AL$32,$AA$37,AP$14,AP$15,AP$16,AP$17,AP$18,$X731))</f>
        <v/>
      </c>
      <c r="AQ731" s="13">
        <f>IF(_epmOfflineCondition_,0,EPMSaveData(AM731,,AM$29,AM$25,AM$26,$C$6,AM$32,$AA$37,AQ$14,AQ$15,AQ$16,AQ$17,AQ$18,$X731))</f>
        <v/>
      </c>
      <c r="AR731" s="13">
        <f>IF(_epmOfflineCondition_,0,EPMSaveDataOnly(AN731,,AN$29,AN$25,AN$26,AN$31,AN$32,$AA$37,AR$14,AR$15,AR$16,AR$17,AR$18,$X731))</f>
        <v/>
      </c>
      <c r="AS731" s="384" t="n"/>
    </row>
    <row r="732" hidden="1" ht="15.75" customHeight="1" s="1181">
      <c r="A732" s="384" t="n"/>
      <c r="B732" s="384" t="n"/>
      <c r="C732" s="384" t="n"/>
      <c r="D732" s="384" t="n"/>
      <c r="E732" s="384" t="n"/>
      <c r="F732" s="384" t="n"/>
      <c r="G732" s="384" t="n"/>
      <c r="H732" s="384" t="n"/>
      <c r="I732" s="384" t="n"/>
      <c r="J732" s="384" t="n"/>
      <c r="K732" s="384" t="n"/>
      <c r="L732" s="384" t="n"/>
      <c r="M732" s="384" t="n"/>
      <c r="N732" s="384" t="n"/>
      <c r="O732" s="384" t="n"/>
      <c r="P732" s="384" t="n"/>
      <c r="Q732" s="384" t="n"/>
      <c r="R732" s="384" t="n"/>
      <c r="S732" s="384" t="n"/>
      <c r="T732" s="384" t="n"/>
      <c r="U732" s="384" t="n"/>
      <c r="V732" s="384" t="n"/>
      <c r="W732" s="384" t="n"/>
      <c r="X732" s="645">
        <f>IF(_epmOfflineCondition_,"I_E101048",EPMOlapMemberO("[C_INTERCO].[PARENTH1].[I_E101048]","","I_E101048","","000"))</f>
        <v/>
      </c>
      <c r="Y732" s="870">
        <f>IF(_epmOfflineCondition_,"MNS风力财务有限公司",EPMMemberDesc(X732))</f>
        <v/>
      </c>
      <c r="Z732" s="1302" t="n"/>
      <c r="AA732" s="1302" t="n"/>
      <c r="AB732" s="858" t="n"/>
      <c r="AC732" s="1302" t="n"/>
      <c r="AD732" s="1302" t="n"/>
      <c r="AE732" s="1302" t="inlineStr"/>
      <c r="AF732" s="1302" t="inlineStr"/>
      <c r="AG732" s="1302" t="inlineStr"/>
      <c r="AH732" s="1302" t="n"/>
      <c r="AI732" s="1302" t="n"/>
      <c r="AJ732" s="1302" t="n"/>
      <c r="AK732" s="1302">
        <f>AI732-AJ732</f>
        <v/>
      </c>
      <c r="AL732" s="858" t="n"/>
      <c r="AM732" s="1297" t="inlineStr"/>
      <c r="AN732" s="1298" t="n"/>
      <c r="AO732" s="13">
        <f>IF(_epmOfflineCondition_,0,EPMSaveDataOnly(AB732,,AB$29,AB$25,AB$26,AB$31,AB$32,$AA$37,AO$14,AO$15,AO$16,AO$17,AO$18,X732))</f>
        <v/>
      </c>
      <c r="AP732" s="13">
        <f>IF(_epmOfflineCondition_,0,EPMSaveDataOnly(AL732,,AL$29,AL$25,AL$26,AL$31,AL$32,$AA$37,AP$14,AP$15,AP$16,AP$17,AP$18,$X732))</f>
        <v/>
      </c>
      <c r="AQ732" s="13">
        <f>IF(_epmOfflineCondition_,0,EPMSaveData(AM732,,AM$29,AM$25,AM$26,$C$6,AM$32,$AA$37,AQ$14,AQ$15,AQ$16,AQ$17,AQ$18,$X732))</f>
        <v/>
      </c>
      <c r="AR732" s="13">
        <f>IF(_epmOfflineCondition_,0,EPMSaveDataOnly(AN732,,AN$29,AN$25,AN$26,AN$31,AN$32,$AA$37,AR$14,AR$15,AR$16,AR$17,AR$18,$X732))</f>
        <v/>
      </c>
      <c r="AS732" s="384" t="n"/>
    </row>
    <row r="733" hidden="1" ht="15.75" customHeight="1" s="1181">
      <c r="A733" s="384" t="n"/>
      <c r="B733" s="384" t="n"/>
      <c r="C733" s="384" t="n"/>
      <c r="D733" s="384" t="n"/>
      <c r="E733" s="384" t="n"/>
      <c r="F733" s="384" t="n"/>
      <c r="G733" s="384" t="n"/>
      <c r="H733" s="384" t="n"/>
      <c r="I733" s="384" t="n"/>
      <c r="J733" s="384" t="n"/>
      <c r="K733" s="384" t="n"/>
      <c r="L733" s="384" t="n"/>
      <c r="M733" s="384" t="n"/>
      <c r="N733" s="384" t="n"/>
      <c r="O733" s="384" t="n"/>
      <c r="P733" s="384" t="n"/>
      <c r="Q733" s="384" t="n"/>
      <c r="R733" s="384" t="n"/>
      <c r="S733" s="384" t="n"/>
      <c r="T733" s="384" t="n"/>
      <c r="U733" s="384" t="n"/>
      <c r="V733" s="384" t="n"/>
      <c r="W733" s="384" t="n"/>
      <c r="X733" s="645">
        <f>IF(_epmOfflineCondition_,"I_E101049",EPMOlapMemberO("[C_INTERCO].[PARENTH1].[I_E101049]","","I_E101049","","000"))</f>
        <v/>
      </c>
      <c r="Y733" s="870">
        <f>IF(_epmOfflineCondition_,"沃拉太阳能财务有限公司",EPMMemberDesc(X733))</f>
        <v/>
      </c>
      <c r="Z733" s="1302" t="n"/>
      <c r="AA733" s="1302" t="n"/>
      <c r="AB733" s="858" t="n"/>
      <c r="AC733" s="1302" t="n"/>
      <c r="AD733" s="1302" t="n"/>
      <c r="AE733" s="1302" t="inlineStr"/>
      <c r="AF733" s="1302" t="inlineStr"/>
      <c r="AG733" s="1302" t="inlineStr"/>
      <c r="AH733" s="1302" t="n"/>
      <c r="AI733" s="1302" t="n"/>
      <c r="AJ733" s="1302" t="n"/>
      <c r="AK733" s="1302">
        <f>AI733-AJ733</f>
        <v/>
      </c>
      <c r="AL733" s="858" t="n"/>
      <c r="AM733" s="1297" t="inlineStr"/>
      <c r="AN733" s="1298" t="n"/>
      <c r="AO733" s="13">
        <f>IF(_epmOfflineCondition_,0,EPMSaveDataOnly(AB733,,AB$29,AB$25,AB$26,AB$31,AB$32,$AA$37,AO$14,AO$15,AO$16,AO$17,AO$18,X733))</f>
        <v/>
      </c>
      <c r="AP733" s="13">
        <f>IF(_epmOfflineCondition_,0,EPMSaveDataOnly(AL733,,AL$29,AL$25,AL$26,AL$31,AL$32,$AA$37,AP$14,AP$15,AP$16,AP$17,AP$18,$X733))</f>
        <v/>
      </c>
      <c r="AQ733" s="13">
        <f>IF(_epmOfflineCondition_,0,EPMSaveData(AM733,,AM$29,AM$25,AM$26,$C$6,AM$32,$AA$37,AQ$14,AQ$15,AQ$16,AQ$17,AQ$18,$X733))</f>
        <v/>
      </c>
      <c r="AR733" s="13">
        <f>IF(_epmOfflineCondition_,0,EPMSaveDataOnly(AN733,,AN$29,AN$25,AN$26,AN$31,AN$32,$AA$37,AR$14,AR$15,AR$16,AR$17,AR$18,$X733))</f>
        <v/>
      </c>
      <c r="AS733" s="384" t="n"/>
    </row>
    <row r="734" hidden="1" ht="15.75" customHeight="1" s="1181">
      <c r="A734" s="384" t="n"/>
      <c r="B734" s="384" t="n"/>
      <c r="C734" s="384" t="n"/>
      <c r="D734" s="384" t="n"/>
      <c r="E734" s="384" t="n"/>
      <c r="F734" s="384" t="n"/>
      <c r="G734" s="384" t="n"/>
      <c r="H734" s="384" t="n"/>
      <c r="I734" s="384" t="n"/>
      <c r="J734" s="384" t="n"/>
      <c r="K734" s="384" t="n"/>
      <c r="L734" s="384" t="n"/>
      <c r="M734" s="384" t="n"/>
      <c r="N734" s="384" t="n"/>
      <c r="O734" s="384" t="n"/>
      <c r="P734" s="384" t="n"/>
      <c r="Q734" s="384" t="n"/>
      <c r="R734" s="384" t="n"/>
      <c r="S734" s="384" t="n"/>
      <c r="T734" s="384" t="n"/>
      <c r="U734" s="384" t="n"/>
      <c r="V734" s="384" t="n"/>
      <c r="W734" s="384" t="n"/>
      <c r="X734" s="645">
        <f>IF(_epmOfflineCondition_,"I_E101050",EPMOlapMemberO("[C_INTERCO].[PARENTH1].[I_E101050]","","I_E101050","","000"))</f>
        <v/>
      </c>
      <c r="Y734" s="870">
        <f>IF(_epmOfflineCondition_,"沃拉太阳能发展有限公司",EPMMemberDesc(X734))</f>
        <v/>
      </c>
      <c r="Z734" s="1302" t="n"/>
      <c r="AA734" s="1302" t="n"/>
      <c r="AB734" s="858" t="n"/>
      <c r="AC734" s="1302" t="n"/>
      <c r="AD734" s="1302" t="n"/>
      <c r="AE734" s="1302" t="inlineStr"/>
      <c r="AF734" s="1302" t="inlineStr"/>
      <c r="AG734" s="1302" t="inlineStr"/>
      <c r="AH734" s="1302" t="n"/>
      <c r="AI734" s="1302" t="n"/>
      <c r="AJ734" s="1302" t="n"/>
      <c r="AK734" s="1302">
        <f>AI734-AJ734</f>
        <v/>
      </c>
      <c r="AL734" s="858" t="n"/>
      <c r="AM734" s="1297" t="inlineStr"/>
      <c r="AN734" s="1298" t="n"/>
      <c r="AO734" s="13">
        <f>IF(_epmOfflineCondition_,0,EPMSaveDataOnly(AB734,,AB$29,AB$25,AB$26,AB$31,AB$32,$AA$37,AO$14,AO$15,AO$16,AO$17,AO$18,X734))</f>
        <v/>
      </c>
      <c r="AP734" s="13">
        <f>IF(_epmOfflineCondition_,0,EPMSaveDataOnly(AL734,,AL$29,AL$25,AL$26,AL$31,AL$32,$AA$37,AP$14,AP$15,AP$16,AP$17,AP$18,$X734))</f>
        <v/>
      </c>
      <c r="AQ734" s="13">
        <f>IF(_epmOfflineCondition_,0,EPMSaveData(AM734,,AM$29,AM$25,AM$26,$C$6,AM$32,$AA$37,AQ$14,AQ$15,AQ$16,AQ$17,AQ$18,$X734))</f>
        <v/>
      </c>
      <c r="AR734" s="13">
        <f>IF(_epmOfflineCondition_,0,EPMSaveDataOnly(AN734,,AN$29,AN$25,AN$26,AN$31,AN$32,$AA$37,AR$14,AR$15,AR$16,AR$17,AR$18,$X734))</f>
        <v/>
      </c>
      <c r="AS734" s="384" t="n"/>
    </row>
    <row r="735" hidden="1" ht="15.75" customHeight="1" s="1181">
      <c r="A735" s="384" t="n"/>
      <c r="B735" s="384" t="n"/>
      <c r="C735" s="384" t="n"/>
      <c r="D735" s="384" t="n"/>
      <c r="E735" s="384" t="n"/>
      <c r="F735" s="384" t="n"/>
      <c r="G735" s="384" t="n"/>
      <c r="H735" s="384" t="n"/>
      <c r="I735" s="384" t="n"/>
      <c r="J735" s="384" t="n"/>
      <c r="K735" s="384" t="n"/>
      <c r="L735" s="384" t="n"/>
      <c r="M735" s="384" t="n"/>
      <c r="N735" s="384" t="n"/>
      <c r="O735" s="384" t="n"/>
      <c r="P735" s="384" t="n"/>
      <c r="Q735" s="384" t="n"/>
      <c r="R735" s="384" t="n"/>
      <c r="S735" s="384" t="n"/>
      <c r="T735" s="384" t="n"/>
      <c r="U735" s="384" t="n"/>
      <c r="V735" s="384" t="n"/>
      <c r="W735" s="384" t="n"/>
      <c r="X735" s="645">
        <f>IF(_epmOfflineCondition_,"I_E101054",EPMOlapMemberO("[C_INTERCO].[PARENTH1].[I_E101054]","","I_E101054","","000"))</f>
        <v/>
      </c>
      <c r="Y735" s="870">
        <f>IF(_epmOfflineCondition_,"北京京能热力股份有限公司",EPMMemberDesc(X735))</f>
        <v/>
      </c>
      <c r="Z735" s="1302" t="n"/>
      <c r="AA735" s="1302" t="n"/>
      <c r="AB735" s="858" t="n"/>
      <c r="AC735" s="1302" t="n"/>
      <c r="AD735" s="1302" t="n"/>
      <c r="AE735" s="1302" t="inlineStr"/>
      <c r="AF735" s="1302" t="inlineStr"/>
      <c r="AG735" s="1302" t="inlineStr"/>
      <c r="AH735" s="1302" t="n"/>
      <c r="AI735" s="1302" t="n"/>
      <c r="AJ735" s="1302" t="n"/>
      <c r="AK735" s="1302">
        <f>AI735-AJ735</f>
        <v/>
      </c>
      <c r="AL735" s="858" t="n"/>
      <c r="AM735" s="1297" t="inlineStr"/>
      <c r="AN735" s="1298" t="n"/>
      <c r="AO735" s="13">
        <f>IF(_epmOfflineCondition_,0,EPMSaveDataOnly(AB735,,AB$29,AB$25,AB$26,AB$31,AB$32,$AA$37,AO$14,AO$15,AO$16,AO$17,AO$18,X735))</f>
        <v/>
      </c>
      <c r="AP735" s="13">
        <f>IF(_epmOfflineCondition_,0,EPMSaveDataOnly(AL735,,AL$29,AL$25,AL$26,AL$31,AL$32,$AA$37,AP$14,AP$15,AP$16,AP$17,AP$18,$X735))</f>
        <v/>
      </c>
      <c r="AQ735" s="13">
        <f>IF(_epmOfflineCondition_,0,EPMSaveData(AM735,,AM$29,AM$25,AM$26,$C$6,AM$32,$AA$37,AQ$14,AQ$15,AQ$16,AQ$17,AQ$18,$X735))</f>
        <v/>
      </c>
      <c r="AR735" s="13">
        <f>IF(_epmOfflineCondition_,0,EPMSaveDataOnly(AN735,,AN$29,AN$25,AN$26,AN$31,AN$32,$AA$37,AR$14,AR$15,AR$16,AR$17,AR$18,$X735))</f>
        <v/>
      </c>
      <c r="AS735" s="384" t="n"/>
    </row>
    <row r="736" hidden="1" ht="15.75" customHeight="1" s="1181">
      <c r="A736" s="384" t="n"/>
      <c r="B736" s="384" t="n"/>
      <c r="C736" s="384" t="n"/>
      <c r="D736" s="384" t="n"/>
      <c r="E736" s="384" t="n"/>
      <c r="F736" s="384" t="n"/>
      <c r="G736" s="384" t="n"/>
      <c r="H736" s="384" t="n"/>
      <c r="I736" s="384" t="n"/>
      <c r="J736" s="384" t="n"/>
      <c r="K736" s="384" t="n"/>
      <c r="L736" s="384" t="n"/>
      <c r="M736" s="384" t="n"/>
      <c r="N736" s="384" t="n"/>
      <c r="O736" s="384" t="n"/>
      <c r="P736" s="384" t="n"/>
      <c r="Q736" s="384" t="n"/>
      <c r="R736" s="384" t="n"/>
      <c r="S736" s="384" t="n"/>
      <c r="T736" s="384" t="n"/>
      <c r="U736" s="384" t="n"/>
      <c r="V736" s="384" t="n"/>
      <c r="W736" s="384" t="n"/>
      <c r="X736" s="645">
        <f>IF(_epmOfflineCondition_,"I_E101055",EPMOlapMemberO("[C_INTERCO].[PARENTH1].[I_E101055]","","I_E101055","","000"))</f>
        <v/>
      </c>
      <c r="Y736" s="870">
        <f>IF(_epmOfflineCondition_,"北京华远意通热力科技股份有限公司平谷分公司",EPMMemberDesc(X736))</f>
        <v/>
      </c>
      <c r="Z736" s="1302" t="n"/>
      <c r="AA736" s="1302" t="n"/>
      <c r="AB736" s="858" t="n"/>
      <c r="AC736" s="1302" t="n"/>
      <c r="AD736" s="1302" t="n"/>
      <c r="AE736" s="1302" t="inlineStr"/>
      <c r="AF736" s="1302" t="inlineStr"/>
      <c r="AG736" s="1302" t="inlineStr"/>
      <c r="AH736" s="1302" t="n"/>
      <c r="AI736" s="1302" t="n"/>
      <c r="AJ736" s="1302" t="n"/>
      <c r="AK736" s="1302">
        <f>AI736-AJ736</f>
        <v/>
      </c>
      <c r="AL736" s="858" t="n"/>
      <c r="AM736" s="1297" t="inlineStr"/>
      <c r="AN736" s="1298" t="n"/>
      <c r="AO736" s="13">
        <f>IF(_epmOfflineCondition_,0,EPMSaveDataOnly(AB736,,AB$29,AB$25,AB$26,AB$31,AB$32,$AA$37,AO$14,AO$15,AO$16,AO$17,AO$18,X736))</f>
        <v/>
      </c>
      <c r="AP736" s="13">
        <f>IF(_epmOfflineCondition_,0,EPMSaveDataOnly(AL736,,AL$29,AL$25,AL$26,AL$31,AL$32,$AA$37,AP$14,AP$15,AP$16,AP$17,AP$18,$X736))</f>
        <v/>
      </c>
      <c r="AQ736" s="13">
        <f>IF(_epmOfflineCondition_,0,EPMSaveData(AM736,,AM$29,AM$25,AM$26,$C$6,AM$32,$AA$37,AQ$14,AQ$15,AQ$16,AQ$17,AQ$18,$X736))</f>
        <v/>
      </c>
      <c r="AR736" s="13">
        <f>IF(_epmOfflineCondition_,0,EPMSaveDataOnly(AN736,,AN$29,AN$25,AN$26,AN$31,AN$32,$AA$37,AR$14,AR$15,AR$16,AR$17,AR$18,$X736))</f>
        <v/>
      </c>
      <c r="AS736" s="384" t="n"/>
    </row>
    <row r="737" hidden="1" ht="15.75" customHeight="1" s="1181">
      <c r="A737" s="384" t="n"/>
      <c r="B737" s="384" t="n"/>
      <c r="C737" s="384" t="n"/>
      <c r="D737" s="384" t="n"/>
      <c r="E737" s="384" t="n"/>
      <c r="F737" s="384" t="n"/>
      <c r="G737" s="384" t="n"/>
      <c r="H737" s="384" t="n"/>
      <c r="I737" s="384" t="n"/>
      <c r="J737" s="384" t="n"/>
      <c r="K737" s="384" t="n"/>
      <c r="L737" s="384" t="n"/>
      <c r="M737" s="384" t="n"/>
      <c r="N737" s="384" t="n"/>
      <c r="O737" s="384" t="n"/>
      <c r="P737" s="384" t="n"/>
      <c r="Q737" s="384" t="n"/>
      <c r="R737" s="384" t="n"/>
      <c r="S737" s="384" t="n"/>
      <c r="T737" s="384" t="n"/>
      <c r="U737" s="384" t="n"/>
      <c r="V737" s="384" t="n"/>
      <c r="W737" s="384" t="n"/>
      <c r="X737" s="645">
        <f>IF(_epmOfflineCondition_,"I_E101056",EPMOlapMemberO("[C_INTERCO].[PARENTH1].[I_E101056]","","I_E101056","","000"))</f>
        <v/>
      </c>
      <c r="Y737" s="870">
        <f>IF(_epmOfflineCondition_,"北京华意龙达科技发展有限公司",EPMMemberDesc(X737))</f>
        <v/>
      </c>
      <c r="Z737" s="1302" t="n"/>
      <c r="AA737" s="1302" t="n"/>
      <c r="AB737" s="858" t="n"/>
      <c r="AC737" s="1302" t="n"/>
      <c r="AD737" s="1302" t="n"/>
      <c r="AE737" s="1302" t="inlineStr"/>
      <c r="AF737" s="1302" t="inlineStr"/>
      <c r="AG737" s="1302" t="inlineStr"/>
      <c r="AH737" s="1302" t="n"/>
      <c r="AI737" s="1302" t="n"/>
      <c r="AJ737" s="1302" t="n"/>
      <c r="AK737" s="1302">
        <f>AI737-AJ737</f>
        <v/>
      </c>
      <c r="AL737" s="858" t="n"/>
      <c r="AM737" s="1297" t="inlineStr"/>
      <c r="AN737" s="1298" t="n"/>
      <c r="AO737" s="13">
        <f>IF(_epmOfflineCondition_,0,EPMSaveDataOnly(AB737,,AB$29,AB$25,AB$26,AB$31,AB$32,$AA$37,AO$14,AO$15,AO$16,AO$17,AO$18,X737))</f>
        <v/>
      </c>
      <c r="AP737" s="13">
        <f>IF(_epmOfflineCondition_,0,EPMSaveDataOnly(AL737,,AL$29,AL$25,AL$26,AL$31,AL$32,$AA$37,AP$14,AP$15,AP$16,AP$17,AP$18,$X737))</f>
        <v/>
      </c>
      <c r="AQ737" s="13">
        <f>IF(_epmOfflineCondition_,0,EPMSaveData(AM737,,AM$29,AM$25,AM$26,$C$6,AM$32,$AA$37,AQ$14,AQ$15,AQ$16,AQ$17,AQ$18,$X737))</f>
        <v/>
      </c>
      <c r="AR737" s="13">
        <f>IF(_epmOfflineCondition_,0,EPMSaveDataOnly(AN737,,AN$29,AN$25,AN$26,AN$31,AN$32,$AA$37,AR$14,AR$15,AR$16,AR$17,AR$18,$X737))</f>
        <v/>
      </c>
      <c r="AS737" s="384" t="n"/>
    </row>
    <row r="738" hidden="1" ht="15.75" customHeight="1" s="1181">
      <c r="A738" s="384" t="n"/>
      <c r="B738" s="384" t="n"/>
      <c r="C738" s="384" t="n"/>
      <c r="D738" s="384" t="n"/>
      <c r="E738" s="384" t="n"/>
      <c r="F738" s="384" t="n"/>
      <c r="G738" s="384" t="n"/>
      <c r="H738" s="384" t="n"/>
      <c r="I738" s="384" t="n"/>
      <c r="J738" s="384" t="n"/>
      <c r="K738" s="384" t="n"/>
      <c r="L738" s="384" t="n"/>
      <c r="M738" s="384" t="n"/>
      <c r="N738" s="384" t="n"/>
      <c r="O738" s="384" t="n"/>
      <c r="P738" s="384" t="n"/>
      <c r="Q738" s="384" t="n"/>
      <c r="R738" s="384" t="n"/>
      <c r="S738" s="384" t="n"/>
      <c r="T738" s="384" t="n"/>
      <c r="U738" s="384" t="n"/>
      <c r="V738" s="384" t="n"/>
      <c r="W738" s="384" t="n"/>
      <c r="X738" s="645">
        <f>IF(_epmOfflineCondition_,"I_E101057",EPMOlapMemberO("[C_INTERCO].[PARENTH1].[I_E101057]","","I_E101057","","000"))</f>
        <v/>
      </c>
      <c r="Y738" s="870">
        <f>IF(_epmOfflineCondition_,"北京华通兴远节能技术有限公司",EPMMemberDesc(X738))</f>
        <v/>
      </c>
      <c r="Z738" s="1302" t="n"/>
      <c r="AA738" s="1302" t="n"/>
      <c r="AB738" s="858" t="n"/>
      <c r="AC738" s="1302" t="n"/>
      <c r="AD738" s="1302" t="n"/>
      <c r="AE738" s="1302" t="inlineStr"/>
      <c r="AF738" s="1302" t="inlineStr"/>
      <c r="AG738" s="1302" t="inlineStr"/>
      <c r="AH738" s="1302" t="n"/>
      <c r="AI738" s="1302" t="n"/>
      <c r="AJ738" s="1302" t="n"/>
      <c r="AK738" s="1302">
        <f>AI738-AJ738</f>
        <v/>
      </c>
      <c r="AL738" s="858" t="n"/>
      <c r="AM738" s="1297" t="inlineStr"/>
      <c r="AN738" s="1298" t="n"/>
      <c r="AO738" s="13">
        <f>IF(_epmOfflineCondition_,0,EPMSaveDataOnly(AB738,,AB$29,AB$25,AB$26,AB$31,AB$32,$AA$37,AO$14,AO$15,AO$16,AO$17,AO$18,X738))</f>
        <v/>
      </c>
      <c r="AP738" s="13">
        <f>IF(_epmOfflineCondition_,0,EPMSaveDataOnly(AL738,,AL$29,AL$25,AL$26,AL$31,AL$32,$AA$37,AP$14,AP$15,AP$16,AP$17,AP$18,$X738))</f>
        <v/>
      </c>
      <c r="AQ738" s="13">
        <f>IF(_epmOfflineCondition_,0,EPMSaveData(AM738,,AM$29,AM$25,AM$26,$C$6,AM$32,$AA$37,AQ$14,AQ$15,AQ$16,AQ$17,AQ$18,$X738))</f>
        <v/>
      </c>
      <c r="AR738" s="13">
        <f>IF(_epmOfflineCondition_,0,EPMSaveDataOnly(AN738,,AN$29,AN$25,AN$26,AN$31,AN$32,$AA$37,AR$14,AR$15,AR$16,AR$17,AR$18,$X738))</f>
        <v/>
      </c>
      <c r="AS738" s="384" t="n"/>
    </row>
    <row r="739" hidden="1" ht="15.75" customHeight="1" s="1181">
      <c r="A739" s="384" t="n"/>
      <c r="B739" s="384" t="n"/>
      <c r="C739" s="384" t="n"/>
      <c r="D739" s="384" t="n"/>
      <c r="E739" s="384" t="n"/>
      <c r="F739" s="384" t="n"/>
      <c r="G739" s="384" t="n"/>
      <c r="H739" s="384" t="n"/>
      <c r="I739" s="384" t="n"/>
      <c r="J739" s="384" t="n"/>
      <c r="K739" s="384" t="n"/>
      <c r="L739" s="384" t="n"/>
      <c r="M739" s="384" t="n"/>
      <c r="N739" s="384" t="n"/>
      <c r="O739" s="384" t="n"/>
      <c r="P739" s="384" t="n"/>
      <c r="Q739" s="384" t="n"/>
      <c r="R739" s="384" t="n"/>
      <c r="S739" s="384" t="n"/>
      <c r="T739" s="384" t="n"/>
      <c r="U739" s="384" t="n"/>
      <c r="V739" s="384" t="n"/>
      <c r="W739" s="384" t="n"/>
      <c r="X739" s="645">
        <f>IF(_epmOfflineCondition_,"I_E101058",EPMOlapMemberO("[C_INTERCO].[PARENTH1].[I_E101058]","","I_E101058","","000"))</f>
        <v/>
      </c>
      <c r="Y739" s="870">
        <f>IF(_epmOfflineCondition_,"北京华远意通节能科技发展有限公司",EPMMemberDesc(X739))</f>
        <v/>
      </c>
      <c r="Z739" s="1302" t="n"/>
      <c r="AA739" s="1302" t="n"/>
      <c r="AB739" s="858" t="n"/>
      <c r="AC739" s="1302" t="n"/>
      <c r="AD739" s="1302" t="n"/>
      <c r="AE739" s="1302" t="inlineStr"/>
      <c r="AF739" s="1302" t="inlineStr"/>
      <c r="AG739" s="1302" t="inlineStr"/>
      <c r="AH739" s="1302" t="n"/>
      <c r="AI739" s="1302" t="n"/>
      <c r="AJ739" s="1302" t="n"/>
      <c r="AK739" s="1302">
        <f>AI739-AJ739</f>
        <v/>
      </c>
      <c r="AL739" s="858" t="n"/>
      <c r="AM739" s="1297" t="inlineStr"/>
      <c r="AN739" s="1298" t="n"/>
      <c r="AO739" s="13">
        <f>IF(_epmOfflineCondition_,0,EPMSaveDataOnly(AB739,,AB$29,AB$25,AB$26,AB$31,AB$32,$AA$37,AO$14,AO$15,AO$16,AO$17,AO$18,X739))</f>
        <v/>
      </c>
      <c r="AP739" s="13">
        <f>IF(_epmOfflineCondition_,0,EPMSaveDataOnly(AL739,,AL$29,AL$25,AL$26,AL$31,AL$32,$AA$37,AP$14,AP$15,AP$16,AP$17,AP$18,$X739))</f>
        <v/>
      </c>
      <c r="AQ739" s="13">
        <f>IF(_epmOfflineCondition_,0,EPMSaveData(AM739,,AM$29,AM$25,AM$26,$C$6,AM$32,$AA$37,AQ$14,AQ$15,AQ$16,AQ$17,AQ$18,$X739))</f>
        <v/>
      </c>
      <c r="AR739" s="13">
        <f>IF(_epmOfflineCondition_,0,EPMSaveDataOnly(AN739,,AN$29,AN$25,AN$26,AN$31,AN$32,$AA$37,AR$14,AR$15,AR$16,AR$17,AR$18,$X739))</f>
        <v/>
      </c>
      <c r="AS739" s="384" t="n"/>
    </row>
    <row r="740" hidden="1" ht="15.75" customHeight="1" s="1181">
      <c r="A740" s="384" t="n"/>
      <c r="B740" s="384" t="n"/>
      <c r="C740" s="384" t="n"/>
      <c r="D740" s="384" t="n"/>
      <c r="E740" s="384" t="n"/>
      <c r="F740" s="384" t="n"/>
      <c r="G740" s="384" t="n"/>
      <c r="H740" s="384" t="n"/>
      <c r="I740" s="384" t="n"/>
      <c r="J740" s="384" t="n"/>
      <c r="K740" s="384" t="n"/>
      <c r="L740" s="384" t="n"/>
      <c r="M740" s="384" t="n"/>
      <c r="N740" s="384" t="n"/>
      <c r="O740" s="384" t="n"/>
      <c r="P740" s="384" t="n"/>
      <c r="Q740" s="384" t="n"/>
      <c r="R740" s="384" t="n"/>
      <c r="S740" s="384" t="n"/>
      <c r="T740" s="384" t="n"/>
      <c r="U740" s="384" t="n"/>
      <c r="V740" s="384" t="n"/>
      <c r="W740" s="384" t="n"/>
      <c r="X740" s="645">
        <f>IF(_epmOfflineCondition_,"I_E101059",EPMOlapMemberO("[C_INTERCO].[PARENTH1].[I_E101059]","","I_E101059","","000"))</f>
        <v/>
      </c>
      <c r="Y740" s="870">
        <f>IF(_epmOfflineCondition_,"迁西富龙热力有限责任公司",EPMMemberDesc(X740))</f>
        <v/>
      </c>
      <c r="Z740" s="1302" t="n"/>
      <c r="AA740" s="1302" t="n"/>
      <c r="AB740" s="858" t="n"/>
      <c r="AC740" s="1302" t="n"/>
      <c r="AD740" s="1302" t="n"/>
      <c r="AE740" s="1302" t="inlineStr"/>
      <c r="AF740" s="1302" t="inlineStr"/>
      <c r="AG740" s="1302" t="inlineStr"/>
      <c r="AH740" s="1302" t="n"/>
      <c r="AI740" s="1302" t="n"/>
      <c r="AJ740" s="1302" t="n"/>
      <c r="AK740" s="1302">
        <f>AI740-AJ740</f>
        <v/>
      </c>
      <c r="AL740" s="858" t="n"/>
      <c r="AM740" s="1297" t="inlineStr"/>
      <c r="AN740" s="1298" t="n"/>
      <c r="AO740" s="13">
        <f>IF(_epmOfflineCondition_,0,EPMSaveDataOnly(AB740,,AB$29,AB$25,AB$26,AB$31,AB$32,$AA$37,AO$14,AO$15,AO$16,AO$17,AO$18,X740))</f>
        <v/>
      </c>
      <c r="AP740" s="13">
        <f>IF(_epmOfflineCondition_,0,EPMSaveDataOnly(AL740,,AL$29,AL$25,AL$26,AL$31,AL$32,$AA$37,AP$14,AP$15,AP$16,AP$17,AP$18,$X740))</f>
        <v/>
      </c>
      <c r="AQ740" s="13">
        <f>IF(_epmOfflineCondition_,0,EPMSaveData(AM740,,AM$29,AM$25,AM$26,$C$6,AM$32,$AA$37,AQ$14,AQ$15,AQ$16,AQ$17,AQ$18,$X740))</f>
        <v/>
      </c>
      <c r="AR740" s="13">
        <f>IF(_epmOfflineCondition_,0,EPMSaveDataOnly(AN740,,AN$29,AN$25,AN$26,AN$31,AN$32,$AA$37,AR$14,AR$15,AR$16,AR$17,AR$18,$X740))</f>
        <v/>
      </c>
      <c r="AS740" s="384" t="n"/>
    </row>
    <row r="741" hidden="1" ht="15.75" customHeight="1" s="1181">
      <c r="A741" s="384" t="n"/>
      <c r="B741" s="384" t="n"/>
      <c r="C741" s="384" t="n"/>
      <c r="D741" s="384" t="n"/>
      <c r="E741" s="384" t="n"/>
      <c r="F741" s="384" t="n"/>
      <c r="G741" s="384" t="n"/>
      <c r="H741" s="384" t="n"/>
      <c r="I741" s="384" t="n"/>
      <c r="J741" s="384" t="n"/>
      <c r="K741" s="384" t="n"/>
      <c r="L741" s="384" t="n"/>
      <c r="M741" s="384" t="n"/>
      <c r="N741" s="384" t="n"/>
      <c r="O741" s="384" t="n"/>
      <c r="P741" s="384" t="n"/>
      <c r="Q741" s="384" t="n"/>
      <c r="R741" s="384" t="n"/>
      <c r="S741" s="384" t="n"/>
      <c r="T741" s="384" t="n"/>
      <c r="U741" s="384" t="n"/>
      <c r="V741" s="384" t="n"/>
      <c r="W741" s="384" t="n"/>
      <c r="X741" s="645">
        <f>IF(_epmOfflineCondition_,"I_E101060",EPMOlapMemberO("[C_INTERCO].[PARENTH1].[I_E101060]","","I_E101060","","000"))</f>
        <v/>
      </c>
      <c r="Y741" s="870">
        <f>IF(_epmOfflineCondition_,"迁西和然节能科技有限责任公司",EPMMemberDesc(X741))</f>
        <v/>
      </c>
      <c r="Z741" s="1302" t="n"/>
      <c r="AA741" s="1302" t="n"/>
      <c r="AB741" s="858" t="n"/>
      <c r="AC741" s="1302" t="n"/>
      <c r="AD741" s="1302" t="n"/>
      <c r="AE741" s="1302" t="inlineStr"/>
      <c r="AF741" s="1302" t="inlineStr"/>
      <c r="AG741" s="1302" t="inlineStr"/>
      <c r="AH741" s="1302" t="n"/>
      <c r="AI741" s="1302" t="n"/>
      <c r="AJ741" s="1302" t="n"/>
      <c r="AK741" s="1302">
        <f>AI741-AJ741</f>
        <v/>
      </c>
      <c r="AL741" s="858" t="n"/>
      <c r="AM741" s="1297" t="inlineStr"/>
      <c r="AN741" s="1298" t="n"/>
      <c r="AO741" s="13">
        <f>IF(_epmOfflineCondition_,0,EPMSaveDataOnly(AB741,,AB$29,AB$25,AB$26,AB$31,AB$32,$AA$37,AO$14,AO$15,AO$16,AO$17,AO$18,X741))</f>
        <v/>
      </c>
      <c r="AP741" s="13">
        <f>IF(_epmOfflineCondition_,0,EPMSaveDataOnly(AL741,,AL$29,AL$25,AL$26,AL$31,AL$32,$AA$37,AP$14,AP$15,AP$16,AP$17,AP$18,$X741))</f>
        <v/>
      </c>
      <c r="AQ741" s="13">
        <f>IF(_epmOfflineCondition_,0,EPMSaveData(AM741,,AM$29,AM$25,AM$26,$C$6,AM$32,$AA$37,AQ$14,AQ$15,AQ$16,AQ$17,AQ$18,$X741))</f>
        <v/>
      </c>
      <c r="AR741" s="13">
        <f>IF(_epmOfflineCondition_,0,EPMSaveDataOnly(AN741,,AN$29,AN$25,AN$26,AN$31,AN$32,$AA$37,AR$14,AR$15,AR$16,AR$17,AR$18,$X741))</f>
        <v/>
      </c>
      <c r="AS741" s="384" t="n"/>
    </row>
    <row r="742" hidden="1" ht="15.75" customHeight="1" s="1181">
      <c r="A742" s="384" t="n"/>
      <c r="B742" s="384" t="n"/>
      <c r="C742" s="384" t="n"/>
      <c r="D742" s="384" t="n"/>
      <c r="E742" s="384" t="n"/>
      <c r="F742" s="384" t="n"/>
      <c r="G742" s="384" t="n"/>
      <c r="H742" s="384" t="n"/>
      <c r="I742" s="384" t="n"/>
      <c r="J742" s="384" t="n"/>
      <c r="K742" s="384" t="n"/>
      <c r="L742" s="384" t="n"/>
      <c r="M742" s="384" t="n"/>
      <c r="N742" s="384" t="n"/>
      <c r="O742" s="384" t="n"/>
      <c r="P742" s="384" t="n"/>
      <c r="Q742" s="384" t="n"/>
      <c r="R742" s="384" t="n"/>
      <c r="S742" s="384" t="n"/>
      <c r="T742" s="384" t="n"/>
      <c r="U742" s="384" t="n"/>
      <c r="V742" s="384" t="n"/>
      <c r="W742" s="384" t="n"/>
      <c r="X742" s="645">
        <f>IF(_epmOfflineCondition_,"I_E101061",EPMOlapMemberO("[C_INTERCO].[PARENTH1].[I_E101061]","","I_E101061","","000"))</f>
        <v/>
      </c>
      <c r="Y742" s="870">
        <f>IF(_epmOfflineCondition_,"京能（故城）新能源有限公司",EPMMemberDesc(X742))</f>
        <v/>
      </c>
      <c r="Z742" s="1302" t="n"/>
      <c r="AA742" s="1302" t="n"/>
      <c r="AB742" s="858" t="n"/>
      <c r="AC742" s="1302" t="n"/>
      <c r="AD742" s="1302" t="n"/>
      <c r="AE742" s="1302" t="inlineStr"/>
      <c r="AF742" s="1302" t="inlineStr"/>
      <c r="AG742" s="1302" t="inlineStr"/>
      <c r="AH742" s="1302" t="n"/>
      <c r="AI742" s="1302" t="n"/>
      <c r="AJ742" s="1302" t="n"/>
      <c r="AK742" s="1302">
        <f>AI742-AJ742</f>
        <v/>
      </c>
      <c r="AL742" s="858" t="n"/>
      <c r="AM742" s="1297" t="inlineStr"/>
      <c r="AN742" s="1298" t="n"/>
      <c r="AO742" s="13">
        <f>IF(_epmOfflineCondition_,0,EPMSaveDataOnly(AB742,,AB$29,AB$25,AB$26,AB$31,AB$32,$AA$37,AO$14,AO$15,AO$16,AO$17,AO$18,X742))</f>
        <v/>
      </c>
      <c r="AP742" s="13">
        <f>IF(_epmOfflineCondition_,0,EPMSaveDataOnly(AL742,,AL$29,AL$25,AL$26,AL$31,AL$32,$AA$37,AP$14,AP$15,AP$16,AP$17,AP$18,$X742))</f>
        <v/>
      </c>
      <c r="AQ742" s="13">
        <f>IF(_epmOfflineCondition_,0,EPMSaveData(AM742,,AM$29,AM$25,AM$26,$C$6,AM$32,$AA$37,AQ$14,AQ$15,AQ$16,AQ$17,AQ$18,$X742))</f>
        <v/>
      </c>
      <c r="AR742" s="13">
        <f>IF(_epmOfflineCondition_,0,EPMSaveDataOnly(AN742,,AN$29,AN$25,AN$26,AN$31,AN$32,$AA$37,AR$14,AR$15,AR$16,AR$17,AR$18,$X742))</f>
        <v/>
      </c>
      <c r="AS742" s="384" t="n"/>
    </row>
    <row r="743" hidden="1" ht="15.75" customHeight="1" s="1181">
      <c r="A743" s="384" t="n"/>
      <c r="B743" s="384" t="n"/>
      <c r="C743" s="384" t="n"/>
      <c r="D743" s="384" t="n"/>
      <c r="E743" s="384" t="n"/>
      <c r="F743" s="384" t="n"/>
      <c r="G743" s="384" t="n"/>
      <c r="H743" s="384" t="n"/>
      <c r="I743" s="384" t="n"/>
      <c r="J743" s="384" t="n"/>
      <c r="K743" s="384" t="n"/>
      <c r="L743" s="384" t="n"/>
      <c r="M743" s="384" t="n"/>
      <c r="N743" s="384" t="n"/>
      <c r="O743" s="384" t="n"/>
      <c r="P743" s="384" t="n"/>
      <c r="Q743" s="384" t="n"/>
      <c r="R743" s="384" t="n"/>
      <c r="S743" s="384" t="n"/>
      <c r="T743" s="384" t="n"/>
      <c r="U743" s="384" t="n"/>
      <c r="V743" s="384" t="n"/>
      <c r="W743" s="384" t="n"/>
      <c r="X743" s="645">
        <f>IF(_epmOfflineCondition_,"I_E101062",EPMOlapMemberO("[C_INTERCO].[PARENTH1].[I_E101062]","","I_E101062","","000"))</f>
        <v/>
      </c>
      <c r="Y743" s="870">
        <f>IF(_epmOfflineCondition_,"昔阳县斯能风电有限公司",EPMMemberDesc(X743))</f>
        <v/>
      </c>
      <c r="Z743" s="1302" t="n"/>
      <c r="AA743" s="1302" t="n"/>
      <c r="AB743" s="858" t="n"/>
      <c r="AC743" s="1302" t="n"/>
      <c r="AD743" s="1302" t="n"/>
      <c r="AE743" s="1302" t="inlineStr"/>
      <c r="AF743" s="1302" t="inlineStr"/>
      <c r="AG743" s="1302" t="inlineStr"/>
      <c r="AH743" s="1302" t="n"/>
      <c r="AI743" s="1302" t="n"/>
      <c r="AJ743" s="1302" t="n"/>
      <c r="AK743" s="1302">
        <f>AI743-AJ743</f>
        <v/>
      </c>
      <c r="AL743" s="858" t="n"/>
      <c r="AM743" s="1297" t="inlineStr"/>
      <c r="AN743" s="1298" t="n"/>
      <c r="AO743" s="13">
        <f>IF(_epmOfflineCondition_,0,EPMSaveDataOnly(AB743,,AB$29,AB$25,AB$26,AB$31,AB$32,$AA$37,AO$14,AO$15,AO$16,AO$17,AO$18,X743))</f>
        <v/>
      </c>
      <c r="AP743" s="13">
        <f>IF(_epmOfflineCondition_,0,EPMSaveDataOnly(AL743,,AL$29,AL$25,AL$26,AL$31,AL$32,$AA$37,AP$14,AP$15,AP$16,AP$17,AP$18,$X743))</f>
        <v/>
      </c>
      <c r="AQ743" s="13">
        <f>IF(_epmOfflineCondition_,0,EPMSaveData(AM743,,AM$29,AM$25,AM$26,$C$6,AM$32,$AA$37,AQ$14,AQ$15,AQ$16,AQ$17,AQ$18,$X743))</f>
        <v/>
      </c>
      <c r="AR743" s="13">
        <f>IF(_epmOfflineCondition_,0,EPMSaveDataOnly(AN743,,AN$29,AN$25,AN$26,AN$31,AN$32,$AA$37,AR$14,AR$15,AR$16,AR$17,AR$18,$X743))</f>
        <v/>
      </c>
      <c r="AS743" s="384" t="n"/>
    </row>
    <row r="744" hidden="1" ht="15.75" customHeight="1" s="1181">
      <c r="A744" s="384" t="n"/>
      <c r="B744" s="384" t="n"/>
      <c r="C744" s="384" t="n"/>
      <c r="D744" s="384" t="n"/>
      <c r="E744" s="384" t="n"/>
      <c r="F744" s="384" t="n"/>
      <c r="G744" s="384" t="n"/>
      <c r="H744" s="384" t="n"/>
      <c r="I744" s="384" t="n"/>
      <c r="J744" s="384" t="n"/>
      <c r="K744" s="384" t="n"/>
      <c r="L744" s="384" t="n"/>
      <c r="M744" s="384" t="n"/>
      <c r="N744" s="384" t="n"/>
      <c r="O744" s="384" t="n"/>
      <c r="P744" s="384" t="n"/>
      <c r="Q744" s="384" t="n"/>
      <c r="R744" s="384" t="n"/>
      <c r="S744" s="384" t="n"/>
      <c r="T744" s="384" t="n"/>
      <c r="U744" s="384" t="n"/>
      <c r="V744" s="384" t="n"/>
      <c r="W744" s="384" t="n"/>
      <c r="X744" s="645">
        <f>IF(_epmOfflineCondition_,"I_E101063",EPMOlapMemberO("[C_INTERCO].[PARENTH1].[I_E101063]","","I_E101063","","000"))</f>
        <v/>
      </c>
      <c r="Y744" s="870">
        <f>IF(_epmOfflineCondition_,"通辽市铭龙新能源有限公司",EPMMemberDesc(X744))</f>
        <v/>
      </c>
      <c r="Z744" s="1302" t="n"/>
      <c r="AA744" s="1302" t="n"/>
      <c r="AB744" s="858" t="n"/>
      <c r="AC744" s="1302" t="n"/>
      <c r="AD744" s="1302" t="n"/>
      <c r="AE744" s="1302" t="inlineStr"/>
      <c r="AF744" s="1302" t="inlineStr"/>
      <c r="AG744" s="1302" t="inlineStr"/>
      <c r="AH744" s="1302" t="n"/>
      <c r="AI744" s="1302" t="n"/>
      <c r="AJ744" s="1302" t="n"/>
      <c r="AK744" s="1302">
        <f>AI744-AJ744</f>
        <v/>
      </c>
      <c r="AL744" s="858" t="n"/>
      <c r="AM744" s="1297" t="inlineStr"/>
      <c r="AN744" s="1298" t="n"/>
      <c r="AO744" s="13">
        <f>IF(_epmOfflineCondition_,0,EPMSaveDataOnly(AB744,,AB$29,AB$25,AB$26,AB$31,AB$32,$AA$37,AO$14,AO$15,AO$16,AO$17,AO$18,X744))</f>
        <v/>
      </c>
      <c r="AP744" s="13">
        <f>IF(_epmOfflineCondition_,0,EPMSaveDataOnly(AL744,,AL$29,AL$25,AL$26,AL$31,AL$32,$AA$37,AP$14,AP$15,AP$16,AP$17,AP$18,$X744))</f>
        <v/>
      </c>
      <c r="AQ744" s="13">
        <f>IF(_epmOfflineCondition_,0,EPMSaveData(AM744,,AM$29,AM$25,AM$26,$C$6,AM$32,$AA$37,AQ$14,AQ$15,AQ$16,AQ$17,AQ$18,$X744))</f>
        <v/>
      </c>
      <c r="AR744" s="13">
        <f>IF(_epmOfflineCondition_,0,EPMSaveDataOnly(AN744,,AN$29,AN$25,AN$26,AN$31,AN$32,$AA$37,AR$14,AR$15,AR$16,AR$17,AR$18,$X744))</f>
        <v/>
      </c>
      <c r="AS744" s="384" t="n"/>
    </row>
    <row r="745" hidden="1" ht="15.75" customHeight="1" s="1181">
      <c r="A745" s="384" t="n"/>
      <c r="B745" s="384" t="n"/>
      <c r="C745" s="384" t="n"/>
      <c r="D745" s="384" t="n"/>
      <c r="E745" s="384" t="n"/>
      <c r="F745" s="384" t="n"/>
      <c r="G745" s="384" t="n"/>
      <c r="H745" s="384" t="n"/>
      <c r="I745" s="384" t="n"/>
      <c r="J745" s="384" t="n"/>
      <c r="K745" s="384" t="n"/>
      <c r="L745" s="384" t="n"/>
      <c r="M745" s="384" t="n"/>
      <c r="N745" s="384" t="n"/>
      <c r="O745" s="384" t="n"/>
      <c r="P745" s="384" t="n"/>
      <c r="Q745" s="384" t="n"/>
      <c r="R745" s="384" t="n"/>
      <c r="S745" s="384" t="n"/>
      <c r="T745" s="384" t="n"/>
      <c r="U745" s="384" t="n"/>
      <c r="V745" s="384" t="n"/>
      <c r="W745" s="384" t="n"/>
      <c r="X745" s="645">
        <f>IF(_epmOfflineCondition_,"I_E101064",EPMOlapMemberO("[C_INTERCO].[PARENTH1].[I_E101064]","","I_E101064","","000"))</f>
        <v/>
      </c>
      <c r="Y745" s="870">
        <f>IF(_epmOfflineCondition_,"朔州市平鲁区红沟风电有限公司",EPMMemberDesc(X745))</f>
        <v/>
      </c>
      <c r="Z745" s="1302" t="n"/>
      <c r="AA745" s="1302" t="n"/>
      <c r="AB745" s="858" t="n"/>
      <c r="AC745" s="1302" t="n"/>
      <c r="AD745" s="1302" t="n"/>
      <c r="AE745" s="1302" t="inlineStr"/>
      <c r="AF745" s="1302" t="inlineStr"/>
      <c r="AG745" s="1302" t="inlineStr"/>
      <c r="AH745" s="1302" t="n"/>
      <c r="AI745" s="1302" t="n"/>
      <c r="AJ745" s="1302" t="n"/>
      <c r="AK745" s="1302">
        <f>AI745-AJ745</f>
        <v/>
      </c>
      <c r="AL745" s="858" t="n"/>
      <c r="AM745" s="1297" t="inlineStr"/>
      <c r="AN745" s="1298" t="n"/>
      <c r="AO745" s="13">
        <f>IF(_epmOfflineCondition_,0,EPMSaveDataOnly(AB745,,AB$29,AB$25,AB$26,AB$31,AB$32,$AA$37,AO$14,AO$15,AO$16,AO$17,AO$18,X745))</f>
        <v/>
      </c>
      <c r="AP745" s="13">
        <f>IF(_epmOfflineCondition_,0,EPMSaveDataOnly(AL745,,AL$29,AL$25,AL$26,AL$31,AL$32,$AA$37,AP$14,AP$15,AP$16,AP$17,AP$18,$X745))</f>
        <v/>
      </c>
      <c r="AQ745" s="13">
        <f>IF(_epmOfflineCondition_,0,EPMSaveData(AM745,,AM$29,AM$25,AM$26,$C$6,AM$32,$AA$37,AQ$14,AQ$15,AQ$16,AQ$17,AQ$18,$X745))</f>
        <v/>
      </c>
      <c r="AR745" s="13">
        <f>IF(_epmOfflineCondition_,0,EPMSaveDataOnly(AN745,,AN$29,AN$25,AN$26,AN$31,AN$32,$AA$37,AR$14,AR$15,AR$16,AR$17,AR$18,$X745))</f>
        <v/>
      </c>
      <c r="AS745" s="384" t="n"/>
    </row>
    <row r="746" hidden="1" ht="15.75" customHeight="1" s="1181">
      <c r="A746" s="384" t="n"/>
      <c r="B746" s="384" t="n"/>
      <c r="C746" s="384" t="n"/>
      <c r="D746" s="384" t="n"/>
      <c r="E746" s="384" t="n"/>
      <c r="F746" s="384" t="n"/>
      <c r="G746" s="384" t="n"/>
      <c r="H746" s="384" t="n"/>
      <c r="I746" s="384" t="n"/>
      <c r="J746" s="384" t="n"/>
      <c r="K746" s="384" t="n"/>
      <c r="L746" s="384" t="n"/>
      <c r="M746" s="384" t="n"/>
      <c r="N746" s="384" t="n"/>
      <c r="O746" s="384" t="n"/>
      <c r="P746" s="384" t="n"/>
      <c r="Q746" s="384" t="n"/>
      <c r="R746" s="384" t="n"/>
      <c r="S746" s="384" t="n"/>
      <c r="T746" s="384" t="n"/>
      <c r="U746" s="384" t="n"/>
      <c r="V746" s="384" t="n"/>
      <c r="W746" s="384" t="n"/>
      <c r="X746" s="645">
        <f>IF(_epmOfflineCondition_,"I_E101065",EPMOlapMemberO("[C_INTERCO].[PARENTH1].[I_E101065]","","I_E101065","","000"))</f>
        <v/>
      </c>
      <c r="Y746" s="870">
        <f>IF(_epmOfflineCondition_,"河津市潞安毓华风力发电有限公司",EPMMemberDesc(X746))</f>
        <v/>
      </c>
      <c r="Z746" s="1302" t="n"/>
      <c r="AA746" s="1302" t="n"/>
      <c r="AB746" s="858" t="n"/>
      <c r="AC746" s="1302" t="n"/>
      <c r="AD746" s="1302" t="n"/>
      <c r="AE746" s="1302" t="inlineStr"/>
      <c r="AF746" s="1302" t="inlineStr"/>
      <c r="AG746" s="1302" t="inlineStr"/>
      <c r="AH746" s="1302" t="n"/>
      <c r="AI746" s="1302" t="n"/>
      <c r="AJ746" s="1302" t="n"/>
      <c r="AK746" s="1302">
        <f>AI746-AJ746</f>
        <v/>
      </c>
      <c r="AL746" s="858" t="n"/>
      <c r="AM746" s="1297" t="inlineStr"/>
      <c r="AN746" s="1298" t="n"/>
      <c r="AO746" s="13">
        <f>IF(_epmOfflineCondition_,0,EPMSaveDataOnly(AB746,,AB$29,AB$25,AB$26,AB$31,AB$32,$AA$37,AO$14,AO$15,AO$16,AO$17,AO$18,X746))</f>
        <v/>
      </c>
      <c r="AP746" s="13">
        <f>IF(_epmOfflineCondition_,0,EPMSaveDataOnly(AL746,,AL$29,AL$25,AL$26,AL$31,AL$32,$AA$37,AP$14,AP$15,AP$16,AP$17,AP$18,$X746))</f>
        <v/>
      </c>
      <c r="AQ746" s="13">
        <f>IF(_epmOfflineCondition_,0,EPMSaveData(AM746,,AM$29,AM$25,AM$26,$C$6,AM$32,$AA$37,AQ$14,AQ$15,AQ$16,AQ$17,AQ$18,$X746))</f>
        <v/>
      </c>
      <c r="AR746" s="13">
        <f>IF(_epmOfflineCondition_,0,EPMSaveDataOnly(AN746,,AN$29,AN$25,AN$26,AN$31,AN$32,$AA$37,AR$14,AR$15,AR$16,AR$17,AR$18,$X746))</f>
        <v/>
      </c>
      <c r="AS746" s="384" t="n"/>
    </row>
    <row r="747" hidden="1" ht="15.75" customHeight="1" s="1181">
      <c r="A747" s="384" t="n"/>
      <c r="B747" s="384" t="n"/>
      <c r="C747" s="384" t="n"/>
      <c r="D747" s="384" t="n"/>
      <c r="E747" s="384" t="n"/>
      <c r="F747" s="384" t="n"/>
      <c r="G747" s="384" t="n"/>
      <c r="H747" s="384" t="n"/>
      <c r="I747" s="384" t="n"/>
      <c r="J747" s="384" t="n"/>
      <c r="K747" s="384" t="n"/>
      <c r="L747" s="384" t="n"/>
      <c r="M747" s="384" t="n"/>
      <c r="N747" s="384" t="n"/>
      <c r="O747" s="384" t="n"/>
      <c r="P747" s="384" t="n"/>
      <c r="Q747" s="384" t="n"/>
      <c r="R747" s="384" t="n"/>
      <c r="S747" s="384" t="n"/>
      <c r="T747" s="384" t="n"/>
      <c r="U747" s="384" t="n"/>
      <c r="V747" s="384" t="n"/>
      <c r="W747" s="384" t="n"/>
      <c r="X747" s="645">
        <f>IF(_epmOfflineCondition_,"I_E101066",EPMOlapMemberO("[C_INTERCO].[PARENTH1].[I_E101066]","","I_E101066","","000"))</f>
        <v/>
      </c>
      <c r="Y747" s="870">
        <f>IF(_epmOfflineCondition_,"右玉县斯能风电有限公司",EPMMemberDesc(X747))</f>
        <v/>
      </c>
      <c r="Z747" s="1302" t="n"/>
      <c r="AA747" s="1302" t="n"/>
      <c r="AB747" s="858" t="n"/>
      <c r="AC747" s="1302" t="n"/>
      <c r="AD747" s="1302" t="n"/>
      <c r="AE747" s="1302" t="inlineStr"/>
      <c r="AF747" s="1302" t="inlineStr"/>
      <c r="AG747" s="1302" t="inlineStr"/>
      <c r="AH747" s="1302" t="n"/>
      <c r="AI747" s="1302" t="n"/>
      <c r="AJ747" s="1302" t="n"/>
      <c r="AK747" s="1302">
        <f>AI747-AJ747</f>
        <v/>
      </c>
      <c r="AL747" s="858" t="n"/>
      <c r="AM747" s="1297" t="inlineStr"/>
      <c r="AN747" s="1298" t="n"/>
      <c r="AO747" s="13">
        <f>IF(_epmOfflineCondition_,0,EPMSaveDataOnly(AB747,,AB$29,AB$25,AB$26,AB$31,AB$32,$AA$37,AO$14,AO$15,AO$16,AO$17,AO$18,X747))</f>
        <v/>
      </c>
      <c r="AP747" s="13">
        <f>IF(_epmOfflineCondition_,0,EPMSaveDataOnly(AL747,,AL$29,AL$25,AL$26,AL$31,AL$32,$AA$37,AP$14,AP$15,AP$16,AP$17,AP$18,$X747))</f>
        <v/>
      </c>
      <c r="AQ747" s="13">
        <f>IF(_epmOfflineCondition_,0,EPMSaveData(AM747,,AM$29,AM$25,AM$26,$C$6,AM$32,$AA$37,AQ$14,AQ$15,AQ$16,AQ$17,AQ$18,$X747))</f>
        <v/>
      </c>
      <c r="AR747" s="13">
        <f>IF(_epmOfflineCondition_,0,EPMSaveDataOnly(AN747,,AN$29,AN$25,AN$26,AN$31,AN$32,$AA$37,AR$14,AR$15,AR$16,AR$17,AR$18,$X747))</f>
        <v/>
      </c>
      <c r="AS747" s="384" t="n"/>
    </row>
    <row r="748" hidden="1" ht="15.75" customHeight="1" s="1181">
      <c r="A748" s="384" t="n"/>
      <c r="B748" s="384" t="n"/>
      <c r="C748" s="384" t="n"/>
      <c r="D748" s="384" t="n"/>
      <c r="E748" s="384" t="n"/>
      <c r="F748" s="384" t="n"/>
      <c r="G748" s="384" t="n"/>
      <c r="H748" s="384" t="n"/>
      <c r="I748" s="384" t="n"/>
      <c r="J748" s="384" t="n"/>
      <c r="K748" s="384" t="n"/>
      <c r="L748" s="384" t="n"/>
      <c r="M748" s="384" t="n"/>
      <c r="N748" s="384" t="n"/>
      <c r="O748" s="384" t="n"/>
      <c r="P748" s="384" t="n"/>
      <c r="Q748" s="384" t="n"/>
      <c r="R748" s="384" t="n"/>
      <c r="S748" s="384" t="n"/>
      <c r="T748" s="384" t="n"/>
      <c r="U748" s="384" t="n"/>
      <c r="V748" s="384" t="n"/>
      <c r="W748" s="384" t="n"/>
      <c r="X748" s="645">
        <f>IF(_epmOfflineCondition_,"I_E101067",EPMOlapMemberO("[C_INTERCO].[PARENTH1].[I_E101067]","","I_E101067","","000"))</f>
        <v/>
      </c>
      <c r="Y748" s="870">
        <f>IF(_epmOfflineCondition_,"京能（元江）新能源有限公司",EPMMemberDesc(X748))</f>
        <v/>
      </c>
      <c r="Z748" s="1302" t="n"/>
      <c r="AA748" s="1302" t="n"/>
      <c r="AB748" s="858" t="n"/>
      <c r="AC748" s="1302" t="n"/>
      <c r="AD748" s="1302" t="n"/>
      <c r="AE748" s="1302" t="inlineStr"/>
      <c r="AF748" s="1302" t="inlineStr"/>
      <c r="AG748" s="1302" t="inlineStr"/>
      <c r="AH748" s="1302" t="n"/>
      <c r="AI748" s="1302" t="n"/>
      <c r="AJ748" s="1302" t="n"/>
      <c r="AK748" s="1302">
        <f>AI748-AJ748</f>
        <v/>
      </c>
      <c r="AL748" s="858" t="n"/>
      <c r="AM748" s="1297" t="inlineStr"/>
      <c r="AN748" s="1298" t="n"/>
      <c r="AO748" s="13">
        <f>IF(_epmOfflineCondition_,0,EPMSaveDataOnly(AB748,,AB$29,AB$25,AB$26,AB$31,AB$32,$AA$37,AO$14,AO$15,AO$16,AO$17,AO$18,X748))</f>
        <v/>
      </c>
      <c r="AP748" s="13">
        <f>IF(_epmOfflineCondition_,0,EPMSaveDataOnly(AL748,,AL$29,AL$25,AL$26,AL$31,AL$32,$AA$37,AP$14,AP$15,AP$16,AP$17,AP$18,$X748))</f>
        <v/>
      </c>
      <c r="AQ748" s="13">
        <f>IF(_epmOfflineCondition_,0,EPMSaveData(AM748,,AM$29,AM$25,AM$26,$C$6,AM$32,$AA$37,AQ$14,AQ$15,AQ$16,AQ$17,AQ$18,$X748))</f>
        <v/>
      </c>
      <c r="AR748" s="13">
        <f>IF(_epmOfflineCondition_,0,EPMSaveDataOnly(AN748,,AN$29,AN$25,AN$26,AN$31,AN$32,$AA$37,AR$14,AR$15,AR$16,AR$17,AR$18,$X748))</f>
        <v/>
      </c>
      <c r="AS748" s="384" t="n"/>
    </row>
    <row r="749" hidden="1" ht="15.75" customHeight="1" s="1181">
      <c r="A749" s="384" t="n"/>
      <c r="B749" s="384" t="n"/>
      <c r="C749" s="384" t="n"/>
      <c r="D749" s="384" t="n"/>
      <c r="E749" s="384" t="n"/>
      <c r="F749" s="384" t="n"/>
      <c r="G749" s="384" t="n"/>
      <c r="H749" s="384" t="n"/>
      <c r="I749" s="384" t="n"/>
      <c r="J749" s="384" t="n"/>
      <c r="K749" s="384" t="n"/>
      <c r="L749" s="384" t="n"/>
      <c r="M749" s="384" t="n"/>
      <c r="N749" s="384" t="n"/>
      <c r="O749" s="384" t="n"/>
      <c r="P749" s="384" t="n"/>
      <c r="Q749" s="384" t="n"/>
      <c r="R749" s="384" t="n"/>
      <c r="S749" s="384" t="n"/>
      <c r="T749" s="384" t="n"/>
      <c r="U749" s="384" t="n"/>
      <c r="V749" s="384" t="n"/>
      <c r="W749" s="384" t="n"/>
      <c r="X749" s="645">
        <f>IF(_epmOfflineCondition_,"I_E101068",EPMOlapMemberO("[C_INTERCO].[PARENTH1].[I_E101068]","","I_E101068","","000"))</f>
        <v/>
      </c>
      <c r="Y749" s="870">
        <f>IF(_epmOfflineCondition_,"京姚（林州）新能源有限公司",EPMMemberDesc(X749))</f>
        <v/>
      </c>
      <c r="Z749" s="1302" t="n"/>
      <c r="AA749" s="1302" t="n"/>
      <c r="AB749" s="858" t="n"/>
      <c r="AC749" s="1302" t="n"/>
      <c r="AD749" s="1302" t="n"/>
      <c r="AE749" s="1302" t="inlineStr"/>
      <c r="AF749" s="1302" t="inlineStr"/>
      <c r="AG749" s="1302" t="inlineStr"/>
      <c r="AH749" s="1302" t="n"/>
      <c r="AI749" s="1302" t="n"/>
      <c r="AJ749" s="1302" t="n"/>
      <c r="AK749" s="1302">
        <f>AI749-AJ749</f>
        <v/>
      </c>
      <c r="AL749" s="858" t="n"/>
      <c r="AM749" s="1297" t="inlineStr"/>
      <c r="AN749" s="1298" t="n"/>
      <c r="AO749" s="13">
        <f>IF(_epmOfflineCondition_,0,EPMSaveDataOnly(AB749,,AB$29,AB$25,AB$26,AB$31,AB$32,$AA$37,AO$14,AO$15,AO$16,AO$17,AO$18,X749))</f>
        <v/>
      </c>
      <c r="AP749" s="13">
        <f>IF(_epmOfflineCondition_,0,EPMSaveDataOnly(AL749,,AL$29,AL$25,AL$26,AL$31,AL$32,$AA$37,AP$14,AP$15,AP$16,AP$17,AP$18,$X749))</f>
        <v/>
      </c>
      <c r="AQ749" s="13">
        <f>IF(_epmOfflineCondition_,0,EPMSaveData(AM749,,AM$29,AM$25,AM$26,$C$6,AM$32,$AA$37,AQ$14,AQ$15,AQ$16,AQ$17,AQ$18,$X749))</f>
        <v/>
      </c>
      <c r="AR749" s="13">
        <f>IF(_epmOfflineCondition_,0,EPMSaveDataOnly(AN749,,AN$29,AN$25,AN$26,AN$31,AN$32,$AA$37,AR$14,AR$15,AR$16,AR$17,AR$18,$X749))</f>
        <v/>
      </c>
      <c r="AS749" s="384" t="n"/>
    </row>
    <row r="750" hidden="1" ht="15.75" customHeight="1" s="1181">
      <c r="A750" s="384" t="n"/>
      <c r="B750" s="384" t="n"/>
      <c r="C750" s="384" t="n"/>
      <c r="D750" s="384" t="n"/>
      <c r="E750" s="384" t="n"/>
      <c r="F750" s="384" t="n"/>
      <c r="G750" s="384" t="n"/>
      <c r="H750" s="384" t="n"/>
      <c r="I750" s="384" t="n"/>
      <c r="J750" s="384" t="n"/>
      <c r="K750" s="384" t="n"/>
      <c r="L750" s="384" t="n"/>
      <c r="M750" s="384" t="n"/>
      <c r="N750" s="384" t="n"/>
      <c r="O750" s="384" t="n"/>
      <c r="P750" s="384" t="n"/>
      <c r="Q750" s="384" t="n"/>
      <c r="R750" s="384" t="n"/>
      <c r="S750" s="384" t="n"/>
      <c r="T750" s="384" t="n"/>
      <c r="U750" s="384" t="n"/>
      <c r="V750" s="384" t="n"/>
      <c r="W750" s="384" t="n"/>
      <c r="X750" s="645">
        <f>IF(_epmOfflineCondition_,"I_E101069",EPMOlapMemberO("[C_INTERCO].[PARENTH1].[I_E101069]","","I_E101069","","000"))</f>
        <v/>
      </c>
      <c r="Y750" s="870">
        <f>IF(_epmOfflineCondition_,"京藏（江达县）新能源有限公司",EPMMemberDesc(X750))</f>
        <v/>
      </c>
      <c r="Z750" s="1302" t="n"/>
      <c r="AA750" s="1302" t="n"/>
      <c r="AB750" s="858" t="n"/>
      <c r="AC750" s="1302" t="n"/>
      <c r="AD750" s="1302" t="n"/>
      <c r="AE750" s="1302" t="inlineStr"/>
      <c r="AF750" s="1302" t="inlineStr"/>
      <c r="AG750" s="1302" t="inlineStr"/>
      <c r="AH750" s="1302" t="n"/>
      <c r="AI750" s="1302" t="n"/>
      <c r="AJ750" s="1302" t="n"/>
      <c r="AK750" s="1302">
        <f>AI750-AJ750</f>
        <v/>
      </c>
      <c r="AL750" s="858" t="n"/>
      <c r="AM750" s="1297" t="inlineStr"/>
      <c r="AN750" s="1298" t="n"/>
      <c r="AO750" s="13">
        <f>IF(_epmOfflineCondition_,0,EPMSaveDataOnly(AB750,,AB$29,AB$25,AB$26,AB$31,AB$32,$AA$37,AO$14,AO$15,AO$16,AO$17,AO$18,X750))</f>
        <v/>
      </c>
      <c r="AP750" s="13">
        <f>IF(_epmOfflineCondition_,0,EPMSaveDataOnly(AL750,,AL$29,AL$25,AL$26,AL$31,AL$32,$AA$37,AP$14,AP$15,AP$16,AP$17,AP$18,$X750))</f>
        <v/>
      </c>
      <c r="AQ750" s="13">
        <f>IF(_epmOfflineCondition_,0,EPMSaveData(AM750,,AM$29,AM$25,AM$26,$C$6,AM$32,$AA$37,AQ$14,AQ$15,AQ$16,AQ$17,AQ$18,$X750))</f>
        <v/>
      </c>
      <c r="AR750" s="13">
        <f>IF(_epmOfflineCondition_,0,EPMSaveDataOnly(AN750,,AN$29,AN$25,AN$26,AN$31,AN$32,$AA$37,AR$14,AR$15,AR$16,AR$17,AR$18,$X750))</f>
        <v/>
      </c>
      <c r="AS750" s="384" t="n"/>
    </row>
    <row r="751" hidden="1" ht="15.75" customHeight="1" s="1181">
      <c r="A751" s="384" t="n"/>
      <c r="B751" s="384" t="n"/>
      <c r="C751" s="384" t="n"/>
      <c r="D751" s="384" t="n"/>
      <c r="E751" s="384" t="n"/>
      <c r="F751" s="384" t="n"/>
      <c r="G751" s="384" t="n"/>
      <c r="H751" s="384" t="n"/>
      <c r="I751" s="384" t="n"/>
      <c r="J751" s="384" t="n"/>
      <c r="K751" s="384" t="n"/>
      <c r="L751" s="384" t="n"/>
      <c r="M751" s="384" t="n"/>
      <c r="N751" s="384" t="n"/>
      <c r="O751" s="384" t="n"/>
      <c r="P751" s="384" t="n"/>
      <c r="Q751" s="384" t="n"/>
      <c r="R751" s="384" t="n"/>
      <c r="S751" s="384" t="n"/>
      <c r="T751" s="384" t="n"/>
      <c r="U751" s="384" t="n"/>
      <c r="V751" s="384" t="n"/>
      <c r="W751" s="384" t="n"/>
      <c r="X751" s="645">
        <f>IF(_epmOfflineCondition_,"I_E101070",EPMOlapMemberO("[C_INTERCO].[PARENTH1].[I_E101070]","","I_E101070","","000"))</f>
        <v/>
      </c>
      <c r="Y751" s="870">
        <f>IF(_epmOfflineCondition_,"深圳市前海毓华清洁能源投资有限公司",EPMMemberDesc(X751))</f>
        <v/>
      </c>
      <c r="Z751" s="1302" t="n"/>
      <c r="AA751" s="1302" t="n"/>
      <c r="AB751" s="858" t="n"/>
      <c r="AC751" s="1302" t="n"/>
      <c r="AD751" s="1302" t="n"/>
      <c r="AE751" s="1302" t="inlineStr"/>
      <c r="AF751" s="1302" t="inlineStr"/>
      <c r="AG751" s="1302" t="inlineStr"/>
      <c r="AH751" s="1302" t="n"/>
      <c r="AI751" s="1302" t="n"/>
      <c r="AJ751" s="1302" t="n"/>
      <c r="AK751" s="1302">
        <f>AI751-AJ751</f>
        <v/>
      </c>
      <c r="AL751" s="858" t="n"/>
      <c r="AM751" s="1297" t="inlineStr"/>
      <c r="AN751" s="1298" t="n"/>
      <c r="AO751" s="13">
        <f>IF(_epmOfflineCondition_,0,EPMSaveDataOnly(AB751,,AB$29,AB$25,AB$26,AB$31,AB$32,$AA$37,AO$14,AO$15,AO$16,AO$17,AO$18,X751))</f>
        <v/>
      </c>
      <c r="AP751" s="13">
        <f>IF(_epmOfflineCondition_,0,EPMSaveDataOnly(AL751,,AL$29,AL$25,AL$26,AL$31,AL$32,$AA$37,AP$14,AP$15,AP$16,AP$17,AP$18,$X751))</f>
        <v/>
      </c>
      <c r="AQ751" s="13">
        <f>IF(_epmOfflineCondition_,0,EPMSaveData(AM751,,AM$29,AM$25,AM$26,$C$6,AM$32,$AA$37,AQ$14,AQ$15,AQ$16,AQ$17,AQ$18,$X751))</f>
        <v/>
      </c>
      <c r="AR751" s="13">
        <f>IF(_epmOfflineCondition_,0,EPMSaveDataOnly(AN751,,AN$29,AN$25,AN$26,AN$31,AN$32,$AA$37,AR$14,AR$15,AR$16,AR$17,AR$18,$X751))</f>
        <v/>
      </c>
      <c r="AS751" s="384" t="n"/>
    </row>
    <row r="752" hidden="1" ht="15.75" customHeight="1" s="1181">
      <c r="A752" s="384" t="n"/>
      <c r="B752" s="384" t="n"/>
      <c r="C752" s="384" t="n"/>
      <c r="D752" s="384" t="n"/>
      <c r="E752" s="384" t="n"/>
      <c r="F752" s="384" t="n"/>
      <c r="G752" s="384" t="n"/>
      <c r="H752" s="384" t="n"/>
      <c r="I752" s="384" t="n"/>
      <c r="J752" s="384" t="n"/>
      <c r="K752" s="384" t="n"/>
      <c r="L752" s="384" t="n"/>
      <c r="M752" s="384" t="n"/>
      <c r="N752" s="384" t="n"/>
      <c r="O752" s="384" t="n"/>
      <c r="P752" s="384" t="n"/>
      <c r="Q752" s="384" t="n"/>
      <c r="R752" s="384" t="n"/>
      <c r="S752" s="384" t="n"/>
      <c r="T752" s="384" t="n"/>
      <c r="U752" s="384" t="n"/>
      <c r="V752" s="384" t="n"/>
      <c r="W752" s="384" t="n"/>
      <c r="X752" s="645">
        <f>IF(_epmOfflineCondition_,"I_E101071",EPMOlapMemberO("[C_INTERCO].[PARENTH1].[I_E101071]","","I_E101071","","000"))</f>
        <v/>
      </c>
      <c r="Y752" s="870">
        <f>IF(_epmOfflineCondition_,"京能（阳西）综合能源有限公司",EPMMemberDesc(X752))</f>
        <v/>
      </c>
      <c r="Z752" s="1302" t="n"/>
      <c r="AA752" s="1302" t="n"/>
      <c r="AB752" s="858" t="n"/>
      <c r="AC752" s="1302" t="n"/>
      <c r="AD752" s="1302" t="n"/>
      <c r="AE752" s="1302" t="inlineStr"/>
      <c r="AF752" s="1302" t="inlineStr"/>
      <c r="AG752" s="1302" t="inlineStr"/>
      <c r="AH752" s="1302" t="n"/>
      <c r="AI752" s="1302" t="n"/>
      <c r="AJ752" s="1302" t="n"/>
      <c r="AK752" s="1302">
        <f>AI752-AJ752</f>
        <v/>
      </c>
      <c r="AL752" s="858" t="n"/>
      <c r="AM752" s="1297" t="inlineStr"/>
      <c r="AN752" s="1298" t="n"/>
      <c r="AO752" s="13">
        <f>IF(_epmOfflineCondition_,0,EPMSaveDataOnly(AB752,,AB$29,AB$25,AB$26,AB$31,AB$32,$AA$37,AO$14,AO$15,AO$16,AO$17,AO$18,X752))</f>
        <v/>
      </c>
      <c r="AP752" s="13">
        <f>IF(_epmOfflineCondition_,0,EPMSaveDataOnly(AL752,,AL$29,AL$25,AL$26,AL$31,AL$32,$AA$37,AP$14,AP$15,AP$16,AP$17,AP$18,$X752))</f>
        <v/>
      </c>
      <c r="AQ752" s="13">
        <f>IF(_epmOfflineCondition_,0,EPMSaveData(AM752,,AM$29,AM$25,AM$26,$C$6,AM$32,$AA$37,AQ$14,AQ$15,AQ$16,AQ$17,AQ$18,$X752))</f>
        <v/>
      </c>
      <c r="AR752" s="13">
        <f>IF(_epmOfflineCondition_,0,EPMSaveDataOnly(AN752,,AN$29,AN$25,AN$26,AN$31,AN$32,$AA$37,AR$14,AR$15,AR$16,AR$17,AR$18,$X752))</f>
        <v/>
      </c>
      <c r="AS752" s="384" t="n"/>
    </row>
    <row r="753" hidden="1" ht="15.75" customHeight="1" s="1181">
      <c r="A753" s="384" t="n"/>
      <c r="B753" s="384" t="n"/>
      <c r="C753" s="384" t="n"/>
      <c r="D753" s="384" t="n"/>
      <c r="E753" s="384" t="n"/>
      <c r="F753" s="384" t="n"/>
      <c r="G753" s="384" t="n"/>
      <c r="H753" s="384" t="n"/>
      <c r="I753" s="384" t="n"/>
      <c r="J753" s="384" t="n"/>
      <c r="K753" s="384" t="n"/>
      <c r="L753" s="384" t="n"/>
      <c r="M753" s="384" t="n"/>
      <c r="N753" s="384" t="n"/>
      <c r="O753" s="384" t="n"/>
      <c r="P753" s="384" t="n"/>
      <c r="Q753" s="384" t="n"/>
      <c r="R753" s="384" t="n"/>
      <c r="S753" s="384" t="n"/>
      <c r="T753" s="384" t="n"/>
      <c r="U753" s="384" t="n"/>
      <c r="V753" s="384" t="n"/>
      <c r="W753" s="384" t="n"/>
      <c r="X753" s="645">
        <f>IF(_epmOfflineCondition_,"I_E101072",EPMOlapMemberO("[C_INTERCO].[PARENTH1].[I_E101072]","","I_E101072","","000"))</f>
        <v/>
      </c>
      <c r="Y753" s="870">
        <f>IF(_epmOfflineCondition_,"吉林卓朗新能源有限公司",EPMMemberDesc(X753))</f>
        <v/>
      </c>
      <c r="Z753" s="1302" t="n"/>
      <c r="AA753" s="1302" t="n"/>
      <c r="AB753" s="858" t="n"/>
      <c r="AC753" s="1302" t="n"/>
      <c r="AD753" s="1302" t="n"/>
      <c r="AE753" s="1302" t="inlineStr"/>
      <c r="AF753" s="1302" t="inlineStr"/>
      <c r="AG753" s="1302" t="inlineStr"/>
      <c r="AH753" s="1302" t="n"/>
      <c r="AI753" s="1302" t="n"/>
      <c r="AJ753" s="1302" t="n"/>
      <c r="AK753" s="1302">
        <f>AI753-AJ753</f>
        <v/>
      </c>
      <c r="AL753" s="858" t="n"/>
      <c r="AM753" s="1297" t="inlineStr"/>
      <c r="AN753" s="1298" t="n"/>
      <c r="AO753" s="13">
        <f>IF(_epmOfflineCondition_,0,EPMSaveDataOnly(AB753,,AB$29,AB$25,AB$26,AB$31,AB$32,$AA$37,AO$14,AO$15,AO$16,AO$17,AO$18,X753))</f>
        <v/>
      </c>
      <c r="AP753" s="13">
        <f>IF(_epmOfflineCondition_,0,EPMSaveDataOnly(AL753,,AL$29,AL$25,AL$26,AL$31,AL$32,$AA$37,AP$14,AP$15,AP$16,AP$17,AP$18,$X753))</f>
        <v/>
      </c>
      <c r="AQ753" s="13">
        <f>IF(_epmOfflineCondition_,0,EPMSaveData(AM753,,AM$29,AM$25,AM$26,$C$6,AM$32,$AA$37,AQ$14,AQ$15,AQ$16,AQ$17,AQ$18,$X753))</f>
        <v/>
      </c>
      <c r="AR753" s="13">
        <f>IF(_epmOfflineCondition_,0,EPMSaveDataOnly(AN753,,AN$29,AN$25,AN$26,AN$31,AN$32,$AA$37,AR$14,AR$15,AR$16,AR$17,AR$18,$X753))</f>
        <v/>
      </c>
      <c r="AS753" s="384" t="n"/>
    </row>
    <row r="754" hidden="1" ht="15.75" customHeight="1" s="1181">
      <c r="A754" s="384" t="n"/>
      <c r="B754" s="384" t="n"/>
      <c r="C754" s="384" t="n"/>
      <c r="D754" s="384" t="n"/>
      <c r="E754" s="384" t="n"/>
      <c r="F754" s="384" t="n"/>
      <c r="G754" s="384" t="n"/>
      <c r="H754" s="384" t="n"/>
      <c r="I754" s="384" t="n"/>
      <c r="J754" s="384" t="n"/>
      <c r="K754" s="384" t="n"/>
      <c r="L754" s="384" t="n"/>
      <c r="M754" s="384" t="n"/>
      <c r="N754" s="384" t="n"/>
      <c r="O754" s="384" t="n"/>
      <c r="P754" s="384" t="n"/>
      <c r="Q754" s="384" t="n"/>
      <c r="R754" s="384" t="n"/>
      <c r="S754" s="384" t="n"/>
      <c r="T754" s="384" t="n"/>
      <c r="U754" s="384" t="n"/>
      <c r="V754" s="384" t="n"/>
      <c r="W754" s="384" t="n"/>
      <c r="X754" s="645">
        <f>IF(_epmOfflineCondition_,"I_E101074",EPMOlapMemberO("[C_INTERCO].[PARENTH1].[I_E101074]","","I_E101074","","000"))</f>
        <v/>
      </c>
      <c r="Y754" s="870">
        <f>IF(_epmOfflineCondition_,"南京安晟新能源有限公司",EPMMemberDesc(X754))</f>
        <v/>
      </c>
      <c r="Z754" s="1302" t="n"/>
      <c r="AA754" s="1302" t="n"/>
      <c r="AB754" s="858" t="n"/>
      <c r="AC754" s="1302" t="n"/>
      <c r="AD754" s="1302" t="n"/>
      <c r="AE754" s="1302" t="inlineStr"/>
      <c r="AF754" s="1302" t="inlineStr"/>
      <c r="AG754" s="1302" t="inlineStr"/>
      <c r="AH754" s="1302" t="n"/>
      <c r="AI754" s="1302" t="n"/>
      <c r="AJ754" s="1302" t="n"/>
      <c r="AK754" s="1302">
        <f>AI754-AJ754</f>
        <v/>
      </c>
      <c r="AL754" s="858" t="n"/>
      <c r="AM754" s="1297" t="inlineStr"/>
      <c r="AN754" s="1298" t="n"/>
      <c r="AO754" s="13">
        <f>IF(_epmOfflineCondition_,0,EPMSaveDataOnly(AB754,,AB$29,AB$25,AB$26,AB$31,AB$32,$AA$37,AO$14,AO$15,AO$16,AO$17,AO$18,X754))</f>
        <v/>
      </c>
      <c r="AP754" s="13">
        <f>IF(_epmOfflineCondition_,0,EPMSaveDataOnly(AL754,,AL$29,AL$25,AL$26,AL$31,AL$32,$AA$37,AP$14,AP$15,AP$16,AP$17,AP$18,$X754))</f>
        <v/>
      </c>
      <c r="AQ754" s="13">
        <f>IF(_epmOfflineCondition_,0,EPMSaveData(AM754,,AM$29,AM$25,AM$26,$C$6,AM$32,$AA$37,AQ$14,AQ$15,AQ$16,AQ$17,AQ$18,$X754))</f>
        <v/>
      </c>
      <c r="AR754" s="13">
        <f>IF(_epmOfflineCondition_,0,EPMSaveDataOnly(AN754,,AN$29,AN$25,AN$26,AN$31,AN$32,$AA$37,AR$14,AR$15,AR$16,AR$17,AR$18,$X754))</f>
        <v/>
      </c>
      <c r="AS754" s="384" t="n"/>
    </row>
    <row r="755" hidden="1" ht="15.75" customHeight="1" s="1181">
      <c r="A755" s="384" t="n"/>
      <c r="B755" s="384" t="n"/>
      <c r="C755" s="384" t="n"/>
      <c r="D755" s="384" t="n"/>
      <c r="E755" s="384" t="n"/>
      <c r="F755" s="384" t="n"/>
      <c r="G755" s="384" t="n"/>
      <c r="H755" s="384" t="n"/>
      <c r="I755" s="384" t="n"/>
      <c r="J755" s="384" t="n"/>
      <c r="K755" s="384" t="n"/>
      <c r="L755" s="384" t="n"/>
      <c r="M755" s="384" t="n"/>
      <c r="N755" s="384" t="n"/>
      <c r="O755" s="384" t="n"/>
      <c r="P755" s="384" t="n"/>
      <c r="Q755" s="384" t="n"/>
      <c r="R755" s="384" t="n"/>
      <c r="S755" s="384" t="n"/>
      <c r="T755" s="384" t="n"/>
      <c r="U755" s="384" t="n"/>
      <c r="V755" s="384" t="n"/>
      <c r="W755" s="384" t="n"/>
      <c r="X755" s="645">
        <f>IF(_epmOfflineCondition_,"I_E101075",EPMOlapMemberO("[C_INTERCO].[PARENTH1].[I_E101075]","","I_E101075","","000"))</f>
        <v/>
      </c>
      <c r="Y755" s="870">
        <f>IF(_epmOfflineCondition_,"兰西晟晖发电有限公司",EPMMemberDesc(X755))</f>
        <v/>
      </c>
      <c r="Z755" s="1302" t="n"/>
      <c r="AA755" s="1302" t="n"/>
      <c r="AB755" s="858" t="n"/>
      <c r="AC755" s="1302" t="n"/>
      <c r="AD755" s="1302" t="n"/>
      <c r="AE755" s="1302" t="inlineStr"/>
      <c r="AF755" s="1302" t="inlineStr"/>
      <c r="AG755" s="1302" t="inlineStr"/>
      <c r="AH755" s="1302" t="n"/>
      <c r="AI755" s="1302" t="n"/>
      <c r="AJ755" s="1302" t="n"/>
      <c r="AK755" s="1302">
        <f>AI755-AJ755</f>
        <v/>
      </c>
      <c r="AL755" s="858" t="n"/>
      <c r="AM755" s="1297" t="inlineStr"/>
      <c r="AN755" s="1298" t="n"/>
      <c r="AO755" s="13">
        <f>IF(_epmOfflineCondition_,0,EPMSaveDataOnly(AB755,,AB$29,AB$25,AB$26,AB$31,AB$32,$AA$37,AO$14,AO$15,AO$16,AO$17,AO$18,X755))</f>
        <v/>
      </c>
      <c r="AP755" s="13">
        <f>IF(_epmOfflineCondition_,0,EPMSaveDataOnly(AL755,,AL$29,AL$25,AL$26,AL$31,AL$32,$AA$37,AP$14,AP$15,AP$16,AP$17,AP$18,$X755))</f>
        <v/>
      </c>
      <c r="AQ755" s="13">
        <f>IF(_epmOfflineCondition_,0,EPMSaveData(AM755,,AM$29,AM$25,AM$26,$C$6,AM$32,$AA$37,AQ$14,AQ$15,AQ$16,AQ$17,AQ$18,$X755))</f>
        <v/>
      </c>
      <c r="AR755" s="13">
        <f>IF(_epmOfflineCondition_,0,EPMSaveDataOnly(AN755,,AN$29,AN$25,AN$26,AN$31,AN$32,$AA$37,AR$14,AR$15,AR$16,AR$17,AR$18,$X755))</f>
        <v/>
      </c>
      <c r="AS755" s="384" t="n"/>
    </row>
    <row r="756" hidden="1" ht="15.75" customHeight="1" s="1181">
      <c r="A756" s="384" t="n"/>
      <c r="B756" s="384" t="n"/>
      <c r="C756" s="384" t="n"/>
      <c r="D756" s="384" t="n"/>
      <c r="E756" s="384" t="n"/>
      <c r="F756" s="384" t="n"/>
      <c r="G756" s="384" t="n"/>
      <c r="H756" s="384" t="n"/>
      <c r="I756" s="384" t="n"/>
      <c r="J756" s="384" t="n"/>
      <c r="K756" s="384" t="n"/>
      <c r="L756" s="384" t="n"/>
      <c r="M756" s="384" t="n"/>
      <c r="N756" s="384" t="n"/>
      <c r="O756" s="384" t="n"/>
      <c r="P756" s="384" t="n"/>
      <c r="Q756" s="384" t="n"/>
      <c r="R756" s="384" t="n"/>
      <c r="S756" s="384" t="n"/>
      <c r="T756" s="384" t="n"/>
      <c r="U756" s="384" t="n"/>
      <c r="V756" s="384" t="n"/>
      <c r="W756" s="384" t="n"/>
      <c r="X756" s="645">
        <f>IF(_epmOfflineCondition_,"I_E101076",EPMOlapMemberO("[C_INTERCO].[PARENTH1].[I_E101076]","","I_E101076","","000"))</f>
        <v/>
      </c>
      <c r="Y756" s="870">
        <f>IF(_epmOfflineCondition_,"京能胜科（海南）国际能源有限公司",EPMMemberDesc(X756))</f>
        <v/>
      </c>
      <c r="Z756" s="1302" t="n"/>
      <c r="AA756" s="1302" t="n"/>
      <c r="AB756" s="858" t="n"/>
      <c r="AC756" s="1302" t="n"/>
      <c r="AD756" s="1302" t="n"/>
      <c r="AE756" s="1302" t="inlineStr"/>
      <c r="AF756" s="1302" t="inlineStr"/>
      <c r="AG756" s="1302" t="inlineStr"/>
      <c r="AH756" s="1302" t="n"/>
      <c r="AI756" s="1302" t="n"/>
      <c r="AJ756" s="1302" t="n"/>
      <c r="AK756" s="1302">
        <f>AI756-AJ756</f>
        <v/>
      </c>
      <c r="AL756" s="858" t="n"/>
      <c r="AM756" s="1297" t="inlineStr"/>
      <c r="AN756" s="1298" t="n"/>
      <c r="AO756" s="13">
        <f>IF(_epmOfflineCondition_,0,EPMSaveDataOnly(AB756,,AB$29,AB$25,AB$26,AB$31,AB$32,$AA$37,AO$14,AO$15,AO$16,AO$17,AO$18,X756))</f>
        <v/>
      </c>
      <c r="AP756" s="13">
        <f>IF(_epmOfflineCondition_,0,EPMSaveDataOnly(AL756,,AL$29,AL$25,AL$26,AL$31,AL$32,$AA$37,AP$14,AP$15,AP$16,AP$17,AP$18,$X756))</f>
        <v/>
      </c>
      <c r="AQ756" s="13">
        <f>IF(_epmOfflineCondition_,0,EPMSaveData(AM756,,AM$29,AM$25,AM$26,$C$6,AM$32,$AA$37,AQ$14,AQ$15,AQ$16,AQ$17,AQ$18,$X756))</f>
        <v/>
      </c>
      <c r="AR756" s="13">
        <f>IF(_epmOfflineCondition_,0,EPMSaveDataOnly(AN756,,AN$29,AN$25,AN$26,AN$31,AN$32,$AA$37,AR$14,AR$15,AR$16,AR$17,AR$18,$X756))</f>
        <v/>
      </c>
      <c r="AS756" s="384" t="n"/>
    </row>
    <row r="757" hidden="1" ht="15.75" customHeight="1" s="1181">
      <c r="A757" s="384" t="n"/>
      <c r="B757" s="384" t="n"/>
      <c r="C757" s="384" t="n"/>
      <c r="D757" s="384" t="n"/>
      <c r="E757" s="384" t="n"/>
      <c r="F757" s="384" t="n"/>
      <c r="G757" s="384" t="n"/>
      <c r="H757" s="384" t="n"/>
      <c r="I757" s="384" t="n"/>
      <c r="J757" s="384" t="n"/>
      <c r="K757" s="384" t="n"/>
      <c r="L757" s="384" t="n"/>
      <c r="M757" s="384" t="n"/>
      <c r="N757" s="384" t="n"/>
      <c r="O757" s="384" t="n"/>
      <c r="P757" s="384" t="n"/>
      <c r="Q757" s="384" t="n"/>
      <c r="R757" s="384" t="n"/>
      <c r="S757" s="384" t="n"/>
      <c r="T757" s="384" t="n"/>
      <c r="U757" s="384" t="n"/>
      <c r="V757" s="384" t="n"/>
      <c r="W757" s="384" t="n"/>
      <c r="X757" s="645">
        <f>IF(_epmOfflineCondition_,"I_E101132",EPMOlapMemberO("[C_INTERCO].[PARENTH1].[I_E101132]","","I_E101132","","000"))</f>
        <v/>
      </c>
      <c r="Y757" s="870">
        <f>IF(_epmOfflineCondition_,"内蒙古京能岱海新能源有限公司",EPMMemberDesc(X757))</f>
        <v/>
      </c>
      <c r="Z757" s="1302" t="n"/>
      <c r="AA757" s="1302" t="n"/>
      <c r="AB757" s="858" t="n"/>
      <c r="AC757" s="1302" t="n"/>
      <c r="AD757" s="1302" t="n"/>
      <c r="AE757" s="1302" t="inlineStr"/>
      <c r="AF757" s="1302" t="inlineStr"/>
      <c r="AG757" s="1302" t="inlineStr"/>
      <c r="AH757" s="1302" t="n"/>
      <c r="AI757" s="1302" t="n"/>
      <c r="AJ757" s="1302" t="n"/>
      <c r="AK757" s="1302">
        <f>AI757-AJ757</f>
        <v/>
      </c>
      <c r="AL757" s="858" t="n"/>
      <c r="AM757" s="1297" t="inlineStr"/>
      <c r="AN757" s="1298" t="n"/>
      <c r="AO757" s="13">
        <f>IF(_epmOfflineCondition_,0,EPMSaveDataOnly(AB757,,AB$29,AB$25,AB$26,AB$31,AB$32,$AA$37,AO$14,AO$15,AO$16,AO$17,AO$18,X757))</f>
        <v/>
      </c>
      <c r="AP757" s="13">
        <f>IF(_epmOfflineCondition_,0,EPMSaveDataOnly(AL757,,AL$29,AL$25,AL$26,AL$31,AL$32,$AA$37,AP$14,AP$15,AP$16,AP$17,AP$18,$X757))</f>
        <v/>
      </c>
      <c r="AQ757" s="13">
        <f>IF(_epmOfflineCondition_,0,EPMSaveData(AM757,,AM$29,AM$25,AM$26,$C$6,AM$32,$AA$37,AQ$14,AQ$15,AQ$16,AQ$17,AQ$18,$X757))</f>
        <v/>
      </c>
      <c r="AR757" s="13">
        <f>IF(_epmOfflineCondition_,0,EPMSaveDataOnly(AN757,,AN$29,AN$25,AN$26,AN$31,AN$32,$AA$37,AR$14,AR$15,AR$16,AR$17,AR$18,$X757))</f>
        <v/>
      </c>
      <c r="AS757" s="384" t="n"/>
    </row>
    <row r="758" hidden="1" ht="15.75" customHeight="1" s="1181">
      <c r="A758" s="384" t="n"/>
      <c r="B758" s="384" t="n"/>
      <c r="C758" s="384" t="n"/>
      <c r="D758" s="384" t="n"/>
      <c r="E758" s="384" t="n"/>
      <c r="F758" s="384" t="n"/>
      <c r="G758" s="384" t="n"/>
      <c r="H758" s="384" t="n"/>
      <c r="I758" s="384" t="n"/>
      <c r="J758" s="384" t="n"/>
      <c r="K758" s="384" t="n"/>
      <c r="L758" s="384" t="n"/>
      <c r="M758" s="384" t="n"/>
      <c r="N758" s="384" t="n"/>
      <c r="O758" s="384" t="n"/>
      <c r="P758" s="384" t="n"/>
      <c r="Q758" s="384" t="n"/>
      <c r="R758" s="384" t="n"/>
      <c r="S758" s="384" t="n"/>
      <c r="T758" s="384" t="n"/>
      <c r="U758" s="384" t="n"/>
      <c r="V758" s="384" t="n"/>
      <c r="W758" s="384" t="n"/>
      <c r="X758" s="645">
        <f>IF(_epmOfflineCondition_,"I_E101134",EPMOlapMemberO("[C_INTERCO].[PARENTH1].[I_E101134]","","I_E101134","","000"))</f>
        <v/>
      </c>
      <c r="Y758" s="870">
        <f>IF(_epmOfflineCondition_,"宜春京能清洁能源有限公司",EPMMemberDesc(X758))</f>
        <v/>
      </c>
      <c r="Z758" s="1302" t="n"/>
      <c r="AA758" s="1302" t="n"/>
      <c r="AB758" s="858" t="n"/>
      <c r="AC758" s="1302" t="n"/>
      <c r="AD758" s="1302" t="n"/>
      <c r="AE758" s="1302" t="inlineStr"/>
      <c r="AF758" s="1302" t="inlineStr"/>
      <c r="AG758" s="1302" t="inlineStr"/>
      <c r="AH758" s="1302" t="n"/>
      <c r="AI758" s="1302" t="n"/>
      <c r="AJ758" s="1302" t="n"/>
      <c r="AK758" s="1302">
        <f>AI758-AJ758</f>
        <v/>
      </c>
      <c r="AL758" s="858" t="n"/>
      <c r="AM758" s="1297" t="inlineStr"/>
      <c r="AN758" s="1298" t="n"/>
      <c r="AO758" s="13">
        <f>IF(_epmOfflineCondition_,0,EPMSaveDataOnly(AB758,,AB$29,AB$25,AB$26,AB$31,AB$32,$AA$37,AO$14,AO$15,AO$16,AO$17,AO$18,X758))</f>
        <v/>
      </c>
      <c r="AP758" s="13">
        <f>IF(_epmOfflineCondition_,0,EPMSaveDataOnly(AL758,,AL$29,AL$25,AL$26,AL$31,AL$32,$AA$37,AP$14,AP$15,AP$16,AP$17,AP$18,$X758))</f>
        <v/>
      </c>
      <c r="AQ758" s="13">
        <f>IF(_epmOfflineCondition_,0,EPMSaveData(AM758,,AM$29,AM$25,AM$26,$C$6,AM$32,$AA$37,AQ$14,AQ$15,AQ$16,AQ$17,AQ$18,$X758))</f>
        <v/>
      </c>
      <c r="AR758" s="13">
        <f>IF(_epmOfflineCondition_,0,EPMSaveDataOnly(AN758,,AN$29,AN$25,AN$26,AN$31,AN$32,$AA$37,AR$14,AR$15,AR$16,AR$17,AR$18,$X758))</f>
        <v/>
      </c>
      <c r="AS758" s="384" t="n"/>
    </row>
    <row r="759" hidden="1" ht="15.75" customHeight="1" s="1181">
      <c r="A759" s="384" t="n"/>
      <c r="B759" s="384" t="n"/>
      <c r="C759" s="384" t="n"/>
      <c r="D759" s="384" t="n"/>
      <c r="E759" s="384" t="n"/>
      <c r="F759" s="384" t="n"/>
      <c r="G759" s="384" t="n"/>
      <c r="H759" s="384" t="n"/>
      <c r="I759" s="384" t="n"/>
      <c r="J759" s="384" t="n"/>
      <c r="K759" s="384" t="n"/>
      <c r="L759" s="384" t="n"/>
      <c r="M759" s="384" t="n"/>
      <c r="N759" s="384" t="n"/>
      <c r="O759" s="384" t="n"/>
      <c r="P759" s="384" t="n"/>
      <c r="Q759" s="384" t="n"/>
      <c r="R759" s="384" t="n"/>
      <c r="S759" s="384" t="n"/>
      <c r="T759" s="384" t="n"/>
      <c r="U759" s="384" t="n"/>
      <c r="V759" s="384" t="n"/>
      <c r="W759" s="384" t="n"/>
      <c r="X759" s="645">
        <f>IF(_epmOfflineCondition_,"I_E101135",EPMOlapMemberO("[C_INTERCO].[PARENTH1].[I_E101135]","","I_E101135","","000"))</f>
        <v/>
      </c>
      <c r="Y759" s="870">
        <f>IF(_epmOfflineCondition_,"山西鑫华源智能立体停车设备制造有限责任公司",EPMMemberDesc(X759))</f>
        <v/>
      </c>
      <c r="Z759" s="1302" t="n"/>
      <c r="AA759" s="1302" t="n"/>
      <c r="AB759" s="858" t="n"/>
      <c r="AC759" s="1302" t="n"/>
      <c r="AD759" s="1302" t="n"/>
      <c r="AE759" s="1302" t="inlineStr"/>
      <c r="AF759" s="1302" t="inlineStr"/>
      <c r="AG759" s="1302" t="inlineStr"/>
      <c r="AH759" s="1302" t="n"/>
      <c r="AI759" s="1302" t="n"/>
      <c r="AJ759" s="1302" t="n"/>
      <c r="AK759" s="1302">
        <f>AI759-AJ759</f>
        <v/>
      </c>
      <c r="AL759" s="858" t="n"/>
      <c r="AM759" s="1297" t="inlineStr"/>
      <c r="AN759" s="1298" t="n"/>
      <c r="AO759" s="13">
        <f>IF(_epmOfflineCondition_,0,EPMSaveDataOnly(AB759,,AB$29,AB$25,AB$26,AB$31,AB$32,$AA$37,AO$14,AO$15,AO$16,AO$17,AO$18,X759))</f>
        <v/>
      </c>
      <c r="AP759" s="13">
        <f>IF(_epmOfflineCondition_,0,EPMSaveDataOnly(AL759,,AL$29,AL$25,AL$26,AL$31,AL$32,$AA$37,AP$14,AP$15,AP$16,AP$17,AP$18,$X759))</f>
        <v/>
      </c>
      <c r="AQ759" s="13">
        <f>IF(_epmOfflineCondition_,0,EPMSaveData(AM759,,AM$29,AM$25,AM$26,$C$6,AM$32,$AA$37,AQ$14,AQ$15,AQ$16,AQ$17,AQ$18,$X759))</f>
        <v/>
      </c>
      <c r="AR759" s="13">
        <f>IF(_epmOfflineCondition_,0,EPMSaveDataOnly(AN759,,AN$29,AN$25,AN$26,AN$31,AN$32,$AA$37,AR$14,AR$15,AR$16,AR$17,AR$18,$X759))</f>
        <v/>
      </c>
      <c r="AS759" s="384" t="n"/>
    </row>
    <row r="760" hidden="1" ht="15.75" customHeight="1" s="1181">
      <c r="A760" s="384" t="n"/>
      <c r="B760" s="384" t="n"/>
      <c r="C760" s="384" t="n"/>
      <c r="D760" s="384" t="n"/>
      <c r="E760" s="384" t="n"/>
      <c r="F760" s="384" t="n"/>
      <c r="G760" s="384" t="n"/>
      <c r="H760" s="384" t="n"/>
      <c r="I760" s="384" t="n"/>
      <c r="J760" s="384" t="n"/>
      <c r="K760" s="384" t="n"/>
      <c r="L760" s="384" t="n"/>
      <c r="M760" s="384" t="n"/>
      <c r="N760" s="384" t="n"/>
      <c r="O760" s="384" t="n"/>
      <c r="P760" s="384" t="n"/>
      <c r="Q760" s="384" t="n"/>
      <c r="R760" s="384" t="n"/>
      <c r="S760" s="384" t="n"/>
      <c r="T760" s="384" t="n"/>
      <c r="U760" s="384" t="n"/>
      <c r="V760" s="384" t="n"/>
      <c r="W760" s="384" t="n"/>
      <c r="X760" s="645">
        <f>IF(_epmOfflineCondition_,"I_E101139",EPMOlapMemberO("[C_INTERCO].[PARENTH1].[I_E101139]","","I_E101139","","000"))</f>
        <v/>
      </c>
      <c r="Y760" s="870">
        <f>IF(_epmOfflineCondition_,"天创科技发展有限公司",EPMMemberDesc(X760))</f>
        <v/>
      </c>
      <c r="Z760" s="1302" t="n"/>
      <c r="AA760" s="1302" t="n"/>
      <c r="AB760" s="858" t="n"/>
      <c r="AC760" s="1302" t="n"/>
      <c r="AD760" s="1302" t="n"/>
      <c r="AE760" s="1302" t="inlineStr"/>
      <c r="AF760" s="1302" t="inlineStr"/>
      <c r="AG760" s="1302" t="inlineStr"/>
      <c r="AH760" s="1302" t="n"/>
      <c r="AI760" s="1302" t="n"/>
      <c r="AJ760" s="1302" t="n"/>
      <c r="AK760" s="1302">
        <f>AI760-AJ760</f>
        <v/>
      </c>
      <c r="AL760" s="858" t="n"/>
      <c r="AM760" s="1297" t="inlineStr"/>
      <c r="AN760" s="1298" t="n"/>
      <c r="AO760" s="13">
        <f>IF(_epmOfflineCondition_,0,EPMSaveDataOnly(AB760,,AB$29,AB$25,AB$26,AB$31,AB$32,$AA$37,AO$14,AO$15,AO$16,AO$17,AO$18,X760))</f>
        <v/>
      </c>
      <c r="AP760" s="13">
        <f>IF(_epmOfflineCondition_,0,EPMSaveDataOnly(AL760,,AL$29,AL$25,AL$26,AL$31,AL$32,$AA$37,AP$14,AP$15,AP$16,AP$17,AP$18,$X760))</f>
        <v/>
      </c>
      <c r="AQ760" s="13">
        <f>IF(_epmOfflineCondition_,0,EPMSaveData(AM760,,AM$29,AM$25,AM$26,$C$6,AM$32,$AA$37,AQ$14,AQ$15,AQ$16,AQ$17,AQ$18,$X760))</f>
        <v/>
      </c>
      <c r="AR760" s="13">
        <f>IF(_epmOfflineCondition_,0,EPMSaveDataOnly(AN760,,AN$29,AN$25,AN$26,AN$31,AN$32,$AA$37,AR$14,AR$15,AR$16,AR$17,AR$18,$X760))</f>
        <v/>
      </c>
      <c r="AS760" s="384" t="n"/>
    </row>
    <row r="761" hidden="1" ht="15.75" customHeight="1" s="1181">
      <c r="A761" s="384" t="n"/>
      <c r="B761" s="384" t="n"/>
      <c r="C761" s="384" t="n"/>
      <c r="D761" s="384" t="n"/>
      <c r="E761" s="384" t="n"/>
      <c r="F761" s="384" t="n"/>
      <c r="G761" s="384" t="n"/>
      <c r="H761" s="384" t="n"/>
      <c r="I761" s="384" t="n"/>
      <c r="J761" s="384" t="n"/>
      <c r="K761" s="384" t="n"/>
      <c r="L761" s="384" t="n"/>
      <c r="M761" s="384" t="n"/>
      <c r="N761" s="384" t="n"/>
      <c r="O761" s="384" t="n"/>
      <c r="P761" s="384" t="n"/>
      <c r="Q761" s="384" t="n"/>
      <c r="R761" s="384" t="n"/>
      <c r="S761" s="384" t="n"/>
      <c r="T761" s="384" t="n"/>
      <c r="U761" s="384" t="n"/>
      <c r="V761" s="384" t="n"/>
      <c r="W761" s="384" t="n"/>
      <c r="X761" s="645">
        <f>IF(_epmOfflineCondition_,"I_E101136",EPMOlapMemberO("[C_INTERCO].[PARENTH1].[I_E101136]","","I_E101136","","000"))</f>
        <v/>
      </c>
      <c r="Y761" s="870">
        <f>IF(_epmOfflineCondition_,"北京市石景山区老年福养老服务中心",EPMMemberDesc(X761))</f>
        <v/>
      </c>
      <c r="Z761" s="1302" t="n"/>
      <c r="AA761" s="1302" t="n"/>
      <c r="AB761" s="858" t="n"/>
      <c r="AC761" s="1302" t="n"/>
      <c r="AD761" s="1302" t="n"/>
      <c r="AE761" s="1302" t="inlineStr"/>
      <c r="AF761" s="1302" t="inlineStr"/>
      <c r="AG761" s="1302" t="inlineStr"/>
      <c r="AH761" s="1302" t="n"/>
      <c r="AI761" s="1302" t="n"/>
      <c r="AJ761" s="1302" t="n"/>
      <c r="AK761" s="1302">
        <f>AI761-AJ761</f>
        <v/>
      </c>
      <c r="AL761" s="858" t="n"/>
      <c r="AM761" s="1297" t="inlineStr"/>
      <c r="AN761" s="1298" t="n"/>
      <c r="AO761" s="13">
        <f>IF(_epmOfflineCondition_,0,EPMSaveDataOnly(AB761,,AB$29,AB$25,AB$26,AB$31,AB$32,$AA$37,AO$14,AO$15,AO$16,AO$17,AO$18,X761))</f>
        <v/>
      </c>
      <c r="AP761" s="13">
        <f>IF(_epmOfflineCondition_,0,EPMSaveDataOnly(AL761,,AL$29,AL$25,AL$26,AL$31,AL$32,$AA$37,AP$14,AP$15,AP$16,AP$17,AP$18,$X761))</f>
        <v/>
      </c>
      <c r="AQ761" s="13">
        <f>IF(_epmOfflineCondition_,0,EPMSaveData(AM761,,AM$29,AM$25,AM$26,$C$6,AM$32,$AA$37,AQ$14,AQ$15,AQ$16,AQ$17,AQ$18,$X761))</f>
        <v/>
      </c>
      <c r="AR761" s="13">
        <f>IF(_epmOfflineCondition_,0,EPMSaveDataOnly(AN761,,AN$29,AN$25,AN$26,AN$31,AN$32,$AA$37,AR$14,AR$15,AR$16,AR$17,AR$18,$X761))</f>
        <v/>
      </c>
      <c r="AS761" s="384" t="n"/>
    </row>
    <row r="762" hidden="1" ht="15.75" customHeight="1" s="1181">
      <c r="A762" s="384" t="n"/>
      <c r="B762" s="384" t="n"/>
      <c r="C762" s="384" t="n"/>
      <c r="D762" s="384" t="n"/>
      <c r="E762" s="384" t="n"/>
      <c r="F762" s="384" t="n"/>
      <c r="G762" s="384" t="n"/>
      <c r="H762" s="384" t="n"/>
      <c r="I762" s="384" t="n"/>
      <c r="J762" s="384" t="n"/>
      <c r="K762" s="384" t="n"/>
      <c r="L762" s="384" t="n"/>
      <c r="M762" s="384" t="n"/>
      <c r="N762" s="384" t="n"/>
      <c r="O762" s="384" t="n"/>
      <c r="P762" s="384" t="n"/>
      <c r="Q762" s="384" t="n"/>
      <c r="R762" s="384" t="n"/>
      <c r="S762" s="384" t="n"/>
      <c r="T762" s="384" t="n"/>
      <c r="U762" s="384" t="n"/>
      <c r="V762" s="384" t="n"/>
      <c r="W762" s="384" t="n"/>
      <c r="X762" s="645">
        <f>IF(_epmOfflineCondition_,"I_E101138",EPMOlapMemberO("[C_INTERCO].[PARENTH1].[I_E101138]","","I_E101138","","000"))</f>
        <v/>
      </c>
      <c r="Y762" s="870">
        <f>IF(_epmOfflineCondition_,"北京市门头沟区沁心园养老照料中心",EPMMemberDesc(X762))</f>
        <v/>
      </c>
      <c r="Z762" s="1302" t="n"/>
      <c r="AA762" s="1302" t="n"/>
      <c r="AB762" s="858" t="n"/>
      <c r="AC762" s="1302" t="n"/>
      <c r="AD762" s="1302" t="n"/>
      <c r="AE762" s="1302" t="inlineStr"/>
      <c r="AF762" s="1302" t="inlineStr"/>
      <c r="AG762" s="1302" t="inlineStr"/>
      <c r="AH762" s="1302" t="n"/>
      <c r="AI762" s="1302" t="n"/>
      <c r="AJ762" s="1302" t="n"/>
      <c r="AK762" s="1302">
        <f>AI762-AJ762</f>
        <v/>
      </c>
      <c r="AL762" s="858" t="n"/>
      <c r="AM762" s="1297" t="inlineStr"/>
      <c r="AN762" s="1298" t="n"/>
      <c r="AO762" s="13">
        <f>IF(_epmOfflineCondition_,0,EPMSaveDataOnly(AB762,,AB$29,AB$25,AB$26,AB$31,AB$32,$AA$37,AO$14,AO$15,AO$16,AO$17,AO$18,X762))</f>
        <v/>
      </c>
      <c r="AP762" s="13">
        <f>IF(_epmOfflineCondition_,0,EPMSaveDataOnly(AL762,,AL$29,AL$25,AL$26,AL$31,AL$32,$AA$37,AP$14,AP$15,AP$16,AP$17,AP$18,$X762))</f>
        <v/>
      </c>
      <c r="AQ762" s="13">
        <f>IF(_epmOfflineCondition_,0,EPMSaveData(AM762,,AM$29,AM$25,AM$26,$C$6,AM$32,$AA$37,AQ$14,AQ$15,AQ$16,AQ$17,AQ$18,$X762))</f>
        <v/>
      </c>
      <c r="AR762" s="13">
        <f>IF(_epmOfflineCondition_,0,EPMSaveDataOnly(AN762,,AN$29,AN$25,AN$26,AN$31,AN$32,$AA$37,AR$14,AR$15,AR$16,AR$17,AR$18,$X762))</f>
        <v/>
      </c>
      <c r="AS762" s="384" t="n"/>
    </row>
    <row r="763" hidden="1" ht="15.75" customHeight="1" s="1181">
      <c r="A763" s="384" t="n"/>
      <c r="B763" s="384" t="n"/>
      <c r="C763" s="384" t="n"/>
      <c r="D763" s="384" t="n"/>
      <c r="E763" s="384" t="n"/>
      <c r="F763" s="384" t="n"/>
      <c r="G763" s="384" t="n"/>
      <c r="H763" s="384" t="n"/>
      <c r="I763" s="384" t="n"/>
      <c r="J763" s="384" t="n"/>
      <c r="K763" s="384" t="n"/>
      <c r="L763" s="384" t="n"/>
      <c r="M763" s="384" t="n"/>
      <c r="N763" s="384" t="n"/>
      <c r="O763" s="384" t="n"/>
      <c r="P763" s="384" t="n"/>
      <c r="Q763" s="384" t="n"/>
      <c r="R763" s="384" t="n"/>
      <c r="S763" s="384" t="n"/>
      <c r="T763" s="384" t="n"/>
      <c r="U763" s="384" t="n"/>
      <c r="V763" s="384" t="n"/>
      <c r="W763" s="384" t="n"/>
      <c r="X763" s="645">
        <f>IF(_epmOfflineCondition_,"I_E101077",EPMOlapMemberO("[C_INTERCO].[PARENTH1].[I_E101077]","","I_E101077","","000"))</f>
        <v/>
      </c>
      <c r="Y763" s="870">
        <f>IF(_epmOfflineCondition_,"京能（哈尔滨）光伏发电有限公司",EPMMemberDesc(X763))</f>
        <v/>
      </c>
      <c r="Z763" s="1302" t="n"/>
      <c r="AA763" s="1302" t="n"/>
      <c r="AB763" s="858" t="n"/>
      <c r="AC763" s="1302" t="n"/>
      <c r="AD763" s="1302" t="n"/>
      <c r="AE763" s="1302" t="inlineStr"/>
      <c r="AF763" s="1302" t="inlineStr"/>
      <c r="AG763" s="1302" t="inlineStr"/>
      <c r="AH763" s="1302" t="n"/>
      <c r="AI763" s="1302" t="n"/>
      <c r="AJ763" s="1302" t="n"/>
      <c r="AK763" s="1302">
        <f>AI763-AJ763</f>
        <v/>
      </c>
      <c r="AL763" s="858" t="n"/>
      <c r="AM763" s="1297" t="inlineStr"/>
      <c r="AN763" s="1298" t="n"/>
      <c r="AO763" s="13">
        <f>IF(_epmOfflineCondition_,0,EPMSaveDataOnly(AB763,,AB$29,AB$25,AB$26,AB$31,AB$32,$AA$37,AO$14,AO$15,AO$16,AO$17,AO$18,X763))</f>
        <v/>
      </c>
      <c r="AP763" s="13">
        <f>IF(_epmOfflineCondition_,0,EPMSaveDataOnly(AL763,,AL$29,AL$25,AL$26,AL$31,AL$32,$AA$37,AP$14,AP$15,AP$16,AP$17,AP$18,$X763))</f>
        <v/>
      </c>
      <c r="AQ763" s="13">
        <f>IF(_epmOfflineCondition_,0,EPMSaveData(AM763,,AM$29,AM$25,AM$26,$C$6,AM$32,$AA$37,AQ$14,AQ$15,AQ$16,AQ$17,AQ$18,$X763))</f>
        <v/>
      </c>
      <c r="AR763" s="13">
        <f>IF(_epmOfflineCondition_,0,EPMSaveDataOnly(AN763,,AN$29,AN$25,AN$26,AN$31,AN$32,$AA$37,AR$14,AR$15,AR$16,AR$17,AR$18,$X763))</f>
        <v/>
      </c>
      <c r="AS763" s="384" t="n"/>
    </row>
    <row r="764" hidden="1" ht="15.75" customHeight="1" s="1181">
      <c r="A764" s="384" t="n"/>
      <c r="B764" s="384" t="n"/>
      <c r="C764" s="384" t="n"/>
      <c r="D764" s="384" t="n"/>
      <c r="E764" s="384" t="n"/>
      <c r="F764" s="384" t="n"/>
      <c r="G764" s="384" t="n"/>
      <c r="H764" s="384" t="n"/>
      <c r="I764" s="384" t="n"/>
      <c r="J764" s="384" t="n"/>
      <c r="K764" s="384" t="n"/>
      <c r="L764" s="384" t="n"/>
      <c r="M764" s="384" t="n"/>
      <c r="N764" s="384" t="n"/>
      <c r="O764" s="384" t="n"/>
      <c r="P764" s="384" t="n"/>
      <c r="Q764" s="384" t="n"/>
      <c r="R764" s="384" t="n"/>
      <c r="S764" s="384" t="n"/>
      <c r="T764" s="384" t="n"/>
      <c r="U764" s="384" t="n"/>
      <c r="V764" s="384" t="n"/>
      <c r="W764" s="384" t="n"/>
      <c r="X764" s="645">
        <f>IF(_epmOfflineCondition_,"I_E101078",EPMOlapMemberO("[C_INTERCO].[PARENTH1].[I_E101078]","","I_E101078","","000"))</f>
        <v/>
      </c>
      <c r="Y764" s="870">
        <f>IF(_epmOfflineCondition_,"京耀（威海）综合能源服务有限公司",EPMMemberDesc(X764))</f>
        <v/>
      </c>
      <c r="Z764" s="1302" t="n"/>
      <c r="AA764" s="1302" t="n"/>
      <c r="AB764" s="858" t="n"/>
      <c r="AC764" s="1302" t="n"/>
      <c r="AD764" s="1302" t="n"/>
      <c r="AE764" s="1302" t="inlineStr"/>
      <c r="AF764" s="1302" t="inlineStr"/>
      <c r="AG764" s="1302" t="inlineStr"/>
      <c r="AH764" s="1302" t="n"/>
      <c r="AI764" s="1302" t="n"/>
      <c r="AJ764" s="1302" t="n"/>
      <c r="AK764" s="1302">
        <f>AI764-AJ764</f>
        <v/>
      </c>
      <c r="AL764" s="858" t="n"/>
      <c r="AM764" s="1297" t="inlineStr"/>
      <c r="AN764" s="1298" t="n"/>
      <c r="AO764" s="13">
        <f>IF(_epmOfflineCondition_,0,EPMSaveDataOnly(AB764,,AB$29,AB$25,AB$26,AB$31,AB$32,$AA$37,AO$14,AO$15,AO$16,AO$17,AO$18,X764))</f>
        <v/>
      </c>
      <c r="AP764" s="13">
        <f>IF(_epmOfflineCondition_,0,EPMSaveDataOnly(AL764,,AL$29,AL$25,AL$26,AL$31,AL$32,$AA$37,AP$14,AP$15,AP$16,AP$17,AP$18,$X764))</f>
        <v/>
      </c>
      <c r="AQ764" s="13">
        <f>IF(_epmOfflineCondition_,0,EPMSaveData(AM764,,AM$29,AM$25,AM$26,$C$6,AM$32,$AA$37,AQ$14,AQ$15,AQ$16,AQ$17,AQ$18,$X764))</f>
        <v/>
      </c>
      <c r="AR764" s="13">
        <f>IF(_epmOfflineCondition_,0,EPMSaveDataOnly(AN764,,AN$29,AN$25,AN$26,AN$31,AN$32,$AA$37,AR$14,AR$15,AR$16,AR$17,AR$18,$X764))</f>
        <v/>
      </c>
      <c r="AS764" s="384" t="n"/>
    </row>
    <row r="765" hidden="1" ht="15.75" customHeight="1" s="1181">
      <c r="A765" s="384" t="n"/>
      <c r="B765" s="384" t="n"/>
      <c r="C765" s="384" t="n"/>
      <c r="D765" s="384" t="n"/>
      <c r="E765" s="384" t="n"/>
      <c r="F765" s="384" t="n"/>
      <c r="G765" s="384" t="n"/>
      <c r="H765" s="384" t="n"/>
      <c r="I765" s="384" t="n"/>
      <c r="J765" s="384" t="n"/>
      <c r="K765" s="384" t="n"/>
      <c r="L765" s="384" t="n"/>
      <c r="M765" s="384" t="n"/>
      <c r="N765" s="384" t="n"/>
      <c r="O765" s="384" t="n"/>
      <c r="P765" s="384" t="n"/>
      <c r="Q765" s="384" t="n"/>
      <c r="R765" s="384" t="n"/>
      <c r="S765" s="384" t="n"/>
      <c r="T765" s="384" t="n"/>
      <c r="U765" s="384" t="n"/>
      <c r="V765" s="384" t="n"/>
      <c r="W765" s="384" t="n"/>
      <c r="X765" s="645">
        <f>IF(_epmOfflineCondition_,"I_E101079",EPMOlapMemberO("[C_INTERCO].[PARENTH1].[I_E101079]","","I_E101079","","000"))</f>
        <v/>
      </c>
      <c r="Y765" s="870">
        <f>IF(_epmOfflineCondition_,"绥化市旭源新能源有限公司",EPMMemberDesc(X765))</f>
        <v/>
      </c>
      <c r="Z765" s="1302" t="n"/>
      <c r="AA765" s="1302" t="n"/>
      <c r="AB765" s="858" t="n"/>
      <c r="AC765" s="1302" t="n"/>
      <c r="AD765" s="1302" t="n"/>
      <c r="AE765" s="1302" t="inlineStr"/>
      <c r="AF765" s="1302" t="inlineStr"/>
      <c r="AG765" s="1302" t="inlineStr"/>
      <c r="AH765" s="1302" t="n"/>
      <c r="AI765" s="1302" t="n"/>
      <c r="AJ765" s="1302" t="n"/>
      <c r="AK765" s="1302">
        <f>AI765-AJ765</f>
        <v/>
      </c>
      <c r="AL765" s="858" t="n"/>
      <c r="AM765" s="1297" t="inlineStr"/>
      <c r="AN765" s="1298" t="n"/>
      <c r="AO765" s="13">
        <f>IF(_epmOfflineCondition_,0,EPMSaveDataOnly(AB765,,AB$29,AB$25,AB$26,AB$31,AB$32,$AA$37,AO$14,AO$15,AO$16,AO$17,AO$18,X765))</f>
        <v/>
      </c>
      <c r="AP765" s="13">
        <f>IF(_epmOfflineCondition_,0,EPMSaveDataOnly(AL765,,AL$29,AL$25,AL$26,AL$31,AL$32,$AA$37,AP$14,AP$15,AP$16,AP$17,AP$18,$X765))</f>
        <v/>
      </c>
      <c r="AQ765" s="13">
        <f>IF(_epmOfflineCondition_,0,EPMSaveData(AM765,,AM$29,AM$25,AM$26,$C$6,AM$32,$AA$37,AQ$14,AQ$15,AQ$16,AQ$17,AQ$18,$X765))</f>
        <v/>
      </c>
      <c r="AR765" s="13">
        <f>IF(_epmOfflineCondition_,0,EPMSaveDataOnly(AN765,,AN$29,AN$25,AN$26,AN$31,AN$32,$AA$37,AR$14,AR$15,AR$16,AR$17,AR$18,$X765))</f>
        <v/>
      </c>
      <c r="AS765" s="384" t="n"/>
    </row>
    <row r="766" hidden="1" ht="15.75" customHeight="1" s="1181">
      <c r="A766" s="384" t="n"/>
      <c r="B766" s="384" t="n"/>
      <c r="C766" s="384" t="n"/>
      <c r="D766" s="384" t="n"/>
      <c r="E766" s="384" t="n"/>
      <c r="F766" s="384" t="n"/>
      <c r="G766" s="384" t="n"/>
      <c r="H766" s="384" t="n"/>
      <c r="I766" s="384" t="n"/>
      <c r="J766" s="384" t="n"/>
      <c r="K766" s="384" t="n"/>
      <c r="L766" s="384" t="n"/>
      <c r="M766" s="384" t="n"/>
      <c r="N766" s="384" t="n"/>
      <c r="O766" s="384" t="n"/>
      <c r="P766" s="384" t="n"/>
      <c r="Q766" s="384" t="n"/>
      <c r="R766" s="384" t="n"/>
      <c r="S766" s="384" t="n"/>
      <c r="T766" s="384" t="n"/>
      <c r="U766" s="384" t="n"/>
      <c r="V766" s="384" t="n"/>
      <c r="W766" s="384" t="n"/>
      <c r="X766" s="645">
        <f>IF(_epmOfflineCondition_,"I_E101080",EPMOlapMemberO("[C_INTERCO].[PARENTH1].[I_E101080]","","I_E101080","","000"))</f>
        <v/>
      </c>
      <c r="Y766" s="870">
        <f>IF(_epmOfflineCondition_,"庆安县旭源新能源有限公司",EPMMemberDesc(X766))</f>
        <v/>
      </c>
      <c r="Z766" s="1302" t="n"/>
      <c r="AA766" s="1302" t="n"/>
      <c r="AB766" s="858" t="n"/>
      <c r="AC766" s="1302" t="n"/>
      <c r="AD766" s="1302" t="n"/>
      <c r="AE766" s="1302" t="inlineStr"/>
      <c r="AF766" s="1302" t="inlineStr"/>
      <c r="AG766" s="1302" t="inlineStr"/>
      <c r="AH766" s="1302" t="n"/>
      <c r="AI766" s="1302" t="n"/>
      <c r="AJ766" s="1302" t="n"/>
      <c r="AK766" s="1302">
        <f>AI766-AJ766</f>
        <v/>
      </c>
      <c r="AL766" s="858" t="n"/>
      <c r="AM766" s="1297" t="inlineStr"/>
      <c r="AN766" s="1298" t="n"/>
      <c r="AO766" s="13">
        <f>IF(_epmOfflineCondition_,0,EPMSaveDataOnly(AB766,,AB$29,AB$25,AB$26,AB$31,AB$32,$AA$37,AO$14,AO$15,AO$16,AO$17,AO$18,X766))</f>
        <v/>
      </c>
      <c r="AP766" s="13">
        <f>IF(_epmOfflineCondition_,0,EPMSaveDataOnly(AL766,,AL$29,AL$25,AL$26,AL$31,AL$32,$AA$37,AP$14,AP$15,AP$16,AP$17,AP$18,$X766))</f>
        <v/>
      </c>
      <c r="AQ766" s="13">
        <f>IF(_epmOfflineCondition_,0,EPMSaveData(AM766,,AM$29,AM$25,AM$26,$C$6,AM$32,$AA$37,AQ$14,AQ$15,AQ$16,AQ$17,AQ$18,$X766))</f>
        <v/>
      </c>
      <c r="AR766" s="13">
        <f>IF(_epmOfflineCondition_,0,EPMSaveDataOnly(AN766,,AN$29,AN$25,AN$26,AN$31,AN$32,$AA$37,AR$14,AR$15,AR$16,AR$17,AR$18,$X766))</f>
        <v/>
      </c>
      <c r="AS766" s="384" t="n"/>
    </row>
    <row r="767" hidden="1" ht="15.75" customHeight="1" s="1181">
      <c r="A767" s="384" t="n"/>
      <c r="B767" s="384" t="n"/>
      <c r="C767" s="384" t="n"/>
      <c r="D767" s="384" t="n"/>
      <c r="E767" s="384" t="n"/>
      <c r="F767" s="384" t="n"/>
      <c r="G767" s="384" t="n"/>
      <c r="H767" s="384" t="n"/>
      <c r="I767" s="384" t="n"/>
      <c r="J767" s="384" t="n"/>
      <c r="K767" s="384" t="n"/>
      <c r="L767" s="384" t="n"/>
      <c r="M767" s="384" t="n"/>
      <c r="N767" s="384" t="n"/>
      <c r="O767" s="384" t="n"/>
      <c r="P767" s="384" t="n"/>
      <c r="Q767" s="384" t="n"/>
      <c r="R767" s="384" t="n"/>
      <c r="S767" s="384" t="n"/>
      <c r="T767" s="384" t="n"/>
      <c r="U767" s="384" t="n"/>
      <c r="V767" s="384" t="n"/>
      <c r="W767" s="384" t="n"/>
      <c r="X767" s="645">
        <f>IF(_epmOfflineCondition_,"I_E101081",EPMOlapMemberO("[C_INTERCO].[PARENTH1].[I_E101081]","","I_E101081","","000"))</f>
        <v/>
      </c>
      <c r="Y767" s="870">
        <f>IF(_epmOfflineCondition_,"海伦市虹达新能源科技有限公司",EPMMemberDesc(X767))</f>
        <v/>
      </c>
      <c r="Z767" s="1302" t="n"/>
      <c r="AA767" s="1302" t="n"/>
      <c r="AB767" s="858" t="n"/>
      <c r="AC767" s="1302" t="n"/>
      <c r="AD767" s="1302" t="n"/>
      <c r="AE767" s="1302" t="inlineStr"/>
      <c r="AF767" s="1302" t="inlineStr"/>
      <c r="AG767" s="1302" t="inlineStr"/>
      <c r="AH767" s="1302" t="n"/>
      <c r="AI767" s="1302" t="n"/>
      <c r="AJ767" s="1302" t="n"/>
      <c r="AK767" s="1302">
        <f>AI767-AJ767</f>
        <v/>
      </c>
      <c r="AL767" s="858" t="n"/>
      <c r="AM767" s="1297" t="inlineStr"/>
      <c r="AN767" s="1298" t="n"/>
      <c r="AO767" s="13">
        <f>IF(_epmOfflineCondition_,0,EPMSaveDataOnly(AB767,,AB$29,AB$25,AB$26,AB$31,AB$32,$AA$37,AO$14,AO$15,AO$16,AO$17,AO$18,X767))</f>
        <v/>
      </c>
      <c r="AP767" s="13">
        <f>IF(_epmOfflineCondition_,0,EPMSaveDataOnly(AL767,,AL$29,AL$25,AL$26,AL$31,AL$32,$AA$37,AP$14,AP$15,AP$16,AP$17,AP$18,$X767))</f>
        <v/>
      </c>
      <c r="AQ767" s="13">
        <f>IF(_epmOfflineCondition_,0,EPMSaveData(AM767,,AM$29,AM$25,AM$26,$C$6,AM$32,$AA$37,AQ$14,AQ$15,AQ$16,AQ$17,AQ$18,$X767))</f>
        <v/>
      </c>
      <c r="AR767" s="13">
        <f>IF(_epmOfflineCondition_,0,EPMSaveDataOnly(AN767,,AN$29,AN$25,AN$26,AN$31,AN$32,$AA$37,AR$14,AR$15,AR$16,AR$17,AR$18,$X767))</f>
        <v/>
      </c>
      <c r="AS767" s="384" t="n"/>
    </row>
    <row r="768" hidden="1" ht="15.75" customHeight="1" s="1181">
      <c r="A768" s="384" t="n"/>
      <c r="B768" s="384" t="n"/>
      <c r="C768" s="384" t="n"/>
      <c r="D768" s="384" t="n"/>
      <c r="E768" s="384" t="n"/>
      <c r="F768" s="384" t="n"/>
      <c r="G768" s="384" t="n"/>
      <c r="H768" s="384" t="n"/>
      <c r="I768" s="384" t="n"/>
      <c r="J768" s="384" t="n"/>
      <c r="K768" s="384" t="n"/>
      <c r="L768" s="384" t="n"/>
      <c r="M768" s="384" t="n"/>
      <c r="N768" s="384" t="n"/>
      <c r="O768" s="384" t="n"/>
      <c r="P768" s="384" t="n"/>
      <c r="Q768" s="384" t="n"/>
      <c r="R768" s="384" t="n"/>
      <c r="S768" s="384" t="n"/>
      <c r="T768" s="384" t="n"/>
      <c r="U768" s="384" t="n"/>
      <c r="V768" s="384" t="n"/>
      <c r="W768" s="384" t="n"/>
      <c r="X768" s="645">
        <f>IF(_epmOfflineCondition_,"I_E101082",EPMOlapMemberO("[C_INTERCO].[PARENTH1].[I_E101082]","","I_E101082","","000"))</f>
        <v/>
      </c>
      <c r="Y768" s="870">
        <f>IF(_epmOfflineCondition_,"明水县虹达新能源有限公司",EPMMemberDesc(X768))</f>
        <v/>
      </c>
      <c r="Z768" s="1302" t="n"/>
      <c r="AA768" s="1302" t="n"/>
      <c r="AB768" s="858" t="n"/>
      <c r="AC768" s="1302" t="n"/>
      <c r="AD768" s="1302" t="n"/>
      <c r="AE768" s="1302" t="inlineStr"/>
      <c r="AF768" s="1302" t="inlineStr"/>
      <c r="AG768" s="1302" t="inlineStr"/>
      <c r="AH768" s="1302" t="n"/>
      <c r="AI768" s="1302" t="n"/>
      <c r="AJ768" s="1302" t="n"/>
      <c r="AK768" s="1302">
        <f>AI768-AJ768</f>
        <v/>
      </c>
      <c r="AL768" s="858" t="n"/>
      <c r="AM768" s="1297" t="inlineStr"/>
      <c r="AN768" s="1298" t="n"/>
      <c r="AO768" s="13">
        <f>IF(_epmOfflineCondition_,0,EPMSaveDataOnly(AB768,,AB$29,AB$25,AB$26,AB$31,AB$32,$AA$37,AO$14,AO$15,AO$16,AO$17,AO$18,X768))</f>
        <v/>
      </c>
      <c r="AP768" s="13">
        <f>IF(_epmOfflineCondition_,0,EPMSaveDataOnly(AL768,,AL$29,AL$25,AL$26,AL$31,AL$32,$AA$37,AP$14,AP$15,AP$16,AP$17,AP$18,$X768))</f>
        <v/>
      </c>
      <c r="AQ768" s="13">
        <f>IF(_epmOfflineCondition_,0,EPMSaveData(AM768,,AM$29,AM$25,AM$26,$C$6,AM$32,$AA$37,AQ$14,AQ$15,AQ$16,AQ$17,AQ$18,$X768))</f>
        <v/>
      </c>
      <c r="AR768" s="13">
        <f>IF(_epmOfflineCondition_,0,EPMSaveDataOnly(AN768,,AN$29,AN$25,AN$26,AN$31,AN$32,$AA$37,AR$14,AR$15,AR$16,AR$17,AR$18,$X768))</f>
        <v/>
      </c>
      <c r="AS768" s="384" t="n"/>
    </row>
    <row r="769" hidden="1" ht="15.75" customHeight="1" s="1181">
      <c r="A769" s="384" t="n"/>
      <c r="B769" s="384" t="n"/>
      <c r="C769" s="384" t="n"/>
      <c r="D769" s="384" t="n"/>
      <c r="E769" s="384" t="n"/>
      <c r="F769" s="384" t="n"/>
      <c r="G769" s="384" t="n"/>
      <c r="H769" s="384" t="n"/>
      <c r="I769" s="384" t="n"/>
      <c r="J769" s="384" t="n"/>
      <c r="K769" s="384" t="n"/>
      <c r="L769" s="384" t="n"/>
      <c r="M769" s="384" t="n"/>
      <c r="N769" s="384" t="n"/>
      <c r="O769" s="384" t="n"/>
      <c r="P769" s="384" t="n"/>
      <c r="Q769" s="384" t="n"/>
      <c r="R769" s="384" t="n"/>
      <c r="S769" s="384" t="n"/>
      <c r="T769" s="384" t="n"/>
      <c r="U769" s="384" t="n"/>
      <c r="V769" s="384" t="n"/>
      <c r="W769" s="384" t="n"/>
      <c r="X769" s="645">
        <f>IF(_epmOfflineCondition_,"I_E101083",EPMOlapMemberO("[C_INTERCO].[PARENTH1].[I_E101083]","","I_E101083","","000"))</f>
        <v/>
      </c>
      <c r="Y769" s="870">
        <f>IF(_epmOfflineCondition_,"安达市御风新能源有限公司",EPMMemberDesc(X769))</f>
        <v/>
      </c>
      <c r="Z769" s="1302" t="n"/>
      <c r="AA769" s="1302" t="n"/>
      <c r="AB769" s="858" t="n"/>
      <c r="AC769" s="1302" t="n"/>
      <c r="AD769" s="1302" t="n"/>
      <c r="AE769" s="1302" t="inlineStr"/>
      <c r="AF769" s="1302" t="inlineStr"/>
      <c r="AG769" s="1302" t="inlineStr"/>
      <c r="AH769" s="1302" t="n"/>
      <c r="AI769" s="1302" t="n"/>
      <c r="AJ769" s="1302" t="n"/>
      <c r="AK769" s="1302">
        <f>AI769-AJ769</f>
        <v/>
      </c>
      <c r="AL769" s="858" t="n"/>
      <c r="AM769" s="1297" t="inlineStr"/>
      <c r="AN769" s="1298" t="n"/>
      <c r="AO769" s="13">
        <f>IF(_epmOfflineCondition_,0,EPMSaveDataOnly(AB769,,AB$29,AB$25,AB$26,AB$31,AB$32,$AA$37,AO$14,AO$15,AO$16,AO$17,AO$18,X769))</f>
        <v/>
      </c>
      <c r="AP769" s="13">
        <f>IF(_epmOfflineCondition_,0,EPMSaveDataOnly(AL769,,AL$29,AL$25,AL$26,AL$31,AL$32,$AA$37,AP$14,AP$15,AP$16,AP$17,AP$18,$X769))</f>
        <v/>
      </c>
      <c r="AQ769" s="13">
        <f>IF(_epmOfflineCondition_,0,EPMSaveData(AM769,,AM$29,AM$25,AM$26,$C$6,AM$32,$AA$37,AQ$14,AQ$15,AQ$16,AQ$17,AQ$18,$X769))</f>
        <v/>
      </c>
      <c r="AR769" s="13">
        <f>IF(_epmOfflineCondition_,0,EPMSaveDataOnly(AN769,,AN$29,AN$25,AN$26,AN$31,AN$32,$AA$37,AR$14,AR$15,AR$16,AR$17,AR$18,$X769))</f>
        <v/>
      </c>
      <c r="AS769" s="384" t="n"/>
    </row>
    <row r="770" hidden="1" ht="15.75" customHeight="1" s="1181">
      <c r="A770" s="384" t="n"/>
      <c r="B770" s="384" t="n"/>
      <c r="C770" s="384" t="n"/>
      <c r="D770" s="384" t="n"/>
      <c r="E770" s="384" t="n"/>
      <c r="F770" s="384" t="n"/>
      <c r="G770" s="384" t="n"/>
      <c r="H770" s="384" t="n"/>
      <c r="I770" s="384" t="n"/>
      <c r="J770" s="384" t="n"/>
      <c r="K770" s="384" t="n"/>
      <c r="L770" s="384" t="n"/>
      <c r="M770" s="384" t="n"/>
      <c r="N770" s="384" t="n"/>
      <c r="O770" s="384" t="n"/>
      <c r="P770" s="384" t="n"/>
      <c r="Q770" s="384" t="n"/>
      <c r="R770" s="384" t="n"/>
      <c r="S770" s="384" t="n"/>
      <c r="T770" s="384" t="n"/>
      <c r="U770" s="384" t="n"/>
      <c r="V770" s="384" t="n"/>
      <c r="W770" s="384" t="n"/>
      <c r="X770" s="645">
        <f>IF(_epmOfflineCondition_,"I_E101084",EPMOlapMemberO("[C_INTERCO].[PARENTH1].[I_E101084]","","I_E101084","","000"))</f>
        <v/>
      </c>
      <c r="Y770" s="870">
        <f>IF(_epmOfflineCondition_,"永登京能新能源电力有限公司",EPMMemberDesc(X770))</f>
        <v/>
      </c>
      <c r="Z770" s="1302" t="n"/>
      <c r="AA770" s="1302" t="n"/>
      <c r="AB770" s="858" t="n"/>
      <c r="AC770" s="1302" t="n"/>
      <c r="AD770" s="1302" t="n"/>
      <c r="AE770" s="1302" t="inlineStr"/>
      <c r="AF770" s="1302" t="inlineStr"/>
      <c r="AG770" s="1302" t="inlineStr"/>
      <c r="AH770" s="1302" t="n"/>
      <c r="AI770" s="1302" t="n"/>
      <c r="AJ770" s="1302" t="n"/>
      <c r="AK770" s="1302">
        <f>AI770-AJ770</f>
        <v/>
      </c>
      <c r="AL770" s="858" t="n"/>
      <c r="AM770" s="1297" t="inlineStr"/>
      <c r="AN770" s="1298" t="n"/>
      <c r="AO770" s="13">
        <f>IF(_epmOfflineCondition_,0,EPMSaveDataOnly(AB770,,AB$29,AB$25,AB$26,AB$31,AB$32,$AA$37,AO$14,AO$15,AO$16,AO$17,AO$18,X770))</f>
        <v/>
      </c>
      <c r="AP770" s="13">
        <f>IF(_epmOfflineCondition_,0,EPMSaveDataOnly(AL770,,AL$29,AL$25,AL$26,AL$31,AL$32,$AA$37,AP$14,AP$15,AP$16,AP$17,AP$18,$X770))</f>
        <v/>
      </c>
      <c r="AQ770" s="13">
        <f>IF(_epmOfflineCondition_,0,EPMSaveData(AM770,,AM$29,AM$25,AM$26,$C$6,AM$32,$AA$37,AQ$14,AQ$15,AQ$16,AQ$17,AQ$18,$X770))</f>
        <v/>
      </c>
      <c r="AR770" s="13">
        <f>IF(_epmOfflineCondition_,0,EPMSaveDataOnly(AN770,,AN$29,AN$25,AN$26,AN$31,AN$32,$AA$37,AR$14,AR$15,AR$16,AR$17,AR$18,$X770))</f>
        <v/>
      </c>
      <c r="AS770" s="384" t="n"/>
    </row>
    <row r="771" hidden="1" ht="15.75" customHeight="1" s="1181">
      <c r="A771" s="384" t="n"/>
      <c r="B771" s="384" t="n"/>
      <c r="C771" s="384" t="n"/>
      <c r="D771" s="384" t="n"/>
      <c r="E771" s="384" t="n"/>
      <c r="F771" s="384" t="n"/>
      <c r="G771" s="384" t="n"/>
      <c r="H771" s="384" t="n"/>
      <c r="I771" s="384" t="n"/>
      <c r="J771" s="384" t="n"/>
      <c r="K771" s="384" t="n"/>
      <c r="L771" s="384" t="n"/>
      <c r="M771" s="384" t="n"/>
      <c r="N771" s="384" t="n"/>
      <c r="O771" s="384" t="n"/>
      <c r="P771" s="384" t="n"/>
      <c r="Q771" s="384" t="n"/>
      <c r="R771" s="384" t="n"/>
      <c r="S771" s="384" t="n"/>
      <c r="T771" s="384" t="n"/>
      <c r="U771" s="384" t="n"/>
      <c r="V771" s="384" t="n"/>
      <c r="W771" s="384" t="n"/>
      <c r="X771" s="645">
        <f>IF(_epmOfflineCondition_,"I_E101085",EPMOlapMemberO("[C_INTERCO].[PARENTH1].[I_E101085]","","I_E101085","","000"))</f>
        <v/>
      </c>
      <c r="Y771" s="870">
        <f>IF(_epmOfflineCondition_,"京邗（扬州）光伏发电有限公司",EPMMemberDesc(X771))</f>
        <v/>
      </c>
      <c r="Z771" s="1302" t="n"/>
      <c r="AA771" s="1302" t="n"/>
      <c r="AB771" s="858" t="n"/>
      <c r="AC771" s="1302" t="n"/>
      <c r="AD771" s="1302" t="n"/>
      <c r="AE771" s="1302" t="inlineStr"/>
      <c r="AF771" s="1302" t="inlineStr"/>
      <c r="AG771" s="1302" t="inlineStr"/>
      <c r="AH771" s="1302" t="n"/>
      <c r="AI771" s="1302" t="n"/>
      <c r="AJ771" s="1302" t="n"/>
      <c r="AK771" s="1302">
        <f>AI771-AJ771</f>
        <v/>
      </c>
      <c r="AL771" s="858" t="n"/>
      <c r="AM771" s="1297" t="inlineStr"/>
      <c r="AN771" s="1298" t="n"/>
      <c r="AO771" s="13">
        <f>IF(_epmOfflineCondition_,0,EPMSaveDataOnly(AB771,,AB$29,AB$25,AB$26,AB$31,AB$32,$AA$37,AO$14,AO$15,AO$16,AO$17,AO$18,X771))</f>
        <v/>
      </c>
      <c r="AP771" s="13">
        <f>IF(_epmOfflineCondition_,0,EPMSaveDataOnly(AL771,,AL$29,AL$25,AL$26,AL$31,AL$32,$AA$37,AP$14,AP$15,AP$16,AP$17,AP$18,$X771))</f>
        <v/>
      </c>
      <c r="AQ771" s="13">
        <f>IF(_epmOfflineCondition_,0,EPMSaveData(AM771,,AM$29,AM$25,AM$26,$C$6,AM$32,$AA$37,AQ$14,AQ$15,AQ$16,AQ$17,AQ$18,$X771))</f>
        <v/>
      </c>
      <c r="AR771" s="13">
        <f>IF(_epmOfflineCondition_,0,EPMSaveDataOnly(AN771,,AN$29,AN$25,AN$26,AN$31,AN$32,$AA$37,AR$14,AR$15,AR$16,AR$17,AR$18,$X771))</f>
        <v/>
      </c>
      <c r="AS771" s="384" t="n"/>
    </row>
    <row r="772" hidden="1" ht="15.75" customHeight="1" s="1181">
      <c r="A772" s="384" t="n"/>
      <c r="B772" s="384" t="n"/>
      <c r="C772" s="384" t="n"/>
      <c r="D772" s="384" t="n"/>
      <c r="E772" s="384" t="n"/>
      <c r="F772" s="384" t="n"/>
      <c r="G772" s="384" t="n"/>
      <c r="H772" s="384" t="n"/>
      <c r="I772" s="384" t="n"/>
      <c r="J772" s="384" t="n"/>
      <c r="K772" s="384" t="n"/>
      <c r="L772" s="384" t="n"/>
      <c r="M772" s="384" t="n"/>
      <c r="N772" s="384" t="n"/>
      <c r="O772" s="384" t="n"/>
      <c r="P772" s="384" t="n"/>
      <c r="Q772" s="384" t="n"/>
      <c r="R772" s="384" t="n"/>
      <c r="S772" s="384" t="n"/>
      <c r="T772" s="384" t="n"/>
      <c r="U772" s="384" t="n"/>
      <c r="V772" s="384" t="n"/>
      <c r="W772" s="384" t="n"/>
      <c r="X772" s="645">
        <f>IF(_epmOfflineCondition_,"I_E101086",EPMOlapMemberO("[C_INTERCO].[PARENTH1].[I_E101086]","","I_E101086","","000"))</f>
        <v/>
      </c>
      <c r="Y772" s="870">
        <f>IF(_epmOfflineCondition_,"京能（荣成）综合能源服务有限公司",EPMMemberDesc(X772))</f>
        <v/>
      </c>
      <c r="Z772" s="1302" t="n"/>
      <c r="AA772" s="1302" t="n"/>
      <c r="AB772" s="858" t="n"/>
      <c r="AC772" s="1302" t="n"/>
      <c r="AD772" s="1302" t="n"/>
      <c r="AE772" s="1302" t="inlineStr"/>
      <c r="AF772" s="1302" t="inlineStr"/>
      <c r="AG772" s="1302" t="inlineStr"/>
      <c r="AH772" s="1302" t="n"/>
      <c r="AI772" s="1302" t="n"/>
      <c r="AJ772" s="1302" t="n"/>
      <c r="AK772" s="1302">
        <f>AI772-AJ772</f>
        <v/>
      </c>
      <c r="AL772" s="858" t="n"/>
      <c r="AM772" s="1297" t="inlineStr"/>
      <c r="AN772" s="1298" t="n"/>
      <c r="AO772" s="13">
        <f>IF(_epmOfflineCondition_,0,EPMSaveDataOnly(AB772,,AB$29,AB$25,AB$26,AB$31,AB$32,$AA$37,AO$14,AO$15,AO$16,AO$17,AO$18,X772))</f>
        <v/>
      </c>
      <c r="AP772" s="13">
        <f>IF(_epmOfflineCondition_,0,EPMSaveDataOnly(AL772,,AL$29,AL$25,AL$26,AL$31,AL$32,$AA$37,AP$14,AP$15,AP$16,AP$17,AP$18,$X772))</f>
        <v/>
      </c>
      <c r="AQ772" s="13">
        <f>IF(_epmOfflineCondition_,0,EPMSaveData(AM772,,AM$29,AM$25,AM$26,$C$6,AM$32,$AA$37,AQ$14,AQ$15,AQ$16,AQ$17,AQ$18,$X772))</f>
        <v/>
      </c>
      <c r="AR772" s="13">
        <f>IF(_epmOfflineCondition_,0,EPMSaveDataOnly(AN772,,AN$29,AN$25,AN$26,AN$31,AN$32,$AA$37,AR$14,AR$15,AR$16,AR$17,AR$18,$X772))</f>
        <v/>
      </c>
      <c r="AS772" s="384" t="n"/>
    </row>
    <row r="773" hidden="1" ht="15.75" customHeight="1" s="1181">
      <c r="A773" s="384" t="n"/>
      <c r="B773" s="384" t="n"/>
      <c r="C773" s="384" t="n"/>
      <c r="D773" s="384" t="n"/>
      <c r="E773" s="384" t="n"/>
      <c r="F773" s="384" t="n"/>
      <c r="G773" s="384" t="n"/>
      <c r="H773" s="384" t="n"/>
      <c r="I773" s="384" t="n"/>
      <c r="J773" s="384" t="n"/>
      <c r="K773" s="384" t="n"/>
      <c r="L773" s="384" t="n"/>
      <c r="M773" s="384" t="n"/>
      <c r="N773" s="384" t="n"/>
      <c r="O773" s="384" t="n"/>
      <c r="P773" s="384" t="n"/>
      <c r="Q773" s="384" t="n"/>
      <c r="R773" s="384" t="n"/>
      <c r="S773" s="384" t="n"/>
      <c r="T773" s="384" t="n"/>
      <c r="U773" s="384" t="n"/>
      <c r="V773" s="384" t="n"/>
      <c r="W773" s="384" t="n"/>
      <c r="X773" s="645">
        <f>IF(_epmOfflineCondition_,"I_E101087",EPMOlapMemberO("[C_INTERCO].[PARENTH1].[I_E101087]","","I_E101087","","000"))</f>
        <v/>
      </c>
      <c r="Y773" s="870">
        <f>IF(_epmOfflineCondition_,"京能（宜黄）光伏发电有限公司",EPMMemberDesc(X773))</f>
        <v/>
      </c>
      <c r="Z773" s="1302" t="n"/>
      <c r="AA773" s="1302" t="n"/>
      <c r="AB773" s="858" t="n"/>
      <c r="AC773" s="1302" t="n"/>
      <c r="AD773" s="1302" t="n"/>
      <c r="AE773" s="1302" t="inlineStr"/>
      <c r="AF773" s="1302" t="inlineStr"/>
      <c r="AG773" s="1302" t="inlineStr"/>
      <c r="AH773" s="1302" t="n"/>
      <c r="AI773" s="1302" t="n"/>
      <c r="AJ773" s="1302" t="n"/>
      <c r="AK773" s="1302">
        <f>AI773-AJ773</f>
        <v/>
      </c>
      <c r="AL773" s="858" t="n"/>
      <c r="AM773" s="1297" t="inlineStr"/>
      <c r="AN773" s="1298" t="n"/>
      <c r="AO773" s="13">
        <f>IF(_epmOfflineCondition_,0,EPMSaveDataOnly(AB773,,AB$29,AB$25,AB$26,AB$31,AB$32,$AA$37,AO$14,AO$15,AO$16,AO$17,AO$18,X773))</f>
        <v/>
      </c>
      <c r="AP773" s="13">
        <f>IF(_epmOfflineCondition_,0,EPMSaveDataOnly(AL773,,AL$29,AL$25,AL$26,AL$31,AL$32,$AA$37,AP$14,AP$15,AP$16,AP$17,AP$18,$X773))</f>
        <v/>
      </c>
      <c r="AQ773" s="13">
        <f>IF(_epmOfflineCondition_,0,EPMSaveData(AM773,,AM$29,AM$25,AM$26,$C$6,AM$32,$AA$37,AQ$14,AQ$15,AQ$16,AQ$17,AQ$18,$X773))</f>
        <v/>
      </c>
      <c r="AR773" s="13">
        <f>IF(_epmOfflineCondition_,0,EPMSaveDataOnly(AN773,,AN$29,AN$25,AN$26,AN$31,AN$32,$AA$37,AR$14,AR$15,AR$16,AR$17,AR$18,$X773))</f>
        <v/>
      </c>
      <c r="AS773" s="384" t="n"/>
    </row>
    <row r="774" hidden="1" ht="15.75" customHeight="1" s="1181">
      <c r="A774" s="384" t="n"/>
      <c r="B774" s="384" t="n"/>
      <c r="C774" s="384" t="n"/>
      <c r="D774" s="384" t="n"/>
      <c r="E774" s="384" t="n"/>
      <c r="F774" s="384" t="n"/>
      <c r="G774" s="384" t="n"/>
      <c r="H774" s="384" t="n"/>
      <c r="I774" s="384" t="n"/>
      <c r="J774" s="384" t="n"/>
      <c r="K774" s="384" t="n"/>
      <c r="L774" s="384" t="n"/>
      <c r="M774" s="384" t="n"/>
      <c r="N774" s="384" t="n"/>
      <c r="O774" s="384" t="n"/>
      <c r="P774" s="384" t="n"/>
      <c r="Q774" s="384" t="n"/>
      <c r="R774" s="384" t="n"/>
      <c r="S774" s="384" t="n"/>
      <c r="T774" s="384" t="n"/>
      <c r="U774" s="384" t="n"/>
      <c r="V774" s="384" t="n"/>
      <c r="W774" s="384" t="n"/>
      <c r="X774" s="645">
        <f>IF(_epmOfflineCondition_,"I_E101095",EPMOlapMemberO("[C_INTERCO].[PARENTH1].[I_E101095]","","I_E101095","","000"))</f>
        <v/>
      </c>
      <c r="Y774" s="870">
        <f>IF(_epmOfflineCondition_,"京能越南可再生能源控股有限公司",EPMMemberDesc(X774))</f>
        <v/>
      </c>
      <c r="Z774" s="1302" t="n"/>
      <c r="AA774" s="1302" t="n"/>
      <c r="AB774" s="858" t="n"/>
      <c r="AC774" s="1302" t="n"/>
      <c r="AD774" s="1302" t="n"/>
      <c r="AE774" s="1302" t="inlineStr"/>
      <c r="AF774" s="1302" t="inlineStr"/>
      <c r="AG774" s="1302" t="inlineStr"/>
      <c r="AH774" s="1302" t="n"/>
      <c r="AI774" s="1302" t="n"/>
      <c r="AJ774" s="1302" t="n"/>
      <c r="AK774" s="1302">
        <f>AI774-AJ774</f>
        <v/>
      </c>
      <c r="AL774" s="858" t="n"/>
      <c r="AM774" s="1297" t="inlineStr"/>
      <c r="AN774" s="1298" t="n"/>
      <c r="AO774" s="13">
        <f>IF(_epmOfflineCondition_,0,EPMSaveDataOnly(AB774,,AB$29,AB$25,AB$26,AB$31,AB$32,$AA$37,AO$14,AO$15,AO$16,AO$17,AO$18,X774))</f>
        <v/>
      </c>
      <c r="AP774" s="13">
        <f>IF(_epmOfflineCondition_,0,EPMSaveDataOnly(AL774,,AL$29,AL$25,AL$26,AL$31,AL$32,$AA$37,AP$14,AP$15,AP$16,AP$17,AP$18,$X774))</f>
        <v/>
      </c>
      <c r="AQ774" s="13">
        <f>IF(_epmOfflineCondition_,0,EPMSaveData(AM774,,AM$29,AM$25,AM$26,$C$6,AM$32,$AA$37,AQ$14,AQ$15,AQ$16,AQ$17,AQ$18,$X774))</f>
        <v/>
      </c>
      <c r="AR774" s="13">
        <f>IF(_epmOfflineCondition_,0,EPMSaveDataOnly(AN774,,AN$29,AN$25,AN$26,AN$31,AN$32,$AA$37,AR$14,AR$15,AR$16,AR$17,AR$18,$X774))</f>
        <v/>
      </c>
      <c r="AS774" s="384" t="n"/>
    </row>
    <row r="775" hidden="1" ht="15.75" customHeight="1" s="1181">
      <c r="A775" s="384" t="n"/>
      <c r="B775" s="384" t="n"/>
      <c r="C775" s="384" t="n"/>
      <c r="D775" s="384" t="n"/>
      <c r="E775" s="384" t="n"/>
      <c r="F775" s="384" t="n"/>
      <c r="G775" s="384" t="n"/>
      <c r="H775" s="384" t="n"/>
      <c r="I775" s="384" t="n"/>
      <c r="J775" s="384" t="n"/>
      <c r="K775" s="384" t="n"/>
      <c r="L775" s="384" t="n"/>
      <c r="M775" s="384" t="n"/>
      <c r="N775" s="384" t="n"/>
      <c r="O775" s="384" t="n"/>
      <c r="P775" s="384" t="n"/>
      <c r="Q775" s="384" t="n"/>
      <c r="R775" s="384" t="n"/>
      <c r="S775" s="384" t="n"/>
      <c r="T775" s="384" t="n"/>
      <c r="U775" s="384" t="n"/>
      <c r="V775" s="384" t="n"/>
      <c r="W775" s="384" t="n"/>
      <c r="X775" s="645">
        <f>IF(_epmOfflineCondition_,"I_E101096",EPMOlapMemberO("[C_INTERCO].[PARENTH1].[I_E101096]","","I_E101096","","000"))</f>
        <v/>
      </c>
      <c r="Y775" s="870">
        <f>IF(_epmOfflineCondition_,"九安风电股份公司",EPMMemberDesc(X775))</f>
        <v/>
      </c>
      <c r="Z775" s="1302" t="n"/>
      <c r="AA775" s="1302" t="n"/>
      <c r="AB775" s="858" t="n"/>
      <c r="AC775" s="1302" t="n"/>
      <c r="AD775" s="1302" t="n"/>
      <c r="AE775" s="1302" t="inlineStr"/>
      <c r="AF775" s="1302" t="inlineStr"/>
      <c r="AG775" s="1302" t="inlineStr"/>
      <c r="AH775" s="1302" t="n"/>
      <c r="AI775" s="1302" t="n"/>
      <c r="AJ775" s="1302" t="n"/>
      <c r="AK775" s="1302">
        <f>AI775-AJ775</f>
        <v/>
      </c>
      <c r="AL775" s="858" t="n"/>
      <c r="AM775" s="1297" t="inlineStr"/>
      <c r="AN775" s="1298" t="n"/>
      <c r="AO775" s="13">
        <f>IF(_epmOfflineCondition_,0,EPMSaveDataOnly(AB775,,AB$29,AB$25,AB$26,AB$31,AB$32,$AA$37,AO$14,AO$15,AO$16,AO$17,AO$18,X775))</f>
        <v/>
      </c>
      <c r="AP775" s="13">
        <f>IF(_epmOfflineCondition_,0,EPMSaveDataOnly(AL775,,AL$29,AL$25,AL$26,AL$31,AL$32,$AA$37,AP$14,AP$15,AP$16,AP$17,AP$18,$X775))</f>
        <v/>
      </c>
      <c r="AQ775" s="13">
        <f>IF(_epmOfflineCondition_,0,EPMSaveData(AM775,,AM$29,AM$25,AM$26,$C$6,AM$32,$AA$37,AQ$14,AQ$15,AQ$16,AQ$17,AQ$18,$X775))</f>
        <v/>
      </c>
      <c r="AR775" s="13">
        <f>IF(_epmOfflineCondition_,0,EPMSaveDataOnly(AN775,,AN$29,AN$25,AN$26,AN$31,AN$32,$AA$37,AR$14,AR$15,AR$16,AR$17,AR$18,$X775))</f>
        <v/>
      </c>
      <c r="AS775" s="384" t="n"/>
    </row>
    <row r="776" hidden="1" ht="15.75" customHeight="1" s="1181">
      <c r="A776" s="384" t="n"/>
      <c r="B776" s="384" t="n"/>
      <c r="C776" s="384" t="n"/>
      <c r="D776" s="384" t="n"/>
      <c r="E776" s="384" t="n"/>
      <c r="F776" s="384" t="n"/>
      <c r="G776" s="384" t="n"/>
      <c r="H776" s="384" t="n"/>
      <c r="I776" s="384" t="n"/>
      <c r="J776" s="384" t="n"/>
      <c r="K776" s="384" t="n"/>
      <c r="L776" s="384" t="n"/>
      <c r="M776" s="384" t="n"/>
      <c r="N776" s="384" t="n"/>
      <c r="O776" s="384" t="n"/>
      <c r="P776" s="384" t="n"/>
      <c r="Q776" s="384" t="n"/>
      <c r="R776" s="384" t="n"/>
      <c r="S776" s="384" t="n"/>
      <c r="T776" s="384" t="n"/>
      <c r="U776" s="384" t="n"/>
      <c r="V776" s="384" t="n"/>
      <c r="W776" s="384" t="n"/>
      <c r="X776" s="645">
        <f>IF(_epmOfflineCondition_,"I_E101089",EPMOlapMemberO("[C_INTERCO].[PARENTH1].[I_E101089]","","I_E101089","","000"))</f>
        <v/>
      </c>
      <c r="Y776" s="870">
        <f>IF(_epmOfflineCondition_,"长沙京能双碳新能源有限公司",EPMMemberDesc(X776))</f>
        <v/>
      </c>
      <c r="Z776" s="1302" t="n"/>
      <c r="AA776" s="1302" t="n"/>
      <c r="AB776" s="858" t="n"/>
      <c r="AC776" s="1302" t="n"/>
      <c r="AD776" s="1302" t="n"/>
      <c r="AE776" s="1302" t="inlineStr"/>
      <c r="AF776" s="1302" t="inlineStr"/>
      <c r="AG776" s="1302" t="inlineStr"/>
      <c r="AH776" s="1302" t="n"/>
      <c r="AI776" s="1302" t="n"/>
      <c r="AJ776" s="1302" t="n"/>
      <c r="AK776" s="1302">
        <f>AI776-AJ776</f>
        <v/>
      </c>
      <c r="AL776" s="858" t="n"/>
      <c r="AM776" s="1297" t="inlineStr"/>
      <c r="AN776" s="1298" t="n"/>
      <c r="AO776" s="13">
        <f>IF(_epmOfflineCondition_,0,EPMSaveDataOnly(AB776,,AB$29,AB$25,AB$26,AB$31,AB$32,$AA$37,AO$14,AO$15,AO$16,AO$17,AO$18,X776))</f>
        <v/>
      </c>
      <c r="AP776" s="13">
        <f>IF(_epmOfflineCondition_,0,EPMSaveDataOnly(AL776,,AL$29,AL$25,AL$26,AL$31,AL$32,$AA$37,AP$14,AP$15,AP$16,AP$17,AP$18,$X776))</f>
        <v/>
      </c>
      <c r="AQ776" s="13">
        <f>IF(_epmOfflineCondition_,0,EPMSaveData(AM776,,AM$29,AM$25,AM$26,$C$6,AM$32,$AA$37,AQ$14,AQ$15,AQ$16,AQ$17,AQ$18,$X776))</f>
        <v/>
      </c>
      <c r="AR776" s="13">
        <f>IF(_epmOfflineCondition_,0,EPMSaveDataOnly(AN776,,AN$29,AN$25,AN$26,AN$31,AN$32,$AA$37,AR$14,AR$15,AR$16,AR$17,AR$18,$X776))</f>
        <v/>
      </c>
      <c r="AS776" s="384" t="n"/>
    </row>
    <row r="777" hidden="1" ht="15.75" customHeight="1" s="1181">
      <c r="A777" s="384" t="n"/>
      <c r="B777" s="384" t="n"/>
      <c r="C777" s="384" t="n"/>
      <c r="D777" s="384" t="n"/>
      <c r="E777" s="384" t="n"/>
      <c r="F777" s="384" t="n"/>
      <c r="G777" s="384" t="n"/>
      <c r="H777" s="384" t="n"/>
      <c r="I777" s="384" t="n"/>
      <c r="J777" s="384" t="n"/>
      <c r="K777" s="384" t="n"/>
      <c r="L777" s="384" t="n"/>
      <c r="M777" s="384" t="n"/>
      <c r="N777" s="384" t="n"/>
      <c r="O777" s="384" t="n"/>
      <c r="P777" s="384" t="n"/>
      <c r="Q777" s="384" t="n"/>
      <c r="R777" s="384" t="n"/>
      <c r="S777" s="384" t="n"/>
      <c r="T777" s="384" t="n"/>
      <c r="U777" s="384" t="n"/>
      <c r="V777" s="384" t="n"/>
      <c r="W777" s="384" t="n"/>
      <c r="X777" s="645">
        <f>IF(_epmOfflineCondition_,"I_E101090",EPMOlapMemberO("[C_INTERCO].[PARENTH1].[I_E101090]","","I_E101090","","000"))</f>
        <v/>
      </c>
      <c r="Y777" s="870">
        <f>IF(_epmOfflineCondition_,"广西百色京耀综合能源服务有限公司",EPMMemberDesc(X777))</f>
        <v/>
      </c>
      <c r="Z777" s="1302" t="n"/>
      <c r="AA777" s="1302" t="n"/>
      <c r="AB777" s="858" t="n"/>
      <c r="AC777" s="1302" t="n"/>
      <c r="AD777" s="1302" t="n"/>
      <c r="AE777" s="1302" t="inlineStr"/>
      <c r="AF777" s="1302" t="inlineStr"/>
      <c r="AG777" s="1302" t="inlineStr"/>
      <c r="AH777" s="1302" t="n"/>
      <c r="AI777" s="1302" t="n"/>
      <c r="AJ777" s="1302" t="n"/>
      <c r="AK777" s="1302">
        <f>AI777-AJ777</f>
        <v/>
      </c>
      <c r="AL777" s="858" t="n"/>
      <c r="AM777" s="1297" t="inlineStr"/>
      <c r="AN777" s="1298" t="n"/>
      <c r="AO777" s="13">
        <f>IF(_epmOfflineCondition_,0,EPMSaveDataOnly(AB777,,AB$29,AB$25,AB$26,AB$31,AB$32,$AA$37,AO$14,AO$15,AO$16,AO$17,AO$18,X777))</f>
        <v/>
      </c>
      <c r="AP777" s="13">
        <f>IF(_epmOfflineCondition_,0,EPMSaveDataOnly(AL777,,AL$29,AL$25,AL$26,AL$31,AL$32,$AA$37,AP$14,AP$15,AP$16,AP$17,AP$18,$X777))</f>
        <v/>
      </c>
      <c r="AQ777" s="13">
        <f>IF(_epmOfflineCondition_,0,EPMSaveData(AM777,,AM$29,AM$25,AM$26,$C$6,AM$32,$AA$37,AQ$14,AQ$15,AQ$16,AQ$17,AQ$18,$X777))</f>
        <v/>
      </c>
      <c r="AR777" s="13">
        <f>IF(_epmOfflineCondition_,0,EPMSaveDataOnly(AN777,,AN$29,AN$25,AN$26,AN$31,AN$32,$AA$37,AR$14,AR$15,AR$16,AR$17,AR$18,$X777))</f>
        <v/>
      </c>
      <c r="AS777" s="384" t="n"/>
    </row>
    <row r="778" hidden="1" ht="15.75" customHeight="1" s="1181">
      <c r="A778" s="384" t="n"/>
      <c r="B778" s="384" t="n"/>
      <c r="C778" s="384" t="n"/>
      <c r="D778" s="384" t="n"/>
      <c r="E778" s="384" t="n"/>
      <c r="F778" s="384" t="n"/>
      <c r="G778" s="384" t="n"/>
      <c r="H778" s="384" t="n"/>
      <c r="I778" s="384" t="n"/>
      <c r="J778" s="384" t="n"/>
      <c r="K778" s="384" t="n"/>
      <c r="L778" s="384" t="n"/>
      <c r="M778" s="384" t="n"/>
      <c r="N778" s="384" t="n"/>
      <c r="O778" s="384" t="n"/>
      <c r="P778" s="384" t="n"/>
      <c r="Q778" s="384" t="n"/>
      <c r="R778" s="384" t="n"/>
      <c r="S778" s="384" t="n"/>
      <c r="T778" s="384" t="n"/>
      <c r="U778" s="384" t="n"/>
      <c r="V778" s="384" t="n"/>
      <c r="W778" s="384" t="n"/>
      <c r="X778" s="645">
        <f>IF(_epmOfflineCondition_,"I_E101091",EPMOlapMemberO("[C_INTERCO].[PARENTH1].[I_E101091]","","I_E101091","","000"))</f>
        <v/>
      </c>
      <c r="Y778" s="870">
        <f>IF(_epmOfflineCondition_,"北京京亦综合能源有限公司",EPMMemberDesc(X778))</f>
        <v/>
      </c>
      <c r="Z778" s="1302" t="n"/>
      <c r="AA778" s="1302" t="n"/>
      <c r="AB778" s="858" t="n"/>
      <c r="AC778" s="1302" t="n"/>
      <c r="AD778" s="1302" t="n"/>
      <c r="AE778" s="1302" t="inlineStr"/>
      <c r="AF778" s="1302" t="inlineStr"/>
      <c r="AG778" s="1302" t="inlineStr"/>
      <c r="AH778" s="1302" t="n"/>
      <c r="AI778" s="1302" t="n"/>
      <c r="AJ778" s="1302" t="n"/>
      <c r="AK778" s="1302">
        <f>AI778-AJ778</f>
        <v/>
      </c>
      <c r="AL778" s="858" t="n"/>
      <c r="AM778" s="1297" t="inlineStr"/>
      <c r="AN778" s="1298" t="n"/>
      <c r="AO778" s="13">
        <f>IF(_epmOfflineCondition_,0,EPMSaveDataOnly(AB778,,AB$29,AB$25,AB$26,AB$31,AB$32,$AA$37,AO$14,AO$15,AO$16,AO$17,AO$18,X778))</f>
        <v/>
      </c>
      <c r="AP778" s="13">
        <f>IF(_epmOfflineCondition_,0,EPMSaveDataOnly(AL778,,AL$29,AL$25,AL$26,AL$31,AL$32,$AA$37,AP$14,AP$15,AP$16,AP$17,AP$18,$X778))</f>
        <v/>
      </c>
      <c r="AQ778" s="13">
        <f>IF(_epmOfflineCondition_,0,EPMSaveData(AM778,,AM$29,AM$25,AM$26,$C$6,AM$32,$AA$37,AQ$14,AQ$15,AQ$16,AQ$17,AQ$18,$X778))</f>
        <v/>
      </c>
      <c r="AR778" s="13">
        <f>IF(_epmOfflineCondition_,0,EPMSaveDataOnly(AN778,,AN$29,AN$25,AN$26,AN$31,AN$32,$AA$37,AR$14,AR$15,AR$16,AR$17,AR$18,$X778))</f>
        <v/>
      </c>
      <c r="AS778" s="384" t="n"/>
    </row>
    <row r="779" hidden="1" ht="15.75" customHeight="1" s="1181">
      <c r="A779" s="384" t="n"/>
      <c r="B779" s="384" t="n"/>
      <c r="C779" s="384" t="n"/>
      <c r="D779" s="384" t="n"/>
      <c r="E779" s="384" t="n"/>
      <c r="F779" s="384" t="n"/>
      <c r="G779" s="384" t="n"/>
      <c r="H779" s="384" t="n"/>
      <c r="I779" s="384" t="n"/>
      <c r="J779" s="384" t="n"/>
      <c r="K779" s="384" t="n"/>
      <c r="L779" s="384" t="n"/>
      <c r="M779" s="384" t="n"/>
      <c r="N779" s="384" t="n"/>
      <c r="O779" s="384" t="n"/>
      <c r="P779" s="384" t="n"/>
      <c r="Q779" s="384" t="n"/>
      <c r="R779" s="384" t="n"/>
      <c r="S779" s="384" t="n"/>
      <c r="T779" s="384" t="n"/>
      <c r="U779" s="384" t="n"/>
      <c r="V779" s="384" t="n"/>
      <c r="W779" s="384" t="n"/>
      <c r="X779" s="645">
        <f>IF(_epmOfflineCondition_,"I_E101092",EPMOlapMemberO("[C_INTERCO].[PARENTH1].[I_E101092]","","I_E101092","","000"))</f>
        <v/>
      </c>
      <c r="Y779" s="870">
        <f>IF(_epmOfflineCondition_,"北京京昌新能源有限公司",EPMMemberDesc(X779))</f>
        <v/>
      </c>
      <c r="Z779" s="1302" t="n"/>
      <c r="AA779" s="1302" t="n"/>
      <c r="AB779" s="858" t="n"/>
      <c r="AC779" s="1302" t="n"/>
      <c r="AD779" s="1302" t="n"/>
      <c r="AE779" s="1302" t="inlineStr"/>
      <c r="AF779" s="1302" t="inlineStr"/>
      <c r="AG779" s="1302" t="inlineStr"/>
      <c r="AH779" s="1302" t="n"/>
      <c r="AI779" s="1302" t="n"/>
      <c r="AJ779" s="1302" t="n"/>
      <c r="AK779" s="1302">
        <f>AI779-AJ779</f>
        <v/>
      </c>
      <c r="AL779" s="858" t="n"/>
      <c r="AM779" s="1297" t="inlineStr"/>
      <c r="AN779" s="1298" t="n"/>
      <c r="AO779" s="13">
        <f>IF(_epmOfflineCondition_,0,EPMSaveDataOnly(AB779,,AB$29,AB$25,AB$26,AB$31,AB$32,$AA$37,AO$14,AO$15,AO$16,AO$17,AO$18,X779))</f>
        <v/>
      </c>
      <c r="AP779" s="13">
        <f>IF(_epmOfflineCondition_,0,EPMSaveDataOnly(AL779,,AL$29,AL$25,AL$26,AL$31,AL$32,$AA$37,AP$14,AP$15,AP$16,AP$17,AP$18,$X779))</f>
        <v/>
      </c>
      <c r="AQ779" s="13">
        <f>IF(_epmOfflineCondition_,0,EPMSaveData(AM779,,AM$29,AM$25,AM$26,$C$6,AM$32,$AA$37,AQ$14,AQ$15,AQ$16,AQ$17,AQ$18,$X779))</f>
        <v/>
      </c>
      <c r="AR779" s="13">
        <f>IF(_epmOfflineCondition_,0,EPMSaveDataOnly(AN779,,AN$29,AN$25,AN$26,AN$31,AN$32,$AA$37,AR$14,AR$15,AR$16,AR$17,AR$18,$X779))</f>
        <v/>
      </c>
      <c r="AS779" s="384" t="n"/>
    </row>
    <row r="780" hidden="1" ht="15.75" customHeight="1" s="1181">
      <c r="A780" s="384" t="n"/>
      <c r="B780" s="384" t="n"/>
      <c r="C780" s="384" t="n"/>
      <c r="D780" s="384" t="n"/>
      <c r="E780" s="384" t="n"/>
      <c r="F780" s="384" t="n"/>
      <c r="G780" s="384" t="n"/>
      <c r="H780" s="384" t="n"/>
      <c r="I780" s="384" t="n"/>
      <c r="J780" s="384" t="n"/>
      <c r="K780" s="384" t="n"/>
      <c r="L780" s="384" t="n"/>
      <c r="M780" s="384" t="n"/>
      <c r="N780" s="384" t="n"/>
      <c r="O780" s="384" t="n"/>
      <c r="P780" s="384" t="n"/>
      <c r="Q780" s="384" t="n"/>
      <c r="R780" s="384" t="n"/>
      <c r="S780" s="384" t="n"/>
      <c r="T780" s="384" t="n"/>
      <c r="U780" s="384" t="n"/>
      <c r="V780" s="384" t="n"/>
      <c r="W780" s="384" t="n"/>
      <c r="X780" s="645">
        <f>IF(_epmOfflineCondition_,"I_E101093",EPMOlapMemberO("[C_INTERCO].[PARENTH1].[I_E101093]","","I_E101093","","000"))</f>
        <v/>
      </c>
      <c r="Y780" s="870">
        <f>IF(_epmOfflineCondition_,"通辽市新通风能有限公司",EPMMemberDesc(X780))</f>
        <v/>
      </c>
      <c r="Z780" s="1302" t="n"/>
      <c r="AA780" s="1302" t="n"/>
      <c r="AB780" s="858" t="n"/>
      <c r="AC780" s="1302" t="n"/>
      <c r="AD780" s="1302" t="n"/>
      <c r="AE780" s="1302" t="inlineStr"/>
      <c r="AF780" s="1302" t="inlineStr"/>
      <c r="AG780" s="1302" t="inlineStr"/>
      <c r="AH780" s="1302" t="n"/>
      <c r="AI780" s="1302" t="n"/>
      <c r="AJ780" s="1302" t="n"/>
      <c r="AK780" s="1302">
        <f>AI780-AJ780</f>
        <v/>
      </c>
      <c r="AL780" s="858" t="n"/>
      <c r="AM780" s="1297" t="inlineStr"/>
      <c r="AN780" s="1298" t="n"/>
      <c r="AO780" s="13">
        <f>IF(_epmOfflineCondition_,0,EPMSaveDataOnly(AB780,,AB$29,AB$25,AB$26,AB$31,AB$32,$AA$37,AO$14,AO$15,AO$16,AO$17,AO$18,X780))</f>
        <v/>
      </c>
      <c r="AP780" s="13">
        <f>IF(_epmOfflineCondition_,0,EPMSaveDataOnly(AL780,,AL$29,AL$25,AL$26,AL$31,AL$32,$AA$37,AP$14,AP$15,AP$16,AP$17,AP$18,$X780))</f>
        <v/>
      </c>
      <c r="AQ780" s="13">
        <f>IF(_epmOfflineCondition_,0,EPMSaveData(AM780,,AM$29,AM$25,AM$26,$C$6,AM$32,$AA$37,AQ$14,AQ$15,AQ$16,AQ$17,AQ$18,$X780))</f>
        <v/>
      </c>
      <c r="AR780" s="13">
        <f>IF(_epmOfflineCondition_,0,EPMSaveDataOnly(AN780,,AN$29,AN$25,AN$26,AN$31,AN$32,$AA$37,AR$14,AR$15,AR$16,AR$17,AR$18,$X780))</f>
        <v/>
      </c>
      <c r="AS780" s="384" t="n"/>
    </row>
    <row r="781" hidden="1" ht="15.75" customHeight="1" s="1181">
      <c r="A781" s="384" t="n"/>
      <c r="B781" s="384" t="n"/>
      <c r="C781" s="384" t="n"/>
      <c r="D781" s="384" t="n"/>
      <c r="E781" s="384" t="n"/>
      <c r="F781" s="384" t="n"/>
      <c r="G781" s="384" t="n"/>
      <c r="H781" s="384" t="n"/>
      <c r="I781" s="384" t="n"/>
      <c r="J781" s="384" t="n"/>
      <c r="K781" s="384" t="n"/>
      <c r="L781" s="384" t="n"/>
      <c r="M781" s="384" t="n"/>
      <c r="N781" s="384" t="n"/>
      <c r="O781" s="384" t="n"/>
      <c r="P781" s="384" t="n"/>
      <c r="Q781" s="384" t="n"/>
      <c r="R781" s="384" t="n"/>
      <c r="S781" s="384" t="n"/>
      <c r="T781" s="384" t="n"/>
      <c r="U781" s="384" t="n"/>
      <c r="V781" s="384" t="n"/>
      <c r="W781" s="384" t="n"/>
      <c r="X781" s="645">
        <f>IF(_epmOfflineCondition_,"I_E101142",EPMOlapMemberO("[C_INTERCO].[PARENTH1].[I_E101142]","","I_E101142","","000"))</f>
        <v/>
      </c>
      <c r="Y781" s="870">
        <f>IF(_epmOfflineCondition_,"灵寿县清智新能源科技有限公司",EPMMemberDesc(X781))</f>
        <v/>
      </c>
      <c r="Z781" s="1302" t="n"/>
      <c r="AA781" s="1302" t="n"/>
      <c r="AB781" s="858" t="n"/>
      <c r="AC781" s="1302" t="n"/>
      <c r="AD781" s="1302" t="n"/>
      <c r="AE781" s="1302" t="inlineStr"/>
      <c r="AF781" s="1302" t="inlineStr"/>
      <c r="AG781" s="1302" t="inlineStr"/>
      <c r="AH781" s="1302" t="n"/>
      <c r="AI781" s="1302" t="n"/>
      <c r="AJ781" s="1302" t="n"/>
      <c r="AK781" s="1302">
        <f>AI781-AJ781</f>
        <v/>
      </c>
      <c r="AL781" s="858" t="n"/>
      <c r="AM781" s="1297" t="inlineStr"/>
      <c r="AN781" s="1298" t="n"/>
      <c r="AO781" s="13">
        <f>IF(_epmOfflineCondition_,0,EPMSaveDataOnly(AB781,,AB$29,AB$25,AB$26,AB$31,AB$32,$AA$37,AO$14,AO$15,AO$16,AO$17,AO$18,X781))</f>
        <v/>
      </c>
      <c r="AP781" s="13">
        <f>IF(_epmOfflineCondition_,0,EPMSaveDataOnly(AL781,,AL$29,AL$25,AL$26,AL$31,AL$32,$AA$37,AP$14,AP$15,AP$16,AP$17,AP$18,$X781))</f>
        <v/>
      </c>
      <c r="AQ781" s="13">
        <f>IF(_epmOfflineCondition_,0,EPMSaveData(AM781,,AM$29,AM$25,AM$26,$C$6,AM$32,$AA$37,AQ$14,AQ$15,AQ$16,AQ$17,AQ$18,$X781))</f>
        <v/>
      </c>
      <c r="AR781" s="13">
        <f>IF(_epmOfflineCondition_,0,EPMSaveDataOnly(AN781,,AN$29,AN$25,AN$26,AN$31,AN$32,$AA$37,AR$14,AR$15,AR$16,AR$17,AR$18,$X781))</f>
        <v/>
      </c>
      <c r="AS781" s="384" t="n"/>
    </row>
    <row r="782" hidden="1" ht="15.75" customHeight="1" s="1181">
      <c r="A782" s="384" t="n"/>
      <c r="B782" s="384" t="n"/>
      <c r="C782" s="384" t="n"/>
      <c r="D782" s="384" t="n"/>
      <c r="E782" s="384" t="n"/>
      <c r="F782" s="384" t="n"/>
      <c r="G782" s="384" t="n"/>
      <c r="H782" s="384" t="n"/>
      <c r="I782" s="384" t="n"/>
      <c r="J782" s="384" t="n"/>
      <c r="K782" s="384" t="n"/>
      <c r="L782" s="384" t="n"/>
      <c r="M782" s="384" t="n"/>
      <c r="N782" s="384" t="n"/>
      <c r="O782" s="384" t="n"/>
      <c r="P782" s="384" t="n"/>
      <c r="Q782" s="384" t="n"/>
      <c r="R782" s="384" t="n"/>
      <c r="S782" s="384" t="n"/>
      <c r="T782" s="384" t="n"/>
      <c r="U782" s="384" t="n"/>
      <c r="V782" s="384" t="n"/>
      <c r="W782" s="384" t="n"/>
      <c r="X782" s="645">
        <f>IF(_epmOfflineCondition_,"I_E101143",EPMOlapMemberO("[C_INTERCO].[PARENTH1].[I_E101143]","","I_E101143","","000"))</f>
        <v/>
      </c>
      <c r="Y782" s="870">
        <f>IF(_epmOfflineCondition_,"灵寿县京实智慧新能源科技有限公司",EPMMemberDesc(X782))</f>
        <v/>
      </c>
      <c r="Z782" s="1302" t="n"/>
      <c r="AA782" s="1302" t="n"/>
      <c r="AB782" s="858" t="n"/>
      <c r="AC782" s="1302" t="n"/>
      <c r="AD782" s="1302" t="n"/>
      <c r="AE782" s="1302" t="inlineStr"/>
      <c r="AF782" s="1302" t="inlineStr"/>
      <c r="AG782" s="1302" t="inlineStr"/>
      <c r="AH782" s="1302" t="n"/>
      <c r="AI782" s="1302" t="n"/>
      <c r="AJ782" s="1302" t="n"/>
      <c r="AK782" s="1302">
        <f>AI782-AJ782</f>
        <v/>
      </c>
      <c r="AL782" s="858" t="n"/>
      <c r="AM782" s="1297" t="inlineStr"/>
      <c r="AN782" s="1298" t="n"/>
      <c r="AO782" s="13">
        <f>IF(_epmOfflineCondition_,0,EPMSaveDataOnly(AB782,,AB$29,AB$25,AB$26,AB$31,AB$32,$AA$37,AO$14,AO$15,AO$16,AO$17,AO$18,X782))</f>
        <v/>
      </c>
      <c r="AP782" s="13">
        <f>IF(_epmOfflineCondition_,0,EPMSaveDataOnly(AL782,,AL$29,AL$25,AL$26,AL$31,AL$32,$AA$37,AP$14,AP$15,AP$16,AP$17,AP$18,$X782))</f>
        <v/>
      </c>
      <c r="AQ782" s="13">
        <f>IF(_epmOfflineCondition_,0,EPMSaveData(AM782,,AM$29,AM$25,AM$26,$C$6,AM$32,$AA$37,AQ$14,AQ$15,AQ$16,AQ$17,AQ$18,$X782))</f>
        <v/>
      </c>
      <c r="AR782" s="13">
        <f>IF(_epmOfflineCondition_,0,EPMSaveDataOnly(AN782,,AN$29,AN$25,AN$26,AN$31,AN$32,$AA$37,AR$14,AR$15,AR$16,AR$17,AR$18,$X782))</f>
        <v/>
      </c>
      <c r="AS782" s="384" t="n"/>
    </row>
    <row r="783" hidden="1" ht="15.75" customHeight="1" s="1181">
      <c r="A783" s="384" t="n"/>
      <c r="B783" s="384" t="n"/>
      <c r="C783" s="384" t="n"/>
      <c r="D783" s="384" t="n"/>
      <c r="E783" s="384" t="n"/>
      <c r="F783" s="384" t="n"/>
      <c r="G783" s="384" t="n"/>
      <c r="H783" s="384" t="n"/>
      <c r="I783" s="384" t="n"/>
      <c r="J783" s="384" t="n"/>
      <c r="K783" s="384" t="n"/>
      <c r="L783" s="384" t="n"/>
      <c r="M783" s="384" t="n"/>
      <c r="N783" s="384" t="n"/>
      <c r="O783" s="384" t="n"/>
      <c r="P783" s="384" t="n"/>
      <c r="Q783" s="384" t="n"/>
      <c r="R783" s="384" t="n"/>
      <c r="S783" s="384" t="n"/>
      <c r="T783" s="384" t="n"/>
      <c r="U783" s="384" t="n"/>
      <c r="V783" s="384" t="n"/>
      <c r="W783" s="384" t="n"/>
      <c r="X783" s="645">
        <f>IF(_epmOfflineCondition_,"I_E101141",EPMOlapMemberO("[C_INTERCO].[PARENTH1].[I_E101141]","","I_E101141","","000"))</f>
        <v/>
      </c>
      <c r="Y783" s="870">
        <f>IF(_epmOfflineCondition_,"京能（锡林郭勒）矿业有限公司",EPMMemberDesc(X783))</f>
        <v/>
      </c>
      <c r="Z783" s="1302" t="n"/>
      <c r="AA783" s="1302" t="n"/>
      <c r="AB783" s="858" t="n"/>
      <c r="AC783" s="1302" t="n"/>
      <c r="AD783" s="1302" t="n"/>
      <c r="AE783" s="1302" t="inlineStr"/>
      <c r="AF783" s="1302" t="inlineStr"/>
      <c r="AG783" s="1302" t="inlineStr"/>
      <c r="AH783" s="1302" t="n"/>
      <c r="AI783" s="1302" t="n"/>
      <c r="AJ783" s="1302" t="n"/>
      <c r="AK783" s="1302">
        <f>AI783-AJ783</f>
        <v/>
      </c>
      <c r="AL783" s="858" t="n"/>
      <c r="AM783" s="1297" t="inlineStr"/>
      <c r="AN783" s="1298" t="n"/>
      <c r="AO783" s="13">
        <f>IF(_epmOfflineCondition_,0,EPMSaveDataOnly(AB783,,AB$29,AB$25,AB$26,AB$31,AB$32,$AA$37,AO$14,AO$15,AO$16,AO$17,AO$18,X783))</f>
        <v/>
      </c>
      <c r="AP783" s="13">
        <f>IF(_epmOfflineCondition_,0,EPMSaveDataOnly(AL783,,AL$29,AL$25,AL$26,AL$31,AL$32,$AA$37,AP$14,AP$15,AP$16,AP$17,AP$18,$X783))</f>
        <v/>
      </c>
      <c r="AQ783" s="13">
        <f>IF(_epmOfflineCondition_,0,EPMSaveData(AM783,,AM$29,AM$25,AM$26,$C$6,AM$32,$AA$37,AQ$14,AQ$15,AQ$16,AQ$17,AQ$18,$X783))</f>
        <v/>
      </c>
      <c r="AR783" s="13">
        <f>IF(_epmOfflineCondition_,0,EPMSaveDataOnly(AN783,,AN$29,AN$25,AN$26,AN$31,AN$32,$AA$37,AR$14,AR$15,AR$16,AR$17,AR$18,$X783))</f>
        <v/>
      </c>
      <c r="AS783" s="384" t="n"/>
    </row>
    <row r="784" hidden="1" ht="15.75" customHeight="1" s="1181">
      <c r="A784" s="384" t="n"/>
      <c r="B784" s="384" t="n"/>
      <c r="C784" s="384" t="n"/>
      <c r="D784" s="384" t="n"/>
      <c r="E784" s="384" t="n"/>
      <c r="F784" s="384" t="n"/>
      <c r="G784" s="384" t="n"/>
      <c r="H784" s="384" t="n"/>
      <c r="I784" s="384" t="n"/>
      <c r="J784" s="384" t="n"/>
      <c r="K784" s="384" t="n"/>
      <c r="L784" s="384" t="n"/>
      <c r="M784" s="384" t="n"/>
      <c r="N784" s="384" t="n"/>
      <c r="O784" s="384" t="n"/>
      <c r="P784" s="384" t="n"/>
      <c r="Q784" s="384" t="n"/>
      <c r="R784" s="384" t="n"/>
      <c r="S784" s="384" t="n"/>
      <c r="T784" s="384" t="n"/>
      <c r="U784" s="384" t="n"/>
      <c r="V784" s="384" t="n"/>
      <c r="W784" s="384" t="n"/>
      <c r="X784" s="645">
        <f>IF(_epmOfflineCondition_,"I_E101097",EPMOlapMemberO("[C_INTERCO].[PARENTH1].[I_E101097]","","I_E101097","","000"))</f>
        <v/>
      </c>
      <c r="Y784" s="870">
        <f>IF(_epmOfflineCondition_,"肇庆市莱湾新能源科技有限公司",EPMMemberDesc(X784))</f>
        <v/>
      </c>
      <c r="Z784" s="1302" t="n"/>
      <c r="AA784" s="1302" t="n"/>
      <c r="AB784" s="858" t="n"/>
      <c r="AC784" s="1302" t="n"/>
      <c r="AD784" s="1302" t="n"/>
      <c r="AE784" s="1302" t="inlineStr"/>
      <c r="AF784" s="1302" t="inlineStr"/>
      <c r="AG784" s="1302" t="inlineStr"/>
      <c r="AH784" s="1302" t="n"/>
      <c r="AI784" s="1302" t="n"/>
      <c r="AJ784" s="1302" t="n"/>
      <c r="AK784" s="1302">
        <f>AI784-AJ784</f>
        <v/>
      </c>
      <c r="AL784" s="858" t="n"/>
      <c r="AM784" s="1297" t="inlineStr"/>
      <c r="AN784" s="1298" t="n"/>
      <c r="AO784" s="13">
        <f>IF(_epmOfflineCondition_,0,EPMSaveDataOnly(AB784,,AB$29,AB$25,AB$26,AB$31,AB$32,$AA$37,AO$14,AO$15,AO$16,AO$17,AO$18,X784))</f>
        <v/>
      </c>
      <c r="AP784" s="13">
        <f>IF(_epmOfflineCondition_,0,EPMSaveDataOnly(AL784,,AL$29,AL$25,AL$26,AL$31,AL$32,$AA$37,AP$14,AP$15,AP$16,AP$17,AP$18,$X784))</f>
        <v/>
      </c>
      <c r="AQ784" s="13">
        <f>IF(_epmOfflineCondition_,0,EPMSaveData(AM784,,AM$29,AM$25,AM$26,$C$6,AM$32,$AA$37,AQ$14,AQ$15,AQ$16,AQ$17,AQ$18,$X784))</f>
        <v/>
      </c>
      <c r="AR784" s="13">
        <f>IF(_epmOfflineCondition_,0,EPMSaveDataOnly(AN784,,AN$29,AN$25,AN$26,AN$31,AN$32,$AA$37,AR$14,AR$15,AR$16,AR$17,AR$18,$X784))</f>
        <v/>
      </c>
      <c r="AS784" s="384" t="n"/>
    </row>
    <row r="785" hidden="1" ht="15.75" customHeight="1" s="1181">
      <c r="A785" s="384" t="n"/>
      <c r="B785" s="384" t="n"/>
      <c r="C785" s="384" t="n"/>
      <c r="D785" s="384" t="n"/>
      <c r="E785" s="384" t="n"/>
      <c r="F785" s="384" t="n"/>
      <c r="G785" s="384" t="n"/>
      <c r="H785" s="384" t="n"/>
      <c r="I785" s="384" t="n"/>
      <c r="J785" s="384" t="n"/>
      <c r="K785" s="384" t="n"/>
      <c r="L785" s="384" t="n"/>
      <c r="M785" s="384" t="n"/>
      <c r="N785" s="384" t="n"/>
      <c r="O785" s="384" t="n"/>
      <c r="P785" s="384" t="n"/>
      <c r="Q785" s="384" t="n"/>
      <c r="R785" s="384" t="n"/>
      <c r="S785" s="384" t="n"/>
      <c r="T785" s="384" t="n"/>
      <c r="U785" s="384" t="n"/>
      <c r="V785" s="384" t="n"/>
      <c r="W785" s="384" t="n"/>
      <c r="X785" s="645">
        <f>IF(_epmOfflineCondition_,"I_E101098",EPMOlapMemberO("[C_INTERCO].[PARENTH1].[I_E101098]","","I_E101098","","000"))</f>
        <v/>
      </c>
      <c r="Y785" s="870">
        <f>IF(_epmOfflineCondition_,"肇庆市莱特斯新能源有限公司",EPMMemberDesc(X785))</f>
        <v/>
      </c>
      <c r="Z785" s="1302" t="n"/>
      <c r="AA785" s="1302" t="n"/>
      <c r="AB785" s="858" t="n"/>
      <c r="AC785" s="1302" t="n"/>
      <c r="AD785" s="1302" t="n"/>
      <c r="AE785" s="1302" t="inlineStr"/>
      <c r="AF785" s="1302" t="inlineStr"/>
      <c r="AG785" s="1302" t="inlineStr"/>
      <c r="AH785" s="1302" t="n"/>
      <c r="AI785" s="1302" t="n"/>
      <c r="AJ785" s="1302" t="n"/>
      <c r="AK785" s="1302">
        <f>AI785-AJ785</f>
        <v/>
      </c>
      <c r="AL785" s="858" t="n"/>
      <c r="AM785" s="1297" t="inlineStr"/>
      <c r="AN785" s="1298" t="n"/>
      <c r="AO785" s="13">
        <f>IF(_epmOfflineCondition_,0,EPMSaveDataOnly(AB785,,AB$29,AB$25,AB$26,AB$31,AB$32,$AA$37,AO$14,AO$15,AO$16,AO$17,AO$18,X785))</f>
        <v/>
      </c>
      <c r="AP785" s="13">
        <f>IF(_epmOfflineCondition_,0,EPMSaveDataOnly(AL785,,AL$29,AL$25,AL$26,AL$31,AL$32,$AA$37,AP$14,AP$15,AP$16,AP$17,AP$18,$X785))</f>
        <v/>
      </c>
      <c r="AQ785" s="13">
        <f>IF(_epmOfflineCondition_,0,EPMSaveData(AM785,,AM$29,AM$25,AM$26,$C$6,AM$32,$AA$37,AQ$14,AQ$15,AQ$16,AQ$17,AQ$18,$X785))</f>
        <v/>
      </c>
      <c r="AR785" s="13">
        <f>IF(_epmOfflineCondition_,0,EPMSaveDataOnly(AN785,,AN$29,AN$25,AN$26,AN$31,AN$32,$AA$37,AR$14,AR$15,AR$16,AR$17,AR$18,$X785))</f>
        <v/>
      </c>
      <c r="AS785" s="384" t="n"/>
    </row>
    <row r="786" hidden="1" ht="15.75" customHeight="1" s="1181">
      <c r="A786" s="384" t="n"/>
      <c r="B786" s="384" t="n"/>
      <c r="C786" s="384" t="n"/>
      <c r="D786" s="384" t="n"/>
      <c r="E786" s="384" t="n"/>
      <c r="F786" s="384" t="n"/>
      <c r="G786" s="384" t="n"/>
      <c r="H786" s="384" t="n"/>
      <c r="I786" s="384" t="n"/>
      <c r="J786" s="384" t="n"/>
      <c r="K786" s="384" t="n"/>
      <c r="L786" s="384" t="n"/>
      <c r="M786" s="384" t="n"/>
      <c r="N786" s="384" t="n"/>
      <c r="O786" s="384" t="n"/>
      <c r="P786" s="384" t="n"/>
      <c r="Q786" s="384" t="n"/>
      <c r="R786" s="384" t="n"/>
      <c r="S786" s="384" t="n"/>
      <c r="T786" s="384" t="n"/>
      <c r="U786" s="384" t="n"/>
      <c r="V786" s="384" t="n"/>
      <c r="W786" s="384" t="n"/>
      <c r="X786" s="645">
        <f>IF(_epmOfflineCondition_,"I_E101100",EPMOlapMemberO("[C_INTERCO].[PARENTH1].[I_E101100]","","I_E101100","","000"))</f>
        <v/>
      </c>
      <c r="Y786" s="870">
        <f>IF(_epmOfflineCondition_,"凤台县晟阳新能源发电有限公司",EPMMemberDesc(X786))</f>
        <v/>
      </c>
      <c r="Z786" s="1302" t="n"/>
      <c r="AA786" s="1302" t="n"/>
      <c r="AB786" s="858" t="n"/>
      <c r="AC786" s="1302" t="n"/>
      <c r="AD786" s="1302" t="n"/>
      <c r="AE786" s="1302" t="inlineStr"/>
      <c r="AF786" s="1302" t="inlineStr"/>
      <c r="AG786" s="1302" t="inlineStr"/>
      <c r="AH786" s="1302" t="n"/>
      <c r="AI786" s="1302" t="n"/>
      <c r="AJ786" s="1302" t="n"/>
      <c r="AK786" s="1302">
        <f>AI786-AJ786</f>
        <v/>
      </c>
      <c r="AL786" s="858" t="n"/>
      <c r="AM786" s="1297" t="inlineStr"/>
      <c r="AN786" s="1298" t="n"/>
      <c r="AO786" s="13">
        <f>IF(_epmOfflineCondition_,0,EPMSaveDataOnly(AB786,,AB$29,AB$25,AB$26,AB$31,AB$32,$AA$37,AO$14,AO$15,AO$16,AO$17,AO$18,X786))</f>
        <v/>
      </c>
      <c r="AP786" s="13">
        <f>IF(_epmOfflineCondition_,0,EPMSaveDataOnly(AL786,,AL$29,AL$25,AL$26,AL$31,AL$32,$AA$37,AP$14,AP$15,AP$16,AP$17,AP$18,$X786))</f>
        <v/>
      </c>
      <c r="AQ786" s="13">
        <f>IF(_epmOfflineCondition_,0,EPMSaveData(AM786,,AM$29,AM$25,AM$26,$C$6,AM$32,$AA$37,AQ$14,AQ$15,AQ$16,AQ$17,AQ$18,$X786))</f>
        <v/>
      </c>
      <c r="AR786" s="13">
        <f>IF(_epmOfflineCondition_,0,EPMSaveDataOnly(AN786,,AN$29,AN$25,AN$26,AN$31,AN$32,$AA$37,AR$14,AR$15,AR$16,AR$17,AR$18,$X786))</f>
        <v/>
      </c>
      <c r="AS786" s="384" t="n"/>
    </row>
    <row r="787" hidden="1" ht="15.75" customHeight="1" s="1181">
      <c r="A787" s="384" t="n"/>
      <c r="B787" s="384" t="n"/>
      <c r="C787" s="384" t="n"/>
      <c r="D787" s="384" t="n"/>
      <c r="E787" s="384" t="n"/>
      <c r="F787" s="384" t="n"/>
      <c r="G787" s="384" t="n"/>
      <c r="H787" s="384" t="n"/>
      <c r="I787" s="384" t="n"/>
      <c r="J787" s="384" t="n"/>
      <c r="K787" s="384" t="n"/>
      <c r="L787" s="384" t="n"/>
      <c r="M787" s="384" t="n"/>
      <c r="N787" s="384" t="n"/>
      <c r="O787" s="384" t="n"/>
      <c r="P787" s="384" t="n"/>
      <c r="Q787" s="384" t="n"/>
      <c r="R787" s="384" t="n"/>
      <c r="S787" s="384" t="n"/>
      <c r="T787" s="384" t="n"/>
      <c r="U787" s="384" t="n"/>
      <c r="V787" s="384" t="n"/>
      <c r="W787" s="384" t="n"/>
      <c r="X787" s="645">
        <f>IF(_epmOfflineCondition_,"I_E101101",EPMOlapMemberO("[C_INTERCO].[PARENTH1].[I_E101101]","","I_E101101","","000"))</f>
        <v/>
      </c>
      <c r="Y787" s="870">
        <f>IF(_epmOfflineCondition_,"三门峡峡湖源风力发电有限公司",EPMMemberDesc(X787))</f>
        <v/>
      </c>
      <c r="Z787" s="1302" t="n"/>
      <c r="AA787" s="1302" t="n"/>
      <c r="AB787" s="858" t="n"/>
      <c r="AC787" s="1302" t="n"/>
      <c r="AD787" s="1302" t="n"/>
      <c r="AE787" s="1302" t="inlineStr"/>
      <c r="AF787" s="1302" t="inlineStr"/>
      <c r="AG787" s="1302" t="inlineStr"/>
      <c r="AH787" s="1302" t="n"/>
      <c r="AI787" s="1302" t="n"/>
      <c r="AJ787" s="1302" t="n"/>
      <c r="AK787" s="1302">
        <f>AI787-AJ787</f>
        <v/>
      </c>
      <c r="AL787" s="858" t="n"/>
      <c r="AM787" s="1297" t="inlineStr"/>
      <c r="AN787" s="1298" t="n"/>
      <c r="AO787" s="13">
        <f>IF(_epmOfflineCondition_,0,EPMSaveDataOnly(AB787,,AB$29,AB$25,AB$26,AB$31,AB$32,$AA$37,AO$14,AO$15,AO$16,AO$17,AO$18,X787))</f>
        <v/>
      </c>
      <c r="AP787" s="13">
        <f>IF(_epmOfflineCondition_,0,EPMSaveDataOnly(AL787,,AL$29,AL$25,AL$26,AL$31,AL$32,$AA$37,AP$14,AP$15,AP$16,AP$17,AP$18,$X787))</f>
        <v/>
      </c>
      <c r="AQ787" s="13">
        <f>IF(_epmOfflineCondition_,0,EPMSaveData(AM787,,AM$29,AM$25,AM$26,$C$6,AM$32,$AA$37,AQ$14,AQ$15,AQ$16,AQ$17,AQ$18,$X787))</f>
        <v/>
      </c>
      <c r="AR787" s="13">
        <f>IF(_epmOfflineCondition_,0,EPMSaveDataOnly(AN787,,AN$29,AN$25,AN$26,AN$31,AN$32,$AA$37,AR$14,AR$15,AR$16,AR$17,AR$18,$X787))</f>
        <v/>
      </c>
      <c r="AS787" s="384" t="n"/>
    </row>
    <row r="788" hidden="1" ht="15.75" customHeight="1" s="1181">
      <c r="A788" s="384" t="n"/>
      <c r="B788" s="384" t="n"/>
      <c r="C788" s="384" t="n"/>
      <c r="D788" s="384" t="n"/>
      <c r="E788" s="384" t="n"/>
      <c r="F788" s="384" t="n"/>
      <c r="G788" s="384" t="n"/>
      <c r="H788" s="384" t="n"/>
      <c r="I788" s="384" t="n"/>
      <c r="J788" s="384" t="n"/>
      <c r="K788" s="384" t="n"/>
      <c r="L788" s="384" t="n"/>
      <c r="M788" s="384" t="n"/>
      <c r="N788" s="384" t="n"/>
      <c r="O788" s="384" t="n"/>
      <c r="P788" s="384" t="n"/>
      <c r="Q788" s="384" t="n"/>
      <c r="R788" s="384" t="n"/>
      <c r="S788" s="384" t="n"/>
      <c r="T788" s="384" t="n"/>
      <c r="U788" s="384" t="n"/>
      <c r="V788" s="384" t="n"/>
      <c r="W788" s="384" t="n"/>
      <c r="X788" s="645">
        <f>IF(_epmOfflineCondition_,"I_E101102",EPMOlapMemberO("[C_INTERCO].[PARENTH1].[I_E101102]","","I_E101102","","000"))</f>
        <v/>
      </c>
      <c r="Y788" s="870">
        <f>IF(_epmOfflineCondition_,"伊川县康庆新能源有限公司",EPMMemberDesc(X788))</f>
        <v/>
      </c>
      <c r="Z788" s="1302" t="n"/>
      <c r="AA788" s="1302" t="n"/>
      <c r="AB788" s="858" t="n"/>
      <c r="AC788" s="1302" t="n"/>
      <c r="AD788" s="1302" t="n"/>
      <c r="AE788" s="1302" t="inlineStr"/>
      <c r="AF788" s="1302" t="inlineStr"/>
      <c r="AG788" s="1302" t="inlineStr"/>
      <c r="AH788" s="1302" t="n"/>
      <c r="AI788" s="1302" t="n"/>
      <c r="AJ788" s="1302" t="n"/>
      <c r="AK788" s="1302">
        <f>AI788-AJ788</f>
        <v/>
      </c>
      <c r="AL788" s="858" t="n"/>
      <c r="AM788" s="1297" t="inlineStr"/>
      <c r="AN788" s="1298" t="n"/>
      <c r="AO788" s="13">
        <f>IF(_epmOfflineCondition_,0,EPMSaveDataOnly(AB788,,AB$29,AB$25,AB$26,AB$31,AB$32,$AA$37,AO$14,AO$15,AO$16,AO$17,AO$18,X788))</f>
        <v/>
      </c>
      <c r="AP788" s="13">
        <f>IF(_epmOfflineCondition_,0,EPMSaveDataOnly(AL788,,AL$29,AL$25,AL$26,AL$31,AL$32,$AA$37,AP$14,AP$15,AP$16,AP$17,AP$18,$X788))</f>
        <v/>
      </c>
      <c r="AQ788" s="13">
        <f>IF(_epmOfflineCondition_,0,EPMSaveData(AM788,,AM$29,AM$25,AM$26,$C$6,AM$32,$AA$37,AQ$14,AQ$15,AQ$16,AQ$17,AQ$18,$X788))</f>
        <v/>
      </c>
      <c r="AR788" s="13">
        <f>IF(_epmOfflineCondition_,0,EPMSaveDataOnly(AN788,,AN$29,AN$25,AN$26,AN$31,AN$32,$AA$37,AR$14,AR$15,AR$16,AR$17,AR$18,$X788))</f>
        <v/>
      </c>
      <c r="AS788" s="384" t="n"/>
    </row>
    <row r="789" hidden="1" ht="15.75" customHeight="1" s="1181">
      <c r="A789" s="384" t="n"/>
      <c r="B789" s="384" t="n"/>
      <c r="C789" s="384" t="n"/>
      <c r="D789" s="384" t="n"/>
      <c r="E789" s="384" t="n"/>
      <c r="F789" s="384" t="n"/>
      <c r="G789" s="384" t="n"/>
      <c r="H789" s="384" t="n"/>
      <c r="I789" s="384" t="n"/>
      <c r="J789" s="384" t="n"/>
      <c r="K789" s="384" t="n"/>
      <c r="L789" s="384" t="n"/>
      <c r="M789" s="384" t="n"/>
      <c r="N789" s="384" t="n"/>
      <c r="O789" s="384" t="n"/>
      <c r="P789" s="384" t="n"/>
      <c r="Q789" s="384" t="n"/>
      <c r="R789" s="384" t="n"/>
      <c r="S789" s="384" t="n"/>
      <c r="T789" s="384" t="n"/>
      <c r="U789" s="384" t="n"/>
      <c r="V789" s="384" t="n"/>
      <c r="W789" s="384" t="n"/>
      <c r="X789" s="645">
        <f>IF(_epmOfflineCondition_,"I_E101146",EPMOlapMemberO("[C_INTERCO].[PARENTH1].[I_E101146]","","I_E101146","","000"))</f>
        <v/>
      </c>
      <c r="Y789" s="870">
        <f>IF(_epmOfflineCondition_,"北京京能电力股份有限公司鄂尔多斯市分公司",EPMMemberDesc(X789))</f>
        <v/>
      </c>
      <c r="Z789" s="1302" t="n"/>
      <c r="AA789" s="1302" t="n"/>
      <c r="AB789" s="858" t="n"/>
      <c r="AC789" s="1302" t="n"/>
      <c r="AD789" s="1302" t="n"/>
      <c r="AE789" s="1302" t="inlineStr"/>
      <c r="AF789" s="1302" t="inlineStr"/>
      <c r="AG789" s="1302" t="inlineStr"/>
      <c r="AH789" s="1302" t="n"/>
      <c r="AI789" s="1302" t="n"/>
      <c r="AJ789" s="1302" t="n"/>
      <c r="AK789" s="1302">
        <f>AI789-AJ789</f>
        <v/>
      </c>
      <c r="AL789" s="858" t="n"/>
      <c r="AM789" s="1297" t="inlineStr"/>
      <c r="AN789" s="1298" t="n"/>
      <c r="AO789" s="13">
        <f>IF(_epmOfflineCondition_,0,EPMSaveDataOnly(AB789,,AB$29,AB$25,AB$26,AB$31,AB$32,$AA$37,AO$14,AO$15,AO$16,AO$17,AO$18,X789))</f>
        <v/>
      </c>
      <c r="AP789" s="13">
        <f>IF(_epmOfflineCondition_,0,EPMSaveDataOnly(AL789,,AL$29,AL$25,AL$26,AL$31,AL$32,$AA$37,AP$14,AP$15,AP$16,AP$17,AP$18,$X789))</f>
        <v/>
      </c>
      <c r="AQ789" s="13">
        <f>IF(_epmOfflineCondition_,0,EPMSaveData(AM789,,AM$29,AM$25,AM$26,$C$6,AM$32,$AA$37,AQ$14,AQ$15,AQ$16,AQ$17,AQ$18,$X789))</f>
        <v/>
      </c>
      <c r="AR789" s="13">
        <f>IF(_epmOfflineCondition_,0,EPMSaveDataOnly(AN789,,AN$29,AN$25,AN$26,AN$31,AN$32,$AA$37,AR$14,AR$15,AR$16,AR$17,AR$18,$X789))</f>
        <v/>
      </c>
      <c r="AS789" s="384" t="n"/>
    </row>
    <row r="790" hidden="1" ht="15.75" customHeight="1" s="1181">
      <c r="A790" s="384" t="n"/>
      <c r="B790" s="384" t="n"/>
      <c r="C790" s="384" t="n"/>
      <c r="D790" s="384" t="n"/>
      <c r="E790" s="384" t="n"/>
      <c r="F790" s="384" t="n"/>
      <c r="G790" s="384" t="n"/>
      <c r="H790" s="384" t="n"/>
      <c r="I790" s="384" t="n"/>
      <c r="J790" s="384" t="n"/>
      <c r="K790" s="384" t="n"/>
      <c r="L790" s="384" t="n"/>
      <c r="M790" s="384" t="n"/>
      <c r="N790" s="384" t="n"/>
      <c r="O790" s="384" t="n"/>
      <c r="P790" s="384" t="n"/>
      <c r="Q790" s="384" t="n"/>
      <c r="R790" s="384" t="n"/>
      <c r="S790" s="384" t="n"/>
      <c r="T790" s="384" t="n"/>
      <c r="U790" s="384" t="n"/>
      <c r="V790" s="384" t="n"/>
      <c r="W790" s="384" t="n"/>
      <c r="X790" s="645">
        <f>IF(_epmOfflineCondition_,"I_E101147",EPMOlapMemberO("[C_INTERCO].[PARENTH1].[I_E101147]","","I_E101147","","000"))</f>
        <v/>
      </c>
      <c r="Y790" s="870">
        <f>IF(_epmOfflineCondition_,"北京京能电力股份有限公司酒泉分公司",EPMMemberDesc(X790))</f>
        <v/>
      </c>
      <c r="Z790" s="1302" t="n"/>
      <c r="AA790" s="1302" t="n"/>
      <c r="AB790" s="858" t="n"/>
      <c r="AC790" s="1302" t="n"/>
      <c r="AD790" s="1302" t="n"/>
      <c r="AE790" s="1302" t="inlineStr"/>
      <c r="AF790" s="1302" t="inlineStr"/>
      <c r="AG790" s="1302" t="inlineStr"/>
      <c r="AH790" s="1302" t="n"/>
      <c r="AI790" s="1302" t="n"/>
      <c r="AJ790" s="1302" t="n"/>
      <c r="AK790" s="1302">
        <f>AI790-AJ790</f>
        <v/>
      </c>
      <c r="AL790" s="858" t="n"/>
      <c r="AM790" s="1297" t="inlineStr"/>
      <c r="AN790" s="1298" t="n"/>
      <c r="AO790" s="13">
        <f>IF(_epmOfflineCondition_,0,EPMSaveDataOnly(AB790,,AB$29,AB$25,AB$26,AB$31,AB$32,$AA$37,AO$14,AO$15,AO$16,AO$17,AO$18,X790))</f>
        <v/>
      </c>
      <c r="AP790" s="13">
        <f>IF(_epmOfflineCondition_,0,EPMSaveDataOnly(AL790,,AL$29,AL$25,AL$26,AL$31,AL$32,$AA$37,AP$14,AP$15,AP$16,AP$17,AP$18,$X790))</f>
        <v/>
      </c>
      <c r="AQ790" s="13">
        <f>IF(_epmOfflineCondition_,0,EPMSaveData(AM790,,AM$29,AM$25,AM$26,$C$6,AM$32,$AA$37,AQ$14,AQ$15,AQ$16,AQ$17,AQ$18,$X790))</f>
        <v/>
      </c>
      <c r="AR790" s="13">
        <f>IF(_epmOfflineCondition_,0,EPMSaveDataOnly(AN790,,AN$29,AN$25,AN$26,AN$31,AN$32,$AA$37,AR$14,AR$15,AR$16,AR$17,AR$18,$X790))</f>
        <v/>
      </c>
      <c r="AS790" s="384" t="n"/>
    </row>
    <row r="791" hidden="1" ht="15.75" customHeight="1" s="1181">
      <c r="A791" s="384" t="n"/>
      <c r="B791" s="384" t="n"/>
      <c r="C791" s="384" t="n"/>
      <c r="D791" s="384" t="n"/>
      <c r="E791" s="384" t="n"/>
      <c r="F791" s="384" t="n"/>
      <c r="G791" s="384" t="n"/>
      <c r="H791" s="384" t="n"/>
      <c r="I791" s="384" t="n"/>
      <c r="J791" s="384" t="n"/>
      <c r="K791" s="384" t="n"/>
      <c r="L791" s="384" t="n"/>
      <c r="M791" s="384" t="n"/>
      <c r="N791" s="384" t="n"/>
      <c r="O791" s="384" t="n"/>
      <c r="P791" s="384" t="n"/>
      <c r="Q791" s="384" t="n"/>
      <c r="R791" s="384" t="n"/>
      <c r="S791" s="384" t="n"/>
      <c r="T791" s="384" t="n"/>
      <c r="U791" s="384" t="n"/>
      <c r="V791" s="384" t="n"/>
      <c r="W791" s="384" t="n"/>
      <c r="X791" s="645">
        <f>IF(_epmOfflineCondition_,"I_E100804",EPMOlapMemberO("[C_INTERCO].[PARENTH1].[I_E100804]","","I_E100804","","000"))</f>
        <v/>
      </c>
      <c r="Y791" s="870">
        <f>IF(_epmOfflineCondition_,"北京京能热力发展有限公司通州分公司",EPMMemberDesc(X791))</f>
        <v/>
      </c>
      <c r="Z791" s="1302" t="n"/>
      <c r="AA791" s="1302" t="n"/>
      <c r="AB791" s="858" t="n"/>
      <c r="AC791" s="1302" t="n"/>
      <c r="AD791" s="1302" t="n"/>
      <c r="AE791" s="1302" t="inlineStr"/>
      <c r="AF791" s="1302" t="inlineStr"/>
      <c r="AG791" s="1302" t="inlineStr"/>
      <c r="AH791" s="1302" t="n"/>
      <c r="AI791" s="1302" t="n"/>
      <c r="AJ791" s="1302" t="n"/>
      <c r="AK791" s="1302">
        <f>AI791-AJ791</f>
        <v/>
      </c>
      <c r="AL791" s="858" t="n"/>
      <c r="AM791" s="1297" t="inlineStr"/>
      <c r="AN791" s="1298" t="n"/>
      <c r="AO791" s="13">
        <f>IF(_epmOfflineCondition_,0,EPMSaveDataOnly(AB791,,AB$29,AB$25,AB$26,AB$31,AB$32,$AA$37,AO$14,AO$15,AO$16,AO$17,AO$18,X791))</f>
        <v/>
      </c>
      <c r="AP791" s="13">
        <f>IF(_epmOfflineCondition_,0,EPMSaveDataOnly(AL791,,AL$29,AL$25,AL$26,AL$31,AL$32,$AA$37,AP$14,AP$15,AP$16,AP$17,AP$18,$X791))</f>
        <v/>
      </c>
      <c r="AQ791" s="13">
        <f>IF(_epmOfflineCondition_,0,EPMSaveData(AM791,,AM$29,AM$25,AM$26,$C$6,AM$32,$AA$37,AQ$14,AQ$15,AQ$16,AQ$17,AQ$18,$X791))</f>
        <v/>
      </c>
      <c r="AR791" s="13">
        <f>IF(_epmOfflineCondition_,0,EPMSaveDataOnly(AN791,,AN$29,AN$25,AN$26,AN$31,AN$32,$AA$37,AR$14,AR$15,AR$16,AR$17,AR$18,$X791))</f>
        <v/>
      </c>
      <c r="AS791" s="384" t="n"/>
    </row>
    <row r="792" hidden="1" ht="15.75" customHeight="1" s="1181">
      <c r="A792" s="384" t="n"/>
      <c r="B792" s="384" t="n"/>
      <c r="C792" s="384" t="n"/>
      <c r="D792" s="384" t="n"/>
      <c r="E792" s="384" t="n"/>
      <c r="F792" s="384" t="n"/>
      <c r="G792" s="384" t="n"/>
      <c r="H792" s="384" t="n"/>
      <c r="I792" s="384" t="n"/>
      <c r="J792" s="384" t="n"/>
      <c r="K792" s="384" t="n"/>
      <c r="L792" s="384" t="n"/>
      <c r="M792" s="384" t="n"/>
      <c r="N792" s="384" t="n"/>
      <c r="O792" s="384" t="n"/>
      <c r="P792" s="384" t="n"/>
      <c r="Q792" s="384" t="n"/>
      <c r="R792" s="384" t="n"/>
      <c r="S792" s="384" t="n"/>
      <c r="T792" s="384" t="n"/>
      <c r="U792" s="384" t="n"/>
      <c r="V792" s="384" t="n"/>
      <c r="W792" s="384" t="n"/>
      <c r="X792" s="645">
        <f>IF(_epmOfflineCondition_,"I_E101140",EPMOlapMemberO("[C_INTERCO].[PARENTH1].[I_E101140]","","I_E101140","","000"))</f>
        <v/>
      </c>
      <c r="Y792" s="870">
        <f>IF(_epmOfflineCondition_,"北京京能热力发展有限公司华源分公司",EPMMemberDesc(X792))</f>
        <v/>
      </c>
      <c r="Z792" s="1302" t="n"/>
      <c r="AA792" s="1302" t="n"/>
      <c r="AB792" s="858" t="n"/>
      <c r="AC792" s="1302" t="n"/>
      <c r="AD792" s="1302" t="n"/>
      <c r="AE792" s="1302" t="inlineStr"/>
      <c r="AF792" s="1302" t="inlineStr"/>
      <c r="AG792" s="1302" t="inlineStr"/>
      <c r="AH792" s="1302" t="n"/>
      <c r="AI792" s="1302" t="n"/>
      <c r="AJ792" s="1302" t="n"/>
      <c r="AK792" s="1302">
        <f>AI792-AJ792</f>
        <v/>
      </c>
      <c r="AL792" s="858" t="n"/>
      <c r="AM792" s="1297" t="inlineStr"/>
      <c r="AN792" s="1298" t="n"/>
      <c r="AO792" s="13">
        <f>IF(_epmOfflineCondition_,0,EPMSaveDataOnly(AB792,,AB$29,AB$25,AB$26,AB$31,AB$32,$AA$37,AO$14,AO$15,AO$16,AO$17,AO$18,X792))</f>
        <v/>
      </c>
      <c r="AP792" s="13">
        <f>IF(_epmOfflineCondition_,0,EPMSaveDataOnly(AL792,,AL$29,AL$25,AL$26,AL$31,AL$32,$AA$37,AP$14,AP$15,AP$16,AP$17,AP$18,$X792))</f>
        <v/>
      </c>
      <c r="AQ792" s="13">
        <f>IF(_epmOfflineCondition_,0,EPMSaveData(AM792,,AM$29,AM$25,AM$26,$C$6,AM$32,$AA$37,AQ$14,AQ$15,AQ$16,AQ$17,AQ$18,$X792))</f>
        <v/>
      </c>
      <c r="AR792" s="13">
        <f>IF(_epmOfflineCondition_,0,EPMSaveDataOnly(AN792,,AN$29,AN$25,AN$26,AN$31,AN$32,$AA$37,AR$14,AR$15,AR$16,AR$17,AR$18,$X792))</f>
        <v/>
      </c>
      <c r="AS792" s="384" t="n"/>
    </row>
    <row r="793" hidden="1" ht="15.75" customHeight="1" s="1181">
      <c r="A793" s="384" t="n"/>
      <c r="B793" s="384" t="n"/>
      <c r="C793" s="384" t="n"/>
      <c r="D793" s="384" t="n"/>
      <c r="E793" s="384" t="n"/>
      <c r="F793" s="384" t="n"/>
      <c r="G793" s="384" t="n"/>
      <c r="H793" s="384" t="n"/>
      <c r="I793" s="384" t="n"/>
      <c r="J793" s="384" t="n"/>
      <c r="K793" s="384" t="n"/>
      <c r="L793" s="384" t="n"/>
      <c r="M793" s="384" t="n"/>
      <c r="N793" s="384" t="n"/>
      <c r="O793" s="384" t="n"/>
      <c r="P793" s="384" t="n"/>
      <c r="Q793" s="384" t="n"/>
      <c r="R793" s="384" t="n"/>
      <c r="S793" s="384" t="n"/>
      <c r="T793" s="384" t="n"/>
      <c r="U793" s="384" t="n"/>
      <c r="V793" s="384" t="n"/>
      <c r="W793" s="384" t="n"/>
      <c r="X793" s="645">
        <f>IF(_epmOfflineCondition_,"I_E101149",EPMOlapMemberO("[C_INTERCO].[PARENTH1].[I_E101149]","","I_E101149","","000"))</f>
        <v/>
      </c>
      <c r="Y793" s="870">
        <f>IF(_epmOfflineCondition_,"内蒙古京能新能源科技有限公司武汉分公司",EPMMemberDesc(X793))</f>
        <v/>
      </c>
      <c r="Z793" s="1302" t="n"/>
      <c r="AA793" s="1302" t="n"/>
      <c r="AB793" s="858" t="n"/>
      <c r="AC793" s="1302" t="n"/>
      <c r="AD793" s="1302" t="n"/>
      <c r="AE793" s="1302" t="inlineStr"/>
      <c r="AF793" s="1302" t="inlineStr"/>
      <c r="AG793" s="1302" t="inlineStr"/>
      <c r="AH793" s="1302" t="n"/>
      <c r="AI793" s="1302" t="n"/>
      <c r="AJ793" s="1302" t="n"/>
      <c r="AK793" s="1302">
        <f>AI793-AJ793</f>
        <v/>
      </c>
      <c r="AL793" s="858" t="n"/>
      <c r="AM793" s="1297" t="inlineStr"/>
      <c r="AN793" s="1298" t="n"/>
      <c r="AO793" s="13">
        <f>IF(_epmOfflineCondition_,0,EPMSaveDataOnly(AB793,,AB$29,AB$25,AB$26,AB$31,AB$32,$AA$37,AO$14,AO$15,AO$16,AO$17,AO$18,X793))</f>
        <v/>
      </c>
      <c r="AP793" s="13">
        <f>IF(_epmOfflineCondition_,0,EPMSaveDataOnly(AL793,,AL$29,AL$25,AL$26,AL$31,AL$32,$AA$37,AP$14,AP$15,AP$16,AP$17,AP$18,$X793))</f>
        <v/>
      </c>
      <c r="AQ793" s="13">
        <f>IF(_epmOfflineCondition_,0,EPMSaveData(AM793,,AM$29,AM$25,AM$26,$C$6,AM$32,$AA$37,AQ$14,AQ$15,AQ$16,AQ$17,AQ$18,$X793))</f>
        <v/>
      </c>
      <c r="AR793" s="13">
        <f>IF(_epmOfflineCondition_,0,EPMSaveDataOnly(AN793,,AN$29,AN$25,AN$26,AN$31,AN$32,$AA$37,AR$14,AR$15,AR$16,AR$17,AR$18,$X793))</f>
        <v/>
      </c>
      <c r="AS793" s="384" t="n"/>
    </row>
    <row r="794" hidden="1" ht="15.75" customHeight="1" s="1181">
      <c r="A794" s="384" t="n"/>
      <c r="B794" s="384" t="n"/>
      <c r="C794" s="384" t="n"/>
      <c r="D794" s="384" t="n"/>
      <c r="E794" s="384" t="n"/>
      <c r="F794" s="384" t="n"/>
      <c r="G794" s="384" t="n"/>
      <c r="H794" s="384" t="n"/>
      <c r="I794" s="384" t="n"/>
      <c r="J794" s="384" t="n"/>
      <c r="K794" s="384" t="n"/>
      <c r="L794" s="384" t="n"/>
      <c r="M794" s="384" t="n"/>
      <c r="N794" s="384" t="n"/>
      <c r="O794" s="384" t="n"/>
      <c r="P794" s="384" t="n"/>
      <c r="Q794" s="384" t="n"/>
      <c r="R794" s="384" t="n"/>
      <c r="S794" s="384" t="n"/>
      <c r="T794" s="384" t="n"/>
      <c r="U794" s="384" t="n"/>
      <c r="V794" s="384" t="n"/>
      <c r="W794" s="384" t="n"/>
      <c r="X794" s="645">
        <f>IF(_epmOfflineCondition_,"I_E101150",EPMOlapMemberO("[C_INTERCO].[PARENTH1].[I_E101150]","","I_E101150","","000"))</f>
        <v/>
      </c>
      <c r="Y794" s="870">
        <f>IF(_epmOfflineCondition_,"西良周（北京）农业科技有限公司",EPMMemberDesc(X794))</f>
        <v/>
      </c>
      <c r="Z794" s="1302" t="n"/>
      <c r="AA794" s="1302" t="n"/>
      <c r="AB794" s="858" t="n"/>
      <c r="AC794" s="1302" t="n"/>
      <c r="AD794" s="1302" t="n"/>
      <c r="AE794" s="1302" t="inlineStr"/>
      <c r="AF794" s="1302" t="inlineStr"/>
      <c r="AG794" s="1302" t="inlineStr"/>
      <c r="AH794" s="1302" t="n"/>
      <c r="AI794" s="1302" t="n"/>
      <c r="AJ794" s="1302" t="n"/>
      <c r="AK794" s="1302">
        <f>AI794-AJ794</f>
        <v/>
      </c>
      <c r="AL794" s="858" t="n"/>
      <c r="AM794" s="1297" t="inlineStr"/>
      <c r="AN794" s="1298" t="n"/>
      <c r="AO794" s="13">
        <f>IF(_epmOfflineCondition_,0,EPMSaveDataOnly(AB794,,AB$29,AB$25,AB$26,AB$31,AB$32,$AA$37,AO$14,AO$15,AO$16,AO$17,AO$18,X794))</f>
        <v/>
      </c>
      <c r="AP794" s="13">
        <f>IF(_epmOfflineCondition_,0,EPMSaveDataOnly(AL794,,AL$29,AL$25,AL$26,AL$31,AL$32,$AA$37,AP$14,AP$15,AP$16,AP$17,AP$18,$X794))</f>
        <v/>
      </c>
      <c r="AQ794" s="13">
        <f>IF(_epmOfflineCondition_,0,EPMSaveData(AM794,,AM$29,AM$25,AM$26,$C$6,AM$32,$AA$37,AQ$14,AQ$15,AQ$16,AQ$17,AQ$18,$X794))</f>
        <v/>
      </c>
      <c r="AR794" s="13">
        <f>IF(_epmOfflineCondition_,0,EPMSaveDataOnly(AN794,,AN$29,AN$25,AN$26,AN$31,AN$32,$AA$37,AR$14,AR$15,AR$16,AR$17,AR$18,$X794))</f>
        <v/>
      </c>
      <c r="AS794" s="384" t="n"/>
    </row>
    <row r="795" hidden="1" ht="15.75" customHeight="1" s="1181">
      <c r="A795" s="384" t="n"/>
      <c r="B795" s="384" t="n"/>
      <c r="C795" s="384" t="n"/>
      <c r="D795" s="384" t="n"/>
      <c r="E795" s="384" t="n"/>
      <c r="F795" s="384" t="n"/>
      <c r="G795" s="384" t="n"/>
      <c r="H795" s="384" t="n"/>
      <c r="I795" s="384" t="n"/>
      <c r="J795" s="384" t="n"/>
      <c r="K795" s="384" t="n"/>
      <c r="L795" s="384" t="n"/>
      <c r="M795" s="384" t="n"/>
      <c r="N795" s="384" t="n"/>
      <c r="O795" s="384" t="n"/>
      <c r="P795" s="384" t="n"/>
      <c r="Q795" s="384" t="n"/>
      <c r="R795" s="384" t="n"/>
      <c r="S795" s="384" t="n"/>
      <c r="T795" s="384" t="n"/>
      <c r="U795" s="384" t="n"/>
      <c r="V795" s="384" t="n"/>
      <c r="W795" s="384" t="n"/>
      <c r="X795" s="645">
        <f>IF(_epmOfflineCondition_,"I_E101133",EPMOlapMemberO("[C_INTERCO].[PARENTH1].[I_E101133]","","I_E101133","","000"))</f>
        <v/>
      </c>
      <c r="Y795" s="870">
        <f>IF(_epmOfflineCondition_,"京能冀北新能源（唐山）有限公司",EPMMemberDesc(X795))</f>
        <v/>
      </c>
      <c r="Z795" s="1302" t="n"/>
      <c r="AA795" s="1302" t="n"/>
      <c r="AB795" s="858" t="n"/>
      <c r="AC795" s="1302" t="n"/>
      <c r="AD795" s="1302" t="n"/>
      <c r="AE795" s="1302" t="inlineStr"/>
      <c r="AF795" s="1302" t="inlineStr"/>
      <c r="AG795" s="1302" t="inlineStr"/>
      <c r="AH795" s="1302" t="n"/>
      <c r="AI795" s="1302" t="n"/>
      <c r="AJ795" s="1302" t="n"/>
      <c r="AK795" s="1302">
        <f>AI795-AJ795</f>
        <v/>
      </c>
      <c r="AL795" s="858" t="n"/>
      <c r="AM795" s="1297" t="inlineStr"/>
      <c r="AN795" s="1298" t="n"/>
      <c r="AO795" s="13">
        <f>IF(_epmOfflineCondition_,0,EPMSaveDataOnly(AB795,,AB$29,AB$25,AB$26,AB$31,AB$32,$AA$37,AO$14,AO$15,AO$16,AO$17,AO$18,X795))</f>
        <v/>
      </c>
      <c r="AP795" s="13">
        <f>IF(_epmOfflineCondition_,0,EPMSaveDataOnly(AL795,,AL$29,AL$25,AL$26,AL$31,AL$32,$AA$37,AP$14,AP$15,AP$16,AP$17,AP$18,$X795))</f>
        <v/>
      </c>
      <c r="AQ795" s="13">
        <f>IF(_epmOfflineCondition_,0,EPMSaveData(AM795,,AM$29,AM$25,AM$26,$C$6,AM$32,$AA$37,AQ$14,AQ$15,AQ$16,AQ$17,AQ$18,$X795))</f>
        <v/>
      </c>
      <c r="AR795" s="13">
        <f>IF(_epmOfflineCondition_,0,EPMSaveDataOnly(AN795,,AN$29,AN$25,AN$26,AN$31,AN$32,$AA$37,AR$14,AR$15,AR$16,AR$17,AR$18,$X795))</f>
        <v/>
      </c>
      <c r="AS795" s="384" t="n"/>
    </row>
    <row r="796" hidden="1" ht="15.75" customHeight="1" s="1181">
      <c r="A796" s="384" t="n"/>
      <c r="B796" s="384" t="n"/>
      <c r="C796" s="384" t="n"/>
      <c r="D796" s="384" t="n"/>
      <c r="E796" s="384" t="n"/>
      <c r="F796" s="384" t="n"/>
      <c r="G796" s="384" t="n"/>
      <c r="H796" s="384" t="n"/>
      <c r="I796" s="384" t="n"/>
      <c r="J796" s="384" t="n"/>
      <c r="K796" s="384" t="n"/>
      <c r="L796" s="384" t="n"/>
      <c r="M796" s="384" t="n"/>
      <c r="N796" s="384" t="n"/>
      <c r="O796" s="384" t="n"/>
      <c r="P796" s="384" t="n"/>
      <c r="Q796" s="384" t="n"/>
      <c r="R796" s="384" t="n"/>
      <c r="S796" s="384" t="n"/>
      <c r="T796" s="384" t="n"/>
      <c r="U796" s="384" t="n"/>
      <c r="V796" s="384" t="n"/>
      <c r="W796" s="384" t="n"/>
      <c r="X796" s="645">
        <f>IF(_epmOfflineCondition_,"I_E101144",EPMOlapMemberO("[C_INTERCO].[PARENTH1].[I_E101144]","","I_E101144","","000"))</f>
        <v/>
      </c>
      <c r="Y796" s="870">
        <f>IF(_epmOfflineCondition_,"横峰县晶源电力有限公司",EPMMemberDesc(X796))</f>
        <v/>
      </c>
      <c r="Z796" s="1302" t="n"/>
      <c r="AA796" s="1302" t="n"/>
      <c r="AB796" s="858" t="n"/>
      <c r="AC796" s="1302" t="n"/>
      <c r="AD796" s="1302" t="n"/>
      <c r="AE796" s="1302" t="inlineStr"/>
      <c r="AF796" s="1302" t="inlineStr"/>
      <c r="AG796" s="1302" t="inlineStr"/>
      <c r="AH796" s="1302" t="n"/>
      <c r="AI796" s="1302" t="n"/>
      <c r="AJ796" s="1302" t="n"/>
      <c r="AK796" s="1302">
        <f>AI796-AJ796</f>
        <v/>
      </c>
      <c r="AL796" s="858" t="n"/>
      <c r="AM796" s="1297" t="inlineStr"/>
      <c r="AN796" s="1298" t="n"/>
      <c r="AO796" s="13">
        <f>IF(_epmOfflineCondition_,0,EPMSaveDataOnly(AB796,,AB$29,AB$25,AB$26,AB$31,AB$32,$AA$37,AO$14,AO$15,AO$16,AO$17,AO$18,X796))</f>
        <v/>
      </c>
      <c r="AP796" s="13">
        <f>IF(_epmOfflineCondition_,0,EPMSaveDataOnly(AL796,,AL$29,AL$25,AL$26,AL$31,AL$32,$AA$37,AP$14,AP$15,AP$16,AP$17,AP$18,$X796))</f>
        <v/>
      </c>
      <c r="AQ796" s="13">
        <f>IF(_epmOfflineCondition_,0,EPMSaveData(AM796,,AM$29,AM$25,AM$26,$C$6,AM$32,$AA$37,AQ$14,AQ$15,AQ$16,AQ$17,AQ$18,$X796))</f>
        <v/>
      </c>
      <c r="AR796" s="13">
        <f>IF(_epmOfflineCondition_,0,EPMSaveDataOnly(AN796,,AN$29,AN$25,AN$26,AN$31,AN$32,$AA$37,AR$14,AR$15,AR$16,AR$17,AR$18,$X796))</f>
        <v/>
      </c>
      <c r="AS796" s="384" t="n"/>
    </row>
    <row r="797" hidden="1" ht="15.75" customHeight="1" s="1181">
      <c r="A797" s="384" t="n"/>
      <c r="B797" s="384" t="n"/>
      <c r="C797" s="384" t="n"/>
      <c r="D797" s="384" t="n"/>
      <c r="E797" s="384" t="n"/>
      <c r="F797" s="384" t="n"/>
      <c r="G797" s="384" t="n"/>
      <c r="H797" s="384" t="n"/>
      <c r="I797" s="384" t="n"/>
      <c r="J797" s="384" t="n"/>
      <c r="K797" s="384" t="n"/>
      <c r="L797" s="384" t="n"/>
      <c r="M797" s="384" t="n"/>
      <c r="N797" s="384" t="n"/>
      <c r="O797" s="384" t="n"/>
      <c r="P797" s="384" t="n"/>
      <c r="Q797" s="384" t="n"/>
      <c r="R797" s="384" t="n"/>
      <c r="S797" s="384" t="n"/>
      <c r="T797" s="384" t="n"/>
      <c r="U797" s="384" t="n"/>
      <c r="V797" s="384" t="n"/>
      <c r="W797" s="384" t="n"/>
      <c r="X797" s="645">
        <f>IF(_epmOfflineCondition_,"I_E101154",EPMOlapMemberO("[C_INTERCO].[PARENTH1].[I_E101154]","","I_E101154","","000"))</f>
        <v/>
      </c>
      <c r="Y797" s="870">
        <f>IF(_epmOfflineCondition_,"北京京能电力股份有限公司乌兰察布分公司",EPMMemberDesc(X797))</f>
        <v/>
      </c>
      <c r="Z797" s="1302" t="n"/>
      <c r="AA797" s="1302" t="n"/>
      <c r="AB797" s="858" t="n"/>
      <c r="AC797" s="1302" t="n"/>
      <c r="AD797" s="1302" t="n"/>
      <c r="AE797" s="1302" t="inlineStr"/>
      <c r="AF797" s="1302" t="inlineStr"/>
      <c r="AG797" s="1302" t="inlineStr"/>
      <c r="AH797" s="1302" t="n"/>
      <c r="AI797" s="1302" t="n"/>
      <c r="AJ797" s="1302" t="n"/>
      <c r="AK797" s="1302">
        <f>AI797-AJ797</f>
        <v/>
      </c>
      <c r="AL797" s="858" t="n"/>
      <c r="AM797" s="1297" t="inlineStr"/>
      <c r="AN797" s="1298" t="n"/>
      <c r="AO797" s="13">
        <f>IF(_epmOfflineCondition_,0,EPMSaveDataOnly(AB797,,AB$29,AB$25,AB$26,AB$31,AB$32,$AA$37,AO$14,AO$15,AO$16,AO$17,AO$18,X797))</f>
        <v/>
      </c>
      <c r="AP797" s="13">
        <f>IF(_epmOfflineCondition_,0,EPMSaveDataOnly(AL797,,AL$29,AL$25,AL$26,AL$31,AL$32,$AA$37,AP$14,AP$15,AP$16,AP$17,AP$18,$X797))</f>
        <v/>
      </c>
      <c r="AQ797" s="13">
        <f>IF(_epmOfflineCondition_,0,EPMSaveData(AM797,,AM$29,AM$25,AM$26,$C$6,AM$32,$AA$37,AQ$14,AQ$15,AQ$16,AQ$17,AQ$18,$X797))</f>
        <v/>
      </c>
      <c r="AR797" s="13">
        <f>IF(_epmOfflineCondition_,0,EPMSaveDataOnly(AN797,,AN$29,AN$25,AN$26,AN$31,AN$32,$AA$37,AR$14,AR$15,AR$16,AR$17,AR$18,$X797))</f>
        <v/>
      </c>
      <c r="AS797" s="384" t="n"/>
    </row>
    <row r="798" hidden="1" ht="15.75" customHeight="1" s="1181">
      <c r="A798" s="384" t="n"/>
      <c r="B798" s="384" t="n"/>
      <c r="C798" s="384" t="n"/>
      <c r="D798" s="384" t="n"/>
      <c r="E798" s="384" t="n"/>
      <c r="F798" s="384" t="n"/>
      <c r="G798" s="384" t="n"/>
      <c r="H798" s="384" t="n"/>
      <c r="I798" s="384" t="n"/>
      <c r="J798" s="384" t="n"/>
      <c r="K798" s="384" t="n"/>
      <c r="L798" s="384" t="n"/>
      <c r="M798" s="384" t="n"/>
      <c r="N798" s="384" t="n"/>
      <c r="O798" s="384" t="n"/>
      <c r="P798" s="384" t="n"/>
      <c r="Q798" s="384" t="n"/>
      <c r="R798" s="384" t="n"/>
      <c r="S798" s="384" t="n"/>
      <c r="T798" s="384" t="n"/>
      <c r="U798" s="384" t="n"/>
      <c r="V798" s="384" t="n"/>
      <c r="W798" s="384" t="n"/>
      <c r="X798" s="645">
        <f>IF(_epmOfflineCondition_,"I_E101161",EPMOlapMemberO("[C_INTERCO].[PARENTH1].[I_E101161]","","I_E101161","","000"))</f>
        <v/>
      </c>
      <c r="Y798" s="870">
        <f>IF(_epmOfflineCondition_,"泉州市立欢清洁能源有限公司",EPMMemberDesc(X798))</f>
        <v/>
      </c>
      <c r="Z798" s="1302" t="n"/>
      <c r="AA798" s="1302" t="n"/>
      <c r="AB798" s="858" t="n"/>
      <c r="AC798" s="1302" t="n"/>
      <c r="AD798" s="1302" t="n"/>
      <c r="AE798" s="1302" t="inlineStr"/>
      <c r="AF798" s="1302" t="inlineStr"/>
      <c r="AG798" s="1302" t="inlineStr"/>
      <c r="AH798" s="1302" t="n"/>
      <c r="AI798" s="1302" t="n"/>
      <c r="AJ798" s="1302" t="n"/>
      <c r="AK798" s="1302">
        <f>AI798-AJ798</f>
        <v/>
      </c>
      <c r="AL798" s="858" t="n"/>
      <c r="AM798" s="1297" t="inlineStr"/>
      <c r="AN798" s="1298" t="n"/>
      <c r="AO798" s="13">
        <f>IF(_epmOfflineCondition_,0,EPMSaveDataOnly(AB798,,AB$29,AB$25,AB$26,AB$31,AB$32,$AA$37,AO$14,AO$15,AO$16,AO$17,AO$18,X798))</f>
        <v/>
      </c>
      <c r="AP798" s="13">
        <f>IF(_epmOfflineCondition_,0,EPMSaveDataOnly(AL798,,AL$29,AL$25,AL$26,AL$31,AL$32,$AA$37,AP$14,AP$15,AP$16,AP$17,AP$18,$X798))</f>
        <v/>
      </c>
      <c r="AQ798" s="13">
        <f>IF(_epmOfflineCondition_,0,EPMSaveData(AM798,,AM$29,AM$25,AM$26,$C$6,AM$32,$AA$37,AQ$14,AQ$15,AQ$16,AQ$17,AQ$18,$X798))</f>
        <v/>
      </c>
      <c r="AR798" s="13">
        <f>IF(_epmOfflineCondition_,0,EPMSaveDataOnly(AN798,,AN$29,AN$25,AN$26,AN$31,AN$32,$AA$37,AR$14,AR$15,AR$16,AR$17,AR$18,$X798))</f>
        <v/>
      </c>
      <c r="AS798" s="384" t="n"/>
    </row>
    <row r="799" hidden="1" ht="15.75" customHeight="1" s="1181">
      <c r="A799" s="384" t="n"/>
      <c r="B799" s="384" t="n"/>
      <c r="C799" s="384" t="n"/>
      <c r="D799" s="384" t="n"/>
      <c r="E799" s="384" t="n"/>
      <c r="F799" s="384" t="n"/>
      <c r="G799" s="384" t="n"/>
      <c r="H799" s="384" t="n"/>
      <c r="I799" s="384" t="n"/>
      <c r="J799" s="384" t="n"/>
      <c r="K799" s="384" t="n"/>
      <c r="L799" s="384" t="n"/>
      <c r="M799" s="384" t="n"/>
      <c r="N799" s="384" t="n"/>
      <c r="O799" s="384" t="n"/>
      <c r="P799" s="384" t="n"/>
      <c r="Q799" s="384" t="n"/>
      <c r="R799" s="384" t="n"/>
      <c r="S799" s="384" t="n"/>
      <c r="T799" s="384" t="n"/>
      <c r="U799" s="384" t="n"/>
      <c r="V799" s="384" t="n"/>
      <c r="W799" s="384" t="n"/>
      <c r="X799" s="645">
        <f>IF(_epmOfflineCondition_,"I_E101159",EPMOlapMemberO("[C_INTERCO].[PARENTH1].[I_E101159]","","I_E101159","","000"))</f>
        <v/>
      </c>
      <c r="Y799" s="870">
        <f>IF(_epmOfflineCondition_,"汕头京能清洁能源有限公司",EPMMemberDesc(X799))</f>
        <v/>
      </c>
      <c r="Z799" s="1302" t="n"/>
      <c r="AA799" s="1302" t="n"/>
      <c r="AB799" s="858" t="n"/>
      <c r="AC799" s="1302" t="n"/>
      <c r="AD799" s="1302" t="n"/>
      <c r="AE799" s="1302" t="inlineStr"/>
      <c r="AF799" s="1302" t="inlineStr"/>
      <c r="AG799" s="1302" t="inlineStr"/>
      <c r="AH799" s="1302" t="n"/>
      <c r="AI799" s="1302" t="n"/>
      <c r="AJ799" s="1302" t="n"/>
      <c r="AK799" s="1302">
        <f>AI799-AJ799</f>
        <v/>
      </c>
      <c r="AL799" s="858" t="n"/>
      <c r="AM799" s="1297" t="inlineStr"/>
      <c r="AN799" s="1298" t="n"/>
      <c r="AO799" s="13">
        <f>IF(_epmOfflineCondition_,0,EPMSaveDataOnly(AB799,,AB$29,AB$25,AB$26,AB$31,AB$32,$AA$37,AO$14,AO$15,AO$16,AO$17,AO$18,X799))</f>
        <v/>
      </c>
      <c r="AP799" s="13">
        <f>IF(_epmOfflineCondition_,0,EPMSaveDataOnly(AL799,,AL$29,AL$25,AL$26,AL$31,AL$32,$AA$37,AP$14,AP$15,AP$16,AP$17,AP$18,$X799))</f>
        <v/>
      </c>
      <c r="AQ799" s="13">
        <f>IF(_epmOfflineCondition_,0,EPMSaveData(AM799,,AM$29,AM$25,AM$26,$C$6,AM$32,$AA$37,AQ$14,AQ$15,AQ$16,AQ$17,AQ$18,$X799))</f>
        <v/>
      </c>
      <c r="AR799" s="13">
        <f>IF(_epmOfflineCondition_,0,EPMSaveDataOnly(AN799,,AN$29,AN$25,AN$26,AN$31,AN$32,$AA$37,AR$14,AR$15,AR$16,AR$17,AR$18,$X799))</f>
        <v/>
      </c>
      <c r="AS799" s="384" t="n"/>
    </row>
    <row r="800" hidden="1" ht="15.75" customHeight="1" s="1181">
      <c r="A800" s="384" t="n"/>
      <c r="B800" s="384" t="n"/>
      <c r="C800" s="384" t="n"/>
      <c r="D800" s="384" t="n"/>
      <c r="E800" s="384" t="n"/>
      <c r="F800" s="384" t="n"/>
      <c r="G800" s="384" t="n"/>
      <c r="H800" s="384" t="n"/>
      <c r="I800" s="384" t="n"/>
      <c r="J800" s="384" t="n"/>
      <c r="K800" s="384" t="n"/>
      <c r="L800" s="384" t="n"/>
      <c r="M800" s="384" t="n"/>
      <c r="N800" s="384" t="n"/>
      <c r="O800" s="384" t="n"/>
      <c r="P800" s="384" t="n"/>
      <c r="Q800" s="384" t="n"/>
      <c r="R800" s="384" t="n"/>
      <c r="S800" s="384" t="n"/>
      <c r="T800" s="384" t="n"/>
      <c r="U800" s="384" t="n"/>
      <c r="V800" s="384" t="n"/>
      <c r="W800" s="384" t="n"/>
      <c r="X800" s="645">
        <f>IF(_epmOfflineCondition_,"I_E101163",EPMOlapMemberO("[C_INTERCO].[PARENTH1].[I_E101163]","","I_E101163","","000"))</f>
        <v/>
      </c>
      <c r="Y800" s="870">
        <f>IF(_epmOfflineCondition_,"广东耀胜新能源有限公司",EPMMemberDesc(X800))</f>
        <v/>
      </c>
      <c r="Z800" s="1302" t="n"/>
      <c r="AA800" s="1302" t="n"/>
      <c r="AB800" s="858" t="n"/>
      <c r="AC800" s="1302" t="n"/>
      <c r="AD800" s="1302" t="n"/>
      <c r="AE800" s="1302" t="inlineStr"/>
      <c r="AF800" s="1302" t="inlineStr"/>
      <c r="AG800" s="1302" t="inlineStr"/>
      <c r="AH800" s="1302" t="n"/>
      <c r="AI800" s="1302" t="n"/>
      <c r="AJ800" s="1302" t="n"/>
      <c r="AK800" s="1302">
        <f>AI800-AJ800</f>
        <v/>
      </c>
      <c r="AL800" s="858" t="n"/>
      <c r="AM800" s="1297" t="inlineStr"/>
      <c r="AN800" s="1298" t="n"/>
      <c r="AO800" s="13">
        <f>IF(_epmOfflineCondition_,0,EPMSaveDataOnly(AB800,,AB$29,AB$25,AB$26,AB$31,AB$32,$AA$37,AO$14,AO$15,AO$16,AO$17,AO$18,X800))</f>
        <v/>
      </c>
      <c r="AP800" s="13">
        <f>IF(_epmOfflineCondition_,0,EPMSaveDataOnly(AL800,,AL$29,AL$25,AL$26,AL$31,AL$32,$AA$37,AP$14,AP$15,AP$16,AP$17,AP$18,$X800))</f>
        <v/>
      </c>
      <c r="AQ800" s="13">
        <f>IF(_epmOfflineCondition_,0,EPMSaveData(AM800,,AM$29,AM$25,AM$26,$C$6,AM$32,$AA$37,AQ$14,AQ$15,AQ$16,AQ$17,AQ$18,$X800))</f>
        <v/>
      </c>
      <c r="AR800" s="13">
        <f>IF(_epmOfflineCondition_,0,EPMSaveDataOnly(AN800,,AN$29,AN$25,AN$26,AN$31,AN$32,$AA$37,AR$14,AR$15,AR$16,AR$17,AR$18,$X800))</f>
        <v/>
      </c>
      <c r="AS800" s="384" t="n"/>
    </row>
    <row r="801" hidden="1" ht="15.75" customHeight="1" s="1181">
      <c r="A801" s="384" t="n"/>
      <c r="B801" s="384" t="n"/>
      <c r="C801" s="384" t="n"/>
      <c r="D801" s="384" t="n"/>
      <c r="E801" s="384" t="n"/>
      <c r="F801" s="384" t="n"/>
      <c r="G801" s="384" t="n"/>
      <c r="H801" s="384" t="n"/>
      <c r="I801" s="384" t="n"/>
      <c r="J801" s="384" t="n"/>
      <c r="K801" s="384" t="n"/>
      <c r="L801" s="384" t="n"/>
      <c r="M801" s="384" t="n"/>
      <c r="N801" s="384" t="n"/>
      <c r="O801" s="384" t="n"/>
      <c r="P801" s="384" t="n"/>
      <c r="Q801" s="384" t="n"/>
      <c r="R801" s="384" t="n"/>
      <c r="S801" s="384" t="n"/>
      <c r="T801" s="384" t="n"/>
      <c r="U801" s="384" t="n"/>
      <c r="V801" s="384" t="n"/>
      <c r="W801" s="384" t="n"/>
      <c r="X801" s="645">
        <f>IF(_epmOfflineCondition_,"I_E101164",EPMOlapMemberO("[C_INTERCO].[PARENTH1].[I_E101164]","","I_E101164","","000"))</f>
        <v/>
      </c>
      <c r="Y801" s="870">
        <f>IF(_epmOfflineCondition_,"广东安晟新能源有限公司",EPMMemberDesc(X801))</f>
        <v/>
      </c>
      <c r="Z801" s="1302" t="n"/>
      <c r="AA801" s="1302" t="n"/>
      <c r="AB801" s="858" t="n"/>
      <c r="AC801" s="1302" t="n"/>
      <c r="AD801" s="1302" t="n"/>
      <c r="AE801" s="1302" t="inlineStr"/>
      <c r="AF801" s="1302" t="inlineStr"/>
      <c r="AG801" s="1302" t="inlineStr"/>
      <c r="AH801" s="1302" t="n"/>
      <c r="AI801" s="1302" t="n"/>
      <c r="AJ801" s="1302" t="n"/>
      <c r="AK801" s="1302">
        <f>AI801-AJ801</f>
        <v/>
      </c>
      <c r="AL801" s="858" t="n"/>
      <c r="AM801" s="1297" t="inlineStr"/>
      <c r="AN801" s="1298" t="n"/>
      <c r="AO801" s="13">
        <f>IF(_epmOfflineCondition_,0,EPMSaveDataOnly(AB801,,AB$29,AB$25,AB$26,AB$31,AB$32,$AA$37,AO$14,AO$15,AO$16,AO$17,AO$18,X801))</f>
        <v/>
      </c>
      <c r="AP801" s="13">
        <f>IF(_epmOfflineCondition_,0,EPMSaveDataOnly(AL801,,AL$29,AL$25,AL$26,AL$31,AL$32,$AA$37,AP$14,AP$15,AP$16,AP$17,AP$18,$X801))</f>
        <v/>
      </c>
      <c r="AQ801" s="13">
        <f>IF(_epmOfflineCondition_,0,EPMSaveData(AM801,,AM$29,AM$25,AM$26,$C$6,AM$32,$AA$37,AQ$14,AQ$15,AQ$16,AQ$17,AQ$18,$X801))</f>
        <v/>
      </c>
      <c r="AR801" s="13">
        <f>IF(_epmOfflineCondition_,0,EPMSaveDataOnly(AN801,,AN$29,AN$25,AN$26,AN$31,AN$32,$AA$37,AR$14,AR$15,AR$16,AR$17,AR$18,$X801))</f>
        <v/>
      </c>
      <c r="AS801" s="384" t="n"/>
    </row>
    <row r="802" hidden="1" ht="15.75" customHeight="1" s="1181">
      <c r="A802" s="384" t="n"/>
      <c r="B802" s="384" t="n"/>
      <c r="C802" s="384" t="n"/>
      <c r="D802" s="384" t="n"/>
      <c r="E802" s="384" t="n"/>
      <c r="F802" s="384" t="n"/>
      <c r="G802" s="384" t="n"/>
      <c r="H802" s="384" t="n"/>
      <c r="I802" s="384" t="n"/>
      <c r="J802" s="384" t="n"/>
      <c r="K802" s="384" t="n"/>
      <c r="L802" s="384" t="n"/>
      <c r="M802" s="384" t="n"/>
      <c r="N802" s="384" t="n"/>
      <c r="O802" s="384" t="n"/>
      <c r="P802" s="384" t="n"/>
      <c r="Q802" s="384" t="n"/>
      <c r="R802" s="384" t="n"/>
      <c r="S802" s="384" t="n"/>
      <c r="T802" s="384" t="n"/>
      <c r="U802" s="384" t="n"/>
      <c r="V802" s="384" t="n"/>
      <c r="W802" s="384" t="n"/>
      <c r="X802" s="645">
        <f>IF(_epmOfflineCondition_,"I_E101166",EPMOlapMemberO("[C_INTERCO].[PARENTH1].[I_E101166]","","I_E101166","","000"))</f>
        <v/>
      </c>
      <c r="Y802" s="870">
        <f>IF(_epmOfflineCondition_,"厦门阳万丈清洁能源有限公司",EPMMemberDesc(X802))</f>
        <v/>
      </c>
      <c r="Z802" s="1302" t="n"/>
      <c r="AA802" s="1302" t="n"/>
      <c r="AB802" s="858" t="n"/>
      <c r="AC802" s="1302" t="n"/>
      <c r="AD802" s="1302" t="n"/>
      <c r="AE802" s="1302" t="inlineStr"/>
      <c r="AF802" s="1302" t="inlineStr"/>
      <c r="AG802" s="1302" t="inlineStr"/>
      <c r="AH802" s="1302" t="n"/>
      <c r="AI802" s="1302" t="n"/>
      <c r="AJ802" s="1302" t="n"/>
      <c r="AK802" s="1302">
        <f>AI802-AJ802</f>
        <v/>
      </c>
      <c r="AL802" s="858" t="n"/>
      <c r="AM802" s="1297" t="inlineStr"/>
      <c r="AN802" s="1298" t="n"/>
      <c r="AO802" s="13">
        <f>IF(_epmOfflineCondition_,0,EPMSaveDataOnly(AB802,,AB$29,AB$25,AB$26,AB$31,AB$32,$AA$37,AO$14,AO$15,AO$16,AO$17,AO$18,X802))</f>
        <v/>
      </c>
      <c r="AP802" s="13">
        <f>IF(_epmOfflineCondition_,0,EPMSaveDataOnly(AL802,,AL$29,AL$25,AL$26,AL$31,AL$32,$AA$37,AP$14,AP$15,AP$16,AP$17,AP$18,$X802))</f>
        <v/>
      </c>
      <c r="AQ802" s="13">
        <f>IF(_epmOfflineCondition_,0,EPMSaveData(AM802,,AM$29,AM$25,AM$26,$C$6,AM$32,$AA$37,AQ$14,AQ$15,AQ$16,AQ$17,AQ$18,$X802))</f>
        <v/>
      </c>
      <c r="AR802" s="13">
        <f>IF(_epmOfflineCondition_,0,EPMSaveDataOnly(AN802,,AN$29,AN$25,AN$26,AN$31,AN$32,$AA$37,AR$14,AR$15,AR$16,AR$17,AR$18,$X802))</f>
        <v/>
      </c>
      <c r="AS802" s="384" t="n"/>
    </row>
    <row r="803" hidden="1" ht="15.75" customHeight="1" s="1181">
      <c r="A803" s="384" t="n"/>
      <c r="B803" s="384" t="n"/>
      <c r="C803" s="384" t="n"/>
      <c r="D803" s="384" t="n"/>
      <c r="E803" s="384" t="n"/>
      <c r="F803" s="384" t="n"/>
      <c r="G803" s="384" t="n"/>
      <c r="H803" s="384" t="n"/>
      <c r="I803" s="384" t="n"/>
      <c r="J803" s="384" t="n"/>
      <c r="K803" s="384" t="n"/>
      <c r="L803" s="384" t="n"/>
      <c r="M803" s="384" t="n"/>
      <c r="N803" s="384" t="n"/>
      <c r="O803" s="384" t="n"/>
      <c r="P803" s="384" t="n"/>
      <c r="Q803" s="384" t="n"/>
      <c r="R803" s="384" t="n"/>
      <c r="S803" s="384" t="n"/>
      <c r="T803" s="384" t="n"/>
      <c r="U803" s="384" t="n"/>
      <c r="V803" s="384" t="n"/>
      <c r="W803" s="384" t="n"/>
      <c r="X803" s="645">
        <f>IF(_epmOfflineCondition_,"I_E101160",EPMOlapMemberO("[C_INTERCO].[PARENTH1].[I_E101160]","","I_E101160","","000"))</f>
        <v/>
      </c>
      <c r="Y803" s="870">
        <f>IF(_epmOfflineCondition_,"横峰县晶能电力有限公司",EPMMemberDesc(X803))</f>
        <v/>
      </c>
      <c r="Z803" s="1302" t="n"/>
      <c r="AA803" s="1302" t="n"/>
      <c r="AB803" s="858" t="n"/>
      <c r="AC803" s="1302" t="n"/>
      <c r="AD803" s="1302" t="n"/>
      <c r="AE803" s="1302" t="inlineStr"/>
      <c r="AF803" s="1302" t="inlineStr"/>
      <c r="AG803" s="1302" t="inlineStr"/>
      <c r="AH803" s="1302" t="n"/>
      <c r="AI803" s="1302" t="n"/>
      <c r="AJ803" s="1302" t="n"/>
      <c r="AK803" s="1302">
        <f>AI803-AJ803</f>
        <v/>
      </c>
      <c r="AL803" s="858" t="n"/>
      <c r="AM803" s="1297" t="inlineStr"/>
      <c r="AN803" s="1298" t="n"/>
      <c r="AO803" s="13">
        <f>IF(_epmOfflineCondition_,0,EPMSaveDataOnly(AB803,,AB$29,AB$25,AB$26,AB$31,AB$32,$AA$37,AO$14,AO$15,AO$16,AO$17,AO$18,X803))</f>
        <v/>
      </c>
      <c r="AP803" s="13">
        <f>IF(_epmOfflineCondition_,0,EPMSaveDataOnly(AL803,,AL$29,AL$25,AL$26,AL$31,AL$32,$AA$37,AP$14,AP$15,AP$16,AP$17,AP$18,$X803))</f>
        <v/>
      </c>
      <c r="AQ803" s="13">
        <f>IF(_epmOfflineCondition_,0,EPMSaveData(AM803,,AM$29,AM$25,AM$26,$C$6,AM$32,$AA$37,AQ$14,AQ$15,AQ$16,AQ$17,AQ$18,$X803))</f>
        <v/>
      </c>
      <c r="AR803" s="13">
        <f>IF(_epmOfflineCondition_,0,EPMSaveDataOnly(AN803,,AN$29,AN$25,AN$26,AN$31,AN$32,$AA$37,AR$14,AR$15,AR$16,AR$17,AR$18,$X803))</f>
        <v/>
      </c>
      <c r="AS803" s="384" t="n"/>
    </row>
    <row r="804" hidden="1" ht="15.75" customHeight="1" s="1181">
      <c r="A804" s="384" t="n"/>
      <c r="B804" s="384" t="n"/>
      <c r="C804" s="384" t="n"/>
      <c r="D804" s="384" t="n"/>
      <c r="E804" s="384" t="n"/>
      <c r="F804" s="384" t="n"/>
      <c r="G804" s="384" t="n"/>
      <c r="H804" s="384" t="n"/>
      <c r="I804" s="384" t="n"/>
      <c r="J804" s="384" t="n"/>
      <c r="K804" s="384" t="n"/>
      <c r="L804" s="384" t="n"/>
      <c r="M804" s="384" t="n"/>
      <c r="N804" s="384" t="n"/>
      <c r="O804" s="384" t="n"/>
      <c r="P804" s="384" t="n"/>
      <c r="Q804" s="384" t="n"/>
      <c r="R804" s="384" t="n"/>
      <c r="S804" s="384" t="n"/>
      <c r="T804" s="384" t="n"/>
      <c r="U804" s="384" t="n"/>
      <c r="V804" s="384" t="n"/>
      <c r="W804" s="384" t="n"/>
      <c r="X804" s="645">
        <f>IF(_epmOfflineCondition_,"I_E101173",EPMOlapMemberO("[C_INTERCO].[PARENTH1].[I_E101173]","","I_E101173","","000"))</f>
        <v/>
      </c>
      <c r="Y804" s="870">
        <f>IF(_epmOfflineCondition_,"监利县浩丰绿色能源科技有限公司",EPMMemberDesc(X804))</f>
        <v/>
      </c>
      <c r="Z804" s="1302" t="n"/>
      <c r="AA804" s="1302" t="n"/>
      <c r="AB804" s="858" t="n"/>
      <c r="AC804" s="1302" t="n"/>
      <c r="AD804" s="1302" t="n"/>
      <c r="AE804" s="1302" t="inlineStr"/>
      <c r="AF804" s="1302" t="inlineStr"/>
      <c r="AG804" s="1302" t="inlineStr"/>
      <c r="AH804" s="1302" t="n"/>
      <c r="AI804" s="1302" t="n"/>
      <c r="AJ804" s="1302" t="n"/>
      <c r="AK804" s="1302">
        <f>AI804-AJ804</f>
        <v/>
      </c>
      <c r="AL804" s="858" t="n"/>
      <c r="AM804" s="1297" t="inlineStr"/>
      <c r="AN804" s="1298" t="n"/>
      <c r="AO804" s="13">
        <f>IF(_epmOfflineCondition_,0,EPMSaveDataOnly(AB804,,AB$29,AB$25,AB$26,AB$31,AB$32,$AA$37,AO$14,AO$15,AO$16,AO$17,AO$18,X804))</f>
        <v/>
      </c>
      <c r="AP804" s="13">
        <f>IF(_epmOfflineCondition_,0,EPMSaveDataOnly(AL804,,AL$29,AL$25,AL$26,AL$31,AL$32,$AA$37,AP$14,AP$15,AP$16,AP$17,AP$18,$X804))</f>
        <v/>
      </c>
      <c r="AQ804" s="13">
        <f>IF(_epmOfflineCondition_,0,EPMSaveData(AM804,,AM$29,AM$25,AM$26,$C$6,AM$32,$AA$37,AQ$14,AQ$15,AQ$16,AQ$17,AQ$18,$X804))</f>
        <v/>
      </c>
      <c r="AR804" s="13">
        <f>IF(_epmOfflineCondition_,0,EPMSaveDataOnly(AN804,,AN$29,AN$25,AN$26,AN$31,AN$32,$AA$37,AR$14,AR$15,AR$16,AR$17,AR$18,$X804))</f>
        <v/>
      </c>
      <c r="AS804" s="384" t="n"/>
    </row>
    <row r="805" hidden="1" ht="15.75" customHeight="1" s="1181">
      <c r="A805" s="384" t="n"/>
      <c r="B805" s="384" t="n"/>
      <c r="C805" s="384" t="n"/>
      <c r="D805" s="384" t="n"/>
      <c r="E805" s="384" t="n"/>
      <c r="F805" s="384" t="n"/>
      <c r="G805" s="384" t="n"/>
      <c r="H805" s="384" t="n"/>
      <c r="I805" s="384" t="n"/>
      <c r="J805" s="384" t="n"/>
      <c r="K805" s="384" t="n"/>
      <c r="L805" s="384" t="n"/>
      <c r="M805" s="384" t="n"/>
      <c r="N805" s="384" t="n"/>
      <c r="O805" s="384" t="n"/>
      <c r="P805" s="384" t="n"/>
      <c r="Q805" s="384" t="n"/>
      <c r="R805" s="384" t="n"/>
      <c r="S805" s="384" t="n"/>
      <c r="T805" s="384" t="n"/>
      <c r="U805" s="384" t="n"/>
      <c r="V805" s="384" t="n"/>
      <c r="W805" s="384" t="n"/>
      <c r="X805" s="645">
        <f>IF(_epmOfflineCondition_,"I_E101155",EPMOlapMemberO("[C_INTERCO].[PARENTH1].[I_E101155]","","I_E101155","","000"))</f>
        <v/>
      </c>
      <c r="Y805" s="870">
        <f>IF(_epmOfflineCondition_,"京江（双柏）新能源有限公司",EPMMemberDesc(X805))</f>
        <v/>
      </c>
      <c r="Z805" s="1302" t="n"/>
      <c r="AA805" s="1302" t="n"/>
      <c r="AB805" s="858" t="n"/>
      <c r="AC805" s="1302" t="n"/>
      <c r="AD805" s="1302" t="n"/>
      <c r="AE805" s="1302" t="inlineStr"/>
      <c r="AF805" s="1302" t="inlineStr"/>
      <c r="AG805" s="1302" t="inlineStr"/>
      <c r="AH805" s="1302" t="n"/>
      <c r="AI805" s="1302" t="n"/>
      <c r="AJ805" s="1302" t="n"/>
      <c r="AK805" s="1302">
        <f>AI805-AJ805</f>
        <v/>
      </c>
      <c r="AL805" s="858" t="n"/>
      <c r="AM805" s="1297" t="inlineStr"/>
      <c r="AN805" s="1298" t="n"/>
      <c r="AO805" s="13">
        <f>IF(_epmOfflineCondition_,0,EPMSaveDataOnly(AB805,,AB$29,AB$25,AB$26,AB$31,AB$32,$AA$37,AO$14,AO$15,AO$16,AO$17,AO$18,X805))</f>
        <v/>
      </c>
      <c r="AP805" s="13">
        <f>IF(_epmOfflineCondition_,0,EPMSaveDataOnly(AL805,,AL$29,AL$25,AL$26,AL$31,AL$32,$AA$37,AP$14,AP$15,AP$16,AP$17,AP$18,$X805))</f>
        <v/>
      </c>
      <c r="AQ805" s="13">
        <f>IF(_epmOfflineCondition_,0,EPMSaveData(AM805,,AM$29,AM$25,AM$26,$C$6,AM$32,$AA$37,AQ$14,AQ$15,AQ$16,AQ$17,AQ$18,$X805))</f>
        <v/>
      </c>
      <c r="AR805" s="13">
        <f>IF(_epmOfflineCondition_,0,EPMSaveDataOnly(AN805,,AN$29,AN$25,AN$26,AN$31,AN$32,$AA$37,AR$14,AR$15,AR$16,AR$17,AR$18,$X805))</f>
        <v/>
      </c>
      <c r="AS805" s="384" t="n"/>
    </row>
    <row r="806" hidden="1" ht="15.75" customHeight="1" s="1181">
      <c r="A806" s="384" t="n"/>
      <c r="B806" s="384" t="n"/>
      <c r="C806" s="384" t="n"/>
      <c r="D806" s="384" t="n"/>
      <c r="E806" s="384" t="n"/>
      <c r="F806" s="384" t="n"/>
      <c r="G806" s="384" t="n"/>
      <c r="H806" s="384" t="n"/>
      <c r="I806" s="384" t="n"/>
      <c r="J806" s="384" t="n"/>
      <c r="K806" s="384" t="n"/>
      <c r="L806" s="384" t="n"/>
      <c r="M806" s="384" t="n"/>
      <c r="N806" s="384" t="n"/>
      <c r="O806" s="384" t="n"/>
      <c r="P806" s="384" t="n"/>
      <c r="Q806" s="384" t="n"/>
      <c r="R806" s="384" t="n"/>
      <c r="S806" s="384" t="n"/>
      <c r="T806" s="384" t="n"/>
      <c r="U806" s="384" t="n"/>
      <c r="V806" s="384" t="n"/>
      <c r="W806" s="384" t="n"/>
      <c r="X806" s="645">
        <f>IF(_epmOfflineCondition_,"I_E101168",EPMOlapMemberO("[C_INTERCO].[PARENTH1].[I_E101168]","","I_E101168","","000"))</f>
        <v/>
      </c>
      <c r="Y806" s="870">
        <f>IF(_epmOfflineCondition_,"湖北京能双碳新能源有限公司",EPMMemberDesc(X806))</f>
        <v/>
      </c>
      <c r="Z806" s="1302" t="n"/>
      <c r="AA806" s="1302" t="n"/>
      <c r="AB806" s="858" t="n"/>
      <c r="AC806" s="1302" t="n"/>
      <c r="AD806" s="1302" t="n"/>
      <c r="AE806" s="1302" t="inlineStr"/>
      <c r="AF806" s="1302" t="inlineStr"/>
      <c r="AG806" s="1302" t="inlineStr"/>
      <c r="AH806" s="1302" t="n"/>
      <c r="AI806" s="1302" t="n"/>
      <c r="AJ806" s="1302" t="n"/>
      <c r="AK806" s="1302">
        <f>AI806-AJ806</f>
        <v/>
      </c>
      <c r="AL806" s="858" t="n"/>
      <c r="AM806" s="1297" t="inlineStr"/>
      <c r="AN806" s="1298" t="n"/>
      <c r="AO806" s="13">
        <f>IF(_epmOfflineCondition_,0,EPMSaveDataOnly(AB806,,AB$29,AB$25,AB$26,AB$31,AB$32,$AA$37,AO$14,AO$15,AO$16,AO$17,AO$18,X806))</f>
        <v/>
      </c>
      <c r="AP806" s="13">
        <f>IF(_epmOfflineCondition_,0,EPMSaveDataOnly(AL806,,AL$29,AL$25,AL$26,AL$31,AL$32,$AA$37,AP$14,AP$15,AP$16,AP$17,AP$18,$X806))</f>
        <v/>
      </c>
      <c r="AQ806" s="13">
        <f>IF(_epmOfflineCondition_,0,EPMSaveData(AM806,,AM$29,AM$25,AM$26,$C$6,AM$32,$AA$37,AQ$14,AQ$15,AQ$16,AQ$17,AQ$18,$X806))</f>
        <v/>
      </c>
      <c r="AR806" s="13">
        <f>IF(_epmOfflineCondition_,0,EPMSaveDataOnly(AN806,,AN$29,AN$25,AN$26,AN$31,AN$32,$AA$37,AR$14,AR$15,AR$16,AR$17,AR$18,$X806))</f>
        <v/>
      </c>
      <c r="AS806" s="384" t="n"/>
    </row>
    <row r="807" hidden="1" ht="15.75" customHeight="1" s="1181">
      <c r="A807" s="384" t="n"/>
      <c r="B807" s="384" t="n"/>
      <c r="C807" s="384" t="n"/>
      <c r="D807" s="384" t="n"/>
      <c r="E807" s="384" t="n"/>
      <c r="F807" s="384" t="n"/>
      <c r="G807" s="384" t="n"/>
      <c r="H807" s="384" t="n"/>
      <c r="I807" s="384" t="n"/>
      <c r="J807" s="384" t="n"/>
      <c r="K807" s="384" t="n"/>
      <c r="L807" s="384" t="n"/>
      <c r="M807" s="384" t="n"/>
      <c r="N807" s="384" t="n"/>
      <c r="O807" s="384" t="n"/>
      <c r="P807" s="384" t="n"/>
      <c r="Q807" s="384" t="n"/>
      <c r="R807" s="384" t="n"/>
      <c r="S807" s="384" t="n"/>
      <c r="T807" s="384" t="n"/>
      <c r="U807" s="384" t="n"/>
      <c r="V807" s="384" t="n"/>
      <c r="W807" s="384" t="n"/>
      <c r="X807" s="645">
        <f>IF(_epmOfflineCondition_,"I_E101169",EPMOlapMemberO("[C_INTERCO].[PARENTH1].[I_E101169]","","I_E101169","","000"))</f>
        <v/>
      </c>
      <c r="Y807" s="870">
        <f>IF(_epmOfflineCondition_,"炎陵京能霞阳新能源有限公司",EPMMemberDesc(X807))</f>
        <v/>
      </c>
      <c r="Z807" s="1302" t="n"/>
      <c r="AA807" s="1302" t="n"/>
      <c r="AB807" s="858" t="n"/>
      <c r="AC807" s="1302" t="n"/>
      <c r="AD807" s="1302" t="n"/>
      <c r="AE807" s="1302" t="inlineStr"/>
      <c r="AF807" s="1302" t="inlineStr"/>
      <c r="AG807" s="1302" t="inlineStr"/>
      <c r="AH807" s="1302" t="n"/>
      <c r="AI807" s="1302" t="n"/>
      <c r="AJ807" s="1302" t="n"/>
      <c r="AK807" s="1302">
        <f>AI807-AJ807</f>
        <v/>
      </c>
      <c r="AL807" s="858" t="n"/>
      <c r="AM807" s="1297" t="inlineStr"/>
      <c r="AN807" s="1298" t="n"/>
      <c r="AO807" s="13">
        <f>IF(_epmOfflineCondition_,0,EPMSaveDataOnly(AB807,,AB$29,AB$25,AB$26,AB$31,AB$32,$AA$37,AO$14,AO$15,AO$16,AO$17,AO$18,X807))</f>
        <v/>
      </c>
      <c r="AP807" s="13">
        <f>IF(_epmOfflineCondition_,0,EPMSaveDataOnly(AL807,,AL$29,AL$25,AL$26,AL$31,AL$32,$AA$37,AP$14,AP$15,AP$16,AP$17,AP$18,$X807))</f>
        <v/>
      </c>
      <c r="AQ807" s="13">
        <f>IF(_epmOfflineCondition_,0,EPMSaveData(AM807,,AM$29,AM$25,AM$26,$C$6,AM$32,$AA$37,AQ$14,AQ$15,AQ$16,AQ$17,AQ$18,$X807))</f>
        <v/>
      </c>
      <c r="AR807" s="13">
        <f>IF(_epmOfflineCondition_,0,EPMSaveDataOnly(AN807,,AN$29,AN$25,AN$26,AN$31,AN$32,$AA$37,AR$14,AR$15,AR$16,AR$17,AR$18,$X807))</f>
        <v/>
      </c>
      <c r="AS807" s="384" t="n"/>
    </row>
    <row r="808" hidden="1" ht="15.75" customHeight="1" s="1181">
      <c r="A808" s="384" t="n"/>
      <c r="B808" s="384" t="n"/>
      <c r="C808" s="384" t="n"/>
      <c r="D808" s="384" t="n"/>
      <c r="E808" s="384" t="n"/>
      <c r="F808" s="384" t="n"/>
      <c r="G808" s="384" t="n"/>
      <c r="H808" s="384" t="n"/>
      <c r="I808" s="384" t="n"/>
      <c r="J808" s="384" t="n"/>
      <c r="K808" s="384" t="n"/>
      <c r="L808" s="384" t="n"/>
      <c r="M808" s="384" t="n"/>
      <c r="N808" s="384" t="n"/>
      <c r="O808" s="384" t="n"/>
      <c r="P808" s="384" t="n"/>
      <c r="Q808" s="384" t="n"/>
      <c r="R808" s="384" t="n"/>
      <c r="S808" s="384" t="n"/>
      <c r="T808" s="384" t="n"/>
      <c r="U808" s="384" t="n"/>
      <c r="V808" s="384" t="n"/>
      <c r="W808" s="384" t="n"/>
      <c r="X808" s="645">
        <f>IF(_epmOfflineCondition_,"I_E101175",EPMOlapMemberO("[C_INTERCO].[PARENTH1].[I_E101175]","","I_E101175","","000"))</f>
        <v/>
      </c>
      <c r="Y808" s="870">
        <f>IF(_epmOfflineCondition_,"乌鲁木齐鑫禾光晟电力科技有限公司",EPMMemberDesc(X808))</f>
        <v/>
      </c>
      <c r="Z808" s="1302" t="n"/>
      <c r="AA808" s="1302" t="n"/>
      <c r="AB808" s="858" t="n"/>
      <c r="AC808" s="1302" t="n"/>
      <c r="AD808" s="1302" t="n"/>
      <c r="AE808" s="1302" t="inlineStr"/>
      <c r="AF808" s="1302" t="inlineStr"/>
      <c r="AG808" s="1302" t="inlineStr"/>
      <c r="AH808" s="1302" t="n"/>
      <c r="AI808" s="1302" t="n"/>
      <c r="AJ808" s="1302" t="n"/>
      <c r="AK808" s="1302">
        <f>AI808-AJ808</f>
        <v/>
      </c>
      <c r="AL808" s="858" t="n"/>
      <c r="AM808" s="1297" t="inlineStr"/>
      <c r="AN808" s="1298" t="n"/>
      <c r="AO808" s="13">
        <f>IF(_epmOfflineCondition_,0,EPMSaveDataOnly(AB808,,AB$29,AB$25,AB$26,AB$31,AB$32,$AA$37,AO$14,AO$15,AO$16,AO$17,AO$18,X808))</f>
        <v/>
      </c>
      <c r="AP808" s="13">
        <f>IF(_epmOfflineCondition_,0,EPMSaveDataOnly(AL808,,AL$29,AL$25,AL$26,AL$31,AL$32,$AA$37,AP$14,AP$15,AP$16,AP$17,AP$18,$X808))</f>
        <v/>
      </c>
      <c r="AQ808" s="13">
        <f>IF(_epmOfflineCondition_,0,EPMSaveData(AM808,,AM$29,AM$25,AM$26,$C$6,AM$32,$AA$37,AQ$14,AQ$15,AQ$16,AQ$17,AQ$18,$X808))</f>
        <v/>
      </c>
      <c r="AR808" s="13">
        <f>IF(_epmOfflineCondition_,0,EPMSaveDataOnly(AN808,,AN$29,AN$25,AN$26,AN$31,AN$32,$AA$37,AR$14,AR$15,AR$16,AR$17,AR$18,$X808))</f>
        <v/>
      </c>
      <c r="AS808" s="384" t="n"/>
    </row>
    <row r="809" hidden="1" ht="15.75" customHeight="1" s="1181">
      <c r="A809" s="384" t="n"/>
      <c r="B809" s="384" t="n"/>
      <c r="C809" s="384" t="n"/>
      <c r="D809" s="384" t="n"/>
      <c r="E809" s="384" t="n"/>
      <c r="F809" s="384" t="n"/>
      <c r="G809" s="384" t="n"/>
      <c r="H809" s="384" t="n"/>
      <c r="I809" s="384" t="n"/>
      <c r="J809" s="384" t="n"/>
      <c r="K809" s="384" t="n"/>
      <c r="L809" s="384" t="n"/>
      <c r="M809" s="384" t="n"/>
      <c r="N809" s="384" t="n"/>
      <c r="O809" s="384" t="n"/>
      <c r="P809" s="384" t="n"/>
      <c r="Q809" s="384" t="n"/>
      <c r="R809" s="384" t="n"/>
      <c r="S809" s="384" t="n"/>
      <c r="T809" s="384" t="n"/>
      <c r="U809" s="384" t="n"/>
      <c r="V809" s="384" t="n"/>
      <c r="W809" s="384" t="n"/>
      <c r="X809" s="645">
        <f>IF(_epmOfflineCondition_,"I_E101176",EPMOlapMemberO("[C_INTERCO].[PARENTH1].[I_E101176]","","I_E101176","","000"))</f>
        <v/>
      </c>
      <c r="Y809" s="870">
        <f>IF(_epmOfflineCondition_,"霍城县光晟光伏发电有限公司",EPMMemberDesc(X809))</f>
        <v/>
      </c>
      <c r="Z809" s="1302" t="n"/>
      <c r="AA809" s="1302" t="n"/>
      <c r="AB809" s="858" t="n"/>
      <c r="AC809" s="1302" t="n"/>
      <c r="AD809" s="1302" t="n"/>
      <c r="AE809" s="1302" t="inlineStr"/>
      <c r="AF809" s="1302" t="inlineStr"/>
      <c r="AG809" s="1302" t="inlineStr"/>
      <c r="AH809" s="1302" t="n"/>
      <c r="AI809" s="1302" t="n"/>
      <c r="AJ809" s="1302" t="n"/>
      <c r="AK809" s="1302">
        <f>AI809-AJ809</f>
        <v/>
      </c>
      <c r="AL809" s="858" t="n"/>
      <c r="AM809" s="1297" t="inlineStr"/>
      <c r="AN809" s="1298" t="n"/>
      <c r="AO809" s="13">
        <f>IF(_epmOfflineCondition_,0,EPMSaveDataOnly(AB809,,AB$29,AB$25,AB$26,AB$31,AB$32,$AA$37,AO$14,AO$15,AO$16,AO$17,AO$18,X809))</f>
        <v/>
      </c>
      <c r="AP809" s="13">
        <f>IF(_epmOfflineCondition_,0,EPMSaveDataOnly(AL809,,AL$29,AL$25,AL$26,AL$31,AL$32,$AA$37,AP$14,AP$15,AP$16,AP$17,AP$18,$X809))</f>
        <v/>
      </c>
      <c r="AQ809" s="13">
        <f>IF(_epmOfflineCondition_,0,EPMSaveData(AM809,,AM$29,AM$25,AM$26,$C$6,AM$32,$AA$37,AQ$14,AQ$15,AQ$16,AQ$17,AQ$18,$X809))</f>
        <v/>
      </c>
      <c r="AR809" s="13">
        <f>IF(_epmOfflineCondition_,0,EPMSaveDataOnly(AN809,,AN$29,AN$25,AN$26,AN$31,AN$32,$AA$37,AR$14,AR$15,AR$16,AR$17,AR$18,$X809))</f>
        <v/>
      </c>
      <c r="AS809" s="384" t="n"/>
    </row>
    <row r="810" hidden="1" ht="15.75" customHeight="1" s="1181">
      <c r="A810" s="384" t="n"/>
      <c r="B810" s="384" t="n"/>
      <c r="C810" s="384" t="n"/>
      <c r="D810" s="384" t="n"/>
      <c r="E810" s="384" t="n"/>
      <c r="F810" s="384" t="n"/>
      <c r="G810" s="384" t="n"/>
      <c r="H810" s="384" t="n"/>
      <c r="I810" s="384" t="n"/>
      <c r="J810" s="384" t="n"/>
      <c r="K810" s="384" t="n"/>
      <c r="L810" s="384" t="n"/>
      <c r="M810" s="384" t="n"/>
      <c r="N810" s="384" t="n"/>
      <c r="O810" s="384" t="n"/>
      <c r="P810" s="384" t="n"/>
      <c r="Q810" s="384" t="n"/>
      <c r="R810" s="384" t="n"/>
      <c r="S810" s="384" t="n"/>
      <c r="T810" s="384" t="n"/>
      <c r="U810" s="384" t="n"/>
      <c r="V810" s="384" t="n"/>
      <c r="W810" s="384" t="n"/>
      <c r="X810" s="645">
        <f>IF(_epmOfflineCondition_,"I_E101158",EPMOlapMemberO("[C_INTERCO].[PARENTH1].[I_E101158]","","I_E101158","","000"))</f>
        <v/>
      </c>
      <c r="Y810" s="870">
        <f>IF(_epmOfflineCondition_,"北京京能科技有限公司长三角分公司",EPMMemberDesc(X810))</f>
        <v/>
      </c>
      <c r="Z810" s="1302" t="n"/>
      <c r="AA810" s="1302" t="n"/>
      <c r="AB810" s="858" t="n"/>
      <c r="AC810" s="1302" t="n"/>
      <c r="AD810" s="1302" t="n"/>
      <c r="AE810" s="1302" t="inlineStr"/>
      <c r="AF810" s="1302" t="inlineStr"/>
      <c r="AG810" s="1302" t="inlineStr"/>
      <c r="AH810" s="1302" t="n"/>
      <c r="AI810" s="1302" t="n"/>
      <c r="AJ810" s="1302" t="n"/>
      <c r="AK810" s="1302">
        <f>AI810-AJ810</f>
        <v/>
      </c>
      <c r="AL810" s="858" t="n"/>
      <c r="AM810" s="1297" t="inlineStr"/>
      <c r="AN810" s="1298" t="n"/>
      <c r="AO810" s="13">
        <f>IF(_epmOfflineCondition_,0,EPMSaveDataOnly(AB810,,AB$29,AB$25,AB$26,AB$31,AB$32,$AA$37,AO$14,AO$15,AO$16,AO$17,AO$18,X810))</f>
        <v/>
      </c>
      <c r="AP810" s="13">
        <f>IF(_epmOfflineCondition_,0,EPMSaveDataOnly(AL810,,AL$29,AL$25,AL$26,AL$31,AL$32,$AA$37,AP$14,AP$15,AP$16,AP$17,AP$18,$X810))</f>
        <v/>
      </c>
      <c r="AQ810" s="13">
        <f>IF(_epmOfflineCondition_,0,EPMSaveData(AM810,,AM$29,AM$25,AM$26,$C$6,AM$32,$AA$37,AQ$14,AQ$15,AQ$16,AQ$17,AQ$18,$X810))</f>
        <v/>
      </c>
      <c r="AR810" s="13">
        <f>IF(_epmOfflineCondition_,0,EPMSaveDataOnly(AN810,,AN$29,AN$25,AN$26,AN$31,AN$32,$AA$37,AR$14,AR$15,AR$16,AR$17,AR$18,$X810))</f>
        <v/>
      </c>
      <c r="AS810" s="384" t="n"/>
    </row>
    <row r="811" hidden="1" ht="15.75" customHeight="1" s="1181">
      <c r="A811" s="384" t="n"/>
      <c r="B811" s="384" t="n"/>
      <c r="C811" s="384" t="n"/>
      <c r="D811" s="384" t="n"/>
      <c r="E811" s="384" t="n"/>
      <c r="F811" s="384" t="n"/>
      <c r="G811" s="384" t="n"/>
      <c r="H811" s="384" t="n"/>
      <c r="I811" s="384" t="n"/>
      <c r="J811" s="384" t="n"/>
      <c r="K811" s="384" t="n"/>
      <c r="L811" s="384" t="n"/>
      <c r="M811" s="384" t="n"/>
      <c r="N811" s="384" t="n"/>
      <c r="O811" s="384" t="n"/>
      <c r="P811" s="384" t="n"/>
      <c r="Q811" s="384" t="n"/>
      <c r="R811" s="384" t="n"/>
      <c r="S811" s="384" t="n"/>
      <c r="T811" s="384" t="n"/>
      <c r="U811" s="384" t="n"/>
      <c r="V811" s="384" t="n"/>
      <c r="W811" s="384" t="n"/>
      <c r="X811" s="645">
        <f>IF(_epmOfflineCondition_,"I_E101145",EPMOlapMemberO("[C_INTERCO].[PARENTH1].[I_E101145]","","I_E101145","","000"))</f>
        <v/>
      </c>
      <c r="Y811" s="870">
        <f>IF(_epmOfflineCondition_,"南宁京能清洁能源有限公司",EPMMemberDesc(X811))</f>
        <v/>
      </c>
      <c r="Z811" s="1302" t="n"/>
      <c r="AA811" s="1302" t="n"/>
      <c r="AB811" s="858" t="n"/>
      <c r="AC811" s="1302" t="n"/>
      <c r="AD811" s="1302" t="n"/>
      <c r="AE811" s="1302" t="inlineStr"/>
      <c r="AF811" s="1302" t="inlineStr"/>
      <c r="AG811" s="1302" t="inlineStr"/>
      <c r="AH811" s="1302" t="n"/>
      <c r="AI811" s="1302" t="n"/>
      <c r="AJ811" s="1302" t="n"/>
      <c r="AK811" s="1302">
        <f>AI811-AJ811</f>
        <v/>
      </c>
      <c r="AL811" s="858" t="n"/>
      <c r="AM811" s="1297" t="inlineStr"/>
      <c r="AN811" s="1298" t="n"/>
      <c r="AO811" s="13">
        <f>IF(_epmOfflineCondition_,0,EPMSaveDataOnly(AB811,,AB$29,AB$25,AB$26,AB$31,AB$32,$AA$37,AO$14,AO$15,AO$16,AO$17,AO$18,X811))</f>
        <v/>
      </c>
      <c r="AP811" s="13">
        <f>IF(_epmOfflineCondition_,0,EPMSaveDataOnly(AL811,,AL$29,AL$25,AL$26,AL$31,AL$32,$AA$37,AP$14,AP$15,AP$16,AP$17,AP$18,$X811))</f>
        <v/>
      </c>
      <c r="AQ811" s="13">
        <f>IF(_epmOfflineCondition_,0,EPMSaveData(AM811,,AM$29,AM$25,AM$26,$C$6,AM$32,$AA$37,AQ$14,AQ$15,AQ$16,AQ$17,AQ$18,$X811))</f>
        <v/>
      </c>
      <c r="AR811" s="13">
        <f>IF(_epmOfflineCondition_,0,EPMSaveDataOnly(AN811,,AN$29,AN$25,AN$26,AN$31,AN$32,$AA$37,AR$14,AR$15,AR$16,AR$17,AR$18,$X811))</f>
        <v/>
      </c>
      <c r="AS811" s="384" t="n"/>
    </row>
    <row r="812" hidden="1" ht="15.75" customHeight="1" s="1181">
      <c r="A812" s="384" t="n"/>
      <c r="B812" s="384" t="n"/>
      <c r="C812" s="384" t="n"/>
      <c r="D812" s="384" t="n"/>
      <c r="E812" s="384" t="n"/>
      <c r="F812" s="384" t="n"/>
      <c r="G812" s="384" t="n"/>
      <c r="H812" s="384" t="n"/>
      <c r="I812" s="384" t="n"/>
      <c r="J812" s="384" t="n"/>
      <c r="K812" s="384" t="n"/>
      <c r="L812" s="384" t="n"/>
      <c r="M812" s="384" t="n"/>
      <c r="N812" s="384" t="n"/>
      <c r="O812" s="384" t="n"/>
      <c r="P812" s="384" t="n"/>
      <c r="Q812" s="384" t="n"/>
      <c r="R812" s="384" t="n"/>
      <c r="S812" s="384" t="n"/>
      <c r="T812" s="384" t="n"/>
      <c r="U812" s="384" t="n"/>
      <c r="V812" s="384" t="n"/>
      <c r="W812" s="384" t="n"/>
      <c r="X812" s="645">
        <f>IF(_epmOfflineCondition_,"I_E101187",EPMOlapMemberO("[C_INTERCO].[PARENTH1].[I_E101187]","","I_E101187","","000"))</f>
        <v/>
      </c>
      <c r="Y812" s="870">
        <f>IF(_epmOfflineCondition_,"横峰县晶泰电力有限公司",EPMMemberDesc(X812))</f>
        <v/>
      </c>
      <c r="Z812" s="1302" t="n"/>
      <c r="AA812" s="1302" t="n"/>
      <c r="AB812" s="858" t="n"/>
      <c r="AC812" s="1302" t="n"/>
      <c r="AD812" s="1302" t="n"/>
      <c r="AE812" s="1302" t="inlineStr"/>
      <c r="AF812" s="1302" t="inlineStr"/>
      <c r="AG812" s="1302" t="inlineStr"/>
      <c r="AH812" s="1302" t="n"/>
      <c r="AI812" s="1302" t="n"/>
      <c r="AJ812" s="1302" t="n"/>
      <c r="AK812" s="1302">
        <f>AI812-AJ812</f>
        <v/>
      </c>
      <c r="AL812" s="858" t="n"/>
      <c r="AM812" s="1297" t="inlineStr"/>
      <c r="AN812" s="1298" t="n"/>
      <c r="AO812" s="13">
        <f>IF(_epmOfflineCondition_,0,EPMSaveDataOnly(AB812,,AB$29,AB$25,AB$26,AB$31,AB$32,$AA$37,AO$14,AO$15,AO$16,AO$17,AO$18,X812))</f>
        <v/>
      </c>
      <c r="AP812" s="13">
        <f>IF(_epmOfflineCondition_,0,EPMSaveDataOnly(AL812,,AL$29,AL$25,AL$26,AL$31,AL$32,$AA$37,AP$14,AP$15,AP$16,AP$17,AP$18,$X812))</f>
        <v/>
      </c>
      <c r="AQ812" s="13">
        <f>IF(_epmOfflineCondition_,0,EPMSaveData(AM812,,AM$29,AM$25,AM$26,$C$6,AM$32,$AA$37,AQ$14,AQ$15,AQ$16,AQ$17,AQ$18,$X812))</f>
        <v/>
      </c>
      <c r="AR812" s="13">
        <f>IF(_epmOfflineCondition_,0,EPMSaveDataOnly(AN812,,AN$29,AN$25,AN$26,AN$31,AN$32,$AA$37,AR$14,AR$15,AR$16,AR$17,AR$18,$X812))</f>
        <v/>
      </c>
      <c r="AS812" s="384" t="n"/>
    </row>
    <row r="813" hidden="1" ht="15.75" customHeight="1" s="1181">
      <c r="A813" s="384" t="n"/>
      <c r="B813" s="384" t="n"/>
      <c r="C813" s="384" t="n"/>
      <c r="D813" s="384" t="n"/>
      <c r="E813" s="384" t="n"/>
      <c r="F813" s="384" t="n"/>
      <c r="G813" s="384" t="n"/>
      <c r="H813" s="384" t="n"/>
      <c r="I813" s="384" t="n"/>
      <c r="J813" s="384" t="n"/>
      <c r="K813" s="384" t="n"/>
      <c r="L813" s="384" t="n"/>
      <c r="M813" s="384" t="n"/>
      <c r="N813" s="384" t="n"/>
      <c r="O813" s="384" t="n"/>
      <c r="P813" s="384" t="n"/>
      <c r="Q813" s="384" t="n"/>
      <c r="R813" s="384" t="n"/>
      <c r="S813" s="384" t="n"/>
      <c r="T813" s="384" t="n"/>
      <c r="U813" s="384" t="n"/>
      <c r="V813" s="384" t="n"/>
      <c r="W813" s="384" t="n"/>
      <c r="X813" s="645">
        <f>IF(_epmOfflineCondition_,"I_E101182",EPMOlapMemberO("[C_INTERCO].[PARENTH1].[I_E101182]","","I_E101182","","000"))</f>
        <v/>
      </c>
      <c r="Y813" s="870">
        <f>IF(_epmOfflineCondition_,"京能保险经纪有限公司",EPMMemberDesc(X813))</f>
        <v/>
      </c>
      <c r="Z813" s="1302" t="n"/>
      <c r="AA813" s="1302" t="n"/>
      <c r="AB813" s="858" t="n"/>
      <c r="AC813" s="1302" t="n"/>
      <c r="AD813" s="1302" t="n"/>
      <c r="AE813" s="1302" t="inlineStr"/>
      <c r="AF813" s="1302" t="inlineStr"/>
      <c r="AG813" s="1302" t="inlineStr"/>
      <c r="AH813" s="1302" t="n"/>
      <c r="AI813" s="1302" t="n"/>
      <c r="AJ813" s="1302" t="n"/>
      <c r="AK813" s="1302">
        <f>AI813-AJ813</f>
        <v/>
      </c>
      <c r="AL813" s="858" t="n"/>
      <c r="AM813" s="1297" t="inlineStr"/>
      <c r="AN813" s="1298" t="n"/>
      <c r="AO813" s="13">
        <f>IF(_epmOfflineCondition_,0,EPMSaveDataOnly(AB813,,AB$29,AB$25,AB$26,AB$31,AB$32,$AA$37,AO$14,AO$15,AO$16,AO$17,AO$18,X813))</f>
        <v/>
      </c>
      <c r="AP813" s="13">
        <f>IF(_epmOfflineCondition_,0,EPMSaveDataOnly(AL813,,AL$29,AL$25,AL$26,AL$31,AL$32,$AA$37,AP$14,AP$15,AP$16,AP$17,AP$18,$X813))</f>
        <v/>
      </c>
      <c r="AQ813" s="13">
        <f>IF(_epmOfflineCondition_,0,EPMSaveData(AM813,,AM$29,AM$25,AM$26,$C$6,AM$32,$AA$37,AQ$14,AQ$15,AQ$16,AQ$17,AQ$18,$X813))</f>
        <v/>
      </c>
      <c r="AR813" s="13">
        <f>IF(_epmOfflineCondition_,0,EPMSaveDataOnly(AN813,,AN$29,AN$25,AN$26,AN$31,AN$32,$AA$37,AR$14,AR$15,AR$16,AR$17,AR$18,$X813))</f>
        <v/>
      </c>
      <c r="AS813" s="384" t="n"/>
    </row>
    <row r="814" hidden="1" ht="15.75" customHeight="1" s="1181">
      <c r="A814" s="384" t="n"/>
      <c r="B814" s="384" t="n"/>
      <c r="C814" s="384" t="n"/>
      <c r="D814" s="384" t="n"/>
      <c r="E814" s="384" t="n"/>
      <c r="F814" s="384" t="n"/>
      <c r="G814" s="384" t="n"/>
      <c r="H814" s="384" t="n"/>
      <c r="I814" s="384" t="n"/>
      <c r="J814" s="384" t="n"/>
      <c r="K814" s="384" t="n"/>
      <c r="L814" s="384" t="n"/>
      <c r="M814" s="384" t="n"/>
      <c r="N814" s="384" t="n"/>
      <c r="O814" s="384" t="n"/>
      <c r="P814" s="384" t="n"/>
      <c r="Q814" s="384" t="n"/>
      <c r="R814" s="384" t="n"/>
      <c r="S814" s="384" t="n"/>
      <c r="T814" s="384" t="n"/>
      <c r="U814" s="384" t="n"/>
      <c r="V814" s="384" t="n"/>
      <c r="W814" s="384" t="n"/>
      <c r="X814" s="645">
        <f>IF(_epmOfflineCondition_,"I_E101174",EPMOlapMemberO("[C_INTERCO].[PARENTH1].[I_E101174]","","I_E101174","","000"))</f>
        <v/>
      </c>
      <c r="Y814" s="870">
        <f>IF(_epmOfflineCondition_,"北京京能综合能源有限公司",EPMMemberDesc(X814))</f>
        <v/>
      </c>
      <c r="Z814" s="1302" t="n"/>
      <c r="AA814" s="1302" t="n"/>
      <c r="AB814" s="858" t="n"/>
      <c r="AC814" s="1302" t="n"/>
      <c r="AD814" s="1302" t="n"/>
      <c r="AE814" s="1302" t="inlineStr"/>
      <c r="AF814" s="1302" t="inlineStr"/>
      <c r="AG814" s="1302" t="inlineStr"/>
      <c r="AH814" s="1302" t="n"/>
      <c r="AI814" s="1302" t="n"/>
      <c r="AJ814" s="1302" t="n"/>
      <c r="AK814" s="1302">
        <f>AI814-AJ814</f>
        <v/>
      </c>
      <c r="AL814" s="858" t="n"/>
      <c r="AM814" s="1297" t="inlineStr"/>
      <c r="AN814" s="1298" t="n"/>
      <c r="AO814" s="13">
        <f>IF(_epmOfflineCondition_,0,EPMSaveDataOnly(AB814,,AB$29,AB$25,AB$26,AB$31,AB$32,$AA$37,AO$14,AO$15,AO$16,AO$17,AO$18,X814))</f>
        <v/>
      </c>
      <c r="AP814" s="13">
        <f>IF(_epmOfflineCondition_,0,EPMSaveDataOnly(AL814,,AL$29,AL$25,AL$26,AL$31,AL$32,$AA$37,AP$14,AP$15,AP$16,AP$17,AP$18,$X814))</f>
        <v/>
      </c>
      <c r="AQ814" s="13">
        <f>IF(_epmOfflineCondition_,0,EPMSaveData(AM814,,AM$29,AM$25,AM$26,$C$6,AM$32,$AA$37,AQ$14,AQ$15,AQ$16,AQ$17,AQ$18,$X814))</f>
        <v/>
      </c>
      <c r="AR814" s="13">
        <f>IF(_epmOfflineCondition_,0,EPMSaveDataOnly(AN814,,AN$29,AN$25,AN$26,AN$31,AN$32,$AA$37,AR$14,AR$15,AR$16,AR$17,AR$18,$X814))</f>
        <v/>
      </c>
      <c r="AS814" s="384" t="n"/>
    </row>
    <row r="815" hidden="1" ht="15.75" customHeight="1" s="1181">
      <c r="A815" s="384" t="n"/>
      <c r="B815" s="384" t="n"/>
      <c r="C815" s="384" t="n"/>
      <c r="D815" s="384" t="n"/>
      <c r="E815" s="384" t="n"/>
      <c r="F815" s="384" t="n"/>
      <c r="G815" s="384" t="n"/>
      <c r="H815" s="384" t="n"/>
      <c r="I815" s="384" t="n"/>
      <c r="J815" s="384" t="n"/>
      <c r="K815" s="384" t="n"/>
      <c r="L815" s="384" t="n"/>
      <c r="M815" s="384" t="n"/>
      <c r="N815" s="384" t="n"/>
      <c r="O815" s="384" t="n"/>
      <c r="P815" s="384" t="n"/>
      <c r="Q815" s="384" t="n"/>
      <c r="R815" s="384" t="n"/>
      <c r="S815" s="384" t="n"/>
      <c r="T815" s="384" t="n"/>
      <c r="U815" s="384" t="n"/>
      <c r="V815" s="384" t="n"/>
      <c r="W815" s="384" t="n"/>
      <c r="X815" s="645">
        <f>IF(_epmOfflineCondition_,"I_E101184",EPMOlapMemberO("[C_INTERCO].[PARENTH1].[I_E101184]","","I_E101184","","000"))</f>
        <v/>
      </c>
      <c r="Y815" s="870">
        <f>IF(_epmOfflineCondition_,"北京云保能源开发有限公司",EPMMemberDesc(X815))</f>
        <v/>
      </c>
      <c r="Z815" s="1302" t="n"/>
      <c r="AA815" s="1302" t="n"/>
      <c r="AB815" s="858" t="n"/>
      <c r="AC815" s="1302" t="n"/>
      <c r="AD815" s="1302" t="n"/>
      <c r="AE815" s="1302" t="inlineStr"/>
      <c r="AF815" s="1302" t="inlineStr"/>
      <c r="AG815" s="1302" t="inlineStr"/>
      <c r="AH815" s="1302" t="n"/>
      <c r="AI815" s="1302" t="n"/>
      <c r="AJ815" s="1302" t="n"/>
      <c r="AK815" s="1302">
        <f>AI815-AJ815</f>
        <v/>
      </c>
      <c r="AL815" s="858" t="n"/>
      <c r="AM815" s="1297" t="inlineStr"/>
      <c r="AN815" s="1298" t="n"/>
      <c r="AO815" s="13">
        <f>IF(_epmOfflineCondition_,0,EPMSaveDataOnly(AB815,,AB$29,AB$25,AB$26,AB$31,AB$32,$AA$37,AO$14,AO$15,AO$16,AO$17,AO$18,X815))</f>
        <v/>
      </c>
      <c r="AP815" s="13">
        <f>IF(_epmOfflineCondition_,0,EPMSaveDataOnly(AL815,,AL$29,AL$25,AL$26,AL$31,AL$32,$AA$37,AP$14,AP$15,AP$16,AP$17,AP$18,$X815))</f>
        <v/>
      </c>
      <c r="AQ815" s="13">
        <f>IF(_epmOfflineCondition_,0,EPMSaveData(AM815,,AM$29,AM$25,AM$26,$C$6,AM$32,$AA$37,AQ$14,AQ$15,AQ$16,AQ$17,AQ$18,$X815))</f>
        <v/>
      </c>
      <c r="AR815" s="13">
        <f>IF(_epmOfflineCondition_,0,EPMSaveDataOnly(AN815,,AN$29,AN$25,AN$26,AN$31,AN$32,$AA$37,AR$14,AR$15,AR$16,AR$17,AR$18,$X815))</f>
        <v/>
      </c>
      <c r="AS815" s="384" t="n"/>
    </row>
    <row r="816" hidden="1" ht="15.75" customHeight="1" s="1181">
      <c r="A816" s="384" t="n"/>
      <c r="B816" s="384" t="n"/>
      <c r="C816" s="384" t="n"/>
      <c r="D816" s="384" t="n"/>
      <c r="E816" s="384" t="n"/>
      <c r="F816" s="384" t="n"/>
      <c r="G816" s="384" t="n"/>
      <c r="H816" s="384" t="n"/>
      <c r="I816" s="384" t="n"/>
      <c r="J816" s="384" t="n"/>
      <c r="K816" s="384" t="n"/>
      <c r="L816" s="384" t="n"/>
      <c r="M816" s="384" t="n"/>
      <c r="N816" s="384" t="n"/>
      <c r="O816" s="384" t="n"/>
      <c r="P816" s="384" t="n"/>
      <c r="Q816" s="384" t="n"/>
      <c r="R816" s="384" t="n"/>
      <c r="S816" s="384" t="n"/>
      <c r="T816" s="384" t="n"/>
      <c r="U816" s="384" t="n"/>
      <c r="V816" s="384" t="n"/>
      <c r="W816" s="384" t="n"/>
      <c r="X816" s="645">
        <f>IF(_epmOfflineCondition_,"I_E101188",EPMOlapMemberO("[C_INTERCO].[PARENTH1].[I_E101188]","","I_E101188","","000"))</f>
        <v/>
      </c>
      <c r="Y816" s="870">
        <f>IF(_epmOfflineCondition_,"亚洲新能源（宝应）风力发电有限公司",EPMMemberDesc(X816))</f>
        <v/>
      </c>
      <c r="Z816" s="1302" t="n"/>
      <c r="AA816" s="1302" t="n"/>
      <c r="AB816" s="858" t="n"/>
      <c r="AC816" s="1302" t="n"/>
      <c r="AD816" s="1302" t="n"/>
      <c r="AE816" s="1302" t="inlineStr"/>
      <c r="AF816" s="1302" t="inlineStr"/>
      <c r="AG816" s="1302" t="inlineStr"/>
      <c r="AH816" s="1302" t="n"/>
      <c r="AI816" s="1302" t="n"/>
      <c r="AJ816" s="1302" t="n"/>
      <c r="AK816" s="1302">
        <f>AI816-AJ816</f>
        <v/>
      </c>
      <c r="AL816" s="858" t="n"/>
      <c r="AM816" s="1297" t="inlineStr"/>
      <c r="AN816" s="1298" t="n"/>
      <c r="AO816" s="13">
        <f>IF(_epmOfflineCondition_,0,EPMSaveDataOnly(AB816,,AB$29,AB$25,AB$26,AB$31,AB$32,$AA$37,AO$14,AO$15,AO$16,AO$17,AO$18,X816))</f>
        <v/>
      </c>
      <c r="AP816" s="13">
        <f>IF(_epmOfflineCondition_,0,EPMSaveDataOnly(AL816,,AL$29,AL$25,AL$26,AL$31,AL$32,$AA$37,AP$14,AP$15,AP$16,AP$17,AP$18,$X816))</f>
        <v/>
      </c>
      <c r="AQ816" s="13">
        <f>IF(_epmOfflineCondition_,0,EPMSaveData(AM816,,AM$29,AM$25,AM$26,$C$6,AM$32,$AA$37,AQ$14,AQ$15,AQ$16,AQ$17,AQ$18,$X816))</f>
        <v/>
      </c>
      <c r="AR816" s="13">
        <f>IF(_epmOfflineCondition_,0,EPMSaveDataOnly(AN816,,AN$29,AN$25,AN$26,AN$31,AN$32,$AA$37,AR$14,AR$15,AR$16,AR$17,AR$18,$X816))</f>
        <v/>
      </c>
      <c r="AS816" s="384" t="n"/>
    </row>
    <row r="817" hidden="1" ht="15.75" customHeight="1" s="1181">
      <c r="A817" s="384" t="n"/>
      <c r="B817" s="384" t="n"/>
      <c r="C817" s="384" t="n"/>
      <c r="D817" s="384" t="n"/>
      <c r="E817" s="384" t="n"/>
      <c r="F817" s="384" t="n"/>
      <c r="G817" s="384" t="n"/>
      <c r="H817" s="384" t="n"/>
      <c r="I817" s="384" t="n"/>
      <c r="J817" s="384" t="n"/>
      <c r="K817" s="384" t="n"/>
      <c r="L817" s="384" t="n"/>
      <c r="M817" s="384" t="n"/>
      <c r="N817" s="384" t="n"/>
      <c r="O817" s="384" t="n"/>
      <c r="P817" s="384" t="n"/>
      <c r="Q817" s="384" t="n"/>
      <c r="R817" s="384" t="n"/>
      <c r="S817" s="384" t="n"/>
      <c r="T817" s="384" t="n"/>
      <c r="U817" s="384" t="n"/>
      <c r="V817" s="384" t="n"/>
      <c r="W817" s="384" t="n"/>
      <c r="X817" s="645">
        <f>IF(_epmOfflineCondition_,"I_E101189",EPMOlapMemberO("[C_INTERCO].[PARENTH1].[I_E101189]","","I_E101189","","000"))</f>
        <v/>
      </c>
      <c r="Y817" s="870">
        <f>IF(_epmOfflineCondition_,"京能（尚志市）新能源管理有限公司",EPMMemberDesc(X817))</f>
        <v/>
      </c>
      <c r="Z817" s="1302" t="n"/>
      <c r="AA817" s="1302" t="n"/>
      <c r="AB817" s="858" t="n"/>
      <c r="AC817" s="1302" t="n"/>
      <c r="AD817" s="1302" t="n"/>
      <c r="AE817" s="1302" t="inlineStr"/>
      <c r="AF817" s="1302" t="inlineStr"/>
      <c r="AG817" s="1302" t="inlineStr"/>
      <c r="AH817" s="1302" t="n"/>
      <c r="AI817" s="1302" t="n"/>
      <c r="AJ817" s="1302" t="n"/>
      <c r="AK817" s="1302">
        <f>AI817-AJ817</f>
        <v/>
      </c>
      <c r="AL817" s="858" t="n"/>
      <c r="AM817" s="1297" t="inlineStr"/>
      <c r="AN817" s="1298" t="n"/>
      <c r="AO817" s="13">
        <f>IF(_epmOfflineCondition_,0,EPMSaveDataOnly(AB817,,AB$29,AB$25,AB$26,AB$31,AB$32,$AA$37,AO$14,AO$15,AO$16,AO$17,AO$18,X817))</f>
        <v/>
      </c>
      <c r="AP817" s="13">
        <f>IF(_epmOfflineCondition_,0,EPMSaveDataOnly(AL817,,AL$29,AL$25,AL$26,AL$31,AL$32,$AA$37,AP$14,AP$15,AP$16,AP$17,AP$18,$X817))</f>
        <v/>
      </c>
      <c r="AQ817" s="13">
        <f>IF(_epmOfflineCondition_,0,EPMSaveData(AM817,,AM$29,AM$25,AM$26,$C$6,AM$32,$AA$37,AQ$14,AQ$15,AQ$16,AQ$17,AQ$18,$X817))</f>
        <v/>
      </c>
      <c r="AR817" s="13">
        <f>IF(_epmOfflineCondition_,0,EPMSaveDataOnly(AN817,,AN$29,AN$25,AN$26,AN$31,AN$32,$AA$37,AR$14,AR$15,AR$16,AR$17,AR$18,$X817))</f>
        <v/>
      </c>
      <c r="AS817" s="384" t="n"/>
    </row>
    <row r="818" hidden="1" ht="15.75" customHeight="1" s="1181">
      <c r="A818" s="384" t="n"/>
      <c r="B818" s="384" t="n"/>
      <c r="C818" s="384" t="n"/>
      <c r="D818" s="384" t="n"/>
      <c r="E818" s="384" t="n"/>
      <c r="F818" s="384" t="n"/>
      <c r="G818" s="384" t="n"/>
      <c r="H818" s="384" t="n"/>
      <c r="I818" s="384" t="n"/>
      <c r="J818" s="384" t="n"/>
      <c r="K818" s="384" t="n"/>
      <c r="L818" s="384" t="n"/>
      <c r="M818" s="384" t="n"/>
      <c r="N818" s="384" t="n"/>
      <c r="O818" s="384" t="n"/>
      <c r="P818" s="384" t="n"/>
      <c r="Q818" s="384" t="n"/>
      <c r="R818" s="384" t="n"/>
      <c r="S818" s="384" t="n"/>
      <c r="T818" s="384" t="n"/>
      <c r="U818" s="384" t="n"/>
      <c r="V818" s="384" t="n"/>
      <c r="W818" s="384" t="n"/>
      <c r="X818" s="645">
        <f>IF(_epmOfflineCondition_,"I_E101190",EPMOlapMemberO("[C_INTERCO].[PARENTH1].[I_E101190]","","I_E101190","","000"))</f>
        <v/>
      </c>
      <c r="Y818" s="870">
        <f>IF(_epmOfflineCondition_,"保山能源发展股份有限公司",EPMMemberDesc(X818))</f>
        <v/>
      </c>
      <c r="Z818" s="1302" t="n"/>
      <c r="AA818" s="1302" t="n"/>
      <c r="AB818" s="858" t="n"/>
      <c r="AC818" s="1302" t="n"/>
      <c r="AD818" s="1302" t="n"/>
      <c r="AE818" s="1302" t="inlineStr"/>
      <c r="AF818" s="1302" t="inlineStr"/>
      <c r="AG818" s="1302" t="inlineStr"/>
      <c r="AH818" s="1302" t="n"/>
      <c r="AI818" s="1302" t="n"/>
      <c r="AJ818" s="1302" t="n"/>
      <c r="AK818" s="1302">
        <f>AI818-AJ818</f>
        <v/>
      </c>
      <c r="AL818" s="858" t="n"/>
      <c r="AM818" s="1297" t="inlineStr"/>
      <c r="AN818" s="1298" t="n"/>
      <c r="AO818" s="13">
        <f>IF(_epmOfflineCondition_,0,EPMSaveDataOnly(AB818,,AB$29,AB$25,AB$26,AB$31,AB$32,$AA$37,AO$14,AO$15,AO$16,AO$17,AO$18,X818))</f>
        <v/>
      </c>
      <c r="AP818" s="13">
        <f>IF(_epmOfflineCondition_,0,EPMSaveDataOnly(AL818,,AL$29,AL$25,AL$26,AL$31,AL$32,$AA$37,AP$14,AP$15,AP$16,AP$17,AP$18,$X818))</f>
        <v/>
      </c>
      <c r="AQ818" s="13">
        <f>IF(_epmOfflineCondition_,0,EPMSaveData(AM818,,AM$29,AM$25,AM$26,$C$6,AM$32,$AA$37,AQ$14,AQ$15,AQ$16,AQ$17,AQ$18,$X818))</f>
        <v/>
      </c>
      <c r="AR818" s="13">
        <f>IF(_epmOfflineCondition_,0,EPMSaveDataOnly(AN818,,AN$29,AN$25,AN$26,AN$31,AN$32,$AA$37,AR$14,AR$15,AR$16,AR$17,AR$18,$X818))</f>
        <v/>
      </c>
      <c r="AS818" s="384" t="n"/>
    </row>
    <row r="819" hidden="1" ht="15.75" customHeight="1" s="1181">
      <c r="A819" s="384" t="n"/>
      <c r="B819" s="384" t="n"/>
      <c r="C819" s="384" t="n"/>
      <c r="D819" s="384" t="n"/>
      <c r="E819" s="384" t="n"/>
      <c r="F819" s="384" t="n"/>
      <c r="G819" s="384" t="n"/>
      <c r="H819" s="384" t="n"/>
      <c r="I819" s="384" t="n"/>
      <c r="J819" s="384" t="n"/>
      <c r="K819" s="384" t="n"/>
      <c r="L819" s="384" t="n"/>
      <c r="M819" s="384" t="n"/>
      <c r="N819" s="384" t="n"/>
      <c r="O819" s="384" t="n"/>
      <c r="P819" s="384" t="n"/>
      <c r="Q819" s="384" t="n"/>
      <c r="R819" s="384" t="n"/>
      <c r="S819" s="384" t="n"/>
      <c r="T819" s="384" t="n"/>
      <c r="U819" s="384" t="n"/>
      <c r="V819" s="384" t="n"/>
      <c r="W819" s="384" t="n"/>
      <c r="X819" s="645">
        <f>IF(_epmOfflineCondition_,"I_E101191",EPMOlapMemberO("[C_INTERCO].[PARENTH1].[I_E101191]","","I_E101191","","000"))</f>
        <v/>
      </c>
      <c r="Y819" s="870">
        <f>IF(_epmOfflineCondition_,"云南保山槟榔江水电开发有限公司",EPMMemberDesc(X819))</f>
        <v/>
      </c>
      <c r="Z819" s="1302" t="n"/>
      <c r="AA819" s="1302" t="n"/>
      <c r="AB819" s="858" t="n"/>
      <c r="AC819" s="1302" t="n"/>
      <c r="AD819" s="1302" t="n"/>
      <c r="AE819" s="1302" t="inlineStr"/>
      <c r="AF819" s="1302" t="inlineStr"/>
      <c r="AG819" s="1302" t="inlineStr"/>
      <c r="AH819" s="1302" t="n"/>
      <c r="AI819" s="1302" t="n"/>
      <c r="AJ819" s="1302" t="n"/>
      <c r="AK819" s="1302">
        <f>AI819-AJ819</f>
        <v/>
      </c>
      <c r="AL819" s="858" t="n"/>
      <c r="AM819" s="1297" t="inlineStr"/>
      <c r="AN819" s="1298" t="n"/>
      <c r="AO819" s="13">
        <f>IF(_epmOfflineCondition_,0,EPMSaveDataOnly(AB819,,AB$29,AB$25,AB$26,AB$31,AB$32,$AA$37,AO$14,AO$15,AO$16,AO$17,AO$18,X819))</f>
        <v/>
      </c>
      <c r="AP819" s="13">
        <f>IF(_epmOfflineCondition_,0,EPMSaveDataOnly(AL819,,AL$29,AL$25,AL$26,AL$31,AL$32,$AA$37,AP$14,AP$15,AP$16,AP$17,AP$18,$X819))</f>
        <v/>
      </c>
      <c r="AQ819" s="13">
        <f>IF(_epmOfflineCondition_,0,EPMSaveData(AM819,,AM$29,AM$25,AM$26,$C$6,AM$32,$AA$37,AQ$14,AQ$15,AQ$16,AQ$17,AQ$18,$X819))</f>
        <v/>
      </c>
      <c r="AR819" s="13">
        <f>IF(_epmOfflineCondition_,0,EPMSaveDataOnly(AN819,,AN$29,AN$25,AN$26,AN$31,AN$32,$AA$37,AR$14,AR$15,AR$16,AR$17,AR$18,$X819))</f>
        <v/>
      </c>
      <c r="AS819" s="384" t="n"/>
    </row>
    <row r="820" hidden="1" ht="15.75" customHeight="1" s="1181">
      <c r="A820" s="384" t="n"/>
      <c r="B820" s="384" t="n"/>
      <c r="C820" s="384" t="n"/>
      <c r="D820" s="384" t="n"/>
      <c r="E820" s="384" t="n"/>
      <c r="F820" s="384" t="n"/>
      <c r="G820" s="384" t="n"/>
      <c r="H820" s="384" t="n"/>
      <c r="I820" s="384" t="n"/>
      <c r="J820" s="384" t="n"/>
      <c r="K820" s="384" t="n"/>
      <c r="L820" s="384" t="n"/>
      <c r="M820" s="384" t="n"/>
      <c r="N820" s="384" t="n"/>
      <c r="O820" s="384" t="n"/>
      <c r="P820" s="384" t="n"/>
      <c r="Q820" s="384" t="n"/>
      <c r="R820" s="384" t="n"/>
      <c r="S820" s="384" t="n"/>
      <c r="T820" s="384" t="n"/>
      <c r="U820" s="384" t="n"/>
      <c r="V820" s="384" t="n"/>
      <c r="W820" s="384" t="n"/>
      <c r="X820" s="645">
        <f>IF(_epmOfflineCondition_,"I_E101192",EPMOlapMemberO("[C_INTERCO].[PARENTH1].[I_E101192]","","I_E101192","","000"))</f>
        <v/>
      </c>
      <c r="Y820" s="870">
        <f>IF(_epmOfflineCondition_,"保山龙川江水电开发有限公司",EPMMemberDesc(X820))</f>
        <v/>
      </c>
      <c r="Z820" s="1302" t="n"/>
      <c r="AA820" s="1302" t="n"/>
      <c r="AB820" s="858" t="n"/>
      <c r="AC820" s="1302" t="n"/>
      <c r="AD820" s="1302" t="n"/>
      <c r="AE820" s="1302" t="inlineStr"/>
      <c r="AF820" s="1302" t="inlineStr"/>
      <c r="AG820" s="1302" t="inlineStr"/>
      <c r="AH820" s="1302" t="n"/>
      <c r="AI820" s="1302" t="n"/>
      <c r="AJ820" s="1302" t="n"/>
      <c r="AK820" s="1302">
        <f>AI820-AJ820</f>
        <v/>
      </c>
      <c r="AL820" s="858" t="n"/>
      <c r="AM820" s="1297" t="inlineStr"/>
      <c r="AN820" s="1298" t="n"/>
      <c r="AO820" s="13">
        <f>IF(_epmOfflineCondition_,0,EPMSaveDataOnly(AB820,,AB$29,AB$25,AB$26,AB$31,AB$32,$AA$37,AO$14,AO$15,AO$16,AO$17,AO$18,X820))</f>
        <v/>
      </c>
      <c r="AP820" s="13">
        <f>IF(_epmOfflineCondition_,0,EPMSaveDataOnly(AL820,,AL$29,AL$25,AL$26,AL$31,AL$32,$AA$37,AP$14,AP$15,AP$16,AP$17,AP$18,$X820))</f>
        <v/>
      </c>
      <c r="AQ820" s="13">
        <f>IF(_epmOfflineCondition_,0,EPMSaveData(AM820,,AM$29,AM$25,AM$26,$C$6,AM$32,$AA$37,AQ$14,AQ$15,AQ$16,AQ$17,AQ$18,$X820))</f>
        <v/>
      </c>
      <c r="AR820" s="13">
        <f>IF(_epmOfflineCondition_,0,EPMSaveDataOnly(AN820,,AN$29,AN$25,AN$26,AN$31,AN$32,$AA$37,AR$14,AR$15,AR$16,AR$17,AR$18,$X820))</f>
        <v/>
      </c>
      <c r="AS820" s="384" t="n"/>
    </row>
    <row r="821" hidden="1" ht="15.75" customHeight="1" s="1181">
      <c r="A821" s="384" t="n"/>
      <c r="B821" s="384" t="n"/>
      <c r="C821" s="384" t="n"/>
      <c r="D821" s="384" t="n"/>
      <c r="E821" s="384" t="n"/>
      <c r="F821" s="384" t="n"/>
      <c r="G821" s="384" t="n"/>
      <c r="H821" s="384" t="n"/>
      <c r="I821" s="384" t="n"/>
      <c r="J821" s="384" t="n"/>
      <c r="K821" s="384" t="n"/>
      <c r="L821" s="384" t="n"/>
      <c r="M821" s="384" t="n"/>
      <c r="N821" s="384" t="n"/>
      <c r="O821" s="384" t="n"/>
      <c r="P821" s="384" t="n"/>
      <c r="Q821" s="384" t="n"/>
      <c r="R821" s="384" t="n"/>
      <c r="S821" s="384" t="n"/>
      <c r="T821" s="384" t="n"/>
      <c r="U821" s="384" t="n"/>
      <c r="V821" s="384" t="n"/>
      <c r="W821" s="384" t="n"/>
      <c r="X821" s="645">
        <f>IF(_epmOfflineCondition_,"I_E101177",EPMOlapMemberO("[C_INTERCO].[PARENTH1].[I_E101177]","","I_E101177","","000"))</f>
        <v/>
      </c>
      <c r="Y821" s="870">
        <f>IF(_epmOfflineCondition_,"宁夏泽华新能源有限公司",EPMMemberDesc(X821))</f>
        <v/>
      </c>
      <c r="Z821" s="1302" t="n"/>
      <c r="AA821" s="1302" t="n"/>
      <c r="AB821" s="858" t="n"/>
      <c r="AC821" s="1302" t="n"/>
      <c r="AD821" s="1302" t="n"/>
      <c r="AE821" s="1302" t="inlineStr"/>
      <c r="AF821" s="1302" t="inlineStr"/>
      <c r="AG821" s="1302" t="inlineStr"/>
      <c r="AH821" s="1302" t="n"/>
      <c r="AI821" s="1302" t="n"/>
      <c r="AJ821" s="1302" t="n"/>
      <c r="AK821" s="1302">
        <f>AI821-AJ821</f>
        <v/>
      </c>
      <c r="AL821" s="858" t="n"/>
      <c r="AM821" s="1297" t="inlineStr"/>
      <c r="AN821" s="1298" t="n"/>
      <c r="AO821" s="13">
        <f>IF(_epmOfflineCondition_,0,EPMSaveDataOnly(AB821,,AB$29,AB$25,AB$26,AB$31,AB$32,$AA$37,AO$14,AO$15,AO$16,AO$17,AO$18,X821))</f>
        <v/>
      </c>
      <c r="AP821" s="13">
        <f>IF(_epmOfflineCondition_,0,EPMSaveDataOnly(AL821,,AL$29,AL$25,AL$26,AL$31,AL$32,$AA$37,AP$14,AP$15,AP$16,AP$17,AP$18,$X821))</f>
        <v/>
      </c>
      <c r="AQ821" s="13">
        <f>IF(_epmOfflineCondition_,0,EPMSaveData(AM821,,AM$29,AM$25,AM$26,$C$6,AM$32,$AA$37,AQ$14,AQ$15,AQ$16,AQ$17,AQ$18,$X821))</f>
        <v/>
      </c>
      <c r="AR821" s="13">
        <f>IF(_epmOfflineCondition_,0,EPMSaveDataOnly(AN821,,AN$29,AN$25,AN$26,AN$31,AN$32,$AA$37,AR$14,AR$15,AR$16,AR$17,AR$18,$X821))</f>
        <v/>
      </c>
      <c r="AS821" s="384" t="n"/>
    </row>
    <row r="822" hidden="1" ht="15.75" customHeight="1" s="1181">
      <c r="A822" s="384" t="n"/>
      <c r="B822" s="384" t="n"/>
      <c r="C822" s="384" t="n"/>
      <c r="D822" s="384" t="n"/>
      <c r="E822" s="384" t="n"/>
      <c r="F822" s="384" t="n"/>
      <c r="G822" s="384" t="n"/>
      <c r="H822" s="384" t="n"/>
      <c r="I822" s="384" t="n"/>
      <c r="J822" s="384" t="n"/>
      <c r="K822" s="384" t="n"/>
      <c r="L822" s="384" t="n"/>
      <c r="M822" s="384" t="n"/>
      <c r="N822" s="384" t="n"/>
      <c r="O822" s="384" t="n"/>
      <c r="P822" s="384" t="n"/>
      <c r="Q822" s="384" t="n"/>
      <c r="R822" s="384" t="n"/>
      <c r="S822" s="384" t="n"/>
      <c r="T822" s="384" t="n"/>
      <c r="U822" s="384" t="n"/>
      <c r="V822" s="384" t="n"/>
      <c r="W822" s="384" t="n"/>
      <c r="X822" s="645">
        <f>IF(_epmOfflineCondition_,"I_E101178",EPMOlapMemberO("[C_INTERCO].[PARENTH1].[I_E101178]","","I_E101178","","000"))</f>
        <v/>
      </c>
      <c r="Y822" s="870">
        <f>IF(_epmOfflineCondition_,"北京市昌平区颐寿轩养老服务中心",EPMMemberDesc(X822))</f>
        <v/>
      </c>
      <c r="Z822" s="1302" t="n"/>
      <c r="AA822" s="1302" t="n"/>
      <c r="AB822" s="858" t="n"/>
      <c r="AC822" s="1302" t="n"/>
      <c r="AD822" s="1302" t="n"/>
      <c r="AE822" s="1302" t="inlineStr"/>
      <c r="AF822" s="1302" t="inlineStr"/>
      <c r="AG822" s="1302" t="inlineStr"/>
      <c r="AH822" s="1302" t="n"/>
      <c r="AI822" s="1302" t="n"/>
      <c r="AJ822" s="1302" t="n"/>
      <c r="AK822" s="1302">
        <f>AI822-AJ822</f>
        <v/>
      </c>
      <c r="AL822" s="858" t="n"/>
      <c r="AM822" s="1297" t="inlineStr"/>
      <c r="AN822" s="1298" t="n"/>
      <c r="AO822" s="13">
        <f>IF(_epmOfflineCondition_,0,EPMSaveDataOnly(AB822,,AB$29,AB$25,AB$26,AB$31,AB$32,$AA$37,AO$14,AO$15,AO$16,AO$17,AO$18,X822))</f>
        <v/>
      </c>
      <c r="AP822" s="13">
        <f>IF(_epmOfflineCondition_,0,EPMSaveDataOnly(AL822,,AL$29,AL$25,AL$26,AL$31,AL$32,$AA$37,AP$14,AP$15,AP$16,AP$17,AP$18,$X822))</f>
        <v/>
      </c>
      <c r="AQ822" s="13">
        <f>IF(_epmOfflineCondition_,0,EPMSaveData(AM822,,AM$29,AM$25,AM$26,$C$6,AM$32,$AA$37,AQ$14,AQ$15,AQ$16,AQ$17,AQ$18,$X822))</f>
        <v/>
      </c>
      <c r="AR822" s="13">
        <f>IF(_epmOfflineCondition_,0,EPMSaveDataOnly(AN822,,AN$29,AN$25,AN$26,AN$31,AN$32,$AA$37,AR$14,AR$15,AR$16,AR$17,AR$18,$X822))</f>
        <v/>
      </c>
      <c r="AS822" s="384" t="n"/>
    </row>
    <row r="823" hidden="1" ht="15.75" customHeight="1" s="1181">
      <c r="A823" s="384" t="n"/>
      <c r="B823" s="384" t="n"/>
      <c r="C823" s="384" t="n"/>
      <c r="D823" s="384" t="n"/>
      <c r="E823" s="384" t="n"/>
      <c r="F823" s="384" t="n"/>
      <c r="G823" s="384" t="n"/>
      <c r="H823" s="384" t="n"/>
      <c r="I823" s="384" t="n"/>
      <c r="J823" s="384" t="n"/>
      <c r="K823" s="384" t="n"/>
      <c r="L823" s="384" t="n"/>
      <c r="M823" s="384" t="n"/>
      <c r="N823" s="384" t="n"/>
      <c r="O823" s="384" t="n"/>
      <c r="P823" s="384" t="n"/>
      <c r="Q823" s="384" t="n"/>
      <c r="R823" s="384" t="n"/>
      <c r="S823" s="384" t="n"/>
      <c r="T823" s="384" t="n"/>
      <c r="U823" s="384" t="n"/>
      <c r="V823" s="384" t="n"/>
      <c r="W823" s="384" t="n"/>
      <c r="X823" s="645">
        <f>IF(_epmOfflineCondition_,"I_E101162",EPMOlapMemberO("[C_INTERCO].[PARENTH1].[I_E101162]","","I_E101162","","000"))</f>
        <v/>
      </c>
      <c r="Y823" s="870">
        <f>IF(_epmOfflineCondition_,"京能科技（易县）有限公司",EPMMemberDesc(X823))</f>
        <v/>
      </c>
      <c r="Z823" s="1302" t="n"/>
      <c r="AA823" s="1302" t="n"/>
      <c r="AB823" s="858" t="n"/>
      <c r="AC823" s="1302" t="n"/>
      <c r="AD823" s="1302" t="n"/>
      <c r="AE823" s="1302" t="inlineStr"/>
      <c r="AF823" s="1302" t="inlineStr"/>
      <c r="AG823" s="1302" t="inlineStr"/>
      <c r="AH823" s="1302" t="n"/>
      <c r="AI823" s="1302" t="n"/>
      <c r="AJ823" s="1302" t="n"/>
      <c r="AK823" s="1302">
        <f>AI823-AJ823</f>
        <v/>
      </c>
      <c r="AL823" s="858" t="n"/>
      <c r="AM823" s="1297" t="inlineStr"/>
      <c r="AN823" s="1298" t="n"/>
      <c r="AO823" s="13">
        <f>IF(_epmOfflineCondition_,0,EPMSaveDataOnly(AB823,,AB$29,AB$25,AB$26,AB$31,AB$32,$AA$37,AO$14,AO$15,AO$16,AO$17,AO$18,X823))</f>
        <v/>
      </c>
      <c r="AP823" s="13">
        <f>IF(_epmOfflineCondition_,0,EPMSaveDataOnly(AL823,,AL$29,AL$25,AL$26,AL$31,AL$32,$AA$37,AP$14,AP$15,AP$16,AP$17,AP$18,$X823))</f>
        <v/>
      </c>
      <c r="AQ823" s="13">
        <f>IF(_epmOfflineCondition_,0,EPMSaveData(AM823,,AM$29,AM$25,AM$26,$C$6,AM$32,$AA$37,AQ$14,AQ$15,AQ$16,AQ$17,AQ$18,$X823))</f>
        <v/>
      </c>
      <c r="AR823" s="13">
        <f>IF(_epmOfflineCondition_,0,EPMSaveDataOnly(AN823,,AN$29,AN$25,AN$26,AN$31,AN$32,$AA$37,AR$14,AR$15,AR$16,AR$17,AR$18,$X823))</f>
        <v/>
      </c>
      <c r="AS823" s="384" t="n"/>
    </row>
    <row r="824" hidden="1" ht="15.75" customHeight="1" s="1181">
      <c r="A824" s="384" t="n"/>
      <c r="B824" s="384" t="n"/>
      <c r="C824" s="384" t="n"/>
      <c r="D824" s="384" t="n"/>
      <c r="E824" s="384" t="n"/>
      <c r="F824" s="384" t="n"/>
      <c r="G824" s="384" t="n"/>
      <c r="H824" s="384" t="n"/>
      <c r="I824" s="384" t="n"/>
      <c r="J824" s="384" t="n"/>
      <c r="K824" s="384" t="n"/>
      <c r="L824" s="384" t="n"/>
      <c r="M824" s="384" t="n"/>
      <c r="N824" s="384" t="n"/>
      <c r="O824" s="384" t="n"/>
      <c r="P824" s="384" t="n"/>
      <c r="Q824" s="384" t="n"/>
      <c r="R824" s="384" t="n"/>
      <c r="S824" s="384" t="n"/>
      <c r="T824" s="384" t="n"/>
      <c r="U824" s="384" t="n"/>
      <c r="V824" s="384" t="n"/>
      <c r="W824" s="384" t="n"/>
      <c r="X824" s="645">
        <f>IF(_epmOfflineCondition_,"I_E101179",EPMOlapMemberO("[C_INTERCO].[PARENTH1].[I_E101179]","","I_E101179","","000"))</f>
        <v/>
      </c>
      <c r="Y824" s="870">
        <f>IF(_epmOfflineCondition_,"北康秦皇岛健康养老有限公司北戴河分公司",EPMMemberDesc(X824))</f>
        <v/>
      </c>
      <c r="Z824" s="1302" t="n"/>
      <c r="AA824" s="1302" t="n"/>
      <c r="AB824" s="858" t="n"/>
      <c r="AC824" s="1302" t="n"/>
      <c r="AD824" s="1302" t="n"/>
      <c r="AE824" s="1302" t="inlineStr"/>
      <c r="AF824" s="1302" t="inlineStr"/>
      <c r="AG824" s="1302" t="inlineStr"/>
      <c r="AH824" s="1302" t="n"/>
      <c r="AI824" s="1302" t="n"/>
      <c r="AJ824" s="1302" t="n"/>
      <c r="AK824" s="1302">
        <f>AI824-AJ824</f>
        <v/>
      </c>
      <c r="AL824" s="858" t="n"/>
      <c r="AM824" s="1297" t="inlineStr"/>
      <c r="AN824" s="1298" t="n"/>
      <c r="AO824" s="13">
        <f>IF(_epmOfflineCondition_,0,EPMSaveDataOnly(AB824,,AB$29,AB$25,AB$26,AB$31,AB$32,$AA$37,AO$14,AO$15,AO$16,AO$17,AO$18,X824))</f>
        <v/>
      </c>
      <c r="AP824" s="13">
        <f>IF(_epmOfflineCondition_,0,EPMSaveDataOnly(AL824,,AL$29,AL$25,AL$26,AL$31,AL$32,$AA$37,AP$14,AP$15,AP$16,AP$17,AP$18,$X824))</f>
        <v/>
      </c>
      <c r="AQ824" s="13">
        <f>IF(_epmOfflineCondition_,0,EPMSaveData(AM824,,AM$29,AM$25,AM$26,$C$6,AM$32,$AA$37,AQ$14,AQ$15,AQ$16,AQ$17,AQ$18,$X824))</f>
        <v/>
      </c>
      <c r="AR824" s="13">
        <f>IF(_epmOfflineCondition_,0,EPMSaveDataOnly(AN824,,AN$29,AN$25,AN$26,AN$31,AN$32,$AA$37,AR$14,AR$15,AR$16,AR$17,AR$18,$X824))</f>
        <v/>
      </c>
      <c r="AS824" s="384" t="n"/>
    </row>
    <row r="825" hidden="1" ht="15.75" customHeight="1" s="1181">
      <c r="A825" s="384" t="n"/>
      <c r="B825" s="384" t="n"/>
      <c r="C825" s="384" t="n"/>
      <c r="D825" s="384" t="n"/>
      <c r="E825" s="384" t="n"/>
      <c r="F825" s="384" t="n"/>
      <c r="G825" s="384" t="n"/>
      <c r="H825" s="384" t="n"/>
      <c r="I825" s="384" t="n"/>
      <c r="J825" s="384" t="n"/>
      <c r="K825" s="384" t="n"/>
      <c r="L825" s="384" t="n"/>
      <c r="M825" s="384" t="n"/>
      <c r="N825" s="384" t="n"/>
      <c r="O825" s="384" t="n"/>
      <c r="P825" s="384" t="n"/>
      <c r="Q825" s="384" t="n"/>
      <c r="R825" s="384" t="n"/>
      <c r="S825" s="384" t="n"/>
      <c r="T825" s="384" t="n"/>
      <c r="U825" s="384" t="n"/>
      <c r="V825" s="384" t="n"/>
      <c r="W825" s="384" t="n"/>
      <c r="X825" s="645">
        <f>IF(_epmOfflineCondition_,"I_E101152",EPMOlapMemberO("[C_INTERCO].[PARENTH1].[I_E101152]","","I_E101152","","000"))</f>
        <v/>
      </c>
      <c r="Y825" s="870">
        <f>IF(_epmOfflineCondition_,"广西忻城京能新能源有限公司",EPMMemberDesc(X825))</f>
        <v/>
      </c>
      <c r="Z825" s="1302" t="n"/>
      <c r="AA825" s="1302" t="n"/>
      <c r="AB825" s="858" t="n"/>
      <c r="AC825" s="1302" t="n"/>
      <c r="AD825" s="1302" t="n"/>
      <c r="AE825" s="1302" t="inlineStr"/>
      <c r="AF825" s="1302" t="inlineStr"/>
      <c r="AG825" s="1302" t="inlineStr"/>
      <c r="AH825" s="1302" t="n"/>
      <c r="AI825" s="1302" t="n"/>
      <c r="AJ825" s="1302" t="n"/>
      <c r="AK825" s="1302">
        <f>AI825-AJ825</f>
        <v/>
      </c>
      <c r="AL825" s="858" t="n"/>
      <c r="AM825" s="1297" t="inlineStr"/>
      <c r="AN825" s="1298" t="n"/>
      <c r="AO825" s="13">
        <f>IF(_epmOfflineCondition_,0,EPMSaveDataOnly(AB825,,AB$29,AB$25,AB$26,AB$31,AB$32,$AA$37,AO$14,AO$15,AO$16,AO$17,AO$18,X825))</f>
        <v/>
      </c>
      <c r="AP825" s="13">
        <f>IF(_epmOfflineCondition_,0,EPMSaveDataOnly(AL825,,AL$29,AL$25,AL$26,AL$31,AL$32,$AA$37,AP$14,AP$15,AP$16,AP$17,AP$18,$X825))</f>
        <v/>
      </c>
      <c r="AQ825" s="13">
        <f>IF(_epmOfflineCondition_,0,EPMSaveData(AM825,,AM$29,AM$25,AM$26,$C$6,AM$32,$AA$37,AQ$14,AQ$15,AQ$16,AQ$17,AQ$18,$X825))</f>
        <v/>
      </c>
      <c r="AR825" s="13">
        <f>IF(_epmOfflineCondition_,0,EPMSaveDataOnly(AN825,,AN$29,AN$25,AN$26,AN$31,AN$32,$AA$37,AR$14,AR$15,AR$16,AR$17,AR$18,$X825))</f>
        <v/>
      </c>
      <c r="AS825" s="384" t="n"/>
    </row>
    <row r="826" hidden="1" ht="15.75" customHeight="1" s="1181">
      <c r="A826" s="384" t="n"/>
      <c r="B826" s="384" t="n"/>
      <c r="C826" s="384" t="n"/>
      <c r="D826" s="384" t="n"/>
      <c r="E826" s="384" t="n"/>
      <c r="F826" s="384" t="n"/>
      <c r="G826" s="384" t="n"/>
      <c r="H826" s="384" t="n"/>
      <c r="I826" s="384" t="n"/>
      <c r="J826" s="384" t="n"/>
      <c r="K826" s="384" t="n"/>
      <c r="L826" s="384" t="n"/>
      <c r="M826" s="384" t="n"/>
      <c r="N826" s="384" t="n"/>
      <c r="O826" s="384" t="n"/>
      <c r="P826" s="384" t="n"/>
      <c r="Q826" s="384" t="n"/>
      <c r="R826" s="384" t="n"/>
      <c r="S826" s="384" t="n"/>
      <c r="T826" s="384" t="n"/>
      <c r="U826" s="384" t="n"/>
      <c r="V826" s="384" t="n"/>
      <c r="W826" s="384" t="n"/>
      <c r="X826" s="645">
        <f>IF(_epmOfflineCondition_,"I_E101181",EPMOlapMemberO("[C_INTERCO].[PARENTH1].[I_E101181]","","I_E101181","","000"))</f>
        <v/>
      </c>
      <c r="Y826" s="870">
        <f>IF(_epmOfflineCondition_,"化州京智新能源有限公司",EPMMemberDesc(X826))</f>
        <v/>
      </c>
      <c r="Z826" s="1302" t="n"/>
      <c r="AA826" s="1302" t="n"/>
      <c r="AB826" s="858" t="n"/>
      <c r="AC826" s="1302" t="n"/>
      <c r="AD826" s="1302" t="n"/>
      <c r="AE826" s="1302" t="inlineStr"/>
      <c r="AF826" s="1302" t="inlineStr"/>
      <c r="AG826" s="1302" t="inlineStr"/>
      <c r="AH826" s="1302" t="n"/>
      <c r="AI826" s="1302" t="n"/>
      <c r="AJ826" s="1302" t="n"/>
      <c r="AK826" s="1302">
        <f>AI826-AJ826</f>
        <v/>
      </c>
      <c r="AL826" s="858" t="n"/>
      <c r="AM826" s="1297" t="inlineStr"/>
      <c r="AN826" s="1298" t="n"/>
      <c r="AO826" s="13">
        <f>IF(_epmOfflineCondition_,0,EPMSaveDataOnly(AB826,,AB$29,AB$25,AB$26,AB$31,AB$32,$AA$37,AO$14,AO$15,AO$16,AO$17,AO$18,X826))</f>
        <v/>
      </c>
      <c r="AP826" s="13">
        <f>IF(_epmOfflineCondition_,0,EPMSaveDataOnly(AL826,,AL$29,AL$25,AL$26,AL$31,AL$32,$AA$37,AP$14,AP$15,AP$16,AP$17,AP$18,$X826))</f>
        <v/>
      </c>
      <c r="AQ826" s="13">
        <f>IF(_epmOfflineCondition_,0,EPMSaveData(AM826,,AM$29,AM$25,AM$26,$C$6,AM$32,$AA$37,AQ$14,AQ$15,AQ$16,AQ$17,AQ$18,$X826))</f>
        <v/>
      </c>
      <c r="AR826" s="13">
        <f>IF(_epmOfflineCondition_,0,EPMSaveDataOnly(AN826,,AN$29,AN$25,AN$26,AN$31,AN$32,$AA$37,AR$14,AR$15,AR$16,AR$17,AR$18,$X826))</f>
        <v/>
      </c>
      <c r="AS826" s="384" t="n"/>
    </row>
    <row r="827" hidden="1" ht="15.75" customHeight="1" s="1181">
      <c r="A827" s="384" t="n"/>
      <c r="B827" s="384" t="n"/>
      <c r="C827" s="384" t="n"/>
      <c r="D827" s="384" t="n"/>
      <c r="E827" s="384" t="n"/>
      <c r="F827" s="384" t="n"/>
      <c r="G827" s="384" t="n"/>
      <c r="H827" s="384" t="n"/>
      <c r="I827" s="384" t="n"/>
      <c r="J827" s="384" t="n"/>
      <c r="K827" s="384" t="n"/>
      <c r="L827" s="384" t="n"/>
      <c r="M827" s="384" t="n"/>
      <c r="N827" s="384" t="n"/>
      <c r="O827" s="384" t="n"/>
      <c r="P827" s="384" t="n"/>
      <c r="Q827" s="384" t="n"/>
      <c r="R827" s="384" t="n"/>
      <c r="S827" s="384" t="n"/>
      <c r="T827" s="384" t="n"/>
      <c r="U827" s="384" t="n"/>
      <c r="V827" s="384" t="n"/>
      <c r="W827" s="384" t="n"/>
      <c r="X827" s="645">
        <f>IF(_epmOfflineCondition_,"I_E101194",EPMOlapMemberO("[C_INTERCO].[PARENTH1].[I_E101194]","","I_E101194","","000"))</f>
        <v/>
      </c>
      <c r="Y827" s="870">
        <f>IF(_epmOfflineCondition_,"京能（昆明）新能源有限公司",EPMMemberDesc(X827))</f>
        <v/>
      </c>
      <c r="Z827" s="1302" t="n"/>
      <c r="AA827" s="1302" t="n"/>
      <c r="AB827" s="858" t="n"/>
      <c r="AC827" s="1302" t="n"/>
      <c r="AD827" s="1302" t="n"/>
      <c r="AE827" s="1302" t="inlineStr"/>
      <c r="AF827" s="1302" t="inlineStr"/>
      <c r="AG827" s="1302" t="inlineStr"/>
      <c r="AH827" s="1302" t="n"/>
      <c r="AI827" s="1302" t="n"/>
      <c r="AJ827" s="1302" t="n"/>
      <c r="AK827" s="1302">
        <f>AI827-AJ827</f>
        <v/>
      </c>
      <c r="AL827" s="858" t="n"/>
      <c r="AM827" s="1297" t="inlineStr"/>
      <c r="AN827" s="1298" t="n"/>
      <c r="AO827" s="13">
        <f>IF(_epmOfflineCondition_,0,EPMSaveDataOnly(AB827,,AB$29,AB$25,AB$26,AB$31,AB$32,$AA$37,AO$14,AO$15,AO$16,AO$17,AO$18,X827))</f>
        <v/>
      </c>
      <c r="AP827" s="13">
        <f>IF(_epmOfflineCondition_,0,EPMSaveDataOnly(AL827,,AL$29,AL$25,AL$26,AL$31,AL$32,$AA$37,AP$14,AP$15,AP$16,AP$17,AP$18,$X827))</f>
        <v/>
      </c>
      <c r="AQ827" s="13">
        <f>IF(_epmOfflineCondition_,0,EPMSaveData(AM827,,AM$29,AM$25,AM$26,$C$6,AM$32,$AA$37,AQ$14,AQ$15,AQ$16,AQ$17,AQ$18,$X827))</f>
        <v/>
      </c>
      <c r="AR827" s="13">
        <f>IF(_epmOfflineCondition_,0,EPMSaveDataOnly(AN827,,AN$29,AN$25,AN$26,AN$31,AN$32,$AA$37,AR$14,AR$15,AR$16,AR$17,AR$18,$X827))</f>
        <v/>
      </c>
      <c r="AS827" s="384" t="n"/>
    </row>
    <row r="828" hidden="1" ht="15.75" customHeight="1" s="1181">
      <c r="A828" s="384" t="n"/>
      <c r="B828" s="384" t="n"/>
      <c r="C828" s="384" t="n"/>
      <c r="D828" s="384" t="n"/>
      <c r="E828" s="384" t="n"/>
      <c r="F828" s="384" t="n"/>
      <c r="G828" s="384" t="n"/>
      <c r="H828" s="384" t="n"/>
      <c r="I828" s="384" t="n"/>
      <c r="J828" s="384" t="n"/>
      <c r="K828" s="384" t="n"/>
      <c r="L828" s="384" t="n"/>
      <c r="M828" s="384" t="n"/>
      <c r="N828" s="384" t="n"/>
      <c r="O828" s="384" t="n"/>
      <c r="P828" s="384" t="n"/>
      <c r="Q828" s="384" t="n"/>
      <c r="R828" s="384" t="n"/>
      <c r="S828" s="384" t="n"/>
      <c r="T828" s="384" t="n"/>
      <c r="U828" s="384" t="n"/>
      <c r="V828" s="384" t="n"/>
      <c r="W828" s="384" t="n"/>
      <c r="X828" s="645">
        <f>IF(_epmOfflineCondition_,"I_E101137",EPMOlapMemberO("[C_INTERCO].[PARENTH1].[I_E101137]","","I_E101137","","000"))</f>
        <v/>
      </c>
      <c r="Y828" s="870">
        <f>IF(_epmOfflineCondition_,"内蒙古京海煤矸石发电有限责任公司水泥分公司",EPMMemberDesc(X828))</f>
        <v/>
      </c>
      <c r="Z828" s="1302" t="n"/>
      <c r="AA828" s="1302" t="n"/>
      <c r="AB828" s="858" t="n"/>
      <c r="AC828" s="1302" t="n"/>
      <c r="AD828" s="1302" t="n"/>
      <c r="AE828" s="1302" t="inlineStr"/>
      <c r="AF828" s="1302" t="inlineStr"/>
      <c r="AG828" s="1302" t="inlineStr"/>
      <c r="AH828" s="1302" t="n"/>
      <c r="AI828" s="1302" t="n"/>
      <c r="AJ828" s="1302" t="n"/>
      <c r="AK828" s="1302">
        <f>AI828-AJ828</f>
        <v/>
      </c>
      <c r="AL828" s="858" t="n"/>
      <c r="AM828" s="1297" t="inlineStr"/>
      <c r="AN828" s="1298" t="n"/>
      <c r="AO828" s="13">
        <f>IF(_epmOfflineCondition_,0,EPMSaveDataOnly(AB828,,AB$29,AB$25,AB$26,AB$31,AB$32,$AA$37,AO$14,AO$15,AO$16,AO$17,AO$18,X828))</f>
        <v/>
      </c>
      <c r="AP828" s="13">
        <f>IF(_epmOfflineCondition_,0,EPMSaveDataOnly(AL828,,AL$29,AL$25,AL$26,AL$31,AL$32,$AA$37,AP$14,AP$15,AP$16,AP$17,AP$18,$X828))</f>
        <v/>
      </c>
      <c r="AQ828" s="13">
        <f>IF(_epmOfflineCondition_,0,EPMSaveData(AM828,,AM$29,AM$25,AM$26,$C$6,AM$32,$AA$37,AQ$14,AQ$15,AQ$16,AQ$17,AQ$18,$X828))</f>
        <v/>
      </c>
      <c r="AR828" s="13">
        <f>IF(_epmOfflineCondition_,0,EPMSaveDataOnly(AN828,,AN$29,AN$25,AN$26,AN$31,AN$32,$AA$37,AR$14,AR$15,AR$16,AR$17,AR$18,$X828))</f>
        <v/>
      </c>
      <c r="AS828" s="384" t="n"/>
    </row>
    <row r="829" hidden="1" ht="15.75" customHeight="1" s="1181">
      <c r="A829" s="384" t="n"/>
      <c r="B829" s="384" t="n"/>
      <c r="C829" s="384" t="n"/>
      <c r="D829" s="384" t="n"/>
      <c r="E829" s="384" t="n"/>
      <c r="F829" s="384" t="n"/>
      <c r="G829" s="384" t="n"/>
      <c r="H829" s="384" t="n"/>
      <c r="I829" s="384" t="n"/>
      <c r="J829" s="384" t="n"/>
      <c r="K829" s="384" t="n"/>
      <c r="L829" s="384" t="n"/>
      <c r="M829" s="384" t="n"/>
      <c r="N829" s="384" t="n"/>
      <c r="O829" s="384" t="n"/>
      <c r="P829" s="384" t="n"/>
      <c r="Q829" s="384" t="n"/>
      <c r="R829" s="384" t="n"/>
      <c r="S829" s="384" t="n"/>
      <c r="T829" s="384" t="n"/>
      <c r="U829" s="384" t="n"/>
      <c r="V829" s="384" t="n"/>
      <c r="W829" s="384" t="n"/>
      <c r="X829" s="645">
        <f>IF(_epmOfflineCondition_,"I_E101148",EPMOlapMemberO("[C_INTERCO].[PARENTH1].[I_E101148]","","I_E101148","","000"))</f>
        <v/>
      </c>
      <c r="Y829" s="870">
        <f>IF(_epmOfflineCondition_,"桂林京能清洁能源有限公司",EPMMemberDesc(X829))</f>
        <v/>
      </c>
      <c r="Z829" s="1302" t="n"/>
      <c r="AA829" s="1302" t="n"/>
      <c r="AB829" s="858" t="n"/>
      <c r="AC829" s="1302" t="n"/>
      <c r="AD829" s="1302" t="n"/>
      <c r="AE829" s="1302" t="inlineStr"/>
      <c r="AF829" s="1302" t="inlineStr"/>
      <c r="AG829" s="1302" t="inlineStr"/>
      <c r="AH829" s="1302" t="n"/>
      <c r="AI829" s="1302" t="n"/>
      <c r="AJ829" s="1302" t="n"/>
      <c r="AK829" s="1302">
        <f>AI829-AJ829</f>
        <v/>
      </c>
      <c r="AL829" s="858" t="n"/>
      <c r="AM829" s="1297" t="inlineStr"/>
      <c r="AN829" s="1298" t="n"/>
      <c r="AO829" s="13">
        <f>IF(_epmOfflineCondition_,0,EPMSaveDataOnly(AB829,,AB$29,AB$25,AB$26,AB$31,AB$32,$AA$37,AO$14,AO$15,AO$16,AO$17,AO$18,X829))</f>
        <v/>
      </c>
      <c r="AP829" s="13">
        <f>IF(_epmOfflineCondition_,0,EPMSaveDataOnly(AL829,,AL$29,AL$25,AL$26,AL$31,AL$32,$AA$37,AP$14,AP$15,AP$16,AP$17,AP$18,$X829))</f>
        <v/>
      </c>
      <c r="AQ829" s="13">
        <f>IF(_epmOfflineCondition_,0,EPMSaveData(AM829,,AM$29,AM$25,AM$26,$C$6,AM$32,$AA$37,AQ$14,AQ$15,AQ$16,AQ$17,AQ$18,$X829))</f>
        <v/>
      </c>
      <c r="AR829" s="13">
        <f>IF(_epmOfflineCondition_,0,EPMSaveDataOnly(AN829,,AN$29,AN$25,AN$26,AN$31,AN$32,$AA$37,AR$14,AR$15,AR$16,AR$17,AR$18,$X829))</f>
        <v/>
      </c>
      <c r="AS829" s="384" t="n"/>
    </row>
    <row r="830" hidden="1" ht="15.75" customHeight="1" s="1181">
      <c r="A830" s="384" t="n"/>
      <c r="B830" s="384" t="n"/>
      <c r="C830" s="384" t="n"/>
      <c r="D830" s="384" t="n"/>
      <c r="E830" s="384" t="n"/>
      <c r="F830" s="384" t="n"/>
      <c r="G830" s="384" t="n"/>
      <c r="H830" s="384" t="n"/>
      <c r="I830" s="384" t="n"/>
      <c r="J830" s="384" t="n"/>
      <c r="K830" s="384" t="n"/>
      <c r="L830" s="384" t="n"/>
      <c r="M830" s="384" t="n"/>
      <c r="N830" s="384" t="n"/>
      <c r="O830" s="384" t="n"/>
      <c r="P830" s="384" t="n"/>
      <c r="Q830" s="384" t="n"/>
      <c r="R830" s="384" t="n"/>
      <c r="S830" s="384" t="n"/>
      <c r="T830" s="384" t="n"/>
      <c r="U830" s="384" t="n"/>
      <c r="V830" s="384" t="n"/>
      <c r="W830" s="384" t="n"/>
      <c r="X830" s="645">
        <f>IF(_epmOfflineCondition_,"I_E100846",EPMOlapMemberO("[C_INTERCO].[PARENTH1].[I_E100846]","","I_E100846","","000"))</f>
        <v/>
      </c>
      <c r="Y830" s="870">
        <f>IF(_epmOfflineCondition_,"内蒙古京能准旗新能源有限公司",EPMMemberDesc(X830))</f>
        <v/>
      </c>
      <c r="Z830" s="1302" t="n"/>
      <c r="AA830" s="1302" t="n"/>
      <c r="AB830" s="858" t="n"/>
      <c r="AC830" s="1302" t="n"/>
      <c r="AD830" s="1302" t="n"/>
      <c r="AE830" s="1302" t="inlineStr"/>
      <c r="AF830" s="1302" t="inlineStr"/>
      <c r="AG830" s="1302" t="inlineStr"/>
      <c r="AH830" s="1302" t="n"/>
      <c r="AI830" s="1302" t="n"/>
      <c r="AJ830" s="1302" t="n"/>
      <c r="AK830" s="1302">
        <f>AI830-AJ830</f>
        <v/>
      </c>
      <c r="AL830" s="858" t="n"/>
      <c r="AM830" s="1297" t="inlineStr"/>
      <c r="AN830" s="1298" t="n"/>
      <c r="AO830" s="13">
        <f>IF(_epmOfflineCondition_,0,EPMSaveDataOnly(AB830,,AB$29,AB$25,AB$26,AB$31,AB$32,$AA$37,AO$14,AO$15,AO$16,AO$17,AO$18,X830))</f>
        <v/>
      </c>
      <c r="AP830" s="13">
        <f>IF(_epmOfflineCondition_,0,EPMSaveDataOnly(AL830,,AL$29,AL$25,AL$26,AL$31,AL$32,$AA$37,AP$14,AP$15,AP$16,AP$17,AP$18,$X830))</f>
        <v/>
      </c>
      <c r="AQ830" s="13">
        <f>IF(_epmOfflineCondition_,0,EPMSaveData(AM830,,AM$29,AM$25,AM$26,$C$6,AM$32,$AA$37,AQ$14,AQ$15,AQ$16,AQ$17,AQ$18,$X830))</f>
        <v/>
      </c>
      <c r="AR830" s="13">
        <f>IF(_epmOfflineCondition_,0,EPMSaveDataOnly(AN830,,AN$29,AN$25,AN$26,AN$31,AN$32,$AA$37,AR$14,AR$15,AR$16,AR$17,AR$18,$X830))</f>
        <v/>
      </c>
      <c r="AS830" s="384" t="n"/>
    </row>
    <row r="831" hidden="1" ht="15.75" customHeight="1" s="1181">
      <c r="A831" s="384" t="n"/>
      <c r="B831" s="384" t="n"/>
      <c r="C831" s="384" t="n"/>
      <c r="D831" s="384" t="n"/>
      <c r="E831" s="384" t="n"/>
      <c r="F831" s="384" t="n"/>
      <c r="G831" s="384" t="n"/>
      <c r="H831" s="384" t="n"/>
      <c r="I831" s="384" t="n"/>
      <c r="J831" s="384" t="n"/>
      <c r="K831" s="384" t="n"/>
      <c r="L831" s="384" t="n"/>
      <c r="M831" s="384" t="n"/>
      <c r="N831" s="384" t="n"/>
      <c r="O831" s="384" t="n"/>
      <c r="P831" s="384" t="n"/>
      <c r="Q831" s="384" t="n"/>
      <c r="R831" s="384" t="n"/>
      <c r="S831" s="384" t="n"/>
      <c r="T831" s="384" t="n"/>
      <c r="U831" s="384" t="n"/>
      <c r="V831" s="384" t="n"/>
      <c r="W831" s="384" t="n"/>
      <c r="X831" s="645">
        <f>IF(_epmOfflineCondition_,"I_E101197",EPMOlapMemberO("[C_INTERCO].[PARENTH1].[I_E101197]","","I_E101197","","000"))</f>
        <v/>
      </c>
      <c r="Y831" s="870">
        <f>IF(_epmOfflineCondition_,"莫若波风电场（控股）有限公司",EPMMemberDesc(X831))</f>
        <v/>
      </c>
      <c r="Z831" s="1302" t="n"/>
      <c r="AA831" s="1302" t="n"/>
      <c r="AB831" s="858" t="n"/>
      <c r="AC831" s="1302" t="n"/>
      <c r="AD831" s="1302" t="n"/>
      <c r="AE831" s="1302" t="inlineStr"/>
      <c r="AF831" s="1302" t="inlineStr"/>
      <c r="AG831" s="1302" t="inlineStr"/>
      <c r="AH831" s="1302" t="n"/>
      <c r="AI831" s="1302" t="n"/>
      <c r="AJ831" s="1302" t="n"/>
      <c r="AK831" s="1302">
        <f>AI831-AJ831</f>
        <v/>
      </c>
      <c r="AL831" s="858" t="n"/>
      <c r="AM831" s="1297" t="inlineStr"/>
      <c r="AN831" s="1298" t="n"/>
      <c r="AO831" s="13">
        <f>IF(_epmOfflineCondition_,0,EPMSaveDataOnly(AB831,,AB$29,AB$25,AB$26,AB$31,AB$32,$AA$37,AO$14,AO$15,AO$16,AO$17,AO$18,X831))</f>
        <v/>
      </c>
      <c r="AP831" s="13">
        <f>IF(_epmOfflineCondition_,0,EPMSaveDataOnly(AL831,,AL$29,AL$25,AL$26,AL$31,AL$32,$AA$37,AP$14,AP$15,AP$16,AP$17,AP$18,$X831))</f>
        <v/>
      </c>
      <c r="AQ831" s="13">
        <f>IF(_epmOfflineCondition_,0,EPMSaveData(AM831,,AM$29,AM$25,AM$26,$C$6,AM$32,$AA$37,AQ$14,AQ$15,AQ$16,AQ$17,AQ$18,$X831))</f>
        <v/>
      </c>
      <c r="AR831" s="13">
        <f>IF(_epmOfflineCondition_,0,EPMSaveDataOnly(AN831,,AN$29,AN$25,AN$26,AN$31,AN$32,$AA$37,AR$14,AR$15,AR$16,AR$17,AR$18,$X831))</f>
        <v/>
      </c>
      <c r="AS831" s="384" t="n"/>
    </row>
    <row r="832" hidden="1" ht="15.75" customHeight="1" s="1181">
      <c r="A832" s="384" t="n"/>
      <c r="B832" s="384" t="n"/>
      <c r="C832" s="384" t="n"/>
      <c r="D832" s="384" t="n"/>
      <c r="E832" s="384" t="n"/>
      <c r="F832" s="384" t="n"/>
      <c r="G832" s="384" t="n"/>
      <c r="H832" s="384" t="n"/>
      <c r="I832" s="384" t="n"/>
      <c r="J832" s="384" t="n"/>
      <c r="K832" s="384" t="n"/>
      <c r="L832" s="384" t="n"/>
      <c r="M832" s="384" t="n"/>
      <c r="N832" s="384" t="n"/>
      <c r="O832" s="384" t="n"/>
      <c r="P832" s="384" t="n"/>
      <c r="Q832" s="384" t="n"/>
      <c r="R832" s="384" t="n"/>
      <c r="S832" s="384" t="n"/>
      <c r="T832" s="384" t="n"/>
      <c r="U832" s="384" t="n"/>
      <c r="V832" s="384" t="n"/>
      <c r="W832" s="384" t="n"/>
      <c r="X832" s="645">
        <f>IF(_epmOfflineCondition_,"I_E101196",EPMOlapMemberO("[C_INTERCO].[PARENTH1].[I_E101196]","","I_E101196","","000"))</f>
        <v/>
      </c>
      <c r="Y832" s="870">
        <f>IF(_epmOfflineCondition_,"莫若波南区风电场（控股）有限公司",EPMMemberDesc(X832))</f>
        <v/>
      </c>
      <c r="Z832" s="1302" t="n"/>
      <c r="AA832" s="1302" t="n"/>
      <c r="AB832" s="858" t="n"/>
      <c r="AC832" s="1302" t="n"/>
      <c r="AD832" s="1302" t="n"/>
      <c r="AE832" s="1302" t="inlineStr"/>
      <c r="AF832" s="1302" t="inlineStr"/>
      <c r="AG832" s="1302" t="inlineStr"/>
      <c r="AH832" s="1302" t="n"/>
      <c r="AI832" s="1302" t="n"/>
      <c r="AJ832" s="1302" t="n"/>
      <c r="AK832" s="1302">
        <f>AI832-AJ832</f>
        <v/>
      </c>
      <c r="AL832" s="858" t="n"/>
      <c r="AM832" s="1297" t="inlineStr"/>
      <c r="AN832" s="1298" t="n"/>
      <c r="AO832" s="13">
        <f>IF(_epmOfflineCondition_,0,EPMSaveDataOnly(AB832,,AB$29,AB$25,AB$26,AB$31,AB$32,$AA$37,AO$14,AO$15,AO$16,AO$17,AO$18,X832))</f>
        <v/>
      </c>
      <c r="AP832" s="13">
        <f>IF(_epmOfflineCondition_,0,EPMSaveDataOnly(AL832,,AL$29,AL$25,AL$26,AL$31,AL$32,$AA$37,AP$14,AP$15,AP$16,AP$17,AP$18,$X832))</f>
        <v/>
      </c>
      <c r="AQ832" s="13">
        <f>IF(_epmOfflineCondition_,0,EPMSaveData(AM832,,AM$29,AM$25,AM$26,$C$6,AM$32,$AA$37,AQ$14,AQ$15,AQ$16,AQ$17,AQ$18,$X832))</f>
        <v/>
      </c>
      <c r="AR832" s="13">
        <f>IF(_epmOfflineCondition_,0,EPMSaveDataOnly(AN832,,AN$29,AN$25,AN$26,AN$31,AN$32,$AA$37,AR$14,AR$15,AR$16,AR$17,AR$18,$X832))</f>
        <v/>
      </c>
      <c r="AS832" s="384" t="n"/>
    </row>
    <row r="833" hidden="1" ht="15.75" customHeight="1" s="1181">
      <c r="A833" s="384" t="n"/>
      <c r="B833" s="384" t="n"/>
      <c r="C833" s="384" t="n"/>
      <c r="D833" s="384" t="n"/>
      <c r="E833" s="384" t="n"/>
      <c r="F833" s="384" t="n"/>
      <c r="G833" s="384" t="n"/>
      <c r="H833" s="384" t="n"/>
      <c r="I833" s="384" t="n"/>
      <c r="J833" s="384" t="n"/>
      <c r="K833" s="384" t="n"/>
      <c r="L833" s="384" t="n"/>
      <c r="M833" s="384" t="n"/>
      <c r="N833" s="384" t="n"/>
      <c r="O833" s="384" t="n"/>
      <c r="P833" s="384" t="n"/>
      <c r="Q833" s="384" t="n"/>
      <c r="R833" s="384" t="n"/>
      <c r="S833" s="384" t="n"/>
      <c r="T833" s="384" t="n"/>
      <c r="U833" s="384" t="n"/>
      <c r="V833" s="384" t="n"/>
      <c r="W833" s="384" t="n"/>
      <c r="X833" s="645">
        <f>IF(_epmOfflineCondition_,"I_E101198",EPMOlapMemberO("[C_INTERCO].[PARENTH1].[I_E101198]","","I_E101198","","000"))</f>
        <v/>
      </c>
      <c r="Y833" s="870">
        <f>IF(_epmOfflineCondition_,"莫若波风电场项目公司",EPMMemberDesc(X833))</f>
        <v/>
      </c>
      <c r="Z833" s="1302" t="n"/>
      <c r="AA833" s="1302" t="n"/>
      <c r="AB833" s="858" t="n"/>
      <c r="AC833" s="1302" t="n"/>
      <c r="AD833" s="1302" t="n"/>
      <c r="AE833" s="1302" t="inlineStr"/>
      <c r="AF833" s="1302" t="inlineStr"/>
      <c r="AG833" s="1302" t="inlineStr"/>
      <c r="AH833" s="1302" t="n"/>
      <c r="AI833" s="1302" t="n"/>
      <c r="AJ833" s="1302" t="n"/>
      <c r="AK833" s="1302">
        <f>AI833-AJ833</f>
        <v/>
      </c>
      <c r="AL833" s="858" t="n"/>
      <c r="AM833" s="1297" t="inlineStr"/>
      <c r="AN833" s="1298" t="n"/>
      <c r="AO833" s="13">
        <f>IF(_epmOfflineCondition_,0,EPMSaveDataOnly(AB833,,AB$29,AB$25,AB$26,AB$31,AB$32,$AA$37,AO$14,AO$15,AO$16,AO$17,AO$18,X833))</f>
        <v/>
      </c>
      <c r="AP833" s="13">
        <f>IF(_epmOfflineCondition_,0,EPMSaveDataOnly(AL833,,AL$29,AL$25,AL$26,AL$31,AL$32,$AA$37,AP$14,AP$15,AP$16,AP$17,AP$18,$X833))</f>
        <v/>
      </c>
      <c r="AQ833" s="13">
        <f>IF(_epmOfflineCondition_,0,EPMSaveData(AM833,,AM$29,AM$25,AM$26,$C$6,AM$32,$AA$37,AQ$14,AQ$15,AQ$16,AQ$17,AQ$18,$X833))</f>
        <v/>
      </c>
      <c r="AR833" s="13">
        <f>IF(_epmOfflineCondition_,0,EPMSaveDataOnly(AN833,,AN$29,AN$25,AN$26,AN$31,AN$32,$AA$37,AR$14,AR$15,AR$16,AR$17,AR$18,$X833))</f>
        <v/>
      </c>
      <c r="AS833" s="384" t="n"/>
    </row>
    <row r="834" hidden="1" ht="15.75" customHeight="1" s="1181">
      <c r="A834" s="384" t="n"/>
      <c r="B834" s="384" t="n"/>
      <c r="C834" s="384" t="n"/>
      <c r="D834" s="384" t="n"/>
      <c r="E834" s="384" t="n"/>
      <c r="F834" s="384" t="n"/>
      <c r="G834" s="384" t="n"/>
      <c r="H834" s="384" t="n"/>
      <c r="I834" s="384" t="n"/>
      <c r="J834" s="384" t="n"/>
      <c r="K834" s="384" t="n"/>
      <c r="L834" s="384" t="n"/>
      <c r="M834" s="384" t="n"/>
      <c r="N834" s="384" t="n"/>
      <c r="O834" s="384" t="n"/>
      <c r="P834" s="384" t="n"/>
      <c r="Q834" s="384" t="n"/>
      <c r="R834" s="384" t="n"/>
      <c r="S834" s="384" t="n"/>
      <c r="T834" s="384" t="n"/>
      <c r="U834" s="384" t="n"/>
      <c r="V834" s="384" t="n"/>
      <c r="W834" s="384" t="n"/>
      <c r="X834" s="645">
        <f>IF(_epmOfflineCondition_,"I_E101199",EPMOlapMemberO("[C_INTERCO].[PARENTH1].[I_E101199]","","I_E101199","","000"))</f>
        <v/>
      </c>
      <c r="Y834" s="870">
        <f>IF(_epmOfflineCondition_,"莫若波南区风电场项目公司",EPMMemberDesc(X834))</f>
        <v/>
      </c>
      <c r="Z834" s="1302" t="n"/>
      <c r="AA834" s="1302" t="n"/>
      <c r="AB834" s="858" t="n"/>
      <c r="AC834" s="1302" t="n"/>
      <c r="AD834" s="1302" t="n"/>
      <c r="AE834" s="1302" t="inlineStr"/>
      <c r="AF834" s="1302" t="inlineStr"/>
      <c r="AG834" s="1302" t="inlineStr"/>
      <c r="AH834" s="1302" t="n"/>
      <c r="AI834" s="1302" t="n"/>
      <c r="AJ834" s="1302" t="n"/>
      <c r="AK834" s="1302">
        <f>AI834-AJ834</f>
        <v/>
      </c>
      <c r="AL834" s="858" t="n"/>
      <c r="AM834" s="1297" t="inlineStr"/>
      <c r="AN834" s="1298" t="n"/>
      <c r="AO834" s="13">
        <f>IF(_epmOfflineCondition_,0,EPMSaveDataOnly(AB834,,AB$29,AB$25,AB$26,AB$31,AB$32,$AA$37,AO$14,AO$15,AO$16,AO$17,AO$18,X834))</f>
        <v/>
      </c>
      <c r="AP834" s="13">
        <f>IF(_epmOfflineCondition_,0,EPMSaveDataOnly(AL834,,AL$29,AL$25,AL$26,AL$31,AL$32,$AA$37,AP$14,AP$15,AP$16,AP$17,AP$18,$X834))</f>
        <v/>
      </c>
      <c r="AQ834" s="13">
        <f>IF(_epmOfflineCondition_,0,EPMSaveData(AM834,,AM$29,AM$25,AM$26,$C$6,AM$32,$AA$37,AQ$14,AQ$15,AQ$16,AQ$17,AQ$18,$X834))</f>
        <v/>
      </c>
      <c r="AR834" s="13">
        <f>IF(_epmOfflineCondition_,0,EPMSaveDataOnly(AN834,,AN$29,AN$25,AN$26,AN$31,AN$32,$AA$37,AR$14,AR$15,AR$16,AR$17,AR$18,$X834))</f>
        <v/>
      </c>
      <c r="AS834" s="384" t="n"/>
    </row>
    <row r="835" hidden="1" ht="15.75" customHeight="1" s="1181">
      <c r="A835" s="384" t="n"/>
      <c r="B835" s="384" t="n"/>
      <c r="C835" s="384" t="n"/>
      <c r="D835" s="384" t="n"/>
      <c r="E835" s="384" t="n"/>
      <c r="F835" s="384" t="n"/>
      <c r="G835" s="384" t="n"/>
      <c r="H835" s="384" t="n"/>
      <c r="I835" s="384" t="n"/>
      <c r="J835" s="384" t="n"/>
      <c r="K835" s="384" t="n"/>
      <c r="L835" s="384" t="n"/>
      <c r="M835" s="384" t="n"/>
      <c r="N835" s="384" t="n"/>
      <c r="O835" s="384" t="n"/>
      <c r="P835" s="384" t="n"/>
      <c r="Q835" s="384" t="n"/>
      <c r="R835" s="384" t="n"/>
      <c r="S835" s="384" t="n"/>
      <c r="T835" s="384" t="n"/>
      <c r="U835" s="384" t="n"/>
      <c r="V835" s="384" t="n"/>
      <c r="W835" s="384" t="n"/>
      <c r="X835" s="645">
        <f>IF(_epmOfflineCondition_,"I_E101200",EPMOlapMemberO("[C_INTERCO].[PARENTH1].[I_E101200]","","I_E101200","","000"))</f>
        <v/>
      </c>
      <c r="Y835" s="870">
        <f>IF(_epmOfflineCondition_,"莫若波并网风电场公司",EPMMemberDesc(X835))</f>
        <v/>
      </c>
      <c r="Z835" s="1302" t="n"/>
      <c r="AA835" s="1302" t="n"/>
      <c r="AB835" s="858" t="n"/>
      <c r="AC835" s="1302" t="n"/>
      <c r="AD835" s="1302" t="n"/>
      <c r="AE835" s="1302" t="inlineStr"/>
      <c r="AF835" s="1302" t="inlineStr"/>
      <c r="AG835" s="1302" t="inlineStr"/>
      <c r="AH835" s="1302" t="n"/>
      <c r="AI835" s="1302" t="n"/>
      <c r="AJ835" s="1302" t="n"/>
      <c r="AK835" s="1302">
        <f>AI835-AJ835</f>
        <v/>
      </c>
      <c r="AL835" s="858" t="n"/>
      <c r="AM835" s="1297" t="inlineStr"/>
      <c r="AN835" s="1298" t="n"/>
      <c r="AO835" s="13">
        <f>IF(_epmOfflineCondition_,0,EPMSaveDataOnly(AB835,,AB$29,AB$25,AB$26,AB$31,AB$32,$AA$37,AO$14,AO$15,AO$16,AO$17,AO$18,X835))</f>
        <v/>
      </c>
      <c r="AP835" s="13">
        <f>IF(_epmOfflineCondition_,0,EPMSaveDataOnly(AL835,,AL$29,AL$25,AL$26,AL$31,AL$32,$AA$37,AP$14,AP$15,AP$16,AP$17,AP$18,$X835))</f>
        <v/>
      </c>
      <c r="AQ835" s="13">
        <f>IF(_epmOfflineCondition_,0,EPMSaveData(AM835,,AM$29,AM$25,AM$26,$C$6,AM$32,$AA$37,AQ$14,AQ$15,AQ$16,AQ$17,AQ$18,$X835))</f>
        <v/>
      </c>
      <c r="AR835" s="13">
        <f>IF(_epmOfflineCondition_,0,EPMSaveDataOnly(AN835,,AN$29,AN$25,AN$26,AN$31,AN$32,$AA$37,AR$14,AR$15,AR$16,AR$17,AR$18,$X835))</f>
        <v/>
      </c>
      <c r="AS835" s="384" t="n"/>
    </row>
    <row r="836" hidden="1" ht="15.75" customHeight="1" s="1181">
      <c r="A836" s="384" t="n"/>
      <c r="B836" s="384" t="n"/>
      <c r="C836" s="384" t="n"/>
      <c r="D836" s="384" t="n"/>
      <c r="E836" s="384" t="n"/>
      <c r="F836" s="384" t="n"/>
      <c r="G836" s="384" t="n"/>
      <c r="H836" s="384" t="n"/>
      <c r="I836" s="384" t="n"/>
      <c r="J836" s="384" t="n"/>
      <c r="K836" s="384" t="n"/>
      <c r="L836" s="384" t="n"/>
      <c r="M836" s="384" t="n"/>
      <c r="N836" s="384" t="n"/>
      <c r="O836" s="384" t="n"/>
      <c r="P836" s="384" t="n"/>
      <c r="Q836" s="384" t="n"/>
      <c r="R836" s="384" t="n"/>
      <c r="S836" s="384" t="n"/>
      <c r="T836" s="384" t="n"/>
      <c r="U836" s="384" t="n"/>
      <c r="V836" s="384" t="n"/>
      <c r="W836" s="384" t="n"/>
      <c r="X836" s="645">
        <f>IF(_epmOfflineCondition_,"I_E101203",EPMOlapMemberO("[C_INTERCO].[PARENTH1].[I_E101203]","","I_E101203","","000"))</f>
        <v/>
      </c>
      <c r="Y836" s="870">
        <f>IF(_epmOfflineCondition_,"南京津美宇新能源有限公司",EPMMemberDesc(X836))</f>
        <v/>
      </c>
      <c r="Z836" s="1302" t="n"/>
      <c r="AA836" s="1302" t="n"/>
      <c r="AB836" s="858" t="n"/>
      <c r="AC836" s="1302" t="n"/>
      <c r="AD836" s="1302" t="n"/>
      <c r="AE836" s="1302" t="inlineStr"/>
      <c r="AF836" s="1302" t="inlineStr"/>
      <c r="AG836" s="1302" t="inlineStr"/>
      <c r="AH836" s="1302" t="n"/>
      <c r="AI836" s="1302" t="n"/>
      <c r="AJ836" s="1302" t="n"/>
      <c r="AK836" s="1302">
        <f>AI836-AJ836</f>
        <v/>
      </c>
      <c r="AL836" s="858" t="n"/>
      <c r="AM836" s="1297" t="inlineStr"/>
      <c r="AN836" s="1298" t="n"/>
      <c r="AO836" s="13">
        <f>IF(_epmOfflineCondition_,0,EPMSaveDataOnly(AB836,,AB$29,AB$25,AB$26,AB$31,AB$32,$AA$37,AO$14,AO$15,AO$16,AO$17,AO$18,X836))</f>
        <v/>
      </c>
      <c r="AP836" s="13">
        <f>IF(_epmOfflineCondition_,0,EPMSaveDataOnly(AL836,,AL$29,AL$25,AL$26,AL$31,AL$32,$AA$37,AP$14,AP$15,AP$16,AP$17,AP$18,$X836))</f>
        <v/>
      </c>
      <c r="AQ836" s="13">
        <f>IF(_epmOfflineCondition_,0,EPMSaveData(AM836,,AM$29,AM$25,AM$26,$C$6,AM$32,$AA$37,AQ$14,AQ$15,AQ$16,AQ$17,AQ$18,$X836))</f>
        <v/>
      </c>
      <c r="AR836" s="13">
        <f>IF(_epmOfflineCondition_,0,EPMSaveDataOnly(AN836,,AN$29,AN$25,AN$26,AN$31,AN$32,$AA$37,AR$14,AR$15,AR$16,AR$17,AR$18,$X836))</f>
        <v/>
      </c>
      <c r="AS836" s="384" t="n"/>
    </row>
    <row r="837" hidden="1" ht="15.75" customHeight="1" s="1181">
      <c r="A837" s="384" t="n"/>
      <c r="B837" s="384" t="n"/>
      <c r="C837" s="384" t="n"/>
      <c r="D837" s="384" t="n"/>
      <c r="E837" s="384" t="n"/>
      <c r="F837" s="384" t="n"/>
      <c r="G837" s="384" t="n"/>
      <c r="H837" s="384" t="n"/>
      <c r="I837" s="384" t="n"/>
      <c r="J837" s="384" t="n"/>
      <c r="K837" s="384" t="n"/>
      <c r="L837" s="384" t="n"/>
      <c r="M837" s="384" t="n"/>
      <c r="N837" s="384" t="n"/>
      <c r="O837" s="384" t="n"/>
      <c r="P837" s="384" t="n"/>
      <c r="Q837" s="384" t="n"/>
      <c r="R837" s="384" t="n"/>
      <c r="S837" s="384" t="n"/>
      <c r="T837" s="384" t="n"/>
      <c r="U837" s="384" t="n"/>
      <c r="V837" s="384" t="n"/>
      <c r="W837" s="384" t="n"/>
      <c r="X837" s="645">
        <f>IF(_epmOfflineCondition_,"I_E101204",EPMOlapMemberO("[C_INTERCO].[PARENTH1].[I_E101204]","","I_E101204","","000"))</f>
        <v/>
      </c>
      <c r="Y837" s="870">
        <f>IF(_epmOfflineCondition_,"天津美达光伏发电有限公司",EPMMemberDesc(X837))</f>
        <v/>
      </c>
      <c r="Z837" s="1302" t="n"/>
      <c r="AA837" s="1302" t="n"/>
      <c r="AB837" s="858" t="n"/>
      <c r="AC837" s="1302" t="n"/>
      <c r="AD837" s="1302" t="n"/>
      <c r="AE837" s="1302" t="inlineStr"/>
      <c r="AF837" s="1302" t="inlineStr"/>
      <c r="AG837" s="1302" t="inlineStr"/>
      <c r="AH837" s="1302" t="n"/>
      <c r="AI837" s="1302" t="n"/>
      <c r="AJ837" s="1302" t="n"/>
      <c r="AK837" s="1302">
        <f>AI837-AJ837</f>
        <v/>
      </c>
      <c r="AL837" s="858" t="n"/>
      <c r="AM837" s="1297" t="inlineStr"/>
      <c r="AN837" s="1298" t="n"/>
      <c r="AO837" s="13">
        <f>IF(_epmOfflineCondition_,0,EPMSaveDataOnly(AB837,,AB$29,AB$25,AB$26,AB$31,AB$32,$AA$37,AO$14,AO$15,AO$16,AO$17,AO$18,X837))</f>
        <v/>
      </c>
      <c r="AP837" s="13">
        <f>IF(_epmOfflineCondition_,0,EPMSaveDataOnly(AL837,,AL$29,AL$25,AL$26,AL$31,AL$32,$AA$37,AP$14,AP$15,AP$16,AP$17,AP$18,$X837))</f>
        <v/>
      </c>
      <c r="AQ837" s="13">
        <f>IF(_epmOfflineCondition_,0,EPMSaveData(AM837,,AM$29,AM$25,AM$26,$C$6,AM$32,$AA$37,AQ$14,AQ$15,AQ$16,AQ$17,AQ$18,$X837))</f>
        <v/>
      </c>
      <c r="AR837" s="13">
        <f>IF(_epmOfflineCondition_,0,EPMSaveDataOnly(AN837,,AN$29,AN$25,AN$26,AN$31,AN$32,$AA$37,AR$14,AR$15,AR$16,AR$17,AR$18,$X837))</f>
        <v/>
      </c>
      <c r="AS837" s="384" t="n"/>
    </row>
    <row r="838" hidden="1" ht="15.75" customHeight="1" s="1181">
      <c r="A838" s="384" t="n"/>
      <c r="B838" s="384" t="n"/>
      <c r="C838" s="384" t="n"/>
      <c r="D838" s="384" t="n"/>
      <c r="E838" s="384" t="n"/>
      <c r="F838" s="384" t="n"/>
      <c r="G838" s="384" t="n"/>
      <c r="H838" s="384" t="n"/>
      <c r="I838" s="384" t="n"/>
      <c r="J838" s="384" t="n"/>
      <c r="K838" s="384" t="n"/>
      <c r="L838" s="384" t="n"/>
      <c r="M838" s="384" t="n"/>
      <c r="N838" s="384" t="n"/>
      <c r="O838" s="384" t="n"/>
      <c r="P838" s="384" t="n"/>
      <c r="Q838" s="384" t="n"/>
      <c r="R838" s="384" t="n"/>
      <c r="S838" s="384" t="n"/>
      <c r="T838" s="384" t="n"/>
      <c r="U838" s="384" t="n"/>
      <c r="V838" s="384" t="n"/>
      <c r="W838" s="384" t="n"/>
      <c r="X838" s="645">
        <f>IF(_epmOfflineCondition_,"I_E101202",EPMOlapMemberO("[C_INTERCO].[PARENTH1].[I_E101202]","","I_E101202","","000"))</f>
        <v/>
      </c>
      <c r="Y838" s="870">
        <f>IF(_epmOfflineCondition_,"北京京润仁康医疗器械有限公司",EPMMemberDesc(X838))</f>
        <v/>
      </c>
      <c r="Z838" s="1302" t="n"/>
      <c r="AA838" s="1302" t="n"/>
      <c r="AB838" s="858" t="n"/>
      <c r="AC838" s="1302" t="n"/>
      <c r="AD838" s="1302" t="n"/>
      <c r="AE838" s="1302" t="inlineStr"/>
      <c r="AF838" s="1302" t="inlineStr"/>
      <c r="AG838" s="1302" t="inlineStr"/>
      <c r="AH838" s="1302" t="n"/>
      <c r="AI838" s="1302" t="n"/>
      <c r="AJ838" s="1302" t="n"/>
      <c r="AK838" s="1302">
        <f>AI838-AJ838</f>
        <v/>
      </c>
      <c r="AL838" s="858" t="n"/>
      <c r="AM838" s="1297" t="inlineStr"/>
      <c r="AN838" s="1298" t="n"/>
      <c r="AO838" s="13">
        <f>IF(_epmOfflineCondition_,0,EPMSaveDataOnly(AB838,,AB$29,AB$25,AB$26,AB$31,AB$32,$AA$37,AO$14,AO$15,AO$16,AO$17,AO$18,X838))</f>
        <v/>
      </c>
      <c r="AP838" s="13">
        <f>IF(_epmOfflineCondition_,0,EPMSaveDataOnly(AL838,,AL$29,AL$25,AL$26,AL$31,AL$32,$AA$37,AP$14,AP$15,AP$16,AP$17,AP$18,$X838))</f>
        <v/>
      </c>
      <c r="AQ838" s="13">
        <f>IF(_epmOfflineCondition_,0,EPMSaveData(AM838,,AM$29,AM$25,AM$26,$C$6,AM$32,$AA$37,AQ$14,AQ$15,AQ$16,AQ$17,AQ$18,$X838))</f>
        <v/>
      </c>
      <c r="AR838" s="13">
        <f>IF(_epmOfflineCondition_,0,EPMSaveDataOnly(AN838,,AN$29,AN$25,AN$26,AN$31,AN$32,$AA$37,AR$14,AR$15,AR$16,AR$17,AR$18,$X838))</f>
        <v/>
      </c>
      <c r="AS838" s="384" t="n"/>
    </row>
    <row r="839" hidden="1" ht="15.75" customHeight="1" s="1181">
      <c r="A839" s="384" t="n"/>
      <c r="B839" s="384" t="n"/>
      <c r="C839" s="384" t="n"/>
      <c r="D839" s="384" t="n"/>
      <c r="E839" s="384" t="n"/>
      <c r="F839" s="384" t="n"/>
      <c r="G839" s="384" t="n"/>
      <c r="H839" s="384" t="n"/>
      <c r="I839" s="384" t="n"/>
      <c r="J839" s="384" t="n"/>
      <c r="K839" s="384" t="n"/>
      <c r="L839" s="384" t="n"/>
      <c r="M839" s="384" t="n"/>
      <c r="N839" s="384" t="n"/>
      <c r="O839" s="384" t="n"/>
      <c r="P839" s="384" t="n"/>
      <c r="Q839" s="384" t="n"/>
      <c r="R839" s="384" t="n"/>
      <c r="S839" s="384" t="n"/>
      <c r="T839" s="384" t="n"/>
      <c r="U839" s="384" t="n"/>
      <c r="V839" s="384" t="n"/>
      <c r="W839" s="384" t="n"/>
      <c r="X839" s="645">
        <f>IF(_epmOfflineCondition_,"I_E101201",EPMOlapMemberO("[C_INTERCO].[PARENTH1].[I_E101201]","","I_E101201","","000"))</f>
        <v/>
      </c>
      <c r="Y839" s="870">
        <f>IF(_epmOfflineCondition_,"京伏（上海）新能源有限公司",EPMMemberDesc(X839))</f>
        <v/>
      </c>
      <c r="Z839" s="1302" t="n"/>
      <c r="AA839" s="1302" t="n"/>
      <c r="AB839" s="858" t="n"/>
      <c r="AC839" s="1302" t="n"/>
      <c r="AD839" s="1302" t="n"/>
      <c r="AE839" s="1302" t="inlineStr"/>
      <c r="AF839" s="1302" t="inlineStr"/>
      <c r="AG839" s="1302" t="inlineStr"/>
      <c r="AH839" s="1302" t="n"/>
      <c r="AI839" s="1302" t="n"/>
      <c r="AJ839" s="1302" t="n"/>
      <c r="AK839" s="1302">
        <f>AI839-AJ839</f>
        <v/>
      </c>
      <c r="AL839" s="858" t="n"/>
      <c r="AM839" s="1297" t="inlineStr"/>
      <c r="AN839" s="1298" t="n"/>
      <c r="AO839" s="13">
        <f>IF(_epmOfflineCondition_,0,EPMSaveDataOnly(AB839,,AB$29,AB$25,AB$26,AB$31,AB$32,$AA$37,AO$14,AO$15,AO$16,AO$17,AO$18,X839))</f>
        <v/>
      </c>
      <c r="AP839" s="13">
        <f>IF(_epmOfflineCondition_,0,EPMSaveDataOnly(AL839,,AL$29,AL$25,AL$26,AL$31,AL$32,$AA$37,AP$14,AP$15,AP$16,AP$17,AP$18,$X839))</f>
        <v/>
      </c>
      <c r="AQ839" s="13">
        <f>IF(_epmOfflineCondition_,0,EPMSaveData(AM839,,AM$29,AM$25,AM$26,$C$6,AM$32,$AA$37,AQ$14,AQ$15,AQ$16,AQ$17,AQ$18,$X839))</f>
        <v/>
      </c>
      <c r="AR839" s="13">
        <f>IF(_epmOfflineCondition_,0,EPMSaveDataOnly(AN839,,AN$29,AN$25,AN$26,AN$31,AN$32,$AA$37,AR$14,AR$15,AR$16,AR$17,AR$18,$X839))</f>
        <v/>
      </c>
      <c r="AS839" s="384" t="n"/>
    </row>
    <row r="840" hidden="1" ht="15.75" customHeight="1" s="1181">
      <c r="A840" s="384" t="n"/>
      <c r="B840" s="384" t="n"/>
      <c r="C840" s="384" t="n"/>
      <c r="D840" s="384" t="n"/>
      <c r="E840" s="384" t="n"/>
      <c r="F840" s="384" t="n"/>
      <c r="G840" s="384" t="n"/>
      <c r="H840" s="384" t="n"/>
      <c r="I840" s="384" t="n"/>
      <c r="J840" s="384" t="n"/>
      <c r="K840" s="384" t="n"/>
      <c r="L840" s="384" t="n"/>
      <c r="M840" s="384" t="n"/>
      <c r="N840" s="384" t="n"/>
      <c r="O840" s="384" t="n"/>
      <c r="P840" s="384" t="n"/>
      <c r="Q840" s="384" t="n"/>
      <c r="R840" s="384" t="n"/>
      <c r="S840" s="384" t="n"/>
      <c r="T840" s="384" t="n"/>
      <c r="U840" s="384" t="n"/>
      <c r="V840" s="384" t="n"/>
      <c r="W840" s="384" t="n"/>
      <c r="X840" s="645">
        <f>IF(_epmOfflineCondition_,"I_E101186",EPMOlapMemberO("[C_INTERCO].[PARENTH1].[I_E101186]","","I_E101186","","000"))</f>
        <v/>
      </c>
      <c r="Y840" s="870">
        <f>IF(_epmOfflineCondition_,"京南（北京）新能源有限公司",EPMMemberDesc(X840))</f>
        <v/>
      </c>
      <c r="Z840" s="1302" t="n"/>
      <c r="AA840" s="1302" t="n"/>
      <c r="AB840" s="858" t="n"/>
      <c r="AC840" s="1302" t="n"/>
      <c r="AD840" s="1302" t="n"/>
      <c r="AE840" s="1302" t="inlineStr"/>
      <c r="AF840" s="1302" t="inlineStr"/>
      <c r="AG840" s="1302" t="inlineStr"/>
      <c r="AH840" s="1302" t="n"/>
      <c r="AI840" s="1302" t="n"/>
      <c r="AJ840" s="1302" t="n"/>
      <c r="AK840" s="1302">
        <f>AI840-AJ840</f>
        <v/>
      </c>
      <c r="AL840" s="858" t="n"/>
      <c r="AM840" s="1297" t="inlineStr"/>
      <c r="AN840" s="1298" t="n"/>
      <c r="AO840" s="13">
        <f>IF(_epmOfflineCondition_,0,EPMSaveDataOnly(AB840,,AB$29,AB$25,AB$26,AB$31,AB$32,$AA$37,AO$14,AO$15,AO$16,AO$17,AO$18,X840))</f>
        <v/>
      </c>
      <c r="AP840" s="13">
        <f>IF(_epmOfflineCondition_,0,EPMSaveDataOnly(AL840,,AL$29,AL$25,AL$26,AL$31,AL$32,$AA$37,AP$14,AP$15,AP$16,AP$17,AP$18,$X840))</f>
        <v/>
      </c>
      <c r="AQ840" s="13">
        <f>IF(_epmOfflineCondition_,0,EPMSaveData(AM840,,AM$29,AM$25,AM$26,$C$6,AM$32,$AA$37,AQ$14,AQ$15,AQ$16,AQ$17,AQ$18,$X840))</f>
        <v/>
      </c>
      <c r="AR840" s="13">
        <f>IF(_epmOfflineCondition_,0,EPMSaveDataOnly(AN840,,AN$29,AN$25,AN$26,AN$31,AN$32,$AA$37,AR$14,AR$15,AR$16,AR$17,AR$18,$X840))</f>
        <v/>
      </c>
      <c r="AS840" s="384" t="n"/>
    </row>
    <row r="841" hidden="1" ht="15.75" customHeight="1" s="1181">
      <c r="A841" s="384" t="n"/>
      <c r="B841" s="384" t="n"/>
      <c r="C841" s="384" t="n"/>
      <c r="D841" s="384" t="n"/>
      <c r="E841" s="384" t="n"/>
      <c r="F841" s="384" t="n"/>
      <c r="G841" s="384" t="n"/>
      <c r="H841" s="384" t="n"/>
      <c r="I841" s="384" t="n"/>
      <c r="J841" s="384" t="n"/>
      <c r="K841" s="384" t="n"/>
      <c r="L841" s="384" t="n"/>
      <c r="M841" s="384" t="n"/>
      <c r="N841" s="384" t="n"/>
      <c r="O841" s="384" t="n"/>
      <c r="P841" s="384" t="n"/>
      <c r="Q841" s="384" t="n"/>
      <c r="R841" s="384" t="n"/>
      <c r="S841" s="384" t="n"/>
      <c r="T841" s="384" t="n"/>
      <c r="U841" s="384" t="n"/>
      <c r="V841" s="384" t="n"/>
      <c r="W841" s="384" t="n"/>
      <c r="X841" s="645">
        <f>IF(_epmOfflineCondition_,"I_E101208",EPMOlapMemberO("[C_INTERCO].[PARENTH1].[I_E101208]","","I_E101208","","000"))</f>
        <v/>
      </c>
      <c r="Y841" s="870">
        <f>IF(_epmOfflineCondition_,"保山施甸焯阳新能源开发有限公司",EPMMemberDesc(X841))</f>
        <v/>
      </c>
      <c r="Z841" s="1302" t="n"/>
      <c r="AA841" s="1302" t="n"/>
      <c r="AB841" s="858" t="n"/>
      <c r="AC841" s="1302" t="n"/>
      <c r="AD841" s="1302" t="n"/>
      <c r="AE841" s="1302" t="inlineStr"/>
      <c r="AF841" s="1302" t="inlineStr"/>
      <c r="AG841" s="1302" t="inlineStr"/>
      <c r="AH841" s="1302" t="n"/>
      <c r="AI841" s="1302" t="n"/>
      <c r="AJ841" s="1302" t="n"/>
      <c r="AK841" s="1302">
        <f>AI841-AJ841</f>
        <v/>
      </c>
      <c r="AL841" s="858" t="n"/>
      <c r="AM841" s="1297" t="inlineStr"/>
      <c r="AN841" s="1298" t="n"/>
      <c r="AO841" s="13">
        <f>IF(_epmOfflineCondition_,0,EPMSaveDataOnly(AB841,,AB$29,AB$25,AB$26,AB$31,AB$32,$AA$37,AO$14,AO$15,AO$16,AO$17,AO$18,X841))</f>
        <v/>
      </c>
      <c r="AP841" s="13">
        <f>IF(_epmOfflineCondition_,0,EPMSaveDataOnly(AL841,,AL$29,AL$25,AL$26,AL$31,AL$32,$AA$37,AP$14,AP$15,AP$16,AP$17,AP$18,$X841))</f>
        <v/>
      </c>
      <c r="AQ841" s="13">
        <f>IF(_epmOfflineCondition_,0,EPMSaveData(AM841,,AM$29,AM$25,AM$26,$C$6,AM$32,$AA$37,AQ$14,AQ$15,AQ$16,AQ$17,AQ$18,$X841))</f>
        <v/>
      </c>
      <c r="AR841" s="13">
        <f>IF(_epmOfflineCondition_,0,EPMSaveDataOnly(AN841,,AN$29,AN$25,AN$26,AN$31,AN$32,$AA$37,AR$14,AR$15,AR$16,AR$17,AR$18,$X841))</f>
        <v/>
      </c>
      <c r="AS841" s="384" t="n"/>
    </row>
    <row r="842" hidden="1" ht="15.75" customHeight="1" s="1181">
      <c r="A842" s="384" t="n"/>
      <c r="B842" s="384" t="n"/>
      <c r="C842" s="384" t="n"/>
      <c r="D842" s="384" t="n"/>
      <c r="E842" s="384" t="n"/>
      <c r="F842" s="384" t="n"/>
      <c r="G842" s="384" t="n"/>
      <c r="H842" s="384" t="n"/>
      <c r="I842" s="384" t="n"/>
      <c r="J842" s="384" t="n"/>
      <c r="K842" s="384" t="n"/>
      <c r="L842" s="384" t="n"/>
      <c r="M842" s="384" t="n"/>
      <c r="N842" s="384" t="n"/>
      <c r="O842" s="384" t="n"/>
      <c r="P842" s="384" t="n"/>
      <c r="Q842" s="384" t="n"/>
      <c r="R842" s="384" t="n"/>
      <c r="S842" s="384" t="n"/>
      <c r="T842" s="384" t="n"/>
      <c r="U842" s="384" t="n"/>
      <c r="V842" s="384" t="n"/>
      <c r="W842" s="384" t="n"/>
      <c r="X842" s="645">
        <f>IF(_epmOfflineCondition_,"I_E101207",EPMOlapMemberO("[C_INTERCO].[PARENTH1].[I_E101207]","","I_E101207","","000"))</f>
        <v/>
      </c>
      <c r="Y842" s="870">
        <f>IF(_epmOfflineCondition_,"京盟润龙（通辽市）新能源有限公司",EPMMemberDesc(X842))</f>
        <v/>
      </c>
      <c r="Z842" s="1302" t="n"/>
      <c r="AA842" s="1302" t="n"/>
      <c r="AB842" s="858" t="n"/>
      <c r="AC842" s="1302" t="n"/>
      <c r="AD842" s="1302" t="n"/>
      <c r="AE842" s="1302" t="inlineStr"/>
      <c r="AF842" s="1302" t="inlineStr"/>
      <c r="AG842" s="1302" t="inlineStr"/>
      <c r="AH842" s="1302" t="n"/>
      <c r="AI842" s="1302" t="n"/>
      <c r="AJ842" s="1302" t="n"/>
      <c r="AK842" s="1302">
        <f>AI842-AJ842</f>
        <v/>
      </c>
      <c r="AL842" s="858" t="n"/>
      <c r="AM842" s="1297" t="inlineStr"/>
      <c r="AN842" s="1298" t="n"/>
      <c r="AO842" s="13">
        <f>IF(_epmOfflineCondition_,0,EPMSaveDataOnly(AB842,,AB$29,AB$25,AB$26,AB$31,AB$32,$AA$37,AO$14,AO$15,AO$16,AO$17,AO$18,X842))</f>
        <v/>
      </c>
      <c r="AP842" s="13">
        <f>IF(_epmOfflineCondition_,0,EPMSaveDataOnly(AL842,,AL$29,AL$25,AL$26,AL$31,AL$32,$AA$37,AP$14,AP$15,AP$16,AP$17,AP$18,$X842))</f>
        <v/>
      </c>
      <c r="AQ842" s="13">
        <f>IF(_epmOfflineCondition_,0,EPMSaveData(AM842,,AM$29,AM$25,AM$26,$C$6,AM$32,$AA$37,AQ$14,AQ$15,AQ$16,AQ$17,AQ$18,$X842))</f>
        <v/>
      </c>
      <c r="AR842" s="13">
        <f>IF(_epmOfflineCondition_,0,EPMSaveDataOnly(AN842,,AN$29,AN$25,AN$26,AN$31,AN$32,$AA$37,AR$14,AR$15,AR$16,AR$17,AR$18,$X842))</f>
        <v/>
      </c>
      <c r="AS842" s="384" t="n"/>
    </row>
    <row r="843" hidden="1" ht="15.75" customHeight="1" s="1181">
      <c r="A843" s="384" t="n"/>
      <c r="B843" s="384" t="n"/>
      <c r="C843" s="384" t="n"/>
      <c r="D843" s="384" t="n"/>
      <c r="E843" s="384" t="n"/>
      <c r="F843" s="384" t="n"/>
      <c r="G843" s="384" t="n"/>
      <c r="H843" s="384" t="n"/>
      <c r="I843" s="384" t="n"/>
      <c r="J843" s="384" t="n"/>
      <c r="K843" s="384" t="n"/>
      <c r="L843" s="384" t="n"/>
      <c r="M843" s="384" t="n"/>
      <c r="N843" s="384" t="n"/>
      <c r="O843" s="384" t="n"/>
      <c r="P843" s="384" t="n"/>
      <c r="Q843" s="384" t="n"/>
      <c r="R843" s="384" t="n"/>
      <c r="S843" s="384" t="n"/>
      <c r="T843" s="384" t="n"/>
      <c r="U843" s="384" t="n"/>
      <c r="V843" s="384" t="n"/>
      <c r="W843" s="384" t="n"/>
      <c r="X843" s="645">
        <f>IF(_epmOfflineCondition_,"I_E101210",EPMOlapMemberO("[C_INTERCO].[PARENTH1].[I_E101210]","","I_E101210","","000"))</f>
        <v/>
      </c>
      <c r="Y843" s="870">
        <f>IF(_epmOfflineCondition_,"阿巴嘎旗中天环保有限公司",EPMMemberDesc(X843))</f>
        <v/>
      </c>
      <c r="Z843" s="1302" t="n"/>
      <c r="AA843" s="1302" t="n"/>
      <c r="AB843" s="858" t="n"/>
      <c r="AC843" s="1302" t="n"/>
      <c r="AD843" s="1302" t="n"/>
      <c r="AE843" s="1302" t="inlineStr"/>
      <c r="AF843" s="1302" t="inlineStr"/>
      <c r="AG843" s="1302" t="inlineStr"/>
      <c r="AH843" s="1302" t="n"/>
      <c r="AI843" s="1302" t="n"/>
      <c r="AJ843" s="1302" t="n"/>
      <c r="AK843" s="1302">
        <f>AI843-AJ843</f>
        <v/>
      </c>
      <c r="AL843" s="858" t="n"/>
      <c r="AM843" s="1297" t="inlineStr"/>
      <c r="AN843" s="1298" t="n"/>
      <c r="AO843" s="13">
        <f>IF(_epmOfflineCondition_,0,EPMSaveDataOnly(AB843,,AB$29,AB$25,AB$26,AB$31,AB$32,$AA$37,AO$14,AO$15,AO$16,AO$17,AO$18,X843))</f>
        <v/>
      </c>
      <c r="AP843" s="13">
        <f>IF(_epmOfflineCondition_,0,EPMSaveDataOnly(AL843,,AL$29,AL$25,AL$26,AL$31,AL$32,$AA$37,AP$14,AP$15,AP$16,AP$17,AP$18,$X843))</f>
        <v/>
      </c>
      <c r="AQ843" s="13">
        <f>IF(_epmOfflineCondition_,0,EPMSaveData(AM843,,AM$29,AM$25,AM$26,$C$6,AM$32,$AA$37,AQ$14,AQ$15,AQ$16,AQ$17,AQ$18,$X843))</f>
        <v/>
      </c>
      <c r="AR843" s="13">
        <f>IF(_epmOfflineCondition_,0,EPMSaveDataOnly(AN843,,AN$29,AN$25,AN$26,AN$31,AN$32,$AA$37,AR$14,AR$15,AR$16,AR$17,AR$18,$X843))</f>
        <v/>
      </c>
      <c r="AS843" s="384" t="n"/>
    </row>
    <row r="844" hidden="1" ht="15.75" customHeight="1" s="1181">
      <c r="A844" s="384" t="n"/>
      <c r="B844" s="384" t="n"/>
      <c r="C844" s="384" t="n"/>
      <c r="D844" s="384" t="n"/>
      <c r="E844" s="384" t="n"/>
      <c r="F844" s="384" t="n"/>
      <c r="G844" s="384" t="n"/>
      <c r="H844" s="384" t="n"/>
      <c r="I844" s="384" t="n"/>
      <c r="J844" s="384" t="n"/>
      <c r="K844" s="384" t="n"/>
      <c r="L844" s="384" t="n"/>
      <c r="M844" s="384" t="n"/>
      <c r="N844" s="384" t="n"/>
      <c r="O844" s="384" t="n"/>
      <c r="P844" s="384" t="n"/>
      <c r="Q844" s="384" t="n"/>
      <c r="R844" s="384" t="n"/>
      <c r="S844" s="384" t="n"/>
      <c r="T844" s="384" t="n"/>
      <c r="U844" s="384" t="n"/>
      <c r="V844" s="384" t="n"/>
      <c r="W844" s="384" t="n"/>
      <c r="X844" s="645">
        <f>IF(_epmOfflineCondition_,"I_E101211",EPMOlapMemberO("[C_INTERCO].[PARENTH1].[I_E101211]","","I_E101211","","000"))</f>
        <v/>
      </c>
      <c r="Y844" s="870">
        <f>IF(_epmOfflineCondition_,"航远5号集合资金信托计划",EPMMemberDesc(X844))</f>
        <v/>
      </c>
      <c r="Z844" s="1302" t="n"/>
      <c r="AA844" s="1302" t="n"/>
      <c r="AB844" s="858" t="n"/>
      <c r="AC844" s="1302" t="n"/>
      <c r="AD844" s="1302" t="n"/>
      <c r="AE844" s="1302" t="inlineStr"/>
      <c r="AF844" s="1302" t="inlineStr"/>
      <c r="AG844" s="1302" t="inlineStr"/>
      <c r="AH844" s="1302" t="n"/>
      <c r="AI844" s="1302" t="n"/>
      <c r="AJ844" s="1302" t="n"/>
      <c r="AK844" s="1302">
        <f>AI844-AJ844</f>
        <v/>
      </c>
      <c r="AL844" s="858" t="n"/>
      <c r="AM844" s="1297" t="inlineStr"/>
      <c r="AN844" s="1298" t="n"/>
      <c r="AO844" s="13">
        <f>IF(_epmOfflineCondition_,0,EPMSaveDataOnly(AB844,,AB$29,AB$25,AB$26,AB$31,AB$32,$AA$37,AO$14,AO$15,AO$16,AO$17,AO$18,X844))</f>
        <v/>
      </c>
      <c r="AP844" s="13">
        <f>IF(_epmOfflineCondition_,0,EPMSaveDataOnly(AL844,,AL$29,AL$25,AL$26,AL$31,AL$32,$AA$37,AP$14,AP$15,AP$16,AP$17,AP$18,$X844))</f>
        <v/>
      </c>
      <c r="AQ844" s="13">
        <f>IF(_epmOfflineCondition_,0,EPMSaveData(AM844,,AM$29,AM$25,AM$26,$C$6,AM$32,$AA$37,AQ$14,AQ$15,AQ$16,AQ$17,AQ$18,$X844))</f>
        <v/>
      </c>
      <c r="AR844" s="13">
        <f>IF(_epmOfflineCondition_,0,EPMSaveDataOnly(AN844,,AN$29,AN$25,AN$26,AN$31,AN$32,$AA$37,AR$14,AR$15,AR$16,AR$17,AR$18,$X844))</f>
        <v/>
      </c>
      <c r="AS844" s="384" t="n"/>
    </row>
    <row r="845" hidden="1" ht="15.75" customHeight="1" s="1181">
      <c r="A845" s="384" t="n"/>
      <c r="B845" s="384" t="n"/>
      <c r="C845" s="384" t="n"/>
      <c r="D845" s="384" t="n"/>
      <c r="E845" s="384" t="n"/>
      <c r="F845" s="384" t="n"/>
      <c r="G845" s="384" t="n"/>
      <c r="H845" s="384" t="n"/>
      <c r="I845" s="384" t="n"/>
      <c r="J845" s="384" t="n"/>
      <c r="K845" s="384" t="n"/>
      <c r="L845" s="384" t="n"/>
      <c r="M845" s="384" t="n"/>
      <c r="N845" s="384" t="n"/>
      <c r="O845" s="384" t="n"/>
      <c r="P845" s="384" t="n"/>
      <c r="Q845" s="384" t="n"/>
      <c r="R845" s="384" t="n"/>
      <c r="S845" s="384" t="n"/>
      <c r="T845" s="384" t="n"/>
      <c r="U845" s="384" t="n"/>
      <c r="V845" s="384" t="n"/>
      <c r="W845" s="384" t="n"/>
      <c r="X845" s="645">
        <f>IF(_epmOfflineCondition_,"I_E101215",EPMOlapMemberO("[C_INTERCO].[PARENTH1].[I_E101215]","","I_E101215","","000"))</f>
        <v/>
      </c>
      <c r="Y845" s="870">
        <f>IF(_epmOfflineCondition_,"北京京热兴怀能源有限责任公司",EPMMemberDesc(X845))</f>
        <v/>
      </c>
      <c r="Z845" s="1302" t="n"/>
      <c r="AA845" s="1302" t="n"/>
      <c r="AB845" s="858" t="n"/>
      <c r="AC845" s="1302" t="n"/>
      <c r="AD845" s="1302" t="n"/>
      <c r="AE845" s="1302" t="inlineStr"/>
      <c r="AF845" s="1302" t="inlineStr"/>
      <c r="AG845" s="1302" t="inlineStr"/>
      <c r="AH845" s="1302" t="n"/>
      <c r="AI845" s="1302" t="n"/>
      <c r="AJ845" s="1302" t="n"/>
      <c r="AK845" s="1302">
        <f>AI845-AJ845</f>
        <v/>
      </c>
      <c r="AL845" s="858" t="n"/>
      <c r="AM845" s="1297" t="inlineStr"/>
      <c r="AN845" s="1298" t="n"/>
      <c r="AO845" s="13">
        <f>IF(_epmOfflineCondition_,0,EPMSaveDataOnly(AB845,,AB$29,AB$25,AB$26,AB$31,AB$32,$AA$37,AO$14,AO$15,AO$16,AO$17,AO$18,X845))</f>
        <v/>
      </c>
      <c r="AP845" s="13">
        <f>IF(_epmOfflineCondition_,0,EPMSaveDataOnly(AL845,,AL$29,AL$25,AL$26,AL$31,AL$32,$AA$37,AP$14,AP$15,AP$16,AP$17,AP$18,$X845))</f>
        <v/>
      </c>
      <c r="AQ845" s="13">
        <f>IF(_epmOfflineCondition_,0,EPMSaveData(AM845,,AM$29,AM$25,AM$26,$C$6,AM$32,$AA$37,AQ$14,AQ$15,AQ$16,AQ$17,AQ$18,$X845))</f>
        <v/>
      </c>
      <c r="AR845" s="13">
        <f>IF(_epmOfflineCondition_,0,EPMSaveDataOnly(AN845,,AN$29,AN$25,AN$26,AN$31,AN$32,$AA$37,AR$14,AR$15,AR$16,AR$17,AR$18,$X845))</f>
        <v/>
      </c>
      <c r="AS845" s="384" t="n"/>
    </row>
    <row r="846" hidden="1" ht="15.75" customHeight="1" s="1181">
      <c r="A846" s="384" t="n"/>
      <c r="B846" s="384" t="n"/>
      <c r="C846" s="384" t="n"/>
      <c r="D846" s="384" t="n"/>
      <c r="E846" s="384" t="n"/>
      <c r="F846" s="384" t="n"/>
      <c r="G846" s="384" t="n"/>
      <c r="H846" s="384" t="n"/>
      <c r="I846" s="384" t="n"/>
      <c r="J846" s="384" t="n"/>
      <c r="K846" s="384" t="n"/>
      <c r="L846" s="384" t="n"/>
      <c r="M846" s="384" t="n"/>
      <c r="N846" s="384" t="n"/>
      <c r="O846" s="384" t="n"/>
      <c r="P846" s="384" t="n"/>
      <c r="Q846" s="384" t="n"/>
      <c r="R846" s="384" t="n"/>
      <c r="S846" s="384" t="n"/>
      <c r="T846" s="384" t="n"/>
      <c r="U846" s="384" t="n"/>
      <c r="V846" s="384" t="n"/>
      <c r="W846" s="384" t="n"/>
      <c r="X846" s="645">
        <f>IF(_epmOfflineCondition_,"I_E101216",EPMOlapMemberO("[C_INTERCO].[PARENTH1].[I_E101216]","","I_E101216","","000"))</f>
        <v/>
      </c>
      <c r="Y846" s="870">
        <f>IF(_epmOfflineCondition_,"航远6号集合资金信托计划",EPMMemberDesc(X846))</f>
        <v/>
      </c>
      <c r="Z846" s="1302" t="n"/>
      <c r="AA846" s="1302" t="n"/>
      <c r="AB846" s="858" t="n"/>
      <c r="AC846" s="1302" t="n"/>
      <c r="AD846" s="1302" t="n"/>
      <c r="AE846" s="1302" t="inlineStr"/>
      <c r="AF846" s="1302" t="inlineStr"/>
      <c r="AG846" s="1302" t="inlineStr"/>
      <c r="AH846" s="1302" t="n"/>
      <c r="AI846" s="1302" t="n"/>
      <c r="AJ846" s="1302" t="n"/>
      <c r="AK846" s="1302">
        <f>AI846-AJ846</f>
        <v/>
      </c>
      <c r="AL846" s="858" t="n"/>
      <c r="AM846" s="1297" t="inlineStr"/>
      <c r="AN846" s="1298" t="n"/>
      <c r="AO846" s="13">
        <f>IF(_epmOfflineCondition_,0,EPMSaveDataOnly(AB846,,AB$29,AB$25,AB$26,AB$31,AB$32,$AA$37,AO$14,AO$15,AO$16,AO$17,AO$18,X846))</f>
        <v/>
      </c>
      <c r="AP846" s="13">
        <f>IF(_epmOfflineCondition_,0,EPMSaveDataOnly(AL846,,AL$29,AL$25,AL$26,AL$31,AL$32,$AA$37,AP$14,AP$15,AP$16,AP$17,AP$18,$X846))</f>
        <v/>
      </c>
      <c r="AQ846" s="13">
        <f>IF(_epmOfflineCondition_,0,EPMSaveData(AM846,,AM$29,AM$25,AM$26,$C$6,AM$32,$AA$37,AQ$14,AQ$15,AQ$16,AQ$17,AQ$18,$X846))</f>
        <v/>
      </c>
      <c r="AR846" s="13">
        <f>IF(_epmOfflineCondition_,0,EPMSaveDataOnly(AN846,,AN$29,AN$25,AN$26,AN$31,AN$32,$AA$37,AR$14,AR$15,AR$16,AR$17,AR$18,$X846))</f>
        <v/>
      </c>
      <c r="AS846" s="384" t="n"/>
    </row>
    <row r="847" hidden="1" ht="15.75" customHeight="1" s="1181">
      <c r="A847" s="384" t="n"/>
      <c r="B847" s="384" t="n"/>
      <c r="C847" s="384" t="n"/>
      <c r="D847" s="384" t="n"/>
      <c r="E847" s="384" t="n"/>
      <c r="F847" s="384" t="n"/>
      <c r="G847" s="384" t="n"/>
      <c r="H847" s="384" t="n"/>
      <c r="I847" s="384" t="n"/>
      <c r="J847" s="384" t="n"/>
      <c r="K847" s="384" t="n"/>
      <c r="L847" s="384" t="n"/>
      <c r="M847" s="384" t="n"/>
      <c r="N847" s="384" t="n"/>
      <c r="O847" s="384" t="n"/>
      <c r="P847" s="384" t="n"/>
      <c r="Q847" s="384" t="n"/>
      <c r="R847" s="384" t="n"/>
      <c r="S847" s="384" t="n"/>
      <c r="T847" s="384" t="n"/>
      <c r="U847" s="384" t="n"/>
      <c r="V847" s="384" t="n"/>
      <c r="W847" s="384" t="n"/>
      <c r="X847" s="645">
        <f>IF(_epmOfflineCondition_,"I_E101206",EPMOlapMemberO("[C_INTERCO].[PARENTH1].[I_E101206]","","I_E101206","","000"))</f>
        <v/>
      </c>
      <c r="Y847" s="870">
        <f>IF(_epmOfflineCondition_,"杭州有瑞电力科技有限公司",EPMMemberDesc(X847))</f>
        <v/>
      </c>
      <c r="Z847" s="1302" t="n"/>
      <c r="AA847" s="1302" t="n"/>
      <c r="AB847" s="858" t="n"/>
      <c r="AC847" s="1302" t="n"/>
      <c r="AD847" s="1302" t="n"/>
      <c r="AE847" s="1302" t="inlineStr"/>
      <c r="AF847" s="1302" t="inlineStr"/>
      <c r="AG847" s="1302" t="inlineStr"/>
      <c r="AH847" s="1302" t="n"/>
      <c r="AI847" s="1302" t="n"/>
      <c r="AJ847" s="1302" t="n"/>
      <c r="AK847" s="1302">
        <f>AI847-AJ847</f>
        <v/>
      </c>
      <c r="AL847" s="858" t="n"/>
      <c r="AM847" s="1297" t="inlineStr"/>
      <c r="AN847" s="1298" t="n"/>
      <c r="AO847" s="13">
        <f>IF(_epmOfflineCondition_,0,EPMSaveDataOnly(AB847,,AB$29,AB$25,AB$26,AB$31,AB$32,$AA$37,AO$14,AO$15,AO$16,AO$17,AO$18,X847))</f>
        <v/>
      </c>
      <c r="AP847" s="13">
        <f>IF(_epmOfflineCondition_,0,EPMSaveDataOnly(AL847,,AL$29,AL$25,AL$26,AL$31,AL$32,$AA$37,AP$14,AP$15,AP$16,AP$17,AP$18,$X847))</f>
        <v/>
      </c>
      <c r="AQ847" s="13">
        <f>IF(_epmOfflineCondition_,0,EPMSaveData(AM847,,AM$29,AM$25,AM$26,$C$6,AM$32,$AA$37,AQ$14,AQ$15,AQ$16,AQ$17,AQ$18,$X847))</f>
        <v/>
      </c>
      <c r="AR847" s="13">
        <f>IF(_epmOfflineCondition_,0,EPMSaveDataOnly(AN847,,AN$29,AN$25,AN$26,AN$31,AN$32,$AA$37,AR$14,AR$15,AR$16,AR$17,AR$18,$X847))</f>
        <v/>
      </c>
      <c r="AS847" s="384" t="n"/>
    </row>
    <row r="848" hidden="1" ht="15.75" customHeight="1" s="1181">
      <c r="A848" s="384" t="n"/>
      <c r="B848" s="384" t="n"/>
      <c r="C848" s="384" t="n"/>
      <c r="D848" s="384" t="n"/>
      <c r="E848" s="384" t="n"/>
      <c r="F848" s="384" t="n"/>
      <c r="G848" s="384" t="n"/>
      <c r="H848" s="384" t="n"/>
      <c r="I848" s="384" t="n"/>
      <c r="J848" s="384" t="n"/>
      <c r="K848" s="384" t="n"/>
      <c r="L848" s="384" t="n"/>
      <c r="M848" s="384" t="n"/>
      <c r="N848" s="384" t="n"/>
      <c r="O848" s="384" t="n"/>
      <c r="P848" s="384" t="n"/>
      <c r="Q848" s="384" t="n"/>
      <c r="R848" s="384" t="n"/>
      <c r="S848" s="384" t="n"/>
      <c r="T848" s="384" t="n"/>
      <c r="U848" s="384" t="n"/>
      <c r="V848" s="384" t="n"/>
      <c r="W848" s="384" t="n"/>
      <c r="X848" s="645">
        <f>IF(_epmOfflineCondition_,"I_E101218",EPMOlapMemberO("[C_INTERCO].[PARENTH1].[I_E101218]","","I_E101218","","000"))</f>
        <v/>
      </c>
      <c r="Y848" s="870">
        <f>IF(_epmOfflineCondition_,"保山隆阳区保能晶泰光伏发电有限公司",EPMMemberDesc(X848))</f>
        <v/>
      </c>
      <c r="Z848" s="1302" t="n"/>
      <c r="AA848" s="1302" t="n"/>
      <c r="AB848" s="858" t="n"/>
      <c r="AC848" s="1302" t="n"/>
      <c r="AD848" s="1302" t="n"/>
      <c r="AE848" s="1302" t="inlineStr"/>
      <c r="AF848" s="1302" t="inlineStr"/>
      <c r="AG848" s="1302" t="inlineStr"/>
      <c r="AH848" s="1302" t="n"/>
      <c r="AI848" s="1302" t="n"/>
      <c r="AJ848" s="1302" t="n"/>
      <c r="AK848" s="1302">
        <f>AI848-AJ848</f>
        <v/>
      </c>
      <c r="AL848" s="858" t="n"/>
      <c r="AM848" s="1297" t="inlineStr"/>
      <c r="AN848" s="1298" t="n"/>
      <c r="AO848" s="13">
        <f>IF(_epmOfflineCondition_,0,EPMSaveDataOnly(AB848,,AB$29,AB$25,AB$26,AB$31,AB$32,$AA$37,AO$14,AO$15,AO$16,AO$17,AO$18,X848))</f>
        <v/>
      </c>
      <c r="AP848" s="13">
        <f>IF(_epmOfflineCondition_,0,EPMSaveDataOnly(AL848,,AL$29,AL$25,AL$26,AL$31,AL$32,$AA$37,AP$14,AP$15,AP$16,AP$17,AP$18,$X848))</f>
        <v/>
      </c>
      <c r="AQ848" s="13">
        <f>IF(_epmOfflineCondition_,0,EPMSaveData(AM848,,AM$29,AM$25,AM$26,$C$6,AM$32,$AA$37,AQ$14,AQ$15,AQ$16,AQ$17,AQ$18,$X848))</f>
        <v/>
      </c>
      <c r="AR848" s="13">
        <f>IF(_epmOfflineCondition_,0,EPMSaveDataOnly(AN848,,AN$29,AN$25,AN$26,AN$31,AN$32,$AA$37,AR$14,AR$15,AR$16,AR$17,AR$18,$X848))</f>
        <v/>
      </c>
      <c r="AS848" s="384" t="n"/>
    </row>
    <row r="849" hidden="1" ht="15.75" customHeight="1" s="1181">
      <c r="A849" s="384" t="n"/>
      <c r="B849" s="384" t="n"/>
      <c r="C849" s="384" t="n"/>
      <c r="D849" s="384" t="n"/>
      <c r="E849" s="384" t="n"/>
      <c r="F849" s="384" t="n"/>
      <c r="G849" s="384" t="n"/>
      <c r="H849" s="384" t="n"/>
      <c r="I849" s="384" t="n"/>
      <c r="J849" s="384" t="n"/>
      <c r="K849" s="384" t="n"/>
      <c r="L849" s="384" t="n"/>
      <c r="M849" s="384" t="n"/>
      <c r="N849" s="384" t="n"/>
      <c r="O849" s="384" t="n"/>
      <c r="P849" s="384" t="n"/>
      <c r="Q849" s="384" t="n"/>
      <c r="R849" s="384" t="n"/>
      <c r="S849" s="384" t="n"/>
      <c r="T849" s="384" t="n"/>
      <c r="U849" s="384" t="n"/>
      <c r="V849" s="384" t="n"/>
      <c r="W849" s="384" t="n"/>
      <c r="X849" s="645">
        <f>IF(_epmOfflineCondition_,"I_E101212",EPMOlapMemberO("[C_INTERCO].[PARENTH1].[I_E101212]","","I_E101212","","000"))</f>
        <v/>
      </c>
      <c r="Y849" s="870">
        <f>IF(_epmOfflineCondition_,"京能数字产业有限公司",EPMMemberDesc(X849))</f>
        <v/>
      </c>
      <c r="Z849" s="1302" t="n"/>
      <c r="AA849" s="1302" t="n"/>
      <c r="AB849" s="858" t="n"/>
      <c r="AC849" s="1302" t="n"/>
      <c r="AD849" s="1302" t="n"/>
      <c r="AE849" s="1302" t="inlineStr"/>
      <c r="AF849" s="1302" t="inlineStr"/>
      <c r="AG849" s="1302" t="inlineStr"/>
      <c r="AH849" s="1302" t="n"/>
      <c r="AI849" s="1302" t="n"/>
      <c r="AJ849" s="1302" t="n"/>
      <c r="AK849" s="1302">
        <f>AI849-AJ849</f>
        <v/>
      </c>
      <c r="AL849" s="858" t="n"/>
      <c r="AM849" s="1297" t="inlineStr"/>
      <c r="AN849" s="1298" t="n"/>
      <c r="AO849" s="13">
        <f>IF(_epmOfflineCondition_,0,EPMSaveDataOnly(AB849,,AB$29,AB$25,AB$26,AB$31,AB$32,$AA$37,AO$14,AO$15,AO$16,AO$17,AO$18,X849))</f>
        <v/>
      </c>
      <c r="AP849" s="13">
        <f>IF(_epmOfflineCondition_,0,EPMSaveDataOnly(AL849,,AL$29,AL$25,AL$26,AL$31,AL$32,$AA$37,AP$14,AP$15,AP$16,AP$17,AP$18,$X849))</f>
        <v/>
      </c>
      <c r="AQ849" s="13">
        <f>IF(_epmOfflineCondition_,0,EPMSaveData(AM849,,AM$29,AM$25,AM$26,$C$6,AM$32,$AA$37,AQ$14,AQ$15,AQ$16,AQ$17,AQ$18,$X849))</f>
        <v/>
      </c>
      <c r="AR849" s="13">
        <f>IF(_epmOfflineCondition_,0,EPMSaveDataOnly(AN849,,AN$29,AN$25,AN$26,AN$31,AN$32,$AA$37,AR$14,AR$15,AR$16,AR$17,AR$18,$X849))</f>
        <v/>
      </c>
      <c r="AS849" s="384" t="n"/>
    </row>
    <row r="850" hidden="1" ht="15.75" customHeight="1" s="1181">
      <c r="A850" s="384" t="n"/>
      <c r="B850" s="384" t="n"/>
      <c r="C850" s="384" t="n"/>
      <c r="D850" s="384" t="n"/>
      <c r="E850" s="384" t="n"/>
      <c r="F850" s="384" t="n"/>
      <c r="G850" s="384" t="n"/>
      <c r="H850" s="384" t="n"/>
      <c r="I850" s="384" t="n"/>
      <c r="J850" s="384" t="n"/>
      <c r="K850" s="384" t="n"/>
      <c r="L850" s="384" t="n"/>
      <c r="M850" s="384" t="n"/>
      <c r="N850" s="384" t="n"/>
      <c r="O850" s="384" t="n"/>
      <c r="P850" s="384" t="n"/>
      <c r="Q850" s="384" t="n"/>
      <c r="R850" s="384" t="n"/>
      <c r="S850" s="384" t="n"/>
      <c r="T850" s="384" t="n"/>
      <c r="U850" s="384" t="n"/>
      <c r="V850" s="384" t="n"/>
      <c r="W850" s="384" t="n"/>
      <c r="X850" s="645">
        <f>IF(_epmOfflineCondition_,"I_E101213",EPMOlapMemberO("[C_INTERCO].[PARENTH1].[I_E101213]","","I_E101213","","000"))</f>
        <v/>
      </c>
      <c r="Y850" s="870">
        <f>IF(_epmOfflineCondition_,"京耀（北京）新能源有限公司",EPMMemberDesc(X850))</f>
        <v/>
      </c>
      <c r="Z850" s="1302" t="n"/>
      <c r="AA850" s="1302" t="n"/>
      <c r="AB850" s="858" t="n"/>
      <c r="AC850" s="1302" t="n"/>
      <c r="AD850" s="1302" t="n"/>
      <c r="AE850" s="1302" t="inlineStr"/>
      <c r="AF850" s="1302" t="inlineStr"/>
      <c r="AG850" s="1302" t="inlineStr"/>
      <c r="AH850" s="1302" t="n"/>
      <c r="AI850" s="1302" t="n"/>
      <c r="AJ850" s="1302" t="n"/>
      <c r="AK850" s="1302">
        <f>AI850-AJ850</f>
        <v/>
      </c>
      <c r="AL850" s="858" t="n"/>
      <c r="AM850" s="1297" t="inlineStr"/>
      <c r="AN850" s="1298" t="n"/>
      <c r="AO850" s="13">
        <f>IF(_epmOfflineCondition_,0,EPMSaveDataOnly(AB850,,AB$29,AB$25,AB$26,AB$31,AB$32,$AA$37,AO$14,AO$15,AO$16,AO$17,AO$18,X850))</f>
        <v/>
      </c>
      <c r="AP850" s="13">
        <f>IF(_epmOfflineCondition_,0,EPMSaveDataOnly(AL850,,AL$29,AL$25,AL$26,AL$31,AL$32,$AA$37,AP$14,AP$15,AP$16,AP$17,AP$18,$X850))</f>
        <v/>
      </c>
      <c r="AQ850" s="13">
        <f>IF(_epmOfflineCondition_,0,EPMSaveData(AM850,,AM$29,AM$25,AM$26,$C$6,AM$32,$AA$37,AQ$14,AQ$15,AQ$16,AQ$17,AQ$18,$X850))</f>
        <v/>
      </c>
      <c r="AR850" s="13">
        <f>IF(_epmOfflineCondition_,0,EPMSaveDataOnly(AN850,,AN$29,AN$25,AN$26,AN$31,AN$32,$AA$37,AR$14,AR$15,AR$16,AR$17,AR$18,$X850))</f>
        <v/>
      </c>
      <c r="AS850" s="384" t="n"/>
    </row>
    <row r="851" hidden="1" ht="15.75" customHeight="1" s="1181">
      <c r="A851" s="384" t="n"/>
      <c r="B851" s="384" t="n"/>
      <c r="C851" s="384" t="n"/>
      <c r="D851" s="384" t="n"/>
      <c r="E851" s="384" t="n"/>
      <c r="F851" s="384" t="n"/>
      <c r="G851" s="384" t="n"/>
      <c r="H851" s="384" t="n"/>
      <c r="I851" s="384" t="n"/>
      <c r="J851" s="384" t="n"/>
      <c r="K851" s="384" t="n"/>
      <c r="L851" s="384" t="n"/>
      <c r="M851" s="384" t="n"/>
      <c r="N851" s="384" t="n"/>
      <c r="O851" s="384" t="n"/>
      <c r="P851" s="384" t="n"/>
      <c r="Q851" s="384" t="n"/>
      <c r="R851" s="384" t="n"/>
      <c r="S851" s="384" t="n"/>
      <c r="T851" s="384" t="n"/>
      <c r="U851" s="384" t="n"/>
      <c r="V851" s="384" t="n"/>
      <c r="W851" s="384" t="n"/>
      <c r="X851" s="645">
        <f>IF(_epmOfflineCondition_,"I_E101185",EPMOlapMemberO("[C_INTERCO].[PARENTH1].[I_E101185]","","I_E101185","","000"))</f>
        <v/>
      </c>
      <c r="Y851" s="870">
        <f>IF(_epmOfflineCondition_,"京沧（东光县）新能源科技有限公司",EPMMemberDesc(X851))</f>
        <v/>
      </c>
      <c r="Z851" s="1302" t="n"/>
      <c r="AA851" s="1302" t="n"/>
      <c r="AB851" s="858" t="n"/>
      <c r="AC851" s="1302" t="n"/>
      <c r="AD851" s="1302" t="n"/>
      <c r="AE851" s="1302" t="inlineStr"/>
      <c r="AF851" s="1302" t="inlineStr"/>
      <c r="AG851" s="1302" t="inlineStr"/>
      <c r="AH851" s="1302" t="n"/>
      <c r="AI851" s="1302" t="n"/>
      <c r="AJ851" s="1302" t="n"/>
      <c r="AK851" s="1302">
        <f>AI851-AJ851</f>
        <v/>
      </c>
      <c r="AL851" s="858" t="n"/>
      <c r="AM851" s="1297" t="inlineStr"/>
      <c r="AN851" s="1298" t="n"/>
      <c r="AO851" s="13">
        <f>IF(_epmOfflineCondition_,0,EPMSaveDataOnly(AB851,,AB$29,AB$25,AB$26,AB$31,AB$32,$AA$37,AO$14,AO$15,AO$16,AO$17,AO$18,X851))</f>
        <v/>
      </c>
      <c r="AP851" s="13">
        <f>IF(_epmOfflineCondition_,0,EPMSaveDataOnly(AL851,,AL$29,AL$25,AL$26,AL$31,AL$32,$AA$37,AP$14,AP$15,AP$16,AP$17,AP$18,$X851))</f>
        <v/>
      </c>
      <c r="AQ851" s="13">
        <f>IF(_epmOfflineCondition_,0,EPMSaveData(AM851,,AM$29,AM$25,AM$26,$C$6,AM$32,$AA$37,AQ$14,AQ$15,AQ$16,AQ$17,AQ$18,$X851))</f>
        <v/>
      </c>
      <c r="AR851" s="13">
        <f>IF(_epmOfflineCondition_,0,EPMSaveDataOnly(AN851,,AN$29,AN$25,AN$26,AN$31,AN$32,$AA$37,AR$14,AR$15,AR$16,AR$17,AR$18,$X851))</f>
        <v/>
      </c>
      <c r="AS851" s="384" t="n"/>
    </row>
    <row r="852" hidden="1" ht="15.75" customHeight="1" s="1181">
      <c r="A852" s="384" t="n"/>
      <c r="B852" s="384" t="n"/>
      <c r="C852" s="384" t="n"/>
      <c r="D852" s="384" t="n"/>
      <c r="E852" s="384" t="n"/>
      <c r="F852" s="384" t="n"/>
      <c r="G852" s="384" t="n"/>
      <c r="H852" s="384" t="n"/>
      <c r="I852" s="384" t="n"/>
      <c r="J852" s="384" t="n"/>
      <c r="K852" s="384" t="n"/>
      <c r="L852" s="384" t="n"/>
      <c r="M852" s="384" t="n"/>
      <c r="N852" s="384" t="n"/>
      <c r="O852" s="384" t="n"/>
      <c r="P852" s="384" t="n"/>
      <c r="Q852" s="384" t="n"/>
      <c r="R852" s="384" t="n"/>
      <c r="S852" s="384" t="n"/>
      <c r="T852" s="384" t="n"/>
      <c r="U852" s="384" t="n"/>
      <c r="V852" s="384" t="n"/>
      <c r="W852" s="384" t="n"/>
      <c r="X852" s="645">
        <f>IF(_epmOfflineCondition_,"I_E101223",EPMOlapMemberO("[C_INTERCO].[PARENTH1].[I_E101223]","","I_E101223","","000"))</f>
        <v/>
      </c>
      <c r="Y852" s="870">
        <f>IF(_epmOfflineCondition_,"亚洲新能源（金湖）风力发电有限公司",EPMMemberDesc(X852))</f>
        <v/>
      </c>
      <c r="Z852" s="1302" t="n"/>
      <c r="AA852" s="1302" t="n"/>
      <c r="AB852" s="858" t="n"/>
      <c r="AC852" s="1302" t="n"/>
      <c r="AD852" s="1302" t="n"/>
      <c r="AE852" s="1302" t="inlineStr"/>
      <c r="AF852" s="1302" t="inlineStr"/>
      <c r="AG852" s="1302" t="inlineStr"/>
      <c r="AH852" s="1302" t="n"/>
      <c r="AI852" s="1302" t="n"/>
      <c r="AJ852" s="1302" t="n"/>
      <c r="AK852" s="1302">
        <f>AI852-AJ852</f>
        <v/>
      </c>
      <c r="AL852" s="858" t="n"/>
      <c r="AM852" s="1297" t="inlineStr"/>
      <c r="AN852" s="1298" t="n"/>
      <c r="AO852" s="13">
        <f>IF(_epmOfflineCondition_,0,EPMSaveDataOnly(AB852,,AB$29,AB$25,AB$26,AB$31,AB$32,$AA$37,AO$14,AO$15,AO$16,AO$17,AO$18,X852))</f>
        <v/>
      </c>
      <c r="AP852" s="13">
        <f>IF(_epmOfflineCondition_,0,EPMSaveDataOnly(AL852,,AL$29,AL$25,AL$26,AL$31,AL$32,$AA$37,AP$14,AP$15,AP$16,AP$17,AP$18,$X852))</f>
        <v/>
      </c>
      <c r="AQ852" s="13">
        <f>IF(_epmOfflineCondition_,0,EPMSaveData(AM852,,AM$29,AM$25,AM$26,$C$6,AM$32,$AA$37,AQ$14,AQ$15,AQ$16,AQ$17,AQ$18,$X852))</f>
        <v/>
      </c>
      <c r="AR852" s="13">
        <f>IF(_epmOfflineCondition_,0,EPMSaveDataOnly(AN852,,AN$29,AN$25,AN$26,AN$31,AN$32,$AA$37,AR$14,AR$15,AR$16,AR$17,AR$18,$X852))</f>
        <v/>
      </c>
      <c r="AS852" s="384" t="n"/>
    </row>
    <row r="853" hidden="1" ht="15.75" customHeight="1" s="1181">
      <c r="A853" s="384" t="n"/>
      <c r="B853" s="384" t="n"/>
      <c r="C853" s="384" t="n"/>
      <c r="D853" s="384" t="n"/>
      <c r="E853" s="384" t="n"/>
      <c r="F853" s="384" t="n"/>
      <c r="G853" s="384" t="n"/>
      <c r="H853" s="384" t="n"/>
      <c r="I853" s="384" t="n"/>
      <c r="J853" s="384" t="n"/>
      <c r="K853" s="384" t="n"/>
      <c r="L853" s="384" t="n"/>
      <c r="M853" s="384" t="n"/>
      <c r="N853" s="384" t="n"/>
      <c r="O853" s="384" t="n"/>
      <c r="P853" s="384" t="n"/>
      <c r="Q853" s="384" t="n"/>
      <c r="R853" s="384" t="n"/>
      <c r="S853" s="384" t="n"/>
      <c r="T853" s="384" t="n"/>
      <c r="U853" s="384" t="n"/>
      <c r="V853" s="384" t="n"/>
      <c r="W853" s="384" t="n"/>
      <c r="X853" s="645">
        <f>IF(_epmOfflineCondition_,"I_E101205",EPMOlapMemberO("[C_INTERCO].[PARENTH1].[I_E101205]","","I_E101205","","000"))</f>
        <v/>
      </c>
      <c r="Y853" s="870">
        <f>IF(_epmOfflineCondition_,"黑龙江京望新能源有限公司",EPMMemberDesc(X853))</f>
        <v/>
      </c>
      <c r="Z853" s="1302" t="n"/>
      <c r="AA853" s="1302" t="n"/>
      <c r="AB853" s="858" t="n"/>
      <c r="AC853" s="1302" t="n"/>
      <c r="AD853" s="1302" t="n"/>
      <c r="AE853" s="1302" t="inlineStr"/>
      <c r="AF853" s="1302" t="inlineStr"/>
      <c r="AG853" s="1302" t="inlineStr"/>
      <c r="AH853" s="1302" t="n"/>
      <c r="AI853" s="1302" t="n"/>
      <c r="AJ853" s="1302" t="n"/>
      <c r="AK853" s="1302">
        <f>AI853-AJ853</f>
        <v/>
      </c>
      <c r="AL853" s="858" t="n"/>
      <c r="AM853" s="1297" t="inlineStr"/>
      <c r="AN853" s="1298" t="n"/>
      <c r="AO853" s="13">
        <f>IF(_epmOfflineCondition_,0,EPMSaveDataOnly(AB853,,AB$29,AB$25,AB$26,AB$31,AB$32,$AA$37,AO$14,AO$15,AO$16,AO$17,AO$18,X853))</f>
        <v/>
      </c>
      <c r="AP853" s="13">
        <f>IF(_epmOfflineCondition_,0,EPMSaveDataOnly(AL853,,AL$29,AL$25,AL$26,AL$31,AL$32,$AA$37,AP$14,AP$15,AP$16,AP$17,AP$18,$X853))</f>
        <v/>
      </c>
      <c r="AQ853" s="13">
        <f>IF(_epmOfflineCondition_,0,EPMSaveData(AM853,,AM$29,AM$25,AM$26,$C$6,AM$32,$AA$37,AQ$14,AQ$15,AQ$16,AQ$17,AQ$18,$X853))</f>
        <v/>
      </c>
      <c r="AR853" s="13">
        <f>IF(_epmOfflineCondition_,0,EPMSaveDataOnly(AN853,,AN$29,AN$25,AN$26,AN$31,AN$32,$AA$37,AR$14,AR$15,AR$16,AR$17,AR$18,$X853))</f>
        <v/>
      </c>
      <c r="AS853" s="384" t="n"/>
    </row>
    <row r="854" hidden="1" ht="15.75" customHeight="1" s="1181">
      <c r="A854" s="384" t="n"/>
      <c r="B854" s="384" t="n"/>
      <c r="C854" s="384" t="n"/>
      <c r="D854" s="384" t="n"/>
      <c r="E854" s="384" t="n"/>
      <c r="F854" s="384" t="n"/>
      <c r="G854" s="384" t="n"/>
      <c r="H854" s="384" t="n"/>
      <c r="I854" s="384" t="n"/>
      <c r="J854" s="384" t="n"/>
      <c r="K854" s="384" t="n"/>
      <c r="L854" s="384" t="n"/>
      <c r="M854" s="384" t="n"/>
      <c r="N854" s="384" t="n"/>
      <c r="O854" s="384" t="n"/>
      <c r="P854" s="384" t="n"/>
      <c r="Q854" s="384" t="n"/>
      <c r="R854" s="384" t="n"/>
      <c r="S854" s="384" t="n"/>
      <c r="T854" s="384" t="n"/>
      <c r="U854" s="384" t="n"/>
      <c r="V854" s="384" t="n"/>
      <c r="W854" s="384" t="n"/>
      <c r="X854" s="645">
        <f>IF(_epmOfflineCondition_,"I_E101224",EPMOlapMemberO("[C_INTERCO].[PARENTH1].[I_E101224]","","I_E101224","","000"))</f>
        <v/>
      </c>
      <c r="Y854" s="870">
        <f>IF(_epmOfflineCondition_,"京能（株洲）综合能源有限公司",EPMMemberDesc(X854))</f>
        <v/>
      </c>
      <c r="Z854" s="1302" t="n"/>
      <c r="AA854" s="1302" t="n"/>
      <c r="AB854" s="858" t="n"/>
      <c r="AC854" s="1302" t="n"/>
      <c r="AD854" s="1302" t="n"/>
      <c r="AE854" s="1302" t="inlineStr"/>
      <c r="AF854" s="1302" t="inlineStr"/>
      <c r="AG854" s="1302" t="inlineStr"/>
      <c r="AH854" s="1302" t="n"/>
      <c r="AI854" s="1302" t="n"/>
      <c r="AJ854" s="1302" t="n"/>
      <c r="AK854" s="1302">
        <f>AI854-AJ854</f>
        <v/>
      </c>
      <c r="AL854" s="858" t="n"/>
      <c r="AM854" s="1297" t="inlineStr"/>
      <c r="AN854" s="1298" t="n"/>
      <c r="AO854" s="13">
        <f>IF(_epmOfflineCondition_,0,EPMSaveDataOnly(AB854,,AB$29,AB$25,AB$26,AB$31,AB$32,$AA$37,AO$14,AO$15,AO$16,AO$17,AO$18,X854))</f>
        <v/>
      </c>
      <c r="AP854" s="13">
        <f>IF(_epmOfflineCondition_,0,EPMSaveDataOnly(AL854,,AL$29,AL$25,AL$26,AL$31,AL$32,$AA$37,AP$14,AP$15,AP$16,AP$17,AP$18,$X854))</f>
        <v/>
      </c>
      <c r="AQ854" s="13">
        <f>IF(_epmOfflineCondition_,0,EPMSaveData(AM854,,AM$29,AM$25,AM$26,$C$6,AM$32,$AA$37,AQ$14,AQ$15,AQ$16,AQ$17,AQ$18,$X854))</f>
        <v/>
      </c>
      <c r="AR854" s="13">
        <f>IF(_epmOfflineCondition_,0,EPMSaveDataOnly(AN854,,AN$29,AN$25,AN$26,AN$31,AN$32,$AA$37,AR$14,AR$15,AR$16,AR$17,AR$18,$X854))</f>
        <v/>
      </c>
      <c r="AS854" s="384" t="n"/>
    </row>
    <row r="855" hidden="1" ht="15.75" customHeight="1" s="1181">
      <c r="A855" s="384" t="n"/>
      <c r="B855" s="384" t="n"/>
      <c r="C855" s="384" t="n"/>
      <c r="D855" s="384" t="n"/>
      <c r="E855" s="384" t="n"/>
      <c r="F855" s="384" t="n"/>
      <c r="G855" s="384" t="n"/>
      <c r="H855" s="384" t="n"/>
      <c r="I855" s="384" t="n"/>
      <c r="J855" s="384" t="n"/>
      <c r="K855" s="384" t="n"/>
      <c r="L855" s="384" t="n"/>
      <c r="M855" s="384" t="n"/>
      <c r="N855" s="384" t="n"/>
      <c r="O855" s="384" t="n"/>
      <c r="P855" s="384" t="n"/>
      <c r="Q855" s="384" t="n"/>
      <c r="R855" s="384" t="n"/>
      <c r="S855" s="384" t="n"/>
      <c r="T855" s="384" t="n"/>
      <c r="U855" s="384" t="n"/>
      <c r="V855" s="384" t="n"/>
      <c r="W855" s="384" t="n"/>
      <c r="X855" s="645">
        <f>IF(_epmOfflineCondition_,"I_E101225",EPMOlapMemberO("[C_INTERCO].[PARENTH1].[I_E101225]","","I_E101225","","000"))</f>
        <v/>
      </c>
      <c r="Y855" s="870">
        <f>IF(_epmOfflineCondition_,"罗山县京能新能源有限公司",EPMMemberDesc(X855))</f>
        <v/>
      </c>
      <c r="Z855" s="1302" t="n"/>
      <c r="AA855" s="1302" t="n"/>
      <c r="AB855" s="858" t="n"/>
      <c r="AC855" s="1302" t="n"/>
      <c r="AD855" s="1302" t="n"/>
      <c r="AE855" s="1302" t="inlineStr"/>
      <c r="AF855" s="1302" t="inlineStr"/>
      <c r="AG855" s="1302" t="inlineStr"/>
      <c r="AH855" s="1302" t="n"/>
      <c r="AI855" s="1302" t="n"/>
      <c r="AJ855" s="1302" t="n"/>
      <c r="AK855" s="1302">
        <f>AI855-AJ855</f>
        <v/>
      </c>
      <c r="AL855" s="858" t="n"/>
      <c r="AM855" s="1297" t="inlineStr"/>
      <c r="AN855" s="1298" t="n"/>
      <c r="AO855" s="13">
        <f>IF(_epmOfflineCondition_,0,EPMSaveDataOnly(AB855,,AB$29,AB$25,AB$26,AB$31,AB$32,$AA$37,AO$14,AO$15,AO$16,AO$17,AO$18,X855))</f>
        <v/>
      </c>
      <c r="AP855" s="13">
        <f>IF(_epmOfflineCondition_,0,EPMSaveDataOnly(AL855,,AL$29,AL$25,AL$26,AL$31,AL$32,$AA$37,AP$14,AP$15,AP$16,AP$17,AP$18,$X855))</f>
        <v/>
      </c>
      <c r="AQ855" s="13">
        <f>IF(_epmOfflineCondition_,0,EPMSaveData(AM855,,AM$29,AM$25,AM$26,$C$6,AM$32,$AA$37,AQ$14,AQ$15,AQ$16,AQ$17,AQ$18,$X855))</f>
        <v/>
      </c>
      <c r="AR855" s="13">
        <f>IF(_epmOfflineCondition_,0,EPMSaveDataOnly(AN855,,AN$29,AN$25,AN$26,AN$31,AN$32,$AA$37,AR$14,AR$15,AR$16,AR$17,AR$18,$X855))</f>
        <v/>
      </c>
      <c r="AS855" s="384" t="n"/>
    </row>
    <row r="856" hidden="1" ht="15.75" customHeight="1" s="1181">
      <c r="A856" s="384" t="n"/>
      <c r="B856" s="384" t="n"/>
      <c r="C856" s="384" t="n"/>
      <c r="D856" s="384" t="n"/>
      <c r="E856" s="384" t="n"/>
      <c r="F856" s="384" t="n"/>
      <c r="G856" s="384" t="n"/>
      <c r="H856" s="384" t="n"/>
      <c r="I856" s="384" t="n"/>
      <c r="J856" s="384" t="n"/>
      <c r="K856" s="384" t="n"/>
      <c r="L856" s="384" t="n"/>
      <c r="M856" s="384" t="n"/>
      <c r="N856" s="384" t="n"/>
      <c r="O856" s="384" t="n"/>
      <c r="P856" s="384" t="n"/>
      <c r="Q856" s="384" t="n"/>
      <c r="R856" s="384" t="n"/>
      <c r="S856" s="384" t="n"/>
      <c r="T856" s="384" t="n"/>
      <c r="U856" s="384" t="n"/>
      <c r="V856" s="384" t="n"/>
      <c r="W856" s="384" t="n"/>
      <c r="X856" s="645">
        <f>IF(_epmOfflineCondition_,"I_E101231",EPMOlapMemberO("[C_INTERCO].[PARENTH1].[I_E101231]","","I_E101231","","000"))</f>
        <v/>
      </c>
      <c r="Y856" s="870">
        <f>IF(_epmOfflineCondition_,"京能（嘉兴）光伏发电有限公司",EPMMemberDesc(X856))</f>
        <v/>
      </c>
      <c r="Z856" s="1302" t="n"/>
      <c r="AA856" s="1302" t="n"/>
      <c r="AB856" s="858" t="n"/>
      <c r="AC856" s="1302" t="n"/>
      <c r="AD856" s="1302" t="n"/>
      <c r="AE856" s="1302" t="inlineStr"/>
      <c r="AF856" s="1302" t="inlineStr"/>
      <c r="AG856" s="1302" t="inlineStr"/>
      <c r="AH856" s="1302" t="n"/>
      <c r="AI856" s="1302" t="n"/>
      <c r="AJ856" s="1302" t="n"/>
      <c r="AK856" s="1302">
        <f>AI856-AJ856</f>
        <v/>
      </c>
      <c r="AL856" s="858" t="n"/>
      <c r="AM856" s="1297" t="inlineStr"/>
      <c r="AN856" s="1298" t="n"/>
      <c r="AO856" s="13">
        <f>IF(_epmOfflineCondition_,0,EPMSaveDataOnly(AB856,,AB$29,AB$25,AB$26,AB$31,AB$32,$AA$37,AO$14,AO$15,AO$16,AO$17,AO$18,X856))</f>
        <v/>
      </c>
      <c r="AP856" s="13">
        <f>IF(_epmOfflineCondition_,0,EPMSaveDataOnly(AL856,,AL$29,AL$25,AL$26,AL$31,AL$32,$AA$37,AP$14,AP$15,AP$16,AP$17,AP$18,$X856))</f>
        <v/>
      </c>
      <c r="AQ856" s="13">
        <f>IF(_epmOfflineCondition_,0,EPMSaveData(AM856,,AM$29,AM$25,AM$26,$C$6,AM$32,$AA$37,AQ$14,AQ$15,AQ$16,AQ$17,AQ$18,$X856))</f>
        <v/>
      </c>
      <c r="AR856" s="13">
        <f>IF(_epmOfflineCondition_,0,EPMSaveDataOnly(AN856,,AN$29,AN$25,AN$26,AN$31,AN$32,$AA$37,AR$14,AR$15,AR$16,AR$17,AR$18,$X856))</f>
        <v/>
      </c>
      <c r="AS856" s="384" t="n"/>
    </row>
    <row r="857" hidden="1" ht="15.75" customHeight="1" s="1181">
      <c r="A857" s="384" t="n"/>
      <c r="B857" s="384" t="n"/>
      <c r="C857" s="384" t="n"/>
      <c r="D857" s="384" t="n"/>
      <c r="E857" s="384" t="n"/>
      <c r="F857" s="384" t="n"/>
      <c r="G857" s="384" t="n"/>
      <c r="H857" s="384" t="n"/>
      <c r="I857" s="384" t="n"/>
      <c r="J857" s="384" t="n"/>
      <c r="K857" s="384" t="n"/>
      <c r="L857" s="384" t="n"/>
      <c r="M857" s="384" t="n"/>
      <c r="N857" s="384" t="n"/>
      <c r="O857" s="384" t="n"/>
      <c r="P857" s="384" t="n"/>
      <c r="Q857" s="384" t="n"/>
      <c r="R857" s="384" t="n"/>
      <c r="S857" s="384" t="n"/>
      <c r="T857" s="384" t="n"/>
      <c r="U857" s="384" t="n"/>
      <c r="V857" s="384" t="n"/>
      <c r="W857" s="384" t="n"/>
      <c r="X857" s="645">
        <f>IF(_epmOfflineCondition_,"I_E101229",EPMOlapMemberO("[C_INTERCO].[PARENTH1].[I_E101229]","","I_E101229","","000"))</f>
        <v/>
      </c>
      <c r="Y857" s="870">
        <f>IF(_epmOfflineCondition_,"京能（烟台蓬莱区）新能源有限公司",EPMMemberDesc(X857))</f>
        <v/>
      </c>
      <c r="Z857" s="1302" t="n"/>
      <c r="AA857" s="1302" t="n"/>
      <c r="AB857" s="858" t="n"/>
      <c r="AC857" s="1302" t="n"/>
      <c r="AD857" s="1302" t="n"/>
      <c r="AE857" s="1302" t="inlineStr"/>
      <c r="AF857" s="1302" t="inlineStr"/>
      <c r="AG857" s="1302" t="inlineStr"/>
      <c r="AH857" s="1302" t="n"/>
      <c r="AI857" s="1302" t="n"/>
      <c r="AJ857" s="1302" t="n"/>
      <c r="AK857" s="1302">
        <f>AI857-AJ857</f>
        <v/>
      </c>
      <c r="AL857" s="858" t="n"/>
      <c r="AM857" s="1297" t="inlineStr"/>
      <c r="AN857" s="1298" t="n"/>
      <c r="AO857" s="13">
        <f>IF(_epmOfflineCondition_,0,EPMSaveDataOnly(AB857,,AB$29,AB$25,AB$26,AB$31,AB$32,$AA$37,AO$14,AO$15,AO$16,AO$17,AO$18,X857))</f>
        <v/>
      </c>
      <c r="AP857" s="13">
        <f>IF(_epmOfflineCondition_,0,EPMSaveDataOnly(AL857,,AL$29,AL$25,AL$26,AL$31,AL$32,$AA$37,AP$14,AP$15,AP$16,AP$17,AP$18,$X857))</f>
        <v/>
      </c>
      <c r="AQ857" s="13">
        <f>IF(_epmOfflineCondition_,0,EPMSaveData(AM857,,AM$29,AM$25,AM$26,$C$6,AM$32,$AA$37,AQ$14,AQ$15,AQ$16,AQ$17,AQ$18,$X857))</f>
        <v/>
      </c>
      <c r="AR857" s="13">
        <f>IF(_epmOfflineCondition_,0,EPMSaveDataOnly(AN857,,AN$29,AN$25,AN$26,AN$31,AN$32,$AA$37,AR$14,AR$15,AR$16,AR$17,AR$18,$X857))</f>
        <v/>
      </c>
      <c r="AS857" s="384" t="n"/>
    </row>
    <row r="858" hidden="1" ht="15.75" customHeight="1" s="1181">
      <c r="A858" s="384" t="n"/>
      <c r="B858" s="384" t="n"/>
      <c r="C858" s="384" t="n"/>
      <c r="D858" s="384" t="n"/>
      <c r="E858" s="384" t="n"/>
      <c r="F858" s="384" t="n"/>
      <c r="G858" s="384" t="n"/>
      <c r="H858" s="384" t="n"/>
      <c r="I858" s="384" t="n"/>
      <c r="J858" s="384" t="n"/>
      <c r="K858" s="384" t="n"/>
      <c r="L858" s="384" t="n"/>
      <c r="M858" s="384" t="n"/>
      <c r="N858" s="384" t="n"/>
      <c r="O858" s="384" t="n"/>
      <c r="P858" s="384" t="n"/>
      <c r="Q858" s="384" t="n"/>
      <c r="R858" s="384" t="n"/>
      <c r="S858" s="384" t="n"/>
      <c r="T858" s="384" t="n"/>
      <c r="U858" s="384" t="n"/>
      <c r="V858" s="384" t="n"/>
      <c r="W858" s="384" t="n"/>
      <c r="X858" s="645">
        <f>IF(_epmOfflineCondition_,"I_E101230",EPMOlapMemberO("[C_INTERCO].[PARENTH1].[I_E101230]","","I_E101230","","000"))</f>
        <v/>
      </c>
      <c r="Y858" s="870">
        <f>IF(_epmOfflineCondition_,"京能（忻州）新能源有限公司",EPMMemberDesc(X858))</f>
        <v/>
      </c>
      <c r="Z858" s="1302" t="n"/>
      <c r="AA858" s="1302" t="n"/>
      <c r="AB858" s="858" t="n"/>
      <c r="AC858" s="1302" t="n"/>
      <c r="AD858" s="1302" t="n"/>
      <c r="AE858" s="1302" t="inlineStr"/>
      <c r="AF858" s="1302" t="inlineStr"/>
      <c r="AG858" s="1302" t="inlineStr"/>
      <c r="AH858" s="1302" t="n"/>
      <c r="AI858" s="1302" t="n"/>
      <c r="AJ858" s="1302" t="n"/>
      <c r="AK858" s="1302">
        <f>AI858-AJ858</f>
        <v/>
      </c>
      <c r="AL858" s="858" t="n"/>
      <c r="AM858" s="1297" t="inlineStr"/>
      <c r="AN858" s="1298" t="n"/>
      <c r="AO858" s="13">
        <f>IF(_epmOfflineCondition_,0,EPMSaveDataOnly(AB858,,AB$29,AB$25,AB$26,AB$31,AB$32,$AA$37,AO$14,AO$15,AO$16,AO$17,AO$18,X858))</f>
        <v/>
      </c>
      <c r="AP858" s="13">
        <f>IF(_epmOfflineCondition_,0,EPMSaveDataOnly(AL858,,AL$29,AL$25,AL$26,AL$31,AL$32,$AA$37,AP$14,AP$15,AP$16,AP$17,AP$18,$X858))</f>
        <v/>
      </c>
      <c r="AQ858" s="13">
        <f>IF(_epmOfflineCondition_,0,EPMSaveData(AM858,,AM$29,AM$25,AM$26,$C$6,AM$32,$AA$37,AQ$14,AQ$15,AQ$16,AQ$17,AQ$18,$X858))</f>
        <v/>
      </c>
      <c r="AR858" s="13">
        <f>IF(_epmOfflineCondition_,0,EPMSaveDataOnly(AN858,,AN$29,AN$25,AN$26,AN$31,AN$32,$AA$37,AR$14,AR$15,AR$16,AR$17,AR$18,$X858))</f>
        <v/>
      </c>
      <c r="AS858" s="384" t="n"/>
    </row>
    <row r="859" hidden="1" ht="15.75" customHeight="1" s="1181">
      <c r="A859" s="384" t="n"/>
      <c r="B859" s="384" t="n"/>
      <c r="C859" s="384" t="n"/>
      <c r="D859" s="384" t="n"/>
      <c r="E859" s="384" t="n"/>
      <c r="F859" s="384" t="n"/>
      <c r="G859" s="384" t="n"/>
      <c r="H859" s="384" t="n"/>
      <c r="I859" s="384" t="n"/>
      <c r="J859" s="384" t="n"/>
      <c r="K859" s="384" t="n"/>
      <c r="L859" s="384" t="n"/>
      <c r="M859" s="384" t="n"/>
      <c r="N859" s="384" t="n"/>
      <c r="O859" s="384" t="n"/>
      <c r="P859" s="384" t="n"/>
      <c r="Q859" s="384" t="n"/>
      <c r="R859" s="384" t="n"/>
      <c r="S859" s="384" t="n"/>
      <c r="T859" s="384" t="n"/>
      <c r="U859" s="384" t="n"/>
      <c r="V859" s="384" t="n"/>
      <c r="W859" s="384" t="n"/>
      <c r="X859" s="645">
        <f>IF(_epmOfflineCondition_,"I_E101214",EPMOlapMemberO("[C_INTERCO].[PARENTH1].[I_E101214]","","I_E101214","","000"))</f>
        <v/>
      </c>
      <c r="Y859" s="870">
        <f>IF(_epmOfflineCondition_,"河南省京能储能科技有限责任公司",EPMMemberDesc(X859))</f>
        <v/>
      </c>
      <c r="Z859" s="1302" t="n"/>
      <c r="AA859" s="1302" t="n"/>
      <c r="AB859" s="858" t="n"/>
      <c r="AC859" s="1302" t="n"/>
      <c r="AD859" s="1302" t="n"/>
      <c r="AE859" s="1302" t="inlineStr"/>
      <c r="AF859" s="1302" t="inlineStr"/>
      <c r="AG859" s="1302" t="inlineStr"/>
      <c r="AH859" s="1302" t="n"/>
      <c r="AI859" s="1302" t="n"/>
      <c r="AJ859" s="1302" t="n"/>
      <c r="AK859" s="1302">
        <f>AI859-AJ859</f>
        <v/>
      </c>
      <c r="AL859" s="858" t="n"/>
      <c r="AM859" s="1297" t="inlineStr"/>
      <c r="AN859" s="1298" t="n"/>
      <c r="AO859" s="13">
        <f>IF(_epmOfflineCondition_,0,EPMSaveDataOnly(AB859,,AB$29,AB$25,AB$26,AB$31,AB$32,$AA$37,AO$14,AO$15,AO$16,AO$17,AO$18,X859))</f>
        <v/>
      </c>
      <c r="AP859" s="13">
        <f>IF(_epmOfflineCondition_,0,EPMSaveDataOnly(AL859,,AL$29,AL$25,AL$26,AL$31,AL$32,$AA$37,AP$14,AP$15,AP$16,AP$17,AP$18,$X859))</f>
        <v/>
      </c>
      <c r="AQ859" s="13">
        <f>IF(_epmOfflineCondition_,0,EPMSaveData(AM859,,AM$29,AM$25,AM$26,$C$6,AM$32,$AA$37,AQ$14,AQ$15,AQ$16,AQ$17,AQ$18,$X859))</f>
        <v/>
      </c>
      <c r="AR859" s="13">
        <f>IF(_epmOfflineCondition_,0,EPMSaveDataOnly(AN859,,AN$29,AN$25,AN$26,AN$31,AN$32,$AA$37,AR$14,AR$15,AR$16,AR$17,AR$18,$X859))</f>
        <v/>
      </c>
      <c r="AS859" s="384" t="n"/>
    </row>
    <row r="860" hidden="1" ht="15.75" customHeight="1" s="1181">
      <c r="A860" s="384" t="n"/>
      <c r="B860" s="384" t="n"/>
      <c r="C860" s="384" t="n"/>
      <c r="D860" s="384" t="n"/>
      <c r="E860" s="384" t="n"/>
      <c r="F860" s="384" t="n"/>
      <c r="G860" s="384" t="n"/>
      <c r="H860" s="384" t="n"/>
      <c r="I860" s="384" t="n"/>
      <c r="J860" s="384" t="n"/>
      <c r="K860" s="384" t="n"/>
      <c r="L860" s="384" t="n"/>
      <c r="M860" s="384" t="n"/>
      <c r="N860" s="384" t="n"/>
      <c r="O860" s="384" t="n"/>
      <c r="P860" s="384" t="n"/>
      <c r="Q860" s="384" t="n"/>
      <c r="R860" s="384" t="n"/>
      <c r="S860" s="384" t="n"/>
      <c r="T860" s="384" t="n"/>
      <c r="U860" s="384" t="n"/>
      <c r="V860" s="384" t="n"/>
      <c r="W860" s="384" t="n"/>
      <c r="X860" s="645">
        <f>IF(_epmOfflineCondition_,"I_E101240",EPMOlapMemberO("[C_INTERCO].[PARENTH1].[I_E101240]","","I_E101240","","000"))</f>
        <v/>
      </c>
      <c r="Y860" s="870">
        <f>IF(_epmOfflineCondition_,"京龙（烟台龙口市）新能源有限公司",EPMMemberDesc(X860))</f>
        <v/>
      </c>
      <c r="Z860" s="1302" t="n"/>
      <c r="AA860" s="1302" t="n"/>
      <c r="AB860" s="858" t="n"/>
      <c r="AC860" s="1302" t="n"/>
      <c r="AD860" s="1302" t="n"/>
      <c r="AE860" s="1302" t="inlineStr"/>
      <c r="AF860" s="1302" t="inlineStr"/>
      <c r="AG860" s="1302" t="inlineStr"/>
      <c r="AH860" s="1302" t="n"/>
      <c r="AI860" s="1302" t="n"/>
      <c r="AJ860" s="1302" t="n"/>
      <c r="AK860" s="1302">
        <f>AI860-AJ860</f>
        <v/>
      </c>
      <c r="AL860" s="858" t="n"/>
      <c r="AM860" s="1297" t="inlineStr"/>
      <c r="AN860" s="1298" t="n"/>
      <c r="AO860" s="13">
        <f>IF(_epmOfflineCondition_,0,EPMSaveDataOnly(AB860,,AB$29,AB$25,AB$26,AB$31,AB$32,$AA$37,AO$14,AO$15,AO$16,AO$17,AO$18,X860))</f>
        <v/>
      </c>
      <c r="AP860" s="13">
        <f>IF(_epmOfflineCondition_,0,EPMSaveDataOnly(AL860,,AL$29,AL$25,AL$26,AL$31,AL$32,$AA$37,AP$14,AP$15,AP$16,AP$17,AP$18,$X860))</f>
        <v/>
      </c>
      <c r="AQ860" s="13">
        <f>IF(_epmOfflineCondition_,0,EPMSaveData(AM860,,AM$29,AM$25,AM$26,$C$6,AM$32,$AA$37,AQ$14,AQ$15,AQ$16,AQ$17,AQ$18,$X860))</f>
        <v/>
      </c>
      <c r="AR860" s="13">
        <f>IF(_epmOfflineCondition_,0,EPMSaveDataOnly(AN860,,AN$29,AN$25,AN$26,AN$31,AN$32,$AA$37,AR$14,AR$15,AR$16,AR$17,AR$18,$X860))</f>
        <v/>
      </c>
      <c r="AS860" s="384" t="n"/>
    </row>
    <row r="861" hidden="1" ht="15.75" customHeight="1" s="1181">
      <c r="A861" s="384" t="n"/>
      <c r="B861" s="384" t="n"/>
      <c r="C861" s="384" t="n"/>
      <c r="D861" s="384" t="n"/>
      <c r="E861" s="384" t="n"/>
      <c r="F861" s="384" t="n"/>
      <c r="G861" s="384" t="n"/>
      <c r="H861" s="384" t="n"/>
      <c r="I861" s="384" t="n"/>
      <c r="J861" s="384" t="n"/>
      <c r="K861" s="384" t="n"/>
      <c r="L861" s="384" t="n"/>
      <c r="M861" s="384" t="n"/>
      <c r="N861" s="384" t="n"/>
      <c r="O861" s="384" t="n"/>
      <c r="P861" s="384" t="n"/>
      <c r="Q861" s="384" t="n"/>
      <c r="R861" s="384" t="n"/>
      <c r="S861" s="384" t="n"/>
      <c r="T861" s="384" t="n"/>
      <c r="U861" s="384" t="n"/>
      <c r="V861" s="384" t="n"/>
      <c r="W861" s="384" t="n"/>
      <c r="X861" s="645">
        <f>IF(_epmOfflineCondition_,"I_E101241",EPMOlapMemberO("[C_INTERCO].[PARENTH1].[I_E101241]","","I_E101241","","000"))</f>
        <v/>
      </c>
      <c r="Y861" s="870">
        <f>IF(_epmOfflineCondition_,"北屯市枫煜风能开发有限公司",EPMMemberDesc(X861))</f>
        <v/>
      </c>
      <c r="Z861" s="1302" t="n"/>
      <c r="AA861" s="1302" t="n"/>
      <c r="AB861" s="858" t="n"/>
      <c r="AC861" s="1302" t="n"/>
      <c r="AD861" s="1302" t="n"/>
      <c r="AE861" s="1302" t="inlineStr"/>
      <c r="AF861" s="1302" t="inlineStr"/>
      <c r="AG861" s="1302" t="inlineStr"/>
      <c r="AH861" s="1302" t="n"/>
      <c r="AI861" s="1302" t="n"/>
      <c r="AJ861" s="1302" t="n"/>
      <c r="AK861" s="1302">
        <f>AI861-AJ861</f>
        <v/>
      </c>
      <c r="AL861" s="858" t="n"/>
      <c r="AM861" s="1297" t="inlineStr"/>
      <c r="AN861" s="1298" t="n"/>
      <c r="AO861" s="13">
        <f>IF(_epmOfflineCondition_,0,EPMSaveDataOnly(AB861,,AB$29,AB$25,AB$26,AB$31,AB$32,$AA$37,AO$14,AO$15,AO$16,AO$17,AO$18,X861))</f>
        <v/>
      </c>
      <c r="AP861" s="13">
        <f>IF(_epmOfflineCondition_,0,EPMSaveDataOnly(AL861,,AL$29,AL$25,AL$26,AL$31,AL$32,$AA$37,AP$14,AP$15,AP$16,AP$17,AP$18,$X861))</f>
        <v/>
      </c>
      <c r="AQ861" s="13">
        <f>IF(_epmOfflineCondition_,0,EPMSaveData(AM861,,AM$29,AM$25,AM$26,$C$6,AM$32,$AA$37,AQ$14,AQ$15,AQ$16,AQ$17,AQ$18,$X861))</f>
        <v/>
      </c>
      <c r="AR861" s="13">
        <f>IF(_epmOfflineCondition_,0,EPMSaveDataOnly(AN861,,AN$29,AN$25,AN$26,AN$31,AN$32,$AA$37,AR$14,AR$15,AR$16,AR$17,AR$18,$X861))</f>
        <v/>
      </c>
      <c r="AS861" s="384" t="n"/>
    </row>
    <row r="862" hidden="1" ht="15.75" customHeight="1" s="1181">
      <c r="A862" s="384" t="n"/>
      <c r="B862" s="384" t="n"/>
      <c r="C862" s="384" t="n"/>
      <c r="D862" s="384" t="n"/>
      <c r="E862" s="384" t="n"/>
      <c r="F862" s="384" t="n"/>
      <c r="G862" s="384" t="n"/>
      <c r="H862" s="384" t="n"/>
      <c r="I862" s="384" t="n"/>
      <c r="J862" s="384" t="n"/>
      <c r="K862" s="384" t="n"/>
      <c r="L862" s="384" t="n"/>
      <c r="M862" s="384" t="n"/>
      <c r="N862" s="384" t="n"/>
      <c r="O862" s="384" t="n"/>
      <c r="P862" s="384" t="n"/>
      <c r="Q862" s="384" t="n"/>
      <c r="R862" s="384" t="n"/>
      <c r="S862" s="384" t="n"/>
      <c r="T862" s="384" t="n"/>
      <c r="U862" s="384" t="n"/>
      <c r="V862" s="384" t="n"/>
      <c r="W862" s="384" t="n"/>
      <c r="X862" s="645">
        <f>IF(_epmOfflineCondition_,"I_E101238",EPMOlapMemberO("[C_INTERCO].[PARENTH1].[I_E101238]","","I_E101238","","000"))</f>
        <v/>
      </c>
      <c r="Y862" s="870">
        <f>IF(_epmOfflineCondition_,"京滨（滨州邹平）新能源有限公司",EPMMemberDesc(X862))</f>
        <v/>
      </c>
      <c r="Z862" s="1302" t="n"/>
      <c r="AA862" s="1302" t="n"/>
      <c r="AB862" s="858" t="n"/>
      <c r="AC862" s="1302" t="n"/>
      <c r="AD862" s="1302" t="n"/>
      <c r="AE862" s="1302" t="inlineStr"/>
      <c r="AF862" s="1302" t="inlineStr"/>
      <c r="AG862" s="1302" t="inlineStr"/>
      <c r="AH862" s="1302" t="n"/>
      <c r="AI862" s="1302" t="n"/>
      <c r="AJ862" s="1302" t="n"/>
      <c r="AK862" s="1302">
        <f>AI862-AJ862</f>
        <v/>
      </c>
      <c r="AL862" s="858" t="n"/>
      <c r="AM862" s="1297" t="inlineStr"/>
      <c r="AN862" s="1298" t="n"/>
      <c r="AO862" s="13">
        <f>IF(_epmOfflineCondition_,0,EPMSaveDataOnly(AB862,,AB$29,AB$25,AB$26,AB$31,AB$32,$AA$37,AO$14,AO$15,AO$16,AO$17,AO$18,X862))</f>
        <v/>
      </c>
      <c r="AP862" s="13">
        <f>IF(_epmOfflineCondition_,0,EPMSaveDataOnly(AL862,,AL$29,AL$25,AL$26,AL$31,AL$32,$AA$37,AP$14,AP$15,AP$16,AP$17,AP$18,$X862))</f>
        <v/>
      </c>
      <c r="AQ862" s="13">
        <f>IF(_epmOfflineCondition_,0,EPMSaveData(AM862,,AM$29,AM$25,AM$26,$C$6,AM$32,$AA$37,AQ$14,AQ$15,AQ$16,AQ$17,AQ$18,$X862))</f>
        <v/>
      </c>
      <c r="AR862" s="13">
        <f>IF(_epmOfflineCondition_,0,EPMSaveDataOnly(AN862,,AN$29,AN$25,AN$26,AN$31,AN$32,$AA$37,AR$14,AR$15,AR$16,AR$17,AR$18,$X862))</f>
        <v/>
      </c>
      <c r="AS862" s="384" t="n"/>
    </row>
    <row r="863" hidden="1" ht="15.75" customHeight="1" s="1181">
      <c r="A863" s="384" t="n"/>
      <c r="B863" s="384" t="n"/>
      <c r="C863" s="384" t="n"/>
      <c r="D863" s="384" t="n"/>
      <c r="E863" s="384" t="n"/>
      <c r="F863" s="384" t="n"/>
      <c r="G863" s="384" t="n"/>
      <c r="H863" s="384" t="n"/>
      <c r="I863" s="384" t="n"/>
      <c r="J863" s="384" t="n"/>
      <c r="K863" s="384" t="n"/>
      <c r="L863" s="384" t="n"/>
      <c r="M863" s="384" t="n"/>
      <c r="N863" s="384" t="n"/>
      <c r="O863" s="384" t="n"/>
      <c r="P863" s="384" t="n"/>
      <c r="Q863" s="384" t="n"/>
      <c r="R863" s="384" t="n"/>
      <c r="S863" s="384" t="n"/>
      <c r="T863" s="384" t="n"/>
      <c r="U863" s="384" t="n"/>
      <c r="V863" s="384" t="n"/>
      <c r="W863" s="384" t="n"/>
      <c r="X863" s="645">
        <f>IF(_epmOfflineCondition_,"I_E101239",EPMOlapMemberO("[C_INTERCO].[PARENTH1].[I_E101239]","","I_E101239","","000"))</f>
        <v/>
      </c>
      <c r="Y863" s="870">
        <f>IF(_epmOfflineCondition_,"京卜（天津）新能源有限公司",EPMMemberDesc(X863))</f>
        <v/>
      </c>
      <c r="Z863" s="1302" t="n"/>
      <c r="AA863" s="1302" t="n"/>
      <c r="AB863" s="858" t="n"/>
      <c r="AC863" s="1302" t="n"/>
      <c r="AD863" s="1302" t="n"/>
      <c r="AE863" s="1302" t="inlineStr"/>
      <c r="AF863" s="1302" t="inlineStr"/>
      <c r="AG863" s="1302" t="inlineStr"/>
      <c r="AH863" s="1302" t="n"/>
      <c r="AI863" s="1302" t="n"/>
      <c r="AJ863" s="1302" t="n"/>
      <c r="AK863" s="1302">
        <f>AI863-AJ863</f>
        <v/>
      </c>
      <c r="AL863" s="858" t="n"/>
      <c r="AM863" s="1297" t="inlineStr"/>
      <c r="AN863" s="1298" t="n"/>
      <c r="AO863" s="13">
        <f>IF(_epmOfflineCondition_,0,EPMSaveDataOnly(AB863,,AB$29,AB$25,AB$26,AB$31,AB$32,$AA$37,AO$14,AO$15,AO$16,AO$17,AO$18,X863))</f>
        <v/>
      </c>
      <c r="AP863" s="13">
        <f>IF(_epmOfflineCondition_,0,EPMSaveDataOnly(AL863,,AL$29,AL$25,AL$26,AL$31,AL$32,$AA$37,AP$14,AP$15,AP$16,AP$17,AP$18,$X863))</f>
        <v/>
      </c>
      <c r="AQ863" s="13">
        <f>IF(_epmOfflineCondition_,0,EPMSaveData(AM863,,AM$29,AM$25,AM$26,$C$6,AM$32,$AA$37,AQ$14,AQ$15,AQ$16,AQ$17,AQ$18,$X863))</f>
        <v/>
      </c>
      <c r="AR863" s="13">
        <f>IF(_epmOfflineCondition_,0,EPMSaveDataOnly(AN863,,AN$29,AN$25,AN$26,AN$31,AN$32,$AA$37,AR$14,AR$15,AR$16,AR$17,AR$18,$X863))</f>
        <v/>
      </c>
      <c r="AS863" s="384" t="n"/>
    </row>
    <row r="864" hidden="1" ht="15.75" customHeight="1" s="1181">
      <c r="A864" s="384" t="n"/>
      <c r="B864" s="384" t="n"/>
      <c r="C864" s="384" t="n"/>
      <c r="D864" s="384" t="n"/>
      <c r="E864" s="384" t="n"/>
      <c r="F864" s="384" t="n"/>
      <c r="G864" s="384" t="n"/>
      <c r="H864" s="384" t="n"/>
      <c r="I864" s="384" t="n"/>
      <c r="J864" s="384" t="n"/>
      <c r="K864" s="384" t="n"/>
      <c r="L864" s="384" t="n"/>
      <c r="M864" s="384" t="n"/>
      <c r="N864" s="384" t="n"/>
      <c r="O864" s="384" t="n"/>
      <c r="P864" s="384" t="n"/>
      <c r="Q864" s="384" t="n"/>
      <c r="R864" s="384" t="n"/>
      <c r="S864" s="384" t="n"/>
      <c r="T864" s="384" t="n"/>
      <c r="U864" s="384" t="n"/>
      <c r="V864" s="384" t="n"/>
      <c r="W864" s="384" t="n"/>
      <c r="X864" s="645">
        <f>IF(_epmOfflineCondition_,"I_E101219",EPMOlapMemberO("[C_INTERCO].[PARENTH1].[I_E101219]","","I_E101219","","000"))</f>
        <v/>
      </c>
      <c r="Y864" s="870">
        <f>IF(_epmOfflineCondition_,"北京颐寿轩通和养老服务有限公司",EPMMemberDesc(X864))</f>
        <v/>
      </c>
      <c r="Z864" s="1302" t="n"/>
      <c r="AA864" s="1302" t="n"/>
      <c r="AB864" s="858" t="n"/>
      <c r="AC864" s="1302" t="n"/>
      <c r="AD864" s="1302" t="n"/>
      <c r="AE864" s="1302" t="inlineStr"/>
      <c r="AF864" s="1302" t="inlineStr"/>
      <c r="AG864" s="1302" t="inlineStr"/>
      <c r="AH864" s="1302" t="n"/>
      <c r="AI864" s="1302" t="n"/>
      <c r="AJ864" s="1302" t="n"/>
      <c r="AK864" s="1302">
        <f>AI864-AJ864</f>
        <v/>
      </c>
      <c r="AL864" s="858" t="n"/>
      <c r="AM864" s="1297" t="inlineStr"/>
      <c r="AN864" s="1298" t="n"/>
      <c r="AO864" s="13">
        <f>IF(_epmOfflineCondition_,0,EPMSaveDataOnly(AB864,,AB$29,AB$25,AB$26,AB$31,AB$32,$AA$37,AO$14,AO$15,AO$16,AO$17,AO$18,X864))</f>
        <v/>
      </c>
      <c r="AP864" s="13">
        <f>IF(_epmOfflineCondition_,0,EPMSaveDataOnly(AL864,,AL$29,AL$25,AL$26,AL$31,AL$32,$AA$37,AP$14,AP$15,AP$16,AP$17,AP$18,$X864))</f>
        <v/>
      </c>
      <c r="AQ864" s="13">
        <f>IF(_epmOfflineCondition_,0,EPMSaveData(AM864,,AM$29,AM$25,AM$26,$C$6,AM$32,$AA$37,AQ$14,AQ$15,AQ$16,AQ$17,AQ$18,$X864))</f>
        <v/>
      </c>
      <c r="AR864" s="13">
        <f>IF(_epmOfflineCondition_,0,EPMSaveDataOnly(AN864,,AN$29,AN$25,AN$26,AN$31,AN$32,$AA$37,AR$14,AR$15,AR$16,AR$17,AR$18,$X864))</f>
        <v/>
      </c>
      <c r="AS864" s="384" t="n"/>
    </row>
    <row r="865" hidden="1" ht="15.75" customHeight="1" s="1181">
      <c r="A865" s="384" t="n"/>
      <c r="B865" s="384" t="n"/>
      <c r="C865" s="384" t="n"/>
      <c r="D865" s="384" t="n"/>
      <c r="E865" s="384" t="n"/>
      <c r="F865" s="384" t="n"/>
      <c r="G865" s="384" t="n"/>
      <c r="H865" s="384" t="n"/>
      <c r="I865" s="384" t="n"/>
      <c r="J865" s="384" t="n"/>
      <c r="K865" s="384" t="n"/>
      <c r="L865" s="384" t="n"/>
      <c r="M865" s="384" t="n"/>
      <c r="N865" s="384" t="n"/>
      <c r="O865" s="384" t="n"/>
      <c r="P865" s="384" t="n"/>
      <c r="Q865" s="384" t="n"/>
      <c r="R865" s="384" t="n"/>
      <c r="S865" s="384" t="n"/>
      <c r="T865" s="384" t="n"/>
      <c r="U865" s="384" t="n"/>
      <c r="V865" s="384" t="n"/>
      <c r="W865" s="384" t="n"/>
      <c r="X865" s="645">
        <f>IF(_epmOfflineCondition_,"I_E101220",EPMOlapMemberO("[C_INTERCO].[PARENTH1].[I_E101220]","","I_E101220","","000"))</f>
        <v/>
      </c>
      <c r="Y865" s="870">
        <f>IF(_epmOfflineCondition_,"北京颐寿轩养老产业有限公司",EPMMemberDesc(X865))</f>
        <v/>
      </c>
      <c r="Z865" s="1302" t="n"/>
      <c r="AA865" s="1302" t="n"/>
      <c r="AB865" s="858" t="n"/>
      <c r="AC865" s="1302" t="n"/>
      <c r="AD865" s="1302" t="n"/>
      <c r="AE865" s="1302" t="inlineStr"/>
      <c r="AF865" s="1302" t="inlineStr"/>
      <c r="AG865" s="1302" t="inlineStr"/>
      <c r="AH865" s="1302" t="n"/>
      <c r="AI865" s="1302" t="n"/>
      <c r="AJ865" s="1302" t="n"/>
      <c r="AK865" s="1302">
        <f>AI865-AJ865</f>
        <v/>
      </c>
      <c r="AL865" s="858" t="n"/>
      <c r="AM865" s="1297" t="inlineStr"/>
      <c r="AN865" s="1298" t="n"/>
      <c r="AO865" s="13">
        <f>IF(_epmOfflineCondition_,0,EPMSaveDataOnly(AB865,,AB$29,AB$25,AB$26,AB$31,AB$32,$AA$37,AO$14,AO$15,AO$16,AO$17,AO$18,X865))</f>
        <v/>
      </c>
      <c r="AP865" s="13">
        <f>IF(_epmOfflineCondition_,0,EPMSaveDataOnly(AL865,,AL$29,AL$25,AL$26,AL$31,AL$32,$AA$37,AP$14,AP$15,AP$16,AP$17,AP$18,$X865))</f>
        <v/>
      </c>
      <c r="AQ865" s="13">
        <f>IF(_epmOfflineCondition_,0,EPMSaveData(AM865,,AM$29,AM$25,AM$26,$C$6,AM$32,$AA$37,AQ$14,AQ$15,AQ$16,AQ$17,AQ$18,$X865))</f>
        <v/>
      </c>
      <c r="AR865" s="13">
        <f>IF(_epmOfflineCondition_,0,EPMSaveDataOnly(AN865,,AN$29,AN$25,AN$26,AN$31,AN$32,$AA$37,AR$14,AR$15,AR$16,AR$17,AR$18,$X865))</f>
        <v/>
      </c>
      <c r="AS865" s="384" t="n"/>
    </row>
    <row r="866" hidden="1" ht="15.75" customHeight="1" s="1181">
      <c r="A866" s="384" t="n"/>
      <c r="B866" s="384" t="n"/>
      <c r="C866" s="384" t="n"/>
      <c r="D866" s="384" t="n"/>
      <c r="E866" s="384" t="n"/>
      <c r="F866" s="384" t="n"/>
      <c r="G866" s="384" t="n"/>
      <c r="H866" s="384" t="n"/>
      <c r="I866" s="384" t="n"/>
      <c r="J866" s="384" t="n"/>
      <c r="K866" s="384" t="n"/>
      <c r="L866" s="384" t="n"/>
      <c r="M866" s="384" t="n"/>
      <c r="N866" s="384" t="n"/>
      <c r="O866" s="384" t="n"/>
      <c r="P866" s="384" t="n"/>
      <c r="Q866" s="384" t="n"/>
      <c r="R866" s="384" t="n"/>
      <c r="S866" s="384" t="n"/>
      <c r="T866" s="384" t="n"/>
      <c r="U866" s="384" t="n"/>
      <c r="V866" s="384" t="n"/>
      <c r="W866" s="384" t="n"/>
      <c r="X866" s="645">
        <f>IF(_epmOfflineCondition_,"I_E101221",EPMOlapMemberO("[C_INTERCO].[PARENTH1].[I_E101221]","","I_E101221","","000"))</f>
        <v/>
      </c>
      <c r="Y866" s="870">
        <f>IF(_epmOfflineCondition_,"北京北康颐福健康养老有限公司",EPMMemberDesc(X866))</f>
        <v/>
      </c>
      <c r="Z866" s="1302" t="n"/>
      <c r="AA866" s="1302" t="n"/>
      <c r="AB866" s="858" t="n"/>
      <c r="AC866" s="1302" t="n"/>
      <c r="AD866" s="1302" t="n"/>
      <c r="AE866" s="1302" t="inlineStr"/>
      <c r="AF866" s="1302" t="inlineStr"/>
      <c r="AG866" s="1302" t="inlineStr"/>
      <c r="AH866" s="1302" t="n"/>
      <c r="AI866" s="1302" t="n"/>
      <c r="AJ866" s="1302" t="n"/>
      <c r="AK866" s="1302">
        <f>AI866-AJ866</f>
        <v/>
      </c>
      <c r="AL866" s="858" t="n"/>
      <c r="AM866" s="1297" t="inlineStr"/>
      <c r="AN866" s="1298" t="n"/>
      <c r="AO866" s="13">
        <f>IF(_epmOfflineCondition_,0,EPMSaveDataOnly(AB866,,AB$29,AB$25,AB$26,AB$31,AB$32,$AA$37,AO$14,AO$15,AO$16,AO$17,AO$18,X866))</f>
        <v/>
      </c>
      <c r="AP866" s="13">
        <f>IF(_epmOfflineCondition_,0,EPMSaveDataOnly(AL866,,AL$29,AL$25,AL$26,AL$31,AL$32,$AA$37,AP$14,AP$15,AP$16,AP$17,AP$18,$X866))</f>
        <v/>
      </c>
      <c r="AQ866" s="13">
        <f>IF(_epmOfflineCondition_,0,EPMSaveData(AM866,,AM$29,AM$25,AM$26,$C$6,AM$32,$AA$37,AQ$14,AQ$15,AQ$16,AQ$17,AQ$18,$X866))</f>
        <v/>
      </c>
      <c r="AR866" s="13">
        <f>IF(_epmOfflineCondition_,0,EPMSaveDataOnly(AN866,,AN$29,AN$25,AN$26,AN$31,AN$32,$AA$37,AR$14,AR$15,AR$16,AR$17,AR$18,$X866))</f>
        <v/>
      </c>
      <c r="AS866" s="384" t="n"/>
    </row>
    <row r="867" hidden="1" ht="15.75" customHeight="1" s="1181">
      <c r="A867" s="384" t="n"/>
      <c r="B867" s="384" t="n"/>
      <c r="C867" s="384" t="n"/>
      <c r="D867" s="384" t="n"/>
      <c r="E867" s="384" t="n"/>
      <c r="F867" s="384" t="n"/>
      <c r="G867" s="384" t="n"/>
      <c r="H867" s="384" t="n"/>
      <c r="I867" s="384" t="n"/>
      <c r="J867" s="384" t="n"/>
      <c r="K867" s="384" t="n"/>
      <c r="L867" s="384" t="n"/>
      <c r="M867" s="384" t="n"/>
      <c r="N867" s="384" t="n"/>
      <c r="O867" s="384" t="n"/>
      <c r="P867" s="384" t="n"/>
      <c r="Q867" s="384" t="n"/>
      <c r="R867" s="384" t="n"/>
      <c r="S867" s="384" t="n"/>
      <c r="T867" s="384" t="n"/>
      <c r="U867" s="384" t="n"/>
      <c r="V867" s="384" t="n"/>
      <c r="W867" s="384" t="n"/>
      <c r="X867" s="645">
        <f>IF(_epmOfflineCondition_,"I_E101222",EPMOlapMemberO("[C_INTERCO].[PARENTH1].[I_E101222]","","I_E101222","","000"))</f>
        <v/>
      </c>
      <c r="Y867" s="870">
        <f>IF(_epmOfflineCondition_,"北京市颐贤职业技能培训大兴学校有限责任公司",EPMMemberDesc(X867))</f>
        <v/>
      </c>
      <c r="Z867" s="1302" t="n"/>
      <c r="AA867" s="1302" t="n"/>
      <c r="AB867" s="858" t="n"/>
      <c r="AC867" s="1302" t="n"/>
      <c r="AD867" s="1302" t="n"/>
      <c r="AE867" s="1302" t="inlineStr"/>
      <c r="AF867" s="1302" t="inlineStr"/>
      <c r="AG867" s="1302" t="inlineStr"/>
      <c r="AH867" s="1302" t="n"/>
      <c r="AI867" s="1302" t="n"/>
      <c r="AJ867" s="1302" t="n"/>
      <c r="AK867" s="1302">
        <f>AI867-AJ867</f>
        <v/>
      </c>
      <c r="AL867" s="858" t="n"/>
      <c r="AM867" s="1297" t="inlineStr"/>
      <c r="AN867" s="1298" t="n"/>
      <c r="AO867" s="13">
        <f>IF(_epmOfflineCondition_,0,EPMSaveDataOnly(AB867,,AB$29,AB$25,AB$26,AB$31,AB$32,$AA$37,AO$14,AO$15,AO$16,AO$17,AO$18,X867))</f>
        <v/>
      </c>
      <c r="AP867" s="13">
        <f>IF(_epmOfflineCondition_,0,EPMSaveDataOnly(AL867,,AL$29,AL$25,AL$26,AL$31,AL$32,$AA$37,AP$14,AP$15,AP$16,AP$17,AP$18,$X867))</f>
        <v/>
      </c>
      <c r="AQ867" s="13">
        <f>IF(_epmOfflineCondition_,0,EPMSaveData(AM867,,AM$29,AM$25,AM$26,$C$6,AM$32,$AA$37,AQ$14,AQ$15,AQ$16,AQ$17,AQ$18,$X867))</f>
        <v/>
      </c>
      <c r="AR867" s="13">
        <f>IF(_epmOfflineCondition_,0,EPMSaveDataOnly(AN867,,AN$29,AN$25,AN$26,AN$31,AN$32,$AA$37,AR$14,AR$15,AR$16,AR$17,AR$18,$X867))</f>
        <v/>
      </c>
      <c r="AS867" s="384" t="n"/>
    </row>
    <row r="868" hidden="1" ht="15.75" customHeight="1" s="1181">
      <c r="A868" s="384" t="n"/>
      <c r="B868" s="384" t="n"/>
      <c r="C868" s="384" t="n"/>
      <c r="D868" s="384" t="n"/>
      <c r="E868" s="384" t="n"/>
      <c r="F868" s="384" t="n"/>
      <c r="G868" s="384" t="n"/>
      <c r="H868" s="384" t="n"/>
      <c r="I868" s="384" t="n"/>
      <c r="J868" s="384" t="n"/>
      <c r="K868" s="384" t="n"/>
      <c r="L868" s="384" t="n"/>
      <c r="M868" s="384" t="n"/>
      <c r="N868" s="384" t="n"/>
      <c r="O868" s="384" t="n"/>
      <c r="P868" s="384" t="n"/>
      <c r="Q868" s="384" t="n"/>
      <c r="R868" s="384" t="n"/>
      <c r="S868" s="384" t="n"/>
      <c r="T868" s="384" t="n"/>
      <c r="U868" s="384" t="n"/>
      <c r="V868" s="384" t="n"/>
      <c r="W868" s="384" t="n"/>
      <c r="X868" s="645">
        <f>IF(_epmOfflineCondition_,"I_E101235",EPMOlapMemberO("[C_INTERCO].[PARENTH1].[I_E101235]","","I_E101235","","000"))</f>
        <v/>
      </c>
      <c r="Y868" s="870">
        <f>IF(_epmOfflineCondition_,"广东巨通新能源有限公司",EPMMemberDesc(X868))</f>
        <v/>
      </c>
      <c r="Z868" s="1302" t="n"/>
      <c r="AA868" s="1302" t="n"/>
      <c r="AB868" s="858" t="n"/>
      <c r="AC868" s="1302" t="n"/>
      <c r="AD868" s="1302" t="n"/>
      <c r="AE868" s="1302" t="inlineStr"/>
      <c r="AF868" s="1302" t="inlineStr"/>
      <c r="AG868" s="1302" t="inlineStr"/>
      <c r="AH868" s="1302" t="n"/>
      <c r="AI868" s="1302" t="n"/>
      <c r="AJ868" s="1302" t="n"/>
      <c r="AK868" s="1302">
        <f>AI868-AJ868</f>
        <v/>
      </c>
      <c r="AL868" s="858" t="n"/>
      <c r="AM868" s="1297" t="inlineStr"/>
      <c r="AN868" s="1298" t="n"/>
      <c r="AO868" s="13">
        <f>IF(_epmOfflineCondition_,0,EPMSaveDataOnly(AB868,,AB$29,AB$25,AB$26,AB$31,AB$32,$AA$37,AO$14,AO$15,AO$16,AO$17,AO$18,X868))</f>
        <v/>
      </c>
      <c r="AP868" s="13">
        <f>IF(_epmOfflineCondition_,0,EPMSaveDataOnly(AL868,,AL$29,AL$25,AL$26,AL$31,AL$32,$AA$37,AP$14,AP$15,AP$16,AP$17,AP$18,$X868))</f>
        <v/>
      </c>
      <c r="AQ868" s="13">
        <f>IF(_epmOfflineCondition_,0,EPMSaveData(AM868,,AM$29,AM$25,AM$26,$C$6,AM$32,$AA$37,AQ$14,AQ$15,AQ$16,AQ$17,AQ$18,$X868))</f>
        <v/>
      </c>
      <c r="AR868" s="13">
        <f>IF(_epmOfflineCondition_,0,EPMSaveDataOnly(AN868,,AN$29,AN$25,AN$26,AN$31,AN$32,$AA$37,AR$14,AR$15,AR$16,AR$17,AR$18,$X868))</f>
        <v/>
      </c>
      <c r="AS868" s="384" t="n"/>
    </row>
    <row r="869" hidden="1" ht="15.75" customHeight="1" s="1181">
      <c r="A869" s="384" t="n"/>
      <c r="B869" s="384" t="n"/>
      <c r="C869" s="384" t="n"/>
      <c r="D869" s="384" t="n"/>
      <c r="E869" s="384" t="n"/>
      <c r="F869" s="384" t="n"/>
      <c r="G869" s="384" t="n"/>
      <c r="H869" s="384" t="n"/>
      <c r="I869" s="384" t="n"/>
      <c r="J869" s="384" t="n"/>
      <c r="K869" s="384" t="n"/>
      <c r="L869" s="384" t="n"/>
      <c r="M869" s="384" t="n"/>
      <c r="N869" s="384" t="n"/>
      <c r="O869" s="384" t="n"/>
      <c r="P869" s="384" t="n"/>
      <c r="Q869" s="384" t="n"/>
      <c r="R869" s="384" t="n"/>
      <c r="S869" s="384" t="n"/>
      <c r="T869" s="384" t="n"/>
      <c r="U869" s="384" t="n"/>
      <c r="V869" s="384" t="n"/>
      <c r="W869" s="384" t="n"/>
      <c r="X869" s="645">
        <f>IF(_epmOfflineCondition_,"I_E101236",EPMOlapMemberO("[C_INTERCO].[PARENTH1].[I_E101236]","","I_E101236","","000"))</f>
        <v/>
      </c>
      <c r="Y869" s="870">
        <f>IF(_epmOfflineCondition_,"广东鹏泰新能源有限公司",EPMMemberDesc(X869))</f>
        <v/>
      </c>
      <c r="Z869" s="1302" t="n"/>
      <c r="AA869" s="1302" t="n"/>
      <c r="AB869" s="858" t="n"/>
      <c r="AC869" s="1302" t="n"/>
      <c r="AD869" s="1302" t="n"/>
      <c r="AE869" s="1302" t="inlineStr"/>
      <c r="AF869" s="1302" t="inlineStr"/>
      <c r="AG869" s="1302" t="inlineStr"/>
      <c r="AH869" s="1302" t="n"/>
      <c r="AI869" s="1302" t="n"/>
      <c r="AJ869" s="1302" t="n"/>
      <c r="AK869" s="1302">
        <f>AI869-AJ869</f>
        <v/>
      </c>
      <c r="AL869" s="858" t="n"/>
      <c r="AM869" s="1297" t="inlineStr"/>
      <c r="AN869" s="1298" t="n"/>
      <c r="AO869" s="13">
        <f>IF(_epmOfflineCondition_,0,EPMSaveDataOnly(AB869,,AB$29,AB$25,AB$26,AB$31,AB$32,$AA$37,AO$14,AO$15,AO$16,AO$17,AO$18,X869))</f>
        <v/>
      </c>
      <c r="AP869" s="13">
        <f>IF(_epmOfflineCondition_,0,EPMSaveDataOnly(AL869,,AL$29,AL$25,AL$26,AL$31,AL$32,$AA$37,AP$14,AP$15,AP$16,AP$17,AP$18,$X869))</f>
        <v/>
      </c>
      <c r="AQ869" s="13">
        <f>IF(_epmOfflineCondition_,0,EPMSaveData(AM869,,AM$29,AM$25,AM$26,$C$6,AM$32,$AA$37,AQ$14,AQ$15,AQ$16,AQ$17,AQ$18,$X869))</f>
        <v/>
      </c>
      <c r="AR869" s="13">
        <f>IF(_epmOfflineCondition_,0,EPMSaveDataOnly(AN869,,AN$29,AN$25,AN$26,AN$31,AN$32,$AA$37,AR$14,AR$15,AR$16,AR$17,AR$18,$X869))</f>
        <v/>
      </c>
      <c r="AS869" s="384" t="n"/>
    </row>
    <row r="870" hidden="1" ht="15.75" customHeight="1" s="1181">
      <c r="A870" s="384" t="n"/>
      <c r="B870" s="384" t="n"/>
      <c r="C870" s="384" t="n"/>
      <c r="D870" s="384" t="n"/>
      <c r="E870" s="384" t="n"/>
      <c r="F870" s="384" t="n"/>
      <c r="G870" s="384" t="n"/>
      <c r="H870" s="384" t="n"/>
      <c r="I870" s="384" t="n"/>
      <c r="J870" s="384" t="n"/>
      <c r="K870" s="384" t="n"/>
      <c r="L870" s="384" t="n"/>
      <c r="M870" s="384" t="n"/>
      <c r="N870" s="384" t="n"/>
      <c r="O870" s="384" t="n"/>
      <c r="P870" s="384" t="n"/>
      <c r="Q870" s="384" t="n"/>
      <c r="R870" s="384" t="n"/>
      <c r="S870" s="384" t="n"/>
      <c r="T870" s="384" t="n"/>
      <c r="U870" s="384" t="n"/>
      <c r="V870" s="384" t="n"/>
      <c r="W870" s="384" t="n"/>
      <c r="X870" s="645">
        <f>IF(_epmOfflineCondition_,"I_E101153",EPMOlapMemberO("[C_INTERCO].[PARENTH1].[I_E101153]","","I_E101153","","000"))</f>
        <v/>
      </c>
      <c r="Y870" s="870">
        <f>IF(_epmOfflineCondition_,"京源（襄阳）清洁能源有限公司",EPMMemberDesc(X870))</f>
        <v/>
      </c>
      <c r="Z870" s="1302" t="n"/>
      <c r="AA870" s="1302" t="n"/>
      <c r="AB870" s="858" t="n"/>
      <c r="AC870" s="1302" t="n"/>
      <c r="AD870" s="1302" t="n"/>
      <c r="AE870" s="1302" t="inlineStr"/>
      <c r="AF870" s="1302" t="inlineStr"/>
      <c r="AG870" s="1302" t="inlineStr"/>
      <c r="AH870" s="1302" t="n"/>
      <c r="AI870" s="1302" t="n"/>
      <c r="AJ870" s="1302" t="n"/>
      <c r="AK870" s="1302">
        <f>AI870-AJ870</f>
        <v/>
      </c>
      <c r="AL870" s="858" t="n"/>
      <c r="AM870" s="1297" t="inlineStr"/>
      <c r="AN870" s="1298" t="n"/>
      <c r="AO870" s="13">
        <f>IF(_epmOfflineCondition_,0,EPMSaveDataOnly(AB870,,AB$29,AB$25,AB$26,AB$31,AB$32,$AA$37,AO$14,AO$15,AO$16,AO$17,AO$18,X870))</f>
        <v/>
      </c>
      <c r="AP870" s="13">
        <f>IF(_epmOfflineCondition_,0,EPMSaveDataOnly(AL870,,AL$29,AL$25,AL$26,AL$31,AL$32,$AA$37,AP$14,AP$15,AP$16,AP$17,AP$18,$X870))</f>
        <v/>
      </c>
      <c r="AQ870" s="13">
        <f>IF(_epmOfflineCondition_,0,EPMSaveData(AM870,,AM$29,AM$25,AM$26,$C$6,AM$32,$AA$37,AQ$14,AQ$15,AQ$16,AQ$17,AQ$18,$X870))</f>
        <v/>
      </c>
      <c r="AR870" s="13">
        <f>IF(_epmOfflineCondition_,0,EPMSaveDataOnly(AN870,,AN$29,AN$25,AN$26,AN$31,AN$32,$AA$37,AR$14,AR$15,AR$16,AR$17,AR$18,$X870))</f>
        <v/>
      </c>
      <c r="AS870" s="384" t="n"/>
    </row>
    <row r="871" hidden="1" ht="15.75" customHeight="1" s="1181">
      <c r="A871" s="384" t="n"/>
      <c r="B871" s="384" t="n"/>
      <c r="C871" s="384" t="n"/>
      <c r="D871" s="384" t="n"/>
      <c r="E871" s="384" t="n"/>
      <c r="F871" s="384" t="n"/>
      <c r="G871" s="384" t="n"/>
      <c r="H871" s="384" t="n"/>
      <c r="I871" s="384" t="n"/>
      <c r="J871" s="384" t="n"/>
      <c r="K871" s="384" t="n"/>
      <c r="L871" s="384" t="n"/>
      <c r="M871" s="384" t="n"/>
      <c r="N871" s="384" t="n"/>
      <c r="O871" s="384" t="n"/>
      <c r="P871" s="384" t="n"/>
      <c r="Q871" s="384" t="n"/>
      <c r="R871" s="384" t="n"/>
      <c r="S871" s="384" t="n"/>
      <c r="T871" s="384" t="n"/>
      <c r="U871" s="384" t="n"/>
      <c r="V871" s="384" t="n"/>
      <c r="W871" s="384" t="n"/>
      <c r="X871" s="645">
        <f>IF(_epmOfflineCondition_,"I_E100040",EPMOlapMemberO("[C_INTERCO].[PARENTH1].[I_E100040]","","I_E100040","","000"))</f>
        <v/>
      </c>
      <c r="Y871" s="870">
        <f>IF(_epmOfflineCondition_,"北京市天银地热开发有限责任公司",EPMMemberDesc(X871))</f>
        <v/>
      </c>
      <c r="Z871" s="1302" t="n"/>
      <c r="AA871" s="1302" t="n"/>
      <c r="AB871" s="858" t="n"/>
      <c r="AC871" s="1302" t="n"/>
      <c r="AD871" s="1302" t="n"/>
      <c r="AE871" s="1302" t="inlineStr"/>
      <c r="AF871" s="1302" t="inlineStr"/>
      <c r="AG871" s="1302" t="inlineStr"/>
      <c r="AH871" s="1302" t="n"/>
      <c r="AI871" s="1302" t="n"/>
      <c r="AJ871" s="1302" t="n"/>
      <c r="AK871" s="1302">
        <f>AI871-AJ871</f>
        <v/>
      </c>
      <c r="AL871" s="858" t="n"/>
      <c r="AM871" s="1297" t="inlineStr"/>
      <c r="AN871" s="1298" t="n"/>
      <c r="AO871" s="13">
        <f>IF(_epmOfflineCondition_,0,EPMSaveDataOnly(AB871,,AB$29,AB$25,AB$26,AB$31,AB$32,$AA$37,AO$14,AO$15,AO$16,AO$17,AO$18,X871))</f>
        <v/>
      </c>
      <c r="AP871" s="13">
        <f>IF(_epmOfflineCondition_,0,EPMSaveDataOnly(AL871,,AL$29,AL$25,AL$26,AL$31,AL$32,$AA$37,AP$14,AP$15,AP$16,AP$17,AP$18,$X871))</f>
        <v/>
      </c>
      <c r="AQ871" s="13">
        <f>IF(_epmOfflineCondition_,0,EPMSaveData(AM871,,AM$29,AM$25,AM$26,$C$6,AM$32,$AA$37,AQ$14,AQ$15,AQ$16,AQ$17,AQ$18,$X871))</f>
        <v/>
      </c>
      <c r="AR871" s="13">
        <f>IF(_epmOfflineCondition_,0,EPMSaveDataOnly(AN871,,AN$29,AN$25,AN$26,AN$31,AN$32,$AA$37,AR$14,AR$15,AR$16,AR$17,AR$18,$X871))</f>
        <v/>
      </c>
      <c r="AS871" s="384" t="n"/>
    </row>
    <row r="872" hidden="1" s="1181">
      <c r="A872" s="384" t="n"/>
      <c r="B872" s="384" t="n"/>
      <c r="C872" s="384" t="n"/>
      <c r="D872" s="384" t="n"/>
      <c r="E872" s="384" t="n"/>
      <c r="F872" s="384" t="n"/>
      <c r="G872" s="384" t="n"/>
      <c r="H872" s="384" t="n"/>
      <c r="I872" s="384" t="n"/>
      <c r="J872" s="384" t="n"/>
      <c r="K872" s="384" t="n"/>
      <c r="L872" s="384" t="n"/>
      <c r="M872" s="384" t="n"/>
      <c r="N872" s="384" t="n"/>
      <c r="O872" s="384" t="n"/>
      <c r="P872" s="384" t="n"/>
      <c r="Q872" s="384" t="n"/>
      <c r="R872" s="384" t="n"/>
      <c r="S872" s="384" t="n"/>
      <c r="T872" s="384" t="n"/>
      <c r="U872" s="384" t="n"/>
      <c r="V872" s="384" t="n"/>
      <c r="W872" s="384" t="n"/>
      <c r="X872" s="645">
        <f>IF(_epmOfflineCondition_,"I_E101228",EPMOlapMemberO("[C_INTERCO].[PARENTH1].[I_E101228]","","I_E101228","","000"))</f>
        <v/>
      </c>
      <c r="Y872" s="870">
        <f>IF(_epmOfflineCondition_,"宜丰县京宜新能源有限公司",EPMMemberDesc(X872))</f>
        <v/>
      </c>
      <c r="Z872" s="1302" t="n"/>
      <c r="AA872" s="1302" t="n"/>
      <c r="AB872" s="858" t="n"/>
      <c r="AC872" s="1302" t="n"/>
      <c r="AD872" s="1302" t="n"/>
      <c r="AE872" s="1302" t="inlineStr"/>
      <c r="AF872" s="1302" t="inlineStr"/>
      <c r="AG872" s="1302" t="inlineStr"/>
      <c r="AH872" s="1302" t="n"/>
      <c r="AI872" s="1302" t="n"/>
      <c r="AJ872" s="1302" t="n"/>
      <c r="AK872" s="1302">
        <f>AI872-AJ872</f>
        <v/>
      </c>
      <c r="AL872" s="858" t="n"/>
      <c r="AM872" s="1297" t="inlineStr"/>
      <c r="AN872" s="1298" t="n"/>
      <c r="AO872" s="13">
        <f>IF(_epmOfflineCondition_,0,EPMSaveDataOnly(AB872,,AB$29,AB$25,AB$26,AB$31,AB$32,$AA$37,AO$14,AO$15,AO$16,AO$17,AO$18,X872))</f>
        <v/>
      </c>
      <c r="AP872" s="13">
        <f>IF(_epmOfflineCondition_,0,EPMSaveDataOnly(AL872,,AL$29,AL$25,AL$26,AL$31,AL$32,$AA$37,AP$14,AP$15,AP$16,AP$17,AP$18,$X872))</f>
        <v/>
      </c>
      <c r="AQ872" s="13">
        <f>IF(_epmOfflineCondition_,0,EPMSaveData(AM872,,AM$29,AM$25,AM$26,$C$6,AM$32,$AA$37,AQ$14,AQ$15,AQ$16,AQ$17,AQ$18,$X872))</f>
        <v/>
      </c>
      <c r="AR872" s="13">
        <f>IF(_epmOfflineCondition_,0,EPMSaveDataOnly(AN872,,AN$29,AN$25,AN$26,AN$31,AN$32,$AA$37,AR$14,AR$15,AR$16,AR$17,AR$18,$X872))</f>
        <v/>
      </c>
      <c r="AS872" s="384" t="n"/>
    </row>
    <row r="873" hidden="1" s="1181">
      <c r="A873" s="384" t="n"/>
      <c r="B873" s="384" t="n"/>
      <c r="C873" s="384" t="n"/>
      <c r="D873" s="384" t="n"/>
      <c r="E873" s="384" t="n"/>
      <c r="F873" s="384" t="n"/>
      <c r="G873" s="384" t="n"/>
      <c r="H873" s="384" t="n"/>
      <c r="I873" s="384" t="n"/>
      <c r="J873" s="384" t="n"/>
      <c r="K873" s="384" t="n"/>
      <c r="L873" s="384" t="n"/>
      <c r="M873" s="384" t="n"/>
      <c r="N873" s="384" t="n"/>
      <c r="O873" s="384" t="n"/>
      <c r="P873" s="384" t="n"/>
      <c r="Q873" s="384" t="n"/>
      <c r="R873" s="384" t="n"/>
      <c r="S873" s="384" t="n"/>
      <c r="T873" s="384" t="n"/>
      <c r="U873" s="384" t="n"/>
      <c r="V873" s="384" t="n"/>
      <c r="W873" s="384" t="n"/>
      <c r="X873" s="645">
        <f>IF(_epmOfflineCondition_,"I_E101243",EPMOlapMemberO("[C_INTERCO].[PARENTH1].[I_E101243]","","I_E101243","","000"))</f>
        <v/>
      </c>
      <c r="Y873" s="870">
        <f>IF(_epmOfflineCondition_,"京瑞（哈尔滨市）新能源有限公司",EPMMemberDesc(X873))</f>
        <v/>
      </c>
      <c r="Z873" s="1302" t="n"/>
      <c r="AA873" s="1302" t="n"/>
      <c r="AB873" s="858" t="n"/>
      <c r="AC873" s="1302" t="n"/>
      <c r="AD873" s="1302" t="n"/>
      <c r="AE873" s="1302" t="inlineStr"/>
      <c r="AF873" s="1302" t="inlineStr"/>
      <c r="AG873" s="1302" t="inlineStr"/>
      <c r="AH873" s="1302" t="n"/>
      <c r="AI873" s="1302" t="n"/>
      <c r="AJ873" s="1302" t="n"/>
      <c r="AK873" s="1302">
        <f>AI873-AJ873</f>
        <v/>
      </c>
      <c r="AL873" s="858" t="n"/>
      <c r="AM873" s="1297" t="inlineStr"/>
      <c r="AN873" s="1298" t="n"/>
      <c r="AO873" s="13">
        <f>IF(_epmOfflineCondition_,0,EPMSaveDataOnly(AB873,,AB$29,AB$25,AB$26,AB$31,AB$32,$AA$37,AO$14,AO$15,AO$16,AO$17,AO$18,X873))</f>
        <v/>
      </c>
      <c r="AP873" s="13">
        <f>IF(_epmOfflineCondition_,0,EPMSaveDataOnly(AL873,,AL$29,AL$25,AL$26,AL$31,AL$32,$AA$37,AP$14,AP$15,AP$16,AP$17,AP$18,$X873))</f>
        <v/>
      </c>
      <c r="AQ873" s="13">
        <f>IF(_epmOfflineCondition_,0,EPMSaveData(AM873,,AM$29,AM$25,AM$26,$C$6,AM$32,$AA$37,AQ$14,AQ$15,AQ$16,AQ$17,AQ$18,$X873))</f>
        <v/>
      </c>
      <c r="AR873" s="13">
        <f>IF(_epmOfflineCondition_,0,EPMSaveDataOnly(AN873,,AN$29,AN$25,AN$26,AN$31,AN$32,$AA$37,AR$14,AR$15,AR$16,AR$17,AR$18,$X873))</f>
        <v/>
      </c>
      <c r="AS873" s="384" t="n"/>
    </row>
    <row r="874" hidden="1" s="1181">
      <c r="A874" s="384" t="n"/>
      <c r="B874" s="384" t="n"/>
      <c r="C874" s="384" t="n"/>
      <c r="D874" s="384" t="n"/>
      <c r="E874" s="384" t="n"/>
      <c r="F874" s="384" t="n"/>
      <c r="G874" s="384" t="n"/>
      <c r="H874" s="384" t="n"/>
      <c r="I874" s="384" t="n"/>
      <c r="J874" s="384" t="n"/>
      <c r="K874" s="384" t="n"/>
      <c r="L874" s="384" t="n"/>
      <c r="M874" s="384" t="n"/>
      <c r="N874" s="384" t="n"/>
      <c r="O874" s="384" t="n"/>
      <c r="P874" s="384" t="n"/>
      <c r="Q874" s="384" t="n"/>
      <c r="R874" s="384" t="n"/>
      <c r="S874" s="384" t="n"/>
      <c r="T874" s="384" t="n"/>
      <c r="U874" s="384" t="n"/>
      <c r="V874" s="384" t="n"/>
      <c r="W874" s="384" t="n"/>
      <c r="X874" s="645">
        <f>IF(_epmOfflineCondition_,"I_E101245",EPMOlapMemberO("[C_INTERCO].[PARENTH1].[I_E101245]","","I_E101245","","000"))</f>
        <v/>
      </c>
      <c r="Y874" s="870">
        <f>IF(_epmOfflineCondition_,"北京京能海北算力科技有限公司",EPMMemberDesc(X874))</f>
        <v/>
      </c>
      <c r="Z874" s="1302" t="n"/>
      <c r="AA874" s="1302" t="n"/>
      <c r="AB874" s="858" t="n"/>
      <c r="AC874" s="1302" t="n"/>
      <c r="AD874" s="1302" t="n"/>
      <c r="AE874" s="1302" t="inlineStr"/>
      <c r="AF874" s="1302" t="inlineStr"/>
      <c r="AG874" s="1302" t="inlineStr"/>
      <c r="AH874" s="1302" t="n"/>
      <c r="AI874" s="1302" t="n"/>
      <c r="AJ874" s="1302" t="n"/>
      <c r="AK874" s="1302">
        <f>AI874-AJ874</f>
        <v/>
      </c>
      <c r="AL874" s="858" t="n"/>
      <c r="AM874" s="1297" t="inlineStr"/>
      <c r="AN874" s="1298" t="n"/>
      <c r="AO874" s="13">
        <f>IF(_epmOfflineCondition_,0,EPMSaveDataOnly(AB874,,AB$29,AB$25,AB$26,AB$31,AB$32,$AA$37,AO$14,AO$15,AO$16,AO$17,AO$18,X874))</f>
        <v/>
      </c>
      <c r="AP874" s="13">
        <f>IF(_epmOfflineCondition_,0,EPMSaveDataOnly(AL874,,AL$29,AL$25,AL$26,AL$31,AL$32,$AA$37,AP$14,AP$15,AP$16,AP$17,AP$18,$X874))</f>
        <v/>
      </c>
      <c r="AQ874" s="13">
        <f>IF(_epmOfflineCondition_,0,EPMSaveData(AM874,,AM$29,AM$25,AM$26,$C$6,AM$32,$AA$37,AQ$14,AQ$15,AQ$16,AQ$17,AQ$18,$X874))</f>
        <v/>
      </c>
      <c r="AR874" s="13">
        <f>IF(_epmOfflineCondition_,0,EPMSaveDataOnly(AN874,,AN$29,AN$25,AN$26,AN$31,AN$32,$AA$37,AR$14,AR$15,AR$16,AR$17,AR$18,$X874))</f>
        <v/>
      </c>
      <c r="AS874" s="384" t="n"/>
    </row>
    <row r="875" hidden="1" s="1181">
      <c r="A875" s="384" t="n"/>
      <c r="B875" s="384" t="n"/>
      <c r="C875" s="384" t="n"/>
      <c r="D875" s="384" t="n"/>
      <c r="E875" s="384" t="n"/>
      <c r="F875" s="384" t="n"/>
      <c r="G875" s="384" t="n"/>
      <c r="H875" s="384" t="n"/>
      <c r="I875" s="384" t="n"/>
      <c r="J875" s="384" t="n"/>
      <c r="K875" s="384" t="n"/>
      <c r="L875" s="384" t="n"/>
      <c r="M875" s="384" t="n"/>
      <c r="N875" s="384" t="n"/>
      <c r="O875" s="384" t="n"/>
      <c r="P875" s="384" t="n"/>
      <c r="Q875" s="384" t="n"/>
      <c r="R875" s="384" t="n"/>
      <c r="S875" s="384" t="n"/>
      <c r="T875" s="384" t="n"/>
      <c r="U875" s="384" t="n"/>
      <c r="V875" s="384" t="n"/>
      <c r="W875" s="384" t="n"/>
      <c r="X875" s="645">
        <f>IF(_epmOfflineCondition_,"I_E101248",EPMOlapMemberO("[C_INTERCO].[PARENTH1].[I_E101248]","","I_E101248","","000"))</f>
        <v/>
      </c>
      <c r="Y875" s="870">
        <f>IF(_epmOfflineCondition_,"昌黎金海湾度假村有限责任公司",EPMMemberDesc(X875))</f>
        <v/>
      </c>
      <c r="Z875" s="1302" t="n"/>
      <c r="AA875" s="1302" t="n"/>
      <c r="AB875" s="858" t="n"/>
      <c r="AC875" s="1302" t="n"/>
      <c r="AD875" s="1302" t="n"/>
      <c r="AE875" s="1302" t="inlineStr"/>
      <c r="AF875" s="1302" t="inlineStr"/>
      <c r="AG875" s="1302" t="inlineStr"/>
      <c r="AH875" s="1302" t="n"/>
      <c r="AI875" s="1302" t="n"/>
      <c r="AJ875" s="1302" t="n"/>
      <c r="AK875" s="1302">
        <f>AI875-AJ875</f>
        <v/>
      </c>
      <c r="AL875" s="858" t="n"/>
      <c r="AM875" s="1297" t="inlineStr"/>
      <c r="AN875" s="1298" t="n"/>
      <c r="AO875" s="13">
        <f>IF(_epmOfflineCondition_,0,EPMSaveDataOnly(AB875,,AB$29,AB$25,AB$26,AB$31,AB$32,$AA$37,AO$14,AO$15,AO$16,AO$17,AO$18,X875))</f>
        <v/>
      </c>
      <c r="AP875" s="13">
        <f>IF(_epmOfflineCondition_,0,EPMSaveDataOnly(AL875,,AL$29,AL$25,AL$26,AL$31,AL$32,$AA$37,AP$14,AP$15,AP$16,AP$17,AP$18,$X875))</f>
        <v/>
      </c>
      <c r="AQ875" s="13">
        <f>IF(_epmOfflineCondition_,0,EPMSaveData(AM875,,AM$29,AM$25,AM$26,$C$6,AM$32,$AA$37,AQ$14,AQ$15,AQ$16,AQ$17,AQ$18,$X875))</f>
        <v/>
      </c>
      <c r="AR875" s="13">
        <f>IF(_epmOfflineCondition_,0,EPMSaveDataOnly(AN875,,AN$29,AN$25,AN$26,AN$31,AN$32,$AA$37,AR$14,AR$15,AR$16,AR$17,AR$18,$X875))</f>
        <v/>
      </c>
      <c r="AS875" s="384" t="n"/>
    </row>
    <row r="876" hidden="1" s="1181">
      <c r="A876" s="384" t="n"/>
      <c r="B876" s="384" t="n"/>
      <c r="C876" s="384" t="n"/>
      <c r="D876" s="384" t="n"/>
      <c r="E876" s="384" t="n"/>
      <c r="F876" s="384" t="n"/>
      <c r="G876" s="384" t="n"/>
      <c r="H876" s="384" t="n"/>
      <c r="I876" s="384" t="n"/>
      <c r="J876" s="384" t="n"/>
      <c r="K876" s="384" t="n"/>
      <c r="L876" s="384" t="n"/>
      <c r="M876" s="384" t="n"/>
      <c r="N876" s="384" t="n"/>
      <c r="O876" s="384" t="n"/>
      <c r="P876" s="384" t="n"/>
      <c r="Q876" s="384" t="n"/>
      <c r="R876" s="384" t="n"/>
      <c r="S876" s="384" t="n"/>
      <c r="T876" s="384" t="n"/>
      <c r="U876" s="384" t="n"/>
      <c r="V876" s="384" t="n"/>
      <c r="W876" s="384" t="n"/>
      <c r="X876" s="645">
        <f>IF(_epmOfflineCondition_,"I_E101247",EPMOlapMemberO("[C_INTERCO].[PARENTH1].[I_E101247]","","I_E101247","","000"))</f>
        <v/>
      </c>
      <c r="Y876" s="870">
        <f>IF(_epmOfflineCondition_,"太和县京能新能源有限公司",EPMMemberDesc(X876))</f>
        <v/>
      </c>
      <c r="Z876" s="1302" t="n"/>
      <c r="AA876" s="1302" t="n"/>
      <c r="AB876" s="858" t="n"/>
      <c r="AC876" s="1302" t="n"/>
      <c r="AD876" s="1302" t="n"/>
      <c r="AE876" s="1302" t="inlineStr"/>
      <c r="AF876" s="1302" t="inlineStr"/>
      <c r="AG876" s="1302" t="inlineStr"/>
      <c r="AH876" s="1302" t="n"/>
      <c r="AI876" s="1302" t="n"/>
      <c r="AJ876" s="1302" t="n"/>
      <c r="AK876" s="1302">
        <f>AI876-AJ876</f>
        <v/>
      </c>
      <c r="AL876" s="858" t="n"/>
      <c r="AM876" s="1297" t="inlineStr"/>
      <c r="AN876" s="1298" t="n"/>
      <c r="AO876" s="13">
        <f>IF(_epmOfflineCondition_,0,EPMSaveDataOnly(AB876,,AB$29,AB$25,AB$26,AB$31,AB$32,$AA$37,AO$14,AO$15,AO$16,AO$17,AO$18,X876))</f>
        <v/>
      </c>
      <c r="AP876" s="13">
        <f>IF(_epmOfflineCondition_,0,EPMSaveDataOnly(AL876,,AL$29,AL$25,AL$26,AL$31,AL$32,$AA$37,AP$14,AP$15,AP$16,AP$17,AP$18,$X876))</f>
        <v/>
      </c>
      <c r="AQ876" s="13">
        <f>IF(_epmOfflineCondition_,0,EPMSaveData(AM876,,AM$29,AM$25,AM$26,$C$6,AM$32,$AA$37,AQ$14,AQ$15,AQ$16,AQ$17,AQ$18,$X876))</f>
        <v/>
      </c>
      <c r="AR876" s="13">
        <f>IF(_epmOfflineCondition_,0,EPMSaveDataOnly(AN876,,AN$29,AN$25,AN$26,AN$31,AN$32,$AA$37,AR$14,AR$15,AR$16,AR$17,AR$18,$X876))</f>
        <v/>
      </c>
      <c r="AS876" s="384" t="n"/>
    </row>
    <row r="877" hidden="1" s="1181">
      <c r="A877" s="384" t="n"/>
      <c r="B877" s="384" t="n"/>
      <c r="C877" s="384" t="n"/>
      <c r="D877" s="384" t="n"/>
      <c r="E877" s="384" t="n"/>
      <c r="F877" s="384" t="n"/>
      <c r="G877" s="384" t="n"/>
      <c r="H877" s="384" t="n"/>
      <c r="I877" s="384" t="n"/>
      <c r="J877" s="384" t="n"/>
      <c r="K877" s="384" t="n"/>
      <c r="L877" s="384" t="n"/>
      <c r="M877" s="384" t="n"/>
      <c r="N877" s="384" t="n"/>
      <c r="O877" s="384" t="n"/>
      <c r="P877" s="384" t="n"/>
      <c r="Q877" s="384" t="n"/>
      <c r="R877" s="384" t="n"/>
      <c r="S877" s="384" t="n"/>
      <c r="T877" s="384" t="n"/>
      <c r="U877" s="384" t="n"/>
      <c r="V877" s="384" t="n"/>
      <c r="W877" s="384" t="n"/>
      <c r="X877" s="645">
        <f>IF(_epmOfflineCondition_,"I_E101249",EPMOlapMemberO("[C_INTERCO].[PARENTH1].[I_E101249]","","I_E101249","","000"))</f>
        <v/>
      </c>
      <c r="Y877" s="870">
        <f>IF(_epmOfflineCondition_,"京丰（宜丰）光伏发电有限公司",EPMMemberDesc(X877))</f>
        <v/>
      </c>
      <c r="Z877" s="1302" t="n"/>
      <c r="AA877" s="1302" t="n"/>
      <c r="AB877" s="858" t="n"/>
      <c r="AC877" s="1302" t="n"/>
      <c r="AD877" s="1302" t="n"/>
      <c r="AE877" s="1302" t="inlineStr"/>
      <c r="AF877" s="1302" t="inlineStr"/>
      <c r="AG877" s="1302" t="inlineStr"/>
      <c r="AH877" s="1302" t="n"/>
      <c r="AI877" s="1302" t="n"/>
      <c r="AJ877" s="1302" t="n"/>
      <c r="AK877" s="1302">
        <f>AI877-AJ877</f>
        <v/>
      </c>
      <c r="AL877" s="858" t="n"/>
      <c r="AM877" s="1297" t="inlineStr"/>
      <c r="AN877" s="1298" t="n"/>
      <c r="AO877" s="13">
        <f>IF(_epmOfflineCondition_,0,EPMSaveDataOnly(AB877,,AB$29,AB$25,AB$26,AB$31,AB$32,$AA$37,AO$14,AO$15,AO$16,AO$17,AO$18,X877))</f>
        <v/>
      </c>
      <c r="AP877" s="13">
        <f>IF(_epmOfflineCondition_,0,EPMSaveDataOnly(AL877,,AL$29,AL$25,AL$26,AL$31,AL$32,$AA$37,AP$14,AP$15,AP$16,AP$17,AP$18,$X877))</f>
        <v/>
      </c>
      <c r="AQ877" s="13">
        <f>IF(_epmOfflineCondition_,0,EPMSaveData(AM877,,AM$29,AM$25,AM$26,$C$6,AM$32,$AA$37,AQ$14,AQ$15,AQ$16,AQ$17,AQ$18,$X877))</f>
        <v/>
      </c>
      <c r="AR877" s="13">
        <f>IF(_epmOfflineCondition_,0,EPMSaveDataOnly(AN877,,AN$29,AN$25,AN$26,AN$31,AN$32,$AA$37,AR$14,AR$15,AR$16,AR$17,AR$18,$X877))</f>
        <v/>
      </c>
      <c r="AS877" s="384" t="n"/>
    </row>
    <row r="878" hidden="1" s="1181">
      <c r="A878" s="384" t="n"/>
      <c r="B878" s="384" t="n"/>
      <c r="C878" s="384" t="n"/>
      <c r="D878" s="384" t="n"/>
      <c r="E878" s="384" t="n"/>
      <c r="F878" s="384" t="n"/>
      <c r="G878" s="384" t="n"/>
      <c r="H878" s="384" t="n"/>
      <c r="I878" s="384" t="n"/>
      <c r="J878" s="384" t="n"/>
      <c r="K878" s="384" t="n"/>
      <c r="L878" s="384" t="n"/>
      <c r="M878" s="384" t="n"/>
      <c r="N878" s="384" t="n"/>
      <c r="O878" s="384" t="n"/>
      <c r="P878" s="384" t="n"/>
      <c r="Q878" s="384" t="n"/>
      <c r="R878" s="384" t="n"/>
      <c r="S878" s="384" t="n"/>
      <c r="T878" s="384" t="n"/>
      <c r="U878" s="384" t="n"/>
      <c r="V878" s="384" t="n"/>
      <c r="W878" s="384" t="n"/>
      <c r="X878" s="645">
        <f>IF(_epmOfflineCondition_,"I_E101250",EPMOlapMemberO("[C_INTERCO].[PARENTH1].[I_E101250]","","I_E101250","","000"))</f>
        <v/>
      </c>
      <c r="Y878" s="870">
        <f>IF(_epmOfflineCondition_,"达州万源京能风力发电有限公司",EPMMemberDesc(X878))</f>
        <v/>
      </c>
      <c r="Z878" s="1302" t="n"/>
      <c r="AA878" s="1302" t="n"/>
      <c r="AB878" s="858" t="n"/>
      <c r="AC878" s="1302" t="n"/>
      <c r="AD878" s="1302" t="n"/>
      <c r="AE878" s="1302" t="inlineStr"/>
      <c r="AF878" s="1302" t="inlineStr"/>
      <c r="AG878" s="1302" t="inlineStr"/>
      <c r="AH878" s="1302" t="n"/>
      <c r="AI878" s="1302" t="n"/>
      <c r="AJ878" s="1302" t="n"/>
      <c r="AK878" s="1302">
        <f>AI878-AJ878</f>
        <v/>
      </c>
      <c r="AL878" s="858" t="n"/>
      <c r="AM878" s="1297" t="inlineStr"/>
      <c r="AN878" s="1298" t="n"/>
      <c r="AO878" s="13">
        <f>IF(_epmOfflineCondition_,0,EPMSaveDataOnly(AB878,,AB$29,AB$25,AB$26,AB$31,AB$32,$AA$37,AO$14,AO$15,AO$16,AO$17,AO$18,X878))</f>
        <v/>
      </c>
      <c r="AP878" s="13">
        <f>IF(_epmOfflineCondition_,0,EPMSaveDataOnly(AL878,,AL$29,AL$25,AL$26,AL$31,AL$32,$AA$37,AP$14,AP$15,AP$16,AP$17,AP$18,$X878))</f>
        <v/>
      </c>
      <c r="AQ878" s="13">
        <f>IF(_epmOfflineCondition_,0,EPMSaveData(AM878,,AM$29,AM$25,AM$26,$C$6,AM$32,$AA$37,AQ$14,AQ$15,AQ$16,AQ$17,AQ$18,$X878))</f>
        <v/>
      </c>
      <c r="AR878" s="13">
        <f>IF(_epmOfflineCondition_,0,EPMSaveDataOnly(AN878,,AN$29,AN$25,AN$26,AN$31,AN$32,$AA$37,AR$14,AR$15,AR$16,AR$17,AR$18,$X878))</f>
        <v/>
      </c>
      <c r="AS878" s="384" t="n"/>
    </row>
    <row r="879" hidden="1" s="1181">
      <c r="A879" s="384" t="n"/>
      <c r="B879" s="384" t="n"/>
      <c r="C879" s="384" t="n"/>
      <c r="D879" s="384" t="n"/>
      <c r="E879" s="384" t="n"/>
      <c r="F879" s="384" t="n"/>
      <c r="G879" s="384" t="n"/>
      <c r="H879" s="384" t="n"/>
      <c r="I879" s="384" t="n"/>
      <c r="J879" s="384" t="n"/>
      <c r="K879" s="384" t="n"/>
      <c r="L879" s="384" t="n"/>
      <c r="M879" s="384" t="n"/>
      <c r="N879" s="384" t="n"/>
      <c r="O879" s="384" t="n"/>
      <c r="P879" s="384" t="n"/>
      <c r="Q879" s="384" t="n"/>
      <c r="R879" s="384" t="n"/>
      <c r="S879" s="384" t="n"/>
      <c r="T879" s="384" t="n"/>
      <c r="U879" s="384" t="n"/>
      <c r="V879" s="384" t="n"/>
      <c r="W879" s="384" t="n"/>
      <c r="X879" s="645">
        <f>IF(_epmOfflineCondition_,"I_E101217",EPMOlapMemberO("[C_INTERCO].[PARENTH1].[I_E101217]","","I_E101217","","000"))</f>
        <v/>
      </c>
      <c r="Y879" s="870">
        <f>IF(_epmOfflineCondition_,"内蒙古京荣新能源有限公司",EPMMemberDesc(X879))</f>
        <v/>
      </c>
      <c r="Z879" s="1302" t="n"/>
      <c r="AA879" s="1302" t="n"/>
      <c r="AB879" s="858" t="n"/>
      <c r="AC879" s="1302" t="n"/>
      <c r="AD879" s="1302" t="n"/>
      <c r="AE879" s="1302" t="inlineStr"/>
      <c r="AF879" s="1302" t="inlineStr"/>
      <c r="AG879" s="1302" t="inlineStr"/>
      <c r="AH879" s="1302" t="n"/>
      <c r="AI879" s="1302" t="n"/>
      <c r="AJ879" s="1302" t="n"/>
      <c r="AK879" s="1302">
        <f>AI879-AJ879</f>
        <v/>
      </c>
      <c r="AL879" s="858" t="n"/>
      <c r="AM879" s="1297" t="inlineStr"/>
      <c r="AN879" s="1298" t="n"/>
      <c r="AO879" s="13">
        <f>IF(_epmOfflineCondition_,0,EPMSaveDataOnly(AB879,,AB$29,AB$25,AB$26,AB$31,AB$32,$AA$37,AO$14,AO$15,AO$16,AO$17,AO$18,X879))</f>
        <v/>
      </c>
      <c r="AP879" s="13">
        <f>IF(_epmOfflineCondition_,0,EPMSaveDataOnly(AL879,,AL$29,AL$25,AL$26,AL$31,AL$32,$AA$37,AP$14,AP$15,AP$16,AP$17,AP$18,$X879))</f>
        <v/>
      </c>
      <c r="AQ879" s="13">
        <f>IF(_epmOfflineCondition_,0,EPMSaveData(AM879,,AM$29,AM$25,AM$26,$C$6,AM$32,$AA$37,AQ$14,AQ$15,AQ$16,AQ$17,AQ$18,$X879))</f>
        <v/>
      </c>
      <c r="AR879" s="13">
        <f>IF(_epmOfflineCondition_,0,EPMSaveDataOnly(AN879,,AN$29,AN$25,AN$26,AN$31,AN$32,$AA$37,AR$14,AR$15,AR$16,AR$17,AR$18,$X879))</f>
        <v/>
      </c>
      <c r="AS879" s="384" t="n"/>
    </row>
    <row r="880" hidden="1" s="1181">
      <c r="A880" s="384" t="n"/>
      <c r="B880" s="384" t="n"/>
      <c r="C880" s="384" t="n"/>
      <c r="D880" s="384" t="n"/>
      <c r="E880" s="384" t="n"/>
      <c r="F880" s="384" t="n"/>
      <c r="G880" s="384" t="n"/>
      <c r="H880" s="384" t="n"/>
      <c r="I880" s="384" t="n"/>
      <c r="J880" s="384" t="n"/>
      <c r="K880" s="384" t="n"/>
      <c r="L880" s="384" t="n"/>
      <c r="M880" s="384" t="n"/>
      <c r="N880" s="384" t="n"/>
      <c r="O880" s="384" t="n"/>
      <c r="P880" s="384" t="n"/>
      <c r="Q880" s="384" t="n"/>
      <c r="R880" s="384" t="n"/>
      <c r="S880" s="384" t="n"/>
      <c r="T880" s="384" t="n"/>
      <c r="U880" s="384" t="n"/>
      <c r="V880" s="384" t="n"/>
      <c r="W880" s="384" t="n"/>
      <c r="X880" s="645">
        <f>IF(_epmOfflineCondition_,"I_E101209",EPMOlapMemberO("[C_INTERCO].[PARENTH1].[I_E101209]","","I_E101209","","000"))</f>
        <v/>
      </c>
      <c r="Y880" s="870">
        <f>IF(_epmOfflineCondition_,"山西京武新能源有限公司",EPMMemberDesc(X880))</f>
        <v/>
      </c>
      <c r="Z880" s="1302" t="n"/>
      <c r="AA880" s="1302" t="n"/>
      <c r="AB880" s="858" t="n"/>
      <c r="AC880" s="1302" t="n"/>
      <c r="AD880" s="1302" t="n"/>
      <c r="AE880" s="1302" t="inlineStr"/>
      <c r="AF880" s="1302" t="inlineStr"/>
      <c r="AG880" s="1302" t="inlineStr"/>
      <c r="AH880" s="1302" t="n"/>
      <c r="AI880" s="1302" t="n"/>
      <c r="AJ880" s="1302" t="n"/>
      <c r="AK880" s="1302">
        <f>AI880-AJ880</f>
        <v/>
      </c>
      <c r="AL880" s="858" t="n"/>
      <c r="AM880" s="1297" t="inlineStr"/>
      <c r="AN880" s="1298" t="n"/>
      <c r="AO880" s="13">
        <f>IF(_epmOfflineCondition_,0,EPMSaveDataOnly(AB880,,AB$29,AB$25,AB$26,AB$31,AB$32,$AA$37,AO$14,AO$15,AO$16,AO$17,AO$18,X880))</f>
        <v/>
      </c>
      <c r="AP880" s="13">
        <f>IF(_epmOfflineCondition_,0,EPMSaveDataOnly(AL880,,AL$29,AL$25,AL$26,AL$31,AL$32,$AA$37,AP$14,AP$15,AP$16,AP$17,AP$18,$X880))</f>
        <v/>
      </c>
      <c r="AQ880" s="13">
        <f>IF(_epmOfflineCondition_,0,EPMSaveData(AM880,,AM$29,AM$25,AM$26,$C$6,AM$32,$AA$37,AQ$14,AQ$15,AQ$16,AQ$17,AQ$18,$X880))</f>
        <v/>
      </c>
      <c r="AR880" s="13">
        <f>IF(_epmOfflineCondition_,0,EPMSaveDataOnly(AN880,,AN$29,AN$25,AN$26,AN$31,AN$32,$AA$37,AR$14,AR$15,AR$16,AR$17,AR$18,$X880))</f>
        <v/>
      </c>
      <c r="AS880" s="384" t="n"/>
    </row>
    <row r="881" hidden="1" s="1181">
      <c r="A881" s="384" t="n"/>
      <c r="B881" s="384" t="n"/>
      <c r="C881" s="384" t="n"/>
      <c r="D881" s="384" t="n"/>
      <c r="E881" s="384" t="n"/>
      <c r="F881" s="384" t="n"/>
      <c r="G881" s="384" t="n"/>
      <c r="H881" s="384" t="n"/>
      <c r="I881" s="384" t="n"/>
      <c r="J881" s="384" t="n"/>
      <c r="K881" s="384" t="n"/>
      <c r="L881" s="384" t="n"/>
      <c r="M881" s="384" t="n"/>
      <c r="N881" s="384" t="n"/>
      <c r="O881" s="384" t="n"/>
      <c r="P881" s="384" t="n"/>
      <c r="Q881" s="384" t="n"/>
      <c r="R881" s="384" t="n"/>
      <c r="S881" s="384" t="n"/>
      <c r="T881" s="384" t="n"/>
      <c r="U881" s="384" t="n"/>
      <c r="V881" s="384" t="n"/>
      <c r="W881" s="384" t="n"/>
      <c r="X881" s="645">
        <f>IF(_epmOfflineCondition_,"I_E101251",EPMOlapMemberO("[C_INTERCO].[PARENTH1].[I_E101251]","","I_E101251","","000"))</f>
        <v/>
      </c>
      <c r="Y881" s="870">
        <f>IF(_epmOfflineCondition_,"瑞信新能源（信丰）有限公司",EPMMemberDesc(X881))</f>
        <v/>
      </c>
      <c r="Z881" s="1302" t="n"/>
      <c r="AA881" s="1302" t="n"/>
      <c r="AB881" s="858" t="n"/>
      <c r="AC881" s="1302" t="n"/>
      <c r="AD881" s="1302" t="n"/>
      <c r="AE881" s="1302" t="inlineStr"/>
      <c r="AF881" s="1302" t="inlineStr"/>
      <c r="AG881" s="1302" t="inlineStr"/>
      <c r="AH881" s="1302" t="n"/>
      <c r="AI881" s="1302" t="n"/>
      <c r="AJ881" s="1302" t="n"/>
      <c r="AK881" s="1302">
        <f>AI881-AJ881</f>
        <v/>
      </c>
      <c r="AL881" s="858" t="n"/>
      <c r="AM881" s="1297" t="inlineStr"/>
      <c r="AN881" s="1298" t="n"/>
      <c r="AO881" s="13">
        <f>IF(_epmOfflineCondition_,0,EPMSaveDataOnly(AB881,,AB$29,AB$25,AB$26,AB$31,AB$32,$AA$37,AO$14,AO$15,AO$16,AO$17,AO$18,X881))</f>
        <v/>
      </c>
      <c r="AP881" s="13">
        <f>IF(_epmOfflineCondition_,0,EPMSaveDataOnly(AL881,,AL$29,AL$25,AL$26,AL$31,AL$32,$AA$37,AP$14,AP$15,AP$16,AP$17,AP$18,$X881))</f>
        <v/>
      </c>
      <c r="AQ881" s="13">
        <f>IF(_epmOfflineCondition_,0,EPMSaveData(AM881,,AM$29,AM$25,AM$26,$C$6,AM$32,$AA$37,AQ$14,AQ$15,AQ$16,AQ$17,AQ$18,$X881))</f>
        <v/>
      </c>
      <c r="AR881" s="13">
        <f>IF(_epmOfflineCondition_,0,EPMSaveDataOnly(AN881,,AN$29,AN$25,AN$26,AN$31,AN$32,$AA$37,AR$14,AR$15,AR$16,AR$17,AR$18,$X881))</f>
        <v/>
      </c>
      <c r="AS881" s="384" t="n"/>
    </row>
    <row r="882" hidden="1" s="1181">
      <c r="A882" s="384" t="n"/>
      <c r="B882" s="384" t="n"/>
      <c r="C882" s="384" t="n"/>
      <c r="D882" s="384" t="n"/>
      <c r="E882" s="384" t="n"/>
      <c r="F882" s="384" t="n"/>
      <c r="G882" s="384" t="n"/>
      <c r="H882" s="384" t="n"/>
      <c r="I882" s="384" t="n"/>
      <c r="J882" s="384" t="n"/>
      <c r="K882" s="384" t="n"/>
      <c r="L882" s="384" t="n"/>
      <c r="M882" s="384" t="n"/>
      <c r="N882" s="384" t="n"/>
      <c r="O882" s="384" t="n"/>
      <c r="P882" s="384" t="n"/>
      <c r="Q882" s="384" t="n"/>
      <c r="R882" s="384" t="n"/>
      <c r="S882" s="384" t="n"/>
      <c r="T882" s="384" t="n"/>
      <c r="U882" s="384" t="n"/>
      <c r="V882" s="384" t="n"/>
      <c r="W882" s="384" t="n"/>
      <c r="X882" s="645">
        <f>IF(_epmOfflineCondition_,"I_E101232",EPMOlapMemberO("[C_INTERCO].[PARENTH1].[I_E101232]","","I_E101232","","000"))</f>
        <v/>
      </c>
      <c r="Y882" s="870">
        <f>IF(_epmOfflineCondition_,"京能氢源（锡林郭勒）技术服务有限公司",EPMMemberDesc(X882))</f>
        <v/>
      </c>
      <c r="Z882" s="1302" t="n"/>
      <c r="AA882" s="1302" t="n"/>
      <c r="AB882" s="858" t="n"/>
      <c r="AC882" s="1302" t="n"/>
      <c r="AD882" s="1302" t="n"/>
      <c r="AE882" s="1302" t="inlineStr"/>
      <c r="AF882" s="1302" t="inlineStr"/>
      <c r="AG882" s="1302" t="inlineStr"/>
      <c r="AH882" s="1302" t="n"/>
      <c r="AI882" s="1302" t="n"/>
      <c r="AJ882" s="1302" t="n"/>
      <c r="AK882" s="1302">
        <f>AI882-AJ882</f>
        <v/>
      </c>
      <c r="AL882" s="858" t="n"/>
      <c r="AM882" s="1297" t="inlineStr"/>
      <c r="AN882" s="1298" t="n"/>
      <c r="AO882" s="13">
        <f>IF(_epmOfflineCondition_,0,EPMSaveDataOnly(AB882,,AB$29,AB$25,AB$26,AB$31,AB$32,$AA$37,AO$14,AO$15,AO$16,AO$17,AO$18,X882))</f>
        <v/>
      </c>
      <c r="AP882" s="13">
        <f>IF(_epmOfflineCondition_,0,EPMSaveDataOnly(AL882,,AL$29,AL$25,AL$26,AL$31,AL$32,$AA$37,AP$14,AP$15,AP$16,AP$17,AP$18,$X882))</f>
        <v/>
      </c>
      <c r="AQ882" s="13">
        <f>IF(_epmOfflineCondition_,0,EPMSaveData(AM882,,AM$29,AM$25,AM$26,$C$6,AM$32,$AA$37,AQ$14,AQ$15,AQ$16,AQ$17,AQ$18,$X882))</f>
        <v/>
      </c>
      <c r="AR882" s="13">
        <f>IF(_epmOfflineCondition_,0,EPMSaveDataOnly(AN882,,AN$29,AN$25,AN$26,AN$31,AN$32,$AA$37,AR$14,AR$15,AR$16,AR$17,AR$18,$X882))</f>
        <v/>
      </c>
      <c r="AS882" s="384" t="n"/>
    </row>
    <row r="883" hidden="1" s="1181">
      <c r="A883" s="384" t="n"/>
      <c r="B883" s="384" t="n"/>
      <c r="C883" s="384" t="n"/>
      <c r="D883" s="384" t="n"/>
      <c r="E883" s="384" t="n"/>
      <c r="F883" s="384" t="n"/>
      <c r="G883" s="384" t="n"/>
      <c r="H883" s="384" t="n"/>
      <c r="I883" s="384" t="n"/>
      <c r="J883" s="384" t="n"/>
      <c r="K883" s="384" t="n"/>
      <c r="L883" s="384" t="n"/>
      <c r="M883" s="384" t="n"/>
      <c r="N883" s="384" t="n"/>
      <c r="O883" s="384" t="n"/>
      <c r="P883" s="384" t="n"/>
      <c r="Q883" s="384" t="n"/>
      <c r="R883" s="384" t="n"/>
      <c r="S883" s="384" t="n"/>
      <c r="T883" s="384" t="n"/>
      <c r="U883" s="384" t="n"/>
      <c r="V883" s="384" t="n"/>
      <c r="W883" s="384" t="n"/>
      <c r="X883" s="645">
        <f>IF(_epmOfflineCondition_,"I_E101226",EPMOlapMemberO("[C_INTERCO].[PARENTH1].[I_E101226]","","I_E101226","","000"))</f>
        <v/>
      </c>
      <c r="Y883" s="870">
        <f>IF(_epmOfflineCondition_,"京能（秭归）清洁能源有限公司",EPMMemberDesc(X883))</f>
        <v/>
      </c>
      <c r="Z883" s="1302" t="n"/>
      <c r="AA883" s="1302" t="n"/>
      <c r="AB883" s="858" t="n"/>
      <c r="AC883" s="1302" t="n"/>
      <c r="AD883" s="1302" t="n"/>
      <c r="AE883" s="1302" t="inlineStr"/>
      <c r="AF883" s="1302" t="inlineStr"/>
      <c r="AG883" s="1302" t="inlineStr"/>
      <c r="AH883" s="1302" t="n"/>
      <c r="AI883" s="1302" t="n"/>
      <c r="AJ883" s="1302" t="n"/>
      <c r="AK883" s="1302">
        <f>AI883-AJ883</f>
        <v/>
      </c>
      <c r="AL883" s="858" t="n"/>
      <c r="AM883" s="1297" t="inlineStr"/>
      <c r="AN883" s="1298" t="n"/>
      <c r="AO883" s="13">
        <f>IF(_epmOfflineCondition_,0,EPMSaveDataOnly(AB883,,AB$29,AB$25,AB$26,AB$31,AB$32,$AA$37,AO$14,AO$15,AO$16,AO$17,AO$18,X883))</f>
        <v/>
      </c>
      <c r="AP883" s="13">
        <f>IF(_epmOfflineCondition_,0,EPMSaveDataOnly(AL883,,AL$29,AL$25,AL$26,AL$31,AL$32,$AA$37,AP$14,AP$15,AP$16,AP$17,AP$18,$X883))</f>
        <v/>
      </c>
      <c r="AQ883" s="13">
        <f>IF(_epmOfflineCondition_,0,EPMSaveData(AM883,,AM$29,AM$25,AM$26,$C$6,AM$32,$AA$37,AQ$14,AQ$15,AQ$16,AQ$17,AQ$18,$X883))</f>
        <v/>
      </c>
      <c r="AR883" s="13">
        <f>IF(_epmOfflineCondition_,0,EPMSaveDataOnly(AN883,,AN$29,AN$25,AN$26,AN$31,AN$32,$AA$37,AR$14,AR$15,AR$16,AR$17,AR$18,$X883))</f>
        <v/>
      </c>
      <c r="AS883" s="384" t="n"/>
    </row>
    <row r="884" hidden="1" s="1181">
      <c r="A884" s="384" t="n"/>
      <c r="B884" s="384" t="n"/>
      <c r="C884" s="384" t="n"/>
      <c r="D884" s="384" t="n"/>
      <c r="E884" s="384" t="n"/>
      <c r="F884" s="384" t="n"/>
      <c r="G884" s="384" t="n"/>
      <c r="H884" s="384" t="n"/>
      <c r="I884" s="384" t="n"/>
      <c r="J884" s="384" t="n"/>
      <c r="K884" s="384" t="n"/>
      <c r="L884" s="384" t="n"/>
      <c r="M884" s="384" t="n"/>
      <c r="N884" s="384" t="n"/>
      <c r="O884" s="384" t="n"/>
      <c r="P884" s="384" t="n"/>
      <c r="Q884" s="384" t="n"/>
      <c r="R884" s="384" t="n"/>
      <c r="S884" s="384" t="n"/>
      <c r="T884" s="384" t="n"/>
      <c r="U884" s="384" t="n"/>
      <c r="V884" s="384" t="n"/>
      <c r="W884" s="384" t="n"/>
      <c r="X884" s="645">
        <f>IF(_epmOfflineCondition_,"I_E101256",EPMOlapMemberO("[C_INTERCO].[PARENTH1].[I_E101256]","","I_E101256","","000"))</f>
        <v/>
      </c>
      <c r="Y884" s="870">
        <f>IF(_epmOfflineCondition_,"京能（武汉）清洁能源有限公司",EPMMemberDesc(X884))</f>
        <v/>
      </c>
      <c r="Z884" s="1302" t="n"/>
      <c r="AA884" s="1302" t="n"/>
      <c r="AB884" s="858" t="n"/>
      <c r="AC884" s="1302" t="n"/>
      <c r="AD884" s="1302" t="n"/>
      <c r="AE884" s="1302" t="inlineStr"/>
      <c r="AF884" s="1302" t="inlineStr"/>
      <c r="AG884" s="1302" t="inlineStr"/>
      <c r="AH884" s="1302" t="n"/>
      <c r="AI884" s="1302" t="n"/>
      <c r="AJ884" s="1302" t="n"/>
      <c r="AK884" s="1302">
        <f>AI884-AJ884</f>
        <v/>
      </c>
      <c r="AL884" s="858" t="n"/>
      <c r="AM884" s="1297" t="inlineStr"/>
      <c r="AN884" s="1298" t="n"/>
      <c r="AO884" s="13">
        <f>IF(_epmOfflineCondition_,0,EPMSaveDataOnly(AB884,,AB$29,AB$25,AB$26,AB$31,AB$32,$AA$37,AO$14,AO$15,AO$16,AO$17,AO$18,X884))</f>
        <v/>
      </c>
      <c r="AP884" s="13">
        <f>IF(_epmOfflineCondition_,0,EPMSaveDataOnly(AL884,,AL$29,AL$25,AL$26,AL$31,AL$32,$AA$37,AP$14,AP$15,AP$16,AP$17,AP$18,$X884))</f>
        <v/>
      </c>
      <c r="AQ884" s="13">
        <f>IF(_epmOfflineCondition_,0,EPMSaveData(AM884,,AM$29,AM$25,AM$26,$C$6,AM$32,$AA$37,AQ$14,AQ$15,AQ$16,AQ$17,AQ$18,$X884))</f>
        <v/>
      </c>
      <c r="AR884" s="13">
        <f>IF(_epmOfflineCondition_,0,EPMSaveDataOnly(AN884,,AN$29,AN$25,AN$26,AN$31,AN$32,$AA$37,AR$14,AR$15,AR$16,AR$17,AR$18,$X884))</f>
        <v/>
      </c>
      <c r="AS884" s="384" t="n"/>
    </row>
    <row r="885" hidden="1" s="1181">
      <c r="A885" s="384" t="n"/>
      <c r="B885" s="384" t="n"/>
      <c r="C885" s="384" t="n"/>
      <c r="D885" s="384" t="n"/>
      <c r="E885" s="384" t="n"/>
      <c r="F885" s="384" t="n"/>
      <c r="G885" s="384" t="n"/>
      <c r="H885" s="384" t="n"/>
      <c r="I885" s="384" t="n"/>
      <c r="J885" s="384" t="n"/>
      <c r="K885" s="384" t="n"/>
      <c r="L885" s="384" t="n"/>
      <c r="M885" s="384" t="n"/>
      <c r="N885" s="384" t="n"/>
      <c r="O885" s="384" t="n"/>
      <c r="P885" s="384" t="n"/>
      <c r="Q885" s="384" t="n"/>
      <c r="R885" s="384" t="n"/>
      <c r="S885" s="384" t="n"/>
      <c r="T885" s="384" t="n"/>
      <c r="U885" s="384" t="n"/>
      <c r="V885" s="384" t="n"/>
      <c r="W885" s="384" t="n"/>
      <c r="X885" s="645">
        <f>IF(_epmOfflineCondition_,"I_E101255",EPMOlapMemberO("[C_INTERCO].[PARENTH1].[I_E101255]","","I_E101255","","000"))</f>
        <v/>
      </c>
      <c r="Y885" s="870">
        <f>IF(_epmOfflineCondition_,"北京京能清洁能源电力股份有限公司华中分公司",EPMMemberDesc(X885))</f>
        <v/>
      </c>
      <c r="Z885" s="1302" t="n"/>
      <c r="AA885" s="1302" t="n"/>
      <c r="AB885" s="858" t="n"/>
      <c r="AC885" s="1302" t="n"/>
      <c r="AD885" s="1302" t="n"/>
      <c r="AE885" s="1302" t="inlineStr"/>
      <c r="AF885" s="1302" t="inlineStr"/>
      <c r="AG885" s="1302" t="inlineStr"/>
      <c r="AH885" s="1302" t="n"/>
      <c r="AI885" s="1302" t="n"/>
      <c r="AJ885" s="1302" t="n"/>
      <c r="AK885" s="1302">
        <f>AI885-AJ885</f>
        <v/>
      </c>
      <c r="AL885" s="858" t="n"/>
      <c r="AM885" s="1297" t="inlineStr"/>
      <c r="AN885" s="1298" t="n"/>
      <c r="AO885" s="13">
        <f>IF(_epmOfflineCondition_,0,EPMSaveDataOnly(AB885,,AB$29,AB$25,AB$26,AB$31,AB$32,$AA$37,AO$14,AO$15,AO$16,AO$17,AO$18,X885))</f>
        <v/>
      </c>
      <c r="AP885" s="13">
        <f>IF(_epmOfflineCondition_,0,EPMSaveDataOnly(AL885,,AL$29,AL$25,AL$26,AL$31,AL$32,$AA$37,AP$14,AP$15,AP$16,AP$17,AP$18,$X885))</f>
        <v/>
      </c>
      <c r="AQ885" s="13">
        <f>IF(_epmOfflineCondition_,0,EPMSaveData(AM885,,AM$29,AM$25,AM$26,$C$6,AM$32,$AA$37,AQ$14,AQ$15,AQ$16,AQ$17,AQ$18,$X885))</f>
        <v/>
      </c>
      <c r="AR885" s="13">
        <f>IF(_epmOfflineCondition_,0,EPMSaveDataOnly(AN885,,AN$29,AN$25,AN$26,AN$31,AN$32,$AA$37,AR$14,AR$15,AR$16,AR$17,AR$18,$X885))</f>
        <v/>
      </c>
      <c r="AS885" s="384" t="n"/>
    </row>
    <row r="886" hidden="1" s="1181">
      <c r="A886" s="384" t="n"/>
      <c r="B886" s="384" t="n"/>
      <c r="C886" s="384" t="n"/>
      <c r="D886" s="384" t="n"/>
      <c r="E886" s="384" t="n"/>
      <c r="F886" s="384" t="n"/>
      <c r="G886" s="384" t="n"/>
      <c r="H886" s="384" t="n"/>
      <c r="I886" s="384" t="n"/>
      <c r="J886" s="384" t="n"/>
      <c r="K886" s="384" t="n"/>
      <c r="L886" s="384" t="n"/>
      <c r="M886" s="384" t="n"/>
      <c r="N886" s="384" t="n"/>
      <c r="O886" s="384" t="n"/>
      <c r="P886" s="384" t="n"/>
      <c r="Q886" s="384" t="n"/>
      <c r="R886" s="384" t="n"/>
      <c r="S886" s="384" t="n"/>
      <c r="T886" s="384" t="n"/>
      <c r="U886" s="384" t="n"/>
      <c r="V886" s="384" t="n"/>
      <c r="W886" s="384" t="n"/>
      <c r="X886" s="645">
        <f>IF(_epmOfflineCondition_,"I_E101234",EPMOlapMemberO("[C_INTERCO].[PARENTH1].[I_E101234]","","I_E101234","","000"))</f>
        <v/>
      </c>
      <c r="Y886" s="870">
        <f>IF(_epmOfflineCondition_,"京能科技（高碑店）有限公司",EPMMemberDesc(X886))</f>
        <v/>
      </c>
      <c r="Z886" s="1302" t="n"/>
      <c r="AA886" s="1302" t="n"/>
      <c r="AB886" s="858" t="n"/>
      <c r="AC886" s="1302" t="n"/>
      <c r="AD886" s="1302" t="n"/>
      <c r="AE886" s="1302" t="inlineStr"/>
      <c r="AF886" s="1302" t="inlineStr"/>
      <c r="AG886" s="1302" t="inlineStr"/>
      <c r="AH886" s="1302" t="n"/>
      <c r="AI886" s="1302" t="n"/>
      <c r="AJ886" s="1302" t="n"/>
      <c r="AK886" s="1302">
        <f>AI886-AJ886</f>
        <v/>
      </c>
      <c r="AL886" s="858" t="n"/>
      <c r="AM886" s="1297" t="inlineStr"/>
      <c r="AN886" s="1298" t="n"/>
      <c r="AO886" s="13">
        <f>IF(_epmOfflineCondition_,0,EPMSaveDataOnly(AB886,,AB$29,AB$25,AB$26,AB$31,AB$32,$AA$37,AO$14,AO$15,AO$16,AO$17,AO$18,X886))</f>
        <v/>
      </c>
      <c r="AP886" s="13">
        <f>IF(_epmOfflineCondition_,0,EPMSaveDataOnly(AL886,,AL$29,AL$25,AL$26,AL$31,AL$32,$AA$37,AP$14,AP$15,AP$16,AP$17,AP$18,$X886))</f>
        <v/>
      </c>
      <c r="AQ886" s="13">
        <f>IF(_epmOfflineCondition_,0,EPMSaveData(AM886,,AM$29,AM$25,AM$26,$C$6,AM$32,$AA$37,AQ$14,AQ$15,AQ$16,AQ$17,AQ$18,$X886))</f>
        <v/>
      </c>
      <c r="AR886" s="13">
        <f>IF(_epmOfflineCondition_,0,EPMSaveDataOnly(AN886,,AN$29,AN$25,AN$26,AN$31,AN$32,$AA$37,AR$14,AR$15,AR$16,AR$17,AR$18,$X886))</f>
        <v/>
      </c>
      <c r="AS886" s="384" t="n"/>
    </row>
    <row r="887" hidden="1" s="1181">
      <c r="A887" s="384" t="n"/>
      <c r="B887" s="384" t="n"/>
      <c r="C887" s="384" t="n"/>
      <c r="D887" s="384" t="n"/>
      <c r="E887" s="384" t="n"/>
      <c r="F887" s="384" t="n"/>
      <c r="G887" s="384" t="n"/>
      <c r="H887" s="384" t="n"/>
      <c r="I887" s="384" t="n"/>
      <c r="J887" s="384" t="n"/>
      <c r="K887" s="384" t="n"/>
      <c r="L887" s="384" t="n"/>
      <c r="M887" s="384" t="n"/>
      <c r="N887" s="384" t="n"/>
      <c r="O887" s="384" t="n"/>
      <c r="P887" s="384" t="n"/>
      <c r="Q887" s="384" t="n"/>
      <c r="R887" s="384" t="n"/>
      <c r="S887" s="384" t="n"/>
      <c r="T887" s="384" t="n"/>
      <c r="U887" s="384" t="n"/>
      <c r="V887" s="384" t="n"/>
      <c r="W887" s="384" t="n"/>
      <c r="X887" s="645">
        <f>IF(_epmOfflineCondition_,"I_E101233",EPMOlapMemberO("[C_INTERCO].[PARENTH1].[I_E101233]","","I_E101233","","000"))</f>
        <v/>
      </c>
      <c r="Y887" s="870">
        <f>IF(_epmOfflineCondition_,"北京京西保供能源有限公司",EPMMemberDesc(X887))</f>
        <v/>
      </c>
      <c r="Z887" s="1302" t="n"/>
      <c r="AA887" s="1302" t="n"/>
      <c r="AB887" s="858" t="n"/>
      <c r="AC887" s="1302" t="n"/>
      <c r="AD887" s="1302" t="n"/>
      <c r="AE887" s="1302" t="inlineStr"/>
      <c r="AF887" s="1302" t="inlineStr"/>
      <c r="AG887" s="1302" t="inlineStr"/>
      <c r="AH887" s="1302" t="n"/>
      <c r="AI887" s="1302" t="n"/>
      <c r="AJ887" s="1302" t="n"/>
      <c r="AK887" s="1302">
        <f>AI887-AJ887</f>
        <v/>
      </c>
      <c r="AL887" s="858" t="n"/>
      <c r="AM887" s="1297" t="inlineStr"/>
      <c r="AN887" s="1298" t="n"/>
      <c r="AO887" s="13">
        <f>IF(_epmOfflineCondition_,0,EPMSaveDataOnly(AB887,,AB$29,AB$25,AB$26,AB$31,AB$32,$AA$37,AO$14,AO$15,AO$16,AO$17,AO$18,X887))</f>
        <v/>
      </c>
      <c r="AP887" s="13">
        <f>IF(_epmOfflineCondition_,0,EPMSaveDataOnly(AL887,,AL$29,AL$25,AL$26,AL$31,AL$32,$AA$37,AP$14,AP$15,AP$16,AP$17,AP$18,$X887))</f>
        <v/>
      </c>
      <c r="AQ887" s="13">
        <f>IF(_epmOfflineCondition_,0,EPMSaveData(AM887,,AM$29,AM$25,AM$26,$C$6,AM$32,$AA$37,AQ$14,AQ$15,AQ$16,AQ$17,AQ$18,$X887))</f>
        <v/>
      </c>
      <c r="AR887" s="13">
        <f>IF(_epmOfflineCondition_,0,EPMSaveDataOnly(AN887,,AN$29,AN$25,AN$26,AN$31,AN$32,$AA$37,AR$14,AR$15,AR$16,AR$17,AR$18,$X887))</f>
        <v/>
      </c>
      <c r="AS887" s="384" t="n"/>
    </row>
    <row r="888" hidden="1" s="1181">
      <c r="A888" s="384" t="n"/>
      <c r="B888" s="384" t="n"/>
      <c r="C888" s="384" t="n"/>
      <c r="D888" s="384" t="n"/>
      <c r="E888" s="384" t="n"/>
      <c r="F888" s="384" t="n"/>
      <c r="G888" s="384" t="n"/>
      <c r="H888" s="384" t="n"/>
      <c r="I888" s="384" t="n"/>
      <c r="J888" s="384" t="n"/>
      <c r="K888" s="384" t="n"/>
      <c r="L888" s="384" t="n"/>
      <c r="M888" s="384" t="n"/>
      <c r="N888" s="384" t="n"/>
      <c r="O888" s="384" t="n"/>
      <c r="P888" s="384" t="n"/>
      <c r="Q888" s="384" t="n"/>
      <c r="R888" s="384" t="n"/>
      <c r="S888" s="384" t="n"/>
      <c r="T888" s="384" t="n"/>
      <c r="U888" s="384" t="n"/>
      <c r="V888" s="384" t="n"/>
      <c r="W888" s="384" t="n"/>
      <c r="X888" s="645">
        <f>IF(_epmOfflineCondition_,"I_E101257",EPMOlapMemberO("[C_INTERCO].[PARENTH1].[I_E101257]","","I_E101257","","000"))</f>
        <v/>
      </c>
      <c r="Y888" s="870">
        <f>IF(_epmOfflineCondition_,"京远（烟台招远市）新能源有限公司",EPMMemberDesc(X888))</f>
        <v/>
      </c>
      <c r="Z888" s="1302" t="n"/>
      <c r="AA888" s="1302" t="n"/>
      <c r="AB888" s="858" t="n"/>
      <c r="AC888" s="1302" t="n"/>
      <c r="AD888" s="1302" t="n"/>
      <c r="AE888" s="1302" t="inlineStr"/>
      <c r="AF888" s="1302" t="inlineStr"/>
      <c r="AG888" s="1302" t="inlineStr"/>
      <c r="AH888" s="1302" t="n"/>
      <c r="AI888" s="1302" t="n"/>
      <c r="AJ888" s="1302" t="n"/>
      <c r="AK888" s="1302">
        <f>AI888-AJ888</f>
        <v/>
      </c>
      <c r="AL888" s="858" t="n"/>
      <c r="AM888" s="1297" t="inlineStr"/>
      <c r="AN888" s="1298" t="n"/>
      <c r="AO888" s="13">
        <f>IF(_epmOfflineCondition_,0,EPMSaveDataOnly(AB888,,AB$29,AB$25,AB$26,AB$31,AB$32,$AA$37,AO$14,AO$15,AO$16,AO$17,AO$18,X888))</f>
        <v/>
      </c>
      <c r="AP888" s="13">
        <f>IF(_epmOfflineCondition_,0,EPMSaveDataOnly(AL888,,AL$29,AL$25,AL$26,AL$31,AL$32,$AA$37,AP$14,AP$15,AP$16,AP$17,AP$18,$X888))</f>
        <v/>
      </c>
      <c r="AQ888" s="13">
        <f>IF(_epmOfflineCondition_,0,EPMSaveData(AM888,,AM$29,AM$25,AM$26,$C$6,AM$32,$AA$37,AQ$14,AQ$15,AQ$16,AQ$17,AQ$18,$X888))</f>
        <v/>
      </c>
      <c r="AR888" s="13">
        <f>IF(_epmOfflineCondition_,0,EPMSaveDataOnly(AN888,,AN$29,AN$25,AN$26,AN$31,AN$32,$AA$37,AR$14,AR$15,AR$16,AR$17,AR$18,$X888))</f>
        <v/>
      </c>
      <c r="AS888" s="384" t="n"/>
    </row>
    <row r="889" hidden="1" s="1181">
      <c r="A889" s="384" t="n"/>
      <c r="B889" s="384" t="n"/>
      <c r="C889" s="384" t="n"/>
      <c r="D889" s="384" t="n"/>
      <c r="E889" s="384" t="n"/>
      <c r="F889" s="384" t="n"/>
      <c r="G889" s="384" t="n"/>
      <c r="H889" s="384" t="n"/>
      <c r="I889" s="384" t="n"/>
      <c r="J889" s="384" t="n"/>
      <c r="K889" s="384" t="n"/>
      <c r="L889" s="384" t="n"/>
      <c r="M889" s="384" t="n"/>
      <c r="N889" s="384" t="n"/>
      <c r="O889" s="384" t="n"/>
      <c r="P889" s="384" t="n"/>
      <c r="Q889" s="384" t="n"/>
      <c r="R889" s="384" t="n"/>
      <c r="S889" s="384" t="n"/>
      <c r="T889" s="384" t="n"/>
      <c r="U889" s="384" t="n"/>
      <c r="V889" s="384" t="n"/>
      <c r="W889" s="384" t="n"/>
      <c r="X889" s="645">
        <f>IF(_epmOfflineCondition_,"I_E101252",EPMOlapMemberO("[C_INTERCO].[PARENTH1].[I_E101252]","","I_E101252","","000"))</f>
        <v/>
      </c>
      <c r="Y889" s="870">
        <f>IF(_epmOfflineCondition_,"保山隆阳区保能国泰光伏发电有限公司-2024年5月注销",EPMMemberDesc(X889))</f>
        <v/>
      </c>
      <c r="Z889" s="1302" t="n"/>
      <c r="AA889" s="1302" t="n"/>
      <c r="AB889" s="858" t="n"/>
      <c r="AC889" s="1302" t="n"/>
      <c r="AD889" s="1302" t="n"/>
      <c r="AE889" s="1302" t="inlineStr"/>
      <c r="AF889" s="1302" t="inlineStr"/>
      <c r="AG889" s="1302" t="inlineStr"/>
      <c r="AH889" s="1302" t="n"/>
      <c r="AI889" s="1302" t="n"/>
      <c r="AJ889" s="1302" t="n"/>
      <c r="AK889" s="1302">
        <f>AI889-AJ889</f>
        <v/>
      </c>
      <c r="AL889" s="858" t="n"/>
      <c r="AM889" s="1297" t="inlineStr"/>
      <c r="AN889" s="1298" t="n"/>
      <c r="AO889" s="13">
        <f>IF(_epmOfflineCondition_,0,EPMSaveDataOnly(AB889,,AB$29,AB$25,AB$26,AB$31,AB$32,$AA$37,AO$14,AO$15,AO$16,AO$17,AO$18,X889))</f>
        <v/>
      </c>
      <c r="AP889" s="13">
        <f>IF(_epmOfflineCondition_,0,EPMSaveDataOnly(AL889,,AL$29,AL$25,AL$26,AL$31,AL$32,$AA$37,AP$14,AP$15,AP$16,AP$17,AP$18,$X889))</f>
        <v/>
      </c>
      <c r="AQ889" s="13">
        <f>IF(_epmOfflineCondition_,0,EPMSaveData(AM889,,AM$29,AM$25,AM$26,$C$6,AM$32,$AA$37,AQ$14,AQ$15,AQ$16,AQ$17,AQ$18,$X889))</f>
        <v/>
      </c>
      <c r="AR889" s="13">
        <f>IF(_epmOfflineCondition_,0,EPMSaveDataOnly(AN889,,AN$29,AN$25,AN$26,AN$31,AN$32,$AA$37,AR$14,AR$15,AR$16,AR$17,AR$18,$X889))</f>
        <v/>
      </c>
      <c r="AS889" s="384" t="n"/>
    </row>
    <row r="890" hidden="1" s="1181">
      <c r="A890" s="384" t="n"/>
      <c r="B890" s="384" t="n"/>
      <c r="C890" s="384" t="n"/>
      <c r="D890" s="384" t="n"/>
      <c r="E890" s="384" t="n"/>
      <c r="F890" s="384" t="n"/>
      <c r="G890" s="384" t="n"/>
      <c r="H890" s="384" t="n"/>
      <c r="I890" s="384" t="n"/>
      <c r="J890" s="384" t="n"/>
      <c r="K890" s="384" t="n"/>
      <c r="L890" s="384" t="n"/>
      <c r="M890" s="384" t="n"/>
      <c r="N890" s="384" t="n"/>
      <c r="O890" s="384" t="n"/>
      <c r="P890" s="384" t="n"/>
      <c r="Q890" s="384" t="n"/>
      <c r="R890" s="384" t="n"/>
      <c r="S890" s="384" t="n"/>
      <c r="T890" s="384" t="n"/>
      <c r="U890" s="384" t="n"/>
      <c r="V890" s="384" t="n"/>
      <c r="W890" s="384" t="n"/>
      <c r="X890" s="645">
        <f>IF(_epmOfflineCondition_,"I_E101260",EPMOlapMemberO("[C_INTERCO].[PARENTH1].[I_E101260]","","I_E101260","","000"))</f>
        <v/>
      </c>
      <c r="Y890" s="870">
        <f>IF(_epmOfflineCondition_,"萨迦县京能新能源有限公司",EPMMemberDesc(X890))</f>
        <v/>
      </c>
      <c r="Z890" s="1302" t="n"/>
      <c r="AA890" s="1302" t="n"/>
      <c r="AB890" s="858" t="n"/>
      <c r="AC890" s="1302" t="n"/>
      <c r="AD890" s="1302" t="n"/>
      <c r="AE890" s="1302" t="inlineStr"/>
      <c r="AF890" s="1302" t="inlineStr"/>
      <c r="AG890" s="1302" t="inlineStr"/>
      <c r="AH890" s="1302" t="n"/>
      <c r="AI890" s="1302" t="n"/>
      <c r="AJ890" s="1302" t="n"/>
      <c r="AK890" s="1302">
        <f>AI890-AJ890</f>
        <v/>
      </c>
      <c r="AL890" s="858" t="n"/>
      <c r="AM890" s="1297" t="inlineStr"/>
      <c r="AN890" s="1298" t="n"/>
      <c r="AO890" s="13">
        <f>IF(_epmOfflineCondition_,0,EPMSaveDataOnly(AB890,,AB$29,AB$25,AB$26,AB$31,AB$32,$AA$37,AO$14,AO$15,AO$16,AO$17,AO$18,X890))</f>
        <v/>
      </c>
      <c r="AP890" s="13">
        <f>IF(_epmOfflineCondition_,0,EPMSaveDataOnly(AL890,,AL$29,AL$25,AL$26,AL$31,AL$32,$AA$37,AP$14,AP$15,AP$16,AP$17,AP$18,$X890))</f>
        <v/>
      </c>
      <c r="AQ890" s="13">
        <f>IF(_epmOfflineCondition_,0,EPMSaveData(AM890,,AM$29,AM$25,AM$26,$C$6,AM$32,$AA$37,AQ$14,AQ$15,AQ$16,AQ$17,AQ$18,$X890))</f>
        <v/>
      </c>
      <c r="AR890" s="13">
        <f>IF(_epmOfflineCondition_,0,EPMSaveDataOnly(AN890,,AN$29,AN$25,AN$26,AN$31,AN$32,$AA$37,AR$14,AR$15,AR$16,AR$17,AR$18,$X890))</f>
        <v/>
      </c>
      <c r="AS890" s="384" t="n"/>
    </row>
    <row r="891" hidden="1" s="1181">
      <c r="A891" s="384" t="n"/>
      <c r="B891" s="384" t="n"/>
      <c r="C891" s="384" t="n"/>
      <c r="D891" s="384" t="n"/>
      <c r="E891" s="384" t="n"/>
      <c r="F891" s="384" t="n"/>
      <c r="G891" s="384" t="n"/>
      <c r="H891" s="384" t="n"/>
      <c r="I891" s="384" t="n"/>
      <c r="J891" s="384" t="n"/>
      <c r="K891" s="384" t="n"/>
      <c r="L891" s="384" t="n"/>
      <c r="M891" s="384" t="n"/>
      <c r="N891" s="384" t="n"/>
      <c r="O891" s="384" t="n"/>
      <c r="P891" s="384" t="n"/>
      <c r="Q891" s="384" t="n"/>
      <c r="R891" s="384" t="n"/>
      <c r="S891" s="384" t="n"/>
      <c r="T891" s="384" t="n"/>
      <c r="U891" s="384" t="n"/>
      <c r="V891" s="384" t="n"/>
      <c r="W891" s="384" t="n"/>
      <c r="X891" s="645">
        <f>IF(_epmOfflineCondition_,"I_E101261",EPMOlapMemberO("[C_INTERCO].[PARENTH1].[I_E101261]","","I_E101261","","000"))</f>
        <v/>
      </c>
      <c r="Y891" s="870">
        <f>IF(_epmOfflineCondition_,"江达县英利金码新能源开发有限公司",EPMMemberDesc(X891))</f>
        <v/>
      </c>
      <c r="Z891" s="1302" t="n"/>
      <c r="AA891" s="1302" t="n"/>
      <c r="AB891" s="858" t="n"/>
      <c r="AC891" s="1302" t="n"/>
      <c r="AD891" s="1302" t="n"/>
      <c r="AE891" s="1302" t="inlineStr"/>
      <c r="AF891" s="1302" t="inlineStr"/>
      <c r="AG891" s="1302" t="inlineStr"/>
      <c r="AH891" s="1302" t="n"/>
      <c r="AI891" s="1302" t="n"/>
      <c r="AJ891" s="1302" t="n"/>
      <c r="AK891" s="1302">
        <f>AI891-AJ891</f>
        <v/>
      </c>
      <c r="AL891" s="858" t="n"/>
      <c r="AM891" s="1297" t="inlineStr"/>
      <c r="AN891" s="1298" t="n"/>
      <c r="AO891" s="13">
        <f>IF(_epmOfflineCondition_,0,EPMSaveDataOnly(AB891,,AB$29,AB$25,AB$26,AB$31,AB$32,$AA$37,AO$14,AO$15,AO$16,AO$17,AO$18,X891))</f>
        <v/>
      </c>
      <c r="AP891" s="13">
        <f>IF(_epmOfflineCondition_,0,EPMSaveDataOnly(AL891,,AL$29,AL$25,AL$26,AL$31,AL$32,$AA$37,AP$14,AP$15,AP$16,AP$17,AP$18,$X891))</f>
        <v/>
      </c>
      <c r="AQ891" s="13">
        <f>IF(_epmOfflineCondition_,0,EPMSaveData(AM891,,AM$29,AM$25,AM$26,$C$6,AM$32,$AA$37,AQ$14,AQ$15,AQ$16,AQ$17,AQ$18,$X891))</f>
        <v/>
      </c>
      <c r="AR891" s="13">
        <f>IF(_epmOfflineCondition_,0,EPMSaveDataOnly(AN891,,AN$29,AN$25,AN$26,AN$31,AN$32,$AA$37,AR$14,AR$15,AR$16,AR$17,AR$18,$X891))</f>
        <v/>
      </c>
      <c r="AS891" s="384" t="n"/>
    </row>
    <row r="892" hidden="1" s="1181">
      <c r="A892" s="384" t="n"/>
      <c r="B892" s="384" t="n"/>
      <c r="C892" s="384" t="n"/>
      <c r="D892" s="384" t="n"/>
      <c r="E892" s="384" t="n"/>
      <c r="F892" s="384" t="n"/>
      <c r="G892" s="384" t="n"/>
      <c r="H892" s="384" t="n"/>
      <c r="I892" s="384" t="n"/>
      <c r="J892" s="384" t="n"/>
      <c r="K892" s="384" t="n"/>
      <c r="L892" s="384" t="n"/>
      <c r="M892" s="384" t="n"/>
      <c r="N892" s="384" t="n"/>
      <c r="O892" s="384" t="n"/>
      <c r="P892" s="384" t="n"/>
      <c r="Q892" s="384" t="n"/>
      <c r="R892" s="384" t="n"/>
      <c r="S892" s="384" t="n"/>
      <c r="T892" s="384" t="n"/>
      <c r="U892" s="384" t="n"/>
      <c r="V892" s="384" t="n"/>
      <c r="W892" s="384" t="n"/>
      <c r="X892" s="645">
        <f>IF(_epmOfflineCondition_,"I_E101263",EPMOlapMemberO("[C_INTERCO].[PARENTH1].[I_E101263]","","I_E101263","","000"))</f>
        <v/>
      </c>
      <c r="Y892" s="870">
        <f>IF(_epmOfflineCondition_,"京能泗阳清洁能源有限公司",EPMMemberDesc(X892))</f>
        <v/>
      </c>
      <c r="Z892" s="1302" t="n"/>
      <c r="AA892" s="1302" t="n"/>
      <c r="AB892" s="858" t="n"/>
      <c r="AC892" s="1302" t="n"/>
      <c r="AD892" s="1302" t="n"/>
      <c r="AE892" s="1302" t="inlineStr"/>
      <c r="AF892" s="1302" t="inlineStr"/>
      <c r="AG892" s="1302" t="inlineStr"/>
      <c r="AH892" s="1302" t="n"/>
      <c r="AI892" s="1302" t="n"/>
      <c r="AJ892" s="1302" t="n"/>
      <c r="AK892" s="1302">
        <f>AI892-AJ892</f>
        <v/>
      </c>
      <c r="AL892" s="858" t="n"/>
      <c r="AM892" s="1297" t="inlineStr"/>
      <c r="AN892" s="1298" t="n"/>
      <c r="AO892" s="13">
        <f>IF(_epmOfflineCondition_,0,EPMSaveDataOnly(AB892,,AB$29,AB$25,AB$26,AB$31,AB$32,$AA$37,AO$14,AO$15,AO$16,AO$17,AO$18,X892))</f>
        <v/>
      </c>
      <c r="AP892" s="13">
        <f>IF(_epmOfflineCondition_,0,EPMSaveDataOnly(AL892,,AL$29,AL$25,AL$26,AL$31,AL$32,$AA$37,AP$14,AP$15,AP$16,AP$17,AP$18,$X892))</f>
        <v/>
      </c>
      <c r="AQ892" s="13">
        <f>IF(_epmOfflineCondition_,0,EPMSaveData(AM892,,AM$29,AM$25,AM$26,$C$6,AM$32,$AA$37,AQ$14,AQ$15,AQ$16,AQ$17,AQ$18,$X892))</f>
        <v/>
      </c>
      <c r="AR892" s="13">
        <f>IF(_epmOfflineCondition_,0,EPMSaveDataOnly(AN892,,AN$29,AN$25,AN$26,AN$31,AN$32,$AA$37,AR$14,AR$15,AR$16,AR$17,AR$18,$X892))</f>
        <v/>
      </c>
      <c r="AS892" s="384" t="n"/>
    </row>
    <row r="893" hidden="1" s="1181">
      <c r="A893" s="384" t="n"/>
      <c r="B893" s="384" t="n"/>
      <c r="C893" s="384" t="n"/>
      <c r="D893" s="384" t="n"/>
      <c r="E893" s="384" t="n"/>
      <c r="F893" s="384" t="n"/>
      <c r="G893" s="384" t="n"/>
      <c r="H893" s="384" t="n"/>
      <c r="I893" s="384" t="n"/>
      <c r="J893" s="384" t="n"/>
      <c r="K893" s="384" t="n"/>
      <c r="L893" s="384" t="n"/>
      <c r="M893" s="384" t="n"/>
      <c r="N893" s="384" t="n"/>
      <c r="O893" s="384" t="n"/>
      <c r="P893" s="384" t="n"/>
      <c r="Q893" s="384" t="n"/>
      <c r="R893" s="384" t="n"/>
      <c r="S893" s="384" t="n"/>
      <c r="T893" s="384" t="n"/>
      <c r="U893" s="384" t="n"/>
      <c r="V893" s="384" t="n"/>
      <c r="W893" s="384" t="n"/>
      <c r="X893" s="645">
        <f>IF(_epmOfflineCondition_,"I_E101242",EPMOlapMemberO("[C_INTERCO].[PARENTH1].[I_E101242]","","I_E101242","","000"))</f>
        <v/>
      </c>
      <c r="Y893" s="870">
        <f>IF(_epmOfflineCondition_,"京维（高密）新能源有限公司",EPMMemberDesc(X893))</f>
        <v/>
      </c>
      <c r="Z893" s="1302" t="n"/>
      <c r="AA893" s="1302" t="n"/>
      <c r="AB893" s="858" t="n"/>
      <c r="AC893" s="1302" t="n"/>
      <c r="AD893" s="1302" t="n"/>
      <c r="AE893" s="1302" t="inlineStr"/>
      <c r="AF893" s="1302" t="inlineStr"/>
      <c r="AG893" s="1302" t="inlineStr"/>
      <c r="AH893" s="1302" t="n"/>
      <c r="AI893" s="1302" t="n"/>
      <c r="AJ893" s="1302" t="n"/>
      <c r="AK893" s="1302">
        <f>AI893-AJ893</f>
        <v/>
      </c>
      <c r="AL893" s="858" t="n"/>
      <c r="AM893" s="1297" t="inlineStr"/>
      <c r="AN893" s="1298" t="n"/>
      <c r="AO893" s="13">
        <f>IF(_epmOfflineCondition_,0,EPMSaveDataOnly(AB893,,AB$29,AB$25,AB$26,AB$31,AB$32,$AA$37,AO$14,AO$15,AO$16,AO$17,AO$18,X893))</f>
        <v/>
      </c>
      <c r="AP893" s="13">
        <f>IF(_epmOfflineCondition_,0,EPMSaveDataOnly(AL893,,AL$29,AL$25,AL$26,AL$31,AL$32,$AA$37,AP$14,AP$15,AP$16,AP$17,AP$18,$X893))</f>
        <v/>
      </c>
      <c r="AQ893" s="13">
        <f>IF(_epmOfflineCondition_,0,EPMSaveData(AM893,,AM$29,AM$25,AM$26,$C$6,AM$32,$AA$37,AQ$14,AQ$15,AQ$16,AQ$17,AQ$18,$X893))</f>
        <v/>
      </c>
      <c r="AR893" s="13">
        <f>IF(_epmOfflineCondition_,0,EPMSaveDataOnly(AN893,,AN$29,AN$25,AN$26,AN$31,AN$32,$AA$37,AR$14,AR$15,AR$16,AR$17,AR$18,$X893))</f>
        <v/>
      </c>
      <c r="AS893" s="384" t="n"/>
    </row>
    <row r="894" hidden="1" s="1181">
      <c r="A894" s="384" t="n"/>
      <c r="B894" s="384" t="n"/>
      <c r="C894" s="384" t="n"/>
      <c r="D894" s="384" t="n"/>
      <c r="E894" s="384" t="n"/>
      <c r="F894" s="384" t="n"/>
      <c r="G894" s="384" t="n"/>
      <c r="H894" s="384" t="n"/>
      <c r="I894" s="384" t="n"/>
      <c r="J894" s="384" t="n"/>
      <c r="K894" s="384" t="n"/>
      <c r="L894" s="384" t="n"/>
      <c r="M894" s="384" t="n"/>
      <c r="N894" s="384" t="n"/>
      <c r="O894" s="384" t="n"/>
      <c r="P894" s="384" t="n"/>
      <c r="Q894" s="384" t="n"/>
      <c r="R894" s="384" t="n"/>
      <c r="S894" s="384" t="n"/>
      <c r="T894" s="384" t="n"/>
      <c r="U894" s="384" t="n"/>
      <c r="V894" s="384" t="n"/>
      <c r="W894" s="384" t="n"/>
      <c r="X894" s="645">
        <f>IF(_epmOfflineCondition_,"I_E101165",EPMOlapMemberO("[C_INTERCO].[PARENTH1].[I_E101165]","","I_E101165","","000"))</f>
        <v/>
      </c>
      <c r="Y894" s="870">
        <f>IF(_epmOfflineCondition_,"信阳京能清洁能源有限公司",EPMMemberDesc(X894))</f>
        <v/>
      </c>
      <c r="Z894" s="1302" t="n"/>
      <c r="AA894" s="1302" t="n"/>
      <c r="AB894" s="858" t="n"/>
      <c r="AC894" s="1302" t="n"/>
      <c r="AD894" s="1302" t="n"/>
      <c r="AE894" s="1302" t="inlineStr"/>
      <c r="AF894" s="1302" t="inlineStr"/>
      <c r="AG894" s="1302" t="inlineStr"/>
      <c r="AH894" s="1302" t="n"/>
      <c r="AI894" s="1302" t="n"/>
      <c r="AJ894" s="1302" t="n"/>
      <c r="AK894" s="1302">
        <f>AI894-AJ894</f>
        <v/>
      </c>
      <c r="AL894" s="858" t="n"/>
      <c r="AM894" s="1297" t="inlineStr"/>
      <c r="AN894" s="1298" t="n"/>
      <c r="AO894" s="13">
        <f>IF(_epmOfflineCondition_,0,EPMSaveDataOnly(AB894,,AB$29,AB$25,AB$26,AB$31,AB$32,$AA$37,AO$14,AO$15,AO$16,AO$17,AO$18,X894))</f>
        <v/>
      </c>
      <c r="AP894" s="13">
        <f>IF(_epmOfflineCondition_,0,EPMSaveDataOnly(AL894,,AL$29,AL$25,AL$26,AL$31,AL$32,$AA$37,AP$14,AP$15,AP$16,AP$17,AP$18,$X894))</f>
        <v/>
      </c>
      <c r="AQ894" s="13">
        <f>IF(_epmOfflineCondition_,0,EPMSaveData(AM894,,AM$29,AM$25,AM$26,$C$6,AM$32,$AA$37,AQ$14,AQ$15,AQ$16,AQ$17,AQ$18,$X894))</f>
        <v/>
      </c>
      <c r="AR894" s="13">
        <f>IF(_epmOfflineCondition_,0,EPMSaveDataOnly(AN894,,AN$29,AN$25,AN$26,AN$31,AN$32,$AA$37,AR$14,AR$15,AR$16,AR$17,AR$18,$X894))</f>
        <v/>
      </c>
      <c r="AS894" s="384" t="n"/>
    </row>
    <row r="895" hidden="1" s="1181">
      <c r="A895" s="384" t="n"/>
      <c r="B895" s="384" t="n"/>
      <c r="C895" s="384" t="n"/>
      <c r="D895" s="384" t="n"/>
      <c r="E895" s="384" t="n"/>
      <c r="F895" s="384" t="n"/>
      <c r="G895" s="384" t="n"/>
      <c r="H895" s="384" t="n"/>
      <c r="I895" s="384" t="n"/>
      <c r="J895" s="384" t="n"/>
      <c r="K895" s="384" t="n"/>
      <c r="L895" s="384" t="n"/>
      <c r="M895" s="384" t="n"/>
      <c r="N895" s="384" t="n"/>
      <c r="O895" s="384" t="n"/>
      <c r="P895" s="384" t="n"/>
      <c r="Q895" s="384" t="n"/>
      <c r="R895" s="384" t="n"/>
      <c r="S895" s="384" t="n"/>
      <c r="T895" s="384" t="n"/>
      <c r="U895" s="384" t="n"/>
      <c r="V895" s="384" t="n"/>
      <c r="W895" s="384" t="n"/>
      <c r="X895" s="645">
        <f>IF(_epmOfflineCondition_,"I_E101253",EPMOlapMemberO("[C_INTERCO].[PARENTH1].[I_E101253]","","I_E101253","","000"))</f>
        <v/>
      </c>
      <c r="Y895" s="870">
        <f>IF(_epmOfflineCondition_,"无锡碳惠综合能源服务有限公司",EPMMemberDesc(X895))</f>
        <v/>
      </c>
      <c r="Z895" s="1302" t="n"/>
      <c r="AA895" s="1302" t="n"/>
      <c r="AB895" s="858" t="n"/>
      <c r="AC895" s="1302" t="n"/>
      <c r="AD895" s="1302" t="n"/>
      <c r="AE895" s="1302" t="inlineStr"/>
      <c r="AF895" s="1302" t="inlineStr"/>
      <c r="AG895" s="1302" t="inlineStr"/>
      <c r="AH895" s="1302" t="n"/>
      <c r="AI895" s="1302" t="n"/>
      <c r="AJ895" s="1302" t="n"/>
      <c r="AK895" s="1302">
        <f>AI895-AJ895</f>
        <v/>
      </c>
      <c r="AL895" s="858" t="n"/>
      <c r="AM895" s="1297" t="inlineStr"/>
      <c r="AN895" s="1298" t="n"/>
      <c r="AO895" s="13">
        <f>IF(_epmOfflineCondition_,0,EPMSaveDataOnly(AB895,,AB$29,AB$25,AB$26,AB$31,AB$32,$AA$37,AO$14,AO$15,AO$16,AO$17,AO$18,X895))</f>
        <v/>
      </c>
      <c r="AP895" s="13">
        <f>IF(_epmOfflineCondition_,0,EPMSaveDataOnly(AL895,,AL$29,AL$25,AL$26,AL$31,AL$32,$AA$37,AP$14,AP$15,AP$16,AP$17,AP$18,$X895))</f>
        <v/>
      </c>
      <c r="AQ895" s="13">
        <f>IF(_epmOfflineCondition_,0,EPMSaveData(AM895,,AM$29,AM$25,AM$26,$C$6,AM$32,$AA$37,AQ$14,AQ$15,AQ$16,AQ$17,AQ$18,$X895))</f>
        <v/>
      </c>
      <c r="AR895" s="13">
        <f>IF(_epmOfflineCondition_,0,EPMSaveDataOnly(AN895,,AN$29,AN$25,AN$26,AN$31,AN$32,$AA$37,AR$14,AR$15,AR$16,AR$17,AR$18,$X895))</f>
        <v/>
      </c>
      <c r="AS895" s="384" t="n"/>
    </row>
    <row r="896" hidden="1" s="1181">
      <c r="A896" s="384" t="n"/>
      <c r="B896" s="384" t="n"/>
      <c r="C896" s="384" t="n"/>
      <c r="D896" s="384" t="n"/>
      <c r="E896" s="384" t="n"/>
      <c r="F896" s="384" t="n"/>
      <c r="G896" s="384" t="n"/>
      <c r="H896" s="384" t="n"/>
      <c r="I896" s="384" t="n"/>
      <c r="J896" s="384" t="n"/>
      <c r="K896" s="384" t="n"/>
      <c r="L896" s="384" t="n"/>
      <c r="M896" s="384" t="n"/>
      <c r="N896" s="384" t="n"/>
      <c r="O896" s="384" t="n"/>
      <c r="P896" s="384" t="n"/>
      <c r="Q896" s="384" t="n"/>
      <c r="R896" s="384" t="n"/>
      <c r="S896" s="384" t="n"/>
      <c r="T896" s="384" t="n"/>
      <c r="U896" s="384" t="n"/>
      <c r="V896" s="384" t="n"/>
      <c r="W896" s="384" t="n"/>
      <c r="X896" s="645">
        <f>IF(_epmOfflineCondition_,"I_E101258",EPMOlapMemberO("[C_INTERCO].[PARENTH1].[I_E101258]","","I_E101258","","000"))</f>
        <v/>
      </c>
      <c r="Y896" s="870">
        <f>IF(_epmOfflineCondition_,"佛山市凯宁新能源有限公司",EPMMemberDesc(X896))</f>
        <v/>
      </c>
      <c r="Z896" s="1302" t="n"/>
      <c r="AA896" s="1302" t="n"/>
      <c r="AB896" s="858" t="n"/>
      <c r="AC896" s="1302" t="n"/>
      <c r="AD896" s="1302" t="n"/>
      <c r="AE896" s="1302" t="inlineStr"/>
      <c r="AF896" s="1302" t="inlineStr"/>
      <c r="AG896" s="1302" t="inlineStr"/>
      <c r="AH896" s="1302" t="n"/>
      <c r="AI896" s="1302" t="n"/>
      <c r="AJ896" s="1302" t="n"/>
      <c r="AK896" s="1302">
        <f>AI896-AJ896</f>
        <v/>
      </c>
      <c r="AL896" s="858" t="n"/>
      <c r="AM896" s="1297" t="inlineStr"/>
      <c r="AN896" s="1298" t="n"/>
      <c r="AO896" s="13">
        <f>IF(_epmOfflineCondition_,0,EPMSaveDataOnly(AB896,,AB$29,AB$25,AB$26,AB$31,AB$32,$AA$37,AO$14,AO$15,AO$16,AO$17,AO$18,X896))</f>
        <v/>
      </c>
      <c r="AP896" s="13">
        <f>IF(_epmOfflineCondition_,0,EPMSaveDataOnly(AL896,,AL$29,AL$25,AL$26,AL$31,AL$32,$AA$37,AP$14,AP$15,AP$16,AP$17,AP$18,$X896))</f>
        <v/>
      </c>
      <c r="AQ896" s="13">
        <f>IF(_epmOfflineCondition_,0,EPMSaveData(AM896,,AM$29,AM$25,AM$26,$C$6,AM$32,$AA$37,AQ$14,AQ$15,AQ$16,AQ$17,AQ$18,$X896))</f>
        <v/>
      </c>
      <c r="AR896" s="13">
        <f>IF(_epmOfflineCondition_,0,EPMSaveDataOnly(AN896,,AN$29,AN$25,AN$26,AN$31,AN$32,$AA$37,AR$14,AR$15,AR$16,AR$17,AR$18,$X896))</f>
        <v/>
      </c>
      <c r="AS896" s="384" t="n"/>
    </row>
    <row r="897" hidden="1" s="1181">
      <c r="A897" s="384" t="n"/>
      <c r="B897" s="384" t="n"/>
      <c r="C897" s="384" t="n"/>
      <c r="D897" s="384" t="n"/>
      <c r="E897" s="384" t="n"/>
      <c r="F897" s="384" t="n"/>
      <c r="G897" s="384" t="n"/>
      <c r="H897" s="384" t="n"/>
      <c r="I897" s="384" t="n"/>
      <c r="J897" s="384" t="n"/>
      <c r="K897" s="384" t="n"/>
      <c r="L897" s="384" t="n"/>
      <c r="M897" s="384" t="n"/>
      <c r="N897" s="384" t="n"/>
      <c r="O897" s="384" t="n"/>
      <c r="P897" s="384" t="n"/>
      <c r="Q897" s="384" t="n"/>
      <c r="R897" s="384" t="n"/>
      <c r="S897" s="384" t="n"/>
      <c r="T897" s="384" t="n"/>
      <c r="U897" s="384" t="n"/>
      <c r="V897" s="384" t="n"/>
      <c r="W897" s="384" t="n"/>
      <c r="X897" s="645">
        <f>IF(_epmOfflineCondition_,"I_E101259",EPMOlapMemberO("[C_INTERCO].[PARENTH1].[I_E101259]","","I_E101259","","000"))</f>
        <v/>
      </c>
      <c r="Y897" s="870">
        <f>IF(_epmOfflineCondition_,"南京万芒新能源有限公司",EPMMemberDesc(X897))</f>
        <v/>
      </c>
      <c r="Z897" s="1302" t="n"/>
      <c r="AA897" s="1302" t="n"/>
      <c r="AB897" s="858" t="n"/>
      <c r="AC897" s="1302" t="n"/>
      <c r="AD897" s="1302" t="n"/>
      <c r="AE897" s="1302" t="inlineStr"/>
      <c r="AF897" s="1302" t="inlineStr"/>
      <c r="AG897" s="1302" t="inlineStr"/>
      <c r="AH897" s="1302" t="n"/>
      <c r="AI897" s="1302" t="n"/>
      <c r="AJ897" s="1302" t="n"/>
      <c r="AK897" s="1302">
        <f>AI897-AJ897</f>
        <v/>
      </c>
      <c r="AL897" s="858" t="n"/>
      <c r="AM897" s="1297" t="inlineStr"/>
      <c r="AN897" s="1298" t="n"/>
      <c r="AO897" s="13">
        <f>IF(_epmOfflineCondition_,0,EPMSaveDataOnly(AB897,,AB$29,AB$25,AB$26,AB$31,AB$32,$AA$37,AO$14,AO$15,AO$16,AO$17,AO$18,X897))</f>
        <v/>
      </c>
      <c r="AP897" s="13">
        <f>IF(_epmOfflineCondition_,0,EPMSaveDataOnly(AL897,,AL$29,AL$25,AL$26,AL$31,AL$32,$AA$37,AP$14,AP$15,AP$16,AP$17,AP$18,$X897))</f>
        <v/>
      </c>
      <c r="AQ897" s="13">
        <f>IF(_epmOfflineCondition_,0,EPMSaveData(AM897,,AM$29,AM$25,AM$26,$C$6,AM$32,$AA$37,AQ$14,AQ$15,AQ$16,AQ$17,AQ$18,$X897))</f>
        <v/>
      </c>
      <c r="AR897" s="13">
        <f>IF(_epmOfflineCondition_,0,EPMSaveDataOnly(AN897,,AN$29,AN$25,AN$26,AN$31,AN$32,$AA$37,AR$14,AR$15,AR$16,AR$17,AR$18,$X897))</f>
        <v/>
      </c>
      <c r="AS897" s="384" t="n"/>
    </row>
    <row r="898" hidden="1" s="1181">
      <c r="A898" s="384" t="n"/>
      <c r="B898" s="384" t="n"/>
      <c r="C898" s="384" t="n"/>
      <c r="D898" s="384" t="n"/>
      <c r="E898" s="384" t="n"/>
      <c r="F898" s="384" t="n"/>
      <c r="G898" s="384" t="n"/>
      <c r="H898" s="384" t="n"/>
      <c r="I898" s="384" t="n"/>
      <c r="J898" s="384" t="n"/>
      <c r="K898" s="384" t="n"/>
      <c r="L898" s="384" t="n"/>
      <c r="M898" s="384" t="n"/>
      <c r="N898" s="384" t="n"/>
      <c r="O898" s="384" t="n"/>
      <c r="P898" s="384" t="n"/>
      <c r="Q898" s="384" t="n"/>
      <c r="R898" s="384" t="n"/>
      <c r="S898" s="384" t="n"/>
      <c r="T898" s="384" t="n"/>
      <c r="U898" s="384" t="n"/>
      <c r="V898" s="384" t="n"/>
      <c r="W898" s="384" t="n"/>
      <c r="X898" s="645">
        <f>IF(_epmOfflineCondition_,"I_E101268",EPMOlapMemberO("[C_INTERCO].[PARENTH1].[I_E101268]","","I_E101268","","000"))</f>
        <v/>
      </c>
      <c r="Y898" s="870">
        <f>IF(_epmOfflineCondition_,"阜新市盛步太阳能发电有限公司",EPMMemberDesc(X898))</f>
        <v/>
      </c>
      <c r="Z898" s="1302" t="n"/>
      <c r="AA898" s="1302" t="n"/>
      <c r="AB898" s="858" t="n"/>
      <c r="AC898" s="1302" t="n"/>
      <c r="AD898" s="1302" t="n"/>
      <c r="AE898" s="1302" t="inlineStr"/>
      <c r="AF898" s="1302" t="inlineStr"/>
      <c r="AG898" s="1302" t="inlineStr"/>
      <c r="AH898" s="1302" t="n"/>
      <c r="AI898" s="1302" t="n"/>
      <c r="AJ898" s="1302" t="n"/>
      <c r="AK898" s="1302">
        <f>AI898-AJ898</f>
        <v/>
      </c>
      <c r="AL898" s="858" t="n"/>
      <c r="AM898" s="1297" t="inlineStr"/>
      <c r="AN898" s="1298" t="n"/>
      <c r="AO898" s="13">
        <f>IF(_epmOfflineCondition_,0,EPMSaveDataOnly(AB898,,AB$29,AB$25,AB$26,AB$31,AB$32,$AA$37,AO$14,AO$15,AO$16,AO$17,AO$18,X898))</f>
        <v/>
      </c>
      <c r="AP898" s="13">
        <f>IF(_epmOfflineCondition_,0,EPMSaveDataOnly(AL898,,AL$29,AL$25,AL$26,AL$31,AL$32,$AA$37,AP$14,AP$15,AP$16,AP$17,AP$18,$X898))</f>
        <v/>
      </c>
      <c r="AQ898" s="13">
        <f>IF(_epmOfflineCondition_,0,EPMSaveData(AM898,,AM$29,AM$25,AM$26,$C$6,AM$32,$AA$37,AQ$14,AQ$15,AQ$16,AQ$17,AQ$18,$X898))</f>
        <v/>
      </c>
      <c r="AR898" s="13">
        <f>IF(_epmOfflineCondition_,0,EPMSaveDataOnly(AN898,,AN$29,AN$25,AN$26,AN$31,AN$32,$AA$37,AR$14,AR$15,AR$16,AR$17,AR$18,$X898))</f>
        <v/>
      </c>
      <c r="AS898" s="384" t="n"/>
    </row>
    <row r="899" hidden="1" s="1181">
      <c r="A899" s="384" t="n"/>
      <c r="B899" s="384" t="n"/>
      <c r="C899" s="384" t="n"/>
      <c r="D899" s="384" t="n"/>
      <c r="E899" s="384" t="n"/>
      <c r="F899" s="384" t="n"/>
      <c r="G899" s="384" t="n"/>
      <c r="H899" s="384" t="n"/>
      <c r="I899" s="384" t="n"/>
      <c r="J899" s="384" t="n"/>
      <c r="K899" s="384" t="n"/>
      <c r="L899" s="384" t="n"/>
      <c r="M899" s="384" t="n"/>
      <c r="N899" s="384" t="n"/>
      <c r="O899" s="384" t="n"/>
      <c r="P899" s="384" t="n"/>
      <c r="Q899" s="384" t="n"/>
      <c r="R899" s="384" t="n"/>
      <c r="S899" s="384" t="n"/>
      <c r="T899" s="384" t="n"/>
      <c r="U899" s="384" t="n"/>
      <c r="V899" s="384" t="n"/>
      <c r="W899" s="384" t="n"/>
      <c r="X899" s="645">
        <f>IF(_epmOfflineCondition_,"I_E101269",EPMOlapMemberO("[C_INTERCO].[PARENTH1].[I_E101269]","","I_E101269","","000"))</f>
        <v/>
      </c>
      <c r="Y899" s="870">
        <f>IF(_epmOfflineCondition_,"阜新鸿昇太阳能发电有限公司",EPMMemberDesc(X899))</f>
        <v/>
      </c>
      <c r="Z899" s="1302" t="n"/>
      <c r="AA899" s="1302" t="n"/>
      <c r="AB899" s="858" t="n"/>
      <c r="AC899" s="1302" t="n"/>
      <c r="AD899" s="1302" t="n"/>
      <c r="AE899" s="1302" t="inlineStr"/>
      <c r="AF899" s="1302" t="inlineStr"/>
      <c r="AG899" s="1302" t="inlineStr"/>
      <c r="AH899" s="1302" t="n"/>
      <c r="AI899" s="1302" t="n"/>
      <c r="AJ899" s="1302" t="n"/>
      <c r="AK899" s="1302">
        <f>AI899-AJ899</f>
        <v/>
      </c>
      <c r="AL899" s="858" t="n"/>
      <c r="AM899" s="1297" t="inlineStr"/>
      <c r="AN899" s="1298" t="n"/>
      <c r="AO899" s="13">
        <f>IF(_epmOfflineCondition_,0,EPMSaveDataOnly(AB899,,AB$29,AB$25,AB$26,AB$31,AB$32,$AA$37,AO$14,AO$15,AO$16,AO$17,AO$18,X899))</f>
        <v/>
      </c>
      <c r="AP899" s="13">
        <f>IF(_epmOfflineCondition_,0,EPMSaveDataOnly(AL899,,AL$29,AL$25,AL$26,AL$31,AL$32,$AA$37,AP$14,AP$15,AP$16,AP$17,AP$18,$X899))</f>
        <v/>
      </c>
      <c r="AQ899" s="13">
        <f>IF(_epmOfflineCondition_,0,EPMSaveData(AM899,,AM$29,AM$25,AM$26,$C$6,AM$32,$AA$37,AQ$14,AQ$15,AQ$16,AQ$17,AQ$18,$X899))</f>
        <v/>
      </c>
      <c r="AR899" s="13">
        <f>IF(_epmOfflineCondition_,0,EPMSaveDataOnly(AN899,,AN$29,AN$25,AN$26,AN$31,AN$32,$AA$37,AR$14,AR$15,AR$16,AR$17,AR$18,$X899))</f>
        <v/>
      </c>
      <c r="AS899" s="384" t="n"/>
    </row>
    <row r="900" hidden="1" s="1181">
      <c r="A900" s="384" t="n"/>
      <c r="B900" s="384" t="n"/>
      <c r="C900" s="384" t="n"/>
      <c r="D900" s="384" t="n"/>
      <c r="E900" s="384" t="n"/>
      <c r="F900" s="384" t="n"/>
      <c r="G900" s="384" t="n"/>
      <c r="H900" s="384" t="n"/>
      <c r="I900" s="384" t="n"/>
      <c r="J900" s="384" t="n"/>
      <c r="K900" s="384" t="n"/>
      <c r="L900" s="384" t="n"/>
      <c r="M900" s="384" t="n"/>
      <c r="N900" s="384" t="n"/>
      <c r="O900" s="384" t="n"/>
      <c r="P900" s="384" t="n"/>
      <c r="Q900" s="384" t="n"/>
      <c r="R900" s="384" t="n"/>
      <c r="S900" s="384" t="n"/>
      <c r="T900" s="384" t="n"/>
      <c r="U900" s="384" t="n"/>
      <c r="V900" s="384" t="n"/>
      <c r="W900" s="384" t="n"/>
      <c r="X900" s="645">
        <f>IF(_epmOfflineCondition_,"I_E101272",EPMOlapMemberO("[C_INTERCO].[PARENTH1].[I_E101272]","","I_E101272","","000"))</f>
        <v/>
      </c>
      <c r="Y900" s="870">
        <f>IF(_epmOfflineCondition_,"北京京能能加科技有限公司",EPMMemberDesc(X900))</f>
        <v/>
      </c>
      <c r="Z900" s="1302" t="n"/>
      <c r="AA900" s="1302" t="n"/>
      <c r="AB900" s="858" t="n"/>
      <c r="AC900" s="1302" t="n"/>
      <c r="AD900" s="1302" t="n"/>
      <c r="AE900" s="1302" t="inlineStr"/>
      <c r="AF900" s="1302" t="inlineStr"/>
      <c r="AG900" s="1302" t="inlineStr"/>
      <c r="AH900" s="1302" t="n"/>
      <c r="AI900" s="1302" t="n"/>
      <c r="AJ900" s="1302" t="n"/>
      <c r="AK900" s="1302">
        <f>AI900-AJ900</f>
        <v/>
      </c>
      <c r="AL900" s="858" t="n"/>
      <c r="AM900" s="1297" t="inlineStr"/>
      <c r="AN900" s="1298" t="n"/>
      <c r="AO900" s="13">
        <f>IF(_epmOfflineCondition_,0,EPMSaveDataOnly(AB900,,AB$29,AB$25,AB$26,AB$31,AB$32,$AA$37,AO$14,AO$15,AO$16,AO$17,AO$18,X900))</f>
        <v/>
      </c>
      <c r="AP900" s="13">
        <f>IF(_epmOfflineCondition_,0,EPMSaveDataOnly(AL900,,AL$29,AL$25,AL$26,AL$31,AL$32,$AA$37,AP$14,AP$15,AP$16,AP$17,AP$18,$X900))</f>
        <v/>
      </c>
      <c r="AQ900" s="13">
        <f>IF(_epmOfflineCondition_,0,EPMSaveData(AM900,,AM$29,AM$25,AM$26,$C$6,AM$32,$AA$37,AQ$14,AQ$15,AQ$16,AQ$17,AQ$18,$X900))</f>
        <v/>
      </c>
      <c r="AR900" s="13">
        <f>IF(_epmOfflineCondition_,0,EPMSaveDataOnly(AN900,,AN$29,AN$25,AN$26,AN$31,AN$32,$AA$37,AR$14,AR$15,AR$16,AR$17,AR$18,$X900))</f>
        <v/>
      </c>
      <c r="AS900" s="384" t="n"/>
    </row>
    <row r="901" hidden="1" s="1181">
      <c r="A901" s="384" t="n"/>
      <c r="B901" s="384" t="n"/>
      <c r="C901" s="384" t="n"/>
      <c r="D901" s="384" t="n"/>
      <c r="E901" s="384" t="n"/>
      <c r="F901" s="384" t="n"/>
      <c r="G901" s="384" t="n"/>
      <c r="H901" s="384" t="n"/>
      <c r="I901" s="384" t="n"/>
      <c r="J901" s="384" t="n"/>
      <c r="K901" s="384" t="n"/>
      <c r="L901" s="384" t="n"/>
      <c r="M901" s="384" t="n"/>
      <c r="N901" s="384" t="n"/>
      <c r="O901" s="384" t="n"/>
      <c r="P901" s="384" t="n"/>
      <c r="Q901" s="384" t="n"/>
      <c r="R901" s="384" t="n"/>
      <c r="S901" s="384" t="n"/>
      <c r="T901" s="384" t="n"/>
      <c r="U901" s="384" t="n"/>
      <c r="V901" s="384" t="n"/>
      <c r="W901" s="384" t="n"/>
      <c r="X901" s="645">
        <f>IF(_epmOfflineCondition_,"I_E101254",EPMOlapMemberO("[C_INTERCO].[PARENTH1].[I_E101254]","","I_E101254","","000"))</f>
        <v/>
      </c>
      <c r="Y901" s="870">
        <f>IF(_epmOfflineCondition_,"漯河京新清洁能源有限公司",EPMMemberDesc(X901))</f>
        <v/>
      </c>
      <c r="Z901" s="1302" t="n"/>
      <c r="AA901" s="1302" t="n"/>
      <c r="AB901" s="858" t="n"/>
      <c r="AC901" s="1302" t="n"/>
      <c r="AD901" s="1302" t="n"/>
      <c r="AE901" s="1302" t="inlineStr"/>
      <c r="AF901" s="1302" t="inlineStr"/>
      <c r="AG901" s="1302" t="inlineStr"/>
      <c r="AH901" s="1302" t="n"/>
      <c r="AI901" s="1302" t="n"/>
      <c r="AJ901" s="1302" t="n"/>
      <c r="AK901" s="1302">
        <f>AI901-AJ901</f>
        <v/>
      </c>
      <c r="AL901" s="858" t="n"/>
      <c r="AM901" s="1297" t="inlineStr"/>
      <c r="AN901" s="1298" t="n"/>
      <c r="AO901" s="13">
        <f>IF(_epmOfflineCondition_,0,EPMSaveDataOnly(AB901,,AB$29,AB$25,AB$26,AB$31,AB$32,$AA$37,AO$14,AO$15,AO$16,AO$17,AO$18,X901))</f>
        <v/>
      </c>
      <c r="AP901" s="13">
        <f>IF(_epmOfflineCondition_,0,EPMSaveDataOnly(AL901,,AL$29,AL$25,AL$26,AL$31,AL$32,$AA$37,AP$14,AP$15,AP$16,AP$17,AP$18,$X901))</f>
        <v/>
      </c>
      <c r="AQ901" s="13">
        <f>IF(_epmOfflineCondition_,0,EPMSaveData(AM901,,AM$29,AM$25,AM$26,$C$6,AM$32,$AA$37,AQ$14,AQ$15,AQ$16,AQ$17,AQ$18,$X901))</f>
        <v/>
      </c>
      <c r="AR901" s="13">
        <f>IF(_epmOfflineCondition_,0,EPMSaveDataOnly(AN901,,AN$29,AN$25,AN$26,AN$31,AN$32,$AA$37,AR$14,AR$15,AR$16,AR$17,AR$18,$X901))</f>
        <v/>
      </c>
      <c r="AS901" s="384" t="n"/>
    </row>
    <row r="902" hidden="1" s="1181">
      <c r="A902" s="384" t="n"/>
      <c r="B902" s="384" t="n"/>
      <c r="C902" s="384" t="n"/>
      <c r="D902" s="384" t="n"/>
      <c r="E902" s="384" t="n"/>
      <c r="F902" s="384" t="n"/>
      <c r="G902" s="384" t="n"/>
      <c r="H902" s="384" t="n"/>
      <c r="I902" s="384" t="n"/>
      <c r="J902" s="384" t="n"/>
      <c r="K902" s="384" t="n"/>
      <c r="L902" s="384" t="n"/>
      <c r="M902" s="384" t="n"/>
      <c r="N902" s="384" t="n"/>
      <c r="O902" s="384" t="n"/>
      <c r="P902" s="384" t="n"/>
      <c r="Q902" s="384" t="n"/>
      <c r="R902" s="384" t="n"/>
      <c r="S902" s="384" t="n"/>
      <c r="T902" s="384" t="n"/>
      <c r="U902" s="384" t="n"/>
      <c r="V902" s="384" t="n"/>
      <c r="W902" s="384" t="n"/>
      <c r="X902" s="645">
        <f>IF(_epmOfflineCondition_,"I_E101273",EPMOlapMemberO("[C_INTERCO].[PARENTH1].[I_E101273]","","I_E101273","","000"))</f>
        <v/>
      </c>
      <c r="Y902" s="870">
        <f>IF(_epmOfflineCondition_,"京新（哈密）风力发电有限公司",EPMMemberDesc(X902))</f>
        <v/>
      </c>
      <c r="Z902" s="1302" t="n"/>
      <c r="AA902" s="1302" t="n"/>
      <c r="AB902" s="858" t="n"/>
      <c r="AC902" s="1302" t="n"/>
      <c r="AD902" s="1302" t="n"/>
      <c r="AE902" s="1302" t="inlineStr"/>
      <c r="AF902" s="1302" t="inlineStr"/>
      <c r="AG902" s="1302" t="inlineStr"/>
      <c r="AH902" s="1302" t="n"/>
      <c r="AI902" s="1302" t="n"/>
      <c r="AJ902" s="1302" t="n"/>
      <c r="AK902" s="1302">
        <f>AI902-AJ902</f>
        <v/>
      </c>
      <c r="AL902" s="858" t="n"/>
      <c r="AM902" s="1297" t="inlineStr"/>
      <c r="AN902" s="1298" t="n"/>
      <c r="AO902" s="13">
        <f>IF(_epmOfflineCondition_,0,EPMSaveDataOnly(AB902,,AB$29,AB$25,AB$26,AB$31,AB$32,$AA$37,AO$14,AO$15,AO$16,AO$17,AO$18,X902))</f>
        <v/>
      </c>
      <c r="AP902" s="13">
        <f>IF(_epmOfflineCondition_,0,EPMSaveDataOnly(AL902,,AL$29,AL$25,AL$26,AL$31,AL$32,$AA$37,AP$14,AP$15,AP$16,AP$17,AP$18,$X902))</f>
        <v/>
      </c>
      <c r="AQ902" s="13">
        <f>IF(_epmOfflineCondition_,0,EPMSaveData(AM902,,AM$29,AM$25,AM$26,$C$6,AM$32,$AA$37,AQ$14,AQ$15,AQ$16,AQ$17,AQ$18,$X902))</f>
        <v/>
      </c>
      <c r="AR902" s="13">
        <f>IF(_epmOfflineCondition_,0,EPMSaveDataOnly(AN902,,AN$29,AN$25,AN$26,AN$31,AN$32,$AA$37,AR$14,AR$15,AR$16,AR$17,AR$18,$X902))</f>
        <v/>
      </c>
      <c r="AS902" s="384" t="n"/>
    </row>
    <row r="903" hidden="1" s="1181">
      <c r="A903" s="384" t="n"/>
      <c r="B903" s="384" t="n"/>
      <c r="C903" s="384" t="n"/>
      <c r="D903" s="384" t="n"/>
      <c r="E903" s="384" t="n"/>
      <c r="F903" s="384" t="n"/>
      <c r="G903" s="384" t="n"/>
      <c r="H903" s="384" t="n"/>
      <c r="I903" s="384" t="n"/>
      <c r="J903" s="384" t="n"/>
      <c r="K903" s="384" t="n"/>
      <c r="L903" s="384" t="n"/>
      <c r="M903" s="384" t="n"/>
      <c r="N903" s="384" t="n"/>
      <c r="O903" s="384" t="n"/>
      <c r="P903" s="384" t="n"/>
      <c r="Q903" s="384" t="n"/>
      <c r="R903" s="384" t="n"/>
      <c r="S903" s="384" t="n"/>
      <c r="T903" s="384" t="n"/>
      <c r="U903" s="384" t="n"/>
      <c r="V903" s="384" t="n"/>
      <c r="W903" s="384" t="n"/>
      <c r="X903" s="645">
        <f>IF(_epmOfflineCondition_,"I_E101237",EPMOlapMemberO("[C_INTERCO].[PARENTH1].[I_E101237]","","I_E101237","","000"))</f>
        <v/>
      </c>
      <c r="Y903" s="870">
        <f>IF(_epmOfflineCondition_,"岳阳京能清洁能源有限公司",EPMMemberDesc(X903))</f>
        <v/>
      </c>
      <c r="Z903" s="1302" t="n"/>
      <c r="AA903" s="1302" t="n"/>
      <c r="AB903" s="858" t="n"/>
      <c r="AC903" s="1302" t="n"/>
      <c r="AD903" s="1302" t="n"/>
      <c r="AE903" s="1302" t="inlineStr"/>
      <c r="AF903" s="1302" t="inlineStr"/>
      <c r="AG903" s="1302" t="inlineStr"/>
      <c r="AH903" s="1302" t="n"/>
      <c r="AI903" s="1302" t="n"/>
      <c r="AJ903" s="1302" t="n"/>
      <c r="AK903" s="1302">
        <f>AI903-AJ903</f>
        <v/>
      </c>
      <c r="AL903" s="858" t="n"/>
      <c r="AM903" s="1297" t="inlineStr"/>
      <c r="AN903" s="1298" t="n"/>
      <c r="AO903" s="13">
        <f>IF(_epmOfflineCondition_,0,EPMSaveDataOnly(AB903,,AB$29,AB$25,AB$26,AB$31,AB$32,$AA$37,AO$14,AO$15,AO$16,AO$17,AO$18,X903))</f>
        <v/>
      </c>
      <c r="AP903" s="13">
        <f>IF(_epmOfflineCondition_,0,EPMSaveDataOnly(AL903,,AL$29,AL$25,AL$26,AL$31,AL$32,$AA$37,AP$14,AP$15,AP$16,AP$17,AP$18,$X903))</f>
        <v/>
      </c>
      <c r="AQ903" s="13">
        <f>IF(_epmOfflineCondition_,0,EPMSaveData(AM903,,AM$29,AM$25,AM$26,$C$6,AM$32,$AA$37,AQ$14,AQ$15,AQ$16,AQ$17,AQ$18,$X903))</f>
        <v/>
      </c>
      <c r="AR903" s="13">
        <f>IF(_epmOfflineCondition_,0,EPMSaveDataOnly(AN903,,AN$29,AN$25,AN$26,AN$31,AN$32,$AA$37,AR$14,AR$15,AR$16,AR$17,AR$18,$X903))</f>
        <v/>
      </c>
      <c r="AS903" s="384" t="n"/>
    </row>
    <row r="904" hidden="1" s="1181">
      <c r="A904" s="384" t="n"/>
      <c r="B904" s="384" t="n"/>
      <c r="C904" s="384" t="n"/>
      <c r="D904" s="384" t="n"/>
      <c r="E904" s="384" t="n"/>
      <c r="F904" s="384" t="n"/>
      <c r="G904" s="384" t="n"/>
      <c r="H904" s="384" t="n"/>
      <c r="I904" s="384" t="n"/>
      <c r="J904" s="384" t="n"/>
      <c r="K904" s="384" t="n"/>
      <c r="L904" s="384" t="n"/>
      <c r="M904" s="384" t="n"/>
      <c r="N904" s="384" t="n"/>
      <c r="O904" s="384" t="n"/>
      <c r="P904" s="384" t="n"/>
      <c r="Q904" s="384" t="n"/>
      <c r="R904" s="384" t="n"/>
      <c r="S904" s="384" t="n"/>
      <c r="T904" s="384" t="n"/>
      <c r="U904" s="384" t="n"/>
      <c r="V904" s="384" t="n"/>
      <c r="W904" s="384" t="n"/>
      <c r="X904" s="645">
        <f>IF(_epmOfflineCondition_,"I_E101274",EPMOlapMemberO("[C_INTERCO].[PARENTH1].[I_E101274]","","I_E101274","","000"))</f>
        <v/>
      </c>
      <c r="Y904" s="870">
        <f>IF(_epmOfflineCondition_,"北京丰璟房地产开发有限公司",EPMMemberDesc(X904))</f>
        <v/>
      </c>
      <c r="Z904" s="1302" t="n"/>
      <c r="AA904" s="1302" t="n"/>
      <c r="AB904" s="858" t="n"/>
      <c r="AC904" s="1302" t="n"/>
      <c r="AD904" s="1302" t="n"/>
      <c r="AE904" s="1302" t="inlineStr"/>
      <c r="AF904" s="1302" t="inlineStr"/>
      <c r="AG904" s="1302" t="inlineStr"/>
      <c r="AH904" s="1302" t="n"/>
      <c r="AI904" s="1302" t="n"/>
      <c r="AJ904" s="1302" t="n"/>
      <c r="AK904" s="1302">
        <f>AI904-AJ904</f>
        <v/>
      </c>
      <c r="AL904" s="858" t="n"/>
      <c r="AM904" s="1297" t="inlineStr"/>
      <c r="AN904" s="1298" t="n"/>
      <c r="AO904" s="13">
        <f>IF(_epmOfflineCondition_,0,EPMSaveDataOnly(AB904,,AB$29,AB$25,AB$26,AB$31,AB$32,$AA$37,AO$14,AO$15,AO$16,AO$17,AO$18,X904))</f>
        <v/>
      </c>
      <c r="AP904" s="13">
        <f>IF(_epmOfflineCondition_,0,EPMSaveDataOnly(AL904,,AL$29,AL$25,AL$26,AL$31,AL$32,$AA$37,AP$14,AP$15,AP$16,AP$17,AP$18,$X904))</f>
        <v/>
      </c>
      <c r="AQ904" s="13">
        <f>IF(_epmOfflineCondition_,0,EPMSaveData(AM904,,AM$29,AM$25,AM$26,$C$6,AM$32,$AA$37,AQ$14,AQ$15,AQ$16,AQ$17,AQ$18,$X904))</f>
        <v/>
      </c>
      <c r="AR904" s="13">
        <f>IF(_epmOfflineCondition_,0,EPMSaveDataOnly(AN904,,AN$29,AN$25,AN$26,AN$31,AN$32,$AA$37,AR$14,AR$15,AR$16,AR$17,AR$18,$X904))</f>
        <v/>
      </c>
      <c r="AS904" s="384" t="n"/>
    </row>
    <row r="905" hidden="1" s="1181">
      <c r="A905" s="384" t="n"/>
      <c r="B905" s="384" t="n"/>
      <c r="C905" s="384" t="n"/>
      <c r="D905" s="384" t="n"/>
      <c r="E905" s="384" t="n"/>
      <c r="F905" s="384" t="n"/>
      <c r="G905" s="384" t="n"/>
      <c r="H905" s="384" t="n"/>
      <c r="I905" s="384" t="n"/>
      <c r="J905" s="384" t="n"/>
      <c r="K905" s="384" t="n"/>
      <c r="L905" s="384" t="n"/>
      <c r="M905" s="384" t="n"/>
      <c r="N905" s="384" t="n"/>
      <c r="O905" s="384" t="n"/>
      <c r="P905" s="384" t="n"/>
      <c r="Q905" s="384" t="n"/>
      <c r="R905" s="384" t="n"/>
      <c r="S905" s="384" t="n"/>
      <c r="T905" s="384" t="n"/>
      <c r="U905" s="384" t="n"/>
      <c r="V905" s="384" t="n"/>
      <c r="W905" s="384" t="n"/>
      <c r="X905" s="645">
        <f>IF(_epmOfflineCondition_,"I_E101276",EPMOlapMemberO("[C_INTERCO].[PARENTH1].[I_E101276]","","I_E101276","","000"))</f>
        <v/>
      </c>
      <c r="Y905" s="870">
        <f>IF(_epmOfflineCondition_,"桃江京能清洁能源有限公司",EPMMemberDesc(X905))</f>
        <v/>
      </c>
      <c r="Z905" s="1302" t="n"/>
      <c r="AA905" s="1302" t="n"/>
      <c r="AB905" s="858" t="n"/>
      <c r="AC905" s="1302" t="n"/>
      <c r="AD905" s="1302" t="n"/>
      <c r="AE905" s="1302" t="inlineStr"/>
      <c r="AF905" s="1302" t="inlineStr"/>
      <c r="AG905" s="1302" t="inlineStr"/>
      <c r="AH905" s="1302" t="n"/>
      <c r="AI905" s="1302" t="n"/>
      <c r="AJ905" s="1302" t="n"/>
      <c r="AK905" s="1302">
        <f>AI905-AJ905</f>
        <v/>
      </c>
      <c r="AL905" s="858" t="n"/>
      <c r="AM905" s="1297" t="inlineStr"/>
      <c r="AN905" s="1298" t="n"/>
      <c r="AO905" s="13">
        <f>IF(_epmOfflineCondition_,0,EPMSaveDataOnly(AB905,,AB$29,AB$25,AB$26,AB$31,AB$32,$AA$37,AO$14,AO$15,AO$16,AO$17,AO$18,X905))</f>
        <v/>
      </c>
      <c r="AP905" s="13">
        <f>IF(_epmOfflineCondition_,0,EPMSaveDataOnly(AL905,,AL$29,AL$25,AL$26,AL$31,AL$32,$AA$37,AP$14,AP$15,AP$16,AP$17,AP$18,$X905))</f>
        <v/>
      </c>
      <c r="AQ905" s="13">
        <f>IF(_epmOfflineCondition_,0,EPMSaveData(AM905,,AM$29,AM$25,AM$26,$C$6,AM$32,$AA$37,AQ$14,AQ$15,AQ$16,AQ$17,AQ$18,$X905))</f>
        <v/>
      </c>
      <c r="AR905" s="13">
        <f>IF(_epmOfflineCondition_,0,EPMSaveDataOnly(AN905,,AN$29,AN$25,AN$26,AN$31,AN$32,$AA$37,AR$14,AR$15,AR$16,AR$17,AR$18,$X905))</f>
        <v/>
      </c>
      <c r="AS905" s="384" t="n"/>
    </row>
    <row r="906" hidden="1" s="1181">
      <c r="A906" s="384" t="n"/>
      <c r="B906" s="384" t="n"/>
      <c r="C906" s="384" t="n"/>
      <c r="D906" s="384" t="n"/>
      <c r="E906" s="384" t="n"/>
      <c r="F906" s="384" t="n"/>
      <c r="G906" s="384" t="n"/>
      <c r="H906" s="384" t="n"/>
      <c r="I906" s="384" t="n"/>
      <c r="J906" s="384" t="n"/>
      <c r="K906" s="384" t="n"/>
      <c r="L906" s="384" t="n"/>
      <c r="M906" s="384" t="n"/>
      <c r="N906" s="384" t="n"/>
      <c r="O906" s="384" t="n"/>
      <c r="P906" s="384" t="n"/>
      <c r="Q906" s="384" t="n"/>
      <c r="R906" s="384" t="n"/>
      <c r="S906" s="384" t="n"/>
      <c r="T906" s="384" t="n"/>
      <c r="U906" s="384" t="n"/>
      <c r="V906" s="384" t="n"/>
      <c r="W906" s="384" t="n"/>
      <c r="X906" s="645">
        <f>IF(_epmOfflineCondition_,"I_E101275",EPMOlapMemberO("[C_INTERCO].[PARENTH1].[I_E101275]","","I_E101275","","000"))</f>
        <v/>
      </c>
      <c r="Y906" s="870">
        <f>IF(_epmOfflineCondition_,"保山腾冲保能和顺能源科技有限公司",EPMMemberDesc(X906))</f>
        <v/>
      </c>
      <c r="Z906" s="1302" t="n"/>
      <c r="AA906" s="1302" t="n"/>
      <c r="AB906" s="858" t="n"/>
      <c r="AC906" s="1302" t="n"/>
      <c r="AD906" s="1302" t="n"/>
      <c r="AE906" s="1302" t="inlineStr"/>
      <c r="AF906" s="1302" t="inlineStr"/>
      <c r="AG906" s="1302" t="inlineStr"/>
      <c r="AH906" s="1302" t="n"/>
      <c r="AI906" s="1302" t="n"/>
      <c r="AJ906" s="1302" t="n"/>
      <c r="AK906" s="1302">
        <f>AI906-AJ906</f>
        <v/>
      </c>
      <c r="AL906" s="858" t="n"/>
      <c r="AM906" s="1297" t="inlineStr"/>
      <c r="AN906" s="1298" t="n"/>
      <c r="AO906" s="13">
        <f>IF(_epmOfflineCondition_,0,EPMSaveDataOnly(AB906,,AB$29,AB$25,AB$26,AB$31,AB$32,$AA$37,AO$14,AO$15,AO$16,AO$17,AO$18,X906))</f>
        <v/>
      </c>
      <c r="AP906" s="13">
        <f>IF(_epmOfflineCondition_,0,EPMSaveDataOnly(AL906,,AL$29,AL$25,AL$26,AL$31,AL$32,$AA$37,AP$14,AP$15,AP$16,AP$17,AP$18,$X906))</f>
        <v/>
      </c>
      <c r="AQ906" s="13">
        <f>IF(_epmOfflineCondition_,0,EPMSaveData(AM906,,AM$29,AM$25,AM$26,$C$6,AM$32,$AA$37,AQ$14,AQ$15,AQ$16,AQ$17,AQ$18,$X906))</f>
        <v/>
      </c>
      <c r="AR906" s="13">
        <f>IF(_epmOfflineCondition_,0,EPMSaveDataOnly(AN906,,AN$29,AN$25,AN$26,AN$31,AN$32,$AA$37,AR$14,AR$15,AR$16,AR$17,AR$18,$X906))</f>
        <v/>
      </c>
      <c r="AS906" s="384" t="n"/>
    </row>
    <row r="907" hidden="1" s="1181">
      <c r="A907" s="384" t="n"/>
      <c r="B907" s="384" t="n"/>
      <c r="C907" s="384" t="n"/>
      <c r="D907" s="384" t="n"/>
      <c r="E907" s="384" t="n"/>
      <c r="F907" s="384" t="n"/>
      <c r="G907" s="384" t="n"/>
      <c r="H907" s="384" t="n"/>
      <c r="I907" s="384" t="n"/>
      <c r="J907" s="384" t="n"/>
      <c r="K907" s="384" t="n"/>
      <c r="L907" s="384" t="n"/>
      <c r="M907" s="384" t="n"/>
      <c r="N907" s="384" t="n"/>
      <c r="O907" s="384" t="n"/>
      <c r="P907" s="384" t="n"/>
      <c r="Q907" s="384" t="n"/>
      <c r="R907" s="384" t="n"/>
      <c r="S907" s="384" t="n"/>
      <c r="T907" s="384" t="n"/>
      <c r="U907" s="384" t="n"/>
      <c r="V907" s="384" t="n"/>
      <c r="W907" s="384" t="n"/>
      <c r="X907" s="645">
        <f>IF(_epmOfflineCondition_,"I_E101244",EPMOlapMemberO("[C_INTERCO].[PARENTH1].[I_E101244]","","I_E101244","","000"))</f>
        <v/>
      </c>
      <c r="Y907" s="870">
        <f>IF(_epmOfflineCondition_,"盛唐壹号（天津） 企业管理合伙企业（有限合伙）",EPMMemberDesc(X907))</f>
        <v/>
      </c>
      <c r="Z907" s="1302" t="n"/>
      <c r="AA907" s="1302" t="n"/>
      <c r="AB907" s="858" t="n"/>
      <c r="AC907" s="1302" t="n"/>
      <c r="AD907" s="1302" t="n"/>
      <c r="AE907" s="1302" t="inlineStr"/>
      <c r="AF907" s="1302" t="inlineStr"/>
      <c r="AG907" s="1302" t="inlineStr"/>
      <c r="AH907" s="1302" t="n"/>
      <c r="AI907" s="1302" t="n"/>
      <c r="AJ907" s="1302" t="n"/>
      <c r="AK907" s="1302">
        <f>AI907-AJ907</f>
        <v/>
      </c>
      <c r="AL907" s="858" t="n"/>
      <c r="AM907" s="1297" t="inlineStr"/>
      <c r="AN907" s="1298" t="n"/>
      <c r="AO907" s="13">
        <f>IF(_epmOfflineCondition_,0,EPMSaveDataOnly(AB907,,AB$29,AB$25,AB$26,AB$31,AB$32,$AA$37,AO$14,AO$15,AO$16,AO$17,AO$18,X907))</f>
        <v/>
      </c>
      <c r="AP907" s="13">
        <f>IF(_epmOfflineCondition_,0,EPMSaveDataOnly(AL907,,AL$29,AL$25,AL$26,AL$31,AL$32,$AA$37,AP$14,AP$15,AP$16,AP$17,AP$18,$X907))</f>
        <v/>
      </c>
      <c r="AQ907" s="13">
        <f>IF(_epmOfflineCondition_,0,EPMSaveData(AM907,,AM$29,AM$25,AM$26,$C$6,AM$32,$AA$37,AQ$14,AQ$15,AQ$16,AQ$17,AQ$18,$X907))</f>
        <v/>
      </c>
      <c r="AR907" s="13">
        <f>IF(_epmOfflineCondition_,0,EPMSaveDataOnly(AN907,,AN$29,AN$25,AN$26,AN$31,AN$32,$AA$37,AR$14,AR$15,AR$16,AR$17,AR$18,$X907))</f>
        <v/>
      </c>
      <c r="AS907" s="384" t="n"/>
    </row>
    <row r="908" hidden="1" s="1181">
      <c r="A908" s="384" t="n"/>
      <c r="B908" s="384" t="n"/>
      <c r="C908" s="384" t="n"/>
      <c r="D908" s="384" t="n"/>
      <c r="E908" s="384" t="n"/>
      <c r="F908" s="384" t="n"/>
      <c r="G908" s="384" t="n"/>
      <c r="H908" s="384" t="n"/>
      <c r="I908" s="384" t="n"/>
      <c r="J908" s="384" t="n"/>
      <c r="K908" s="384" t="n"/>
      <c r="L908" s="384" t="n"/>
      <c r="M908" s="384" t="n"/>
      <c r="N908" s="384" t="n"/>
      <c r="O908" s="384" t="n"/>
      <c r="P908" s="384" t="n"/>
      <c r="Q908" s="384" t="n"/>
      <c r="R908" s="384" t="n"/>
      <c r="S908" s="384" t="n"/>
      <c r="T908" s="384" t="n"/>
      <c r="U908" s="384" t="n"/>
      <c r="V908" s="384" t="n"/>
      <c r="W908" s="384" t="n"/>
      <c r="X908" s="645">
        <f>IF(_epmOfflineCondition_,"I_E101277",EPMOlapMemberO("[C_INTERCO].[PARENTH1].[I_E101277]","","I_E101277","","000"))</f>
        <v/>
      </c>
      <c r="Y908" s="870">
        <f>IF(_epmOfflineCondition_,"百色市右江区京能新能源有限公司",EPMMemberDesc(X908))</f>
        <v/>
      </c>
      <c r="Z908" s="1302" t="n"/>
      <c r="AA908" s="1302" t="n"/>
      <c r="AB908" s="858" t="n"/>
      <c r="AC908" s="1302" t="n"/>
      <c r="AD908" s="1302" t="n"/>
      <c r="AE908" s="1302" t="inlineStr"/>
      <c r="AF908" s="1302" t="inlineStr"/>
      <c r="AG908" s="1302" t="inlineStr"/>
      <c r="AH908" s="1302" t="n"/>
      <c r="AI908" s="1302" t="n"/>
      <c r="AJ908" s="1302" t="n"/>
      <c r="AK908" s="1302">
        <f>AI908-AJ908</f>
        <v/>
      </c>
      <c r="AL908" s="858" t="n"/>
      <c r="AM908" s="1297" t="inlineStr"/>
      <c r="AN908" s="1298" t="n"/>
      <c r="AO908" s="13">
        <f>IF(_epmOfflineCondition_,0,EPMSaveDataOnly(AB908,,AB$29,AB$25,AB$26,AB$31,AB$32,$AA$37,AO$14,AO$15,AO$16,AO$17,AO$18,X908))</f>
        <v/>
      </c>
      <c r="AP908" s="13">
        <f>IF(_epmOfflineCondition_,0,EPMSaveDataOnly(AL908,,AL$29,AL$25,AL$26,AL$31,AL$32,$AA$37,AP$14,AP$15,AP$16,AP$17,AP$18,$X908))</f>
        <v/>
      </c>
      <c r="AQ908" s="13">
        <f>IF(_epmOfflineCondition_,0,EPMSaveData(AM908,,AM$29,AM$25,AM$26,$C$6,AM$32,$AA$37,AQ$14,AQ$15,AQ$16,AQ$17,AQ$18,$X908))</f>
        <v/>
      </c>
      <c r="AR908" s="13">
        <f>IF(_epmOfflineCondition_,0,EPMSaveDataOnly(AN908,,AN$29,AN$25,AN$26,AN$31,AN$32,$AA$37,AR$14,AR$15,AR$16,AR$17,AR$18,$X908))</f>
        <v/>
      </c>
      <c r="AS908" s="384" t="n"/>
    </row>
    <row r="909" hidden="1" s="1181">
      <c r="A909" s="384" t="n"/>
      <c r="B909" s="384" t="n"/>
      <c r="C909" s="384" t="n"/>
      <c r="D909" s="384" t="n"/>
      <c r="E909" s="384" t="n"/>
      <c r="F909" s="384" t="n"/>
      <c r="G909" s="384" t="n"/>
      <c r="H909" s="384" t="n"/>
      <c r="I909" s="384" t="n"/>
      <c r="J909" s="384" t="n"/>
      <c r="K909" s="384" t="n"/>
      <c r="L909" s="384" t="n"/>
      <c r="M909" s="384" t="n"/>
      <c r="N909" s="384" t="n"/>
      <c r="O909" s="384" t="n"/>
      <c r="P909" s="384" t="n"/>
      <c r="Q909" s="384" t="n"/>
      <c r="R909" s="384" t="n"/>
      <c r="S909" s="384" t="n"/>
      <c r="T909" s="384" t="n"/>
      <c r="U909" s="384" t="n"/>
      <c r="V909" s="384" t="n"/>
      <c r="W909" s="384" t="n"/>
      <c r="X909" s="645">
        <f>IF(_epmOfflineCondition_,"I_E101279",EPMOlapMemberO("[C_INTERCO].[PARENTH1].[I_E101279]","","I_E101279","","000"))</f>
        <v/>
      </c>
      <c r="Y909" s="870">
        <f>IF(_epmOfflineCondition_,"京能（重庆）能源有限公司",EPMMemberDesc(X909))</f>
        <v/>
      </c>
      <c r="Z909" s="1302" t="n"/>
      <c r="AA909" s="1302" t="n"/>
      <c r="AB909" s="858" t="n"/>
      <c r="AC909" s="1302" t="n"/>
      <c r="AD909" s="1302" t="n"/>
      <c r="AE909" s="1302" t="inlineStr"/>
      <c r="AF909" s="1302" t="inlineStr"/>
      <c r="AG909" s="1302" t="inlineStr"/>
      <c r="AH909" s="1302" t="n"/>
      <c r="AI909" s="1302" t="n"/>
      <c r="AJ909" s="1302" t="n"/>
      <c r="AK909" s="1302">
        <f>AI909-AJ909</f>
        <v/>
      </c>
      <c r="AL909" s="858" t="n"/>
      <c r="AM909" s="1297" t="inlineStr"/>
      <c r="AN909" s="1298" t="n"/>
      <c r="AO909" s="13">
        <f>IF(_epmOfflineCondition_,0,EPMSaveDataOnly(AB909,,AB$29,AB$25,AB$26,AB$31,AB$32,$AA$37,AO$14,AO$15,AO$16,AO$17,AO$18,X909))</f>
        <v/>
      </c>
      <c r="AP909" s="13">
        <f>IF(_epmOfflineCondition_,0,EPMSaveDataOnly(AL909,,AL$29,AL$25,AL$26,AL$31,AL$32,$AA$37,AP$14,AP$15,AP$16,AP$17,AP$18,$X909))</f>
        <v/>
      </c>
      <c r="AQ909" s="13">
        <f>IF(_epmOfflineCondition_,0,EPMSaveData(AM909,,AM$29,AM$25,AM$26,$C$6,AM$32,$AA$37,AQ$14,AQ$15,AQ$16,AQ$17,AQ$18,$X909))</f>
        <v/>
      </c>
      <c r="AR909" s="13">
        <f>IF(_epmOfflineCondition_,0,EPMSaveDataOnly(AN909,,AN$29,AN$25,AN$26,AN$31,AN$32,$AA$37,AR$14,AR$15,AR$16,AR$17,AR$18,$X909))</f>
        <v/>
      </c>
      <c r="AS909" s="384" t="n"/>
    </row>
    <row r="910" hidden="1" s="1181">
      <c r="A910" s="384" t="n"/>
      <c r="B910" s="384" t="n"/>
      <c r="C910" s="384" t="n"/>
      <c r="D910" s="384" t="n"/>
      <c r="E910" s="384" t="n"/>
      <c r="F910" s="384" t="n"/>
      <c r="G910" s="384" t="n"/>
      <c r="H910" s="384" t="n"/>
      <c r="I910" s="384" t="n"/>
      <c r="J910" s="384" t="n"/>
      <c r="K910" s="384" t="n"/>
      <c r="L910" s="384" t="n"/>
      <c r="M910" s="384" t="n"/>
      <c r="N910" s="384" t="n"/>
      <c r="O910" s="384" t="n"/>
      <c r="P910" s="384" t="n"/>
      <c r="Q910" s="384" t="n"/>
      <c r="R910" s="384" t="n"/>
      <c r="S910" s="384" t="n"/>
      <c r="T910" s="384" t="n"/>
      <c r="U910" s="384" t="n"/>
      <c r="V910" s="384" t="n"/>
      <c r="W910" s="384" t="n"/>
      <c r="X910" s="645">
        <f>IF(_epmOfflineCondition_,"I_E101281",EPMOlapMemberO("[C_INTERCO].[PARENTH1].[I_E101281]","","I_E101281","","000"))</f>
        <v/>
      </c>
      <c r="Y910" s="870">
        <f>IF(_epmOfflineCondition_,"京桥（奉节县）新能源有限公司",EPMMemberDesc(X910))</f>
        <v/>
      </c>
      <c r="Z910" s="1302" t="n"/>
      <c r="AA910" s="1302" t="n"/>
      <c r="AB910" s="858" t="n"/>
      <c r="AC910" s="1302" t="n"/>
      <c r="AD910" s="1302" t="n"/>
      <c r="AE910" s="1302" t="inlineStr"/>
      <c r="AF910" s="1302" t="inlineStr"/>
      <c r="AG910" s="1302" t="inlineStr"/>
      <c r="AH910" s="1302" t="n"/>
      <c r="AI910" s="1302" t="n"/>
      <c r="AJ910" s="1302" t="n"/>
      <c r="AK910" s="1302">
        <f>AI910-AJ910</f>
        <v/>
      </c>
      <c r="AL910" s="858" t="n"/>
      <c r="AM910" s="1297" t="inlineStr"/>
      <c r="AN910" s="1298" t="n"/>
      <c r="AO910" s="13">
        <f>IF(_epmOfflineCondition_,0,EPMSaveDataOnly(AB910,,AB$29,AB$25,AB$26,AB$31,AB$32,$AA$37,AO$14,AO$15,AO$16,AO$17,AO$18,X910))</f>
        <v/>
      </c>
      <c r="AP910" s="13">
        <f>IF(_epmOfflineCondition_,0,EPMSaveDataOnly(AL910,,AL$29,AL$25,AL$26,AL$31,AL$32,$AA$37,AP$14,AP$15,AP$16,AP$17,AP$18,$X910))</f>
        <v/>
      </c>
      <c r="AQ910" s="13">
        <f>IF(_epmOfflineCondition_,0,EPMSaveData(AM910,,AM$29,AM$25,AM$26,$C$6,AM$32,$AA$37,AQ$14,AQ$15,AQ$16,AQ$17,AQ$18,$X910))</f>
        <v/>
      </c>
      <c r="AR910" s="13">
        <f>IF(_epmOfflineCondition_,0,EPMSaveDataOnly(AN910,,AN$29,AN$25,AN$26,AN$31,AN$32,$AA$37,AR$14,AR$15,AR$16,AR$17,AR$18,$X910))</f>
        <v/>
      </c>
      <c r="AS910" s="384" t="n"/>
    </row>
    <row r="911" hidden="1" s="1181">
      <c r="A911" s="384" t="n"/>
      <c r="B911" s="384" t="n"/>
      <c r="C911" s="384" t="n"/>
      <c r="D911" s="384" t="n"/>
      <c r="E911" s="384" t="n"/>
      <c r="F911" s="384" t="n"/>
      <c r="G911" s="384" t="n"/>
      <c r="H911" s="384" t="n"/>
      <c r="I911" s="384" t="n"/>
      <c r="J911" s="384" t="n"/>
      <c r="K911" s="384" t="n"/>
      <c r="L911" s="384" t="n"/>
      <c r="M911" s="384" t="n"/>
      <c r="N911" s="384" t="n"/>
      <c r="O911" s="384" t="n"/>
      <c r="P911" s="384" t="n"/>
      <c r="Q911" s="384" t="n"/>
      <c r="R911" s="384" t="n"/>
      <c r="S911" s="384" t="n"/>
      <c r="T911" s="384" t="n"/>
      <c r="U911" s="384" t="n"/>
      <c r="V911" s="384" t="n"/>
      <c r="W911" s="384" t="n"/>
      <c r="X911" s="645">
        <f>IF(_epmOfflineCondition_,"I_E101278",EPMOlapMemberO("[C_INTERCO].[PARENTH1].[I_E101278]","","I_E101278","","000"))</f>
        <v/>
      </c>
      <c r="Y911" s="870">
        <f>IF(_epmOfflineCondition_,"云南保山腾冲市京能两河水电开发有限责任公司",EPMMemberDesc(X911))</f>
        <v/>
      </c>
      <c r="Z911" s="1302" t="n"/>
      <c r="AA911" s="1302" t="n"/>
      <c r="AB911" s="858" t="n"/>
      <c r="AC911" s="1302" t="n"/>
      <c r="AD911" s="1302" t="n"/>
      <c r="AE911" s="1302" t="inlineStr"/>
      <c r="AF911" s="1302" t="inlineStr"/>
      <c r="AG911" s="1302" t="inlineStr"/>
      <c r="AH911" s="1302" t="n"/>
      <c r="AI911" s="1302" t="n"/>
      <c r="AJ911" s="1302" t="n"/>
      <c r="AK911" s="1302">
        <f>AI911-AJ911</f>
        <v/>
      </c>
      <c r="AL911" s="858" t="n"/>
      <c r="AM911" s="1297" t="inlineStr"/>
      <c r="AN911" s="1298" t="n"/>
      <c r="AO911" s="13">
        <f>IF(_epmOfflineCondition_,0,EPMSaveDataOnly(AB911,,AB$29,AB$25,AB$26,AB$31,AB$32,$AA$37,AO$14,AO$15,AO$16,AO$17,AO$18,X911))</f>
        <v/>
      </c>
      <c r="AP911" s="13">
        <f>IF(_epmOfflineCondition_,0,EPMSaveDataOnly(AL911,,AL$29,AL$25,AL$26,AL$31,AL$32,$AA$37,AP$14,AP$15,AP$16,AP$17,AP$18,$X911))</f>
        <v/>
      </c>
      <c r="AQ911" s="13">
        <f>IF(_epmOfflineCondition_,0,EPMSaveData(AM911,,AM$29,AM$25,AM$26,$C$6,AM$32,$AA$37,AQ$14,AQ$15,AQ$16,AQ$17,AQ$18,$X911))</f>
        <v/>
      </c>
      <c r="AR911" s="13">
        <f>IF(_epmOfflineCondition_,0,EPMSaveDataOnly(AN911,,AN$29,AN$25,AN$26,AN$31,AN$32,$AA$37,AR$14,AR$15,AR$16,AR$17,AR$18,$X911))</f>
        <v/>
      </c>
      <c r="AS911" s="384" t="n"/>
    </row>
    <row r="912" hidden="1" s="1181">
      <c r="A912" s="384" t="n"/>
      <c r="B912" s="384" t="n"/>
      <c r="C912" s="384" t="n"/>
      <c r="D912" s="384" t="n"/>
      <c r="E912" s="384" t="n"/>
      <c r="F912" s="384" t="n"/>
      <c r="G912" s="384" t="n"/>
      <c r="H912" s="384" t="n"/>
      <c r="I912" s="384" t="n"/>
      <c r="J912" s="384" t="n"/>
      <c r="K912" s="384" t="n"/>
      <c r="L912" s="384" t="n"/>
      <c r="M912" s="384" t="n"/>
      <c r="N912" s="384" t="n"/>
      <c r="O912" s="384" t="n"/>
      <c r="P912" s="384" t="n"/>
      <c r="Q912" s="384" t="n"/>
      <c r="R912" s="384" t="n"/>
      <c r="S912" s="384" t="n"/>
      <c r="T912" s="384" t="n"/>
      <c r="U912" s="384" t="n"/>
      <c r="V912" s="384" t="n"/>
      <c r="W912" s="384" t="n"/>
      <c r="X912" s="645">
        <f>IF(_epmOfflineCondition_,"I_E101227",EPMOlapMemberO("[C_INTERCO].[PARENTH1].[I_E101227]","","I_E101227","","000"))</f>
        <v/>
      </c>
      <c r="Y912" s="870">
        <f>IF(_epmOfflineCondition_,"京能智汇（锡林郭勒）新能源有限公司",EPMMemberDesc(X912))</f>
        <v/>
      </c>
      <c r="Z912" s="1302" t="n"/>
      <c r="AA912" s="1302" t="n"/>
      <c r="AB912" s="858" t="n"/>
      <c r="AC912" s="1302" t="n"/>
      <c r="AD912" s="1302" t="n"/>
      <c r="AE912" s="1302" t="inlineStr"/>
      <c r="AF912" s="1302" t="inlineStr"/>
      <c r="AG912" s="1302" t="inlineStr"/>
      <c r="AH912" s="1302" t="n"/>
      <c r="AI912" s="1302" t="n"/>
      <c r="AJ912" s="1302" t="n"/>
      <c r="AK912" s="1302">
        <f>AI912-AJ912</f>
        <v/>
      </c>
      <c r="AL912" s="858" t="n"/>
      <c r="AM912" s="1297" t="inlineStr"/>
      <c r="AN912" s="1298" t="n"/>
      <c r="AO912" s="13">
        <f>IF(_epmOfflineCondition_,0,EPMSaveDataOnly(AB912,,AB$29,AB$25,AB$26,AB$31,AB$32,$AA$37,AO$14,AO$15,AO$16,AO$17,AO$18,X912))</f>
        <v/>
      </c>
      <c r="AP912" s="13">
        <f>IF(_epmOfflineCondition_,0,EPMSaveDataOnly(AL912,,AL$29,AL$25,AL$26,AL$31,AL$32,$AA$37,AP$14,AP$15,AP$16,AP$17,AP$18,$X912))</f>
        <v/>
      </c>
      <c r="AQ912" s="13">
        <f>IF(_epmOfflineCondition_,0,EPMSaveData(AM912,,AM$29,AM$25,AM$26,$C$6,AM$32,$AA$37,AQ$14,AQ$15,AQ$16,AQ$17,AQ$18,$X912))</f>
        <v/>
      </c>
      <c r="AR912" s="13">
        <f>IF(_epmOfflineCondition_,0,EPMSaveDataOnly(AN912,,AN$29,AN$25,AN$26,AN$31,AN$32,$AA$37,AR$14,AR$15,AR$16,AR$17,AR$18,$X912))</f>
        <v/>
      </c>
      <c r="AS912" s="384" t="n"/>
    </row>
    <row r="913" hidden="1" s="1181">
      <c r="A913" s="384" t="n"/>
      <c r="B913" s="384" t="n"/>
      <c r="C913" s="384" t="n"/>
      <c r="D913" s="384" t="n"/>
      <c r="E913" s="384" t="n"/>
      <c r="F913" s="384" t="n"/>
      <c r="G913" s="384" t="n"/>
      <c r="H913" s="384" t="n"/>
      <c r="I913" s="384" t="n"/>
      <c r="J913" s="384" t="n"/>
      <c r="K913" s="384" t="n"/>
      <c r="L913" s="384" t="n"/>
      <c r="M913" s="384" t="n"/>
      <c r="N913" s="384" t="n"/>
      <c r="O913" s="384" t="n"/>
      <c r="P913" s="384" t="n"/>
      <c r="Q913" s="384" t="n"/>
      <c r="R913" s="384" t="n"/>
      <c r="S913" s="384" t="n"/>
      <c r="T913" s="384" t="n"/>
      <c r="U913" s="384" t="n"/>
      <c r="V913" s="384" t="n"/>
      <c r="W913" s="384" t="n"/>
      <c r="X913" s="645">
        <f>IF(_epmOfflineCondition_,"I_E100355",EPMOlapMemberO("[C_INTERCO].[PARENTH1].[I_E100355]","","I_E100355","","000"))</f>
        <v/>
      </c>
      <c r="Y913" s="870">
        <f>IF(_epmOfflineCondition_,"北京天宁寺驻青园农副产品市场有限责任公司",EPMMemberDesc(X913))</f>
        <v/>
      </c>
      <c r="Z913" s="1302" t="n"/>
      <c r="AA913" s="1302" t="n"/>
      <c r="AB913" s="858" t="n"/>
      <c r="AC913" s="1302" t="n"/>
      <c r="AD913" s="1302" t="n"/>
      <c r="AE913" s="1302" t="inlineStr"/>
      <c r="AF913" s="1302" t="inlineStr"/>
      <c r="AG913" s="1302" t="inlineStr"/>
      <c r="AH913" s="1302" t="n"/>
      <c r="AI913" s="1302" t="n"/>
      <c r="AJ913" s="1302" t="n"/>
      <c r="AK913" s="1302">
        <f>AI913-AJ913</f>
        <v/>
      </c>
      <c r="AL913" s="858" t="n"/>
      <c r="AM913" s="1297" t="inlineStr"/>
      <c r="AN913" s="1298" t="n"/>
      <c r="AO913" s="13">
        <f>IF(_epmOfflineCondition_,0,EPMSaveDataOnly(AB913,,AB$29,AB$25,AB$26,AB$31,AB$32,$AA$37,AO$14,AO$15,AO$16,AO$17,AO$18,X913))</f>
        <v/>
      </c>
      <c r="AP913" s="13">
        <f>IF(_epmOfflineCondition_,0,EPMSaveDataOnly(AL913,,AL$29,AL$25,AL$26,AL$31,AL$32,$AA$37,AP$14,AP$15,AP$16,AP$17,AP$18,$X913))</f>
        <v/>
      </c>
      <c r="AQ913" s="13">
        <f>IF(_epmOfflineCondition_,0,EPMSaveData(AM913,,AM$29,AM$25,AM$26,$C$6,AM$32,$AA$37,AQ$14,AQ$15,AQ$16,AQ$17,AQ$18,$X913))</f>
        <v/>
      </c>
      <c r="AR913" s="13">
        <f>IF(_epmOfflineCondition_,0,EPMSaveDataOnly(AN913,,AN$29,AN$25,AN$26,AN$31,AN$32,$AA$37,AR$14,AR$15,AR$16,AR$17,AR$18,$X913))</f>
        <v/>
      </c>
      <c r="AS913" s="384" t="n"/>
    </row>
    <row r="914" hidden="1" s="1181">
      <c r="A914" s="384" t="n"/>
      <c r="B914" s="384" t="n"/>
      <c r="C914" s="384" t="n"/>
      <c r="D914" s="384" t="n"/>
      <c r="E914" s="384" t="n"/>
      <c r="F914" s="384" t="n"/>
      <c r="G914" s="384" t="n"/>
      <c r="H914" s="384" t="n"/>
      <c r="I914" s="384" t="n"/>
      <c r="J914" s="384" t="n"/>
      <c r="K914" s="384" t="n"/>
      <c r="L914" s="384" t="n"/>
      <c r="M914" s="384" t="n"/>
      <c r="N914" s="384" t="n"/>
      <c r="O914" s="384" t="n"/>
      <c r="P914" s="384" t="n"/>
      <c r="Q914" s="384" t="n"/>
      <c r="R914" s="384" t="n"/>
      <c r="S914" s="384" t="n"/>
      <c r="T914" s="384" t="n"/>
      <c r="U914" s="384" t="n"/>
      <c r="V914" s="384" t="n"/>
      <c r="W914" s="384" t="n"/>
      <c r="X914" s="645">
        <f>IF(_epmOfflineCondition_,"I_E100366",EPMOlapMemberO("[C_INTERCO].[PARENTH1].[I_E100366]","","I_E100366","","000"))</f>
        <v/>
      </c>
      <c r="Y914" s="870">
        <f>IF(_epmOfflineCondition_,"北京金泰新钢联科贸有限公司",EPMMemberDesc(X914))</f>
        <v/>
      </c>
      <c r="Z914" s="1302" t="n"/>
      <c r="AA914" s="1302" t="n"/>
      <c r="AB914" s="858" t="n"/>
      <c r="AC914" s="1302" t="n"/>
      <c r="AD914" s="1302" t="n"/>
      <c r="AE914" s="1302" t="inlineStr"/>
      <c r="AF914" s="1302" t="inlineStr"/>
      <c r="AG914" s="1302" t="inlineStr"/>
      <c r="AH914" s="1302" t="n"/>
      <c r="AI914" s="1302" t="n"/>
      <c r="AJ914" s="1302" t="n"/>
      <c r="AK914" s="1302">
        <f>AI914-AJ914</f>
        <v/>
      </c>
      <c r="AL914" s="858" t="n"/>
      <c r="AM914" s="1297" t="inlineStr"/>
      <c r="AN914" s="1298" t="n"/>
      <c r="AO914" s="13">
        <f>IF(_epmOfflineCondition_,0,EPMSaveDataOnly(AB914,,AB$29,AB$25,AB$26,AB$31,AB$32,$AA$37,AO$14,AO$15,AO$16,AO$17,AO$18,X914))</f>
        <v/>
      </c>
      <c r="AP914" s="13">
        <f>IF(_epmOfflineCondition_,0,EPMSaveDataOnly(AL914,,AL$29,AL$25,AL$26,AL$31,AL$32,$AA$37,AP$14,AP$15,AP$16,AP$17,AP$18,$X914))</f>
        <v/>
      </c>
      <c r="AQ914" s="13">
        <f>IF(_epmOfflineCondition_,0,EPMSaveData(AM914,,AM$29,AM$25,AM$26,$C$6,AM$32,$AA$37,AQ$14,AQ$15,AQ$16,AQ$17,AQ$18,$X914))</f>
        <v/>
      </c>
      <c r="AR914" s="13">
        <f>IF(_epmOfflineCondition_,0,EPMSaveDataOnly(AN914,,AN$29,AN$25,AN$26,AN$31,AN$32,$AA$37,AR$14,AR$15,AR$16,AR$17,AR$18,$X914))</f>
        <v/>
      </c>
      <c r="AS914" s="384" t="n"/>
    </row>
    <row r="915" hidden="1" s="1181">
      <c r="A915" s="384" t="n"/>
      <c r="B915" s="384" t="n"/>
      <c r="C915" s="384" t="n"/>
      <c r="D915" s="384" t="n"/>
      <c r="E915" s="384" t="n"/>
      <c r="F915" s="384" t="n"/>
      <c r="G915" s="384" t="n"/>
      <c r="H915" s="384" t="n"/>
      <c r="I915" s="384" t="n"/>
      <c r="J915" s="384" t="n"/>
      <c r="K915" s="384" t="n"/>
      <c r="L915" s="384" t="n"/>
      <c r="M915" s="384" t="n"/>
      <c r="N915" s="384" t="n"/>
      <c r="O915" s="384" t="n"/>
      <c r="P915" s="384" t="n"/>
      <c r="Q915" s="384" t="n"/>
      <c r="R915" s="384" t="n"/>
      <c r="S915" s="384" t="n"/>
      <c r="T915" s="384" t="n"/>
      <c r="U915" s="384" t="n"/>
      <c r="V915" s="384" t="n"/>
      <c r="W915" s="384" t="n"/>
      <c r="X915" s="645">
        <f>IF(_epmOfflineCondition_,"I_E100347",EPMOlapMemberO("[C_INTERCO].[PARENTH1].[I_E100347]","","I_E100347","","000"))</f>
        <v/>
      </c>
      <c r="Y915" s="870">
        <f>IF(_epmOfflineCondition_,"北京市丰台区金泰福寿老年公寓-2023.11注销",EPMMemberDesc(X915))</f>
        <v/>
      </c>
      <c r="Z915" s="1302" t="n"/>
      <c r="AA915" s="1302" t="n"/>
      <c r="AB915" s="858" t="n"/>
      <c r="AC915" s="1302" t="n"/>
      <c r="AD915" s="1302" t="n"/>
      <c r="AE915" s="1302" t="inlineStr"/>
      <c r="AF915" s="1302" t="inlineStr"/>
      <c r="AG915" s="1302" t="inlineStr"/>
      <c r="AH915" s="1302" t="n"/>
      <c r="AI915" s="1302" t="n"/>
      <c r="AJ915" s="1302" t="n"/>
      <c r="AK915" s="1302">
        <f>AI915-AJ915</f>
        <v/>
      </c>
      <c r="AL915" s="858" t="n"/>
      <c r="AM915" s="1297" t="inlineStr"/>
      <c r="AN915" s="1298" t="n"/>
      <c r="AO915" s="13">
        <f>IF(_epmOfflineCondition_,0,EPMSaveDataOnly(AB915,,AB$29,AB$25,AB$26,AB$31,AB$32,$AA$37,AO$14,AO$15,AO$16,AO$17,AO$18,X915))</f>
        <v/>
      </c>
      <c r="AP915" s="13">
        <f>IF(_epmOfflineCondition_,0,EPMSaveDataOnly(AL915,,AL$29,AL$25,AL$26,AL$31,AL$32,$AA$37,AP$14,AP$15,AP$16,AP$17,AP$18,$X915))</f>
        <v/>
      </c>
      <c r="AQ915" s="13">
        <f>IF(_epmOfflineCondition_,0,EPMSaveData(AM915,,AM$29,AM$25,AM$26,$C$6,AM$32,$AA$37,AQ$14,AQ$15,AQ$16,AQ$17,AQ$18,$X915))</f>
        <v/>
      </c>
      <c r="AR915" s="13">
        <f>IF(_epmOfflineCondition_,0,EPMSaveDataOnly(AN915,,AN$29,AN$25,AN$26,AN$31,AN$32,$AA$37,AR$14,AR$15,AR$16,AR$17,AR$18,$X915))</f>
        <v/>
      </c>
      <c r="AS915" s="384" t="n"/>
    </row>
    <row r="916" hidden="1" s="1181">
      <c r="A916" s="384" t="n"/>
      <c r="B916" s="384" t="n"/>
      <c r="C916" s="384" t="n"/>
      <c r="D916" s="384" t="n"/>
      <c r="E916" s="384" t="n"/>
      <c r="F916" s="384" t="n"/>
      <c r="G916" s="384" t="n"/>
      <c r="H916" s="384" t="n"/>
      <c r="I916" s="384" t="n"/>
      <c r="J916" s="384" t="n"/>
      <c r="K916" s="384" t="n"/>
      <c r="L916" s="384" t="n"/>
      <c r="M916" s="384" t="n"/>
      <c r="N916" s="384" t="n"/>
      <c r="O916" s="384" t="n"/>
      <c r="P916" s="384" t="n"/>
      <c r="Q916" s="384" t="n"/>
      <c r="R916" s="384" t="n"/>
      <c r="S916" s="384" t="n"/>
      <c r="T916" s="384" t="n"/>
      <c r="U916" s="384" t="n"/>
      <c r="V916" s="384" t="n"/>
      <c r="W916" s="384" t="n"/>
      <c r="X916" s="645">
        <f>IF(_epmOfflineCondition_,"I_E100510",EPMOlapMemberO("[C_INTERCO].[PARENTH1].[I_E100510]","","I_E100510","","000"))</f>
        <v/>
      </c>
      <c r="Y916" s="870">
        <f>IF(_epmOfflineCondition_,"北京金泰通华商贸有限责任公司开阳物业管理分公司",EPMMemberDesc(X916))</f>
        <v/>
      </c>
      <c r="Z916" s="1302" t="n"/>
      <c r="AA916" s="1302" t="n"/>
      <c r="AB916" s="858" t="n"/>
      <c r="AC916" s="1302" t="n"/>
      <c r="AD916" s="1302" t="n"/>
      <c r="AE916" s="1302" t="inlineStr"/>
      <c r="AF916" s="1302" t="inlineStr"/>
      <c r="AG916" s="1302" t="inlineStr"/>
      <c r="AH916" s="1302" t="n"/>
      <c r="AI916" s="1302" t="n"/>
      <c r="AJ916" s="1302" t="n"/>
      <c r="AK916" s="1302">
        <f>AI916-AJ916</f>
        <v/>
      </c>
      <c r="AL916" s="858" t="n"/>
      <c r="AM916" s="1297" t="inlineStr"/>
      <c r="AN916" s="1298" t="n"/>
      <c r="AO916" s="13">
        <f>IF(_epmOfflineCondition_,0,EPMSaveDataOnly(AB916,,AB$29,AB$25,AB$26,AB$31,AB$32,$AA$37,AO$14,AO$15,AO$16,AO$17,AO$18,X916))</f>
        <v/>
      </c>
      <c r="AP916" s="13">
        <f>IF(_epmOfflineCondition_,0,EPMSaveDataOnly(AL916,,AL$29,AL$25,AL$26,AL$31,AL$32,$AA$37,AP$14,AP$15,AP$16,AP$17,AP$18,$X916))</f>
        <v/>
      </c>
      <c r="AQ916" s="13">
        <f>IF(_epmOfflineCondition_,0,EPMSaveData(AM916,,AM$29,AM$25,AM$26,$C$6,AM$32,$AA$37,AQ$14,AQ$15,AQ$16,AQ$17,AQ$18,$X916))</f>
        <v/>
      </c>
      <c r="AR916" s="13">
        <f>IF(_epmOfflineCondition_,0,EPMSaveDataOnly(AN916,,AN$29,AN$25,AN$26,AN$31,AN$32,$AA$37,AR$14,AR$15,AR$16,AR$17,AR$18,$X916))</f>
        <v/>
      </c>
      <c r="AS916" s="384" t="n"/>
    </row>
    <row r="917" hidden="1" s="1181">
      <c r="A917" s="384" t="n"/>
      <c r="B917" s="384" t="n"/>
      <c r="C917" s="384" t="n"/>
      <c r="D917" s="384" t="n"/>
      <c r="E917" s="384" t="n"/>
      <c r="F917" s="384" t="n"/>
      <c r="G917" s="384" t="n"/>
      <c r="H917" s="384" t="n"/>
      <c r="I917" s="384" t="n"/>
      <c r="J917" s="384" t="n"/>
      <c r="K917" s="384" t="n"/>
      <c r="L917" s="384" t="n"/>
      <c r="M917" s="384" t="n"/>
      <c r="N917" s="384" t="n"/>
      <c r="O917" s="384" t="n"/>
      <c r="P917" s="384" t="n"/>
      <c r="Q917" s="384" t="n"/>
      <c r="R917" s="384" t="n"/>
      <c r="S917" s="384" t="n"/>
      <c r="T917" s="384" t="n"/>
      <c r="U917" s="384" t="n"/>
      <c r="V917" s="384" t="n"/>
      <c r="W917" s="384" t="n"/>
      <c r="X917" s="645">
        <f>IF(_epmOfflineCondition_,"I_E100507",EPMOlapMemberO("[C_INTERCO].[PARENTH1].[I_E100507]","","I_E100507","","000"))</f>
        <v/>
      </c>
      <c r="Y917" s="870">
        <f>IF(_epmOfflineCondition_,"北京金泰恒业燃料有限公司五寨分公司-2023.11注销",EPMMemberDesc(X917))</f>
        <v/>
      </c>
      <c r="Z917" s="1302" t="n"/>
      <c r="AA917" s="1302" t="n"/>
      <c r="AB917" s="858" t="n"/>
      <c r="AC917" s="1302" t="n"/>
      <c r="AD917" s="1302" t="n"/>
      <c r="AE917" s="1302" t="inlineStr"/>
      <c r="AF917" s="1302" t="inlineStr"/>
      <c r="AG917" s="1302" t="inlineStr"/>
      <c r="AH917" s="1302" t="n"/>
      <c r="AI917" s="1302" t="n"/>
      <c r="AJ917" s="1302" t="n"/>
      <c r="AK917" s="1302">
        <f>AI917-AJ917</f>
        <v/>
      </c>
      <c r="AL917" s="858" t="n"/>
      <c r="AM917" s="1297" t="inlineStr"/>
      <c r="AN917" s="1298" t="n"/>
      <c r="AO917" s="13">
        <f>IF(_epmOfflineCondition_,0,EPMSaveDataOnly(AB917,,AB$29,AB$25,AB$26,AB$31,AB$32,$AA$37,AO$14,AO$15,AO$16,AO$17,AO$18,X917))</f>
        <v/>
      </c>
      <c r="AP917" s="13">
        <f>IF(_epmOfflineCondition_,0,EPMSaveDataOnly(AL917,,AL$29,AL$25,AL$26,AL$31,AL$32,$AA$37,AP$14,AP$15,AP$16,AP$17,AP$18,$X917))</f>
        <v/>
      </c>
      <c r="AQ917" s="13">
        <f>IF(_epmOfflineCondition_,0,EPMSaveData(AM917,,AM$29,AM$25,AM$26,$C$6,AM$32,$AA$37,AQ$14,AQ$15,AQ$16,AQ$17,AQ$18,$X917))</f>
        <v/>
      </c>
      <c r="AR917" s="13">
        <f>IF(_epmOfflineCondition_,0,EPMSaveDataOnly(AN917,,AN$29,AN$25,AN$26,AN$31,AN$32,$AA$37,AR$14,AR$15,AR$16,AR$17,AR$18,$X917))</f>
        <v/>
      </c>
      <c r="AS917" s="384" t="n"/>
    </row>
    <row r="918" hidden="1" s="1181">
      <c r="A918" s="384" t="n"/>
      <c r="B918" s="384" t="n"/>
      <c r="C918" s="384" t="n"/>
      <c r="D918" s="384" t="n"/>
      <c r="E918" s="384" t="n"/>
      <c r="F918" s="384" t="n"/>
      <c r="G918" s="384" t="n"/>
      <c r="H918" s="384" t="n"/>
      <c r="I918" s="384" t="n"/>
      <c r="J918" s="384" t="n"/>
      <c r="K918" s="384" t="n"/>
      <c r="L918" s="384" t="n"/>
      <c r="M918" s="384" t="n"/>
      <c r="N918" s="384" t="n"/>
      <c r="O918" s="384" t="n"/>
      <c r="P918" s="384" t="n"/>
      <c r="Q918" s="384" t="n"/>
      <c r="R918" s="384" t="n"/>
      <c r="S918" s="384" t="n"/>
      <c r="T918" s="384" t="n"/>
      <c r="U918" s="384" t="n"/>
      <c r="V918" s="384" t="n"/>
      <c r="W918" s="384" t="n"/>
      <c r="X918" s="645">
        <f>IF(_epmOfflineCondition_,"I_E100490",EPMOlapMemberO("[C_INTERCO].[PARENTH1].[I_E100490]","","I_E100490","","000"))</f>
        <v/>
      </c>
      <c r="Y918" s="870">
        <f>IF(_epmOfflineCondition_,"北京望京蓝天供热有限公司",EPMMemberDesc(X918))</f>
        <v/>
      </c>
      <c r="Z918" s="1302" t="n"/>
      <c r="AA918" s="1302" t="n"/>
      <c r="AB918" s="858" t="n"/>
      <c r="AC918" s="1302" t="n"/>
      <c r="AD918" s="1302" t="n"/>
      <c r="AE918" s="1302" t="inlineStr"/>
      <c r="AF918" s="1302" t="inlineStr"/>
      <c r="AG918" s="1302" t="inlineStr"/>
      <c r="AH918" s="1302" t="n"/>
      <c r="AI918" s="1302" t="n"/>
      <c r="AJ918" s="1302" t="n"/>
      <c r="AK918" s="1302">
        <f>AI918-AJ918</f>
        <v/>
      </c>
      <c r="AL918" s="858" t="n"/>
      <c r="AM918" s="1297" t="inlineStr"/>
      <c r="AN918" s="1298" t="n"/>
      <c r="AO918" s="13">
        <f>IF(_epmOfflineCondition_,0,EPMSaveDataOnly(AB918,,AB$29,AB$25,AB$26,AB$31,AB$32,$AA$37,AO$14,AO$15,AO$16,AO$17,AO$18,X918))</f>
        <v/>
      </c>
      <c r="AP918" s="13">
        <f>IF(_epmOfflineCondition_,0,EPMSaveDataOnly(AL918,,AL$29,AL$25,AL$26,AL$31,AL$32,$AA$37,AP$14,AP$15,AP$16,AP$17,AP$18,$X918))</f>
        <v/>
      </c>
      <c r="AQ918" s="13">
        <f>IF(_epmOfflineCondition_,0,EPMSaveData(AM918,,AM$29,AM$25,AM$26,$C$6,AM$32,$AA$37,AQ$14,AQ$15,AQ$16,AQ$17,AQ$18,$X918))</f>
        <v/>
      </c>
      <c r="AR918" s="13">
        <f>IF(_epmOfflineCondition_,0,EPMSaveDataOnly(AN918,,AN$29,AN$25,AN$26,AN$31,AN$32,$AA$37,AR$14,AR$15,AR$16,AR$17,AR$18,$X918))</f>
        <v/>
      </c>
      <c r="AS918" s="384" t="n"/>
    </row>
    <row r="919" hidden="1" s="1181">
      <c r="A919" s="384" t="n"/>
      <c r="B919" s="384" t="n"/>
      <c r="C919" s="384" t="n"/>
      <c r="D919" s="384" t="n"/>
      <c r="E919" s="384" t="n"/>
      <c r="F919" s="384" t="n"/>
      <c r="G919" s="384" t="n"/>
      <c r="H919" s="384" t="n"/>
      <c r="I919" s="384" t="n"/>
      <c r="J919" s="384" t="n"/>
      <c r="K919" s="384" t="n"/>
      <c r="L919" s="384" t="n"/>
      <c r="M919" s="384" t="n"/>
      <c r="N919" s="384" t="n"/>
      <c r="O919" s="384" t="n"/>
      <c r="P919" s="384" t="n"/>
      <c r="Q919" s="384" t="n"/>
      <c r="R919" s="384" t="n"/>
      <c r="S919" s="384" t="n"/>
      <c r="T919" s="384" t="n"/>
      <c r="U919" s="384" t="n"/>
      <c r="V919" s="384" t="n"/>
      <c r="W919" s="384" t="n"/>
      <c r="X919" s="645">
        <f>IF(_epmOfflineCondition_,"I_E100110",EPMOlapMemberO("[C_INTERCO].[PARENTH1].[I_E100110]","","I_E100110","","000"))</f>
        <v/>
      </c>
      <c r="Y919" s="870">
        <f>IF(_epmOfflineCondition_,"京能电力后勤服务有限公司北京分公司-2024年2月注销",EPMMemberDesc(X919))</f>
        <v/>
      </c>
      <c r="Z919" s="1302" t="n"/>
      <c r="AA919" s="1302" t="n"/>
      <c r="AB919" s="858" t="n"/>
      <c r="AC919" s="1302" t="n"/>
      <c r="AD919" s="1302" t="n"/>
      <c r="AE919" s="1302" t="inlineStr"/>
      <c r="AF919" s="1302" t="inlineStr"/>
      <c r="AG919" s="1302" t="inlineStr"/>
      <c r="AH919" s="1302" t="n"/>
      <c r="AI919" s="1302" t="n"/>
      <c r="AJ919" s="1302" t="n"/>
      <c r="AK919" s="1302">
        <f>AI919-AJ919</f>
        <v/>
      </c>
      <c r="AL919" s="858" t="n"/>
      <c r="AM919" s="1297" t="inlineStr"/>
      <c r="AN919" s="1298" t="n"/>
      <c r="AO919" s="13">
        <f>IF(_epmOfflineCondition_,0,EPMSaveDataOnly(AB919,,AB$29,AB$25,AB$26,AB$31,AB$32,$AA$37,AO$14,AO$15,AO$16,AO$17,AO$18,X919))</f>
        <v/>
      </c>
      <c r="AP919" s="13">
        <f>IF(_epmOfflineCondition_,0,EPMSaveDataOnly(AL919,,AL$29,AL$25,AL$26,AL$31,AL$32,$AA$37,AP$14,AP$15,AP$16,AP$17,AP$18,$X919))</f>
        <v/>
      </c>
      <c r="AQ919" s="13">
        <f>IF(_epmOfflineCondition_,0,EPMSaveData(AM919,,AM$29,AM$25,AM$26,$C$6,AM$32,$AA$37,AQ$14,AQ$15,AQ$16,AQ$17,AQ$18,$X919))</f>
        <v/>
      </c>
      <c r="AR919" s="13">
        <f>IF(_epmOfflineCondition_,0,EPMSaveDataOnly(AN919,,AN$29,AN$25,AN$26,AN$31,AN$32,$AA$37,AR$14,AR$15,AR$16,AR$17,AR$18,$X919))</f>
        <v/>
      </c>
      <c r="AS919" s="384" t="n"/>
    </row>
    <row r="920" hidden="1" s="1181">
      <c r="A920" s="384" t="n"/>
      <c r="B920" s="384" t="n"/>
      <c r="C920" s="384" t="n"/>
      <c r="D920" s="384" t="n"/>
      <c r="E920" s="384" t="n"/>
      <c r="F920" s="384" t="n"/>
      <c r="G920" s="384" t="n"/>
      <c r="H920" s="384" t="n"/>
      <c r="I920" s="384" t="n"/>
      <c r="J920" s="384" t="n"/>
      <c r="K920" s="384" t="n"/>
      <c r="L920" s="384" t="n"/>
      <c r="M920" s="384" t="n"/>
      <c r="N920" s="384" t="n"/>
      <c r="O920" s="384" t="n"/>
      <c r="P920" s="384" t="n"/>
      <c r="Q920" s="384" t="n"/>
      <c r="R920" s="384" t="n"/>
      <c r="S920" s="384" t="n"/>
      <c r="T920" s="384" t="n"/>
      <c r="U920" s="384" t="n"/>
      <c r="V920" s="384" t="n"/>
      <c r="W920" s="384" t="n"/>
      <c r="X920" s="645">
        <f>IF(_epmOfflineCondition_,"I_E100111",EPMOlapMemberO("[C_INTERCO].[PARENTH1].[I_E100111]","","I_E100111","","000"))</f>
        <v/>
      </c>
      <c r="Y920" s="870">
        <f>IF(_epmOfflineCondition_,"京能电力后勤服务有限公司右玉分公司",EPMMemberDesc(X920))</f>
        <v/>
      </c>
      <c r="Z920" s="1302" t="n"/>
      <c r="AA920" s="1302" t="n"/>
      <c r="AB920" s="858" t="n"/>
      <c r="AC920" s="1302" t="n"/>
      <c r="AD920" s="1302" t="n"/>
      <c r="AE920" s="1302" t="inlineStr"/>
      <c r="AF920" s="1302" t="inlineStr"/>
      <c r="AG920" s="1302" t="inlineStr"/>
      <c r="AH920" s="1302" t="n"/>
      <c r="AI920" s="1302" t="n"/>
      <c r="AJ920" s="1302" t="n"/>
      <c r="AK920" s="1302">
        <f>AI920-AJ920</f>
        <v/>
      </c>
      <c r="AL920" s="858" t="n"/>
      <c r="AM920" s="1297" t="inlineStr"/>
      <c r="AN920" s="1298" t="n"/>
      <c r="AO920" s="13">
        <f>IF(_epmOfflineCondition_,0,EPMSaveDataOnly(AB920,,AB$29,AB$25,AB$26,AB$31,AB$32,$AA$37,AO$14,AO$15,AO$16,AO$17,AO$18,X920))</f>
        <v/>
      </c>
      <c r="AP920" s="13">
        <f>IF(_epmOfflineCondition_,0,EPMSaveDataOnly(AL920,,AL$29,AL$25,AL$26,AL$31,AL$32,$AA$37,AP$14,AP$15,AP$16,AP$17,AP$18,$X920))</f>
        <v/>
      </c>
      <c r="AQ920" s="13">
        <f>IF(_epmOfflineCondition_,0,EPMSaveData(AM920,,AM$29,AM$25,AM$26,$C$6,AM$32,$AA$37,AQ$14,AQ$15,AQ$16,AQ$17,AQ$18,$X920))</f>
        <v/>
      </c>
      <c r="AR920" s="13">
        <f>IF(_epmOfflineCondition_,0,EPMSaveDataOnly(AN920,,AN$29,AN$25,AN$26,AN$31,AN$32,$AA$37,AR$14,AR$15,AR$16,AR$17,AR$18,$X920))</f>
        <v/>
      </c>
      <c r="AS920" s="384" t="n"/>
    </row>
    <row r="921" hidden="1" s="1181">
      <c r="A921" s="384" t="n"/>
      <c r="B921" s="384" t="n"/>
      <c r="C921" s="384" t="n"/>
      <c r="D921" s="384" t="n"/>
      <c r="E921" s="384" t="n"/>
      <c r="F921" s="384" t="n"/>
      <c r="G921" s="384" t="n"/>
      <c r="H921" s="384" t="n"/>
      <c r="I921" s="384" t="n"/>
      <c r="J921" s="384" t="n"/>
      <c r="K921" s="384" t="n"/>
      <c r="L921" s="384" t="n"/>
      <c r="M921" s="384" t="n"/>
      <c r="N921" s="384" t="n"/>
      <c r="O921" s="384" t="n"/>
      <c r="P921" s="384" t="n"/>
      <c r="Q921" s="384" t="n"/>
      <c r="R921" s="384" t="n"/>
      <c r="S921" s="384" t="n"/>
      <c r="T921" s="384" t="n"/>
      <c r="U921" s="384" t="n"/>
      <c r="V921" s="384" t="n"/>
      <c r="W921" s="384" t="n"/>
      <c r="X921" s="645">
        <f>IF(_epmOfflineCondition_,"I_E100112",EPMOlapMemberO("[C_INTERCO].[PARENTH1].[I_E100112]","","I_E100112","","000"))</f>
        <v/>
      </c>
      <c r="Y921" s="870">
        <f>IF(_epmOfflineCondition_,"京能电力后勤服务有限公司宁东分公司",EPMMemberDesc(X921))</f>
        <v/>
      </c>
      <c r="Z921" s="1302" t="n"/>
      <c r="AA921" s="1302" t="n"/>
      <c r="AB921" s="858" t="n"/>
      <c r="AC921" s="1302" t="n"/>
      <c r="AD921" s="1302" t="n"/>
      <c r="AE921" s="1302" t="inlineStr"/>
      <c r="AF921" s="1302" t="inlineStr"/>
      <c r="AG921" s="1302" t="inlineStr"/>
      <c r="AH921" s="1302" t="n"/>
      <c r="AI921" s="1302" t="n"/>
      <c r="AJ921" s="1302" t="n"/>
      <c r="AK921" s="1302">
        <f>AI921-AJ921</f>
        <v/>
      </c>
      <c r="AL921" s="858" t="n"/>
      <c r="AM921" s="1297" t="inlineStr"/>
      <c r="AN921" s="1298" t="n"/>
      <c r="AO921" s="13">
        <f>IF(_epmOfflineCondition_,0,EPMSaveDataOnly(AB921,,AB$29,AB$25,AB$26,AB$31,AB$32,$AA$37,AO$14,AO$15,AO$16,AO$17,AO$18,X921))</f>
        <v/>
      </c>
      <c r="AP921" s="13">
        <f>IF(_epmOfflineCondition_,0,EPMSaveDataOnly(AL921,,AL$29,AL$25,AL$26,AL$31,AL$32,$AA$37,AP$14,AP$15,AP$16,AP$17,AP$18,$X921))</f>
        <v/>
      </c>
      <c r="AQ921" s="13">
        <f>IF(_epmOfflineCondition_,0,EPMSaveData(AM921,,AM$29,AM$25,AM$26,$C$6,AM$32,$AA$37,AQ$14,AQ$15,AQ$16,AQ$17,AQ$18,$X921))</f>
        <v/>
      </c>
      <c r="AR921" s="13">
        <f>IF(_epmOfflineCondition_,0,EPMSaveDataOnly(AN921,,AN$29,AN$25,AN$26,AN$31,AN$32,$AA$37,AR$14,AR$15,AR$16,AR$17,AR$18,$X921))</f>
        <v/>
      </c>
      <c r="AS921" s="384" t="n"/>
    </row>
    <row r="922" hidden="1" s="1181">
      <c r="A922" s="384" t="n"/>
      <c r="B922" s="384" t="n"/>
      <c r="C922" s="384" t="n"/>
      <c r="D922" s="384" t="n"/>
      <c r="E922" s="384" t="n"/>
      <c r="F922" s="384" t="n"/>
      <c r="G922" s="384" t="n"/>
      <c r="H922" s="384" t="n"/>
      <c r="I922" s="384" t="n"/>
      <c r="J922" s="384" t="n"/>
      <c r="K922" s="384" t="n"/>
      <c r="L922" s="384" t="n"/>
      <c r="M922" s="384" t="n"/>
      <c r="N922" s="384" t="n"/>
      <c r="O922" s="384" t="n"/>
      <c r="P922" s="384" t="n"/>
      <c r="Q922" s="384" t="n"/>
      <c r="R922" s="384" t="n"/>
      <c r="S922" s="384" t="n"/>
      <c r="T922" s="384" t="n"/>
      <c r="U922" s="384" t="n"/>
      <c r="V922" s="384" t="n"/>
      <c r="W922" s="384" t="n"/>
      <c r="X922" s="645">
        <f>IF(_epmOfflineCondition_,"I_E101285",EPMOlapMemberO("[C_INTERCO].[PARENTH1].[I_E101285]","","I_E101285","","000"))</f>
        <v/>
      </c>
      <c r="Y922" s="870">
        <f>IF(_epmOfflineCondition_,"京能翎碳（广东）综合能源服务有限公司",EPMMemberDesc(X922))</f>
        <v/>
      </c>
      <c r="Z922" s="1302" t="n"/>
      <c r="AA922" s="1302" t="n"/>
      <c r="AB922" s="858" t="n"/>
      <c r="AC922" s="1302" t="n"/>
      <c r="AD922" s="1302" t="n"/>
      <c r="AE922" s="1302" t="inlineStr"/>
      <c r="AF922" s="1302" t="inlineStr"/>
      <c r="AG922" s="1302" t="inlineStr"/>
      <c r="AH922" s="1302" t="n"/>
      <c r="AI922" s="1302" t="n"/>
      <c r="AJ922" s="1302" t="n"/>
      <c r="AK922" s="1302">
        <f>AI922-AJ922</f>
        <v/>
      </c>
      <c r="AL922" s="858" t="n"/>
      <c r="AM922" s="1297" t="inlineStr"/>
      <c r="AN922" s="1298" t="n"/>
      <c r="AO922" s="13">
        <f>IF(_epmOfflineCondition_,0,EPMSaveDataOnly(AB922,,AB$29,AB$25,AB$26,AB$31,AB$32,$AA$37,AO$14,AO$15,AO$16,AO$17,AO$18,X922))</f>
        <v/>
      </c>
      <c r="AP922" s="13">
        <f>IF(_epmOfflineCondition_,0,EPMSaveDataOnly(AL922,,AL$29,AL$25,AL$26,AL$31,AL$32,$AA$37,AP$14,AP$15,AP$16,AP$17,AP$18,$X922))</f>
        <v/>
      </c>
      <c r="AQ922" s="13">
        <f>IF(_epmOfflineCondition_,0,EPMSaveData(AM922,,AM$29,AM$25,AM$26,$C$6,AM$32,$AA$37,AQ$14,AQ$15,AQ$16,AQ$17,AQ$18,$X922))</f>
        <v/>
      </c>
      <c r="AR922" s="13">
        <f>IF(_epmOfflineCondition_,0,EPMSaveDataOnly(AN922,,AN$29,AN$25,AN$26,AN$31,AN$32,$AA$37,AR$14,AR$15,AR$16,AR$17,AR$18,$X922))</f>
        <v/>
      </c>
      <c r="AS922" s="384" t="n"/>
    </row>
    <row r="923" hidden="1" s="1181">
      <c r="A923" s="384" t="n"/>
      <c r="B923" s="384" t="n"/>
      <c r="C923" s="384" t="n"/>
      <c r="D923" s="384" t="n"/>
      <c r="E923" s="384" t="n"/>
      <c r="F923" s="384" t="n"/>
      <c r="G923" s="384" t="n"/>
      <c r="H923" s="384" t="n"/>
      <c r="I923" s="384" t="n"/>
      <c r="J923" s="384" t="n"/>
      <c r="K923" s="384" t="n"/>
      <c r="L923" s="384" t="n"/>
      <c r="M923" s="384" t="n"/>
      <c r="N923" s="384" t="n"/>
      <c r="O923" s="384" t="n"/>
      <c r="P923" s="384" t="n"/>
      <c r="Q923" s="384" t="n"/>
      <c r="R923" s="384" t="n"/>
      <c r="S923" s="384" t="n"/>
      <c r="T923" s="384" t="n"/>
      <c r="U923" s="384" t="n"/>
      <c r="V923" s="384" t="n"/>
      <c r="W923" s="384" t="n"/>
      <c r="X923" s="645">
        <f>IF(_epmOfflineCondition_,"I_E101280",EPMOlapMemberO("[C_INTERCO].[PARENTH1].[I_E101280]","","I_E101280","","000"))</f>
        <v/>
      </c>
      <c r="Y923" s="870">
        <f>IF(_epmOfflineCondition_,"京能查干淖尔（锡林郭勒）新能源有限公司",EPMMemberDesc(X923))</f>
        <v/>
      </c>
      <c r="Z923" s="1302" t="n"/>
      <c r="AA923" s="1302" t="n"/>
      <c r="AB923" s="858" t="n"/>
      <c r="AC923" s="1302" t="n"/>
      <c r="AD923" s="1302" t="n"/>
      <c r="AE923" s="1302" t="inlineStr"/>
      <c r="AF923" s="1302" t="inlineStr"/>
      <c r="AG923" s="1302" t="inlineStr"/>
      <c r="AH923" s="1302" t="n"/>
      <c r="AI923" s="1302" t="n"/>
      <c r="AJ923" s="1302" t="n"/>
      <c r="AK923" s="1302">
        <f>AI923-AJ923</f>
        <v/>
      </c>
      <c r="AL923" s="858" t="n"/>
      <c r="AM923" s="1297" t="inlineStr"/>
      <c r="AN923" s="1298" t="n"/>
      <c r="AO923" s="13">
        <f>IF(_epmOfflineCondition_,0,EPMSaveDataOnly(AB923,,AB$29,AB$25,AB$26,AB$31,AB$32,$AA$37,AO$14,AO$15,AO$16,AO$17,AO$18,X923))</f>
        <v/>
      </c>
      <c r="AP923" s="13">
        <f>IF(_epmOfflineCondition_,0,EPMSaveDataOnly(AL923,,AL$29,AL$25,AL$26,AL$31,AL$32,$AA$37,AP$14,AP$15,AP$16,AP$17,AP$18,$X923))</f>
        <v/>
      </c>
      <c r="AQ923" s="13">
        <f>IF(_epmOfflineCondition_,0,EPMSaveData(AM923,,AM$29,AM$25,AM$26,$C$6,AM$32,$AA$37,AQ$14,AQ$15,AQ$16,AQ$17,AQ$18,$X923))</f>
        <v/>
      </c>
      <c r="AR923" s="13">
        <f>IF(_epmOfflineCondition_,0,EPMSaveDataOnly(AN923,,AN$29,AN$25,AN$26,AN$31,AN$32,$AA$37,AR$14,AR$15,AR$16,AR$17,AR$18,$X923))</f>
        <v/>
      </c>
      <c r="AS923" s="384" t="n"/>
    </row>
    <row r="924" hidden="1" s="1181">
      <c r="A924" s="384" t="n"/>
      <c r="B924" s="384" t="n"/>
      <c r="C924" s="384" t="n"/>
      <c r="D924" s="384" t="n"/>
      <c r="E924" s="384" t="n"/>
      <c r="F924" s="384" t="n"/>
      <c r="G924" s="384" t="n"/>
      <c r="H924" s="384" t="n"/>
      <c r="I924" s="384" t="n"/>
      <c r="J924" s="384" t="n"/>
      <c r="K924" s="384" t="n"/>
      <c r="L924" s="384" t="n"/>
      <c r="M924" s="384" t="n"/>
      <c r="N924" s="384" t="n"/>
      <c r="O924" s="384" t="n"/>
      <c r="P924" s="384" t="n"/>
      <c r="Q924" s="384" t="n"/>
      <c r="R924" s="384" t="n"/>
      <c r="S924" s="384" t="n"/>
      <c r="T924" s="384" t="n"/>
      <c r="U924" s="384" t="n"/>
      <c r="V924" s="384" t="n"/>
      <c r="W924" s="384" t="n"/>
      <c r="X924" s="645">
        <f>IF(_epmOfflineCondition_,"I_E101283",EPMOlapMemberO("[C_INTERCO].[PARENTH1].[I_E101283]","","I_E101283","","000"))</f>
        <v/>
      </c>
      <c r="Y924" s="870">
        <f>IF(_epmOfflineCondition_,"北京京能电力新能源有限公司",EPMMemberDesc(X924))</f>
        <v/>
      </c>
      <c r="Z924" s="1302" t="n"/>
      <c r="AA924" s="1302" t="n"/>
      <c r="AB924" s="858" t="n"/>
      <c r="AC924" s="1302" t="n"/>
      <c r="AD924" s="1302" t="n"/>
      <c r="AE924" s="1302" t="inlineStr"/>
      <c r="AF924" s="1302" t="inlineStr"/>
      <c r="AG924" s="1302" t="inlineStr"/>
      <c r="AH924" s="1302" t="n"/>
      <c r="AI924" s="1302" t="n"/>
      <c r="AJ924" s="1302" t="n"/>
      <c r="AK924" s="1302">
        <f>AI924-AJ924</f>
        <v/>
      </c>
      <c r="AL924" s="858" t="n"/>
      <c r="AM924" s="1297" t="inlineStr"/>
      <c r="AN924" s="1298" t="n"/>
      <c r="AO924" s="13">
        <f>IF(_epmOfflineCondition_,0,EPMSaveDataOnly(AB924,,AB$29,AB$25,AB$26,AB$31,AB$32,$AA$37,AO$14,AO$15,AO$16,AO$17,AO$18,X924))</f>
        <v/>
      </c>
      <c r="AP924" s="13">
        <f>IF(_epmOfflineCondition_,0,EPMSaveDataOnly(AL924,,AL$29,AL$25,AL$26,AL$31,AL$32,$AA$37,AP$14,AP$15,AP$16,AP$17,AP$18,$X924))</f>
        <v/>
      </c>
      <c r="AQ924" s="13">
        <f>IF(_epmOfflineCondition_,0,EPMSaveData(AM924,,AM$29,AM$25,AM$26,$C$6,AM$32,$AA$37,AQ$14,AQ$15,AQ$16,AQ$17,AQ$18,$X924))</f>
        <v/>
      </c>
      <c r="AR924" s="13">
        <f>IF(_epmOfflineCondition_,0,EPMSaveDataOnly(AN924,,AN$29,AN$25,AN$26,AN$31,AN$32,$AA$37,AR$14,AR$15,AR$16,AR$17,AR$18,$X924))</f>
        <v/>
      </c>
      <c r="AS924" s="384" t="n"/>
    </row>
    <row r="925" hidden="1" s="1181">
      <c r="A925" s="384" t="n"/>
      <c r="B925" s="384" t="n"/>
      <c r="C925" s="384" t="n"/>
      <c r="D925" s="384" t="n"/>
      <c r="E925" s="384" t="n"/>
      <c r="F925" s="384" t="n"/>
      <c r="G925" s="384" t="n"/>
      <c r="H925" s="384" t="n"/>
      <c r="I925" s="384" t="n"/>
      <c r="J925" s="384" t="n"/>
      <c r="K925" s="384" t="n"/>
      <c r="L925" s="384" t="n"/>
      <c r="M925" s="384" t="n"/>
      <c r="N925" s="384" t="n"/>
      <c r="O925" s="384" t="n"/>
      <c r="P925" s="384" t="n"/>
      <c r="Q925" s="384" t="n"/>
      <c r="R925" s="384" t="n"/>
      <c r="S925" s="384" t="n"/>
      <c r="T925" s="384" t="n"/>
      <c r="U925" s="384" t="n"/>
      <c r="V925" s="384" t="n"/>
      <c r="W925" s="384" t="n"/>
      <c r="X925" s="645">
        <f>IF(_epmOfflineCondition_,"I_E101288",EPMOlapMemberO("[C_INTERCO].[PARENTH1].[I_E101288]","","I_E101288","","000"))</f>
        <v/>
      </c>
      <c r="Y925" s="870">
        <f>IF(_epmOfflineCondition_,"平泉市邦诚新能源科技有限公司",EPMMemberDesc(X925))</f>
        <v/>
      </c>
      <c r="Z925" s="1302" t="n"/>
      <c r="AA925" s="1302" t="n"/>
      <c r="AB925" s="858" t="n"/>
      <c r="AC925" s="1302" t="n"/>
      <c r="AD925" s="1302" t="n"/>
      <c r="AE925" s="1302" t="inlineStr"/>
      <c r="AF925" s="1302" t="inlineStr"/>
      <c r="AG925" s="1302" t="inlineStr"/>
      <c r="AH925" s="1302" t="n"/>
      <c r="AI925" s="1302" t="n"/>
      <c r="AJ925" s="1302" t="n"/>
      <c r="AK925" s="1302">
        <f>AI925-AJ925</f>
        <v/>
      </c>
      <c r="AL925" s="858" t="n"/>
      <c r="AM925" s="1297" t="inlineStr"/>
      <c r="AN925" s="1298" t="n"/>
      <c r="AO925" s="13">
        <f>IF(_epmOfflineCondition_,0,EPMSaveDataOnly(AB925,,AB$29,AB$25,AB$26,AB$31,AB$32,$AA$37,AO$14,AO$15,AO$16,AO$17,AO$18,X925))</f>
        <v/>
      </c>
      <c r="AP925" s="13">
        <f>IF(_epmOfflineCondition_,0,EPMSaveDataOnly(AL925,,AL$29,AL$25,AL$26,AL$31,AL$32,$AA$37,AP$14,AP$15,AP$16,AP$17,AP$18,$X925))</f>
        <v/>
      </c>
      <c r="AQ925" s="13">
        <f>IF(_epmOfflineCondition_,0,EPMSaveData(AM925,,AM$29,AM$25,AM$26,$C$6,AM$32,$AA$37,AQ$14,AQ$15,AQ$16,AQ$17,AQ$18,$X925))</f>
        <v/>
      </c>
      <c r="AR925" s="13">
        <f>IF(_epmOfflineCondition_,0,EPMSaveDataOnly(AN925,,AN$29,AN$25,AN$26,AN$31,AN$32,$AA$37,AR$14,AR$15,AR$16,AR$17,AR$18,$X925))</f>
        <v/>
      </c>
      <c r="AS925" s="384" t="n"/>
    </row>
    <row r="926" hidden="1" s="1181">
      <c r="A926" s="384" t="n"/>
      <c r="B926" s="384" t="n"/>
      <c r="C926" s="384" t="n"/>
      <c r="D926" s="384" t="n"/>
      <c r="E926" s="384" t="n"/>
      <c r="F926" s="384" t="n"/>
      <c r="G926" s="384" t="n"/>
      <c r="H926" s="384" t="n"/>
      <c r="I926" s="384" t="n"/>
      <c r="J926" s="384" t="n"/>
      <c r="K926" s="384" t="n"/>
      <c r="L926" s="384" t="n"/>
      <c r="M926" s="384" t="n"/>
      <c r="N926" s="384" t="n"/>
      <c r="O926" s="384" t="n"/>
      <c r="P926" s="384" t="n"/>
      <c r="Q926" s="384" t="n"/>
      <c r="R926" s="384" t="n"/>
      <c r="S926" s="384" t="n"/>
      <c r="T926" s="384" t="n"/>
      <c r="U926" s="384" t="n"/>
      <c r="V926" s="384" t="n"/>
      <c r="W926" s="384" t="n"/>
      <c r="X926" s="645">
        <f>IF(_epmOfflineCondition_,"I_E101290",EPMOlapMemberO("[C_INTERCO].[PARENTH1].[I_E101290]","","I_E101290","","000"))</f>
        <v/>
      </c>
      <c r="Y926" s="870">
        <f>IF(_epmOfflineCondition_,"曲靖沾益京西新能源有限公司",EPMMemberDesc(X926))</f>
        <v/>
      </c>
      <c r="Z926" s="1302" t="n"/>
      <c r="AA926" s="1302" t="n"/>
      <c r="AB926" s="858" t="n"/>
      <c r="AC926" s="1302" t="n"/>
      <c r="AD926" s="1302" t="n"/>
      <c r="AE926" s="1302" t="inlineStr"/>
      <c r="AF926" s="1302" t="inlineStr"/>
      <c r="AG926" s="1302" t="inlineStr"/>
      <c r="AH926" s="1302" t="n"/>
      <c r="AI926" s="1302" t="n"/>
      <c r="AJ926" s="1302" t="n"/>
      <c r="AK926" s="1302">
        <f>AI926-AJ926</f>
        <v/>
      </c>
      <c r="AL926" s="858" t="n"/>
      <c r="AM926" s="1297" t="inlineStr"/>
      <c r="AN926" s="1298" t="n"/>
      <c r="AO926" s="13">
        <f>IF(_epmOfflineCondition_,0,EPMSaveDataOnly(AB926,,AB$29,AB$25,AB$26,AB$31,AB$32,$AA$37,AO$14,AO$15,AO$16,AO$17,AO$18,X926))</f>
        <v/>
      </c>
      <c r="AP926" s="13">
        <f>IF(_epmOfflineCondition_,0,EPMSaveDataOnly(AL926,,AL$29,AL$25,AL$26,AL$31,AL$32,$AA$37,AP$14,AP$15,AP$16,AP$17,AP$18,$X926))</f>
        <v/>
      </c>
      <c r="AQ926" s="13">
        <f>IF(_epmOfflineCondition_,0,EPMSaveData(AM926,,AM$29,AM$25,AM$26,$C$6,AM$32,$AA$37,AQ$14,AQ$15,AQ$16,AQ$17,AQ$18,$X926))</f>
        <v/>
      </c>
      <c r="AR926" s="13">
        <f>IF(_epmOfflineCondition_,0,EPMSaveDataOnly(AN926,,AN$29,AN$25,AN$26,AN$31,AN$32,$AA$37,AR$14,AR$15,AR$16,AR$17,AR$18,$X926))</f>
        <v/>
      </c>
      <c r="AS926" s="384" t="n"/>
    </row>
    <row r="927" hidden="1" s="1181">
      <c r="A927" s="384" t="n"/>
      <c r="B927" s="384" t="n"/>
      <c r="C927" s="384" t="n"/>
      <c r="D927" s="384" t="n"/>
      <c r="E927" s="384" t="n"/>
      <c r="F927" s="384" t="n"/>
      <c r="G927" s="384" t="n"/>
      <c r="H927" s="384" t="n"/>
      <c r="I927" s="384" t="n"/>
      <c r="J927" s="384" t="n"/>
      <c r="K927" s="384" t="n"/>
      <c r="L927" s="384" t="n"/>
      <c r="M927" s="384" t="n"/>
      <c r="N927" s="384" t="n"/>
      <c r="O927" s="384" t="n"/>
      <c r="P927" s="384" t="n"/>
      <c r="Q927" s="384" t="n"/>
      <c r="R927" s="384" t="n"/>
      <c r="S927" s="384" t="n"/>
      <c r="T927" s="384" t="n"/>
      <c r="U927" s="384" t="n"/>
      <c r="V927" s="384" t="n"/>
      <c r="W927" s="384" t="n"/>
      <c r="X927" s="645">
        <f>IF(_epmOfflineCondition_,"I_E101291",EPMOlapMemberO("[C_INTERCO].[PARENTH1].[I_E101291]","","I_E101291","","000"))</f>
        <v/>
      </c>
      <c r="Y927" s="870">
        <f>IF(_epmOfflineCondition_,"京能（杭州萧山）综合能源有限公司",EPMMemberDesc(X927))</f>
        <v/>
      </c>
      <c r="Z927" s="1302" t="n"/>
      <c r="AA927" s="1302" t="n"/>
      <c r="AB927" s="858" t="n"/>
      <c r="AC927" s="1302" t="n"/>
      <c r="AD927" s="1302" t="n"/>
      <c r="AE927" s="1302" t="inlineStr"/>
      <c r="AF927" s="1302" t="inlineStr"/>
      <c r="AG927" s="1302" t="inlineStr"/>
      <c r="AH927" s="1302" t="n"/>
      <c r="AI927" s="1302" t="n"/>
      <c r="AJ927" s="1302" t="n"/>
      <c r="AK927" s="1302">
        <f>AI927-AJ927</f>
        <v/>
      </c>
      <c r="AL927" s="858" t="n"/>
      <c r="AM927" s="1297" t="inlineStr"/>
      <c r="AN927" s="1298" t="n"/>
      <c r="AO927" s="13">
        <f>IF(_epmOfflineCondition_,0,EPMSaveDataOnly(AB927,,AB$29,AB$25,AB$26,AB$31,AB$32,$AA$37,AO$14,AO$15,AO$16,AO$17,AO$18,X927))</f>
        <v/>
      </c>
      <c r="AP927" s="13">
        <f>IF(_epmOfflineCondition_,0,EPMSaveDataOnly(AL927,,AL$29,AL$25,AL$26,AL$31,AL$32,$AA$37,AP$14,AP$15,AP$16,AP$17,AP$18,$X927))</f>
        <v/>
      </c>
      <c r="AQ927" s="13">
        <f>IF(_epmOfflineCondition_,0,EPMSaveData(AM927,,AM$29,AM$25,AM$26,$C$6,AM$32,$AA$37,AQ$14,AQ$15,AQ$16,AQ$17,AQ$18,$X927))</f>
        <v/>
      </c>
      <c r="AR927" s="13">
        <f>IF(_epmOfflineCondition_,0,EPMSaveDataOnly(AN927,,AN$29,AN$25,AN$26,AN$31,AN$32,$AA$37,AR$14,AR$15,AR$16,AR$17,AR$18,$X927))</f>
        <v/>
      </c>
      <c r="AS927" s="384" t="n"/>
    </row>
    <row r="928" hidden="1" s="1181">
      <c r="A928" s="384" t="n"/>
      <c r="B928" s="384" t="n"/>
      <c r="C928" s="384" t="n"/>
      <c r="D928" s="384" t="n"/>
      <c r="E928" s="384" t="n"/>
      <c r="F928" s="384" t="n"/>
      <c r="G928" s="384" t="n"/>
      <c r="H928" s="384" t="n"/>
      <c r="I928" s="384" t="n"/>
      <c r="J928" s="384" t="n"/>
      <c r="K928" s="384" t="n"/>
      <c r="L928" s="384" t="n"/>
      <c r="M928" s="384" t="n"/>
      <c r="N928" s="384" t="n"/>
      <c r="O928" s="384" t="n"/>
      <c r="P928" s="384" t="n"/>
      <c r="Q928" s="384" t="n"/>
      <c r="R928" s="384" t="n"/>
      <c r="S928" s="384" t="n"/>
      <c r="T928" s="384" t="n"/>
      <c r="U928" s="384" t="n"/>
      <c r="V928" s="384" t="n"/>
      <c r="W928" s="384" t="n"/>
      <c r="X928" s="645">
        <f>IF(_epmOfflineCondition_,"I_E101284",EPMOlapMemberO("[C_INTERCO].[PARENTH1].[I_E101284]","","I_E101284","","000"))</f>
        <v/>
      </c>
      <c r="Y928" s="870">
        <f>IF(_epmOfflineCondition_,"碳禾（清远）新能源技术有限公司",EPMMemberDesc(X928))</f>
        <v/>
      </c>
      <c r="Z928" s="1302" t="n"/>
      <c r="AA928" s="1302" t="n"/>
      <c r="AB928" s="858" t="n"/>
      <c r="AC928" s="1302" t="n"/>
      <c r="AD928" s="1302" t="n"/>
      <c r="AE928" s="1302" t="inlineStr"/>
      <c r="AF928" s="1302" t="inlineStr"/>
      <c r="AG928" s="1302" t="inlineStr"/>
      <c r="AH928" s="1302" t="n"/>
      <c r="AI928" s="1302" t="n"/>
      <c r="AJ928" s="1302" t="n"/>
      <c r="AK928" s="1302">
        <f>AI928-AJ928</f>
        <v/>
      </c>
      <c r="AL928" s="858" t="n"/>
      <c r="AM928" s="1297" t="inlineStr"/>
      <c r="AN928" s="1298" t="n"/>
      <c r="AO928" s="13">
        <f>IF(_epmOfflineCondition_,0,EPMSaveDataOnly(AB928,,AB$29,AB$25,AB$26,AB$31,AB$32,$AA$37,AO$14,AO$15,AO$16,AO$17,AO$18,X928))</f>
        <v/>
      </c>
      <c r="AP928" s="13">
        <f>IF(_epmOfflineCondition_,0,EPMSaveDataOnly(AL928,,AL$29,AL$25,AL$26,AL$31,AL$32,$AA$37,AP$14,AP$15,AP$16,AP$17,AP$18,$X928))</f>
        <v/>
      </c>
      <c r="AQ928" s="13">
        <f>IF(_epmOfflineCondition_,0,EPMSaveData(AM928,,AM$29,AM$25,AM$26,$C$6,AM$32,$AA$37,AQ$14,AQ$15,AQ$16,AQ$17,AQ$18,$X928))</f>
        <v/>
      </c>
      <c r="AR928" s="13">
        <f>IF(_epmOfflineCondition_,0,EPMSaveDataOnly(AN928,,AN$29,AN$25,AN$26,AN$31,AN$32,$AA$37,AR$14,AR$15,AR$16,AR$17,AR$18,$X928))</f>
        <v/>
      </c>
      <c r="AS928" s="384" t="n"/>
    </row>
    <row r="929" hidden="1" s="1181">
      <c r="A929" s="384" t="n"/>
      <c r="B929" s="384" t="n"/>
      <c r="C929" s="384" t="n"/>
      <c r="D929" s="384" t="n"/>
      <c r="E929" s="384" t="n"/>
      <c r="F929" s="384" t="n"/>
      <c r="G929" s="384" t="n"/>
      <c r="H929" s="384" t="n"/>
      <c r="I929" s="384" t="n"/>
      <c r="J929" s="384" t="n"/>
      <c r="K929" s="384" t="n"/>
      <c r="L929" s="384" t="n"/>
      <c r="M929" s="384" t="n"/>
      <c r="N929" s="384" t="n"/>
      <c r="O929" s="384" t="n"/>
      <c r="P929" s="384" t="n"/>
      <c r="Q929" s="384" t="n"/>
      <c r="R929" s="384" t="n"/>
      <c r="S929" s="384" t="n"/>
      <c r="T929" s="384" t="n"/>
      <c r="U929" s="384" t="n"/>
      <c r="V929" s="384" t="n"/>
      <c r="W929" s="384" t="n"/>
      <c r="X929" s="645">
        <f>IF(_epmOfflineCondition_,"I_E101286",EPMOlapMemberO("[C_INTERCO].[PARENTH1].[I_E101286]","","I_E101286","","000"))</f>
        <v/>
      </c>
      <c r="Y929" s="870">
        <f>IF(_epmOfflineCondition_,"佛山紫竹顺美新能源有限公司",EPMMemberDesc(X929))</f>
        <v/>
      </c>
      <c r="Z929" s="1302" t="n"/>
      <c r="AA929" s="1302" t="n"/>
      <c r="AB929" s="858" t="n"/>
      <c r="AC929" s="1302" t="n"/>
      <c r="AD929" s="1302" t="n"/>
      <c r="AE929" s="1302" t="inlineStr"/>
      <c r="AF929" s="1302" t="inlineStr"/>
      <c r="AG929" s="1302" t="inlineStr"/>
      <c r="AH929" s="1302" t="n"/>
      <c r="AI929" s="1302" t="n"/>
      <c r="AJ929" s="1302" t="n"/>
      <c r="AK929" s="1302">
        <f>AI929-AJ929</f>
        <v/>
      </c>
      <c r="AL929" s="858" t="n"/>
      <c r="AM929" s="1297" t="inlineStr"/>
      <c r="AN929" s="1298" t="n"/>
      <c r="AO929" s="13">
        <f>IF(_epmOfflineCondition_,0,EPMSaveDataOnly(AB929,,AB$29,AB$25,AB$26,AB$31,AB$32,$AA$37,AO$14,AO$15,AO$16,AO$17,AO$18,X929))</f>
        <v/>
      </c>
      <c r="AP929" s="13">
        <f>IF(_epmOfflineCondition_,0,EPMSaveDataOnly(AL929,,AL$29,AL$25,AL$26,AL$31,AL$32,$AA$37,AP$14,AP$15,AP$16,AP$17,AP$18,$X929))</f>
        <v/>
      </c>
      <c r="AQ929" s="13">
        <f>IF(_epmOfflineCondition_,0,EPMSaveData(AM929,,AM$29,AM$25,AM$26,$C$6,AM$32,$AA$37,AQ$14,AQ$15,AQ$16,AQ$17,AQ$18,$X929))</f>
        <v/>
      </c>
      <c r="AR929" s="13">
        <f>IF(_epmOfflineCondition_,0,EPMSaveDataOnly(AN929,,AN$29,AN$25,AN$26,AN$31,AN$32,$AA$37,AR$14,AR$15,AR$16,AR$17,AR$18,$X929))</f>
        <v/>
      </c>
      <c r="AS929" s="384" t="n"/>
    </row>
    <row r="930" hidden="1" s="1181">
      <c r="A930" s="384" t="n"/>
      <c r="B930" s="384" t="n"/>
      <c r="C930" s="384" t="n"/>
      <c r="D930" s="384" t="n"/>
      <c r="E930" s="384" t="n"/>
      <c r="F930" s="384" t="n"/>
      <c r="G930" s="384" t="n"/>
      <c r="H930" s="384" t="n"/>
      <c r="I930" s="384" t="n"/>
      <c r="J930" s="384" t="n"/>
      <c r="K930" s="384" t="n"/>
      <c r="L930" s="384" t="n"/>
      <c r="M930" s="384" t="n"/>
      <c r="N930" s="384" t="n"/>
      <c r="O930" s="384" t="n"/>
      <c r="P930" s="384" t="n"/>
      <c r="Q930" s="384" t="n"/>
      <c r="R930" s="384" t="n"/>
      <c r="S930" s="384" t="n"/>
      <c r="T930" s="384" t="n"/>
      <c r="U930" s="384" t="n"/>
      <c r="V930" s="384" t="n"/>
      <c r="W930" s="384" t="n"/>
      <c r="X930" s="645">
        <f>IF(_epmOfflineCondition_,"I_E101293",EPMOlapMemberO("[C_INTERCO].[PARENTH1].[I_E101293]","","I_E101293","","000"))</f>
        <v/>
      </c>
      <c r="Y930" s="870">
        <f>IF(_epmOfflineCondition_,"和顺润能新能源有限公司",EPMMemberDesc(X930))</f>
        <v/>
      </c>
      <c r="Z930" s="1302" t="n"/>
      <c r="AA930" s="1302" t="n"/>
      <c r="AB930" s="858" t="n"/>
      <c r="AC930" s="1302" t="n"/>
      <c r="AD930" s="1302" t="n"/>
      <c r="AE930" s="1302" t="inlineStr"/>
      <c r="AF930" s="1302" t="inlineStr"/>
      <c r="AG930" s="1302" t="inlineStr"/>
      <c r="AH930" s="1302" t="n"/>
      <c r="AI930" s="1302" t="n"/>
      <c r="AJ930" s="1302" t="n"/>
      <c r="AK930" s="1302">
        <f>AI930-AJ930</f>
        <v/>
      </c>
      <c r="AL930" s="858" t="n"/>
      <c r="AM930" s="1297" t="inlineStr"/>
      <c r="AN930" s="1298" t="n"/>
      <c r="AO930" s="13">
        <f>IF(_epmOfflineCondition_,0,EPMSaveDataOnly(AB930,,AB$29,AB$25,AB$26,AB$31,AB$32,$AA$37,AO$14,AO$15,AO$16,AO$17,AO$18,X930))</f>
        <v/>
      </c>
      <c r="AP930" s="13">
        <f>IF(_epmOfflineCondition_,0,EPMSaveDataOnly(AL930,,AL$29,AL$25,AL$26,AL$31,AL$32,$AA$37,AP$14,AP$15,AP$16,AP$17,AP$18,$X930))</f>
        <v/>
      </c>
      <c r="AQ930" s="13">
        <f>IF(_epmOfflineCondition_,0,EPMSaveData(AM930,,AM$29,AM$25,AM$26,$C$6,AM$32,$AA$37,AQ$14,AQ$15,AQ$16,AQ$17,AQ$18,$X930))</f>
        <v/>
      </c>
      <c r="AR930" s="13">
        <f>IF(_epmOfflineCondition_,0,EPMSaveDataOnly(AN930,,AN$29,AN$25,AN$26,AN$31,AN$32,$AA$37,AR$14,AR$15,AR$16,AR$17,AR$18,$X930))</f>
        <v/>
      </c>
      <c r="AS930" s="384" t="n"/>
    </row>
    <row r="931" hidden="1" s="1181">
      <c r="A931" s="384" t="n"/>
      <c r="B931" s="384" t="n"/>
      <c r="C931" s="384" t="n"/>
      <c r="D931" s="384" t="n"/>
      <c r="E931" s="384" t="n"/>
      <c r="F931" s="384" t="n"/>
      <c r="G931" s="384" t="n"/>
      <c r="H931" s="384" t="n"/>
      <c r="I931" s="384" t="n"/>
      <c r="J931" s="384" t="n"/>
      <c r="K931" s="384" t="n"/>
      <c r="L931" s="384" t="n"/>
      <c r="M931" s="384" t="n"/>
      <c r="N931" s="384" t="n"/>
      <c r="O931" s="384" t="n"/>
      <c r="P931" s="384" t="n"/>
      <c r="Q931" s="384" t="n"/>
      <c r="R931" s="384" t="n"/>
      <c r="S931" s="384" t="n"/>
      <c r="T931" s="384" t="n"/>
      <c r="U931" s="384" t="n"/>
      <c r="V931" s="384" t="n"/>
      <c r="W931" s="384" t="n"/>
      <c r="X931" s="645">
        <f>IF(_epmOfflineCondition_,"I_E101295",EPMOlapMemberO("[C_INTERCO].[PARENTH1].[I_E101295]","","I_E101295","","000"))</f>
        <v/>
      </c>
      <c r="Y931" s="870">
        <f>IF(_epmOfflineCondition_,"京能（锡林郭勒）可再生能源发展有限公司",EPMMemberDesc(X931))</f>
        <v/>
      </c>
      <c r="Z931" s="1302" t="n"/>
      <c r="AA931" s="1302" t="n"/>
      <c r="AB931" s="858" t="n"/>
      <c r="AC931" s="1302" t="n"/>
      <c r="AD931" s="1302" t="n"/>
      <c r="AE931" s="1302" t="inlineStr"/>
      <c r="AF931" s="1302" t="inlineStr"/>
      <c r="AG931" s="1302" t="inlineStr"/>
      <c r="AH931" s="1302" t="n"/>
      <c r="AI931" s="1302" t="n"/>
      <c r="AJ931" s="1302" t="n"/>
      <c r="AK931" s="1302">
        <f>AI931-AJ931</f>
        <v/>
      </c>
      <c r="AL931" s="858" t="n"/>
      <c r="AM931" s="1297" t="inlineStr"/>
      <c r="AN931" s="1298" t="n"/>
      <c r="AO931" s="13">
        <f>IF(_epmOfflineCondition_,0,EPMSaveDataOnly(AB931,,AB$29,AB$25,AB$26,AB$31,AB$32,$AA$37,AO$14,AO$15,AO$16,AO$17,AO$18,X931))</f>
        <v/>
      </c>
      <c r="AP931" s="13">
        <f>IF(_epmOfflineCondition_,0,EPMSaveDataOnly(AL931,,AL$29,AL$25,AL$26,AL$31,AL$32,$AA$37,AP$14,AP$15,AP$16,AP$17,AP$18,$X931))</f>
        <v/>
      </c>
      <c r="AQ931" s="13">
        <f>IF(_epmOfflineCondition_,0,EPMSaveData(AM931,,AM$29,AM$25,AM$26,$C$6,AM$32,$AA$37,AQ$14,AQ$15,AQ$16,AQ$17,AQ$18,$X931))</f>
        <v/>
      </c>
      <c r="AR931" s="13">
        <f>IF(_epmOfflineCondition_,0,EPMSaveDataOnly(AN931,,AN$29,AN$25,AN$26,AN$31,AN$32,$AA$37,AR$14,AR$15,AR$16,AR$17,AR$18,$X931))</f>
        <v/>
      </c>
      <c r="AS931" s="384" t="n"/>
    </row>
    <row r="932" hidden="1" s="1181">
      <c r="A932" s="384" t="n"/>
      <c r="B932" s="384" t="n"/>
      <c r="C932" s="384" t="n"/>
      <c r="D932" s="384" t="n"/>
      <c r="E932" s="384" t="n"/>
      <c r="F932" s="384" t="n"/>
      <c r="G932" s="384" t="n"/>
      <c r="H932" s="384" t="n"/>
      <c r="I932" s="384" t="n"/>
      <c r="J932" s="384" t="n"/>
      <c r="K932" s="384" t="n"/>
      <c r="L932" s="384" t="n"/>
      <c r="M932" s="384" t="n"/>
      <c r="N932" s="384" t="n"/>
      <c r="O932" s="384" t="n"/>
      <c r="P932" s="384" t="n"/>
      <c r="Q932" s="384" t="n"/>
      <c r="R932" s="384" t="n"/>
      <c r="S932" s="384" t="n"/>
      <c r="T932" s="384" t="n"/>
      <c r="U932" s="384" t="n"/>
      <c r="V932" s="384" t="n"/>
      <c r="W932" s="384" t="n"/>
      <c r="X932" s="645">
        <f>IF(_epmOfflineCondition_,"I_E101292",EPMOlapMemberO("[C_INTERCO].[PARENTH1].[I_E101292]","","I_E101292","","000"))</f>
        <v/>
      </c>
      <c r="Y932" s="870">
        <f>IF(_epmOfflineCondition_,"北京延庆京能清洁能源有限公司",EPMMemberDesc(X932))</f>
        <v/>
      </c>
      <c r="Z932" s="1302" t="n"/>
      <c r="AA932" s="1302" t="n"/>
      <c r="AB932" s="858" t="n"/>
      <c r="AC932" s="1302" t="n"/>
      <c r="AD932" s="1302" t="n"/>
      <c r="AE932" s="1302" t="inlineStr"/>
      <c r="AF932" s="1302" t="inlineStr"/>
      <c r="AG932" s="1302" t="inlineStr"/>
      <c r="AH932" s="1302" t="n"/>
      <c r="AI932" s="1302" t="n"/>
      <c r="AJ932" s="1302" t="n"/>
      <c r="AK932" s="1302">
        <f>AI932-AJ932</f>
        <v/>
      </c>
      <c r="AL932" s="858" t="n"/>
      <c r="AM932" s="1297" t="inlineStr"/>
      <c r="AN932" s="1298" t="n"/>
      <c r="AO932" s="13">
        <f>IF(_epmOfflineCondition_,0,EPMSaveDataOnly(AB932,,AB$29,AB$25,AB$26,AB$31,AB$32,$AA$37,AO$14,AO$15,AO$16,AO$17,AO$18,X932))</f>
        <v/>
      </c>
      <c r="AP932" s="13">
        <f>IF(_epmOfflineCondition_,0,EPMSaveDataOnly(AL932,,AL$29,AL$25,AL$26,AL$31,AL$32,$AA$37,AP$14,AP$15,AP$16,AP$17,AP$18,$X932))</f>
        <v/>
      </c>
      <c r="AQ932" s="13">
        <f>IF(_epmOfflineCondition_,0,EPMSaveData(AM932,,AM$29,AM$25,AM$26,$C$6,AM$32,$AA$37,AQ$14,AQ$15,AQ$16,AQ$17,AQ$18,$X932))</f>
        <v/>
      </c>
      <c r="AR932" s="13">
        <f>IF(_epmOfflineCondition_,0,EPMSaveDataOnly(AN932,,AN$29,AN$25,AN$26,AN$31,AN$32,$AA$37,AR$14,AR$15,AR$16,AR$17,AR$18,$X932))</f>
        <v/>
      </c>
      <c r="AS932" s="384" t="n"/>
    </row>
    <row r="933" hidden="1" s="1181">
      <c r="A933" s="384" t="n"/>
      <c r="B933" s="384" t="n"/>
      <c r="C933" s="384" t="n"/>
      <c r="D933" s="384" t="n"/>
      <c r="E933" s="384" t="n"/>
      <c r="F933" s="384" t="n"/>
      <c r="G933" s="384" t="n"/>
      <c r="H933" s="384" t="n"/>
      <c r="I933" s="384" t="n"/>
      <c r="J933" s="384" t="n"/>
      <c r="K933" s="384" t="n"/>
      <c r="L933" s="384" t="n"/>
      <c r="M933" s="384" t="n"/>
      <c r="N933" s="384" t="n"/>
      <c r="O933" s="384" t="n"/>
      <c r="P933" s="384" t="n"/>
      <c r="Q933" s="384" t="n"/>
      <c r="R933" s="384" t="n"/>
      <c r="S933" s="384" t="n"/>
      <c r="T933" s="384" t="n"/>
      <c r="U933" s="384" t="n"/>
      <c r="V933" s="384" t="n"/>
      <c r="W933" s="384" t="n"/>
      <c r="X933" s="878">
        <f>IF(_epmOfflineCondition_,"I_E101296",EPMOlapMemberO("[C_INTERCO].[PARENTH1].[I_E101296]","","I_E101296","","000"))</f>
        <v/>
      </c>
      <c r="Y933" s="870">
        <f>IF(_epmOfflineCondition_,"京月（仪征）新能源发电有限公司",EPMMemberDesc(X933))</f>
        <v/>
      </c>
      <c r="Z933" s="1302" t="n"/>
      <c r="AA933" s="1302" t="n"/>
      <c r="AB933" s="858" t="n"/>
      <c r="AC933" s="1302" t="n"/>
      <c r="AD933" s="1302" t="n"/>
      <c r="AE933" s="1302" t="inlineStr"/>
      <c r="AF933" s="1302" t="inlineStr"/>
      <c r="AG933" s="1302" t="inlineStr"/>
      <c r="AH933" s="1302" t="n"/>
      <c r="AI933" s="1302" t="n"/>
      <c r="AJ933" s="1302" t="n"/>
      <c r="AK933" s="1302">
        <f>AI933-AJ933</f>
        <v/>
      </c>
      <c r="AL933" s="858" t="n"/>
      <c r="AM933" s="1297" t="inlineStr"/>
      <c r="AN933" s="1298" t="n"/>
      <c r="AO933" s="13">
        <f>IF(_epmOfflineCondition_,0,EPMSaveDataOnly(AB933,,AB$29,AB$25,AB$26,AB$31,AB$32,$AA$37,AO$14,AO$15,AO$16,AO$17,AO$18,X933))</f>
        <v/>
      </c>
      <c r="AP933" s="13">
        <f>IF(_epmOfflineCondition_,0,EPMSaveDataOnly(AL933,,AL$29,AL$25,AL$26,AL$31,AL$32,$AA$37,AP$14,AP$15,AP$16,AP$17,AP$18,$X933))</f>
        <v/>
      </c>
      <c r="AQ933" s="13">
        <f>IF(_epmOfflineCondition_,0,EPMSaveData(AM933,,AM$29,AM$25,AM$26,$C$6,AM$32,$AA$37,AQ$14,AQ$15,AQ$16,AQ$17,AQ$18,$X933))</f>
        <v/>
      </c>
      <c r="AR933" s="13">
        <f>IF(_epmOfflineCondition_,0,EPMSaveDataOnly(AN933,,AN$29,AN$25,AN$26,AN$31,AN$32,$AA$37,AR$14,AR$15,AR$16,AR$17,AR$18,$X933))</f>
        <v/>
      </c>
      <c r="AS933" s="384" t="n"/>
    </row>
    <row r="934" hidden="1" s="1181">
      <c r="A934" s="384" t="n"/>
      <c r="B934" s="384" t="n"/>
      <c r="C934" s="384" t="n"/>
      <c r="D934" s="384" t="n"/>
      <c r="E934" s="384" t="n"/>
      <c r="F934" s="384" t="n"/>
      <c r="G934" s="384" t="n"/>
      <c r="H934" s="384" t="n"/>
      <c r="I934" s="384" t="n"/>
      <c r="J934" s="384" t="n"/>
      <c r="K934" s="384" t="n"/>
      <c r="L934" s="384" t="n"/>
      <c r="M934" s="384" t="n"/>
      <c r="N934" s="384" t="n"/>
      <c r="O934" s="384" t="n"/>
      <c r="P934" s="384" t="n"/>
      <c r="Q934" s="384" t="n"/>
      <c r="R934" s="384" t="n"/>
      <c r="S934" s="384" t="n"/>
      <c r="T934" s="384" t="n"/>
      <c r="U934" s="384" t="n"/>
      <c r="V934" s="384" t="n"/>
      <c r="W934" s="384" t="n"/>
      <c r="X934" s="878">
        <f>IF(_epmOfflineCondition_,"I_E101299",EPMOlapMemberO("[C_INTERCO].[PARENTH1].[I_E101299]","","I_E101299","","000"))</f>
        <v/>
      </c>
      <c r="Y934" s="870">
        <f>IF(_epmOfflineCondition_,"呼和浩特京数蒙算能源科技有限公司",EPMMemberDesc(X934))</f>
        <v/>
      </c>
      <c r="Z934" s="1302" t="n"/>
      <c r="AA934" s="1302" t="n"/>
      <c r="AB934" s="858" t="n"/>
      <c r="AC934" s="1302" t="n"/>
      <c r="AD934" s="1302" t="n"/>
      <c r="AE934" s="1302" t="inlineStr"/>
      <c r="AF934" s="1302" t="inlineStr"/>
      <c r="AG934" s="1302" t="inlineStr"/>
      <c r="AH934" s="1302" t="n"/>
      <c r="AI934" s="1302" t="n"/>
      <c r="AJ934" s="1302" t="n"/>
      <c r="AK934" s="1302">
        <f>AI934-AJ934</f>
        <v/>
      </c>
      <c r="AL934" s="858" t="n"/>
      <c r="AM934" s="1297" t="inlineStr"/>
      <c r="AN934" s="1298" t="n"/>
      <c r="AO934" s="13">
        <f>IF(_epmOfflineCondition_,0,EPMSaveDataOnly(AB934,,AB$29,AB$25,AB$26,AB$31,AB$32,$AA$37,AO$14,AO$15,AO$16,AO$17,AO$18,X934))</f>
        <v/>
      </c>
      <c r="AP934" s="13">
        <f>IF(_epmOfflineCondition_,0,EPMSaveDataOnly(AL934,,AL$29,AL$25,AL$26,AL$31,AL$32,$AA$37,AP$14,AP$15,AP$16,AP$17,AP$18,$X934))</f>
        <v/>
      </c>
      <c r="AQ934" s="13">
        <f>IF(_epmOfflineCondition_,0,EPMSaveData(AM934,,AM$29,AM$25,AM$26,$C$6,AM$32,$AA$37,AQ$14,AQ$15,AQ$16,AQ$17,AQ$18,$X934))</f>
        <v/>
      </c>
      <c r="AR934" s="13">
        <f>IF(_epmOfflineCondition_,0,EPMSaveDataOnly(AN934,,AN$29,AN$25,AN$26,AN$31,AN$32,$AA$37,AR$14,AR$15,AR$16,AR$17,AR$18,$X934))</f>
        <v/>
      </c>
      <c r="AS934" s="384" t="n"/>
    </row>
    <row r="935" hidden="1" s="1181">
      <c r="A935" s="384" t="n"/>
      <c r="B935" s="384" t="n"/>
      <c r="C935" s="384" t="n"/>
      <c r="D935" s="384" t="n"/>
      <c r="E935" s="384" t="n"/>
      <c r="F935" s="384" t="n"/>
      <c r="G935" s="384" t="n"/>
      <c r="H935" s="384" t="n"/>
      <c r="I935" s="384" t="n"/>
      <c r="J935" s="384" t="n"/>
      <c r="K935" s="384" t="n"/>
      <c r="L935" s="384" t="n"/>
      <c r="M935" s="384" t="n"/>
      <c r="N935" s="384" t="n"/>
      <c r="O935" s="384" t="n"/>
      <c r="P935" s="384" t="n"/>
      <c r="Q935" s="384" t="n"/>
      <c r="R935" s="384" t="n"/>
      <c r="S935" s="384" t="n"/>
      <c r="T935" s="384" t="n"/>
      <c r="U935" s="384" t="n"/>
      <c r="V935" s="384" t="n"/>
      <c r="W935" s="384" t="n"/>
      <c r="X935" s="878">
        <f>IF(_epmOfflineCondition_,"I_E101294",EPMOlapMemberO("[C_INTERCO].[PARENTH1].[I_E101294]","","I_E101294","","000"))</f>
        <v/>
      </c>
      <c r="Y935" s="870">
        <f>IF(_epmOfflineCondition_,"保山昌宁保能明泰光伏发电有限公司",EPMMemberDesc(X935))</f>
        <v/>
      </c>
      <c r="Z935" s="1302" t="n"/>
      <c r="AA935" s="1302" t="n"/>
      <c r="AB935" s="858" t="n"/>
      <c r="AC935" s="1302" t="n"/>
      <c r="AD935" s="1302" t="n"/>
      <c r="AE935" s="1302" t="inlineStr"/>
      <c r="AF935" s="1302" t="inlineStr"/>
      <c r="AG935" s="1302" t="inlineStr"/>
      <c r="AH935" s="1302" t="n"/>
      <c r="AI935" s="1302" t="n"/>
      <c r="AJ935" s="1302" t="n"/>
      <c r="AK935" s="1302">
        <f>AI935-AJ935</f>
        <v/>
      </c>
      <c r="AL935" s="858" t="n"/>
      <c r="AM935" s="1297" t="inlineStr"/>
      <c r="AN935" s="1298" t="n"/>
      <c r="AO935" s="13">
        <f>IF(_epmOfflineCondition_,0,EPMSaveDataOnly(AB935,,AB$29,AB$25,AB$26,AB$31,AB$32,$AA$37,AO$14,AO$15,AO$16,AO$17,AO$18,X935))</f>
        <v/>
      </c>
      <c r="AP935" s="13">
        <f>IF(_epmOfflineCondition_,0,EPMSaveDataOnly(AL935,,AL$29,AL$25,AL$26,AL$31,AL$32,$AA$37,AP$14,AP$15,AP$16,AP$17,AP$18,$X935))</f>
        <v/>
      </c>
      <c r="AQ935" s="13">
        <f>IF(_epmOfflineCondition_,0,EPMSaveData(AM935,,AM$29,AM$25,AM$26,$C$6,AM$32,$AA$37,AQ$14,AQ$15,AQ$16,AQ$17,AQ$18,$X935))</f>
        <v/>
      </c>
      <c r="AR935" s="13">
        <f>IF(_epmOfflineCondition_,0,EPMSaveDataOnly(AN935,,AN$29,AN$25,AN$26,AN$31,AN$32,$AA$37,AR$14,AR$15,AR$16,AR$17,AR$18,$X935))</f>
        <v/>
      </c>
      <c r="AS935" s="384" t="n"/>
    </row>
    <row r="936" hidden="1" s="1181">
      <c r="A936" s="384" t="n"/>
      <c r="B936" s="384" t="n"/>
      <c r="C936" s="384" t="n"/>
      <c r="D936" s="384" t="n"/>
      <c r="E936" s="384" t="n"/>
      <c r="F936" s="384" t="n"/>
      <c r="G936" s="384" t="n"/>
      <c r="H936" s="384" t="n"/>
      <c r="I936" s="384" t="n"/>
      <c r="J936" s="384" t="n"/>
      <c r="K936" s="384" t="n"/>
      <c r="L936" s="384" t="n"/>
      <c r="M936" s="384" t="n"/>
      <c r="N936" s="384" t="n"/>
      <c r="O936" s="384" t="n"/>
      <c r="P936" s="384" t="n"/>
      <c r="Q936" s="384" t="n"/>
      <c r="R936" s="384" t="n"/>
      <c r="S936" s="384" t="n"/>
      <c r="T936" s="384" t="n"/>
      <c r="U936" s="384" t="n"/>
      <c r="V936" s="384" t="n"/>
      <c r="W936" s="384" t="n"/>
      <c r="X936" s="878">
        <f>IF(_epmOfflineCondition_,"I_E101301",EPMOlapMemberO("[C_INTERCO].[PARENTH1].[I_E101301]","","I_E101301","","000"))</f>
        <v/>
      </c>
      <c r="Y936" s="870">
        <f>IF(_epmOfflineCondition_,"北京京能国际控股有限公司西南分公司",EPMMemberDesc(X936))</f>
        <v/>
      </c>
      <c r="Z936" s="1302" t="n"/>
      <c r="AA936" s="1302" t="n"/>
      <c r="AB936" s="858" t="n"/>
      <c r="AC936" s="1302" t="n"/>
      <c r="AD936" s="1302" t="n"/>
      <c r="AE936" s="1302" t="inlineStr"/>
      <c r="AF936" s="1302" t="inlineStr"/>
      <c r="AG936" s="1302" t="inlineStr"/>
      <c r="AH936" s="1302" t="n"/>
      <c r="AI936" s="1302" t="n"/>
      <c r="AJ936" s="1302" t="n"/>
      <c r="AK936" s="1302">
        <f>AI936-AJ936</f>
        <v/>
      </c>
      <c r="AL936" s="858" t="n"/>
      <c r="AM936" s="1297" t="inlineStr"/>
      <c r="AN936" s="1298" t="n"/>
      <c r="AO936" s="13">
        <f>IF(_epmOfflineCondition_,0,EPMSaveDataOnly(AB936,,AB$29,AB$25,AB$26,AB$31,AB$32,$AA$37,AO$14,AO$15,AO$16,AO$17,AO$18,X936))</f>
        <v/>
      </c>
      <c r="AP936" s="13">
        <f>IF(_epmOfflineCondition_,0,EPMSaveDataOnly(AL936,,AL$29,AL$25,AL$26,AL$31,AL$32,$AA$37,AP$14,AP$15,AP$16,AP$17,AP$18,$X936))</f>
        <v/>
      </c>
      <c r="AQ936" s="13">
        <f>IF(_epmOfflineCondition_,0,EPMSaveData(AM936,,AM$29,AM$25,AM$26,$C$6,AM$32,$AA$37,AQ$14,AQ$15,AQ$16,AQ$17,AQ$18,$X936))</f>
        <v/>
      </c>
      <c r="AR936" s="13">
        <f>IF(_epmOfflineCondition_,0,EPMSaveDataOnly(AN936,,AN$29,AN$25,AN$26,AN$31,AN$32,$AA$37,AR$14,AR$15,AR$16,AR$17,AR$18,$X936))</f>
        <v/>
      </c>
      <c r="AS936" s="384" t="n"/>
    </row>
    <row r="937" hidden="1" s="1181">
      <c r="A937" s="384" t="n"/>
      <c r="B937" s="384" t="n"/>
      <c r="C937" s="384" t="n"/>
      <c r="D937" s="384" t="n"/>
      <c r="E937" s="384" t="n"/>
      <c r="F937" s="384" t="n"/>
      <c r="G937" s="384" t="n"/>
      <c r="H937" s="384" t="n"/>
      <c r="I937" s="384" t="n"/>
      <c r="J937" s="384" t="n"/>
      <c r="K937" s="384" t="n"/>
      <c r="L937" s="384" t="n"/>
      <c r="M937" s="384" t="n"/>
      <c r="N937" s="384" t="n"/>
      <c r="O937" s="384" t="n"/>
      <c r="P937" s="384" t="n"/>
      <c r="Q937" s="384" t="n"/>
      <c r="R937" s="384" t="n"/>
      <c r="S937" s="384" t="n"/>
      <c r="T937" s="384" t="n"/>
      <c r="U937" s="384" t="n"/>
      <c r="V937" s="384" t="n"/>
      <c r="W937" s="384" t="n"/>
      <c r="X937" s="878">
        <f>IF(_epmOfflineCondition_,"I_E101307",EPMOlapMemberO("[C_INTERCO].[PARENTH1].[I_E101307]","","I_E101307","","000"))</f>
        <v/>
      </c>
      <c r="Y937" s="870">
        <f>IF(_epmOfflineCondition_,"北京市顺义区颐寿轩养老服务中心",EPMMemberDesc(X937))</f>
        <v/>
      </c>
      <c r="Z937" s="1302" t="n"/>
      <c r="AA937" s="1302" t="n"/>
      <c r="AB937" s="858" t="n"/>
      <c r="AC937" s="1302" t="n"/>
      <c r="AD937" s="1302" t="n"/>
      <c r="AE937" s="1302" t="inlineStr"/>
      <c r="AF937" s="1302" t="inlineStr"/>
      <c r="AG937" s="1302" t="inlineStr"/>
      <c r="AH937" s="1302" t="n"/>
      <c r="AI937" s="1302" t="n"/>
      <c r="AJ937" s="1302" t="n"/>
      <c r="AK937" s="1302">
        <f>AI937-AJ937</f>
        <v/>
      </c>
      <c r="AL937" s="858" t="n"/>
      <c r="AM937" s="1297" t="inlineStr"/>
      <c r="AN937" s="1298" t="n"/>
      <c r="AO937" s="13">
        <f>IF(_epmOfflineCondition_,0,EPMSaveDataOnly(AB937,,AB$29,AB$25,AB$26,AB$31,AB$32,$AA$37,AO$14,AO$15,AO$16,AO$17,AO$18,X937))</f>
        <v/>
      </c>
      <c r="AP937" s="13">
        <f>IF(_epmOfflineCondition_,0,EPMSaveDataOnly(AL937,,AL$29,AL$25,AL$26,AL$31,AL$32,$AA$37,AP$14,AP$15,AP$16,AP$17,AP$18,$X937))</f>
        <v/>
      </c>
      <c r="AQ937" s="13">
        <f>IF(_epmOfflineCondition_,0,EPMSaveData(AM937,,AM$29,AM$25,AM$26,$C$6,AM$32,$AA$37,AQ$14,AQ$15,AQ$16,AQ$17,AQ$18,$X937))</f>
        <v/>
      </c>
      <c r="AR937" s="13">
        <f>IF(_epmOfflineCondition_,0,EPMSaveDataOnly(AN937,,AN$29,AN$25,AN$26,AN$31,AN$32,$AA$37,AR$14,AR$15,AR$16,AR$17,AR$18,$X937))</f>
        <v/>
      </c>
      <c r="AS937" s="384" t="n"/>
    </row>
    <row r="938" hidden="1" s="1181">
      <c r="A938" s="384" t="n"/>
      <c r="B938" s="384" t="n"/>
      <c r="C938" s="384" t="n"/>
      <c r="D938" s="384" t="n"/>
      <c r="E938" s="384" t="n"/>
      <c r="F938" s="384" t="n"/>
      <c r="G938" s="384" t="n"/>
      <c r="H938" s="384" t="n"/>
      <c r="I938" s="384" t="n"/>
      <c r="J938" s="384" t="n"/>
      <c r="K938" s="384" t="n"/>
      <c r="L938" s="384" t="n"/>
      <c r="M938" s="384" t="n"/>
      <c r="N938" s="384" t="n"/>
      <c r="O938" s="384" t="n"/>
      <c r="P938" s="384" t="n"/>
      <c r="Q938" s="384" t="n"/>
      <c r="R938" s="384" t="n"/>
      <c r="S938" s="384" t="n"/>
      <c r="T938" s="384" t="n"/>
      <c r="U938" s="384" t="n"/>
      <c r="V938" s="384" t="n"/>
      <c r="W938" s="384" t="n"/>
      <c r="X938" s="878">
        <f>IF(_epmOfflineCondition_,"I_E101316",EPMOlapMemberO("[C_INTERCO].[PARENTH1].[I_E101316]","","I_E101316","","000"))</f>
        <v/>
      </c>
      <c r="Y938" s="870">
        <f>IF(_epmOfflineCondition_,"北京京能未来能源科技有限公司",EPMMemberDesc(X938))</f>
        <v/>
      </c>
      <c r="Z938" s="1302" t="n"/>
      <c r="AA938" s="1302" t="n"/>
      <c r="AB938" s="858" t="n"/>
      <c r="AC938" s="1302" t="n"/>
      <c r="AD938" s="1302" t="n"/>
      <c r="AE938" s="1302" t="inlineStr"/>
      <c r="AF938" s="1302" t="inlineStr"/>
      <c r="AG938" s="1302" t="inlineStr"/>
      <c r="AH938" s="1302" t="n"/>
      <c r="AI938" s="1302" t="n"/>
      <c r="AJ938" s="1302" t="n"/>
      <c r="AK938" s="1302">
        <f>AI938-AJ938</f>
        <v/>
      </c>
      <c r="AL938" s="858" t="n"/>
      <c r="AM938" s="1297" t="inlineStr"/>
      <c r="AN938" s="1298" t="n"/>
      <c r="AO938" s="13">
        <f>IF(_epmOfflineCondition_,0,EPMSaveDataOnly(AB938,,AB$29,AB$25,AB$26,AB$31,AB$32,$AA$37,AO$14,AO$15,AO$16,AO$17,AO$18,X938))</f>
        <v/>
      </c>
      <c r="AP938" s="13">
        <f>IF(_epmOfflineCondition_,0,EPMSaveDataOnly(AL938,,AL$29,AL$25,AL$26,AL$31,AL$32,$AA$37,AP$14,AP$15,AP$16,AP$17,AP$18,$X938))</f>
        <v/>
      </c>
      <c r="AQ938" s="13">
        <f>IF(_epmOfflineCondition_,0,EPMSaveData(AM938,,AM$29,AM$25,AM$26,$C$6,AM$32,$AA$37,AQ$14,AQ$15,AQ$16,AQ$17,AQ$18,$X938))</f>
        <v/>
      </c>
      <c r="AR938" s="13">
        <f>IF(_epmOfflineCondition_,0,EPMSaveDataOnly(AN938,,AN$29,AN$25,AN$26,AN$31,AN$32,$AA$37,AR$14,AR$15,AR$16,AR$17,AR$18,$X938))</f>
        <v/>
      </c>
      <c r="AS938" s="384" t="n"/>
    </row>
    <row r="939" hidden="1" s="1181">
      <c r="A939" s="384" t="n"/>
      <c r="B939" s="384" t="n"/>
      <c r="C939" s="384" t="n"/>
      <c r="D939" s="384" t="n"/>
      <c r="E939" s="384" t="n"/>
      <c r="F939" s="384" t="n"/>
      <c r="G939" s="384" t="n"/>
      <c r="H939" s="384" t="n"/>
      <c r="I939" s="384" t="n"/>
      <c r="J939" s="384" t="n"/>
      <c r="K939" s="384" t="n"/>
      <c r="L939" s="384" t="n"/>
      <c r="M939" s="384" t="n"/>
      <c r="N939" s="384" t="n"/>
      <c r="O939" s="384" t="n"/>
      <c r="P939" s="384" t="n"/>
      <c r="Q939" s="384" t="n"/>
      <c r="R939" s="384" t="n"/>
      <c r="S939" s="384" t="n"/>
      <c r="T939" s="384" t="n"/>
      <c r="U939" s="384" t="n"/>
      <c r="V939" s="384" t="n"/>
      <c r="W939" s="384" t="n"/>
      <c r="X939" s="878">
        <f>IF(_epmOfflineCondition_,"I_E101317",EPMOlapMemberO("[C_INTERCO].[PARENTH1].[I_E101317]","","I_E101317","","000"))</f>
        <v/>
      </c>
      <c r="Y939" s="870">
        <f>IF(_epmOfflineCondition_,"北京京热张家湾热力有限公司",EPMMemberDesc(X939))</f>
        <v/>
      </c>
      <c r="Z939" s="1302" t="n"/>
      <c r="AA939" s="1302" t="n"/>
      <c r="AB939" s="858" t="n"/>
      <c r="AC939" s="1302" t="n"/>
      <c r="AD939" s="1302" t="n"/>
      <c r="AE939" s="1302" t="inlineStr"/>
      <c r="AF939" s="1302" t="inlineStr"/>
      <c r="AG939" s="1302" t="inlineStr"/>
      <c r="AH939" s="1302" t="n"/>
      <c r="AI939" s="1302" t="n"/>
      <c r="AJ939" s="1302" t="n"/>
      <c r="AK939" s="1302">
        <f>AI939-AJ939</f>
        <v/>
      </c>
      <c r="AL939" s="858" t="n"/>
      <c r="AM939" s="1297" t="inlineStr"/>
      <c r="AN939" s="1298" t="n"/>
      <c r="AO939" s="13">
        <f>IF(_epmOfflineCondition_,0,EPMSaveDataOnly(AB939,,AB$29,AB$25,AB$26,AB$31,AB$32,$AA$37,AO$14,AO$15,AO$16,AO$17,AO$18,X939))</f>
        <v/>
      </c>
      <c r="AP939" s="13">
        <f>IF(_epmOfflineCondition_,0,EPMSaveDataOnly(AL939,,AL$29,AL$25,AL$26,AL$31,AL$32,$AA$37,AP$14,AP$15,AP$16,AP$17,AP$18,$X939))</f>
        <v/>
      </c>
      <c r="AQ939" s="13">
        <f>IF(_epmOfflineCondition_,0,EPMSaveData(AM939,,AM$29,AM$25,AM$26,$C$6,AM$32,$AA$37,AQ$14,AQ$15,AQ$16,AQ$17,AQ$18,$X939))</f>
        <v/>
      </c>
      <c r="AR939" s="13">
        <f>IF(_epmOfflineCondition_,0,EPMSaveDataOnly(AN939,,AN$29,AN$25,AN$26,AN$31,AN$32,$AA$37,AR$14,AR$15,AR$16,AR$17,AR$18,$X939))</f>
        <v/>
      </c>
      <c r="AS939" s="384" t="n"/>
    </row>
    <row r="940" hidden="1" s="1181">
      <c r="A940" s="384" t="n"/>
      <c r="B940" s="384" t="n"/>
      <c r="C940" s="384" t="n"/>
      <c r="D940" s="384" t="n"/>
      <c r="E940" s="384" t="n"/>
      <c r="F940" s="384" t="n"/>
      <c r="G940" s="384" t="n"/>
      <c r="H940" s="384" t="n"/>
      <c r="I940" s="384" t="n"/>
      <c r="J940" s="384" t="n"/>
      <c r="K940" s="384" t="n"/>
      <c r="L940" s="384" t="n"/>
      <c r="M940" s="384" t="n"/>
      <c r="N940" s="384" t="n"/>
      <c r="O940" s="384" t="n"/>
      <c r="P940" s="384" t="n"/>
      <c r="Q940" s="384" t="n"/>
      <c r="R940" s="384" t="n"/>
      <c r="S940" s="384" t="n"/>
      <c r="T940" s="384" t="n"/>
      <c r="U940" s="384" t="n"/>
      <c r="V940" s="384" t="n"/>
      <c r="W940" s="384" t="n"/>
      <c r="X940" s="878">
        <f>IF(_epmOfflineCondition_,"I_E101318",EPMOlapMemberO("[C_INTERCO].[PARENTH1].[I_E101318]","","I_E101318","","000"))</f>
        <v/>
      </c>
      <c r="Y940" s="870">
        <f>IF(_epmOfflineCondition_,"江苏京能知己新能源有限公司",EPMMemberDesc(X940))</f>
        <v/>
      </c>
      <c r="Z940" s="1302" t="n"/>
      <c r="AA940" s="1302" t="n"/>
      <c r="AB940" s="858" t="n"/>
      <c r="AC940" s="1302" t="n"/>
      <c r="AD940" s="1302" t="n"/>
      <c r="AE940" s="1302" t="inlineStr"/>
      <c r="AF940" s="1302" t="inlineStr"/>
      <c r="AG940" s="1302" t="inlineStr"/>
      <c r="AH940" s="1302" t="n"/>
      <c r="AI940" s="1302" t="n"/>
      <c r="AJ940" s="1302" t="n"/>
      <c r="AK940" s="1302">
        <f>AI940-AJ940</f>
        <v/>
      </c>
      <c r="AL940" s="858" t="n"/>
      <c r="AM940" s="1297" t="inlineStr"/>
      <c r="AN940" s="1298" t="n"/>
      <c r="AO940" s="13">
        <f>IF(_epmOfflineCondition_,0,EPMSaveDataOnly(AB940,,AB$29,AB$25,AB$26,AB$31,AB$32,$AA$37,AO$14,AO$15,AO$16,AO$17,AO$18,X940))</f>
        <v/>
      </c>
      <c r="AP940" s="13">
        <f>IF(_epmOfflineCondition_,0,EPMSaveDataOnly(AL940,,AL$29,AL$25,AL$26,AL$31,AL$32,$AA$37,AP$14,AP$15,AP$16,AP$17,AP$18,$X940))</f>
        <v/>
      </c>
      <c r="AQ940" s="13">
        <f>IF(_epmOfflineCondition_,0,EPMSaveData(AM940,,AM$29,AM$25,AM$26,$C$6,AM$32,$AA$37,AQ$14,AQ$15,AQ$16,AQ$17,AQ$18,$X940))</f>
        <v/>
      </c>
      <c r="AR940" s="13">
        <f>IF(_epmOfflineCondition_,0,EPMSaveDataOnly(AN940,,AN$29,AN$25,AN$26,AN$31,AN$32,$AA$37,AR$14,AR$15,AR$16,AR$17,AR$18,$X940))</f>
        <v/>
      </c>
      <c r="AS940" s="384" t="n"/>
    </row>
    <row r="941" hidden="1" s="1181">
      <c r="A941" s="384" t="n"/>
      <c r="B941" s="384" t="n"/>
      <c r="C941" s="384" t="n"/>
      <c r="D941" s="384" t="n"/>
      <c r="E941" s="384" t="n"/>
      <c r="F941" s="384" t="n"/>
      <c r="G941" s="384" t="n"/>
      <c r="H941" s="384" t="n"/>
      <c r="I941" s="384" t="n"/>
      <c r="J941" s="384" t="n"/>
      <c r="K941" s="384" t="n"/>
      <c r="L941" s="384" t="n"/>
      <c r="M941" s="384" t="n"/>
      <c r="N941" s="384" t="n"/>
      <c r="O941" s="384" t="n"/>
      <c r="P941" s="384" t="n"/>
      <c r="Q941" s="384" t="n"/>
      <c r="R941" s="384" t="n"/>
      <c r="S941" s="384" t="n"/>
      <c r="T941" s="384" t="n"/>
      <c r="U941" s="384" t="n"/>
      <c r="V941" s="384" t="n"/>
      <c r="W941" s="384" t="n"/>
      <c r="X941" s="878">
        <f>IF(_epmOfflineCondition_,"I_E101314",EPMOlapMemberO("[C_INTERCO].[PARENTH1].[I_E101314]","","I_E101314","","000"))</f>
        <v/>
      </c>
      <c r="Y941" s="870">
        <f>IF(_epmOfflineCondition_,"保山腾冲景泰新能源开发有限公司",EPMMemberDesc(X941))</f>
        <v/>
      </c>
      <c r="Z941" s="1302" t="n"/>
      <c r="AA941" s="1302" t="n"/>
      <c r="AB941" s="858" t="n"/>
      <c r="AC941" s="1302" t="n"/>
      <c r="AD941" s="1302" t="n"/>
      <c r="AE941" s="1302" t="inlineStr"/>
      <c r="AF941" s="1302" t="inlineStr"/>
      <c r="AG941" s="1302" t="inlineStr"/>
      <c r="AH941" s="1302" t="n"/>
      <c r="AI941" s="1302" t="n"/>
      <c r="AJ941" s="1302" t="n"/>
      <c r="AK941" s="1302">
        <f>AI941-AJ941</f>
        <v/>
      </c>
      <c r="AL941" s="858" t="n"/>
      <c r="AM941" s="1297" t="inlineStr"/>
      <c r="AN941" s="1298" t="n"/>
      <c r="AO941" s="13">
        <f>IF(_epmOfflineCondition_,0,EPMSaveDataOnly(AB941,,AB$29,AB$25,AB$26,AB$31,AB$32,$AA$37,AO$14,AO$15,AO$16,AO$17,AO$18,X941))</f>
        <v/>
      </c>
      <c r="AP941" s="13">
        <f>IF(_epmOfflineCondition_,0,EPMSaveDataOnly(AL941,,AL$29,AL$25,AL$26,AL$31,AL$32,$AA$37,AP$14,AP$15,AP$16,AP$17,AP$18,$X941))</f>
        <v/>
      </c>
      <c r="AQ941" s="13">
        <f>IF(_epmOfflineCondition_,0,EPMSaveData(AM941,,AM$29,AM$25,AM$26,$C$6,AM$32,$AA$37,AQ$14,AQ$15,AQ$16,AQ$17,AQ$18,$X941))</f>
        <v/>
      </c>
      <c r="AR941" s="13">
        <f>IF(_epmOfflineCondition_,0,EPMSaveDataOnly(AN941,,AN$29,AN$25,AN$26,AN$31,AN$32,$AA$37,AR$14,AR$15,AR$16,AR$17,AR$18,$X941))</f>
        <v/>
      </c>
      <c r="AS941" s="384" t="n"/>
    </row>
    <row r="942" hidden="1" s="1181">
      <c r="A942" s="384" t="n"/>
      <c r="B942" s="384" t="n"/>
      <c r="C942" s="384" t="n"/>
      <c r="D942" s="384" t="n"/>
      <c r="E942" s="384" t="n"/>
      <c r="F942" s="384" t="n"/>
      <c r="G942" s="384" t="n"/>
      <c r="H942" s="384" t="n"/>
      <c r="I942" s="384" t="n"/>
      <c r="J942" s="384" t="n"/>
      <c r="K942" s="384" t="n"/>
      <c r="L942" s="384" t="n"/>
      <c r="M942" s="384" t="n"/>
      <c r="N942" s="384" t="n"/>
      <c r="O942" s="384" t="n"/>
      <c r="P942" s="384" t="n"/>
      <c r="Q942" s="384" t="n"/>
      <c r="R942" s="384" t="n"/>
      <c r="S942" s="384" t="n"/>
      <c r="T942" s="384" t="n"/>
      <c r="U942" s="384" t="n"/>
      <c r="V942" s="384" t="n"/>
      <c r="W942" s="384" t="n"/>
      <c r="X942" s="878">
        <f>IF(_epmOfflineCondition_,"I_E101289",EPMOlapMemberO("[C_INTERCO].[PARENTH1].[I_E101289]","","I_E101289","","000"))</f>
        <v/>
      </c>
      <c r="Y942" s="870">
        <f>IF(_epmOfflineCondition_,"锡林郭勒京能清洁能源有限公司",EPMMemberDesc(X942))</f>
        <v/>
      </c>
      <c r="Z942" s="1302" t="n"/>
      <c r="AA942" s="1302" t="n"/>
      <c r="AB942" s="858" t="n"/>
      <c r="AC942" s="1302" t="n"/>
      <c r="AD942" s="1302" t="n"/>
      <c r="AE942" s="1302" t="inlineStr"/>
      <c r="AF942" s="1302" t="inlineStr"/>
      <c r="AG942" s="1302" t="inlineStr"/>
      <c r="AH942" s="1302" t="n"/>
      <c r="AI942" s="1302" t="n"/>
      <c r="AJ942" s="1302" t="n"/>
      <c r="AK942" s="1302">
        <f>AI942-AJ942</f>
        <v/>
      </c>
      <c r="AL942" s="858" t="n"/>
      <c r="AM942" s="1297" t="inlineStr"/>
      <c r="AN942" s="1298" t="n"/>
      <c r="AO942" s="13">
        <f>IF(_epmOfflineCondition_,0,EPMSaveDataOnly(AB942,,AB$29,AB$25,AB$26,AB$31,AB$32,$AA$37,AO$14,AO$15,AO$16,AO$17,AO$18,X942))</f>
        <v/>
      </c>
      <c r="AP942" s="13">
        <f>IF(_epmOfflineCondition_,0,EPMSaveDataOnly(AL942,,AL$29,AL$25,AL$26,AL$31,AL$32,$AA$37,AP$14,AP$15,AP$16,AP$17,AP$18,$X942))</f>
        <v/>
      </c>
      <c r="AQ942" s="13">
        <f>IF(_epmOfflineCondition_,0,EPMSaveData(AM942,,AM$29,AM$25,AM$26,$C$6,AM$32,$AA$37,AQ$14,AQ$15,AQ$16,AQ$17,AQ$18,$X942))</f>
        <v/>
      </c>
      <c r="AR942" s="13">
        <f>IF(_epmOfflineCondition_,0,EPMSaveDataOnly(AN942,,AN$29,AN$25,AN$26,AN$31,AN$32,$AA$37,AR$14,AR$15,AR$16,AR$17,AR$18,$X942))</f>
        <v/>
      </c>
      <c r="AS942" s="384" t="n"/>
    </row>
    <row r="943" hidden="1" s="1181">
      <c r="A943" s="384" t="n"/>
      <c r="B943" s="384" t="n"/>
      <c r="C943" s="384" t="n"/>
      <c r="D943" s="384" t="n"/>
      <c r="E943" s="384" t="n"/>
      <c r="F943" s="384" t="n"/>
      <c r="G943" s="384" t="n"/>
      <c r="H943" s="384" t="n"/>
      <c r="I943" s="384" t="n"/>
      <c r="J943" s="384" t="n"/>
      <c r="K943" s="384" t="n"/>
      <c r="L943" s="384" t="n"/>
      <c r="M943" s="384" t="n"/>
      <c r="N943" s="384" t="n"/>
      <c r="O943" s="384" t="n"/>
      <c r="P943" s="384" t="n"/>
      <c r="Q943" s="384" t="n"/>
      <c r="R943" s="384" t="n"/>
      <c r="S943" s="384" t="n"/>
      <c r="T943" s="384" t="n"/>
      <c r="U943" s="384" t="n"/>
      <c r="V943" s="384" t="n"/>
      <c r="W943" s="384" t="n"/>
      <c r="X943" s="878">
        <f>IF(_epmOfflineCondition_,"I_E101309",EPMOlapMemberO("[C_INTERCO].[PARENTH1].[I_E101309]","","I_E101309","","000"))</f>
        <v/>
      </c>
      <c r="Y943" s="870">
        <f>IF(_epmOfflineCondition_,"锡林浩特市京能智汇清洁能源有限公司",EPMMemberDesc(X943))</f>
        <v/>
      </c>
      <c r="Z943" s="1302" t="n"/>
      <c r="AA943" s="1302" t="n"/>
      <c r="AB943" s="858" t="n"/>
      <c r="AC943" s="1302" t="n"/>
      <c r="AD943" s="1302" t="n"/>
      <c r="AE943" s="1302" t="inlineStr"/>
      <c r="AF943" s="1302" t="inlineStr"/>
      <c r="AG943" s="1302" t="inlineStr"/>
      <c r="AH943" s="1302" t="n"/>
      <c r="AI943" s="1302" t="n"/>
      <c r="AJ943" s="1302" t="n"/>
      <c r="AK943" s="1302">
        <f>AI943-AJ943</f>
        <v/>
      </c>
      <c r="AL943" s="858" t="n"/>
      <c r="AM943" s="1297" t="inlineStr"/>
      <c r="AN943" s="1298" t="n"/>
      <c r="AO943" s="13">
        <f>IF(_epmOfflineCondition_,0,EPMSaveDataOnly(AB943,,AB$29,AB$25,AB$26,AB$31,AB$32,$AA$37,AO$14,AO$15,AO$16,AO$17,AO$18,X943))</f>
        <v/>
      </c>
      <c r="AP943" s="13">
        <f>IF(_epmOfflineCondition_,0,EPMSaveDataOnly(AL943,,AL$29,AL$25,AL$26,AL$31,AL$32,$AA$37,AP$14,AP$15,AP$16,AP$17,AP$18,$X943))</f>
        <v/>
      </c>
      <c r="AQ943" s="13">
        <f>IF(_epmOfflineCondition_,0,EPMSaveData(AM943,,AM$29,AM$25,AM$26,$C$6,AM$32,$AA$37,AQ$14,AQ$15,AQ$16,AQ$17,AQ$18,$X943))</f>
        <v/>
      </c>
      <c r="AR943" s="13">
        <f>IF(_epmOfflineCondition_,0,EPMSaveDataOnly(AN943,,AN$29,AN$25,AN$26,AN$31,AN$32,$AA$37,AR$14,AR$15,AR$16,AR$17,AR$18,$X943))</f>
        <v/>
      </c>
      <c r="AS943" s="384" t="n"/>
    </row>
    <row r="944" hidden="1" s="1181">
      <c r="A944" s="384" t="n"/>
      <c r="B944" s="384" t="n"/>
      <c r="C944" s="384" t="n"/>
      <c r="D944" s="384" t="n"/>
      <c r="E944" s="384" t="n"/>
      <c r="F944" s="384" t="n"/>
      <c r="G944" s="384" t="n"/>
      <c r="H944" s="384" t="n"/>
      <c r="I944" s="384" t="n"/>
      <c r="J944" s="384" t="n"/>
      <c r="K944" s="384" t="n"/>
      <c r="L944" s="384" t="n"/>
      <c r="M944" s="384" t="n"/>
      <c r="N944" s="384" t="n"/>
      <c r="O944" s="384" t="n"/>
      <c r="P944" s="384" t="n"/>
      <c r="Q944" s="384" t="n"/>
      <c r="R944" s="384" t="n"/>
      <c r="S944" s="384" t="n"/>
      <c r="T944" s="384" t="n"/>
      <c r="U944" s="384" t="n"/>
      <c r="V944" s="384" t="n"/>
      <c r="W944" s="384" t="n"/>
      <c r="X944" s="878">
        <f>IF(_epmOfflineCondition_,"I_E101310",EPMOlapMemberO("[C_INTERCO].[PARENTH1].[I_E101310]","","I_E101310","","000"))</f>
        <v/>
      </c>
      <c r="Y944" s="870">
        <f>IF(_epmOfflineCondition_,"苏尼特右旗京能智汇清洁能源有限公司",EPMMemberDesc(X944))</f>
        <v/>
      </c>
      <c r="Z944" s="1302" t="n"/>
      <c r="AA944" s="1302" t="n"/>
      <c r="AB944" s="858" t="n"/>
      <c r="AC944" s="1302" t="n"/>
      <c r="AD944" s="1302" t="n"/>
      <c r="AE944" s="1302" t="inlineStr"/>
      <c r="AF944" s="1302" t="inlineStr"/>
      <c r="AG944" s="1302" t="inlineStr"/>
      <c r="AH944" s="1302" t="n"/>
      <c r="AI944" s="1302" t="n"/>
      <c r="AJ944" s="1302" t="n"/>
      <c r="AK944" s="1302">
        <f>AI944-AJ944</f>
        <v/>
      </c>
      <c r="AL944" s="858" t="n"/>
      <c r="AM944" s="1297" t="inlineStr"/>
      <c r="AN944" s="1298" t="n"/>
      <c r="AO944" s="13">
        <f>IF(_epmOfflineCondition_,0,EPMSaveDataOnly(AB944,,AB$29,AB$25,AB$26,AB$31,AB$32,$AA$37,AO$14,AO$15,AO$16,AO$17,AO$18,X944))</f>
        <v/>
      </c>
      <c r="AP944" s="13">
        <f>IF(_epmOfflineCondition_,0,EPMSaveDataOnly(AL944,,AL$29,AL$25,AL$26,AL$31,AL$32,$AA$37,AP$14,AP$15,AP$16,AP$17,AP$18,$X944))</f>
        <v/>
      </c>
      <c r="AQ944" s="13">
        <f>IF(_epmOfflineCondition_,0,EPMSaveData(AM944,,AM$29,AM$25,AM$26,$C$6,AM$32,$AA$37,AQ$14,AQ$15,AQ$16,AQ$17,AQ$18,$X944))</f>
        <v/>
      </c>
      <c r="AR944" s="13">
        <f>IF(_epmOfflineCondition_,0,EPMSaveDataOnly(AN944,,AN$29,AN$25,AN$26,AN$31,AN$32,$AA$37,AR$14,AR$15,AR$16,AR$17,AR$18,$X944))</f>
        <v/>
      </c>
      <c r="AS944" s="384" t="n"/>
    </row>
    <row r="945" hidden="1" s="1181">
      <c r="A945" s="384" t="n"/>
      <c r="B945" s="384" t="n"/>
      <c r="C945" s="384" t="n"/>
      <c r="D945" s="384" t="n"/>
      <c r="E945" s="384" t="n"/>
      <c r="F945" s="384" t="n"/>
      <c r="G945" s="384" t="n"/>
      <c r="H945" s="384" t="n"/>
      <c r="I945" s="384" t="n"/>
      <c r="J945" s="384" t="n"/>
      <c r="K945" s="384" t="n"/>
      <c r="L945" s="384" t="n"/>
      <c r="M945" s="384" t="n"/>
      <c r="N945" s="384" t="n"/>
      <c r="O945" s="384" t="n"/>
      <c r="P945" s="384" t="n"/>
      <c r="Q945" s="384" t="n"/>
      <c r="R945" s="384" t="n"/>
      <c r="S945" s="384" t="n"/>
      <c r="T945" s="384" t="n"/>
      <c r="U945" s="384" t="n"/>
      <c r="V945" s="384" t="n"/>
      <c r="W945" s="384" t="n"/>
      <c r="X945" s="878">
        <f>IF(_epmOfflineCondition_,"I_E101311",EPMOlapMemberO("[C_INTERCO].[PARENTH1].[I_E101311]","","I_E101311","","000"))</f>
        <v/>
      </c>
      <c r="Y945" s="870">
        <f>IF(_epmOfflineCondition_,"镶黄旗京能智汇清洁能源有限公司",EPMMemberDesc(X945))</f>
        <v/>
      </c>
      <c r="Z945" s="1302" t="n"/>
      <c r="AA945" s="1302" t="n"/>
      <c r="AB945" s="858" t="n"/>
      <c r="AC945" s="1302" t="n"/>
      <c r="AD945" s="1302" t="n"/>
      <c r="AE945" s="1302" t="inlineStr"/>
      <c r="AF945" s="1302" t="inlineStr"/>
      <c r="AG945" s="1302" t="inlineStr"/>
      <c r="AH945" s="1302" t="n"/>
      <c r="AI945" s="1302" t="n"/>
      <c r="AJ945" s="1302" t="n"/>
      <c r="AK945" s="1302">
        <f>AI945-AJ945</f>
        <v/>
      </c>
      <c r="AL945" s="858" t="n"/>
      <c r="AM945" s="1297" t="inlineStr"/>
      <c r="AN945" s="1298" t="n"/>
      <c r="AO945" s="13">
        <f>IF(_epmOfflineCondition_,0,EPMSaveDataOnly(AB945,,AB$29,AB$25,AB$26,AB$31,AB$32,$AA$37,AO$14,AO$15,AO$16,AO$17,AO$18,X945))</f>
        <v/>
      </c>
      <c r="AP945" s="13">
        <f>IF(_epmOfflineCondition_,0,EPMSaveDataOnly(AL945,,AL$29,AL$25,AL$26,AL$31,AL$32,$AA$37,AP$14,AP$15,AP$16,AP$17,AP$18,$X945))</f>
        <v/>
      </c>
      <c r="AQ945" s="13">
        <f>IF(_epmOfflineCondition_,0,EPMSaveData(AM945,,AM$29,AM$25,AM$26,$C$6,AM$32,$AA$37,AQ$14,AQ$15,AQ$16,AQ$17,AQ$18,$X945))</f>
        <v/>
      </c>
      <c r="AR945" s="13">
        <f>IF(_epmOfflineCondition_,0,EPMSaveDataOnly(AN945,,AN$29,AN$25,AN$26,AN$31,AN$32,$AA$37,AR$14,AR$15,AR$16,AR$17,AR$18,$X945))</f>
        <v/>
      </c>
      <c r="AS945" s="384" t="n"/>
    </row>
    <row r="946" hidden="1" s="1181">
      <c r="A946" s="384" t="n"/>
      <c r="B946" s="384" t="n"/>
      <c r="C946" s="384" t="n"/>
      <c r="D946" s="384" t="n"/>
      <c r="E946" s="384" t="n"/>
      <c r="F946" s="384" t="n"/>
      <c r="G946" s="384" t="n"/>
      <c r="H946" s="384" t="n"/>
      <c r="I946" s="384" t="n"/>
      <c r="J946" s="384" t="n"/>
      <c r="K946" s="384" t="n"/>
      <c r="L946" s="384" t="n"/>
      <c r="M946" s="384" t="n"/>
      <c r="N946" s="384" t="n"/>
      <c r="O946" s="384" t="n"/>
      <c r="P946" s="384" t="n"/>
      <c r="Q946" s="384" t="n"/>
      <c r="R946" s="384" t="n"/>
      <c r="S946" s="384" t="n"/>
      <c r="T946" s="384" t="n"/>
      <c r="U946" s="384" t="n"/>
      <c r="V946" s="384" t="n"/>
      <c r="W946" s="384" t="n"/>
      <c r="X946" s="878">
        <f>IF(_epmOfflineCondition_,"I_E101312",EPMOlapMemberO("[C_INTERCO].[PARENTH1].[I_E101312]","","I_E101312","","000"))</f>
        <v/>
      </c>
      <c r="Y946" s="870">
        <f>IF(_epmOfflineCondition_,"正镶白旗京能智汇清洁能源有限公司",EPMMemberDesc(X946))</f>
        <v/>
      </c>
      <c r="Z946" s="1302" t="n"/>
      <c r="AA946" s="1302" t="n"/>
      <c r="AB946" s="858" t="n"/>
      <c r="AC946" s="1302" t="n"/>
      <c r="AD946" s="1302" t="n"/>
      <c r="AE946" s="1302" t="inlineStr"/>
      <c r="AF946" s="1302" t="inlineStr"/>
      <c r="AG946" s="1302" t="inlineStr"/>
      <c r="AH946" s="1302" t="n"/>
      <c r="AI946" s="1302" t="n"/>
      <c r="AJ946" s="1302" t="n"/>
      <c r="AK946" s="1302">
        <f>AI946-AJ946</f>
        <v/>
      </c>
      <c r="AL946" s="858" t="n"/>
      <c r="AM946" s="1297" t="inlineStr"/>
      <c r="AN946" s="1298" t="n"/>
      <c r="AO946" s="13">
        <f>IF(_epmOfflineCondition_,0,EPMSaveDataOnly(AB946,,AB$29,AB$25,AB$26,AB$31,AB$32,$AA$37,AO$14,AO$15,AO$16,AO$17,AO$18,X946))</f>
        <v/>
      </c>
      <c r="AP946" s="13">
        <f>IF(_epmOfflineCondition_,0,EPMSaveDataOnly(AL946,,AL$29,AL$25,AL$26,AL$31,AL$32,$AA$37,AP$14,AP$15,AP$16,AP$17,AP$18,$X946))</f>
        <v/>
      </c>
      <c r="AQ946" s="13">
        <f>IF(_epmOfflineCondition_,0,EPMSaveData(AM946,,AM$29,AM$25,AM$26,$C$6,AM$32,$AA$37,AQ$14,AQ$15,AQ$16,AQ$17,AQ$18,$X946))</f>
        <v/>
      </c>
      <c r="AR946" s="13">
        <f>IF(_epmOfflineCondition_,0,EPMSaveDataOnly(AN946,,AN$29,AN$25,AN$26,AN$31,AN$32,$AA$37,AR$14,AR$15,AR$16,AR$17,AR$18,$X946))</f>
        <v/>
      </c>
      <c r="AS946" s="384" t="n"/>
    </row>
    <row r="947" hidden="1" s="1181">
      <c r="A947" s="384" t="n"/>
      <c r="B947" s="384" t="n"/>
      <c r="C947" s="384" t="n"/>
      <c r="D947" s="384" t="n"/>
      <c r="E947" s="384" t="n"/>
      <c r="F947" s="384" t="n"/>
      <c r="G947" s="384" t="n"/>
      <c r="H947" s="384" t="n"/>
      <c r="I947" s="384" t="n"/>
      <c r="J947" s="384" t="n"/>
      <c r="K947" s="384" t="n"/>
      <c r="L947" s="384" t="n"/>
      <c r="M947" s="384" t="n"/>
      <c r="N947" s="384" t="n"/>
      <c r="O947" s="384" t="n"/>
      <c r="P947" s="384" t="n"/>
      <c r="Q947" s="384" t="n"/>
      <c r="R947" s="384" t="n"/>
      <c r="S947" s="384" t="n"/>
      <c r="T947" s="384" t="n"/>
      <c r="U947" s="384" t="n"/>
      <c r="V947" s="384" t="n"/>
      <c r="W947" s="384" t="n"/>
      <c r="X947" s="878">
        <f>IF(_epmOfflineCondition_,"I_E101313",EPMOlapMemberO("[C_INTERCO].[PARENTH1].[I_E101313]","","I_E101313","","000"))</f>
        <v/>
      </c>
      <c r="Y947" s="870">
        <f>IF(_epmOfflineCondition_,"阿巴嘎旗京能智汇清洁能源有限公司",EPMMemberDesc(X947))</f>
        <v/>
      </c>
      <c r="Z947" s="1302" t="n"/>
      <c r="AA947" s="1302" t="n"/>
      <c r="AB947" s="858" t="n"/>
      <c r="AC947" s="1302" t="n"/>
      <c r="AD947" s="1302" t="n"/>
      <c r="AE947" s="1302" t="inlineStr"/>
      <c r="AF947" s="1302" t="inlineStr"/>
      <c r="AG947" s="1302" t="inlineStr"/>
      <c r="AH947" s="1302" t="n"/>
      <c r="AI947" s="1302" t="n"/>
      <c r="AJ947" s="1302" t="n"/>
      <c r="AK947" s="1302">
        <f>AI947-AJ947</f>
        <v/>
      </c>
      <c r="AL947" s="858" t="n"/>
      <c r="AM947" s="1297" t="inlineStr"/>
      <c r="AN947" s="1298" t="n"/>
      <c r="AO947" s="13">
        <f>IF(_epmOfflineCondition_,0,EPMSaveDataOnly(AB947,,AB$29,AB$25,AB$26,AB$31,AB$32,$AA$37,AO$14,AO$15,AO$16,AO$17,AO$18,X947))</f>
        <v/>
      </c>
      <c r="AP947" s="13">
        <f>IF(_epmOfflineCondition_,0,EPMSaveDataOnly(AL947,,AL$29,AL$25,AL$26,AL$31,AL$32,$AA$37,AP$14,AP$15,AP$16,AP$17,AP$18,$X947))</f>
        <v/>
      </c>
      <c r="AQ947" s="13">
        <f>IF(_epmOfflineCondition_,0,EPMSaveData(AM947,,AM$29,AM$25,AM$26,$C$6,AM$32,$AA$37,AQ$14,AQ$15,AQ$16,AQ$17,AQ$18,$X947))</f>
        <v/>
      </c>
      <c r="AR947" s="13">
        <f>IF(_epmOfflineCondition_,0,EPMSaveDataOnly(AN947,,AN$29,AN$25,AN$26,AN$31,AN$32,$AA$37,AR$14,AR$15,AR$16,AR$17,AR$18,$X947))</f>
        <v/>
      </c>
      <c r="AS947" s="384" t="n"/>
    </row>
    <row r="948" hidden="1" s="1181">
      <c r="A948" s="384" t="n"/>
      <c r="B948" s="384" t="n"/>
      <c r="C948" s="384" t="n"/>
      <c r="D948" s="384" t="n"/>
      <c r="E948" s="384" t="n"/>
      <c r="F948" s="384" t="n"/>
      <c r="G948" s="384" t="n"/>
      <c r="H948" s="384" t="n"/>
      <c r="I948" s="384" t="n"/>
      <c r="J948" s="384" t="n"/>
      <c r="K948" s="384" t="n"/>
      <c r="L948" s="384" t="n"/>
      <c r="M948" s="384" t="n"/>
      <c r="N948" s="384" t="n"/>
      <c r="O948" s="384" t="n"/>
      <c r="P948" s="384" t="n"/>
      <c r="Q948" s="384" t="n"/>
      <c r="R948" s="384" t="n"/>
      <c r="S948" s="384" t="n"/>
      <c r="T948" s="384" t="n"/>
      <c r="U948" s="384" t="n"/>
      <c r="V948" s="384" t="n"/>
      <c r="W948" s="384" t="n"/>
      <c r="X948" s="878">
        <f>IF(_epmOfflineCondition_,"I_E101305",EPMOlapMemberO("[C_INTERCO].[PARENTH1].[I_E101305]","","I_E101305","","000"))</f>
        <v/>
      </c>
      <c r="Y948" s="870">
        <f>IF(_epmOfflineCondition_,"平湖鸿禧电力有限公司",EPMMemberDesc(X948))</f>
        <v/>
      </c>
      <c r="Z948" s="1302" t="n"/>
      <c r="AA948" s="1302" t="n"/>
      <c r="AB948" s="858" t="n"/>
      <c r="AC948" s="1302" t="n"/>
      <c r="AD948" s="1302" t="n"/>
      <c r="AE948" s="1302" t="inlineStr"/>
      <c r="AF948" s="1302" t="inlineStr"/>
      <c r="AG948" s="1302" t="inlineStr"/>
      <c r="AH948" s="1302" t="n"/>
      <c r="AI948" s="1302" t="n"/>
      <c r="AJ948" s="1302" t="n"/>
      <c r="AK948" s="1302">
        <f>AI948-AJ948</f>
        <v/>
      </c>
      <c r="AL948" s="858" t="n"/>
      <c r="AM948" s="1297" t="inlineStr"/>
      <c r="AN948" s="1298" t="n"/>
      <c r="AO948" s="13">
        <f>IF(_epmOfflineCondition_,0,EPMSaveDataOnly(AB948,,AB$29,AB$25,AB$26,AB$31,AB$32,$AA$37,AO$14,AO$15,AO$16,AO$17,AO$18,X948))</f>
        <v/>
      </c>
      <c r="AP948" s="13">
        <f>IF(_epmOfflineCondition_,0,EPMSaveDataOnly(AL948,,AL$29,AL$25,AL$26,AL$31,AL$32,$AA$37,AP$14,AP$15,AP$16,AP$17,AP$18,$X948))</f>
        <v/>
      </c>
      <c r="AQ948" s="13">
        <f>IF(_epmOfflineCondition_,0,EPMSaveData(AM948,,AM$29,AM$25,AM$26,$C$6,AM$32,$AA$37,AQ$14,AQ$15,AQ$16,AQ$17,AQ$18,$X948))</f>
        <v/>
      </c>
      <c r="AR948" s="13">
        <f>IF(_epmOfflineCondition_,0,EPMSaveDataOnly(AN948,,AN$29,AN$25,AN$26,AN$31,AN$32,$AA$37,AR$14,AR$15,AR$16,AR$17,AR$18,$X948))</f>
        <v/>
      </c>
      <c r="AS948" s="384" t="n"/>
    </row>
    <row r="949" hidden="1" s="1181">
      <c r="A949" s="384" t="n"/>
      <c r="B949" s="384" t="n"/>
      <c r="C949" s="384" t="n"/>
      <c r="D949" s="384" t="n"/>
      <c r="E949" s="384" t="n"/>
      <c r="F949" s="384" t="n"/>
      <c r="G949" s="384" t="n"/>
      <c r="H949" s="384" t="n"/>
      <c r="I949" s="384" t="n"/>
      <c r="J949" s="384" t="n"/>
      <c r="K949" s="384" t="n"/>
      <c r="L949" s="384" t="n"/>
      <c r="M949" s="384" t="n"/>
      <c r="N949" s="384" t="n"/>
      <c r="O949" s="384" t="n"/>
      <c r="P949" s="384" t="n"/>
      <c r="Q949" s="384" t="n"/>
      <c r="R949" s="384" t="n"/>
      <c r="S949" s="384" t="n"/>
      <c r="T949" s="384" t="n"/>
      <c r="U949" s="384" t="n"/>
      <c r="V949" s="384" t="n"/>
      <c r="W949" s="384" t="n"/>
      <c r="X949" s="878">
        <f>IF(_epmOfflineCondition_,"I_E101298",EPMOlapMemberO("[C_INTERCO].[PARENTH1].[I_E101298]","","I_E101298","","000"))</f>
        <v/>
      </c>
      <c r="Y949" s="870">
        <f>IF(_epmOfflineCondition_,"衡阳京能清洁能源有限责任公司",EPMMemberDesc(X949))</f>
        <v/>
      </c>
      <c r="Z949" s="1302" t="n"/>
      <c r="AA949" s="1302" t="n"/>
      <c r="AB949" s="858" t="n"/>
      <c r="AC949" s="1302" t="n"/>
      <c r="AD949" s="1302" t="n"/>
      <c r="AE949" s="1302" t="inlineStr"/>
      <c r="AF949" s="1302" t="inlineStr"/>
      <c r="AG949" s="1302" t="inlineStr"/>
      <c r="AH949" s="1302" t="n"/>
      <c r="AI949" s="1302" t="n"/>
      <c r="AJ949" s="1302" t="n"/>
      <c r="AK949" s="1302">
        <f>AI949-AJ949</f>
        <v/>
      </c>
      <c r="AL949" s="858" t="n"/>
      <c r="AM949" s="1297" t="inlineStr"/>
      <c r="AN949" s="1298" t="n"/>
      <c r="AO949" s="13">
        <f>IF(_epmOfflineCondition_,0,EPMSaveDataOnly(AB949,,AB$29,AB$25,AB$26,AB$31,AB$32,$AA$37,AO$14,AO$15,AO$16,AO$17,AO$18,X949))</f>
        <v/>
      </c>
      <c r="AP949" s="13">
        <f>IF(_epmOfflineCondition_,0,EPMSaveDataOnly(AL949,,AL$29,AL$25,AL$26,AL$31,AL$32,$AA$37,AP$14,AP$15,AP$16,AP$17,AP$18,$X949))</f>
        <v/>
      </c>
      <c r="AQ949" s="13">
        <f>IF(_epmOfflineCondition_,0,EPMSaveData(AM949,,AM$29,AM$25,AM$26,$C$6,AM$32,$AA$37,AQ$14,AQ$15,AQ$16,AQ$17,AQ$18,$X949))</f>
        <v/>
      </c>
      <c r="AR949" s="13">
        <f>IF(_epmOfflineCondition_,0,EPMSaveDataOnly(AN949,,AN$29,AN$25,AN$26,AN$31,AN$32,$AA$37,AR$14,AR$15,AR$16,AR$17,AR$18,$X949))</f>
        <v/>
      </c>
      <c r="AS949" s="384" t="n"/>
    </row>
    <row r="950" hidden="1" s="1181">
      <c r="A950" s="384" t="n"/>
      <c r="B950" s="384" t="n"/>
      <c r="C950" s="384" t="n"/>
      <c r="D950" s="384" t="n"/>
      <c r="E950" s="384" t="n"/>
      <c r="F950" s="384" t="n"/>
      <c r="G950" s="384" t="n"/>
      <c r="H950" s="384" t="n"/>
      <c r="I950" s="384" t="n"/>
      <c r="J950" s="384" t="n"/>
      <c r="K950" s="384" t="n"/>
      <c r="L950" s="384" t="n"/>
      <c r="M950" s="384" t="n"/>
      <c r="N950" s="384" t="n"/>
      <c r="O950" s="384" t="n"/>
      <c r="P950" s="384" t="n"/>
      <c r="Q950" s="384" t="n"/>
      <c r="R950" s="384" t="n"/>
      <c r="S950" s="384" t="n"/>
      <c r="T950" s="384" t="n"/>
      <c r="U950" s="384" t="n"/>
      <c r="V950" s="384" t="n"/>
      <c r="W950" s="384" t="n"/>
      <c r="X950" s="878">
        <f>IF(_epmOfflineCondition_,"I_E101321",EPMOlapMemberO("[C_INTERCO].[PARENTH1].[I_E101321]","","I_E101321","","000"))</f>
        <v/>
      </c>
      <c r="Y950" s="870">
        <f>IF(_epmOfflineCondition_,"京翠（威海环翠区）新能源有限公司",EPMMemberDesc(X950))</f>
        <v/>
      </c>
      <c r="Z950" s="1302" t="n"/>
      <c r="AA950" s="1302" t="n"/>
      <c r="AB950" s="858" t="n"/>
      <c r="AC950" s="1302" t="n"/>
      <c r="AD950" s="1302" t="n"/>
      <c r="AE950" s="1302" t="inlineStr"/>
      <c r="AF950" s="1302" t="inlineStr"/>
      <c r="AG950" s="1302" t="inlineStr"/>
      <c r="AH950" s="1302" t="n"/>
      <c r="AI950" s="1302" t="n"/>
      <c r="AJ950" s="1302" t="n"/>
      <c r="AK950" s="1302">
        <f>AI950-AJ950</f>
        <v/>
      </c>
      <c r="AL950" s="858" t="n"/>
      <c r="AM950" s="1297" t="inlineStr"/>
      <c r="AN950" s="1298" t="n"/>
      <c r="AO950" s="13">
        <f>IF(_epmOfflineCondition_,0,EPMSaveDataOnly(AB950,,AB$29,AB$25,AB$26,AB$31,AB$32,$AA$37,AO$14,AO$15,AO$16,AO$17,AO$18,X950))</f>
        <v/>
      </c>
      <c r="AP950" s="13">
        <f>IF(_epmOfflineCondition_,0,EPMSaveDataOnly(AL950,,AL$29,AL$25,AL$26,AL$31,AL$32,$AA$37,AP$14,AP$15,AP$16,AP$17,AP$18,$X950))</f>
        <v/>
      </c>
      <c r="AQ950" s="13">
        <f>IF(_epmOfflineCondition_,0,EPMSaveData(AM950,,AM$29,AM$25,AM$26,$C$6,AM$32,$AA$37,AQ$14,AQ$15,AQ$16,AQ$17,AQ$18,$X950))</f>
        <v/>
      </c>
      <c r="AR950" s="13">
        <f>IF(_epmOfflineCondition_,0,EPMSaveDataOnly(AN950,,AN$29,AN$25,AN$26,AN$31,AN$32,$AA$37,AR$14,AR$15,AR$16,AR$17,AR$18,$X950))</f>
        <v/>
      </c>
      <c r="AS950" s="384" t="n"/>
    </row>
    <row r="951" hidden="1" s="1181">
      <c r="A951" s="384" t="n"/>
      <c r="B951" s="384" t="n"/>
      <c r="C951" s="384" t="n"/>
      <c r="D951" s="384" t="n"/>
      <c r="E951" s="384" t="n"/>
      <c r="F951" s="384" t="n"/>
      <c r="G951" s="384" t="n"/>
      <c r="H951" s="384" t="n"/>
      <c r="I951" s="384" t="n"/>
      <c r="J951" s="384" t="n"/>
      <c r="K951" s="384" t="n"/>
      <c r="L951" s="384" t="n"/>
      <c r="M951" s="384" t="n"/>
      <c r="N951" s="384" t="n"/>
      <c r="O951" s="384" t="n"/>
      <c r="P951" s="384" t="n"/>
      <c r="Q951" s="384" t="n"/>
      <c r="R951" s="384" t="n"/>
      <c r="S951" s="384" t="n"/>
      <c r="T951" s="384" t="n"/>
      <c r="U951" s="384" t="n"/>
      <c r="V951" s="384" t="n"/>
      <c r="W951" s="384" t="n"/>
      <c r="X951" s="878">
        <f>IF(_epmOfflineCondition_,"I_E101308",EPMOlapMemberO("[C_INTERCO].[PARENTH1].[I_E101308]","","I_E101308","","000"))</f>
        <v/>
      </c>
      <c r="Y951" s="870">
        <f>IF(_epmOfflineCondition_,"内蒙古京能察右后旗新能源有限公司",EPMMemberDesc(X951))</f>
        <v/>
      </c>
      <c r="Z951" s="1302" t="n"/>
      <c r="AA951" s="1302" t="n"/>
      <c r="AB951" s="858" t="n"/>
      <c r="AC951" s="1302" t="n"/>
      <c r="AD951" s="1302" t="n"/>
      <c r="AE951" s="1302" t="inlineStr"/>
      <c r="AF951" s="1302" t="inlineStr"/>
      <c r="AG951" s="1302" t="inlineStr"/>
      <c r="AH951" s="1302" t="n"/>
      <c r="AI951" s="1302" t="n"/>
      <c r="AJ951" s="1302" t="n"/>
      <c r="AK951" s="1302">
        <f>AI951-AJ951</f>
        <v/>
      </c>
      <c r="AL951" s="858" t="n"/>
      <c r="AM951" s="1297" t="inlineStr"/>
      <c r="AN951" s="1298" t="n"/>
      <c r="AO951" s="13">
        <f>IF(_epmOfflineCondition_,0,EPMSaveDataOnly(AB951,,AB$29,AB$25,AB$26,AB$31,AB$32,$AA$37,AO$14,AO$15,AO$16,AO$17,AO$18,X951))</f>
        <v/>
      </c>
      <c r="AP951" s="13">
        <f>IF(_epmOfflineCondition_,0,EPMSaveDataOnly(AL951,,AL$29,AL$25,AL$26,AL$31,AL$32,$AA$37,AP$14,AP$15,AP$16,AP$17,AP$18,$X951))</f>
        <v/>
      </c>
      <c r="AQ951" s="13">
        <f>IF(_epmOfflineCondition_,0,EPMSaveData(AM951,,AM$29,AM$25,AM$26,$C$6,AM$32,$AA$37,AQ$14,AQ$15,AQ$16,AQ$17,AQ$18,$X951))</f>
        <v/>
      </c>
      <c r="AR951" s="13">
        <f>IF(_epmOfflineCondition_,0,EPMSaveDataOnly(AN951,,AN$29,AN$25,AN$26,AN$31,AN$32,$AA$37,AR$14,AR$15,AR$16,AR$17,AR$18,$X951))</f>
        <v/>
      </c>
      <c r="AS951" s="384" t="n"/>
    </row>
    <row r="952" hidden="1" s="1181">
      <c r="A952" s="384" t="n"/>
      <c r="B952" s="384" t="n"/>
      <c r="C952" s="384" t="n"/>
      <c r="D952" s="384" t="n"/>
      <c r="E952" s="384" t="n"/>
      <c r="F952" s="384" t="n"/>
      <c r="G952" s="384" t="n"/>
      <c r="H952" s="384" t="n"/>
      <c r="I952" s="384" t="n"/>
      <c r="J952" s="384" t="n"/>
      <c r="K952" s="384" t="n"/>
      <c r="L952" s="384" t="n"/>
      <c r="M952" s="384" t="n"/>
      <c r="N952" s="384" t="n"/>
      <c r="O952" s="384" t="n"/>
      <c r="P952" s="384" t="n"/>
      <c r="Q952" s="384" t="n"/>
      <c r="R952" s="384" t="n"/>
      <c r="S952" s="384" t="n"/>
      <c r="T952" s="384" t="n"/>
      <c r="U952" s="384" t="n"/>
      <c r="V952" s="384" t="n"/>
      <c r="W952" s="384" t="n"/>
      <c r="X952" s="878">
        <f>IF(_epmOfflineCondition_,"I_E101319",EPMOlapMemberO("[C_INTERCO].[PARENTH1].[I_E101319]","","I_E101319","","000"))</f>
        <v/>
      </c>
      <c r="Y952" s="870">
        <f>IF(_epmOfflineCondition_,"内蒙古京能算力科技有限公司",EPMMemberDesc(X952))</f>
        <v/>
      </c>
      <c r="Z952" s="1302" t="n"/>
      <c r="AA952" s="1302" t="n"/>
      <c r="AB952" s="858" t="n"/>
      <c r="AC952" s="1302" t="n"/>
      <c r="AD952" s="1302" t="n"/>
      <c r="AE952" s="1302" t="inlineStr"/>
      <c r="AF952" s="1302" t="inlineStr"/>
      <c r="AG952" s="1302" t="inlineStr"/>
      <c r="AH952" s="1302" t="n"/>
      <c r="AI952" s="1302" t="n"/>
      <c r="AJ952" s="1302" t="n"/>
      <c r="AK952" s="1302">
        <f>AI952-AJ952</f>
        <v/>
      </c>
      <c r="AL952" s="858" t="n"/>
      <c r="AM952" s="1297" t="inlineStr"/>
      <c r="AN952" s="1298" t="n"/>
      <c r="AO952" s="13">
        <f>IF(_epmOfflineCondition_,0,EPMSaveDataOnly(AB952,,AB$29,AB$25,AB$26,AB$31,AB$32,$AA$37,AO$14,AO$15,AO$16,AO$17,AO$18,X952))</f>
        <v/>
      </c>
      <c r="AP952" s="13">
        <f>IF(_epmOfflineCondition_,0,EPMSaveDataOnly(AL952,,AL$29,AL$25,AL$26,AL$31,AL$32,$AA$37,AP$14,AP$15,AP$16,AP$17,AP$18,$X952))</f>
        <v/>
      </c>
      <c r="AQ952" s="13">
        <f>IF(_epmOfflineCondition_,0,EPMSaveData(AM952,,AM$29,AM$25,AM$26,$C$6,AM$32,$AA$37,AQ$14,AQ$15,AQ$16,AQ$17,AQ$18,$X952))</f>
        <v/>
      </c>
      <c r="AR952" s="13">
        <f>IF(_epmOfflineCondition_,0,EPMSaveDataOnly(AN952,,AN$29,AN$25,AN$26,AN$31,AN$32,$AA$37,AR$14,AR$15,AR$16,AR$17,AR$18,$X952))</f>
        <v/>
      </c>
      <c r="AS952" s="384" t="n"/>
    </row>
    <row r="953" hidden="1" s="1181">
      <c r="A953" s="384" t="n"/>
      <c r="B953" s="384" t="n"/>
      <c r="C953" s="384" t="n"/>
      <c r="D953" s="384" t="n"/>
      <c r="E953" s="384" t="n"/>
      <c r="F953" s="384" t="n"/>
      <c r="G953" s="384" t="n"/>
      <c r="H953" s="384" t="n"/>
      <c r="I953" s="384" t="n"/>
      <c r="J953" s="384" t="n"/>
      <c r="K953" s="384" t="n"/>
      <c r="L953" s="384" t="n"/>
      <c r="M953" s="384" t="n"/>
      <c r="N953" s="384" t="n"/>
      <c r="O953" s="384" t="n"/>
      <c r="P953" s="384" t="n"/>
      <c r="Q953" s="384" t="n"/>
      <c r="R953" s="384" t="n"/>
      <c r="S953" s="384" t="n"/>
      <c r="T953" s="384" t="n"/>
      <c r="U953" s="384" t="n"/>
      <c r="V953" s="384" t="n"/>
      <c r="W953" s="384" t="n"/>
      <c r="X953" s="878">
        <f>IF(_epmOfflineCondition_,"I_E101322",EPMOlapMemberO("[C_INTERCO].[PARENTH1].[I_E101322]","","I_E101322","","000"))</f>
        <v/>
      </c>
      <c r="Y953" s="870">
        <f>IF(_epmOfflineCondition_,"鄂尔多斯市昊华煤炭运销有限公司",EPMMemberDesc(X953))</f>
        <v/>
      </c>
      <c r="Z953" s="1302" t="n"/>
      <c r="AA953" s="1302" t="n"/>
      <c r="AB953" s="858" t="n"/>
      <c r="AC953" s="1302" t="n"/>
      <c r="AD953" s="1302" t="n"/>
      <c r="AE953" s="1302" t="inlineStr"/>
      <c r="AF953" s="1302" t="inlineStr"/>
      <c r="AG953" s="1302" t="inlineStr"/>
      <c r="AH953" s="1302" t="n"/>
      <c r="AI953" s="1302" t="n"/>
      <c r="AJ953" s="1302" t="n"/>
      <c r="AK953" s="1302">
        <f>AI953-AJ953</f>
        <v/>
      </c>
      <c r="AL953" s="858" t="n"/>
      <c r="AM953" s="1297" t="inlineStr"/>
      <c r="AN953" s="1298" t="n"/>
      <c r="AO953" s="13">
        <f>IF(_epmOfflineCondition_,0,EPMSaveDataOnly(AB953,,AB$29,AB$25,AB$26,AB$31,AB$32,$AA$37,AO$14,AO$15,AO$16,AO$17,AO$18,X953))</f>
        <v/>
      </c>
      <c r="AP953" s="13">
        <f>IF(_epmOfflineCondition_,0,EPMSaveDataOnly(AL953,,AL$29,AL$25,AL$26,AL$31,AL$32,$AA$37,AP$14,AP$15,AP$16,AP$17,AP$18,$X953))</f>
        <v/>
      </c>
      <c r="AQ953" s="13">
        <f>IF(_epmOfflineCondition_,0,EPMSaveData(AM953,,AM$29,AM$25,AM$26,$C$6,AM$32,$AA$37,AQ$14,AQ$15,AQ$16,AQ$17,AQ$18,$X953))</f>
        <v/>
      </c>
      <c r="AR953" s="13">
        <f>IF(_epmOfflineCondition_,0,EPMSaveDataOnly(AN953,,AN$29,AN$25,AN$26,AN$31,AN$32,$AA$37,AR$14,AR$15,AR$16,AR$17,AR$18,$X953))</f>
        <v/>
      </c>
      <c r="AS953" s="384" t="n"/>
    </row>
    <row r="954" hidden="1" s="1181">
      <c r="A954" s="384" t="n"/>
      <c r="B954" s="384" t="n"/>
      <c r="C954" s="384" t="n"/>
      <c r="D954" s="384" t="n"/>
      <c r="E954" s="384" t="n"/>
      <c r="F954" s="384" t="n"/>
      <c r="G954" s="384" t="n"/>
      <c r="H954" s="384" t="n"/>
      <c r="I954" s="384" t="n"/>
      <c r="J954" s="384" t="n"/>
      <c r="K954" s="384" t="n"/>
      <c r="L954" s="384" t="n"/>
      <c r="M954" s="384" t="n"/>
      <c r="N954" s="384" t="n"/>
      <c r="O954" s="384" t="n"/>
      <c r="P954" s="384" t="n"/>
      <c r="Q954" s="384" t="n"/>
      <c r="R954" s="384" t="n"/>
      <c r="S954" s="384" t="n"/>
      <c r="T954" s="384" t="n"/>
      <c r="U954" s="384" t="n"/>
      <c r="V954" s="384" t="n"/>
      <c r="W954" s="384" t="n"/>
      <c r="X954" s="878">
        <f>IF(_epmOfflineCondition_,"I_E101328",EPMOlapMemberO("[C_INTERCO].[PARENTH1].[I_E101328]","","I_E101328","","000"))</f>
        <v/>
      </c>
      <c r="Y954" s="870">
        <f>IF(_epmOfflineCondition_,"江门市新会区古井能源服务有限公司",EPMMemberDesc(X954))</f>
        <v/>
      </c>
      <c r="Z954" s="1302" t="n"/>
      <c r="AA954" s="1302" t="n"/>
      <c r="AB954" s="858" t="n"/>
      <c r="AC954" s="1302" t="n"/>
      <c r="AD954" s="1302" t="n"/>
      <c r="AE954" s="1302" t="inlineStr"/>
      <c r="AF954" s="1302" t="inlineStr"/>
      <c r="AG954" s="1302" t="inlineStr"/>
      <c r="AH954" s="1302" t="n"/>
      <c r="AI954" s="1302" t="n"/>
      <c r="AJ954" s="1302" t="n"/>
      <c r="AK954" s="1302">
        <f>AI954-AJ954</f>
        <v/>
      </c>
      <c r="AL954" s="858" t="n"/>
      <c r="AM954" s="1297" t="inlineStr"/>
      <c r="AN954" s="1298" t="n"/>
      <c r="AO954" s="13">
        <f>IF(_epmOfflineCondition_,0,EPMSaveDataOnly(AB954,,AB$29,AB$25,AB$26,AB$31,AB$32,$AA$37,AO$14,AO$15,AO$16,AO$17,AO$18,X954))</f>
        <v/>
      </c>
      <c r="AP954" s="13">
        <f>IF(_epmOfflineCondition_,0,EPMSaveDataOnly(AL954,,AL$29,AL$25,AL$26,AL$31,AL$32,$AA$37,AP$14,AP$15,AP$16,AP$17,AP$18,$X954))</f>
        <v/>
      </c>
      <c r="AQ954" s="13">
        <f>IF(_epmOfflineCondition_,0,EPMSaveData(AM954,,AM$29,AM$25,AM$26,$C$6,AM$32,$AA$37,AQ$14,AQ$15,AQ$16,AQ$17,AQ$18,$X954))</f>
        <v/>
      </c>
      <c r="AR954" s="13">
        <f>IF(_epmOfflineCondition_,0,EPMSaveDataOnly(AN954,,AN$29,AN$25,AN$26,AN$31,AN$32,$AA$37,AR$14,AR$15,AR$16,AR$17,AR$18,$X954))</f>
        <v/>
      </c>
      <c r="AS954" s="384" t="n"/>
    </row>
    <row r="955" hidden="1" s="1181">
      <c r="A955" s="384" t="n"/>
      <c r="B955" s="384" t="n"/>
      <c r="C955" s="384" t="n"/>
      <c r="D955" s="384" t="n"/>
      <c r="E955" s="384" t="n"/>
      <c r="F955" s="384" t="n"/>
      <c r="G955" s="384" t="n"/>
      <c r="H955" s="384" t="n"/>
      <c r="I955" s="384" t="n"/>
      <c r="J955" s="384" t="n"/>
      <c r="K955" s="384" t="n"/>
      <c r="L955" s="384" t="n"/>
      <c r="M955" s="384" t="n"/>
      <c r="N955" s="384" t="n"/>
      <c r="O955" s="384" t="n"/>
      <c r="P955" s="384" t="n"/>
      <c r="Q955" s="384" t="n"/>
      <c r="R955" s="384" t="n"/>
      <c r="S955" s="384" t="n"/>
      <c r="T955" s="384" t="n"/>
      <c r="U955" s="384" t="n"/>
      <c r="V955" s="384" t="n"/>
      <c r="W955" s="384" t="n"/>
      <c r="X955" s="878">
        <f>IF(_epmOfflineCondition_,"I_E101324",EPMOlapMemberO("[C_INTERCO].[PARENTH1].[I_E101324]","","I_E101324","","000"))</f>
        <v/>
      </c>
      <c r="Y955" s="870">
        <f>IF(_epmOfflineCondition_,"内蒙古京康新能源有限公司",EPMMemberDesc(X955))</f>
        <v/>
      </c>
      <c r="Z955" s="1302" t="n"/>
      <c r="AA955" s="1302" t="n"/>
      <c r="AB955" s="858" t="n"/>
      <c r="AC955" s="1302" t="n"/>
      <c r="AD955" s="1302" t="n"/>
      <c r="AE955" s="1302" t="inlineStr"/>
      <c r="AF955" s="1302" t="inlineStr"/>
      <c r="AG955" s="1302" t="inlineStr"/>
      <c r="AH955" s="1302" t="n"/>
      <c r="AI955" s="1302" t="n"/>
      <c r="AJ955" s="1302" t="n"/>
      <c r="AK955" s="1302">
        <f>AI955-AJ955</f>
        <v/>
      </c>
      <c r="AL955" s="858" t="n"/>
      <c r="AM955" s="1297" t="inlineStr"/>
      <c r="AN955" s="1298" t="n"/>
      <c r="AO955" s="13">
        <f>IF(_epmOfflineCondition_,0,EPMSaveDataOnly(AB955,,AB$29,AB$25,AB$26,AB$31,AB$32,$AA$37,AO$14,AO$15,AO$16,AO$17,AO$18,X955))</f>
        <v/>
      </c>
      <c r="AP955" s="13">
        <f>IF(_epmOfflineCondition_,0,EPMSaveDataOnly(AL955,,AL$29,AL$25,AL$26,AL$31,AL$32,$AA$37,AP$14,AP$15,AP$16,AP$17,AP$18,$X955))</f>
        <v/>
      </c>
      <c r="AQ955" s="13">
        <f>IF(_epmOfflineCondition_,0,EPMSaveData(AM955,,AM$29,AM$25,AM$26,$C$6,AM$32,$AA$37,AQ$14,AQ$15,AQ$16,AQ$17,AQ$18,$X955))</f>
        <v/>
      </c>
      <c r="AR955" s="13">
        <f>IF(_epmOfflineCondition_,0,EPMSaveDataOnly(AN955,,AN$29,AN$25,AN$26,AN$31,AN$32,$AA$37,AR$14,AR$15,AR$16,AR$17,AR$18,$X955))</f>
        <v/>
      </c>
      <c r="AS955" s="384" t="n"/>
    </row>
    <row r="956" hidden="1" s="1181">
      <c r="A956" s="384" t="n"/>
      <c r="B956" s="384" t="n"/>
      <c r="C956" s="384" t="n"/>
      <c r="D956" s="384" t="n"/>
      <c r="E956" s="384" t="n"/>
      <c r="F956" s="384" t="n"/>
      <c r="G956" s="384" t="n"/>
      <c r="H956" s="384" t="n"/>
      <c r="I956" s="384" t="n"/>
      <c r="J956" s="384" t="n"/>
      <c r="K956" s="384" t="n"/>
      <c r="L956" s="384" t="n"/>
      <c r="M956" s="384" t="n"/>
      <c r="N956" s="384" t="n"/>
      <c r="O956" s="384" t="n"/>
      <c r="P956" s="384" t="n"/>
      <c r="Q956" s="384" t="n"/>
      <c r="R956" s="384" t="n"/>
      <c r="S956" s="384" t="n"/>
      <c r="T956" s="384" t="n"/>
      <c r="U956" s="384" t="n"/>
      <c r="V956" s="384" t="n"/>
      <c r="W956" s="384" t="n"/>
      <c r="X956" s="878">
        <f>IF(_epmOfflineCondition_,"I_E101330",EPMOlapMemberO("[C_INTERCO].[PARENTH1].[I_E101330]","","I_E101330","","000"))</f>
        <v/>
      </c>
      <c r="Y956" s="870">
        <f>IF(_epmOfflineCondition_,"京能胜科（沧州）能源有限公司",EPMMemberDesc(X956))</f>
        <v/>
      </c>
      <c r="Z956" s="1302" t="n"/>
      <c r="AA956" s="1302" t="n"/>
      <c r="AB956" s="858" t="n"/>
      <c r="AC956" s="1302" t="n"/>
      <c r="AD956" s="1302" t="n"/>
      <c r="AE956" s="1302" t="inlineStr"/>
      <c r="AF956" s="1302" t="inlineStr"/>
      <c r="AG956" s="1302" t="inlineStr"/>
      <c r="AH956" s="1302" t="n"/>
      <c r="AI956" s="1302" t="n"/>
      <c r="AJ956" s="1302" t="n"/>
      <c r="AK956" s="1302">
        <f>AI956-AJ956</f>
        <v/>
      </c>
      <c r="AL956" s="858" t="n"/>
      <c r="AM956" s="1297" t="inlineStr"/>
      <c r="AN956" s="1298" t="n"/>
      <c r="AO956" s="13">
        <f>IF(_epmOfflineCondition_,0,EPMSaveDataOnly(AB956,,AB$29,AB$25,AB$26,AB$31,AB$32,$AA$37,AO$14,AO$15,AO$16,AO$17,AO$18,X956))</f>
        <v/>
      </c>
      <c r="AP956" s="13">
        <f>IF(_epmOfflineCondition_,0,EPMSaveDataOnly(AL956,,AL$29,AL$25,AL$26,AL$31,AL$32,$AA$37,AP$14,AP$15,AP$16,AP$17,AP$18,$X956))</f>
        <v/>
      </c>
      <c r="AQ956" s="13">
        <f>IF(_epmOfflineCondition_,0,EPMSaveData(AM956,,AM$29,AM$25,AM$26,$C$6,AM$32,$AA$37,AQ$14,AQ$15,AQ$16,AQ$17,AQ$18,$X956))</f>
        <v/>
      </c>
      <c r="AR956" s="13">
        <f>IF(_epmOfflineCondition_,0,EPMSaveDataOnly(AN956,,AN$29,AN$25,AN$26,AN$31,AN$32,$AA$37,AR$14,AR$15,AR$16,AR$17,AR$18,$X956))</f>
        <v/>
      </c>
      <c r="AS956" s="384" t="n"/>
    </row>
    <row r="957" hidden="1" s="1181">
      <c r="A957" s="384" t="n"/>
      <c r="B957" s="384" t="n"/>
      <c r="C957" s="384" t="n"/>
      <c r="D957" s="384" t="n"/>
      <c r="E957" s="384" t="n"/>
      <c r="F957" s="384" t="n"/>
      <c r="G957" s="384" t="n"/>
      <c r="H957" s="384" t="n"/>
      <c r="I957" s="384" t="n"/>
      <c r="J957" s="384" t="n"/>
      <c r="K957" s="384" t="n"/>
      <c r="L957" s="384" t="n"/>
      <c r="M957" s="384" t="n"/>
      <c r="N957" s="384" t="n"/>
      <c r="O957" s="384" t="n"/>
      <c r="P957" s="384" t="n"/>
      <c r="Q957" s="384" t="n"/>
      <c r="R957" s="384" t="n"/>
      <c r="S957" s="384" t="n"/>
      <c r="T957" s="384" t="n"/>
      <c r="U957" s="384" t="n"/>
      <c r="V957" s="384" t="n"/>
      <c r="W957" s="384" t="n"/>
      <c r="X957" s="878">
        <f>IF(_epmOfflineCondition_,"I_E101315",EPMOlapMemberO("[C_INTERCO].[PARENTH1].[I_E101315]","","I_E101315","","000"))</f>
        <v/>
      </c>
      <c r="Y957" s="870">
        <f>IF(_epmOfflineCondition_,"合肥京轩合新能源有限公司",EPMMemberDesc(X957))</f>
        <v/>
      </c>
      <c r="Z957" s="1302" t="n"/>
      <c r="AA957" s="1302" t="n"/>
      <c r="AB957" s="858" t="n"/>
      <c r="AC957" s="1302" t="n"/>
      <c r="AD957" s="1302" t="n"/>
      <c r="AE957" s="1302" t="inlineStr"/>
      <c r="AF957" s="1302" t="inlineStr"/>
      <c r="AG957" s="1302" t="inlineStr"/>
      <c r="AH957" s="1302" t="n"/>
      <c r="AI957" s="1302" t="n"/>
      <c r="AJ957" s="1302" t="n"/>
      <c r="AK957" s="1302">
        <f>AI957-AJ957</f>
        <v/>
      </c>
      <c r="AL957" s="858" t="n"/>
      <c r="AM957" s="1297" t="inlineStr"/>
      <c r="AN957" s="1298" t="n"/>
      <c r="AO957" s="13">
        <f>IF(_epmOfflineCondition_,0,EPMSaveDataOnly(AB957,,AB$29,AB$25,AB$26,AB$31,AB$32,$AA$37,AO$14,AO$15,AO$16,AO$17,AO$18,X957))</f>
        <v/>
      </c>
      <c r="AP957" s="13">
        <f>IF(_epmOfflineCondition_,0,EPMSaveDataOnly(AL957,,AL$29,AL$25,AL$26,AL$31,AL$32,$AA$37,AP$14,AP$15,AP$16,AP$17,AP$18,$X957))</f>
        <v/>
      </c>
      <c r="AQ957" s="13">
        <f>IF(_epmOfflineCondition_,0,EPMSaveData(AM957,,AM$29,AM$25,AM$26,$C$6,AM$32,$AA$37,AQ$14,AQ$15,AQ$16,AQ$17,AQ$18,$X957))</f>
        <v/>
      </c>
      <c r="AR957" s="13">
        <f>IF(_epmOfflineCondition_,0,EPMSaveDataOnly(AN957,,AN$29,AN$25,AN$26,AN$31,AN$32,$AA$37,AR$14,AR$15,AR$16,AR$17,AR$18,$X957))</f>
        <v/>
      </c>
      <c r="AS957" s="384" t="n"/>
    </row>
    <row r="958" hidden="1" s="1181">
      <c r="A958" s="384" t="n"/>
      <c r="B958" s="384" t="n"/>
      <c r="C958" s="384" t="n"/>
      <c r="D958" s="384" t="n"/>
      <c r="E958" s="384" t="n"/>
      <c r="F958" s="384" t="n"/>
      <c r="G958" s="384" t="n"/>
      <c r="H958" s="384" t="n"/>
      <c r="I958" s="384" t="n"/>
      <c r="J958" s="384" t="n"/>
      <c r="K958" s="384" t="n"/>
      <c r="L958" s="384" t="n"/>
      <c r="M958" s="384" t="n"/>
      <c r="N958" s="384" t="n"/>
      <c r="O958" s="384" t="n"/>
      <c r="P958" s="384" t="n"/>
      <c r="Q958" s="384" t="n"/>
      <c r="R958" s="384" t="n"/>
      <c r="S958" s="384" t="n"/>
      <c r="T958" s="384" t="n"/>
      <c r="U958" s="384" t="n"/>
      <c r="V958" s="384" t="n"/>
      <c r="W958" s="384" t="n"/>
      <c r="X958" s="878">
        <f>IF(_epmOfflineCondition_,"I_E101320",EPMOlapMemberO("[C_INTERCO].[PARENTH1].[I_E101320]","","I_E101320","","000"))</f>
        <v/>
      </c>
      <c r="Y958" s="870">
        <f>IF(_epmOfflineCondition_,"唐山京轩新能源科技有限公司",EPMMemberDesc(X958))</f>
        <v/>
      </c>
      <c r="Z958" s="1302" t="n"/>
      <c r="AA958" s="1302" t="n"/>
      <c r="AB958" s="858" t="n"/>
      <c r="AC958" s="1302" t="n"/>
      <c r="AD958" s="1302" t="n"/>
      <c r="AE958" s="1302" t="inlineStr"/>
      <c r="AF958" s="1302" t="inlineStr"/>
      <c r="AG958" s="1302" t="inlineStr"/>
      <c r="AH958" s="1302" t="n"/>
      <c r="AI958" s="1302" t="n"/>
      <c r="AJ958" s="1302" t="n"/>
      <c r="AK958" s="1302">
        <f>AI958-AJ958</f>
        <v/>
      </c>
      <c r="AL958" s="858" t="n"/>
      <c r="AM958" s="1297" t="inlineStr"/>
      <c r="AN958" s="1298" t="n"/>
      <c r="AO958" s="13">
        <f>IF(_epmOfflineCondition_,0,EPMSaveDataOnly(AB958,,AB$29,AB$25,AB$26,AB$31,AB$32,$AA$37,AO$14,AO$15,AO$16,AO$17,AO$18,X958))</f>
        <v/>
      </c>
      <c r="AP958" s="13">
        <f>IF(_epmOfflineCondition_,0,EPMSaveDataOnly(AL958,,AL$29,AL$25,AL$26,AL$31,AL$32,$AA$37,AP$14,AP$15,AP$16,AP$17,AP$18,$X958))</f>
        <v/>
      </c>
      <c r="AQ958" s="13">
        <f>IF(_epmOfflineCondition_,0,EPMSaveData(AM958,,AM$29,AM$25,AM$26,$C$6,AM$32,$AA$37,AQ$14,AQ$15,AQ$16,AQ$17,AQ$18,$X958))</f>
        <v/>
      </c>
      <c r="AR958" s="13">
        <f>IF(_epmOfflineCondition_,0,EPMSaveDataOnly(AN958,,AN$29,AN$25,AN$26,AN$31,AN$32,$AA$37,AR$14,AR$15,AR$16,AR$17,AR$18,$X958))</f>
        <v/>
      </c>
      <c r="AS958" s="384" t="n"/>
    </row>
    <row r="959" hidden="1" s="1181">
      <c r="A959" s="384" t="n"/>
      <c r="B959" s="384" t="n"/>
      <c r="C959" s="384" t="n"/>
      <c r="D959" s="384" t="n"/>
      <c r="E959" s="384" t="n"/>
      <c r="F959" s="384" t="n"/>
      <c r="G959" s="384" t="n"/>
      <c r="H959" s="384" t="n"/>
      <c r="I959" s="384" t="n"/>
      <c r="J959" s="384" t="n"/>
      <c r="K959" s="384" t="n"/>
      <c r="L959" s="384" t="n"/>
      <c r="M959" s="384" t="n"/>
      <c r="N959" s="384" t="n"/>
      <c r="O959" s="384" t="n"/>
      <c r="P959" s="384" t="n"/>
      <c r="Q959" s="384" t="n"/>
      <c r="R959" s="384" t="n"/>
      <c r="S959" s="384" t="n"/>
      <c r="T959" s="384" t="n"/>
      <c r="U959" s="384" t="n"/>
      <c r="V959" s="384" t="n"/>
      <c r="W959" s="384" t="n"/>
      <c r="X959" s="878">
        <f>IF(_epmOfflineCondition_,"I_E101333",EPMOlapMemberO("[C_INTERCO].[PARENTH1].[I_E101333]","","I_E101333","","000"))</f>
        <v/>
      </c>
      <c r="Y959" s="870">
        <f>IF(_epmOfflineCondition_,"丹阳市协众新能源有限责任公司",EPMMemberDesc(X959))</f>
        <v/>
      </c>
      <c r="Z959" s="1302" t="n"/>
      <c r="AA959" s="1302" t="n"/>
      <c r="AB959" s="858" t="n"/>
      <c r="AC959" s="1302" t="n"/>
      <c r="AD959" s="1302" t="n"/>
      <c r="AE959" s="1302" t="inlineStr"/>
      <c r="AF959" s="1302" t="inlineStr"/>
      <c r="AG959" s="1302" t="inlineStr"/>
      <c r="AH959" s="1302" t="n"/>
      <c r="AI959" s="1302" t="n"/>
      <c r="AJ959" s="1302" t="n"/>
      <c r="AK959" s="1302">
        <f>AI959-AJ959</f>
        <v/>
      </c>
      <c r="AL959" s="858" t="n"/>
      <c r="AM959" s="1297" t="inlineStr"/>
      <c r="AN959" s="1298" t="n"/>
      <c r="AO959" s="13">
        <f>IF(_epmOfflineCondition_,0,EPMSaveDataOnly(AB959,,AB$29,AB$25,AB$26,AB$31,AB$32,$AA$37,AO$14,AO$15,AO$16,AO$17,AO$18,X959))</f>
        <v/>
      </c>
      <c r="AP959" s="13">
        <f>IF(_epmOfflineCondition_,0,EPMSaveDataOnly(AL959,,AL$29,AL$25,AL$26,AL$31,AL$32,$AA$37,AP$14,AP$15,AP$16,AP$17,AP$18,$X959))</f>
        <v/>
      </c>
      <c r="AQ959" s="13">
        <f>IF(_epmOfflineCondition_,0,EPMSaveData(AM959,,AM$29,AM$25,AM$26,$C$6,AM$32,$AA$37,AQ$14,AQ$15,AQ$16,AQ$17,AQ$18,$X959))</f>
        <v/>
      </c>
      <c r="AR959" s="13">
        <f>IF(_epmOfflineCondition_,0,EPMSaveDataOnly(AN959,,AN$29,AN$25,AN$26,AN$31,AN$32,$AA$37,AR$14,AR$15,AR$16,AR$17,AR$18,$X959))</f>
        <v/>
      </c>
      <c r="AS959" s="384" t="n"/>
    </row>
    <row r="960" hidden="1" s="1181">
      <c r="A960" s="384" t="n"/>
      <c r="B960" s="384" t="n"/>
      <c r="C960" s="384" t="n"/>
      <c r="D960" s="384" t="n"/>
      <c r="E960" s="384" t="n"/>
      <c r="F960" s="384" t="n"/>
      <c r="G960" s="384" t="n"/>
      <c r="H960" s="384" t="n"/>
      <c r="I960" s="384" t="n"/>
      <c r="J960" s="384" t="n"/>
      <c r="K960" s="384" t="n"/>
      <c r="L960" s="384" t="n"/>
      <c r="M960" s="384" t="n"/>
      <c r="N960" s="384" t="n"/>
      <c r="O960" s="384" t="n"/>
      <c r="P960" s="384" t="n"/>
      <c r="Q960" s="384" t="n"/>
      <c r="R960" s="384" t="n"/>
      <c r="S960" s="384" t="n"/>
      <c r="T960" s="384" t="n"/>
      <c r="U960" s="384" t="n"/>
      <c r="V960" s="384" t="n"/>
      <c r="W960" s="384" t="n"/>
      <c r="X960" s="878">
        <f>IF(_epmOfflineCondition_,"I_E101332",EPMOlapMemberO("[C_INTERCO].[PARENTH1].[I_E101332]","","I_E101332","","000"))</f>
        <v/>
      </c>
      <c r="Y960" s="870">
        <f>IF(_epmOfflineCondition_,"北京市昌平区颐寿轩护理院",EPMMemberDesc(X960))</f>
        <v/>
      </c>
      <c r="Z960" s="1302" t="n"/>
      <c r="AA960" s="1302" t="n"/>
      <c r="AB960" s="858" t="n"/>
      <c r="AC960" s="1302" t="n"/>
      <c r="AD960" s="1302" t="n"/>
      <c r="AE960" s="1302" t="inlineStr"/>
      <c r="AF960" s="1302" t="inlineStr"/>
      <c r="AG960" s="1302" t="inlineStr"/>
      <c r="AH960" s="1302" t="n"/>
      <c r="AI960" s="1302" t="n"/>
      <c r="AJ960" s="1302" t="n"/>
      <c r="AK960" s="1302">
        <f>AI960-AJ960</f>
        <v/>
      </c>
      <c r="AL960" s="858" t="n"/>
      <c r="AM960" s="1297" t="inlineStr"/>
      <c r="AN960" s="1298" t="n"/>
      <c r="AO960" s="13">
        <f>IF(_epmOfflineCondition_,0,EPMSaveDataOnly(AB960,,AB$29,AB$25,AB$26,AB$31,AB$32,$AA$37,AO$14,AO$15,AO$16,AO$17,AO$18,X960))</f>
        <v/>
      </c>
      <c r="AP960" s="13">
        <f>IF(_epmOfflineCondition_,0,EPMSaveDataOnly(AL960,,AL$29,AL$25,AL$26,AL$31,AL$32,$AA$37,AP$14,AP$15,AP$16,AP$17,AP$18,$X960))</f>
        <v/>
      </c>
      <c r="AQ960" s="13">
        <f>IF(_epmOfflineCondition_,0,EPMSaveData(AM960,,AM$29,AM$25,AM$26,$C$6,AM$32,$AA$37,AQ$14,AQ$15,AQ$16,AQ$17,AQ$18,$X960))</f>
        <v/>
      </c>
      <c r="AR960" s="13">
        <f>IF(_epmOfflineCondition_,0,EPMSaveDataOnly(AN960,,AN$29,AN$25,AN$26,AN$31,AN$32,$AA$37,AR$14,AR$15,AR$16,AR$17,AR$18,$X960))</f>
        <v/>
      </c>
      <c r="AS960" s="384" t="n"/>
    </row>
    <row r="961" hidden="1" s="1181">
      <c r="A961" s="384" t="n"/>
      <c r="B961" s="384" t="n"/>
      <c r="C961" s="384" t="n"/>
      <c r="D961" s="384" t="n"/>
      <c r="E961" s="384" t="n"/>
      <c r="F961" s="384" t="n"/>
      <c r="G961" s="384" t="n"/>
      <c r="H961" s="384" t="n"/>
      <c r="I961" s="384" t="n"/>
      <c r="J961" s="384" t="n"/>
      <c r="K961" s="384" t="n"/>
      <c r="L961" s="384" t="n"/>
      <c r="M961" s="384" t="n"/>
      <c r="N961" s="384" t="n"/>
      <c r="O961" s="384" t="n"/>
      <c r="P961" s="384" t="n"/>
      <c r="Q961" s="384" t="n"/>
      <c r="R961" s="384" t="n"/>
      <c r="S961" s="384" t="n"/>
      <c r="T961" s="384" t="n"/>
      <c r="U961" s="384" t="n"/>
      <c r="V961" s="384" t="n"/>
      <c r="W961" s="384" t="n"/>
      <c r="X961" s="878">
        <f>IF(_epmOfflineCondition_,"I_E101337",EPMOlapMemberO("[C_INTERCO].[PARENTH1].[I_E101337]","","I_E101337","","000"))</f>
        <v/>
      </c>
      <c r="Y961" s="870">
        <f>IF(_epmOfflineCondition_,"北京铭泰能源管理科技有限公司",EPMMemberDesc(X961))</f>
        <v/>
      </c>
      <c r="Z961" s="1302" t="n"/>
      <c r="AA961" s="1302" t="n"/>
      <c r="AB961" s="858" t="n"/>
      <c r="AC961" s="1302" t="n"/>
      <c r="AD961" s="1302" t="n"/>
      <c r="AE961" s="1302" t="inlineStr"/>
      <c r="AF961" s="1302" t="inlineStr"/>
      <c r="AG961" s="1302" t="inlineStr"/>
      <c r="AH961" s="1302" t="n"/>
      <c r="AI961" s="1302" t="n"/>
      <c r="AJ961" s="1302" t="n"/>
      <c r="AK961" s="1302">
        <f>AI961-AJ961</f>
        <v/>
      </c>
      <c r="AL961" s="858" t="n"/>
      <c r="AM961" s="1297" t="inlineStr"/>
      <c r="AN961" s="1298" t="n"/>
      <c r="AO961" s="13">
        <f>IF(_epmOfflineCondition_,0,EPMSaveDataOnly(AB961,,AB$29,AB$25,AB$26,AB$31,AB$32,$AA$37,AO$14,AO$15,AO$16,AO$17,AO$18,X961))</f>
        <v/>
      </c>
      <c r="AP961" s="13">
        <f>IF(_epmOfflineCondition_,0,EPMSaveDataOnly(AL961,,AL$29,AL$25,AL$26,AL$31,AL$32,$AA$37,AP$14,AP$15,AP$16,AP$17,AP$18,$X961))</f>
        <v/>
      </c>
      <c r="AQ961" s="13">
        <f>IF(_epmOfflineCondition_,0,EPMSaveData(AM961,,AM$29,AM$25,AM$26,$C$6,AM$32,$AA$37,AQ$14,AQ$15,AQ$16,AQ$17,AQ$18,$X961))</f>
        <v/>
      </c>
      <c r="AR961" s="13">
        <f>IF(_epmOfflineCondition_,0,EPMSaveDataOnly(AN961,,AN$29,AN$25,AN$26,AN$31,AN$32,$AA$37,AR$14,AR$15,AR$16,AR$17,AR$18,$X961))</f>
        <v/>
      </c>
      <c r="AS961" s="384" t="n"/>
    </row>
    <row r="962" hidden="1" s="1181">
      <c r="A962" s="384" t="n"/>
      <c r="B962" s="384" t="n"/>
      <c r="C962" s="384" t="n"/>
      <c r="D962" s="384" t="n"/>
      <c r="E962" s="384" t="n"/>
      <c r="F962" s="384" t="n"/>
      <c r="G962" s="384" t="n"/>
      <c r="H962" s="384" t="n"/>
      <c r="I962" s="384" t="n"/>
      <c r="J962" s="384" t="n"/>
      <c r="K962" s="384" t="n"/>
      <c r="L962" s="384" t="n"/>
      <c r="M962" s="384" t="n"/>
      <c r="N962" s="384" t="n"/>
      <c r="O962" s="384" t="n"/>
      <c r="P962" s="384" t="n"/>
      <c r="Q962" s="384" t="n"/>
      <c r="R962" s="384" t="n"/>
      <c r="S962" s="384" t="n"/>
      <c r="T962" s="384" t="n"/>
      <c r="U962" s="384" t="n"/>
      <c r="V962" s="384" t="n"/>
      <c r="W962" s="384" t="n"/>
      <c r="X962" s="878">
        <f>IF(_epmOfflineCondition_,"I_E101342",EPMOlapMemberO("[C_INTERCO].[PARENTH1].[I_E101342]","","I_E101342","","000"))</f>
        <v/>
      </c>
      <c r="Y962" s="870">
        <f>IF(_epmOfflineCondition_,"京海能航（北京）新能源有限公司",EPMMemberDesc(X962))</f>
        <v/>
      </c>
      <c r="Z962" s="1302" t="n"/>
      <c r="AA962" s="1302" t="n"/>
      <c r="AB962" s="858" t="n"/>
      <c r="AC962" s="1302" t="n"/>
      <c r="AD962" s="1302" t="n"/>
      <c r="AE962" s="1302" t="inlineStr"/>
      <c r="AF962" s="1302" t="inlineStr"/>
      <c r="AG962" s="1302" t="inlineStr"/>
      <c r="AH962" s="1302" t="n"/>
      <c r="AI962" s="1302" t="n"/>
      <c r="AJ962" s="1302" t="n"/>
      <c r="AK962" s="1302">
        <f>AI962-AJ962</f>
        <v/>
      </c>
      <c r="AL962" s="858" t="n"/>
      <c r="AM962" s="1297" t="inlineStr"/>
      <c r="AN962" s="1298" t="n"/>
      <c r="AO962" s="13">
        <f>IF(_epmOfflineCondition_,0,EPMSaveDataOnly(AB962,,AB$29,AB$25,AB$26,AB$31,AB$32,$AA$37,AO$14,AO$15,AO$16,AO$17,AO$18,X962))</f>
        <v/>
      </c>
      <c r="AP962" s="13">
        <f>IF(_epmOfflineCondition_,0,EPMSaveDataOnly(AL962,,AL$29,AL$25,AL$26,AL$31,AL$32,$AA$37,AP$14,AP$15,AP$16,AP$17,AP$18,$X962))</f>
        <v/>
      </c>
      <c r="AQ962" s="13">
        <f>IF(_epmOfflineCondition_,0,EPMSaveData(AM962,,AM$29,AM$25,AM$26,$C$6,AM$32,$AA$37,AQ$14,AQ$15,AQ$16,AQ$17,AQ$18,$X962))</f>
        <v/>
      </c>
      <c r="AR962" s="13">
        <f>IF(_epmOfflineCondition_,0,EPMSaveDataOnly(AN962,,AN$29,AN$25,AN$26,AN$31,AN$32,$AA$37,AR$14,AR$15,AR$16,AR$17,AR$18,$X962))</f>
        <v/>
      </c>
      <c r="AS962" s="384" t="n"/>
    </row>
    <row r="963" hidden="1" s="1181">
      <c r="A963" s="384" t="n"/>
      <c r="B963" s="384" t="n"/>
      <c r="C963" s="384" t="n"/>
      <c r="D963" s="384" t="n"/>
      <c r="E963" s="384" t="n"/>
      <c r="F963" s="384" t="n"/>
      <c r="G963" s="384" t="n"/>
      <c r="H963" s="384" t="n"/>
      <c r="I963" s="384" t="n"/>
      <c r="J963" s="384" t="n"/>
      <c r="K963" s="384" t="n"/>
      <c r="L963" s="384" t="n"/>
      <c r="M963" s="384" t="n"/>
      <c r="N963" s="384" t="n"/>
      <c r="O963" s="384" t="n"/>
      <c r="P963" s="384" t="n"/>
      <c r="Q963" s="384" t="n"/>
      <c r="R963" s="384" t="n"/>
      <c r="S963" s="384" t="n"/>
      <c r="T963" s="384" t="n"/>
      <c r="U963" s="384" t="n"/>
      <c r="V963" s="384" t="n"/>
      <c r="W963" s="384" t="n"/>
      <c r="X963" s="878">
        <f>IF(_epmOfflineCondition_,"I_E101339",EPMOlapMemberO("[C_INTERCO].[PARENTH1].[I_E101339]","","I_E101339","","000"))</f>
        <v/>
      </c>
      <c r="Y963" s="870">
        <f>IF(_epmOfflineCondition_,"天津绿光新能源有限公司",EPMMemberDesc(X963))</f>
        <v/>
      </c>
      <c r="Z963" s="1302" t="n"/>
      <c r="AA963" s="1302" t="n"/>
      <c r="AB963" s="858" t="n"/>
      <c r="AC963" s="1302" t="n"/>
      <c r="AD963" s="1302" t="n"/>
      <c r="AE963" s="1302" t="inlineStr"/>
      <c r="AF963" s="1302" t="inlineStr"/>
      <c r="AG963" s="1302" t="inlineStr"/>
      <c r="AH963" s="1302" t="n"/>
      <c r="AI963" s="1302" t="n"/>
      <c r="AJ963" s="1302" t="n"/>
      <c r="AK963" s="1302">
        <f>AI963-AJ963</f>
        <v/>
      </c>
      <c r="AL963" s="858" t="n"/>
      <c r="AM963" s="1297" t="inlineStr"/>
      <c r="AN963" s="1298" t="n"/>
      <c r="AO963" s="13">
        <f>IF(_epmOfflineCondition_,0,EPMSaveDataOnly(AB963,,AB$29,AB$25,AB$26,AB$31,AB$32,$AA$37,AO$14,AO$15,AO$16,AO$17,AO$18,X963))</f>
        <v/>
      </c>
      <c r="AP963" s="13">
        <f>IF(_epmOfflineCondition_,0,EPMSaveDataOnly(AL963,,AL$29,AL$25,AL$26,AL$31,AL$32,$AA$37,AP$14,AP$15,AP$16,AP$17,AP$18,$X963))</f>
        <v/>
      </c>
      <c r="AQ963" s="13">
        <f>IF(_epmOfflineCondition_,0,EPMSaveData(AM963,,AM$29,AM$25,AM$26,$C$6,AM$32,$AA$37,AQ$14,AQ$15,AQ$16,AQ$17,AQ$18,$X963))</f>
        <v/>
      </c>
      <c r="AR963" s="13">
        <f>IF(_epmOfflineCondition_,0,EPMSaveDataOnly(AN963,,AN$29,AN$25,AN$26,AN$31,AN$32,$AA$37,AR$14,AR$15,AR$16,AR$17,AR$18,$X963))</f>
        <v/>
      </c>
      <c r="AS963" s="384" t="n"/>
    </row>
    <row r="964" hidden="1" s="1181">
      <c r="A964" s="384" t="n"/>
      <c r="B964" s="384" t="n"/>
      <c r="C964" s="384" t="n"/>
      <c r="D964" s="384" t="n"/>
      <c r="E964" s="384" t="n"/>
      <c r="F964" s="384" t="n"/>
      <c r="G964" s="384" t="n"/>
      <c r="H964" s="384" t="n"/>
      <c r="I964" s="384" t="n"/>
      <c r="J964" s="384" t="n"/>
      <c r="K964" s="384" t="n"/>
      <c r="L964" s="384" t="n"/>
      <c r="M964" s="384" t="n"/>
      <c r="N964" s="384" t="n"/>
      <c r="O964" s="384" t="n"/>
      <c r="P964" s="384" t="n"/>
      <c r="Q964" s="384" t="n"/>
      <c r="R964" s="384" t="n"/>
      <c r="S964" s="384" t="n"/>
      <c r="T964" s="384" t="n"/>
      <c r="U964" s="384" t="n"/>
      <c r="V964" s="384" t="n"/>
      <c r="W964" s="384" t="n"/>
      <c r="X964" s="878">
        <f>IF(_epmOfflineCondition_,"I_E101341",EPMOlapMemberO("[C_INTERCO].[PARENTH1].[I_E101341]","","I_E101341","","000"))</f>
        <v/>
      </c>
      <c r="Y964" s="870">
        <f>IF(_epmOfflineCondition_,"天津凯胜悦景新能源科技有限公司",EPMMemberDesc(X964))</f>
        <v/>
      </c>
      <c r="Z964" s="1302" t="n"/>
      <c r="AA964" s="1302" t="n"/>
      <c r="AB964" s="858" t="n"/>
      <c r="AC964" s="1302" t="n"/>
      <c r="AD964" s="1302" t="n"/>
      <c r="AE964" s="1302" t="inlineStr"/>
      <c r="AF964" s="1302" t="inlineStr"/>
      <c r="AG964" s="1302" t="inlineStr"/>
      <c r="AH964" s="1302" t="n"/>
      <c r="AI964" s="1302" t="n"/>
      <c r="AJ964" s="1302" t="n"/>
      <c r="AK964" s="1302">
        <f>AI964-AJ964</f>
        <v/>
      </c>
      <c r="AL964" s="858" t="n"/>
      <c r="AM964" s="1297" t="inlineStr"/>
      <c r="AN964" s="1298" t="n"/>
      <c r="AO964" s="13">
        <f>IF(_epmOfflineCondition_,0,EPMSaveDataOnly(AB964,,AB$29,AB$25,AB$26,AB$31,AB$32,$AA$37,AO$14,AO$15,AO$16,AO$17,AO$18,X964))</f>
        <v/>
      </c>
      <c r="AP964" s="13">
        <f>IF(_epmOfflineCondition_,0,EPMSaveDataOnly(AL964,,AL$29,AL$25,AL$26,AL$31,AL$32,$AA$37,AP$14,AP$15,AP$16,AP$17,AP$18,$X964))</f>
        <v/>
      </c>
      <c r="AQ964" s="13">
        <f>IF(_epmOfflineCondition_,0,EPMSaveData(AM964,,AM$29,AM$25,AM$26,$C$6,AM$32,$AA$37,AQ$14,AQ$15,AQ$16,AQ$17,AQ$18,$X964))</f>
        <v/>
      </c>
      <c r="AR964" s="13">
        <f>IF(_epmOfflineCondition_,0,EPMSaveDataOnly(AN964,,AN$29,AN$25,AN$26,AN$31,AN$32,$AA$37,AR$14,AR$15,AR$16,AR$17,AR$18,$X964))</f>
        <v/>
      </c>
      <c r="AS964" s="384" t="n"/>
    </row>
    <row r="965" hidden="1" s="1181">
      <c r="A965" s="384" t="n"/>
      <c r="B965" s="384" t="n"/>
      <c r="C965" s="384" t="n"/>
      <c r="D965" s="384" t="n"/>
      <c r="E965" s="384" t="n"/>
      <c r="F965" s="384" t="n"/>
      <c r="G965" s="384" t="n"/>
      <c r="H965" s="384" t="n"/>
      <c r="I965" s="384" t="n"/>
      <c r="J965" s="384" t="n"/>
      <c r="K965" s="384" t="n"/>
      <c r="L965" s="384" t="n"/>
      <c r="M965" s="384" t="n"/>
      <c r="N965" s="384" t="n"/>
      <c r="O965" s="384" t="n"/>
      <c r="P965" s="384" t="n"/>
      <c r="Q965" s="384" t="n"/>
      <c r="R965" s="384" t="n"/>
      <c r="S965" s="384" t="n"/>
      <c r="T965" s="384" t="n"/>
      <c r="U965" s="384" t="n"/>
      <c r="V965" s="384" t="n"/>
      <c r="W965" s="384" t="n"/>
      <c r="X965" s="878">
        <f>IF(_epmOfflineCondition_,"I_E101304",EPMOlapMemberO("[C_INTERCO].[PARENTH1].[I_E101304]","","I_E101304","","000"))</f>
        <v/>
      </c>
      <c r="Y965" s="870">
        <f>IF(_epmOfflineCondition_,"沁源县京能清洁能源有限公司",EPMMemberDesc(X965))</f>
        <v/>
      </c>
      <c r="Z965" s="1302" t="n"/>
      <c r="AA965" s="1302" t="n"/>
      <c r="AB965" s="858" t="n"/>
      <c r="AC965" s="1302" t="n"/>
      <c r="AD965" s="1302" t="n"/>
      <c r="AE965" s="1302" t="inlineStr"/>
      <c r="AF965" s="1302" t="inlineStr"/>
      <c r="AG965" s="1302" t="inlineStr"/>
      <c r="AH965" s="1302" t="n"/>
      <c r="AI965" s="1302" t="n"/>
      <c r="AJ965" s="1302" t="n"/>
      <c r="AK965" s="1302">
        <f>AI965-AJ965</f>
        <v/>
      </c>
      <c r="AL965" s="858" t="n"/>
      <c r="AM965" s="1297" t="inlineStr"/>
      <c r="AN965" s="1298" t="n"/>
      <c r="AO965" s="13">
        <f>IF(_epmOfflineCondition_,0,EPMSaveDataOnly(AB965,,AB$29,AB$25,AB$26,AB$31,AB$32,$AA$37,AO$14,AO$15,AO$16,AO$17,AO$18,X965))</f>
        <v/>
      </c>
      <c r="AP965" s="13">
        <f>IF(_epmOfflineCondition_,0,EPMSaveDataOnly(AL965,,AL$29,AL$25,AL$26,AL$31,AL$32,$AA$37,AP$14,AP$15,AP$16,AP$17,AP$18,$X965))</f>
        <v/>
      </c>
      <c r="AQ965" s="13">
        <f>IF(_epmOfflineCondition_,0,EPMSaveData(AM965,,AM$29,AM$25,AM$26,$C$6,AM$32,$AA$37,AQ$14,AQ$15,AQ$16,AQ$17,AQ$18,$X965))</f>
        <v/>
      </c>
      <c r="AR965" s="13">
        <f>IF(_epmOfflineCondition_,0,EPMSaveDataOnly(AN965,,AN$29,AN$25,AN$26,AN$31,AN$32,$AA$37,AR$14,AR$15,AR$16,AR$17,AR$18,$X965))</f>
        <v/>
      </c>
      <c r="AS965" s="384" t="n"/>
    </row>
    <row r="966" hidden="1" s="1181">
      <c r="A966" s="384" t="n"/>
      <c r="B966" s="384" t="n"/>
      <c r="C966" s="384" t="n"/>
      <c r="D966" s="384" t="n"/>
      <c r="E966" s="384" t="n"/>
      <c r="F966" s="384" t="n"/>
      <c r="G966" s="384" t="n"/>
      <c r="H966" s="384" t="n"/>
      <c r="I966" s="384" t="n"/>
      <c r="J966" s="384" t="n"/>
      <c r="K966" s="384" t="n"/>
      <c r="L966" s="384" t="n"/>
      <c r="M966" s="384" t="n"/>
      <c r="N966" s="384" t="n"/>
      <c r="O966" s="384" t="n"/>
      <c r="P966" s="384" t="n"/>
      <c r="Q966" s="384" t="n"/>
      <c r="R966" s="384" t="n"/>
      <c r="S966" s="384" t="n"/>
      <c r="T966" s="384" t="n"/>
      <c r="U966" s="384" t="n"/>
      <c r="V966" s="384" t="n"/>
      <c r="W966" s="384" t="n"/>
      <c r="X966" s="878">
        <f>IF(_epmOfflineCondition_,"I_E101302",EPMOlapMemberO("[C_INTERCO].[PARENTH1].[I_E101302]","","I_E101302","","000"))</f>
        <v/>
      </c>
      <c r="Y966" s="870">
        <f>IF(_epmOfflineCondition_,"晋中市榆次区京能清洁能源有限公司",EPMMemberDesc(X966))</f>
        <v/>
      </c>
      <c r="Z966" s="1302" t="n"/>
      <c r="AA966" s="1302" t="n"/>
      <c r="AB966" s="858" t="n"/>
      <c r="AC966" s="1302" t="n"/>
      <c r="AD966" s="1302" t="n"/>
      <c r="AE966" s="1302" t="inlineStr"/>
      <c r="AF966" s="1302" t="inlineStr"/>
      <c r="AG966" s="1302" t="inlineStr"/>
      <c r="AH966" s="1302" t="n"/>
      <c r="AI966" s="1302" t="n"/>
      <c r="AJ966" s="1302" t="n"/>
      <c r="AK966" s="1302">
        <f>AI966-AJ966</f>
        <v/>
      </c>
      <c r="AL966" s="858" t="n"/>
      <c r="AM966" s="1297" t="inlineStr"/>
      <c r="AN966" s="1298" t="n"/>
      <c r="AO966" s="13">
        <f>IF(_epmOfflineCondition_,0,EPMSaveDataOnly(AB966,,AB$29,AB$25,AB$26,AB$31,AB$32,$AA$37,AO$14,AO$15,AO$16,AO$17,AO$18,X966))</f>
        <v/>
      </c>
      <c r="AP966" s="13">
        <f>IF(_epmOfflineCondition_,0,EPMSaveDataOnly(AL966,,AL$29,AL$25,AL$26,AL$31,AL$32,$AA$37,AP$14,AP$15,AP$16,AP$17,AP$18,$X966))</f>
        <v/>
      </c>
      <c r="AQ966" s="13">
        <f>IF(_epmOfflineCondition_,0,EPMSaveData(AM966,,AM$29,AM$25,AM$26,$C$6,AM$32,$AA$37,AQ$14,AQ$15,AQ$16,AQ$17,AQ$18,$X966))</f>
        <v/>
      </c>
      <c r="AR966" s="13">
        <f>IF(_epmOfflineCondition_,0,EPMSaveDataOnly(AN966,,AN$29,AN$25,AN$26,AN$31,AN$32,$AA$37,AR$14,AR$15,AR$16,AR$17,AR$18,$X966))</f>
        <v/>
      </c>
      <c r="AS966" s="384" t="n"/>
    </row>
    <row r="967" hidden="1" s="1181">
      <c r="A967" s="384" t="n"/>
      <c r="B967" s="384" t="n"/>
      <c r="C967" s="384" t="n"/>
      <c r="D967" s="384" t="n"/>
      <c r="E967" s="384" t="n"/>
      <c r="F967" s="384" t="n"/>
      <c r="G967" s="384" t="n"/>
      <c r="H967" s="384" t="n"/>
      <c r="I967" s="384" t="n"/>
      <c r="J967" s="384" t="n"/>
      <c r="K967" s="384" t="n"/>
      <c r="L967" s="384" t="n"/>
      <c r="M967" s="384" t="n"/>
      <c r="N967" s="384" t="n"/>
      <c r="O967" s="384" t="n"/>
      <c r="P967" s="384" t="n"/>
      <c r="Q967" s="384" t="n"/>
      <c r="R967" s="384" t="n"/>
      <c r="S967" s="384" t="n"/>
      <c r="T967" s="384" t="n"/>
      <c r="U967" s="384" t="n"/>
      <c r="V967" s="384" t="n"/>
      <c r="W967" s="384" t="n"/>
      <c r="X967" s="878">
        <f>IF(_epmOfflineCondition_,"I_E101303",EPMOlapMemberO("[C_INTERCO].[PARENTH1].[I_E101303]","","I_E101303","","000"))</f>
        <v/>
      </c>
      <c r="Y967" s="870">
        <f>IF(_epmOfflineCondition_,"石楼县京能清洁能源有限公司",EPMMemberDesc(X967))</f>
        <v/>
      </c>
      <c r="Z967" s="1302" t="n"/>
      <c r="AA967" s="1302" t="n"/>
      <c r="AB967" s="858" t="n"/>
      <c r="AC967" s="1302" t="n"/>
      <c r="AD967" s="1302" t="n"/>
      <c r="AE967" s="1302" t="inlineStr"/>
      <c r="AF967" s="1302" t="inlineStr"/>
      <c r="AG967" s="1302" t="inlineStr"/>
      <c r="AH967" s="1302" t="n"/>
      <c r="AI967" s="1302" t="n"/>
      <c r="AJ967" s="1302" t="n"/>
      <c r="AK967" s="1302">
        <f>AI967-AJ967</f>
        <v/>
      </c>
      <c r="AL967" s="858" t="n"/>
      <c r="AM967" s="1297" t="inlineStr"/>
      <c r="AN967" s="1298" t="n"/>
      <c r="AO967" s="13">
        <f>IF(_epmOfflineCondition_,0,EPMSaveDataOnly(AB967,,AB$29,AB$25,AB$26,AB$31,AB$32,$AA$37,AO$14,AO$15,AO$16,AO$17,AO$18,X967))</f>
        <v/>
      </c>
      <c r="AP967" s="13">
        <f>IF(_epmOfflineCondition_,0,EPMSaveDataOnly(AL967,,AL$29,AL$25,AL$26,AL$31,AL$32,$AA$37,AP$14,AP$15,AP$16,AP$17,AP$18,$X967))</f>
        <v/>
      </c>
      <c r="AQ967" s="13">
        <f>IF(_epmOfflineCondition_,0,EPMSaveData(AM967,,AM$29,AM$25,AM$26,$C$6,AM$32,$AA$37,AQ$14,AQ$15,AQ$16,AQ$17,AQ$18,$X967))</f>
        <v/>
      </c>
      <c r="AR967" s="13">
        <f>IF(_epmOfflineCondition_,0,EPMSaveDataOnly(AN967,,AN$29,AN$25,AN$26,AN$31,AN$32,$AA$37,AR$14,AR$15,AR$16,AR$17,AR$18,$X967))</f>
        <v/>
      </c>
      <c r="AS967" s="384" t="n"/>
    </row>
    <row r="968" hidden="1" s="1181">
      <c r="A968" s="384" t="n"/>
      <c r="B968" s="384" t="n"/>
      <c r="C968" s="384" t="n"/>
      <c r="D968" s="384" t="n"/>
      <c r="E968" s="384" t="n"/>
      <c r="F968" s="384" t="n"/>
      <c r="G968" s="384" t="n"/>
      <c r="H968" s="384" t="n"/>
      <c r="I968" s="384" t="n"/>
      <c r="J968" s="384" t="n"/>
      <c r="K968" s="384" t="n"/>
      <c r="L968" s="384" t="n"/>
      <c r="M968" s="384" t="n"/>
      <c r="N968" s="384" t="n"/>
      <c r="O968" s="384" t="n"/>
      <c r="P968" s="384" t="n"/>
      <c r="Q968" s="384" t="n"/>
      <c r="R968" s="384" t="n"/>
      <c r="S968" s="384" t="n"/>
      <c r="T968" s="384" t="n"/>
      <c r="U968" s="384" t="n"/>
      <c r="V968" s="384" t="n"/>
      <c r="W968" s="384" t="n"/>
      <c r="X968" s="878">
        <f>IF(_epmOfflineCondition_,"I_E101336",EPMOlapMemberO("[C_INTERCO].[PARENTH1].[I_E101336]","","I_E101336","","000"))</f>
        <v/>
      </c>
      <c r="Y968" s="870">
        <f>IF(_epmOfflineCondition_,"盛唐贰号（天津）企业管理合伙企业（有限合伙）",EPMMemberDesc(X968))</f>
        <v/>
      </c>
      <c r="Z968" s="1302" t="n"/>
      <c r="AA968" s="1302" t="n"/>
      <c r="AB968" s="858" t="n"/>
      <c r="AC968" s="1302" t="n"/>
      <c r="AD968" s="1302" t="n"/>
      <c r="AE968" s="1302" t="inlineStr"/>
      <c r="AF968" s="1302" t="inlineStr"/>
      <c r="AG968" s="1302" t="inlineStr"/>
      <c r="AH968" s="1302" t="n"/>
      <c r="AI968" s="1302" t="n"/>
      <c r="AJ968" s="1302" t="n"/>
      <c r="AK968" s="1302">
        <f>AI968-AJ968</f>
        <v/>
      </c>
      <c r="AL968" s="858" t="n"/>
      <c r="AM968" s="1297" t="inlineStr"/>
      <c r="AN968" s="1298" t="n"/>
      <c r="AO968" s="13">
        <f>IF(_epmOfflineCondition_,0,EPMSaveDataOnly(AB968,,AB$29,AB$25,AB$26,AB$31,AB$32,$AA$37,AO$14,AO$15,AO$16,AO$17,AO$18,X968))</f>
        <v/>
      </c>
      <c r="AP968" s="13">
        <f>IF(_epmOfflineCondition_,0,EPMSaveDataOnly(AL968,,AL$29,AL$25,AL$26,AL$31,AL$32,$AA$37,AP$14,AP$15,AP$16,AP$17,AP$18,$X968))</f>
        <v/>
      </c>
      <c r="AQ968" s="13">
        <f>IF(_epmOfflineCondition_,0,EPMSaveData(AM968,,AM$29,AM$25,AM$26,$C$6,AM$32,$AA$37,AQ$14,AQ$15,AQ$16,AQ$17,AQ$18,$X968))</f>
        <v/>
      </c>
      <c r="AR968" s="13">
        <f>IF(_epmOfflineCondition_,0,EPMSaveDataOnly(AN968,,AN$29,AN$25,AN$26,AN$31,AN$32,$AA$37,AR$14,AR$15,AR$16,AR$17,AR$18,$X968))</f>
        <v/>
      </c>
      <c r="AS968" s="384" t="n"/>
    </row>
    <row r="969" hidden="1" s="1181">
      <c r="A969" s="384" t="n"/>
      <c r="B969" s="384" t="n"/>
      <c r="C969" s="384" t="n"/>
      <c r="D969" s="384" t="n"/>
      <c r="E969" s="384" t="n"/>
      <c r="F969" s="384" t="n"/>
      <c r="G969" s="384" t="n"/>
      <c r="H969" s="384" t="n"/>
      <c r="I969" s="384" t="n"/>
      <c r="J969" s="384" t="n"/>
      <c r="K969" s="384" t="n"/>
      <c r="L969" s="384" t="n"/>
      <c r="M969" s="384" t="n"/>
      <c r="N969" s="384" t="n"/>
      <c r="O969" s="384" t="n"/>
      <c r="P969" s="384" t="n"/>
      <c r="Q969" s="384" t="n"/>
      <c r="R969" s="384" t="n"/>
      <c r="S969" s="384" t="n"/>
      <c r="T969" s="384" t="n"/>
      <c r="U969" s="384" t="n"/>
      <c r="V969" s="384" t="n"/>
      <c r="W969" s="384" t="n"/>
      <c r="X969" s="878">
        <f>IF(_epmOfflineCondition_,"I_E101323",EPMOlapMemberO("[C_INTERCO].[PARENTH1].[I_E101323]","","I_E101323","","000"))</f>
        <v/>
      </c>
      <c r="Y969" s="870">
        <f>IF(_epmOfflineCondition_,"北京京能大成新能源有限公司",EPMMemberDesc(X969))</f>
        <v/>
      </c>
      <c r="Z969" s="1302" t="n"/>
      <c r="AA969" s="1302" t="n"/>
      <c r="AB969" s="858" t="n"/>
      <c r="AC969" s="1302" t="n"/>
      <c r="AD969" s="1302" t="n"/>
      <c r="AE969" s="1302" t="inlineStr"/>
      <c r="AF969" s="1302" t="inlineStr"/>
      <c r="AG969" s="1302" t="inlineStr"/>
      <c r="AH969" s="1302" t="n"/>
      <c r="AI969" s="1302" t="n"/>
      <c r="AJ969" s="1302" t="n"/>
      <c r="AK969" s="1302">
        <f>AI969-AJ969</f>
        <v/>
      </c>
      <c r="AL969" s="858" t="n"/>
      <c r="AM969" s="1297" t="inlineStr"/>
      <c r="AN969" s="1298" t="n"/>
      <c r="AO969" s="13">
        <f>IF(_epmOfflineCondition_,0,EPMSaveDataOnly(AB969,,AB$29,AB$25,AB$26,AB$31,AB$32,$AA$37,AO$14,AO$15,AO$16,AO$17,AO$18,X969))</f>
        <v/>
      </c>
      <c r="AP969" s="13">
        <f>IF(_epmOfflineCondition_,0,EPMSaveDataOnly(AL969,,AL$29,AL$25,AL$26,AL$31,AL$32,$AA$37,AP$14,AP$15,AP$16,AP$17,AP$18,$X969))</f>
        <v/>
      </c>
      <c r="AQ969" s="13">
        <f>IF(_epmOfflineCondition_,0,EPMSaveData(AM969,,AM$29,AM$25,AM$26,$C$6,AM$32,$AA$37,AQ$14,AQ$15,AQ$16,AQ$17,AQ$18,$X969))</f>
        <v/>
      </c>
      <c r="AR969" s="13">
        <f>IF(_epmOfflineCondition_,0,EPMSaveDataOnly(AN969,,AN$29,AN$25,AN$26,AN$31,AN$32,$AA$37,AR$14,AR$15,AR$16,AR$17,AR$18,$X969))</f>
        <v/>
      </c>
      <c r="AS969" s="384" t="n"/>
    </row>
    <row r="970" hidden="1" s="1181">
      <c r="A970" s="384" t="n"/>
      <c r="B970" s="384" t="n"/>
      <c r="C970" s="384" t="n"/>
      <c r="D970" s="384" t="n"/>
      <c r="E970" s="384" t="n"/>
      <c r="F970" s="384" t="n"/>
      <c r="G970" s="384" t="n"/>
      <c r="H970" s="384" t="n"/>
      <c r="I970" s="384" t="n"/>
      <c r="J970" s="384" t="n"/>
      <c r="K970" s="384" t="n"/>
      <c r="L970" s="384" t="n"/>
      <c r="M970" s="384" t="n"/>
      <c r="N970" s="384" t="n"/>
      <c r="O970" s="384" t="n"/>
      <c r="P970" s="384" t="n"/>
      <c r="Q970" s="384" t="n"/>
      <c r="R970" s="384" t="n"/>
      <c r="S970" s="384" t="n"/>
      <c r="T970" s="384" t="n"/>
      <c r="U970" s="384" t="n"/>
      <c r="V970" s="384" t="n"/>
      <c r="W970" s="384" t="n"/>
      <c r="X970" s="878">
        <f>IF(_epmOfflineCondition_,"I_E101335",EPMOlapMemberO("[C_INTERCO].[PARENTH1].[I_E101335]","","I_E101335","","000"))</f>
        <v/>
      </c>
      <c r="Y970" s="870">
        <f>IF(_epmOfflineCondition_,"宁夏京能智算科技有限公司",EPMMemberDesc(X970))</f>
        <v/>
      </c>
      <c r="Z970" s="1302" t="n"/>
      <c r="AA970" s="1302" t="n"/>
      <c r="AB970" s="858" t="n"/>
      <c r="AC970" s="1302" t="n"/>
      <c r="AD970" s="1302" t="n"/>
      <c r="AE970" s="1302" t="inlineStr"/>
      <c r="AF970" s="1302" t="inlineStr"/>
      <c r="AG970" s="1302" t="inlineStr"/>
      <c r="AH970" s="1302" t="n"/>
      <c r="AI970" s="1302" t="n"/>
      <c r="AJ970" s="1302" t="n"/>
      <c r="AK970" s="1302">
        <f>AI970-AJ970</f>
        <v/>
      </c>
      <c r="AL970" s="858" t="n"/>
      <c r="AM970" s="1297" t="inlineStr"/>
      <c r="AN970" s="1298" t="n"/>
      <c r="AO970" s="13">
        <f>IF(_epmOfflineCondition_,0,EPMSaveDataOnly(AB970,,AB$29,AB$25,AB$26,AB$31,AB$32,$AA$37,AO$14,AO$15,AO$16,AO$17,AO$18,X970))</f>
        <v/>
      </c>
      <c r="AP970" s="13">
        <f>IF(_epmOfflineCondition_,0,EPMSaveDataOnly(AL970,,AL$29,AL$25,AL$26,AL$31,AL$32,$AA$37,AP$14,AP$15,AP$16,AP$17,AP$18,$X970))</f>
        <v/>
      </c>
      <c r="AQ970" s="13">
        <f>IF(_epmOfflineCondition_,0,EPMSaveData(AM970,,AM$29,AM$25,AM$26,$C$6,AM$32,$AA$37,AQ$14,AQ$15,AQ$16,AQ$17,AQ$18,$X970))</f>
        <v/>
      </c>
      <c r="AR970" s="13">
        <f>IF(_epmOfflineCondition_,0,EPMSaveDataOnly(AN970,,AN$29,AN$25,AN$26,AN$31,AN$32,$AA$37,AR$14,AR$15,AR$16,AR$17,AR$18,$X970))</f>
        <v/>
      </c>
      <c r="AS970" s="384" t="n"/>
    </row>
    <row r="971" hidden="1" s="1181">
      <c r="A971" s="384" t="n"/>
      <c r="B971" s="384" t="n"/>
      <c r="C971" s="384" t="n"/>
      <c r="D971" s="384" t="n"/>
      <c r="E971" s="384" t="n"/>
      <c r="F971" s="384" t="n"/>
      <c r="G971" s="384" t="n"/>
      <c r="H971" s="384" t="n"/>
      <c r="I971" s="384" t="n"/>
      <c r="J971" s="384" t="n"/>
      <c r="K971" s="384" t="n"/>
      <c r="L971" s="384" t="n"/>
      <c r="M971" s="384" t="n"/>
      <c r="N971" s="384" t="n"/>
      <c r="O971" s="384" t="n"/>
      <c r="P971" s="384" t="n"/>
      <c r="Q971" s="384" t="n"/>
      <c r="R971" s="384" t="n"/>
      <c r="S971" s="384" t="n"/>
      <c r="T971" s="384" t="n"/>
      <c r="U971" s="384" t="n"/>
      <c r="V971" s="384" t="n"/>
      <c r="W971" s="384" t="n"/>
      <c r="X971" s="878">
        <f>IF(_epmOfflineCondition_,"I_E101331",EPMOlapMemberO("[C_INTERCO].[PARENTH1].[I_E101331]","","I_E101331","","000"))</f>
        <v/>
      </c>
      <c r="Y971" s="870">
        <f>IF(_epmOfflineCondition_,"北京颐寿轩养老产业有限公司第一护理院",EPMMemberDesc(X971))</f>
        <v/>
      </c>
      <c r="Z971" s="1302" t="n"/>
      <c r="AA971" s="1302" t="n"/>
      <c r="AB971" s="858" t="n"/>
      <c r="AC971" s="1302" t="n"/>
      <c r="AD971" s="1302" t="n"/>
      <c r="AE971" s="1302" t="inlineStr"/>
      <c r="AF971" s="1302" t="inlineStr"/>
      <c r="AG971" s="1302" t="inlineStr"/>
      <c r="AH971" s="1302" t="n"/>
      <c r="AI971" s="1302" t="n"/>
      <c r="AJ971" s="1302" t="n"/>
      <c r="AK971" s="1302">
        <f>AI971-AJ971</f>
        <v/>
      </c>
      <c r="AL971" s="858" t="n"/>
      <c r="AM971" s="1297" t="inlineStr"/>
      <c r="AN971" s="1298" t="n"/>
      <c r="AO971" s="13">
        <f>IF(_epmOfflineCondition_,0,EPMSaveDataOnly(AB971,,AB$29,AB$25,AB$26,AB$31,AB$32,$AA$37,AO$14,AO$15,AO$16,AO$17,AO$18,X971))</f>
        <v/>
      </c>
      <c r="AP971" s="13">
        <f>IF(_epmOfflineCondition_,0,EPMSaveDataOnly(AL971,,AL$29,AL$25,AL$26,AL$31,AL$32,$AA$37,AP$14,AP$15,AP$16,AP$17,AP$18,$X971))</f>
        <v/>
      </c>
      <c r="AQ971" s="13">
        <f>IF(_epmOfflineCondition_,0,EPMSaveData(AM971,,AM$29,AM$25,AM$26,$C$6,AM$32,$AA$37,AQ$14,AQ$15,AQ$16,AQ$17,AQ$18,$X971))</f>
        <v/>
      </c>
      <c r="AR971" s="13">
        <f>IF(_epmOfflineCondition_,0,EPMSaveDataOnly(AN971,,AN$29,AN$25,AN$26,AN$31,AN$32,$AA$37,AR$14,AR$15,AR$16,AR$17,AR$18,$X971))</f>
        <v/>
      </c>
      <c r="AS971" s="384" t="n"/>
    </row>
    <row r="972" hidden="1" s="1181">
      <c r="A972" s="384" t="n"/>
      <c r="B972" s="384" t="n"/>
      <c r="C972" s="384" t="n"/>
      <c r="D972" s="384" t="n"/>
      <c r="E972" s="384" t="n"/>
      <c r="F972" s="384" t="n"/>
      <c r="G972" s="384" t="n"/>
      <c r="H972" s="384" t="n"/>
      <c r="I972" s="384" t="n"/>
      <c r="J972" s="384" t="n"/>
      <c r="K972" s="384" t="n"/>
      <c r="L972" s="384" t="n"/>
      <c r="M972" s="384" t="n"/>
      <c r="N972" s="384" t="n"/>
      <c r="O972" s="384" t="n"/>
      <c r="P972" s="384" t="n"/>
      <c r="Q972" s="384" t="n"/>
      <c r="R972" s="384" t="n"/>
      <c r="S972" s="384" t="n"/>
      <c r="T972" s="384" t="n"/>
      <c r="U972" s="384" t="n"/>
      <c r="V972" s="384" t="n"/>
      <c r="W972" s="384" t="n"/>
      <c r="X972" s="878">
        <f>IF(_epmOfflineCondition_,"I_E101338",EPMOlapMemberO("[C_INTERCO].[PARENTH1].[I_E101338]","","I_E101338","","000"))</f>
        <v/>
      </c>
      <c r="Y972" s="870">
        <f>IF(_epmOfflineCondition_,"泰州姜堰区福日能源科技有限公司",EPMMemberDesc(X972))</f>
        <v/>
      </c>
      <c r="Z972" s="1302" t="n"/>
      <c r="AA972" s="1302" t="n"/>
      <c r="AB972" s="858" t="n"/>
      <c r="AC972" s="1302" t="n"/>
      <c r="AD972" s="1302" t="n"/>
      <c r="AE972" s="1302" t="inlineStr"/>
      <c r="AF972" s="1302" t="inlineStr"/>
      <c r="AG972" s="1302" t="inlineStr"/>
      <c r="AH972" s="1302" t="n"/>
      <c r="AI972" s="1302" t="n"/>
      <c r="AJ972" s="1302" t="n"/>
      <c r="AK972" s="1302">
        <f>AI972-AJ972</f>
        <v/>
      </c>
      <c r="AL972" s="858" t="n"/>
      <c r="AM972" s="1297" t="inlineStr"/>
      <c r="AN972" s="1298" t="n"/>
      <c r="AO972" s="13">
        <f>IF(_epmOfflineCondition_,0,EPMSaveDataOnly(AB972,,AB$29,AB$25,AB$26,AB$31,AB$32,$AA$37,AO$14,AO$15,AO$16,AO$17,AO$18,X972))</f>
        <v/>
      </c>
      <c r="AP972" s="13">
        <f>IF(_epmOfflineCondition_,0,EPMSaveDataOnly(AL972,,AL$29,AL$25,AL$26,AL$31,AL$32,$AA$37,AP$14,AP$15,AP$16,AP$17,AP$18,$X972))</f>
        <v/>
      </c>
      <c r="AQ972" s="13">
        <f>IF(_epmOfflineCondition_,0,EPMSaveData(AM972,,AM$29,AM$25,AM$26,$C$6,AM$32,$AA$37,AQ$14,AQ$15,AQ$16,AQ$17,AQ$18,$X972))</f>
        <v/>
      </c>
      <c r="AR972" s="13">
        <f>IF(_epmOfflineCondition_,0,EPMSaveDataOnly(AN972,,AN$29,AN$25,AN$26,AN$31,AN$32,$AA$37,AR$14,AR$15,AR$16,AR$17,AR$18,$X972))</f>
        <v/>
      </c>
      <c r="AS972" s="384" t="n"/>
    </row>
    <row r="973" hidden="1" s="1181">
      <c r="A973" s="384" t="n"/>
      <c r="B973" s="384" t="n"/>
      <c r="C973" s="384" t="n"/>
      <c r="D973" s="384" t="n"/>
      <c r="E973" s="384" t="n"/>
      <c r="F973" s="384" t="n"/>
      <c r="G973" s="384" t="n"/>
      <c r="H973" s="384" t="n"/>
      <c r="I973" s="384" t="n"/>
      <c r="J973" s="384" t="n"/>
      <c r="K973" s="384" t="n"/>
      <c r="L973" s="384" t="n"/>
      <c r="M973" s="384" t="n"/>
      <c r="N973" s="384" t="n"/>
      <c r="O973" s="384" t="n"/>
      <c r="P973" s="384" t="n"/>
      <c r="Q973" s="384" t="n"/>
      <c r="R973" s="384" t="n"/>
      <c r="S973" s="384" t="n"/>
      <c r="T973" s="384" t="n"/>
      <c r="U973" s="384" t="n"/>
      <c r="V973" s="384" t="n"/>
      <c r="W973" s="384" t="n"/>
      <c r="X973" s="878">
        <f>IF(_epmOfflineCondition_,"I_E101340",EPMOlapMemberO("[C_INTERCO].[PARENTH1].[I_E101340]","","I_E101340","","000"))</f>
        <v/>
      </c>
      <c r="Y973" s="870">
        <f>IF(_epmOfflineCondition_,"泰州赫炎能源科技有限公司",EPMMemberDesc(X973))</f>
        <v/>
      </c>
      <c r="Z973" s="1302" t="n"/>
      <c r="AA973" s="1302" t="n"/>
      <c r="AB973" s="858" t="n"/>
      <c r="AC973" s="1302" t="n"/>
      <c r="AD973" s="1302" t="n"/>
      <c r="AE973" s="1302" t="inlineStr"/>
      <c r="AF973" s="1302" t="inlineStr"/>
      <c r="AG973" s="1302" t="inlineStr"/>
      <c r="AH973" s="1302" t="n"/>
      <c r="AI973" s="1302" t="n"/>
      <c r="AJ973" s="1302" t="n"/>
      <c r="AK973" s="1302">
        <f>AI973-AJ973</f>
        <v/>
      </c>
      <c r="AL973" s="858" t="n"/>
      <c r="AM973" s="1297" t="inlineStr"/>
      <c r="AN973" s="1298" t="n"/>
      <c r="AO973" s="13">
        <f>IF(_epmOfflineCondition_,0,EPMSaveDataOnly(AB973,,AB$29,AB$25,AB$26,AB$31,AB$32,$AA$37,AO$14,AO$15,AO$16,AO$17,AO$18,X973))</f>
        <v/>
      </c>
      <c r="AP973" s="13">
        <f>IF(_epmOfflineCondition_,0,EPMSaveDataOnly(AL973,,AL$29,AL$25,AL$26,AL$31,AL$32,$AA$37,AP$14,AP$15,AP$16,AP$17,AP$18,$X973))</f>
        <v/>
      </c>
      <c r="AQ973" s="13">
        <f>IF(_epmOfflineCondition_,0,EPMSaveData(AM973,,AM$29,AM$25,AM$26,$C$6,AM$32,$AA$37,AQ$14,AQ$15,AQ$16,AQ$17,AQ$18,$X973))</f>
        <v/>
      </c>
      <c r="AR973" s="13">
        <f>IF(_epmOfflineCondition_,0,EPMSaveDataOnly(AN973,,AN$29,AN$25,AN$26,AN$31,AN$32,$AA$37,AR$14,AR$15,AR$16,AR$17,AR$18,$X973))</f>
        <v/>
      </c>
      <c r="AS973" s="384" t="n"/>
    </row>
    <row r="974" hidden="1" s="1181">
      <c r="A974" s="384" t="n"/>
      <c r="B974" s="384" t="n"/>
      <c r="C974" s="384" t="n"/>
      <c r="D974" s="384" t="n"/>
      <c r="E974" s="384" t="n"/>
      <c r="F974" s="384" t="n"/>
      <c r="G974" s="384" t="n"/>
      <c r="H974" s="384" t="n"/>
      <c r="I974" s="384" t="n"/>
      <c r="J974" s="384" t="n"/>
      <c r="K974" s="384" t="n"/>
      <c r="L974" s="384" t="n"/>
      <c r="M974" s="384" t="n"/>
      <c r="N974" s="384" t="n"/>
      <c r="O974" s="384" t="n"/>
      <c r="P974" s="384" t="n"/>
      <c r="Q974" s="384" t="n"/>
      <c r="R974" s="384" t="n"/>
      <c r="S974" s="384" t="n"/>
      <c r="T974" s="384" t="n"/>
      <c r="U974" s="384" t="n"/>
      <c r="V974" s="384" t="n"/>
      <c r="W974" s="384" t="n"/>
      <c r="X974" s="878">
        <f>IF(_epmOfflineCondition_,"I_E101329",EPMOlapMemberO("[C_INTERCO].[PARENTH1].[I_E101329]","","I_E101329","","000"))</f>
        <v/>
      </c>
      <c r="Y974" s="870">
        <f>IF(_epmOfflineCondition_,"北京光福综合能源有限公司",EPMMemberDesc(X974))</f>
        <v/>
      </c>
      <c r="Z974" s="1302" t="n"/>
      <c r="AA974" s="1302" t="n"/>
      <c r="AB974" s="858" t="n"/>
      <c r="AC974" s="1302" t="n"/>
      <c r="AD974" s="1302" t="n"/>
      <c r="AE974" s="1302" t="inlineStr"/>
      <c r="AF974" s="1302" t="inlineStr"/>
      <c r="AG974" s="1302" t="inlineStr"/>
      <c r="AH974" s="1302" t="n"/>
      <c r="AI974" s="1302" t="n"/>
      <c r="AJ974" s="1302" t="n"/>
      <c r="AK974" s="1302">
        <f>AI974-AJ974</f>
        <v/>
      </c>
      <c r="AL974" s="858" t="n"/>
      <c r="AM974" s="1297" t="inlineStr"/>
      <c r="AN974" s="1298" t="n"/>
      <c r="AO974" s="13">
        <f>IF(_epmOfflineCondition_,0,EPMSaveDataOnly(AB974,,AB$29,AB$25,AB$26,AB$31,AB$32,$AA$37,AO$14,AO$15,AO$16,AO$17,AO$18,X974))</f>
        <v/>
      </c>
      <c r="AP974" s="13">
        <f>IF(_epmOfflineCondition_,0,EPMSaveDataOnly(AL974,,AL$29,AL$25,AL$26,AL$31,AL$32,$AA$37,AP$14,AP$15,AP$16,AP$17,AP$18,$X974))</f>
        <v/>
      </c>
      <c r="AQ974" s="13">
        <f>IF(_epmOfflineCondition_,0,EPMSaveData(AM974,,AM$29,AM$25,AM$26,$C$6,AM$32,$AA$37,AQ$14,AQ$15,AQ$16,AQ$17,AQ$18,$X974))</f>
        <v/>
      </c>
      <c r="AR974" s="13">
        <f>IF(_epmOfflineCondition_,0,EPMSaveDataOnly(AN974,,AN$29,AN$25,AN$26,AN$31,AN$32,$AA$37,AR$14,AR$15,AR$16,AR$17,AR$18,$X974))</f>
        <v/>
      </c>
      <c r="AS974" s="384" t="n"/>
    </row>
    <row r="975" hidden="1" s="1181">
      <c r="A975" s="384" t="n"/>
      <c r="B975" s="384" t="n"/>
      <c r="C975" s="384" t="n"/>
      <c r="D975" s="384" t="n"/>
      <c r="E975" s="384" t="n"/>
      <c r="F975" s="384" t="n"/>
      <c r="G975" s="384" t="n"/>
      <c r="H975" s="384" t="n"/>
      <c r="I975" s="384" t="n"/>
      <c r="J975" s="384" t="n"/>
      <c r="K975" s="384" t="n"/>
      <c r="L975" s="384" t="n"/>
      <c r="M975" s="384" t="n"/>
      <c r="N975" s="384" t="n"/>
      <c r="O975" s="384" t="n"/>
      <c r="P975" s="384" t="n"/>
      <c r="Q975" s="384" t="n"/>
      <c r="R975" s="384" t="n"/>
      <c r="S975" s="384" t="n"/>
      <c r="T975" s="384" t="n"/>
      <c r="U975" s="384" t="n"/>
      <c r="V975" s="384" t="n"/>
      <c r="W975" s="384" t="n"/>
      <c r="X975" s="878">
        <f>IF(_epmOfflineCondition_,"I_E101346",EPMOlapMemberO("[C_INTERCO].[PARENTH1].[I_E101346]","","I_E101346","","000"))</f>
        <v/>
      </c>
      <c r="Y975" s="870">
        <f>IF(_epmOfflineCondition_,"池州市贵池区菲尚新能源有限公司",EPMMemberDesc(X975))</f>
        <v/>
      </c>
      <c r="Z975" s="1302" t="n"/>
      <c r="AA975" s="1302" t="n"/>
      <c r="AB975" s="858" t="n"/>
      <c r="AC975" s="1302" t="n"/>
      <c r="AD975" s="1302" t="n"/>
      <c r="AE975" s="1302" t="inlineStr"/>
      <c r="AF975" s="1302" t="inlineStr"/>
      <c r="AG975" s="1302" t="inlineStr"/>
      <c r="AH975" s="1302" t="n"/>
      <c r="AI975" s="1302" t="n"/>
      <c r="AJ975" s="1302" t="n"/>
      <c r="AK975" s="1302">
        <f>AI975-AJ975</f>
        <v/>
      </c>
      <c r="AL975" s="858" t="n"/>
      <c r="AM975" s="1297" t="inlineStr"/>
      <c r="AN975" s="1298" t="n"/>
      <c r="AO975" s="13">
        <f>IF(_epmOfflineCondition_,0,EPMSaveDataOnly(AB975,,AB$29,AB$25,AB$26,AB$31,AB$32,$AA$37,AO$14,AO$15,AO$16,AO$17,AO$18,X975))</f>
        <v/>
      </c>
      <c r="AP975" s="13">
        <f>IF(_epmOfflineCondition_,0,EPMSaveDataOnly(AL975,,AL$29,AL$25,AL$26,AL$31,AL$32,$AA$37,AP$14,AP$15,AP$16,AP$17,AP$18,$X975))</f>
        <v/>
      </c>
      <c r="AQ975" s="13">
        <f>IF(_epmOfflineCondition_,0,EPMSaveData(AM975,,AM$29,AM$25,AM$26,$C$6,AM$32,$AA$37,AQ$14,AQ$15,AQ$16,AQ$17,AQ$18,$X975))</f>
        <v/>
      </c>
      <c r="AR975" s="13">
        <f>IF(_epmOfflineCondition_,0,EPMSaveDataOnly(AN975,,AN$29,AN$25,AN$26,AN$31,AN$32,$AA$37,AR$14,AR$15,AR$16,AR$17,AR$18,$X975))</f>
        <v/>
      </c>
      <c r="AS975" s="384" t="n"/>
    </row>
    <row r="976" hidden="1" s="1181">
      <c r="A976" s="384" t="n"/>
      <c r="B976" s="384" t="n"/>
      <c r="C976" s="384" t="n"/>
      <c r="D976" s="384" t="n"/>
      <c r="E976" s="384" t="n"/>
      <c r="F976" s="384" t="n"/>
      <c r="G976" s="384" t="n"/>
      <c r="H976" s="384" t="n"/>
      <c r="I976" s="384" t="n"/>
      <c r="J976" s="384" t="n"/>
      <c r="K976" s="384" t="n"/>
      <c r="L976" s="384" t="n"/>
      <c r="M976" s="384" t="n"/>
      <c r="N976" s="384" t="n"/>
      <c r="O976" s="384" t="n"/>
      <c r="P976" s="384" t="n"/>
      <c r="Q976" s="384" t="n"/>
      <c r="R976" s="384" t="n"/>
      <c r="S976" s="384" t="n"/>
      <c r="T976" s="384" t="n"/>
      <c r="U976" s="384" t="n"/>
      <c r="V976" s="384" t="n"/>
      <c r="W976" s="384" t="n"/>
      <c r="X976" s="878">
        <f>IF(_epmOfflineCondition_,"I_E101347",EPMOlapMemberO("[C_INTERCO].[PARENTH1].[I_E101347]","","I_E101347","","000"))</f>
        <v/>
      </c>
      <c r="Y976" s="870">
        <f>IF(_epmOfflineCondition_,"宁波镇海锦能太阳能科技有限公司",EPMMemberDesc(X976))</f>
        <v/>
      </c>
      <c r="Z976" s="1302" t="n"/>
      <c r="AA976" s="1302" t="n"/>
      <c r="AB976" s="858" t="n"/>
      <c r="AC976" s="1302" t="n"/>
      <c r="AD976" s="1302" t="n"/>
      <c r="AE976" s="1302" t="inlineStr"/>
      <c r="AF976" s="1302" t="inlineStr"/>
      <c r="AG976" s="1302" t="inlineStr"/>
      <c r="AH976" s="1302" t="n"/>
      <c r="AI976" s="1302" t="n"/>
      <c r="AJ976" s="1302" t="n"/>
      <c r="AK976" s="1302">
        <f>AI976-AJ976</f>
        <v/>
      </c>
      <c r="AL976" s="858" t="n"/>
      <c r="AM976" s="1297" t="inlineStr"/>
      <c r="AN976" s="1298" t="n"/>
      <c r="AO976" s="13">
        <f>IF(_epmOfflineCondition_,0,EPMSaveDataOnly(AB976,,AB$29,AB$25,AB$26,AB$31,AB$32,$AA$37,AO$14,AO$15,AO$16,AO$17,AO$18,X976))</f>
        <v/>
      </c>
      <c r="AP976" s="13">
        <f>IF(_epmOfflineCondition_,0,EPMSaveDataOnly(AL976,,AL$29,AL$25,AL$26,AL$31,AL$32,$AA$37,AP$14,AP$15,AP$16,AP$17,AP$18,$X976))</f>
        <v/>
      </c>
      <c r="AQ976" s="13">
        <f>IF(_epmOfflineCondition_,0,EPMSaveData(AM976,,AM$29,AM$25,AM$26,$C$6,AM$32,$AA$37,AQ$14,AQ$15,AQ$16,AQ$17,AQ$18,$X976))</f>
        <v/>
      </c>
      <c r="AR976" s="13">
        <f>IF(_epmOfflineCondition_,0,EPMSaveDataOnly(AN976,,AN$29,AN$25,AN$26,AN$31,AN$32,$AA$37,AR$14,AR$15,AR$16,AR$17,AR$18,$X976))</f>
        <v/>
      </c>
      <c r="AS976" s="384" t="n"/>
    </row>
    <row r="977" hidden="1" s="1181">
      <c r="A977" s="384" t="n"/>
      <c r="B977" s="384" t="n"/>
      <c r="C977" s="384" t="n"/>
      <c r="D977" s="384" t="n"/>
      <c r="E977" s="384" t="n"/>
      <c r="F977" s="384" t="n"/>
      <c r="G977" s="384" t="n"/>
      <c r="H977" s="384" t="n"/>
      <c r="I977" s="384" t="n"/>
      <c r="J977" s="384" t="n"/>
      <c r="K977" s="384" t="n"/>
      <c r="L977" s="384" t="n"/>
      <c r="M977" s="384" t="n"/>
      <c r="N977" s="384" t="n"/>
      <c r="O977" s="384" t="n"/>
      <c r="P977" s="384" t="n"/>
      <c r="Q977" s="384" t="n"/>
      <c r="R977" s="384" t="n"/>
      <c r="S977" s="384" t="n"/>
      <c r="T977" s="384" t="n"/>
      <c r="U977" s="384" t="n"/>
      <c r="V977" s="384" t="n"/>
      <c r="W977" s="384" t="n"/>
      <c r="X977" s="878">
        <f>IF(_epmOfflineCondition_,"I_E101327",EPMOlapMemberO("[C_INTERCO].[PARENTH1].[I_E101327]","","I_E101327","","000"))</f>
        <v/>
      </c>
      <c r="Y977" s="870">
        <f>IF(_epmOfflineCondition_,"北京京能金海湖文旅发展有限公司",EPMMemberDesc(X977))</f>
        <v/>
      </c>
      <c r="Z977" s="1302" t="n"/>
      <c r="AA977" s="1302" t="n"/>
      <c r="AB977" s="858" t="n"/>
      <c r="AC977" s="1302" t="n"/>
      <c r="AD977" s="1302" t="n"/>
      <c r="AE977" s="1302" t="inlineStr"/>
      <c r="AF977" s="1302" t="inlineStr"/>
      <c r="AG977" s="1302" t="inlineStr"/>
      <c r="AH977" s="1302" t="n"/>
      <c r="AI977" s="1302" t="n"/>
      <c r="AJ977" s="1302" t="n"/>
      <c r="AK977" s="1302">
        <f>AI977-AJ977</f>
        <v/>
      </c>
      <c r="AL977" s="858" t="n"/>
      <c r="AM977" s="1297" t="inlineStr"/>
      <c r="AN977" s="1298" t="n"/>
      <c r="AO977" s="13">
        <f>IF(_epmOfflineCondition_,0,EPMSaveDataOnly(AB977,,AB$29,AB$25,AB$26,AB$31,AB$32,$AA$37,AO$14,AO$15,AO$16,AO$17,AO$18,X977))</f>
        <v/>
      </c>
      <c r="AP977" s="13">
        <f>IF(_epmOfflineCondition_,0,EPMSaveDataOnly(AL977,,AL$29,AL$25,AL$26,AL$31,AL$32,$AA$37,AP$14,AP$15,AP$16,AP$17,AP$18,$X977))</f>
        <v/>
      </c>
      <c r="AQ977" s="13">
        <f>IF(_epmOfflineCondition_,0,EPMSaveData(AM977,,AM$29,AM$25,AM$26,$C$6,AM$32,$AA$37,AQ$14,AQ$15,AQ$16,AQ$17,AQ$18,$X977))</f>
        <v/>
      </c>
      <c r="AR977" s="13">
        <f>IF(_epmOfflineCondition_,0,EPMSaveDataOnly(AN977,,AN$29,AN$25,AN$26,AN$31,AN$32,$AA$37,AR$14,AR$15,AR$16,AR$17,AR$18,$X977))</f>
        <v/>
      </c>
      <c r="AS977" s="384" t="n"/>
    </row>
    <row r="978" hidden="1" s="1181">
      <c r="A978" s="384" t="n"/>
      <c r="B978" s="384" t="n"/>
      <c r="C978" s="384" t="n"/>
      <c r="D978" s="384" t="n"/>
      <c r="E978" s="384" t="n"/>
      <c r="F978" s="384" t="n"/>
      <c r="G978" s="384" t="n"/>
      <c r="H978" s="384" t="n"/>
      <c r="I978" s="384" t="n"/>
      <c r="J978" s="384" t="n"/>
      <c r="K978" s="384" t="n"/>
      <c r="L978" s="384" t="n"/>
      <c r="M978" s="384" t="n"/>
      <c r="N978" s="384" t="n"/>
      <c r="O978" s="384" t="n"/>
      <c r="P978" s="384" t="n"/>
      <c r="Q978" s="384" t="n"/>
      <c r="R978" s="384" t="n"/>
      <c r="S978" s="384" t="n"/>
      <c r="T978" s="384" t="n"/>
      <c r="U978" s="384" t="n"/>
      <c r="V978" s="384" t="n"/>
      <c r="W978" s="384" t="n"/>
      <c r="X978" s="878">
        <f>IF(_epmOfflineCondition_,"I_E101343",EPMOlapMemberO("[C_INTERCO].[PARENTH1].[I_E101343]","","I_E101343","","000"))</f>
        <v/>
      </c>
      <c r="Y978" s="870">
        <f>IF(_epmOfflineCondition_,"北京山水金海湖旅游文化发展有限责任公司",EPMMemberDesc(X978))</f>
        <v/>
      </c>
      <c r="Z978" s="1302" t="n"/>
      <c r="AA978" s="1302" t="n"/>
      <c r="AB978" s="858" t="n"/>
      <c r="AC978" s="1302" t="n"/>
      <c r="AD978" s="1302" t="n"/>
      <c r="AE978" s="1302" t="inlineStr"/>
      <c r="AF978" s="1302" t="inlineStr"/>
      <c r="AG978" s="1302" t="inlineStr"/>
      <c r="AH978" s="1302" t="n"/>
      <c r="AI978" s="1302" t="n"/>
      <c r="AJ978" s="1302" t="n"/>
      <c r="AK978" s="1302">
        <f>AI978-AJ978</f>
        <v/>
      </c>
      <c r="AL978" s="858" t="n"/>
      <c r="AM978" s="1297" t="inlineStr"/>
      <c r="AN978" s="1298" t="n"/>
      <c r="AO978" s="13">
        <f>IF(_epmOfflineCondition_,0,EPMSaveDataOnly(AB978,,AB$29,AB$25,AB$26,AB$31,AB$32,$AA$37,AO$14,AO$15,AO$16,AO$17,AO$18,X978))</f>
        <v/>
      </c>
      <c r="AP978" s="13">
        <f>IF(_epmOfflineCondition_,0,EPMSaveDataOnly(AL978,,AL$29,AL$25,AL$26,AL$31,AL$32,$AA$37,AP$14,AP$15,AP$16,AP$17,AP$18,$X978))</f>
        <v/>
      </c>
      <c r="AQ978" s="13">
        <f>IF(_epmOfflineCondition_,0,EPMSaveData(AM978,,AM$29,AM$25,AM$26,$C$6,AM$32,$AA$37,AQ$14,AQ$15,AQ$16,AQ$17,AQ$18,$X978))</f>
        <v/>
      </c>
      <c r="AR978" s="13">
        <f>IF(_epmOfflineCondition_,0,EPMSaveDataOnly(AN978,,AN$29,AN$25,AN$26,AN$31,AN$32,$AA$37,AR$14,AR$15,AR$16,AR$17,AR$18,$X978))</f>
        <v/>
      </c>
      <c r="AS978" s="384" t="n"/>
    </row>
    <row r="979" hidden="1" s="1181">
      <c r="A979" s="384" t="n"/>
      <c r="B979" s="384" t="n"/>
      <c r="C979" s="384" t="n"/>
      <c r="D979" s="384" t="n"/>
      <c r="E979" s="384" t="n"/>
      <c r="F979" s="384" t="n"/>
      <c r="G979" s="384" t="n"/>
      <c r="H979" s="384" t="n"/>
      <c r="I979" s="384" t="n"/>
      <c r="J979" s="384" t="n"/>
      <c r="K979" s="384" t="n"/>
      <c r="L979" s="384" t="n"/>
      <c r="M979" s="384" t="n"/>
      <c r="N979" s="384" t="n"/>
      <c r="O979" s="384" t="n"/>
      <c r="P979" s="384" t="n"/>
      <c r="Q979" s="384" t="n"/>
      <c r="R979" s="384" t="n"/>
      <c r="S979" s="384" t="n"/>
      <c r="T979" s="384" t="n"/>
      <c r="U979" s="384" t="n"/>
      <c r="V979" s="384" t="n"/>
      <c r="W979" s="384" t="n"/>
      <c r="X979" s="878">
        <f>IF(_epmOfflineCondition_,"I_E101344",EPMOlapMemberO("[C_INTERCO].[PARENTH1].[I_E101344]","","I_E101344","","000"))</f>
        <v/>
      </c>
      <c r="Y979" s="870">
        <f>IF(_epmOfflineCondition_,"北京市天朗技贸有限公司",EPMMemberDesc(X979))</f>
        <v/>
      </c>
      <c r="Z979" s="1302" t="n"/>
      <c r="AA979" s="1302" t="n"/>
      <c r="AB979" s="858" t="n"/>
      <c r="AC979" s="1302" t="n"/>
      <c r="AD979" s="1302" t="n"/>
      <c r="AE979" s="1302" t="inlineStr"/>
      <c r="AF979" s="1302" t="inlineStr"/>
      <c r="AG979" s="1302" t="inlineStr"/>
      <c r="AH979" s="1302" t="n"/>
      <c r="AI979" s="1302" t="n"/>
      <c r="AJ979" s="1302" t="n"/>
      <c r="AK979" s="1302">
        <f>AI979-AJ979</f>
        <v/>
      </c>
      <c r="AL979" s="858" t="n"/>
      <c r="AM979" s="1297" t="inlineStr"/>
      <c r="AN979" s="1298" t="n"/>
      <c r="AO979" s="13">
        <f>IF(_epmOfflineCondition_,0,EPMSaveDataOnly(AB979,,AB$29,AB$25,AB$26,AB$31,AB$32,$AA$37,AO$14,AO$15,AO$16,AO$17,AO$18,X979))</f>
        <v/>
      </c>
      <c r="AP979" s="13">
        <f>IF(_epmOfflineCondition_,0,EPMSaveDataOnly(AL979,,AL$29,AL$25,AL$26,AL$31,AL$32,$AA$37,AP$14,AP$15,AP$16,AP$17,AP$18,$X979))</f>
        <v/>
      </c>
      <c r="AQ979" s="13">
        <f>IF(_epmOfflineCondition_,0,EPMSaveData(AM979,,AM$29,AM$25,AM$26,$C$6,AM$32,$AA$37,AQ$14,AQ$15,AQ$16,AQ$17,AQ$18,$X979))</f>
        <v/>
      </c>
      <c r="AR979" s="13">
        <f>IF(_epmOfflineCondition_,0,EPMSaveDataOnly(AN979,,AN$29,AN$25,AN$26,AN$31,AN$32,$AA$37,AR$14,AR$15,AR$16,AR$17,AR$18,$X979))</f>
        <v/>
      </c>
      <c r="AS979" s="384" t="n"/>
    </row>
    <row r="980" hidden="1" s="1181">
      <c r="A980" s="384" t="n"/>
      <c r="B980" s="384" t="n"/>
      <c r="C980" s="384" t="n"/>
      <c r="D980" s="384" t="n"/>
      <c r="E980" s="384" t="n"/>
      <c r="F980" s="384" t="n"/>
      <c r="G980" s="384" t="n"/>
      <c r="H980" s="384" t="n"/>
      <c r="I980" s="384" t="n"/>
      <c r="J980" s="384" t="n"/>
      <c r="K980" s="384" t="n"/>
      <c r="L980" s="384" t="n"/>
      <c r="M980" s="384" t="n"/>
      <c r="N980" s="384" t="n"/>
      <c r="O980" s="384" t="n"/>
      <c r="P980" s="384" t="n"/>
      <c r="Q980" s="384" t="n"/>
      <c r="R980" s="384" t="n"/>
      <c r="S980" s="384" t="n"/>
      <c r="T980" s="384" t="n"/>
      <c r="U980" s="384" t="n"/>
      <c r="V980" s="384" t="n"/>
      <c r="W980" s="384" t="n"/>
      <c r="X980" s="878">
        <f>IF(_epmOfflineCondition_,"I_E101349",EPMOlapMemberO("[C_INTERCO].[PARENTH1].[I_E101349]","","I_E101349","","000"))</f>
        <v/>
      </c>
      <c r="Y980" s="870">
        <f>IF(_epmOfflineCondition_,"北京京能氢安科技有限公司",EPMMemberDesc(X980))</f>
        <v/>
      </c>
      <c r="Z980" s="1302" t="n"/>
      <c r="AA980" s="1302" t="n"/>
      <c r="AB980" s="858" t="n"/>
      <c r="AC980" s="1302" t="n"/>
      <c r="AD980" s="1302" t="n"/>
      <c r="AE980" s="1302" t="inlineStr"/>
      <c r="AF980" s="1302" t="inlineStr"/>
      <c r="AG980" s="1302" t="inlineStr"/>
      <c r="AH980" s="1302" t="n"/>
      <c r="AI980" s="1302" t="n"/>
      <c r="AJ980" s="1302" t="n"/>
      <c r="AK980" s="1302">
        <f>AI980-AJ980</f>
        <v/>
      </c>
      <c r="AL980" s="858" t="n"/>
      <c r="AM980" s="1297" t="inlineStr"/>
      <c r="AN980" s="1298" t="n"/>
      <c r="AO980" s="13">
        <f>IF(_epmOfflineCondition_,0,EPMSaveDataOnly(AB980,,AB$29,AB$25,AB$26,AB$31,AB$32,$AA$37,AO$14,AO$15,AO$16,AO$17,AO$18,X980))</f>
        <v/>
      </c>
      <c r="AP980" s="13">
        <f>IF(_epmOfflineCondition_,0,EPMSaveDataOnly(AL980,,AL$29,AL$25,AL$26,AL$31,AL$32,$AA$37,AP$14,AP$15,AP$16,AP$17,AP$18,$X980))</f>
        <v/>
      </c>
      <c r="AQ980" s="13">
        <f>IF(_epmOfflineCondition_,0,EPMSaveData(AM980,,AM$29,AM$25,AM$26,$C$6,AM$32,$AA$37,AQ$14,AQ$15,AQ$16,AQ$17,AQ$18,$X980))</f>
        <v/>
      </c>
      <c r="AR980" s="13">
        <f>IF(_epmOfflineCondition_,0,EPMSaveDataOnly(AN980,,AN$29,AN$25,AN$26,AN$31,AN$32,$AA$37,AR$14,AR$15,AR$16,AR$17,AR$18,$X980))</f>
        <v/>
      </c>
      <c r="AS980" s="384" t="n"/>
    </row>
    <row r="981" hidden="1" s="1181">
      <c r="A981" s="384" t="n"/>
      <c r="B981" s="384" t="n"/>
      <c r="C981" s="384" t="n"/>
      <c r="D981" s="384" t="n"/>
      <c r="E981" s="384" t="n"/>
      <c r="F981" s="384" t="n"/>
      <c r="G981" s="384" t="n"/>
      <c r="H981" s="384" t="n"/>
      <c r="I981" s="384" t="n"/>
      <c r="J981" s="384" t="n"/>
      <c r="K981" s="384" t="n"/>
      <c r="L981" s="384" t="n"/>
      <c r="M981" s="384" t="n"/>
      <c r="N981" s="384" t="n"/>
      <c r="O981" s="384" t="n"/>
      <c r="P981" s="384" t="n"/>
      <c r="Q981" s="384" t="n"/>
      <c r="R981" s="384" t="n"/>
      <c r="S981" s="384" t="n"/>
      <c r="T981" s="384" t="n"/>
      <c r="U981" s="384" t="n"/>
      <c r="V981" s="384" t="n"/>
      <c r="W981" s="384" t="n"/>
      <c r="X981" s="878">
        <f>IF(_epmOfflineCondition_,"I_E101348",EPMOlapMemberO("[C_INTERCO].[PARENTH1].[I_E101348]","","I_E101348","","000"))</f>
        <v/>
      </c>
      <c r="Y981" s="870">
        <f>IF(_epmOfflineCondition_,"托克逊京能氢宇新能源有限公司",EPMMemberDesc(X981))</f>
        <v/>
      </c>
      <c r="Z981" s="1302" t="n"/>
      <c r="AA981" s="1302" t="n"/>
      <c r="AB981" s="858" t="n"/>
      <c r="AC981" s="1302" t="n"/>
      <c r="AD981" s="1302" t="n"/>
      <c r="AE981" s="1302" t="inlineStr"/>
      <c r="AF981" s="1302" t="inlineStr"/>
      <c r="AG981" s="1302" t="inlineStr"/>
      <c r="AH981" s="1302" t="n"/>
      <c r="AI981" s="1302" t="n"/>
      <c r="AJ981" s="1302" t="n"/>
      <c r="AK981" s="1302">
        <f>AI981-AJ981</f>
        <v/>
      </c>
      <c r="AL981" s="858" t="n"/>
      <c r="AM981" s="1297" t="inlineStr"/>
      <c r="AN981" s="1298" t="n"/>
      <c r="AO981" s="13">
        <f>IF(_epmOfflineCondition_,0,EPMSaveDataOnly(AB981,,AB$29,AB$25,AB$26,AB$31,AB$32,$AA$37,AO$14,AO$15,AO$16,AO$17,AO$18,X981))</f>
        <v/>
      </c>
      <c r="AP981" s="13">
        <f>IF(_epmOfflineCondition_,0,EPMSaveDataOnly(AL981,,AL$29,AL$25,AL$26,AL$31,AL$32,$AA$37,AP$14,AP$15,AP$16,AP$17,AP$18,$X981))</f>
        <v/>
      </c>
      <c r="AQ981" s="13">
        <f>IF(_epmOfflineCondition_,0,EPMSaveData(AM981,,AM$29,AM$25,AM$26,$C$6,AM$32,$AA$37,AQ$14,AQ$15,AQ$16,AQ$17,AQ$18,$X981))</f>
        <v/>
      </c>
      <c r="AR981" s="13">
        <f>IF(_epmOfflineCondition_,0,EPMSaveDataOnly(AN981,,AN$29,AN$25,AN$26,AN$31,AN$32,$AA$37,AR$14,AR$15,AR$16,AR$17,AR$18,$X981))</f>
        <v/>
      </c>
      <c r="AS981" s="384" t="n"/>
    </row>
    <row r="982" hidden="1" s="1181">
      <c r="A982" s="384" t="n"/>
      <c r="B982" s="384" t="n"/>
      <c r="C982" s="384" t="n"/>
      <c r="D982" s="384" t="n"/>
      <c r="E982" s="384" t="n"/>
      <c r="F982" s="384" t="n"/>
      <c r="G982" s="384" t="n"/>
      <c r="H982" s="384" t="n"/>
      <c r="I982" s="384" t="n"/>
      <c r="J982" s="384" t="n"/>
      <c r="K982" s="384" t="n"/>
      <c r="L982" s="384" t="n"/>
      <c r="M982" s="384" t="n"/>
      <c r="N982" s="384" t="n"/>
      <c r="O982" s="384" t="n"/>
      <c r="P982" s="384" t="n"/>
      <c r="Q982" s="384" t="n"/>
      <c r="R982" s="384" t="n"/>
      <c r="S982" s="384" t="n"/>
      <c r="T982" s="384" t="n"/>
      <c r="U982" s="384" t="n"/>
      <c r="V982" s="384" t="n"/>
      <c r="W982" s="384" t="n"/>
      <c r="X982" s="878">
        <f>IF(_epmOfflineCondition_,"I_E101350",EPMOlapMemberO("[C_INTERCO].[PARENTH1].[I_E101350]","","I_E101350","","000"))</f>
        <v/>
      </c>
      <c r="Y982" s="870">
        <f>IF(_epmOfflineCondition_,"海盐鸿禧电力有限公司",EPMMemberDesc(X982))</f>
        <v/>
      </c>
      <c r="Z982" s="1302" t="n"/>
      <c r="AA982" s="1302" t="n"/>
      <c r="AB982" s="858" t="n"/>
      <c r="AC982" s="1302" t="n"/>
      <c r="AD982" s="1302" t="n"/>
      <c r="AE982" s="1302" t="inlineStr"/>
      <c r="AF982" s="1302" t="inlineStr"/>
      <c r="AG982" s="1302" t="inlineStr"/>
      <c r="AH982" s="1302" t="n"/>
      <c r="AI982" s="1302" t="n"/>
      <c r="AJ982" s="1302" t="n"/>
      <c r="AK982" s="1302">
        <f>AI982-AJ982</f>
        <v/>
      </c>
      <c r="AL982" s="858" t="n"/>
      <c r="AM982" s="1297" t="inlineStr"/>
      <c r="AN982" s="1298" t="n"/>
      <c r="AO982" s="13">
        <f>IF(_epmOfflineCondition_,0,EPMSaveDataOnly(AB982,,AB$29,AB$25,AB$26,AB$31,AB$32,$AA$37,AO$14,AO$15,AO$16,AO$17,AO$18,X982))</f>
        <v/>
      </c>
      <c r="AP982" s="13">
        <f>IF(_epmOfflineCondition_,0,EPMSaveDataOnly(AL982,,AL$29,AL$25,AL$26,AL$31,AL$32,$AA$37,AP$14,AP$15,AP$16,AP$17,AP$18,$X982))</f>
        <v/>
      </c>
      <c r="AQ982" s="13">
        <f>IF(_epmOfflineCondition_,0,EPMSaveData(AM982,,AM$29,AM$25,AM$26,$C$6,AM$32,$AA$37,AQ$14,AQ$15,AQ$16,AQ$17,AQ$18,$X982))</f>
        <v/>
      </c>
      <c r="AR982" s="13">
        <f>IF(_epmOfflineCondition_,0,EPMSaveDataOnly(AN982,,AN$29,AN$25,AN$26,AN$31,AN$32,$AA$37,AR$14,AR$15,AR$16,AR$17,AR$18,$X982))</f>
        <v/>
      </c>
      <c r="AS982" s="384" t="n"/>
    </row>
    <row r="983" hidden="1" s="1181">
      <c r="A983" s="384" t="n"/>
      <c r="B983" s="384" t="n"/>
      <c r="C983" s="384" t="n"/>
      <c r="D983" s="384" t="n"/>
      <c r="E983" s="384" t="n"/>
      <c r="F983" s="384" t="n"/>
      <c r="G983" s="384" t="n"/>
      <c r="H983" s="384" t="n"/>
      <c r="I983" s="384" t="n"/>
      <c r="J983" s="384" t="n"/>
      <c r="K983" s="384" t="n"/>
      <c r="L983" s="384" t="n"/>
      <c r="M983" s="384" t="n"/>
      <c r="N983" s="384" t="n"/>
      <c r="O983" s="384" t="n"/>
      <c r="P983" s="384" t="n"/>
      <c r="Q983" s="384" t="n"/>
      <c r="R983" s="384" t="n"/>
      <c r="S983" s="384" t="n"/>
      <c r="T983" s="384" t="n"/>
      <c r="U983" s="384" t="n"/>
      <c r="V983" s="384" t="n"/>
      <c r="W983" s="384" t="n"/>
      <c r="X983" s="878">
        <f>IF(_epmOfflineCondition_,"I_E101351",EPMOlapMemberO("[C_INTERCO].[PARENTH1].[I_E101351]","","I_E101351","","000"))</f>
        <v/>
      </c>
      <c r="Y983" s="870">
        <f>IF(_epmOfflineCondition_,"海盐鸿旺电力有限责任公司",EPMMemberDesc(X983))</f>
        <v/>
      </c>
      <c r="Z983" s="1302" t="n"/>
      <c r="AA983" s="1302" t="n"/>
      <c r="AB983" s="858" t="n"/>
      <c r="AC983" s="1302" t="n"/>
      <c r="AD983" s="1302" t="n"/>
      <c r="AE983" s="1302" t="inlineStr"/>
      <c r="AF983" s="1302" t="inlineStr"/>
      <c r="AG983" s="1302" t="inlineStr"/>
      <c r="AH983" s="1302" t="n"/>
      <c r="AI983" s="1302" t="n"/>
      <c r="AJ983" s="1302" t="n"/>
      <c r="AK983" s="1302">
        <f>AI983-AJ983</f>
        <v/>
      </c>
      <c r="AL983" s="858" t="n"/>
      <c r="AM983" s="1297" t="inlineStr"/>
      <c r="AN983" s="1298" t="n"/>
      <c r="AO983" s="13">
        <f>IF(_epmOfflineCondition_,0,EPMSaveDataOnly(AB983,,AB$29,AB$25,AB$26,AB$31,AB$32,$AA$37,AO$14,AO$15,AO$16,AO$17,AO$18,X983))</f>
        <v/>
      </c>
      <c r="AP983" s="13">
        <f>IF(_epmOfflineCondition_,0,EPMSaveDataOnly(AL983,,AL$29,AL$25,AL$26,AL$31,AL$32,$AA$37,AP$14,AP$15,AP$16,AP$17,AP$18,$X983))</f>
        <v/>
      </c>
      <c r="AQ983" s="13">
        <f>IF(_epmOfflineCondition_,0,EPMSaveData(AM983,,AM$29,AM$25,AM$26,$C$6,AM$32,$AA$37,AQ$14,AQ$15,AQ$16,AQ$17,AQ$18,$X983))</f>
        <v/>
      </c>
      <c r="AR983" s="13">
        <f>IF(_epmOfflineCondition_,0,EPMSaveDataOnly(AN983,,AN$29,AN$25,AN$26,AN$31,AN$32,$AA$37,AR$14,AR$15,AR$16,AR$17,AR$18,$X983))</f>
        <v/>
      </c>
      <c r="AS983" s="384" t="n"/>
    </row>
    <row r="984" hidden="1" s="1181">
      <c r="A984" s="384" t="n"/>
      <c r="B984" s="384" t="n"/>
      <c r="C984" s="384" t="n"/>
      <c r="D984" s="384" t="n"/>
      <c r="E984" s="384" t="n"/>
      <c r="F984" s="384" t="n"/>
      <c r="G984" s="384" t="n"/>
      <c r="H984" s="384" t="n"/>
      <c r="I984" s="384" t="n"/>
      <c r="J984" s="384" t="n"/>
      <c r="K984" s="384" t="n"/>
      <c r="L984" s="384" t="n"/>
      <c r="M984" s="384" t="n"/>
      <c r="N984" s="384" t="n"/>
      <c r="O984" s="384" t="n"/>
      <c r="P984" s="384" t="n"/>
      <c r="Q984" s="384" t="n"/>
      <c r="R984" s="384" t="n"/>
      <c r="S984" s="384" t="n"/>
      <c r="T984" s="384" t="n"/>
      <c r="U984" s="384" t="n"/>
      <c r="V984" s="384" t="n"/>
      <c r="W984" s="384" t="n"/>
      <c r="X984" s="878">
        <f>IF(_epmOfflineCondition_,"I_E101352",EPMOlapMemberO("[C_INTERCO].[PARENTH1].[I_E101352]","","I_E101352","","000"))</f>
        <v/>
      </c>
      <c r="Y984" s="870">
        <f>IF(_epmOfflineCondition_,"金华鸿禧电力有限公司",EPMMemberDesc(X984))</f>
        <v/>
      </c>
      <c r="Z984" s="1302" t="n"/>
      <c r="AA984" s="1302" t="n"/>
      <c r="AB984" s="858" t="n"/>
      <c r="AC984" s="1302" t="n"/>
      <c r="AD984" s="1302" t="n"/>
      <c r="AE984" s="1302" t="inlineStr"/>
      <c r="AF984" s="1302" t="inlineStr"/>
      <c r="AG984" s="1302" t="inlineStr"/>
      <c r="AH984" s="1302" t="n"/>
      <c r="AI984" s="1302" t="n"/>
      <c r="AJ984" s="1302" t="n"/>
      <c r="AK984" s="1302">
        <f>AI984-AJ984</f>
        <v/>
      </c>
      <c r="AL984" s="858" t="n"/>
      <c r="AM984" s="1297" t="inlineStr"/>
      <c r="AN984" s="1298" t="n"/>
      <c r="AO984" s="13">
        <f>IF(_epmOfflineCondition_,0,EPMSaveDataOnly(AB984,,AB$29,AB$25,AB$26,AB$31,AB$32,$AA$37,AO$14,AO$15,AO$16,AO$17,AO$18,X984))</f>
        <v/>
      </c>
      <c r="AP984" s="13">
        <f>IF(_epmOfflineCondition_,0,EPMSaveDataOnly(AL984,,AL$29,AL$25,AL$26,AL$31,AL$32,$AA$37,AP$14,AP$15,AP$16,AP$17,AP$18,$X984))</f>
        <v/>
      </c>
      <c r="AQ984" s="13">
        <f>IF(_epmOfflineCondition_,0,EPMSaveData(AM984,,AM$29,AM$25,AM$26,$C$6,AM$32,$AA$37,AQ$14,AQ$15,AQ$16,AQ$17,AQ$18,$X984))</f>
        <v/>
      </c>
      <c r="AR984" s="13">
        <f>IF(_epmOfflineCondition_,0,EPMSaveDataOnly(AN984,,AN$29,AN$25,AN$26,AN$31,AN$32,$AA$37,AR$14,AR$15,AR$16,AR$17,AR$18,$X984))</f>
        <v/>
      </c>
      <c r="AS984" s="384" t="n"/>
    </row>
    <row r="985" hidden="1" s="1181">
      <c r="A985" s="384" t="n"/>
      <c r="B985" s="384" t="n"/>
      <c r="C985" s="384" t="n"/>
      <c r="D985" s="384" t="n"/>
      <c r="E985" s="384" t="n"/>
      <c r="F985" s="384" t="n"/>
      <c r="G985" s="384" t="n"/>
      <c r="H985" s="384" t="n"/>
      <c r="I985" s="384" t="n"/>
      <c r="J985" s="384" t="n"/>
      <c r="K985" s="384" t="n"/>
      <c r="L985" s="384" t="n"/>
      <c r="M985" s="384" t="n"/>
      <c r="N985" s="384" t="n"/>
      <c r="O985" s="384" t="n"/>
      <c r="P985" s="384" t="n"/>
      <c r="Q985" s="384" t="n"/>
      <c r="R985" s="384" t="n"/>
      <c r="S985" s="384" t="n"/>
      <c r="T985" s="384" t="n"/>
      <c r="U985" s="384" t="n"/>
      <c r="V985" s="384" t="n"/>
      <c r="W985" s="384" t="n"/>
      <c r="X985" s="878">
        <f>IF(_epmOfflineCondition_,"I_E101355",EPMOlapMemberO("[C_INTERCO].[PARENTH1].[I_E101355]","","I_E101355","","000"))</f>
        <v/>
      </c>
      <c r="Y985" s="870">
        <f>IF(_epmOfflineCondition_,"常州市允民新能源有限公司",EPMMemberDesc(X985))</f>
        <v/>
      </c>
      <c r="Z985" s="1302" t="n"/>
      <c r="AA985" s="1302" t="n"/>
      <c r="AB985" s="858" t="n"/>
      <c r="AC985" s="1302" t="n"/>
      <c r="AD985" s="1302" t="n"/>
      <c r="AE985" s="1302" t="inlineStr"/>
      <c r="AF985" s="1302" t="inlineStr"/>
      <c r="AG985" s="1302" t="inlineStr"/>
      <c r="AH985" s="1302" t="n"/>
      <c r="AI985" s="1302" t="n"/>
      <c r="AJ985" s="1302" t="n"/>
      <c r="AK985" s="1302">
        <f>AI985-AJ985</f>
        <v/>
      </c>
      <c r="AL985" s="858" t="n"/>
      <c r="AM985" s="1297" t="inlineStr"/>
      <c r="AN985" s="1298" t="n"/>
      <c r="AO985" s="13">
        <f>IF(_epmOfflineCondition_,0,EPMSaveDataOnly(AB985,,AB$29,AB$25,AB$26,AB$31,AB$32,$AA$37,AO$14,AO$15,AO$16,AO$17,AO$18,X985))</f>
        <v/>
      </c>
      <c r="AP985" s="13">
        <f>IF(_epmOfflineCondition_,0,EPMSaveDataOnly(AL985,,AL$29,AL$25,AL$26,AL$31,AL$32,$AA$37,AP$14,AP$15,AP$16,AP$17,AP$18,$X985))</f>
        <v/>
      </c>
      <c r="AQ985" s="13">
        <f>IF(_epmOfflineCondition_,0,EPMSaveData(AM985,,AM$29,AM$25,AM$26,$C$6,AM$32,$AA$37,AQ$14,AQ$15,AQ$16,AQ$17,AQ$18,$X985))</f>
        <v/>
      </c>
      <c r="AR985" s="13">
        <f>IF(_epmOfflineCondition_,0,EPMSaveDataOnly(AN985,,AN$29,AN$25,AN$26,AN$31,AN$32,$AA$37,AR$14,AR$15,AR$16,AR$17,AR$18,$X985))</f>
        <v/>
      </c>
      <c r="AS985" s="384" t="n"/>
    </row>
    <row r="986" hidden="1" s="1181">
      <c r="A986" s="384" t="n"/>
      <c r="B986" s="384" t="n"/>
      <c r="C986" s="384" t="n"/>
      <c r="D986" s="384" t="n"/>
      <c r="E986" s="384" t="n"/>
      <c r="F986" s="384" t="n"/>
      <c r="G986" s="384" t="n"/>
      <c r="H986" s="384" t="n"/>
      <c r="I986" s="384" t="n"/>
      <c r="J986" s="384" t="n"/>
      <c r="K986" s="384" t="n"/>
      <c r="L986" s="384" t="n"/>
      <c r="M986" s="384" t="n"/>
      <c r="N986" s="384" t="n"/>
      <c r="O986" s="384" t="n"/>
      <c r="P986" s="384" t="n"/>
      <c r="Q986" s="384" t="n"/>
      <c r="R986" s="384" t="n"/>
      <c r="S986" s="384" t="n"/>
      <c r="T986" s="384" t="n"/>
      <c r="U986" s="384" t="n"/>
      <c r="V986" s="384" t="n"/>
      <c r="W986" s="384" t="n"/>
      <c r="X986" s="878">
        <f>IF(_epmOfflineCondition_,"I_E101356",EPMOlapMemberO("[C_INTERCO].[PARENTH1].[I_E101356]","","I_E101356","","000"))</f>
        <v/>
      </c>
      <c r="Y986" s="870">
        <f>IF(_epmOfflineCondition_,"靖江市新合新能源有限公司",EPMMemberDesc(X986))</f>
        <v/>
      </c>
      <c r="Z986" s="1302" t="n"/>
      <c r="AA986" s="1302" t="n"/>
      <c r="AB986" s="858" t="n"/>
      <c r="AC986" s="1302" t="n"/>
      <c r="AD986" s="1302" t="n"/>
      <c r="AE986" s="1302" t="inlineStr"/>
      <c r="AF986" s="1302" t="inlineStr"/>
      <c r="AG986" s="1302" t="inlineStr"/>
      <c r="AH986" s="1302" t="n"/>
      <c r="AI986" s="1302" t="n"/>
      <c r="AJ986" s="1302" t="n"/>
      <c r="AK986" s="1302">
        <f>AI986-AJ986</f>
        <v/>
      </c>
      <c r="AL986" s="858" t="n"/>
      <c r="AM986" s="1297" t="inlineStr"/>
      <c r="AN986" s="1298" t="n"/>
      <c r="AO986" s="13">
        <f>IF(_epmOfflineCondition_,0,EPMSaveDataOnly(AB986,,AB$29,AB$25,AB$26,AB$31,AB$32,$AA$37,AO$14,AO$15,AO$16,AO$17,AO$18,X986))</f>
        <v/>
      </c>
      <c r="AP986" s="13">
        <f>IF(_epmOfflineCondition_,0,EPMSaveDataOnly(AL986,,AL$29,AL$25,AL$26,AL$31,AL$32,$AA$37,AP$14,AP$15,AP$16,AP$17,AP$18,$X986))</f>
        <v/>
      </c>
      <c r="AQ986" s="13">
        <f>IF(_epmOfflineCondition_,0,EPMSaveData(AM986,,AM$29,AM$25,AM$26,$C$6,AM$32,$AA$37,AQ$14,AQ$15,AQ$16,AQ$17,AQ$18,$X986))</f>
        <v/>
      </c>
      <c r="AR986" s="13">
        <f>IF(_epmOfflineCondition_,0,EPMSaveDataOnly(AN986,,AN$29,AN$25,AN$26,AN$31,AN$32,$AA$37,AR$14,AR$15,AR$16,AR$17,AR$18,$X986))</f>
        <v/>
      </c>
      <c r="AS986" s="384" t="n"/>
    </row>
    <row r="987" hidden="1" s="1181">
      <c r="A987" s="384" t="n"/>
      <c r="B987" s="384" t="n"/>
      <c r="C987" s="384" t="n"/>
      <c r="D987" s="384" t="n"/>
      <c r="E987" s="384" t="n"/>
      <c r="F987" s="384" t="n"/>
      <c r="G987" s="384" t="n"/>
      <c r="H987" s="384" t="n"/>
      <c r="I987" s="384" t="n"/>
      <c r="J987" s="384" t="n"/>
      <c r="K987" s="384" t="n"/>
      <c r="L987" s="384" t="n"/>
      <c r="M987" s="384" t="n"/>
      <c r="N987" s="384" t="n"/>
      <c r="O987" s="384" t="n"/>
      <c r="P987" s="384" t="n"/>
      <c r="Q987" s="384" t="n"/>
      <c r="R987" s="384" t="n"/>
      <c r="S987" s="384" t="n"/>
      <c r="T987" s="384" t="n"/>
      <c r="U987" s="384" t="n"/>
      <c r="V987" s="384" t="n"/>
      <c r="W987" s="384" t="n"/>
      <c r="X987" s="878">
        <f>IF(_epmOfflineCondition_,"I_E101353",EPMOlapMemberO("[C_INTERCO].[PARENTH1].[I_E101353]","","I_E101353","","000"))</f>
        <v/>
      </c>
      <c r="Y987" s="870">
        <f>IF(_epmOfflineCondition_,"如东晟能能源有限公司",EPMMemberDesc(X987))</f>
        <v/>
      </c>
      <c r="Z987" s="1302" t="n"/>
      <c r="AA987" s="1302" t="n"/>
      <c r="AB987" s="858" t="n"/>
      <c r="AC987" s="1302" t="n"/>
      <c r="AD987" s="1302" t="n"/>
      <c r="AE987" s="1302" t="inlineStr"/>
      <c r="AF987" s="1302" t="inlineStr"/>
      <c r="AG987" s="1302" t="inlineStr"/>
      <c r="AH987" s="1302" t="n"/>
      <c r="AI987" s="1302" t="n"/>
      <c r="AJ987" s="1302" t="n"/>
      <c r="AK987" s="1302">
        <f>AI987-AJ987</f>
        <v/>
      </c>
      <c r="AL987" s="858" t="n"/>
      <c r="AM987" s="1297" t="inlineStr"/>
      <c r="AN987" s="1298" t="n"/>
      <c r="AO987" s="13">
        <f>IF(_epmOfflineCondition_,0,EPMSaveDataOnly(AB987,,AB$29,AB$25,AB$26,AB$31,AB$32,$AA$37,AO$14,AO$15,AO$16,AO$17,AO$18,X987))</f>
        <v/>
      </c>
      <c r="AP987" s="13">
        <f>IF(_epmOfflineCondition_,0,EPMSaveDataOnly(AL987,,AL$29,AL$25,AL$26,AL$31,AL$32,$AA$37,AP$14,AP$15,AP$16,AP$17,AP$18,$X987))</f>
        <v/>
      </c>
      <c r="AQ987" s="13">
        <f>IF(_epmOfflineCondition_,0,EPMSaveData(AM987,,AM$29,AM$25,AM$26,$C$6,AM$32,$AA$37,AQ$14,AQ$15,AQ$16,AQ$17,AQ$18,$X987))</f>
        <v/>
      </c>
      <c r="AR987" s="13">
        <f>IF(_epmOfflineCondition_,0,EPMSaveDataOnly(AN987,,AN$29,AN$25,AN$26,AN$31,AN$32,$AA$37,AR$14,AR$15,AR$16,AR$17,AR$18,$X987))</f>
        <v/>
      </c>
      <c r="AS987" s="384" t="n"/>
    </row>
    <row r="988" hidden="1" s="1181">
      <c r="A988" s="384" t="n"/>
      <c r="B988" s="384" t="n"/>
      <c r="C988" s="384" t="n"/>
      <c r="D988" s="384" t="n"/>
      <c r="E988" s="384" t="n"/>
      <c r="F988" s="384" t="n"/>
      <c r="G988" s="384" t="n"/>
      <c r="H988" s="384" t="n"/>
      <c r="I988" s="384" t="n"/>
      <c r="J988" s="384" t="n"/>
      <c r="K988" s="384" t="n"/>
      <c r="L988" s="384" t="n"/>
      <c r="M988" s="384" t="n"/>
      <c r="N988" s="384" t="n"/>
      <c r="O988" s="384" t="n"/>
      <c r="P988" s="384" t="n"/>
      <c r="Q988" s="384" t="n"/>
      <c r="R988" s="384" t="n"/>
      <c r="S988" s="384" t="n"/>
      <c r="T988" s="384" t="n"/>
      <c r="U988" s="384" t="n"/>
      <c r="V988" s="384" t="n"/>
      <c r="W988" s="384" t="n"/>
      <c r="X988" s="878">
        <f>IF(_epmOfflineCondition_,"I_E101354",EPMOlapMemberO("[C_INTERCO].[PARENTH1].[I_E101354]","","I_E101354","","000"))</f>
        <v/>
      </c>
      <c r="Y988" s="870">
        <f>IF(_epmOfflineCondition_,"淮安合淮储能科技有限公司",EPMMemberDesc(X988))</f>
        <v/>
      </c>
      <c r="Z988" s="1302" t="n"/>
      <c r="AA988" s="1302" t="n"/>
      <c r="AB988" s="858" t="n"/>
      <c r="AC988" s="1302" t="n"/>
      <c r="AD988" s="1302" t="n"/>
      <c r="AE988" s="1302" t="inlineStr"/>
      <c r="AF988" s="1302" t="inlineStr"/>
      <c r="AG988" s="1302" t="inlineStr"/>
      <c r="AH988" s="1302" t="n"/>
      <c r="AI988" s="1302" t="n"/>
      <c r="AJ988" s="1302" t="n"/>
      <c r="AK988" s="1302">
        <f>AI988-AJ988</f>
        <v/>
      </c>
      <c r="AL988" s="858" t="n"/>
      <c r="AM988" s="1297" t="inlineStr"/>
      <c r="AN988" s="1298" t="n"/>
      <c r="AO988" s="13">
        <f>IF(_epmOfflineCondition_,0,EPMSaveDataOnly(AB988,,AB$29,AB$25,AB$26,AB$31,AB$32,$AA$37,AO$14,AO$15,AO$16,AO$17,AO$18,X988))</f>
        <v/>
      </c>
      <c r="AP988" s="13">
        <f>IF(_epmOfflineCondition_,0,EPMSaveDataOnly(AL988,,AL$29,AL$25,AL$26,AL$31,AL$32,$AA$37,AP$14,AP$15,AP$16,AP$17,AP$18,$X988))</f>
        <v/>
      </c>
      <c r="AQ988" s="13">
        <f>IF(_epmOfflineCondition_,0,EPMSaveData(AM988,,AM$29,AM$25,AM$26,$C$6,AM$32,$AA$37,AQ$14,AQ$15,AQ$16,AQ$17,AQ$18,$X988))</f>
        <v/>
      </c>
      <c r="AR988" s="13">
        <f>IF(_epmOfflineCondition_,0,EPMSaveDataOnly(AN988,,AN$29,AN$25,AN$26,AN$31,AN$32,$AA$37,AR$14,AR$15,AR$16,AR$17,AR$18,$X988))</f>
        <v/>
      </c>
      <c r="AS988" s="384" t="n"/>
    </row>
    <row r="989" hidden="1" s="1181">
      <c r="A989" s="384" t="n"/>
      <c r="B989" s="384" t="n"/>
      <c r="C989" s="384" t="n"/>
      <c r="D989" s="384" t="n"/>
      <c r="E989" s="384" t="n"/>
      <c r="F989" s="384" t="n"/>
      <c r="G989" s="384" t="n"/>
      <c r="H989" s="384" t="n"/>
      <c r="I989" s="384" t="n"/>
      <c r="J989" s="384" t="n"/>
      <c r="K989" s="384" t="n"/>
      <c r="L989" s="384" t="n"/>
      <c r="M989" s="384" t="n"/>
      <c r="N989" s="384" t="n"/>
      <c r="O989" s="384" t="n"/>
      <c r="P989" s="384" t="n"/>
      <c r="Q989" s="384" t="n"/>
      <c r="R989" s="384" t="n"/>
      <c r="S989" s="384" t="n"/>
      <c r="T989" s="384" t="n"/>
      <c r="U989" s="384" t="n"/>
      <c r="V989" s="384" t="n"/>
      <c r="W989" s="384" t="n"/>
      <c r="X989" s="878">
        <f>IF(_epmOfflineCondition_,"I_E101360",EPMOlapMemberO("[C_INTERCO].[PARENTH1].[I_E101360]","","I_E101360","","000"))</f>
        <v/>
      </c>
      <c r="Y989" s="870">
        <f>IF(_epmOfflineCondition_,"西安明眸广晟发电有限公司",EPMMemberDesc(X989))</f>
        <v/>
      </c>
      <c r="Z989" s="1302" t="n"/>
      <c r="AA989" s="1302" t="n"/>
      <c r="AB989" s="858" t="n"/>
      <c r="AC989" s="1302" t="n"/>
      <c r="AD989" s="1302" t="n"/>
      <c r="AE989" s="1302" t="inlineStr"/>
      <c r="AF989" s="1302" t="inlineStr"/>
      <c r="AG989" s="1302" t="inlineStr"/>
      <c r="AH989" s="1302" t="n"/>
      <c r="AI989" s="1302" t="n"/>
      <c r="AJ989" s="1302" t="n"/>
      <c r="AK989" s="1302">
        <f>AI989-AJ989</f>
        <v/>
      </c>
      <c r="AL989" s="858" t="n"/>
      <c r="AM989" s="1297" t="inlineStr"/>
      <c r="AN989" s="1298" t="n"/>
      <c r="AO989" s="13">
        <f>IF(_epmOfflineCondition_,0,EPMSaveDataOnly(AB989,,AB$29,AB$25,AB$26,AB$31,AB$32,$AA$37,AO$14,AO$15,AO$16,AO$17,AO$18,X989))</f>
        <v/>
      </c>
      <c r="AP989" s="13">
        <f>IF(_epmOfflineCondition_,0,EPMSaveDataOnly(AL989,,AL$29,AL$25,AL$26,AL$31,AL$32,$AA$37,AP$14,AP$15,AP$16,AP$17,AP$18,$X989))</f>
        <v/>
      </c>
      <c r="AQ989" s="13">
        <f>IF(_epmOfflineCondition_,0,EPMSaveData(AM989,,AM$29,AM$25,AM$26,$C$6,AM$32,$AA$37,AQ$14,AQ$15,AQ$16,AQ$17,AQ$18,$X989))</f>
        <v/>
      </c>
      <c r="AR989" s="13">
        <f>IF(_epmOfflineCondition_,0,EPMSaveDataOnly(AN989,,AN$29,AN$25,AN$26,AN$31,AN$32,$AA$37,AR$14,AR$15,AR$16,AR$17,AR$18,$X989))</f>
        <v/>
      </c>
      <c r="AS989" s="384" t="n"/>
    </row>
    <row r="990" hidden="1" s="1181">
      <c r="A990" s="384" t="n"/>
      <c r="B990" s="384" t="n"/>
      <c r="C990" s="384" t="n"/>
      <c r="D990" s="384" t="n"/>
      <c r="E990" s="384" t="n"/>
      <c r="F990" s="384" t="n"/>
      <c r="G990" s="384" t="n"/>
      <c r="H990" s="384" t="n"/>
      <c r="I990" s="384" t="n"/>
      <c r="J990" s="384" t="n"/>
      <c r="K990" s="384" t="n"/>
      <c r="L990" s="384" t="n"/>
      <c r="M990" s="384" t="n"/>
      <c r="N990" s="384" t="n"/>
      <c r="O990" s="384" t="n"/>
      <c r="P990" s="384" t="n"/>
      <c r="Q990" s="384" t="n"/>
      <c r="R990" s="384" t="n"/>
      <c r="S990" s="384" t="n"/>
      <c r="T990" s="384" t="n"/>
      <c r="U990" s="384" t="n"/>
      <c r="V990" s="384" t="n"/>
      <c r="W990" s="384" t="n"/>
      <c r="X990" s="878">
        <f>IF(_epmOfflineCondition_,"I_E101361",EPMOlapMemberO("[C_INTERCO].[PARENTH1].[I_E101361]","","I_E101361","","000"))</f>
        <v/>
      </c>
      <c r="Y990" s="870">
        <f>IF(_epmOfflineCondition_,"东至县以利新能源发电有限公司",EPMMemberDesc(X990))</f>
        <v/>
      </c>
      <c r="Z990" s="1302" t="n"/>
      <c r="AA990" s="1302" t="n"/>
      <c r="AB990" s="858" t="n"/>
      <c r="AC990" s="1302" t="n"/>
      <c r="AD990" s="1302" t="n"/>
      <c r="AE990" s="1302" t="inlineStr"/>
      <c r="AF990" s="1302" t="inlineStr"/>
      <c r="AG990" s="1302" t="inlineStr"/>
      <c r="AH990" s="1302" t="n"/>
      <c r="AI990" s="1302" t="n"/>
      <c r="AJ990" s="1302" t="n"/>
      <c r="AK990" s="1302">
        <f>AI990-AJ990</f>
        <v/>
      </c>
      <c r="AL990" s="858" t="n"/>
      <c r="AM990" s="1297" t="inlineStr"/>
      <c r="AN990" s="1298" t="n"/>
      <c r="AO990" s="13">
        <f>IF(_epmOfflineCondition_,0,EPMSaveDataOnly(AB990,,AB$29,AB$25,AB$26,AB$31,AB$32,$AA$37,AO$14,AO$15,AO$16,AO$17,AO$18,X990))</f>
        <v/>
      </c>
      <c r="AP990" s="13">
        <f>IF(_epmOfflineCondition_,0,EPMSaveDataOnly(AL990,,AL$29,AL$25,AL$26,AL$31,AL$32,$AA$37,AP$14,AP$15,AP$16,AP$17,AP$18,$X990))</f>
        <v/>
      </c>
      <c r="AQ990" s="13">
        <f>IF(_epmOfflineCondition_,0,EPMSaveData(AM990,,AM$29,AM$25,AM$26,$C$6,AM$32,$AA$37,AQ$14,AQ$15,AQ$16,AQ$17,AQ$18,$X990))</f>
        <v/>
      </c>
      <c r="AR990" s="13">
        <f>IF(_epmOfflineCondition_,0,EPMSaveDataOnly(AN990,,AN$29,AN$25,AN$26,AN$31,AN$32,$AA$37,AR$14,AR$15,AR$16,AR$17,AR$18,$X990))</f>
        <v/>
      </c>
      <c r="AS990" s="384" t="n"/>
    </row>
    <row r="991" hidden="1" s="1181">
      <c r="A991" s="384" t="n"/>
      <c r="B991" s="384" t="n"/>
      <c r="C991" s="384" t="n"/>
      <c r="D991" s="384" t="n"/>
      <c r="E991" s="384" t="n"/>
      <c r="F991" s="384" t="n"/>
      <c r="G991" s="384" t="n"/>
      <c r="H991" s="384" t="n"/>
      <c r="I991" s="384" t="n"/>
      <c r="J991" s="384" t="n"/>
      <c r="K991" s="384" t="n"/>
      <c r="L991" s="384" t="n"/>
      <c r="M991" s="384" t="n"/>
      <c r="N991" s="384" t="n"/>
      <c r="O991" s="384" t="n"/>
      <c r="P991" s="384" t="n"/>
      <c r="Q991" s="384" t="n"/>
      <c r="R991" s="384" t="n"/>
      <c r="S991" s="384" t="n"/>
      <c r="T991" s="384" t="n"/>
      <c r="U991" s="384" t="n"/>
      <c r="V991" s="384" t="n"/>
      <c r="W991" s="384" t="n"/>
      <c r="X991" s="878">
        <f>IF(_epmOfflineCondition_,"I_E101357",EPMOlapMemberO("[C_INTERCO].[PARENTH1].[I_E101357]","","I_E101357","","000"))</f>
        <v/>
      </c>
      <c r="Y991" s="870">
        <f>IF(_epmOfflineCondition_,"山西沐光绿能新能源有限公司",EPMMemberDesc(X991))</f>
        <v/>
      </c>
      <c r="Z991" s="1302" t="n"/>
      <c r="AA991" s="1302" t="n"/>
      <c r="AB991" s="858" t="n"/>
      <c r="AC991" s="1302" t="n"/>
      <c r="AD991" s="1302" t="n"/>
      <c r="AE991" s="1302" t="inlineStr"/>
      <c r="AF991" s="1302" t="inlineStr"/>
      <c r="AG991" s="1302" t="inlineStr"/>
      <c r="AH991" s="1302" t="n"/>
      <c r="AI991" s="1302" t="n"/>
      <c r="AJ991" s="1302" t="n"/>
      <c r="AK991" s="1302">
        <f>AI991-AJ991</f>
        <v/>
      </c>
      <c r="AL991" s="858" t="n"/>
      <c r="AM991" s="1297" t="inlineStr"/>
      <c r="AN991" s="1298" t="n"/>
      <c r="AO991" s="13">
        <f>IF(_epmOfflineCondition_,0,EPMSaveDataOnly(AB991,,AB$29,AB$25,AB$26,AB$31,AB$32,$AA$37,AO$14,AO$15,AO$16,AO$17,AO$18,X991))</f>
        <v/>
      </c>
      <c r="AP991" s="13">
        <f>IF(_epmOfflineCondition_,0,EPMSaveDataOnly(AL991,,AL$29,AL$25,AL$26,AL$31,AL$32,$AA$37,AP$14,AP$15,AP$16,AP$17,AP$18,$X991))</f>
        <v/>
      </c>
      <c r="AQ991" s="13">
        <f>IF(_epmOfflineCondition_,0,EPMSaveData(AM991,,AM$29,AM$25,AM$26,$C$6,AM$32,$AA$37,AQ$14,AQ$15,AQ$16,AQ$17,AQ$18,$X991))</f>
        <v/>
      </c>
      <c r="AR991" s="13">
        <f>IF(_epmOfflineCondition_,0,EPMSaveDataOnly(AN991,,AN$29,AN$25,AN$26,AN$31,AN$32,$AA$37,AR$14,AR$15,AR$16,AR$17,AR$18,$X991))</f>
        <v/>
      </c>
      <c r="AS991" s="384" t="n"/>
    </row>
    <row r="992" hidden="1" s="1181">
      <c r="A992" s="384" t="n"/>
      <c r="B992" s="384" t="n"/>
      <c r="C992" s="384" t="n"/>
      <c r="D992" s="384" t="n"/>
      <c r="E992" s="384" t="n"/>
      <c r="F992" s="384" t="n"/>
      <c r="G992" s="384" t="n"/>
      <c r="H992" s="384" t="n"/>
      <c r="I992" s="384" t="n"/>
      <c r="J992" s="384" t="n"/>
      <c r="K992" s="384" t="n"/>
      <c r="L992" s="384" t="n"/>
      <c r="M992" s="384" t="n"/>
      <c r="N992" s="384" t="n"/>
      <c r="O992" s="384" t="n"/>
      <c r="P992" s="384" t="n"/>
      <c r="Q992" s="384" t="n"/>
      <c r="R992" s="384" t="n"/>
      <c r="S992" s="384" t="n"/>
      <c r="T992" s="384" t="n"/>
      <c r="U992" s="384" t="n"/>
      <c r="V992" s="384" t="n"/>
      <c r="W992" s="384" t="n"/>
      <c r="X992" s="878">
        <f>IF(_epmOfflineCondition_,"I_E101358",EPMOlapMemberO("[C_INTERCO].[PARENTH1].[I_E101358]","","I_E101358","","000"))</f>
        <v/>
      </c>
      <c r="Y992" s="870">
        <f>IF(_epmOfflineCondition_,"汾阳市峪河新能源有限公司",EPMMemberDesc(X992))</f>
        <v/>
      </c>
      <c r="Z992" s="1302" t="n"/>
      <c r="AA992" s="1302" t="n"/>
      <c r="AB992" s="858" t="n"/>
      <c r="AC992" s="1302" t="n"/>
      <c r="AD992" s="1302" t="n"/>
      <c r="AE992" s="1302" t="inlineStr"/>
      <c r="AF992" s="1302" t="inlineStr"/>
      <c r="AG992" s="1302" t="inlineStr"/>
      <c r="AH992" s="1302" t="n"/>
      <c r="AI992" s="1302" t="n"/>
      <c r="AJ992" s="1302" t="n"/>
      <c r="AK992" s="1302">
        <f>AI992-AJ992</f>
        <v/>
      </c>
      <c r="AL992" s="858" t="n"/>
      <c r="AM992" s="1297" t="inlineStr"/>
      <c r="AN992" s="1298" t="n"/>
      <c r="AO992" s="13">
        <f>IF(_epmOfflineCondition_,0,EPMSaveDataOnly(AB992,,AB$29,AB$25,AB$26,AB$31,AB$32,$AA$37,AO$14,AO$15,AO$16,AO$17,AO$18,X992))</f>
        <v/>
      </c>
      <c r="AP992" s="13">
        <f>IF(_epmOfflineCondition_,0,EPMSaveDataOnly(AL992,,AL$29,AL$25,AL$26,AL$31,AL$32,$AA$37,AP$14,AP$15,AP$16,AP$17,AP$18,$X992))</f>
        <v/>
      </c>
      <c r="AQ992" s="13">
        <f>IF(_epmOfflineCondition_,0,EPMSaveData(AM992,,AM$29,AM$25,AM$26,$C$6,AM$32,$AA$37,AQ$14,AQ$15,AQ$16,AQ$17,AQ$18,$X992))</f>
        <v/>
      </c>
      <c r="AR992" s="13">
        <f>IF(_epmOfflineCondition_,0,EPMSaveDataOnly(AN992,,AN$29,AN$25,AN$26,AN$31,AN$32,$AA$37,AR$14,AR$15,AR$16,AR$17,AR$18,$X992))</f>
        <v/>
      </c>
      <c r="AS992" s="384" t="n"/>
    </row>
    <row r="993" hidden="1" s="1181">
      <c r="A993" s="384" t="n"/>
      <c r="B993" s="384" t="n"/>
      <c r="C993" s="384" t="n"/>
      <c r="D993" s="384" t="n"/>
      <c r="E993" s="384" t="n"/>
      <c r="F993" s="384" t="n"/>
      <c r="G993" s="384" t="n"/>
      <c r="H993" s="384" t="n"/>
      <c r="I993" s="384" t="n"/>
      <c r="J993" s="384" t="n"/>
      <c r="K993" s="384" t="n"/>
      <c r="L993" s="384" t="n"/>
      <c r="M993" s="384" t="n"/>
      <c r="N993" s="384" t="n"/>
      <c r="O993" s="384" t="n"/>
      <c r="P993" s="384" t="n"/>
      <c r="Q993" s="384" t="n"/>
      <c r="R993" s="384" t="n"/>
      <c r="S993" s="384" t="n"/>
      <c r="T993" s="384" t="n"/>
      <c r="U993" s="384" t="n"/>
      <c r="V993" s="384" t="n"/>
      <c r="W993" s="384" t="n"/>
      <c r="X993" s="878">
        <f>IF(_epmOfflineCondition_,"I_E101362",EPMOlapMemberO("[C_INTERCO].[PARENTH1].[I_E101362]","","I_E101362","","000"))</f>
        <v/>
      </c>
      <c r="Y993" s="870">
        <f>IF(_epmOfflineCondition_,"天津市渤海京辉风力发电有限公司",EPMMemberDesc(X993))</f>
        <v/>
      </c>
      <c r="Z993" s="1302" t="n"/>
      <c r="AA993" s="1302" t="n"/>
      <c r="AB993" s="858" t="n"/>
      <c r="AC993" s="1302" t="n"/>
      <c r="AD993" s="1302" t="n"/>
      <c r="AE993" s="1302" t="inlineStr"/>
      <c r="AF993" s="1302" t="inlineStr"/>
      <c r="AG993" s="1302" t="inlineStr"/>
      <c r="AH993" s="1302" t="n"/>
      <c r="AI993" s="1302" t="n"/>
      <c r="AJ993" s="1302" t="n"/>
      <c r="AK993" s="1302">
        <f>AI993-AJ993</f>
        <v/>
      </c>
      <c r="AL993" s="858" t="n"/>
      <c r="AM993" s="1297" t="inlineStr"/>
      <c r="AN993" s="1298" t="n"/>
      <c r="AO993" s="13">
        <f>IF(_epmOfflineCondition_,0,EPMSaveDataOnly(AB993,,AB$29,AB$25,AB$26,AB$31,AB$32,$AA$37,AO$14,AO$15,AO$16,AO$17,AO$18,X993))</f>
        <v/>
      </c>
      <c r="AP993" s="13">
        <f>IF(_epmOfflineCondition_,0,EPMSaveDataOnly(AL993,,AL$29,AL$25,AL$26,AL$31,AL$32,$AA$37,AP$14,AP$15,AP$16,AP$17,AP$18,$X993))</f>
        <v/>
      </c>
      <c r="AQ993" s="13">
        <f>IF(_epmOfflineCondition_,0,EPMSaveData(AM993,,AM$29,AM$25,AM$26,$C$6,AM$32,$AA$37,AQ$14,AQ$15,AQ$16,AQ$17,AQ$18,$X993))</f>
        <v/>
      </c>
      <c r="AR993" s="13">
        <f>IF(_epmOfflineCondition_,0,EPMSaveDataOnly(AN993,,AN$29,AN$25,AN$26,AN$31,AN$32,$AA$37,AR$14,AR$15,AR$16,AR$17,AR$18,$X993))</f>
        <v/>
      </c>
      <c r="AS993" s="384" t="n"/>
    </row>
    <row r="994" hidden="1" s="1181">
      <c r="A994" s="384" t="n"/>
      <c r="B994" s="384" t="n"/>
      <c r="C994" s="384" t="n"/>
      <c r="D994" s="384" t="n"/>
      <c r="E994" s="384" t="n"/>
      <c r="F994" s="384" t="n"/>
      <c r="G994" s="384" t="n"/>
      <c r="H994" s="384" t="n"/>
      <c r="I994" s="384" t="n"/>
      <c r="J994" s="384" t="n"/>
      <c r="K994" s="384" t="n"/>
      <c r="L994" s="384" t="n"/>
      <c r="M994" s="384" t="n"/>
      <c r="N994" s="384" t="n"/>
      <c r="O994" s="384" t="n"/>
      <c r="P994" s="384" t="n"/>
      <c r="Q994" s="384" t="n"/>
      <c r="R994" s="384" t="n"/>
      <c r="S994" s="384" t="n"/>
      <c r="T994" s="384" t="n"/>
      <c r="U994" s="384" t="n"/>
      <c r="V994" s="384" t="n"/>
      <c r="W994" s="384" t="n"/>
      <c r="X994" s="878">
        <f>IF(_epmOfflineCondition_,"I_E101345",EPMOlapMemberO("[C_INTERCO].[PARENTH1].[I_E101345]","","I_E101345","","000"))</f>
        <v/>
      </c>
      <c r="Y994" s="870">
        <f>IF(_epmOfflineCondition_,"全州京能清洁能源有限责任公司",EPMMemberDesc(X994))</f>
        <v/>
      </c>
      <c r="Z994" s="1302" t="n"/>
      <c r="AA994" s="1302" t="n"/>
      <c r="AB994" s="858" t="n"/>
      <c r="AC994" s="1302" t="n"/>
      <c r="AD994" s="1302" t="n"/>
      <c r="AE994" s="1302" t="inlineStr"/>
      <c r="AF994" s="1302" t="inlineStr"/>
      <c r="AG994" s="1302" t="inlineStr"/>
      <c r="AH994" s="1302" t="n"/>
      <c r="AI994" s="1302" t="n"/>
      <c r="AJ994" s="1302" t="n"/>
      <c r="AK994" s="1302">
        <f>AI994-AJ994</f>
        <v/>
      </c>
      <c r="AL994" s="858" t="n"/>
      <c r="AM994" s="1297" t="inlineStr"/>
      <c r="AN994" s="1298" t="n"/>
      <c r="AO994" s="13">
        <f>IF(_epmOfflineCondition_,0,EPMSaveDataOnly(AB994,,AB$29,AB$25,AB$26,AB$31,AB$32,$AA$37,AO$14,AO$15,AO$16,AO$17,AO$18,X994))</f>
        <v/>
      </c>
      <c r="AP994" s="13">
        <f>IF(_epmOfflineCondition_,0,EPMSaveDataOnly(AL994,,AL$29,AL$25,AL$26,AL$31,AL$32,$AA$37,AP$14,AP$15,AP$16,AP$17,AP$18,$X994))</f>
        <v/>
      </c>
      <c r="AQ994" s="13">
        <f>IF(_epmOfflineCondition_,0,EPMSaveData(AM994,,AM$29,AM$25,AM$26,$C$6,AM$32,$AA$37,AQ$14,AQ$15,AQ$16,AQ$17,AQ$18,$X994))</f>
        <v/>
      </c>
      <c r="AR994" s="13">
        <f>IF(_epmOfflineCondition_,0,EPMSaveDataOnly(AN994,,AN$29,AN$25,AN$26,AN$31,AN$32,$AA$37,AR$14,AR$15,AR$16,AR$17,AR$18,$X994))</f>
        <v/>
      </c>
      <c r="AS994" s="384" t="n"/>
    </row>
    <row r="995" hidden="1" s="1181">
      <c r="A995" s="384" t="n"/>
      <c r="B995" s="384" t="n"/>
      <c r="C995" s="384" t="n"/>
      <c r="D995" s="384" t="n"/>
      <c r="E995" s="384" t="n"/>
      <c r="F995" s="384" t="n"/>
      <c r="G995" s="384" t="n"/>
      <c r="H995" s="384" t="n"/>
      <c r="I995" s="384" t="n"/>
      <c r="J995" s="384" t="n"/>
      <c r="K995" s="384" t="n"/>
      <c r="L995" s="384" t="n"/>
      <c r="M995" s="384" t="n"/>
      <c r="N995" s="384" t="n"/>
      <c r="O995" s="384" t="n"/>
      <c r="P995" s="384" t="n"/>
      <c r="Q995" s="384" t="n"/>
      <c r="R995" s="384" t="n"/>
      <c r="S995" s="384" t="n"/>
      <c r="T995" s="384" t="n"/>
      <c r="U995" s="384" t="n"/>
      <c r="V995" s="384" t="n"/>
      <c r="W995" s="384" t="n"/>
      <c r="X995" s="878">
        <f>IF(_epmOfflineCondition_,"I_E101359",EPMOlapMemberO("[C_INTERCO].[PARENTH1].[I_E101359]","","I_E101359","","000"))</f>
        <v/>
      </c>
      <c r="Y995" s="870">
        <f>IF(_epmOfflineCondition_,"隆森光伏（北京）新能源有限公司",EPMMemberDesc(X995))</f>
        <v/>
      </c>
      <c r="Z995" s="1302" t="n"/>
      <c r="AA995" s="1302" t="n"/>
      <c r="AB995" s="858" t="n"/>
      <c r="AC995" s="1302" t="n"/>
      <c r="AD995" s="1302" t="n"/>
      <c r="AE995" s="1302" t="inlineStr"/>
      <c r="AF995" s="1302" t="inlineStr"/>
      <c r="AG995" s="1302" t="inlineStr"/>
      <c r="AH995" s="1302" t="n"/>
      <c r="AI995" s="1302" t="n"/>
      <c r="AJ995" s="1302" t="n"/>
      <c r="AK995" s="1302">
        <f>AI995-AJ995</f>
        <v/>
      </c>
      <c r="AL995" s="858" t="n"/>
      <c r="AM995" s="1297" t="inlineStr"/>
      <c r="AN995" s="1298" t="n"/>
      <c r="AO995" s="13">
        <f>IF(_epmOfflineCondition_,0,EPMSaveDataOnly(AB995,,AB$29,AB$25,AB$26,AB$31,AB$32,$AA$37,AO$14,AO$15,AO$16,AO$17,AO$18,X995))</f>
        <v/>
      </c>
      <c r="AP995" s="13">
        <f>IF(_epmOfflineCondition_,0,EPMSaveDataOnly(AL995,,AL$29,AL$25,AL$26,AL$31,AL$32,$AA$37,AP$14,AP$15,AP$16,AP$17,AP$18,$X995))</f>
        <v/>
      </c>
      <c r="AQ995" s="13">
        <f>IF(_epmOfflineCondition_,0,EPMSaveData(AM995,,AM$29,AM$25,AM$26,$C$6,AM$32,$AA$37,AQ$14,AQ$15,AQ$16,AQ$17,AQ$18,$X995))</f>
        <v/>
      </c>
      <c r="AR995" s="13">
        <f>IF(_epmOfflineCondition_,0,EPMSaveDataOnly(AN995,,AN$29,AN$25,AN$26,AN$31,AN$32,$AA$37,AR$14,AR$15,AR$16,AR$17,AR$18,$X995))</f>
        <v/>
      </c>
      <c r="AS995" s="384" t="n"/>
    </row>
    <row r="996" hidden="1" s="1181">
      <c r="A996" s="384" t="n"/>
      <c r="B996" s="384" t="n"/>
      <c r="C996" s="384" t="n"/>
      <c r="D996" s="384" t="n"/>
      <c r="E996" s="384" t="n"/>
      <c r="F996" s="384" t="n"/>
      <c r="G996" s="384" t="n"/>
      <c r="H996" s="384" t="n"/>
      <c r="I996" s="384" t="n"/>
      <c r="J996" s="384" t="n"/>
      <c r="K996" s="384" t="n"/>
      <c r="L996" s="384" t="n"/>
      <c r="M996" s="384" t="n"/>
      <c r="N996" s="384" t="n"/>
      <c r="O996" s="384" t="n"/>
      <c r="P996" s="384" t="n"/>
      <c r="Q996" s="384" t="n"/>
      <c r="R996" s="384" t="n"/>
      <c r="S996" s="384" t="n"/>
      <c r="T996" s="384" t="n"/>
      <c r="U996" s="384" t="n"/>
      <c r="V996" s="384" t="n"/>
      <c r="W996" s="384" t="n"/>
      <c r="X996" s="878">
        <f>IF(_epmOfflineCondition_,"I_E101363",EPMOlapMemberO("[C_INTERCO].[PARENTH1].[I_E101363]","","I_E101363","","000"))</f>
        <v/>
      </c>
      <c r="Y996" s="870">
        <f>IF(_epmOfflineCondition_,"天津市京辉风力发电有限公司",EPMMemberDesc(X996))</f>
        <v/>
      </c>
      <c r="Z996" s="1302" t="n"/>
      <c r="AA996" s="1302" t="n"/>
      <c r="AB996" s="858" t="n"/>
      <c r="AC996" s="1302" t="n"/>
      <c r="AD996" s="1302" t="n"/>
      <c r="AE996" s="1302" t="inlineStr"/>
      <c r="AF996" s="1302" t="inlineStr"/>
      <c r="AG996" s="1302" t="inlineStr"/>
      <c r="AH996" s="1302" t="n"/>
      <c r="AI996" s="1302" t="n"/>
      <c r="AJ996" s="1302" t="n"/>
      <c r="AK996" s="1302">
        <f>AI996-AJ996</f>
        <v/>
      </c>
      <c r="AL996" s="858" t="n"/>
      <c r="AM996" s="1297" t="inlineStr"/>
      <c r="AN996" s="1298" t="n"/>
      <c r="AO996" s="13">
        <f>IF(_epmOfflineCondition_,0,EPMSaveDataOnly(AB996,,AB$29,AB$25,AB$26,AB$31,AB$32,$AA$37,AO$14,AO$15,AO$16,AO$17,AO$18,X996))</f>
        <v/>
      </c>
      <c r="AP996" s="13">
        <f>IF(_epmOfflineCondition_,0,EPMSaveDataOnly(AL996,,AL$29,AL$25,AL$26,AL$31,AL$32,$AA$37,AP$14,AP$15,AP$16,AP$17,AP$18,$X996))</f>
        <v/>
      </c>
      <c r="AQ996" s="13">
        <f>IF(_epmOfflineCondition_,0,EPMSaveData(AM996,,AM$29,AM$25,AM$26,$C$6,AM$32,$AA$37,AQ$14,AQ$15,AQ$16,AQ$17,AQ$18,$X996))</f>
        <v/>
      </c>
      <c r="AR996" s="13">
        <f>IF(_epmOfflineCondition_,0,EPMSaveDataOnly(AN996,,AN$29,AN$25,AN$26,AN$31,AN$32,$AA$37,AR$14,AR$15,AR$16,AR$17,AR$18,$X996))</f>
        <v/>
      </c>
      <c r="AS996" s="384" t="n"/>
    </row>
    <row r="997" hidden="1" s="1181">
      <c r="A997" s="384" t="n"/>
      <c r="B997" s="384" t="n"/>
      <c r="C997" s="384" t="n"/>
      <c r="D997" s="384" t="n"/>
      <c r="E997" s="384" t="n"/>
      <c r="F997" s="384" t="n"/>
      <c r="G997" s="384" t="n"/>
      <c r="H997" s="384" t="n"/>
      <c r="I997" s="384" t="n"/>
      <c r="J997" s="384" t="n"/>
      <c r="K997" s="384" t="n"/>
      <c r="L997" s="384" t="n"/>
      <c r="M997" s="384" t="n"/>
      <c r="N997" s="384" t="n"/>
      <c r="O997" s="384" t="n"/>
      <c r="P997" s="384" t="n"/>
      <c r="Q997" s="384" t="n"/>
      <c r="R997" s="384" t="n"/>
      <c r="S997" s="384" t="n"/>
      <c r="T997" s="384" t="n"/>
      <c r="U997" s="384" t="n"/>
      <c r="V997" s="384" t="n"/>
      <c r="W997" s="384" t="n"/>
      <c r="X997" s="878">
        <f>IF(_epmOfflineCondition_,"I_E101364",EPMOlapMemberO("[C_INTERCO].[PARENTH1].[I_E101364]","","I_E101364","","000"))</f>
        <v/>
      </c>
      <c r="Y997" s="870">
        <f>IF(_epmOfflineCondition_,"北京京能酒店管理有限公司和风利达分公司",EPMMemberDesc(X997))</f>
        <v/>
      </c>
      <c r="Z997" s="1302" t="n"/>
      <c r="AA997" s="1302" t="n"/>
      <c r="AB997" s="858" t="n"/>
      <c r="AC997" s="1302" t="n"/>
      <c r="AD997" s="1302" t="n"/>
      <c r="AE997" s="1302" t="inlineStr"/>
      <c r="AF997" s="1302" t="inlineStr"/>
      <c r="AG997" s="1302" t="inlineStr"/>
      <c r="AH997" s="1302" t="n"/>
      <c r="AI997" s="1302" t="n"/>
      <c r="AJ997" s="1302" t="n"/>
      <c r="AK997" s="1302">
        <f>AI997-AJ997</f>
        <v/>
      </c>
      <c r="AL997" s="858" t="n"/>
      <c r="AM997" s="1297" t="inlineStr"/>
      <c r="AN997" s="1298" t="n"/>
      <c r="AO997" s="13">
        <f>IF(_epmOfflineCondition_,0,EPMSaveDataOnly(AB997,,AB$29,AB$25,AB$26,AB$31,AB$32,$AA$37,AO$14,AO$15,AO$16,AO$17,AO$18,X997))</f>
        <v/>
      </c>
      <c r="AP997" s="13">
        <f>IF(_epmOfflineCondition_,0,EPMSaveDataOnly(AL997,,AL$29,AL$25,AL$26,AL$31,AL$32,$AA$37,AP$14,AP$15,AP$16,AP$17,AP$18,$X997))</f>
        <v/>
      </c>
      <c r="AQ997" s="13">
        <f>IF(_epmOfflineCondition_,0,EPMSaveData(AM997,,AM$29,AM$25,AM$26,$C$6,AM$32,$AA$37,AQ$14,AQ$15,AQ$16,AQ$17,AQ$18,$X997))</f>
        <v/>
      </c>
      <c r="AR997" s="13">
        <f>IF(_epmOfflineCondition_,0,EPMSaveDataOnly(AN997,,AN$29,AN$25,AN$26,AN$31,AN$32,$AA$37,AR$14,AR$15,AR$16,AR$17,AR$18,$X997))</f>
        <v/>
      </c>
      <c r="AS997" s="384" t="n"/>
    </row>
    <row r="998" hidden="1" s="1181">
      <c r="A998" s="384" t="n"/>
      <c r="B998" s="384" t="n"/>
      <c r="C998" s="384" t="n"/>
      <c r="D998" s="384" t="n"/>
      <c r="E998" s="384" t="n"/>
      <c r="F998" s="384" t="n"/>
      <c r="G998" s="384" t="n"/>
      <c r="H998" s="384" t="n"/>
      <c r="I998" s="384" t="n"/>
      <c r="J998" s="384" t="n"/>
      <c r="K998" s="384" t="n"/>
      <c r="L998" s="384" t="n"/>
      <c r="M998" s="384" t="n"/>
      <c r="N998" s="384" t="n"/>
      <c r="O998" s="384" t="n"/>
      <c r="P998" s="384" t="n"/>
      <c r="Q998" s="384" t="n"/>
      <c r="R998" s="384" t="n"/>
      <c r="S998" s="384" t="n"/>
      <c r="T998" s="384" t="n"/>
      <c r="U998" s="384" t="n"/>
      <c r="V998" s="384" t="n"/>
      <c r="W998" s="384" t="n"/>
      <c r="X998" s="878">
        <f>IF(_epmOfflineCondition_,"I_E101403",EPMOlapMemberO("[C_INTERCO].[PARENTH1].[I_E101403]","","I_E101403","","000"))</f>
        <v/>
      </c>
      <c r="Y998" s="870">
        <f>IF(_epmOfflineCondition_,"北京京能酒店管理有限公司天津分公司",EPMMemberDesc(X998))</f>
        <v/>
      </c>
      <c r="Z998" s="1302" t="n"/>
      <c r="AA998" s="1302" t="n"/>
      <c r="AB998" s="858" t="n"/>
      <c r="AC998" s="1302" t="n"/>
      <c r="AD998" s="1302" t="n"/>
      <c r="AE998" s="1302" t="inlineStr"/>
      <c r="AF998" s="1302" t="inlineStr"/>
      <c r="AG998" s="1302" t="inlineStr"/>
      <c r="AH998" s="1302" t="n"/>
      <c r="AI998" s="1302" t="n"/>
      <c r="AJ998" s="1302" t="n"/>
      <c r="AK998" s="1302">
        <f>AI998-AJ998</f>
        <v/>
      </c>
      <c r="AL998" s="858" t="n"/>
      <c r="AM998" s="1297" t="inlineStr"/>
      <c r="AN998" s="1298" t="n"/>
      <c r="AO998" s="13">
        <f>IF(_epmOfflineCondition_,0,EPMSaveDataOnly(AB998,,AB$29,AB$25,AB$26,AB$31,AB$32,$AA$37,AO$14,AO$15,AO$16,AO$17,AO$18,X998))</f>
        <v/>
      </c>
      <c r="AP998" s="13">
        <f>IF(_epmOfflineCondition_,0,EPMSaveDataOnly(AL998,,AL$29,AL$25,AL$26,AL$31,AL$32,$AA$37,AP$14,AP$15,AP$16,AP$17,AP$18,$X998))</f>
        <v/>
      </c>
      <c r="AQ998" s="13">
        <f>IF(_epmOfflineCondition_,0,EPMSaveData(AM998,,AM$29,AM$25,AM$26,$C$6,AM$32,$AA$37,AQ$14,AQ$15,AQ$16,AQ$17,AQ$18,$X998))</f>
        <v/>
      </c>
      <c r="AR998" s="13">
        <f>IF(_epmOfflineCondition_,0,EPMSaveDataOnly(AN998,,AN$29,AN$25,AN$26,AN$31,AN$32,$AA$37,AR$14,AR$15,AR$16,AR$17,AR$18,$X998))</f>
        <v/>
      </c>
      <c r="AS998" s="384" t="n"/>
    </row>
    <row r="999" hidden="1" s="1181">
      <c r="A999" s="384" t="n"/>
      <c r="B999" s="384" t="n"/>
      <c r="C999" s="384" t="n"/>
      <c r="D999" s="384" t="n"/>
      <c r="E999" s="384" t="n"/>
      <c r="F999" s="384" t="n"/>
      <c r="G999" s="384" t="n"/>
      <c r="H999" s="384" t="n"/>
      <c r="I999" s="384" t="n"/>
      <c r="J999" s="384" t="n"/>
      <c r="K999" s="384" t="n"/>
      <c r="L999" s="384" t="n"/>
      <c r="M999" s="384" t="n"/>
      <c r="N999" s="384" t="n"/>
      <c r="O999" s="384" t="n"/>
      <c r="P999" s="384" t="n"/>
      <c r="Q999" s="384" t="n"/>
      <c r="R999" s="384" t="n"/>
      <c r="S999" s="384" t="n"/>
      <c r="T999" s="384" t="n"/>
      <c r="U999" s="384" t="n"/>
      <c r="V999" s="384" t="n"/>
      <c r="W999" s="384" t="n"/>
      <c r="X999" s="878">
        <f>IF(_epmOfflineCondition_,"I_E101094",EPMOlapMemberO("[C_INTERCO].[PARENTH1].[I_E101094]","","I_E101094","","000"))</f>
        <v/>
      </c>
      <c r="Y999" s="870">
        <f>IF(_epmOfflineCondition_,"京宝（北京）综合能源有限公司",EPMMemberDesc(X999))</f>
        <v/>
      </c>
      <c r="Z999" s="1302" t="n"/>
      <c r="AA999" s="1302" t="n"/>
      <c r="AB999" s="858" t="n"/>
      <c r="AC999" s="1302" t="n"/>
      <c r="AD999" s="1302" t="n"/>
      <c r="AE999" s="1302" t="inlineStr"/>
      <c r="AF999" s="1302" t="inlineStr"/>
      <c r="AG999" s="1302" t="inlineStr"/>
      <c r="AH999" s="1302" t="n"/>
      <c r="AI999" s="1302" t="n"/>
      <c r="AJ999" s="1302" t="n"/>
      <c r="AK999" s="1302">
        <f>AI999-AJ999</f>
        <v/>
      </c>
      <c r="AL999" s="858" t="n"/>
      <c r="AM999" s="1297" t="inlineStr"/>
      <c r="AN999" s="1298" t="n"/>
      <c r="AO999" s="13">
        <f>IF(_epmOfflineCondition_,0,EPMSaveDataOnly(AB999,,AB$29,AB$25,AB$26,AB$31,AB$32,$AA$37,AO$14,AO$15,AO$16,AO$17,AO$18,X999))</f>
        <v/>
      </c>
      <c r="AP999" s="13">
        <f>IF(_epmOfflineCondition_,0,EPMSaveDataOnly(AL999,,AL$29,AL$25,AL$26,AL$31,AL$32,$AA$37,AP$14,AP$15,AP$16,AP$17,AP$18,$X999))</f>
        <v/>
      </c>
      <c r="AQ999" s="13">
        <f>IF(_epmOfflineCondition_,0,EPMSaveData(AM999,,AM$29,AM$25,AM$26,$C$6,AM$32,$AA$37,AQ$14,AQ$15,AQ$16,AQ$17,AQ$18,$X999))</f>
        <v/>
      </c>
      <c r="AR999" s="13">
        <f>IF(_epmOfflineCondition_,0,EPMSaveDataOnly(AN999,,AN$29,AN$25,AN$26,AN$31,AN$32,$AA$37,AR$14,AR$15,AR$16,AR$17,AR$18,$X999))</f>
        <v/>
      </c>
      <c r="AS999" s="384" t="n"/>
    </row>
    <row r="1000" hidden="1" s="1181">
      <c r="A1000" s="384" t="n"/>
      <c r="B1000" s="384" t="n"/>
      <c r="C1000" s="384" t="n"/>
      <c r="D1000" s="384" t="n"/>
      <c r="E1000" s="384" t="n"/>
      <c r="F1000" s="384" t="n"/>
      <c r="G1000" s="384" t="n"/>
      <c r="H1000" s="384" t="n"/>
      <c r="I1000" s="384" t="n"/>
      <c r="J1000" s="384" t="n"/>
      <c r="K1000" s="384" t="n"/>
      <c r="L1000" s="384" t="n"/>
      <c r="M1000" s="384" t="n"/>
      <c r="N1000" s="384" t="n"/>
      <c r="O1000" s="384" t="n"/>
      <c r="P1000" s="384" t="n"/>
      <c r="Q1000" s="384" t="n"/>
      <c r="R1000" s="384" t="n"/>
      <c r="S1000" s="384" t="n"/>
      <c r="T1000" s="384" t="n"/>
      <c r="U1000" s="384" t="n"/>
      <c r="V1000" s="384" t="n"/>
      <c r="W1000" s="384" t="n"/>
      <c r="X1000" s="878">
        <f>IF(_epmOfflineCondition_,"I_E101183",EPMOlapMemberO("[C_INTERCO].[PARENTH1].[I_E101183]","","I_E101183","","000"))</f>
        <v/>
      </c>
      <c r="Y1000" s="870">
        <f>IF(_epmOfflineCondition_,"四川大川电力有限公司腾冲分公司",EPMMemberDesc(X1000))</f>
        <v/>
      </c>
      <c r="Z1000" s="1302" t="n"/>
      <c r="AA1000" s="1302" t="n"/>
      <c r="AB1000" s="858" t="n"/>
      <c r="AC1000" s="1302" t="n"/>
      <c r="AD1000" s="1302" t="n"/>
      <c r="AE1000" s="1302" t="inlineStr"/>
      <c r="AF1000" s="1302" t="inlineStr"/>
      <c r="AG1000" s="1302" t="inlineStr"/>
      <c r="AH1000" s="1302" t="n"/>
      <c r="AI1000" s="1302" t="n"/>
      <c r="AJ1000" s="1302" t="n"/>
      <c r="AK1000" s="1302">
        <f>AI1000-AJ1000</f>
        <v/>
      </c>
      <c r="AL1000" s="858" t="n"/>
      <c r="AM1000" s="1297" t="inlineStr"/>
      <c r="AN1000" s="1298" t="n"/>
      <c r="AO1000" s="13">
        <f>IF(_epmOfflineCondition_,0,EPMSaveDataOnly(AB1000,,AB$29,AB$25,AB$26,AB$31,AB$32,$AA$37,AO$14,AO$15,AO$16,AO$17,AO$18,X1000))</f>
        <v/>
      </c>
      <c r="AP1000" s="13">
        <f>IF(_epmOfflineCondition_,0,EPMSaveDataOnly(AL1000,,AL$29,AL$25,AL$26,AL$31,AL$32,$AA$37,AP$14,AP$15,AP$16,AP$17,AP$18,$X1000))</f>
        <v/>
      </c>
      <c r="AQ1000" s="13">
        <f>IF(_epmOfflineCondition_,0,EPMSaveData(AM1000,,AM$29,AM$25,AM$26,$C$6,AM$32,$AA$37,AQ$14,AQ$15,AQ$16,AQ$17,AQ$18,$X1000))</f>
        <v/>
      </c>
      <c r="AR1000" s="13">
        <f>IF(_epmOfflineCondition_,0,EPMSaveDataOnly(AN1000,,AN$29,AN$25,AN$26,AN$31,AN$32,$AA$37,AR$14,AR$15,AR$16,AR$17,AR$18,$X1000))</f>
        <v/>
      </c>
      <c r="AS1000" s="384" t="n"/>
    </row>
    <row r="1001" hidden="1" s="1181">
      <c r="A1001" s="384" t="n"/>
      <c r="B1001" s="384" t="n"/>
      <c r="C1001" s="384" t="n"/>
      <c r="D1001" s="384" t="n"/>
      <c r="E1001" s="384" t="n"/>
      <c r="F1001" s="384" t="n"/>
      <c r="G1001" s="384" t="n"/>
      <c r="H1001" s="384" t="n"/>
      <c r="I1001" s="384" t="n"/>
      <c r="J1001" s="384" t="n"/>
      <c r="K1001" s="384" t="n"/>
      <c r="L1001" s="384" t="n"/>
      <c r="M1001" s="384" t="n"/>
      <c r="N1001" s="384" t="n"/>
      <c r="O1001" s="384" t="n"/>
      <c r="P1001" s="384" t="n"/>
      <c r="Q1001" s="384" t="n"/>
      <c r="R1001" s="384" t="n"/>
      <c r="S1001" s="384" t="n"/>
      <c r="T1001" s="384" t="n"/>
      <c r="U1001" s="384" t="n"/>
      <c r="V1001" s="384" t="n"/>
      <c r="W1001" s="384" t="n"/>
      <c r="X1001" s="878">
        <f>IF(_epmOfflineCondition_,"I_E101405",EPMOlapMemberO("[C_INTERCO].[PARENTH1].[I_E101405]","","I_E101405","","000"))</f>
        <v/>
      </c>
      <c r="Y1001" s="870">
        <f>IF(_epmOfflineCondition_,"京热中锐(北京)清洁能源有限公司",EPMMemberDesc(X1001))</f>
        <v/>
      </c>
      <c r="Z1001" s="1302" t="n"/>
      <c r="AA1001" s="1302" t="n"/>
      <c r="AB1001" s="858" t="n"/>
      <c r="AC1001" s="1302" t="n"/>
      <c r="AD1001" s="1302" t="n"/>
      <c r="AE1001" s="1302" t="inlineStr"/>
      <c r="AF1001" s="1302" t="inlineStr"/>
      <c r="AG1001" s="1302" t="inlineStr"/>
      <c r="AH1001" s="1302" t="n"/>
      <c r="AI1001" s="1302" t="n"/>
      <c r="AJ1001" s="1302" t="n"/>
      <c r="AK1001" s="1302">
        <f>AI1001-AJ1001</f>
        <v/>
      </c>
      <c r="AL1001" s="858" t="n"/>
      <c r="AM1001" s="1297" t="inlineStr"/>
      <c r="AN1001" s="1298" t="n"/>
      <c r="AO1001" s="13">
        <f>IF(_epmOfflineCondition_,0,EPMSaveDataOnly(AB1001,,AB$29,AB$25,AB$26,AB$31,AB$32,$AA$37,AO$14,AO$15,AO$16,AO$17,AO$18,X1001))</f>
        <v/>
      </c>
      <c r="AP1001" s="13">
        <f>IF(_epmOfflineCondition_,0,EPMSaveDataOnly(AL1001,,AL$29,AL$25,AL$26,AL$31,AL$32,$AA$37,AP$14,AP$15,AP$16,AP$17,AP$18,$X1001))</f>
        <v/>
      </c>
      <c r="AQ1001" s="13">
        <f>IF(_epmOfflineCondition_,0,EPMSaveData(AM1001,,AM$29,AM$25,AM$26,$C$6,AM$32,$AA$37,AQ$14,AQ$15,AQ$16,AQ$17,AQ$18,$X1001))</f>
        <v/>
      </c>
      <c r="AR1001" s="13">
        <f>IF(_epmOfflineCondition_,0,EPMSaveDataOnly(AN1001,,AN$29,AN$25,AN$26,AN$31,AN$32,$AA$37,AR$14,AR$15,AR$16,AR$17,AR$18,$X1001))</f>
        <v/>
      </c>
      <c r="AS1001" s="384" t="n"/>
    </row>
    <row r="1002" hidden="1" s="1181">
      <c r="A1002" s="384" t="n"/>
      <c r="B1002" s="384" t="n"/>
      <c r="C1002" s="384" t="n"/>
      <c r="D1002" s="384" t="n"/>
      <c r="E1002" s="384" t="n"/>
      <c r="F1002" s="384" t="n"/>
      <c r="G1002" s="384" t="n"/>
      <c r="H1002" s="384" t="n"/>
      <c r="I1002" s="384" t="n"/>
      <c r="J1002" s="384" t="n"/>
      <c r="K1002" s="384" t="n"/>
      <c r="L1002" s="384" t="n"/>
      <c r="M1002" s="384" t="n"/>
      <c r="N1002" s="384" t="n"/>
      <c r="O1002" s="384" t="n"/>
      <c r="P1002" s="384" t="n"/>
      <c r="Q1002" s="384" t="n"/>
      <c r="R1002" s="384" t="n"/>
      <c r="S1002" s="384" t="n"/>
      <c r="T1002" s="384" t="n"/>
      <c r="U1002" s="384" t="n"/>
      <c r="V1002" s="384" t="n"/>
      <c r="W1002" s="384" t="n"/>
      <c r="X1002" s="878">
        <f>IF(_epmOfflineCondition_,"I_E101404",EPMOlapMemberO("[C_INTERCO].[PARENTH1].[I_E101404]","","I_E101404","","000"))</f>
        <v/>
      </c>
      <c r="Y1002" s="870">
        <f>IF(_epmOfflineCondition_,"北京京热新能源有限公司",EPMMemberDesc(X1002))</f>
        <v/>
      </c>
      <c r="Z1002" s="1302" t="n"/>
      <c r="AA1002" s="1302" t="n"/>
      <c r="AB1002" s="858" t="n"/>
      <c r="AC1002" s="1302" t="n"/>
      <c r="AD1002" s="1302" t="n"/>
      <c r="AE1002" s="1302" t="inlineStr"/>
      <c r="AF1002" s="1302" t="inlineStr"/>
      <c r="AG1002" s="1302" t="inlineStr"/>
      <c r="AH1002" s="1302" t="n"/>
      <c r="AI1002" s="1302" t="n"/>
      <c r="AJ1002" s="1302" t="n"/>
      <c r="AK1002" s="1302">
        <f>AI1002-AJ1002</f>
        <v/>
      </c>
      <c r="AL1002" s="858" t="n"/>
      <c r="AM1002" s="1297" t="inlineStr"/>
      <c r="AN1002" s="1298" t="n"/>
      <c r="AO1002" s="13">
        <f>IF(_epmOfflineCondition_,0,EPMSaveDataOnly(AB1002,,AB$29,AB$25,AB$26,AB$31,AB$32,$AA$37,AO$14,AO$15,AO$16,AO$17,AO$18,X1002))</f>
        <v/>
      </c>
      <c r="AP1002" s="13">
        <f>IF(_epmOfflineCondition_,0,EPMSaveDataOnly(AL1002,,AL$29,AL$25,AL$26,AL$31,AL$32,$AA$37,AP$14,AP$15,AP$16,AP$17,AP$18,$X1002))</f>
        <v/>
      </c>
      <c r="AQ1002" s="13">
        <f>IF(_epmOfflineCondition_,0,EPMSaveData(AM1002,,AM$29,AM$25,AM$26,$C$6,AM$32,$AA$37,AQ$14,AQ$15,AQ$16,AQ$17,AQ$18,$X1002))</f>
        <v/>
      </c>
      <c r="AR1002" s="13">
        <f>IF(_epmOfflineCondition_,0,EPMSaveDataOnly(AN1002,,AN$29,AN$25,AN$26,AN$31,AN$32,$AA$37,AR$14,AR$15,AR$16,AR$17,AR$18,$X1002))</f>
        <v/>
      </c>
      <c r="AS1002" s="384" t="n"/>
    </row>
    <row r="1003" hidden="1" s="1181">
      <c r="A1003" s="384" t="n"/>
      <c r="B1003" s="384" t="n"/>
      <c r="C1003" s="384" t="n"/>
      <c r="D1003" s="384" t="n"/>
      <c r="E1003" s="384" t="n"/>
      <c r="F1003" s="384" t="n"/>
      <c r="G1003" s="384" t="n"/>
      <c r="H1003" s="384" t="n"/>
      <c r="I1003" s="384" t="n"/>
      <c r="J1003" s="384" t="n"/>
      <c r="K1003" s="384" t="n"/>
      <c r="L1003" s="384" t="n"/>
      <c r="M1003" s="384" t="n"/>
      <c r="N1003" s="384" t="n"/>
      <c r="O1003" s="384" t="n"/>
      <c r="P1003" s="384" t="n"/>
      <c r="Q1003" s="384" t="n"/>
      <c r="R1003" s="384" t="n"/>
      <c r="S1003" s="384" t="n"/>
      <c r="T1003" s="384" t="n"/>
      <c r="U1003" s="384" t="n"/>
      <c r="V1003" s="384" t="n"/>
      <c r="W1003" s="384" t="n"/>
      <c r="X1003" s="878">
        <f>IF(_epmOfflineCondition_,"I_E101408",EPMOlapMemberO("[C_INTERCO].[PARENTH1].[I_E101408]","","I_E101408","","000"))</f>
        <v/>
      </c>
      <c r="Y1003" s="870">
        <f>IF(_epmOfflineCondition_,"北京华清元泰新能源技术开发有限公司",EPMMemberDesc(X1003))</f>
        <v/>
      </c>
      <c r="Z1003" s="1302" t="n"/>
      <c r="AA1003" s="1302" t="n"/>
      <c r="AB1003" s="858" t="n"/>
      <c r="AC1003" s="1302" t="n"/>
      <c r="AD1003" s="1302" t="n"/>
      <c r="AE1003" s="1302" t="inlineStr"/>
      <c r="AF1003" s="1302" t="inlineStr"/>
      <c r="AG1003" s="1302" t="inlineStr"/>
      <c r="AH1003" s="1302" t="n"/>
      <c r="AI1003" s="1302" t="n"/>
      <c r="AJ1003" s="1302" t="n"/>
      <c r="AK1003" s="1302">
        <f>AI1003-AJ1003</f>
        <v/>
      </c>
      <c r="AL1003" s="858" t="n"/>
      <c r="AM1003" s="1297" t="inlineStr"/>
      <c r="AN1003" s="1298" t="n"/>
      <c r="AO1003" s="13">
        <f>IF(_epmOfflineCondition_,0,EPMSaveDataOnly(AB1003,,AB$29,AB$25,AB$26,AB$31,AB$32,$AA$37,AO$14,AO$15,AO$16,AO$17,AO$18,X1003))</f>
        <v/>
      </c>
      <c r="AP1003" s="13">
        <f>IF(_epmOfflineCondition_,0,EPMSaveDataOnly(AL1003,,AL$29,AL$25,AL$26,AL$31,AL$32,$AA$37,AP$14,AP$15,AP$16,AP$17,AP$18,$X1003))</f>
        <v/>
      </c>
      <c r="AQ1003" s="13">
        <f>IF(_epmOfflineCondition_,0,EPMSaveData(AM1003,,AM$29,AM$25,AM$26,$C$6,AM$32,$AA$37,AQ$14,AQ$15,AQ$16,AQ$17,AQ$18,$X1003))</f>
        <v/>
      </c>
      <c r="AR1003" s="13">
        <f>IF(_epmOfflineCondition_,0,EPMSaveDataOnly(AN1003,,AN$29,AN$25,AN$26,AN$31,AN$32,$AA$37,AR$14,AR$15,AR$16,AR$17,AR$18,$X1003))</f>
        <v/>
      </c>
      <c r="AS1003" s="384" t="n"/>
    </row>
    <row r="1004" hidden="1" s="1181">
      <c r="A1004" s="384" t="n"/>
      <c r="B1004" s="384" t="n"/>
      <c r="C1004" s="384" t="n"/>
      <c r="D1004" s="384" t="n"/>
      <c r="E1004" s="384" t="n"/>
      <c r="F1004" s="384" t="n"/>
      <c r="G1004" s="384" t="n"/>
      <c r="H1004" s="384" t="n"/>
      <c r="I1004" s="384" t="n"/>
      <c r="J1004" s="384" t="n"/>
      <c r="K1004" s="384" t="n"/>
      <c r="L1004" s="384" t="n"/>
      <c r="M1004" s="384" t="n"/>
      <c r="N1004" s="384" t="n"/>
      <c r="O1004" s="384" t="n"/>
      <c r="P1004" s="384" t="n"/>
      <c r="Q1004" s="384" t="n"/>
      <c r="R1004" s="384" t="n"/>
      <c r="S1004" s="384" t="n"/>
      <c r="T1004" s="384" t="n"/>
      <c r="U1004" s="384" t="n"/>
      <c r="V1004" s="384" t="n"/>
      <c r="W1004" s="384" t="n"/>
      <c r="X1004" s="878">
        <f>IF(_epmOfflineCondition_,"I_E101409",EPMOlapMemberO("[C_INTERCO].[PARENTH1].[I_E101409]","","I_E101409","","000"))</f>
        <v/>
      </c>
      <c r="Y1004" s="870">
        <f>IF(_epmOfflineCondition_,"天津华清安泰能源科技有限公司",EPMMemberDesc(X1004))</f>
        <v/>
      </c>
      <c r="Z1004" s="1302" t="n"/>
      <c r="AA1004" s="1302" t="n"/>
      <c r="AB1004" s="858" t="n"/>
      <c r="AC1004" s="1302" t="n"/>
      <c r="AD1004" s="1302" t="n"/>
      <c r="AE1004" s="1302" t="inlineStr"/>
      <c r="AF1004" s="1302" t="inlineStr"/>
      <c r="AG1004" s="1302" t="inlineStr"/>
      <c r="AH1004" s="1302" t="n"/>
      <c r="AI1004" s="1302" t="n"/>
      <c r="AJ1004" s="1302" t="n"/>
      <c r="AK1004" s="1302">
        <f>AI1004-AJ1004</f>
        <v/>
      </c>
      <c r="AL1004" s="858" t="n"/>
      <c r="AM1004" s="1297" t="inlineStr"/>
      <c r="AN1004" s="1298" t="n"/>
      <c r="AO1004" s="13">
        <f>IF(_epmOfflineCondition_,0,EPMSaveDataOnly(AB1004,,AB$29,AB$25,AB$26,AB$31,AB$32,$AA$37,AO$14,AO$15,AO$16,AO$17,AO$18,X1004))</f>
        <v/>
      </c>
      <c r="AP1004" s="13">
        <f>IF(_epmOfflineCondition_,0,EPMSaveDataOnly(AL1004,,AL$29,AL$25,AL$26,AL$31,AL$32,$AA$37,AP$14,AP$15,AP$16,AP$17,AP$18,$X1004))</f>
        <v/>
      </c>
      <c r="AQ1004" s="13">
        <f>IF(_epmOfflineCondition_,0,EPMSaveData(AM1004,,AM$29,AM$25,AM$26,$C$6,AM$32,$AA$37,AQ$14,AQ$15,AQ$16,AQ$17,AQ$18,$X1004))</f>
        <v/>
      </c>
      <c r="AR1004" s="13">
        <f>IF(_epmOfflineCondition_,0,EPMSaveDataOnly(AN1004,,AN$29,AN$25,AN$26,AN$31,AN$32,$AA$37,AR$14,AR$15,AR$16,AR$17,AR$18,$X1004))</f>
        <v/>
      </c>
      <c r="AS1004" s="384" t="n"/>
    </row>
    <row r="1005" hidden="1" s="1181">
      <c r="A1005" s="384" t="n"/>
      <c r="B1005" s="384" t="n"/>
      <c r="C1005" s="384" t="n"/>
      <c r="D1005" s="384" t="n"/>
      <c r="E1005" s="384" t="n"/>
      <c r="F1005" s="384" t="n"/>
      <c r="G1005" s="384" t="n"/>
      <c r="H1005" s="384" t="n"/>
      <c r="I1005" s="384" t="n"/>
      <c r="J1005" s="384" t="n"/>
      <c r="K1005" s="384" t="n"/>
      <c r="L1005" s="384" t="n"/>
      <c r="M1005" s="384" t="n"/>
      <c r="N1005" s="384" t="n"/>
      <c r="O1005" s="384" t="n"/>
      <c r="P1005" s="384" t="n"/>
      <c r="Q1005" s="384" t="n"/>
      <c r="R1005" s="384" t="n"/>
      <c r="S1005" s="384" t="n"/>
      <c r="T1005" s="384" t="n"/>
      <c r="U1005" s="384" t="n"/>
      <c r="V1005" s="384" t="n"/>
      <c r="W1005" s="384" t="n"/>
      <c r="X1005" s="878">
        <f>IF(_epmOfflineCondition_,"I_E101410",EPMOlapMemberO("[C_INTERCO].[PARENTH1].[I_E101410]","","I_E101410","","000"))</f>
        <v/>
      </c>
      <c r="Y1005" s="870">
        <f>IF(_epmOfflineCondition_,"北京首嘉节能技术服务有限公司",EPMMemberDesc(X1005))</f>
        <v/>
      </c>
      <c r="Z1005" s="1302" t="n"/>
      <c r="AA1005" s="1302" t="n"/>
      <c r="AB1005" s="858" t="n"/>
      <c r="AC1005" s="1302" t="n"/>
      <c r="AD1005" s="1302" t="n"/>
      <c r="AE1005" s="1302" t="inlineStr"/>
      <c r="AF1005" s="1302" t="inlineStr"/>
      <c r="AG1005" s="1302" t="inlineStr"/>
      <c r="AH1005" s="1302" t="n"/>
      <c r="AI1005" s="1302" t="n"/>
      <c r="AJ1005" s="1302" t="n"/>
      <c r="AK1005" s="1302">
        <f>AI1005-AJ1005</f>
        <v/>
      </c>
      <c r="AL1005" s="858" t="n"/>
      <c r="AM1005" s="1297" t="inlineStr"/>
      <c r="AN1005" s="1298" t="n"/>
      <c r="AO1005" s="13">
        <f>IF(_epmOfflineCondition_,0,EPMSaveDataOnly(AB1005,,AB$29,AB$25,AB$26,AB$31,AB$32,$AA$37,AO$14,AO$15,AO$16,AO$17,AO$18,X1005))</f>
        <v/>
      </c>
      <c r="AP1005" s="13">
        <f>IF(_epmOfflineCondition_,0,EPMSaveDataOnly(AL1005,,AL$29,AL$25,AL$26,AL$31,AL$32,$AA$37,AP$14,AP$15,AP$16,AP$17,AP$18,$X1005))</f>
        <v/>
      </c>
      <c r="AQ1005" s="13">
        <f>IF(_epmOfflineCondition_,0,EPMSaveData(AM1005,,AM$29,AM$25,AM$26,$C$6,AM$32,$AA$37,AQ$14,AQ$15,AQ$16,AQ$17,AQ$18,$X1005))</f>
        <v/>
      </c>
      <c r="AR1005" s="13">
        <f>IF(_epmOfflineCondition_,0,EPMSaveDataOnly(AN1005,,AN$29,AN$25,AN$26,AN$31,AN$32,$AA$37,AR$14,AR$15,AR$16,AR$17,AR$18,$X1005))</f>
        <v/>
      </c>
      <c r="AS1005" s="384" t="n"/>
    </row>
    <row r="1006" hidden="1" s="1181">
      <c r="A1006" s="384" t="n"/>
      <c r="B1006" s="384" t="n"/>
      <c r="C1006" s="384" t="n"/>
      <c r="D1006" s="384" t="n"/>
      <c r="E1006" s="384" t="n"/>
      <c r="F1006" s="384" t="n"/>
      <c r="G1006" s="384" t="n"/>
      <c r="H1006" s="384" t="n"/>
      <c r="I1006" s="384" t="n"/>
      <c r="J1006" s="384" t="n"/>
      <c r="K1006" s="384" t="n"/>
      <c r="L1006" s="384" t="n"/>
      <c r="M1006" s="384" t="n"/>
      <c r="N1006" s="384" t="n"/>
      <c r="O1006" s="384" t="n"/>
      <c r="P1006" s="384" t="n"/>
      <c r="Q1006" s="384" t="n"/>
      <c r="R1006" s="384" t="n"/>
      <c r="S1006" s="384" t="n"/>
      <c r="T1006" s="384" t="n"/>
      <c r="U1006" s="384" t="n"/>
      <c r="V1006" s="384" t="n"/>
      <c r="W1006" s="384" t="n"/>
      <c r="X1006" s="878">
        <f>IF(_epmOfflineCondition_,"I_E101411",EPMOlapMemberO("[C_INTERCO].[PARENTH1].[I_E101411]","","I_E101411","","000"))</f>
        <v/>
      </c>
      <c r="Y1006" s="870">
        <f>IF(_epmOfflineCondition_,"南昌元泰嘉物业管理有限公司",EPMMemberDesc(X1006))</f>
        <v/>
      </c>
      <c r="Z1006" s="1302" t="n"/>
      <c r="AA1006" s="1302" t="n"/>
      <c r="AB1006" s="858" t="n"/>
      <c r="AC1006" s="1302" t="n"/>
      <c r="AD1006" s="1302" t="n"/>
      <c r="AE1006" s="1302" t="inlineStr"/>
      <c r="AF1006" s="1302" t="inlineStr"/>
      <c r="AG1006" s="1302" t="inlineStr"/>
      <c r="AH1006" s="1302" t="n"/>
      <c r="AI1006" s="1302" t="n"/>
      <c r="AJ1006" s="1302" t="n"/>
      <c r="AK1006" s="1302">
        <f>AI1006-AJ1006</f>
        <v/>
      </c>
      <c r="AL1006" s="858" t="n"/>
      <c r="AM1006" s="1297" t="inlineStr"/>
      <c r="AN1006" s="1298" t="n"/>
      <c r="AO1006" s="13">
        <f>IF(_epmOfflineCondition_,0,EPMSaveDataOnly(AB1006,,AB$29,AB$25,AB$26,AB$31,AB$32,$AA$37,AO$14,AO$15,AO$16,AO$17,AO$18,X1006))</f>
        <v/>
      </c>
      <c r="AP1006" s="13">
        <f>IF(_epmOfflineCondition_,0,EPMSaveDataOnly(AL1006,,AL$29,AL$25,AL$26,AL$31,AL$32,$AA$37,AP$14,AP$15,AP$16,AP$17,AP$18,$X1006))</f>
        <v/>
      </c>
      <c r="AQ1006" s="13">
        <f>IF(_epmOfflineCondition_,0,EPMSaveData(AM1006,,AM$29,AM$25,AM$26,$C$6,AM$32,$AA$37,AQ$14,AQ$15,AQ$16,AQ$17,AQ$18,$X1006))</f>
        <v/>
      </c>
      <c r="AR1006" s="13">
        <f>IF(_epmOfflineCondition_,0,EPMSaveDataOnly(AN1006,,AN$29,AN$25,AN$26,AN$31,AN$32,$AA$37,AR$14,AR$15,AR$16,AR$17,AR$18,$X1006))</f>
        <v/>
      </c>
      <c r="AS1006" s="384" t="n"/>
    </row>
    <row r="1007" hidden="1" s="1181">
      <c r="A1007" s="384" t="n"/>
      <c r="B1007" s="384" t="n"/>
      <c r="C1007" s="384" t="n"/>
      <c r="D1007" s="384" t="n"/>
      <c r="E1007" s="384" t="n"/>
      <c r="F1007" s="384" t="n"/>
      <c r="G1007" s="384" t="n"/>
      <c r="H1007" s="384" t="n"/>
      <c r="I1007" s="384" t="n"/>
      <c r="J1007" s="384" t="n"/>
      <c r="K1007" s="384" t="n"/>
      <c r="L1007" s="384" t="n"/>
      <c r="M1007" s="384" t="n"/>
      <c r="N1007" s="384" t="n"/>
      <c r="O1007" s="384" t="n"/>
      <c r="P1007" s="384" t="n"/>
      <c r="Q1007" s="384" t="n"/>
      <c r="R1007" s="384" t="n"/>
      <c r="S1007" s="384" t="n"/>
      <c r="T1007" s="384" t="n"/>
      <c r="U1007" s="384" t="n"/>
      <c r="V1007" s="384" t="n"/>
      <c r="W1007" s="384" t="n"/>
      <c r="X1007" s="878">
        <f>IF(_epmOfflineCondition_,"I_E101415",EPMOlapMemberO("[C_INTERCO].[PARENTH1].[I_E101415]","","I_E101415","","000"))</f>
        <v/>
      </c>
      <c r="Y1007" s="870">
        <f>IF(_epmOfflineCondition_,"北京华清能环咨询服务有限公司",EPMMemberDesc(X1007))</f>
        <v/>
      </c>
      <c r="Z1007" s="1302" t="n"/>
      <c r="AA1007" s="1302" t="n"/>
      <c r="AB1007" s="858" t="n"/>
      <c r="AC1007" s="1302" t="n"/>
      <c r="AD1007" s="1302" t="n"/>
      <c r="AE1007" s="1302" t="inlineStr"/>
      <c r="AF1007" s="1302" t="inlineStr"/>
      <c r="AG1007" s="1302" t="inlineStr"/>
      <c r="AH1007" s="1302" t="n"/>
      <c r="AI1007" s="1302" t="n"/>
      <c r="AJ1007" s="1302" t="n"/>
      <c r="AK1007" s="1302">
        <f>AI1007-AJ1007</f>
        <v/>
      </c>
      <c r="AL1007" s="858" t="n"/>
      <c r="AM1007" s="1297" t="inlineStr"/>
      <c r="AN1007" s="1298" t="n"/>
      <c r="AO1007" s="13">
        <f>IF(_epmOfflineCondition_,0,EPMSaveDataOnly(AB1007,,AB$29,AB$25,AB$26,AB$31,AB$32,$AA$37,AO$14,AO$15,AO$16,AO$17,AO$18,X1007))</f>
        <v/>
      </c>
      <c r="AP1007" s="13">
        <f>IF(_epmOfflineCondition_,0,EPMSaveDataOnly(AL1007,,AL$29,AL$25,AL$26,AL$31,AL$32,$AA$37,AP$14,AP$15,AP$16,AP$17,AP$18,$X1007))</f>
        <v/>
      </c>
      <c r="AQ1007" s="13">
        <f>IF(_epmOfflineCondition_,0,EPMSaveData(AM1007,,AM$29,AM$25,AM$26,$C$6,AM$32,$AA$37,AQ$14,AQ$15,AQ$16,AQ$17,AQ$18,$X1007))</f>
        <v/>
      </c>
      <c r="AR1007" s="13">
        <f>IF(_epmOfflineCondition_,0,EPMSaveDataOnly(AN1007,,AN$29,AN$25,AN$26,AN$31,AN$32,$AA$37,AR$14,AR$15,AR$16,AR$17,AR$18,$X1007))</f>
        <v/>
      </c>
      <c r="AS1007" s="384" t="n"/>
    </row>
    <row r="1008" hidden="1" s="1181">
      <c r="A1008" s="384" t="n"/>
      <c r="B1008" s="384" t="n"/>
      <c r="C1008" s="384" t="n"/>
      <c r="D1008" s="384" t="n"/>
      <c r="E1008" s="384" t="n"/>
      <c r="F1008" s="384" t="n"/>
      <c r="G1008" s="384" t="n"/>
      <c r="H1008" s="384" t="n"/>
      <c r="I1008" s="384" t="n"/>
      <c r="J1008" s="384" t="n"/>
      <c r="K1008" s="384" t="n"/>
      <c r="L1008" s="384" t="n"/>
      <c r="M1008" s="384" t="n"/>
      <c r="N1008" s="384" t="n"/>
      <c r="O1008" s="384" t="n"/>
      <c r="P1008" s="384" t="n"/>
      <c r="Q1008" s="384" t="n"/>
      <c r="R1008" s="384" t="n"/>
      <c r="S1008" s="384" t="n"/>
      <c r="T1008" s="384" t="n"/>
      <c r="U1008" s="384" t="n"/>
      <c r="V1008" s="384" t="n"/>
      <c r="W1008" s="384" t="n"/>
      <c r="X1008" s="878">
        <f>IF(_epmOfflineCondition_,"I_E101412",EPMOlapMemberO("[C_INTERCO].[PARENTH1].[I_E101412]","","I_E101412","","000"))</f>
        <v/>
      </c>
      <c r="Y1008" s="870">
        <f>IF(_epmOfflineCondition_,"华清安泰能源服务（北京）有限公司",EPMMemberDesc(X1008))</f>
        <v/>
      </c>
      <c r="Z1008" s="1302" t="n"/>
      <c r="AA1008" s="1302" t="n"/>
      <c r="AB1008" s="858" t="n"/>
      <c r="AC1008" s="1302" t="n"/>
      <c r="AD1008" s="1302" t="n"/>
      <c r="AE1008" s="1302" t="inlineStr"/>
      <c r="AF1008" s="1302" t="inlineStr"/>
      <c r="AG1008" s="1302" t="inlineStr"/>
      <c r="AH1008" s="1302" t="n"/>
      <c r="AI1008" s="1302" t="n"/>
      <c r="AJ1008" s="1302" t="n"/>
      <c r="AK1008" s="1302">
        <f>AI1008-AJ1008</f>
        <v/>
      </c>
      <c r="AL1008" s="858" t="n"/>
      <c r="AM1008" s="1297" t="inlineStr"/>
      <c r="AN1008" s="1298" t="n"/>
      <c r="AO1008" s="13">
        <f>IF(_epmOfflineCondition_,0,EPMSaveDataOnly(AB1008,,AB$29,AB$25,AB$26,AB$31,AB$32,$AA$37,AO$14,AO$15,AO$16,AO$17,AO$18,X1008))</f>
        <v/>
      </c>
      <c r="AP1008" s="13">
        <f>IF(_epmOfflineCondition_,0,EPMSaveDataOnly(AL1008,,AL$29,AL$25,AL$26,AL$31,AL$32,$AA$37,AP$14,AP$15,AP$16,AP$17,AP$18,$X1008))</f>
        <v/>
      </c>
      <c r="AQ1008" s="13">
        <f>IF(_epmOfflineCondition_,0,EPMSaveData(AM1008,,AM$29,AM$25,AM$26,$C$6,AM$32,$AA$37,AQ$14,AQ$15,AQ$16,AQ$17,AQ$18,$X1008))</f>
        <v/>
      </c>
      <c r="AR1008" s="13">
        <f>IF(_epmOfflineCondition_,0,EPMSaveDataOnly(AN1008,,AN$29,AN$25,AN$26,AN$31,AN$32,$AA$37,AR$14,AR$15,AR$16,AR$17,AR$18,$X1008))</f>
        <v/>
      </c>
      <c r="AS1008" s="384" t="n"/>
    </row>
    <row r="1009" hidden="1" s="1181">
      <c r="A1009" s="384" t="n"/>
      <c r="B1009" s="384" t="n"/>
      <c r="C1009" s="384" t="n"/>
      <c r="D1009" s="384" t="n"/>
      <c r="E1009" s="384" t="n"/>
      <c r="F1009" s="384" t="n"/>
      <c r="G1009" s="384" t="n"/>
      <c r="H1009" s="384" t="n"/>
      <c r="I1009" s="384" t="n"/>
      <c r="J1009" s="384" t="n"/>
      <c r="K1009" s="384" t="n"/>
      <c r="L1009" s="384" t="n"/>
      <c r="M1009" s="384" t="n"/>
      <c r="N1009" s="384" t="n"/>
      <c r="O1009" s="384" t="n"/>
      <c r="P1009" s="384" t="n"/>
      <c r="Q1009" s="384" t="n"/>
      <c r="R1009" s="384" t="n"/>
      <c r="S1009" s="384" t="n"/>
      <c r="T1009" s="384" t="n"/>
      <c r="U1009" s="384" t="n"/>
      <c r="V1009" s="384" t="n"/>
      <c r="W1009" s="384" t="n"/>
      <c r="X1009" s="878">
        <f>IF(_epmOfflineCondition_,"I_E101413",EPMOlapMemberO("[C_INTERCO].[PARENTH1].[I_E101413]","","I_E101413","","000"))</f>
        <v/>
      </c>
      <c r="Y1009" s="870">
        <f>IF(_epmOfflineCondition_,"华清蔚来新能源（北京）有限公司",EPMMemberDesc(X1009))</f>
        <v/>
      </c>
      <c r="Z1009" s="1302" t="n"/>
      <c r="AA1009" s="1302" t="n"/>
      <c r="AB1009" s="858" t="n"/>
      <c r="AC1009" s="1302" t="n"/>
      <c r="AD1009" s="1302" t="n"/>
      <c r="AE1009" s="1302" t="inlineStr"/>
      <c r="AF1009" s="1302" t="inlineStr"/>
      <c r="AG1009" s="1302" t="inlineStr"/>
      <c r="AH1009" s="1302" t="n"/>
      <c r="AI1009" s="1302" t="n"/>
      <c r="AJ1009" s="1302" t="n"/>
      <c r="AK1009" s="1302">
        <f>AI1009-AJ1009</f>
        <v/>
      </c>
      <c r="AL1009" s="858" t="n"/>
      <c r="AM1009" s="1297" t="inlineStr"/>
      <c r="AN1009" s="1298" t="n"/>
      <c r="AO1009" s="13">
        <f>IF(_epmOfflineCondition_,0,EPMSaveDataOnly(AB1009,,AB$29,AB$25,AB$26,AB$31,AB$32,$AA$37,AO$14,AO$15,AO$16,AO$17,AO$18,X1009))</f>
        <v/>
      </c>
      <c r="AP1009" s="13">
        <f>IF(_epmOfflineCondition_,0,EPMSaveDataOnly(AL1009,,AL$29,AL$25,AL$26,AL$31,AL$32,$AA$37,AP$14,AP$15,AP$16,AP$17,AP$18,$X1009))</f>
        <v/>
      </c>
      <c r="AQ1009" s="13">
        <f>IF(_epmOfflineCondition_,0,EPMSaveData(AM1009,,AM$29,AM$25,AM$26,$C$6,AM$32,$AA$37,AQ$14,AQ$15,AQ$16,AQ$17,AQ$18,$X1009))</f>
        <v/>
      </c>
      <c r="AR1009" s="13">
        <f>IF(_epmOfflineCondition_,0,EPMSaveDataOnly(AN1009,,AN$29,AN$25,AN$26,AN$31,AN$32,$AA$37,AR$14,AR$15,AR$16,AR$17,AR$18,$X1009))</f>
        <v/>
      </c>
      <c r="AS1009" s="384" t="n"/>
    </row>
    <row r="1010" hidden="1" s="1181">
      <c r="A1010" s="384" t="n"/>
      <c r="B1010" s="384" t="n"/>
      <c r="C1010" s="384" t="n"/>
      <c r="D1010" s="384" t="n"/>
      <c r="E1010" s="384" t="n"/>
      <c r="F1010" s="384" t="n"/>
      <c r="G1010" s="384" t="n"/>
      <c r="H1010" s="384" t="n"/>
      <c r="I1010" s="384" t="n"/>
      <c r="J1010" s="384" t="n"/>
      <c r="K1010" s="384" t="n"/>
      <c r="L1010" s="384" t="n"/>
      <c r="M1010" s="384" t="n"/>
      <c r="N1010" s="384" t="n"/>
      <c r="O1010" s="384" t="n"/>
      <c r="P1010" s="384" t="n"/>
      <c r="Q1010" s="384" t="n"/>
      <c r="R1010" s="384" t="n"/>
      <c r="S1010" s="384" t="n"/>
      <c r="T1010" s="384" t="n"/>
      <c r="U1010" s="384" t="n"/>
      <c r="V1010" s="384" t="n"/>
      <c r="W1010" s="384" t="n"/>
      <c r="X1010" s="878">
        <f>IF(_epmOfflineCondition_,"I_E101407",EPMOlapMemberO("[C_INTERCO].[PARENTH1].[I_E101407]","","I_E101407","","000"))</f>
        <v/>
      </c>
      <c r="Y1010" s="870">
        <f>IF(_epmOfflineCondition_,"华清安泰能源股份有限公司",EPMMemberDesc(X1010))</f>
        <v/>
      </c>
      <c r="Z1010" s="1302" t="n"/>
      <c r="AA1010" s="1302" t="n"/>
      <c r="AB1010" s="858" t="n"/>
      <c r="AC1010" s="1302" t="n"/>
      <c r="AD1010" s="1302" t="n"/>
      <c r="AE1010" s="1302" t="inlineStr"/>
      <c r="AF1010" s="1302" t="inlineStr"/>
      <c r="AG1010" s="1302" t="inlineStr"/>
      <c r="AH1010" s="1302" t="n"/>
      <c r="AI1010" s="1302" t="n"/>
      <c r="AJ1010" s="1302" t="n"/>
      <c r="AK1010" s="1302">
        <f>AI1010-AJ1010</f>
        <v/>
      </c>
      <c r="AL1010" s="858" t="n"/>
      <c r="AM1010" s="1297" t="inlineStr"/>
      <c r="AN1010" s="1298" t="n"/>
      <c r="AO1010" s="13">
        <f>IF(_epmOfflineCondition_,0,EPMSaveDataOnly(AB1010,,AB$29,AB$25,AB$26,AB$31,AB$32,$AA$37,AO$14,AO$15,AO$16,AO$17,AO$18,X1010))</f>
        <v/>
      </c>
      <c r="AP1010" s="13">
        <f>IF(_epmOfflineCondition_,0,EPMSaveDataOnly(AL1010,,AL$29,AL$25,AL$26,AL$31,AL$32,$AA$37,AP$14,AP$15,AP$16,AP$17,AP$18,$X1010))</f>
        <v/>
      </c>
      <c r="AQ1010" s="13">
        <f>IF(_epmOfflineCondition_,0,EPMSaveData(AM1010,,AM$29,AM$25,AM$26,$C$6,AM$32,$AA$37,AQ$14,AQ$15,AQ$16,AQ$17,AQ$18,$X1010))</f>
        <v/>
      </c>
      <c r="AR1010" s="13">
        <f>IF(_epmOfflineCondition_,0,EPMSaveDataOnly(AN1010,,AN$29,AN$25,AN$26,AN$31,AN$32,$AA$37,AR$14,AR$15,AR$16,AR$17,AR$18,$X1010))</f>
        <v/>
      </c>
      <c r="AS1010" s="384" t="n"/>
    </row>
    <row r="1011" hidden="1" s="1181">
      <c r="A1011" s="384" t="n"/>
      <c r="B1011" s="384" t="n"/>
      <c r="C1011" s="384" t="n"/>
      <c r="D1011" s="384" t="n"/>
      <c r="E1011" s="384" t="n"/>
      <c r="F1011" s="384" t="n"/>
      <c r="G1011" s="384" t="n"/>
      <c r="H1011" s="384" t="n"/>
      <c r="I1011" s="384" t="n"/>
      <c r="J1011" s="384" t="n"/>
      <c r="K1011" s="384" t="n"/>
      <c r="L1011" s="384" t="n"/>
      <c r="M1011" s="384" t="n"/>
      <c r="N1011" s="384" t="n"/>
      <c r="O1011" s="384" t="n"/>
      <c r="P1011" s="384" t="n"/>
      <c r="Q1011" s="384" t="n"/>
      <c r="R1011" s="384" t="n"/>
      <c r="S1011" s="384" t="n"/>
      <c r="T1011" s="384" t="n"/>
      <c r="U1011" s="384" t="n"/>
      <c r="V1011" s="384" t="n"/>
      <c r="W1011" s="384" t="n"/>
      <c r="X1011" s="878">
        <f>IF(_epmOfflineCondition_,"I_E101416",EPMOlapMemberO("[C_INTERCO].[PARENTH1].[I_E101416]","","I_E101416","","000"))</f>
        <v/>
      </c>
      <c r="Y1011" s="870">
        <f>IF(_epmOfflineCondition_,"保定佳先能源科技有限公司",EPMMemberDesc(X1011))</f>
        <v/>
      </c>
      <c r="Z1011" s="1302" t="n"/>
      <c r="AA1011" s="1302" t="n"/>
      <c r="AB1011" s="858" t="n"/>
      <c r="AC1011" s="1302" t="n"/>
      <c r="AD1011" s="1302" t="n"/>
      <c r="AE1011" s="1302" t="inlineStr"/>
      <c r="AF1011" s="1302" t="inlineStr"/>
      <c r="AG1011" s="1302" t="inlineStr"/>
      <c r="AH1011" s="1302" t="n"/>
      <c r="AI1011" s="1302" t="n"/>
      <c r="AJ1011" s="1302" t="n"/>
      <c r="AK1011" s="1302">
        <f>AI1011-AJ1011</f>
        <v/>
      </c>
      <c r="AL1011" s="858" t="n"/>
      <c r="AM1011" s="1297" t="inlineStr"/>
      <c r="AN1011" s="1298" t="n"/>
      <c r="AO1011" s="13">
        <f>IF(_epmOfflineCondition_,0,EPMSaveDataOnly(AB1011,,AB$29,AB$25,AB$26,AB$31,AB$32,$AA$37,AO$14,AO$15,AO$16,AO$17,AO$18,X1011))</f>
        <v/>
      </c>
      <c r="AP1011" s="13">
        <f>IF(_epmOfflineCondition_,0,EPMSaveDataOnly(AL1011,,AL$29,AL$25,AL$26,AL$31,AL$32,$AA$37,AP$14,AP$15,AP$16,AP$17,AP$18,$X1011))</f>
        <v/>
      </c>
      <c r="AQ1011" s="13">
        <f>IF(_epmOfflineCondition_,0,EPMSaveData(AM1011,,AM$29,AM$25,AM$26,$C$6,AM$32,$AA$37,AQ$14,AQ$15,AQ$16,AQ$17,AQ$18,$X1011))</f>
        <v/>
      </c>
      <c r="AR1011" s="13">
        <f>IF(_epmOfflineCondition_,0,EPMSaveDataOnly(AN1011,,AN$29,AN$25,AN$26,AN$31,AN$32,$AA$37,AR$14,AR$15,AR$16,AR$17,AR$18,$X1011))</f>
        <v/>
      </c>
      <c r="AS1011" s="384" t="n"/>
    </row>
  </sheetData>
  <sheetProtection selectLockedCells="0" selectUnlockedCells="0" algorithmName="SHA-512" sheet="1" objects="0" insertRows="1" insertHyperlinks="1" autoFilter="1" scenarios="1" formatColumns="1" deleteColumns="1" insertColumns="1" pivotTables="1" deleteRows="1" formatCells="1" saltValue="p/vTtkHVCkDs4i5kFPC+RQ==" formatRows="1" sort="1" spinCount="100000" hashValue="mpu6iYCdMdM64GumePz12vYTxrBhjcKIJxEFQoTR7Ct84knt24FbgDYVFhASaNzQYO+M2VgJz7T2WG8g/esc5Q=="/>
  <mergeCells count="13">
    <mergeCell ref="H2:J2"/>
    <mergeCell ref="D16:E16"/>
    <mergeCell ref="AC38:AG38"/>
    <mergeCell ref="X40:Y40"/>
    <mergeCell ref="X38:X39"/>
    <mergeCell ref="Y38:Y39"/>
    <mergeCell ref="AH38:AH39"/>
    <mergeCell ref="AI38:AI39"/>
    <mergeCell ref="AJ38:AJ39"/>
    <mergeCell ref="AK38:AK39"/>
    <mergeCell ref="AL38:AL39"/>
    <mergeCell ref="AM38:AM39"/>
    <mergeCell ref="AN38:AN39"/>
  </mergeCells>
  <dataValidations count="2">
    <dataValidation sqref="AA37" showErrorMessage="1" showInputMessage="1" allowBlank="1" type="list">
      <formula1>"LC,CNY"</formula1>
    </dataValidation>
    <dataValidation sqref="AA39" showErrorMessage="1" showInputMessage="1" allowBlank="0" errorTitle="提示" error="输入的币种名称不正确，请检查" promptTitle="提示" prompt="请使用下拉框选择币种名称"/>
  </dataValidations>
  <pageMargins left="0.7" right="0.7" top="0.75" bottom="0.75" header="0.3" footer="0.3"/>
  <pageSetup orientation="portrait" paperSize="9"/>
  <drawing xmlns:r="http://schemas.openxmlformats.org/officeDocument/2006/relationships" r:id="rId1"/>
</worksheet>
</file>

<file path=xl/worksheets/sheet13.xml><?xml version="1.0" encoding="utf-8"?>
<worksheet xmlns="http://schemas.openxmlformats.org/spreadsheetml/2006/main">
  <sheetPr codeName="Sheet9">
    <outlinePr summaryBelow="1" summaryRight="1"/>
    <pageSetUpPr/>
  </sheetPr>
  <dimension ref="A1:H1118"/>
  <sheetViews>
    <sheetView zoomScale="90" zoomScaleNormal="90" workbookViewId="0">
      <selection activeCell="G17" sqref="G17"/>
    </sheetView>
  </sheetViews>
  <sheetFormatPr baseColWidth="8" defaultColWidth="8.375" defaultRowHeight="15.2"/>
  <cols>
    <col width="20" customWidth="1" style="462" min="1" max="1"/>
    <col width="6.125" customWidth="1" style="203" min="2" max="2"/>
    <col width="35.375" customWidth="1" style="716" min="3" max="3"/>
    <col width="16.375" customWidth="1" style="716" min="4" max="4"/>
    <col width="31.25" customWidth="1" style="716" min="5" max="5"/>
    <col width="8.375" customWidth="1" style="716" min="6" max="6"/>
    <col width="18.125" customWidth="1" style="716" min="7" max="7"/>
    <col width="11.625" customWidth="1" style="462" min="8" max="8"/>
    <col width="8.375" customWidth="1" style="716" min="9" max="16384"/>
  </cols>
  <sheetData>
    <row r="1" customFormat="1" s="760">
      <c r="A1" s="833" t="inlineStr">
        <is>
          <t>债权投资明细表-集团外-公司</t>
        </is>
      </c>
      <c r="B1" s="834" t="n"/>
      <c r="C1" s="835" t="n"/>
      <c r="D1" s="514" t="n"/>
      <c r="E1" s="835" t="n"/>
      <c r="F1" s="760" t="n"/>
      <c r="G1" s="762" t="inlineStr">
        <is>
          <t>取值</t>
        </is>
      </c>
      <c r="H1" s="1183" t="n"/>
    </row>
    <row r="2" customFormat="1" s="760">
      <c r="A2" s="764" t="inlineStr">
        <is>
          <t>Entity</t>
        </is>
      </c>
      <c r="B2" s="765" t="inlineStr">
        <is>
          <t>行号</t>
        </is>
      </c>
      <c r="C2" s="766" t="inlineStr">
        <is>
          <t>实体名称</t>
        </is>
      </c>
      <c r="D2" s="766" t="inlineStr">
        <is>
          <t>出资方编码</t>
        </is>
      </c>
      <c r="E2" s="766" t="inlineStr">
        <is>
          <t>出资方</t>
        </is>
      </c>
      <c r="F2" s="760" t="n"/>
      <c r="G2" s="768" t="inlineStr">
        <is>
          <t>Entity</t>
        </is>
      </c>
      <c r="H2" s="672">
        <f>#REF!</f>
        <v/>
      </c>
    </row>
    <row r="3">
      <c r="A3" s="672" t="inlineStr">
        <is>
          <t>E100000</t>
        </is>
      </c>
      <c r="B3" s="767" t="inlineStr"/>
      <c r="C3" s="182" t="inlineStr">
        <is>
          <t>北京能源集团有限责任公司</t>
        </is>
      </c>
      <c r="D3" s="182" t="inlineStr">
        <is>
          <t>I_ES20035453</t>
        </is>
      </c>
      <c r="E3" s="182" t="inlineStr">
        <is>
          <t>厦门赛富股权投资合伙企业（有限合伙）（外部）</t>
        </is>
      </c>
      <c r="F3" s="716" t="n"/>
      <c r="G3" s="768" t="inlineStr">
        <is>
          <t>集团外公司-行号</t>
        </is>
      </c>
      <c r="H3" s="672">
        <f>VLOOKUP($H$2,A1:B376,2,FALSE)</f>
        <v/>
      </c>
    </row>
    <row r="4">
      <c r="A4" s="672" t="inlineStr">
        <is>
          <t>E100000</t>
        </is>
      </c>
      <c r="B4" s="767" t="inlineStr"/>
      <c r="C4" s="182" t="inlineStr">
        <is>
          <t>北京能源集团有限责任公司</t>
        </is>
      </c>
      <c r="D4" s="182" t="inlineStr">
        <is>
          <t>I_ES20039024</t>
        </is>
      </c>
      <c r="E4" s="182" t="inlineStr">
        <is>
          <t>国华能源有限公司（外部）</t>
        </is>
      </c>
      <c r="F4" s="716" t="n"/>
      <c r="G4" s="768" t="inlineStr">
        <is>
          <t>集团外个人-行号</t>
        </is>
      </c>
      <c r="H4" s="672" t="n"/>
    </row>
    <row r="5">
      <c r="A5" s="672" t="inlineStr">
        <is>
          <t>E100000</t>
        </is>
      </c>
      <c r="B5" s="767" t="inlineStr"/>
      <c r="C5" s="182" t="inlineStr">
        <is>
          <t>北京能源集团有限责任公司</t>
        </is>
      </c>
      <c r="D5" s="182" t="inlineStr">
        <is>
          <t>I_ES20044878</t>
        </is>
      </c>
      <c r="E5" s="182" t="inlineStr">
        <is>
          <t>山东鲁信投资集团股份有限公司（外部）</t>
        </is>
      </c>
      <c r="F5" s="716" t="n"/>
      <c r="G5" s="768" t="inlineStr">
        <is>
          <t>集团外其他-行号</t>
        </is>
      </c>
      <c r="H5" s="672" t="n"/>
    </row>
    <row r="6">
      <c r="A6" s="672" t="inlineStr">
        <is>
          <t>E100000</t>
        </is>
      </c>
      <c r="B6" s="767" t="inlineStr"/>
      <c r="C6" s="182" t="inlineStr">
        <is>
          <t>北京能源集团有限责任公司</t>
        </is>
      </c>
      <c r="D6" s="182" t="inlineStr">
        <is>
          <t>I_ES99999998</t>
        </is>
      </c>
      <c r="E6" s="182" t="inlineStr">
        <is>
          <t>财务专用客商</t>
        </is>
      </c>
      <c r="F6" s="716" t="n"/>
      <c r="G6" s="768" t="inlineStr">
        <is>
          <t>集团内-行号</t>
        </is>
      </c>
      <c r="H6" s="672">
        <f>VLOOKUP($H$2,A377:B2083,2,FALSE)</f>
        <v/>
      </c>
    </row>
    <row r="7">
      <c r="A7" s="672" t="inlineStr">
        <is>
          <t>E100000</t>
        </is>
      </c>
      <c r="B7" s="767" t="inlineStr"/>
      <c r="C7" s="182" t="inlineStr">
        <is>
          <t>北京能源集团有限责任公司</t>
        </is>
      </c>
      <c r="D7" s="182" t="inlineStr">
        <is>
          <t>I_ES20044886</t>
        </is>
      </c>
      <c r="E7" s="182" t="inlineStr">
        <is>
          <t>北京中欧兴业投资管理有限公司</t>
        </is>
      </c>
      <c r="F7" s="716" t="n"/>
      <c r="G7" s="716" t="n"/>
      <c r="H7" s="462" t="n"/>
    </row>
    <row r="8">
      <c r="A8" s="672" t="inlineStr">
        <is>
          <t>E100000</t>
        </is>
      </c>
      <c r="B8" s="767" t="inlineStr"/>
      <c r="C8" s="182" t="inlineStr">
        <is>
          <t>北京能源集团有限责任公司</t>
        </is>
      </c>
      <c r="D8" s="182" t="inlineStr">
        <is>
          <t>I_ES20034878</t>
        </is>
      </c>
      <c r="E8" s="182" t="inlineStr">
        <is>
          <t>北京静态交通投资运营有限公司</t>
        </is>
      </c>
      <c r="F8" s="716" t="n"/>
      <c r="G8" s="716" t="n"/>
      <c r="H8" s="462" t="n"/>
    </row>
    <row r="9">
      <c r="A9" s="672" t="inlineStr">
        <is>
          <t>E100000</t>
        </is>
      </c>
      <c r="B9" s="767" t="inlineStr"/>
      <c r="C9" s="182" t="inlineStr">
        <is>
          <t>北京能源集团有限责任公司</t>
        </is>
      </c>
      <c r="D9" s="182" t="inlineStr">
        <is>
          <t>I_ES20044887</t>
        </is>
      </c>
      <c r="E9" s="182" t="inlineStr">
        <is>
          <t>首创证券股份有限公司</t>
        </is>
      </c>
      <c r="F9" s="716" t="n"/>
      <c r="G9" s="716" t="n"/>
      <c r="H9" s="462" t="n"/>
    </row>
    <row r="10">
      <c r="A10" s="672" t="inlineStr">
        <is>
          <t>E100000</t>
        </is>
      </c>
      <c r="B10" s="767" t="inlineStr"/>
      <c r="C10" s="182" t="inlineStr">
        <is>
          <t>北京能源集团有限责任公司</t>
        </is>
      </c>
      <c r="D10" s="182" t="inlineStr">
        <is>
          <t>I_ES20044888</t>
        </is>
      </c>
      <c r="E10" s="182" t="inlineStr">
        <is>
          <t>中投信用担保有限公司</t>
        </is>
      </c>
      <c r="F10" s="716" t="n"/>
      <c r="G10" s="716" t="n"/>
      <c r="H10" s="462" t="n"/>
    </row>
    <row r="11">
      <c r="A11" s="672" t="inlineStr">
        <is>
          <t>E100000</t>
        </is>
      </c>
      <c r="B11" s="767" t="inlineStr"/>
      <c r="C11" s="182" t="inlineStr">
        <is>
          <t>北京能源集团有限责任公司</t>
        </is>
      </c>
      <c r="D11" s="182" t="inlineStr">
        <is>
          <t>I_ES20000063</t>
        </is>
      </c>
      <c r="E11" s="182" t="inlineStr">
        <is>
          <t>【停用】北京首创股份有限公司</t>
        </is>
      </c>
      <c r="F11" s="716" t="n"/>
      <c r="G11" s="716" t="n"/>
      <c r="H11" s="462" t="n"/>
    </row>
    <row r="12">
      <c r="A12" s="672" t="inlineStr">
        <is>
          <t>E100000</t>
        </is>
      </c>
      <c r="B12" s="767" t="inlineStr"/>
      <c r="C12" s="182" t="inlineStr">
        <is>
          <t>北京能源集团有限责任公司</t>
        </is>
      </c>
      <c r="D12" s="182" t="inlineStr">
        <is>
          <t>I_ES20000060</t>
        </is>
      </c>
      <c r="E12" s="182" t="inlineStr">
        <is>
          <t>【停用】国电电力发展股份有限公司</t>
        </is>
      </c>
      <c r="F12" s="716" t="n"/>
      <c r="G12" s="716" t="n"/>
      <c r="H12" s="462" t="n"/>
    </row>
    <row r="13">
      <c r="A13" s="672" t="inlineStr">
        <is>
          <t>E100000</t>
        </is>
      </c>
      <c r="B13" s="767" t="inlineStr"/>
      <c r="C13" s="182" t="inlineStr">
        <is>
          <t>北京能源集团有限责任公司</t>
        </is>
      </c>
      <c r="D13" s="182" t="inlineStr">
        <is>
          <t>I_ES20036719</t>
        </is>
      </c>
      <c r="E13" s="182" t="inlineStr">
        <is>
          <t>国电电力发展股份有限公司（外部）</t>
        </is>
      </c>
      <c r="F13" s="716" t="n"/>
      <c r="G13" s="716" t="n"/>
      <c r="H13" s="462" t="n"/>
    </row>
    <row r="14">
      <c r="A14" s="672" t="inlineStr">
        <is>
          <t>E100000</t>
        </is>
      </c>
      <c r="B14" s="767" t="inlineStr"/>
      <c r="C14" s="182" t="inlineStr">
        <is>
          <t>北京能源集团有限责任公司</t>
        </is>
      </c>
      <c r="D14" s="182" t="inlineStr">
        <is>
          <t>I_ES20024647</t>
        </is>
      </c>
      <c r="E14" s="182" t="inlineStr">
        <is>
          <t>国泰君安证券股份有限公司（外部）</t>
        </is>
      </c>
      <c r="F14" s="716" t="n"/>
      <c r="G14" s="716" t="n"/>
      <c r="H14" s="462" t="n"/>
    </row>
    <row r="15">
      <c r="A15" s="672" t="inlineStr">
        <is>
          <t>E100000</t>
        </is>
      </c>
      <c r="B15" s="767" t="inlineStr"/>
      <c r="C15" s="182" t="inlineStr">
        <is>
          <t>北京能源集团有限责任公司</t>
        </is>
      </c>
      <c r="D15" s="182" t="inlineStr">
        <is>
          <t>I_ES20044892</t>
        </is>
      </c>
      <c r="E15" s="182" t="inlineStr">
        <is>
          <t>北京京国瑞国企改革发展基金</t>
        </is>
      </c>
      <c r="F15" s="716" t="n"/>
      <c r="G15" s="716" t="n"/>
      <c r="H15" s="462" t="n"/>
    </row>
    <row r="16">
      <c r="A16" s="672" t="inlineStr">
        <is>
          <t>E100000</t>
        </is>
      </c>
      <c r="B16" s="767" t="inlineStr"/>
      <c r="C16" s="182" t="inlineStr">
        <is>
          <t>北京能源集团有限责任公司</t>
        </is>
      </c>
      <c r="D16" s="182" t="inlineStr">
        <is>
          <t>I_ES20036247</t>
        </is>
      </c>
      <c r="E16" s="182" t="inlineStr">
        <is>
          <t>北京首都国际投资管理有限责任公司（外部2）</t>
        </is>
      </c>
      <c r="F16" s="716" t="n"/>
      <c r="G16" s="716" t="n"/>
      <c r="H16" s="462" t="n"/>
    </row>
    <row r="17">
      <c r="A17" s="672" t="inlineStr">
        <is>
          <t>E100000</t>
        </is>
      </c>
      <c r="B17" s="767" t="inlineStr"/>
      <c r="C17" s="182" t="inlineStr">
        <is>
          <t>北京能源集团有限责任公司</t>
        </is>
      </c>
      <c r="D17" s="182" t="inlineStr">
        <is>
          <t>I_ES20035759</t>
        </is>
      </c>
      <c r="E17" s="182" t="inlineStr">
        <is>
          <t>中铝宁夏能源集团有限公司（外部）</t>
        </is>
      </c>
      <c r="F17" s="716" t="n"/>
      <c r="G17" s="716" t="n"/>
      <c r="H17" s="462" t="n"/>
    </row>
    <row r="18">
      <c r="A18" s="672" t="inlineStr">
        <is>
          <t>E100000</t>
        </is>
      </c>
      <c r="B18" s="767" t="inlineStr"/>
      <c r="C18" s="182" t="inlineStr">
        <is>
          <t>北京能源集团有限责任公司</t>
        </is>
      </c>
      <c r="D18" s="182" t="inlineStr">
        <is>
          <t>I_EC10076104</t>
        </is>
      </c>
      <c r="E18" s="182" t="inlineStr">
        <is>
          <t>首都电力交易中心有限公司</t>
        </is>
      </c>
      <c r="F18" s="716" t="n"/>
      <c r="G18" s="716" t="n"/>
      <c r="H18" s="462" t="n"/>
    </row>
    <row r="19">
      <c r="A19" s="672" t="inlineStr">
        <is>
          <t>E100000</t>
        </is>
      </c>
      <c r="B19" s="767" t="inlineStr"/>
      <c r="C19" s="182" t="inlineStr">
        <is>
          <t>北京能源集团有限责任公司</t>
        </is>
      </c>
      <c r="D19" s="182" t="inlineStr">
        <is>
          <t>I_EC10039874</t>
        </is>
      </c>
      <c r="E19" s="182" t="inlineStr">
        <is>
          <t>北京京国瑞股权投资基金管理有限公司</t>
        </is>
      </c>
      <c r="F19" s="716" t="n"/>
      <c r="G19" s="716" t="n"/>
      <c r="H19" s="462" t="n"/>
    </row>
    <row r="20">
      <c r="A20" s="672" t="inlineStr">
        <is>
          <t>E100000</t>
        </is>
      </c>
      <c r="B20" s="767" t="inlineStr"/>
      <c r="C20" s="182" t="inlineStr">
        <is>
          <t>北京能源集团有限责任公司</t>
        </is>
      </c>
      <c r="D20" s="182" t="inlineStr">
        <is>
          <t>I_EC10040104</t>
        </is>
      </c>
      <c r="E20" s="182" t="inlineStr">
        <is>
          <t>北京顺隆投资发展基金（有限合伙）</t>
        </is>
      </c>
      <c r="F20" s="716" t="n"/>
      <c r="G20" s="716" t="n"/>
      <c r="H20" s="462" t="n"/>
    </row>
    <row r="21">
      <c r="A21" s="672" t="inlineStr">
        <is>
          <t>E100000</t>
        </is>
      </c>
      <c r="B21" s="767" t="inlineStr"/>
      <c r="C21" s="182" t="inlineStr">
        <is>
          <t>北京能源集团有限责任公司</t>
        </is>
      </c>
      <c r="D21" s="182" t="inlineStr">
        <is>
          <t>I_EC10013130</t>
        </is>
      </c>
      <c r="E21" s="182" t="inlineStr">
        <is>
          <t>北京实创科技园开发建设股份有限公司</t>
        </is>
      </c>
      <c r="F21" s="716" t="n"/>
      <c r="G21" s="716" t="n"/>
      <c r="H21" s="462" t="n"/>
    </row>
    <row r="22">
      <c r="A22" s="672" t="inlineStr">
        <is>
          <t>E100000</t>
        </is>
      </c>
      <c r="B22" s="767" t="inlineStr"/>
      <c r="C22" s="182" t="inlineStr">
        <is>
          <t>北京能源集团有限责任公司</t>
        </is>
      </c>
      <c r="D22" s="182" t="inlineStr">
        <is>
          <t>I_EC10051316</t>
        </is>
      </c>
      <c r="E22" s="182" t="inlineStr">
        <is>
          <t>山东鲁信投资集团股份有限公司</t>
        </is>
      </c>
      <c r="F22" s="716" t="n"/>
      <c r="G22" s="716" t="n"/>
      <c r="H22" s="462" t="n"/>
    </row>
    <row r="23">
      <c r="A23" s="672" t="inlineStr">
        <is>
          <t>E100000</t>
        </is>
      </c>
      <c r="B23" s="767" t="inlineStr"/>
      <c r="C23" s="182" t="inlineStr">
        <is>
          <t>北京能源集团有限责任公司</t>
        </is>
      </c>
      <c r="D23" s="182" t="inlineStr">
        <is>
          <t>I_EC10051319</t>
        </is>
      </c>
      <c r="E23" s="182" t="inlineStr">
        <is>
          <t>北京城市铁路股份有限公司</t>
        </is>
      </c>
      <c r="F23" s="716" t="n"/>
      <c r="G23" s="716" t="n"/>
      <c r="H23" s="462" t="n"/>
    </row>
    <row r="24">
      <c r="A24" s="672" t="inlineStr">
        <is>
          <t>E100000</t>
        </is>
      </c>
      <c r="B24" s="767" t="inlineStr"/>
      <c r="C24" s="182" t="inlineStr">
        <is>
          <t>北京能源集团有限责任公司</t>
        </is>
      </c>
      <c r="D24" s="182" t="inlineStr">
        <is>
          <t>I_EC10039804</t>
        </is>
      </c>
      <c r="E24" s="182" t="inlineStr">
        <is>
          <t>中铝宁夏能源集团有限公司</t>
        </is>
      </c>
      <c r="F24" s="716" t="n"/>
      <c r="G24" s="716" t="n"/>
      <c r="H24" s="462" t="n"/>
    </row>
    <row r="25">
      <c r="A25" s="672" t="inlineStr">
        <is>
          <t>E100000</t>
        </is>
      </c>
      <c r="B25" s="767" t="inlineStr"/>
      <c r="C25" s="182" t="inlineStr">
        <is>
          <t>北京能源集团有限责任公司</t>
        </is>
      </c>
      <c r="D25" s="182" t="inlineStr">
        <is>
          <t>I_EC10041184</t>
        </is>
      </c>
      <c r="E25" s="182" t="inlineStr">
        <is>
          <t>重庆富都股权投资基金合伙企业（有限合伙）</t>
        </is>
      </c>
      <c r="F25" s="716" t="n"/>
      <c r="G25" s="716" t="n"/>
      <c r="H25" s="462" t="n"/>
    </row>
    <row r="26">
      <c r="A26" s="672" t="inlineStr">
        <is>
          <t>E100000</t>
        </is>
      </c>
      <c r="B26" s="767" t="inlineStr"/>
      <c r="C26" s="182" t="inlineStr">
        <is>
          <t>北京能源集团有限责任公司</t>
        </is>
      </c>
      <c r="D26" s="182" t="inlineStr">
        <is>
          <t>I_EC10051322</t>
        </is>
      </c>
      <c r="E26" s="182" t="inlineStr">
        <is>
          <t>汉江水电开发有限责任公司</t>
        </is>
      </c>
      <c r="F26" s="716" t="n"/>
      <c r="G26" s="716" t="n"/>
      <c r="H26" s="462" t="n"/>
    </row>
    <row r="27">
      <c r="A27" s="672" t="inlineStr">
        <is>
          <t>E100000</t>
        </is>
      </c>
      <c r="B27" s="767" t="inlineStr"/>
      <c r="C27" s="182" t="inlineStr">
        <is>
          <t>北京能源集团有限责任公司</t>
        </is>
      </c>
      <c r="D27" s="182" t="inlineStr">
        <is>
          <t>I_EC10037306</t>
        </is>
      </c>
      <c r="E27" s="182" t="inlineStr">
        <is>
          <t>国泰君安证券股份有限公司</t>
        </is>
      </c>
      <c r="F27" s="716" t="n"/>
      <c r="G27" s="716" t="n"/>
      <c r="H27" s="462" t="n"/>
    </row>
    <row r="28">
      <c r="A28" s="672" t="inlineStr">
        <is>
          <t>E100000</t>
        </is>
      </c>
      <c r="B28" s="767" t="inlineStr"/>
      <c r="C28" s="182" t="inlineStr">
        <is>
          <t>北京能源集团有限责任公司</t>
        </is>
      </c>
      <c r="D28" s="182" t="inlineStr">
        <is>
          <t>I_EC10076102</t>
        </is>
      </c>
      <c r="E28" s="182" t="inlineStr">
        <is>
          <t>首创证券股份有限公司</t>
        </is>
      </c>
      <c r="F28" s="716" t="n"/>
      <c r="G28" s="716" t="n"/>
      <c r="H28" s="462" t="n"/>
    </row>
    <row r="29">
      <c r="A29" s="672" t="inlineStr">
        <is>
          <t>E100000</t>
        </is>
      </c>
      <c r="B29" s="767" t="inlineStr"/>
      <c r="C29" s="182" t="inlineStr">
        <is>
          <t>北京能源集团有限责任公司</t>
        </is>
      </c>
      <c r="D29" s="182" t="inlineStr">
        <is>
          <t>I_EC10009804</t>
        </is>
      </c>
      <c r="E29" s="182" t="inlineStr">
        <is>
          <t>内蒙古产权交易中心有限责任公司</t>
        </is>
      </c>
      <c r="F29" s="716" t="n"/>
      <c r="G29" s="716" t="n"/>
      <c r="H29" s="462" t="n"/>
    </row>
    <row r="30">
      <c r="A30" s="672" t="inlineStr">
        <is>
          <t>E100000</t>
        </is>
      </c>
      <c r="B30" s="767" t="inlineStr"/>
      <c r="C30" s="182" t="inlineStr">
        <is>
          <t>北京能源集团有限责任公司</t>
        </is>
      </c>
      <c r="D30" s="182" t="inlineStr">
        <is>
          <t>I_EC10029257</t>
        </is>
      </c>
      <c r="E30" s="182" t="inlineStr">
        <is>
          <t>广发银行股份有限公司</t>
        </is>
      </c>
      <c r="F30" s="716" t="n"/>
      <c r="G30" s="716" t="n"/>
      <c r="H30" s="462" t="n"/>
    </row>
    <row r="31">
      <c r="A31" s="672" t="inlineStr">
        <is>
          <t>E100000</t>
        </is>
      </c>
      <c r="B31" s="767" t="inlineStr"/>
      <c r="C31" s="182" t="inlineStr">
        <is>
          <t>北京能源集团有限责任公司</t>
        </is>
      </c>
      <c r="D31" s="182" t="inlineStr">
        <is>
          <t>I_EC10032845</t>
        </is>
      </c>
      <c r="E31" s="182" t="inlineStr">
        <is>
          <t>北京静态交通投资运营有限公司</t>
        </is>
      </c>
      <c r="F31" s="716" t="n"/>
      <c r="G31" s="716" t="n"/>
      <c r="H31" s="462" t="n"/>
    </row>
    <row r="32">
      <c r="A32" s="672" t="inlineStr">
        <is>
          <t>E100000</t>
        </is>
      </c>
      <c r="B32" s="767" t="inlineStr"/>
      <c r="C32" s="182" t="inlineStr">
        <is>
          <t>北京能源集团有限责任公司</t>
        </is>
      </c>
      <c r="D32" s="182" t="inlineStr">
        <is>
          <t>I_EC10051318</t>
        </is>
      </c>
      <c r="E32" s="182" t="inlineStr">
        <is>
          <t>国华能源有限公司</t>
        </is>
      </c>
      <c r="F32" s="716" t="n"/>
      <c r="G32" s="716" t="n"/>
      <c r="H32" s="462" t="n"/>
    </row>
    <row r="33">
      <c r="A33" s="672" t="inlineStr">
        <is>
          <t>E100000</t>
        </is>
      </c>
      <c r="B33" s="767" t="inlineStr"/>
      <c r="C33" s="182" t="inlineStr">
        <is>
          <t>北京能源集团有限责任公司</t>
        </is>
      </c>
      <c r="D33" s="182" t="inlineStr">
        <is>
          <t>I_ES20044885</t>
        </is>
      </c>
      <c r="E33" s="182" t="inlineStr">
        <is>
          <t>首都电力交易中心有限公司（外部）</t>
        </is>
      </c>
      <c r="F33" s="716" t="n"/>
      <c r="G33" s="716" t="n"/>
      <c r="H33" s="462" t="n"/>
    </row>
    <row r="34">
      <c r="A34" s="672" t="inlineStr">
        <is>
          <t>E100000</t>
        </is>
      </c>
      <c r="B34" s="767" t="inlineStr"/>
      <c r="C34" s="182" t="inlineStr">
        <is>
          <t>北京能源集团有限责任公司</t>
        </is>
      </c>
      <c r="D34" s="182" t="inlineStr">
        <is>
          <t>I_ES20036313</t>
        </is>
      </c>
      <c r="E34" s="182" t="inlineStr">
        <is>
          <t>北京向导城市信息技术有限公司（外部2）</t>
        </is>
      </c>
      <c r="F34" s="716" t="n"/>
      <c r="G34" s="716" t="n"/>
      <c r="H34" s="462" t="n"/>
    </row>
    <row r="35">
      <c r="A35" s="672" t="inlineStr">
        <is>
          <t>E100000</t>
        </is>
      </c>
      <c r="B35" s="767" t="inlineStr"/>
      <c r="C35" s="182" t="inlineStr">
        <is>
          <t>北京能源集团有限责任公司</t>
        </is>
      </c>
      <c r="D35" s="182" t="inlineStr">
        <is>
          <t>I_ES20044891</t>
        </is>
      </c>
      <c r="E35" s="182" t="inlineStr">
        <is>
          <t>北京古北水镇旅游有限公司（外部）</t>
        </is>
      </c>
      <c r="F35" s="716" t="n"/>
      <c r="G35" s="716" t="n"/>
      <c r="H35" s="462" t="n"/>
    </row>
    <row r="36">
      <c r="A36" s="672" t="inlineStr">
        <is>
          <t>E100000</t>
        </is>
      </c>
      <c r="B36" s="767" t="inlineStr"/>
      <c r="C36" s="182" t="inlineStr">
        <is>
          <t>北京能源集团有限责任公司</t>
        </is>
      </c>
      <c r="D36" s="182" t="inlineStr">
        <is>
          <t>I_ES20044934</t>
        </is>
      </c>
      <c r="E36" s="182" t="inlineStr">
        <is>
          <t>汉江水电开发有限责任公司（外部）</t>
        </is>
      </c>
      <c r="F36" s="716" t="n"/>
      <c r="G36" s="716" t="n"/>
      <c r="H36" s="462" t="n"/>
    </row>
    <row r="37">
      <c r="A37" s="672" t="inlineStr">
        <is>
          <t>E100000</t>
        </is>
      </c>
      <c r="B37" s="767" t="inlineStr"/>
      <c r="C37" s="182" t="inlineStr">
        <is>
          <t>北京能源集团有限责任公司</t>
        </is>
      </c>
      <c r="D37" s="182" t="inlineStr">
        <is>
          <t>I_ES90009281</t>
        </is>
      </c>
      <c r="E37" s="182" t="inlineStr">
        <is>
          <t>【停用】北京京国瑞国企改革发展基金</t>
        </is>
      </c>
      <c r="F37" s="716" t="n"/>
      <c r="G37" s="716" t="n"/>
      <c r="H37" s="462" t="n"/>
    </row>
    <row r="38">
      <c r="A38" s="672" t="inlineStr">
        <is>
          <t>E100000</t>
        </is>
      </c>
      <c r="B38" s="767" t="inlineStr"/>
      <c r="C38" s="182" t="inlineStr">
        <is>
          <t>北京能源集团有限责任公司</t>
        </is>
      </c>
      <c r="D38" s="182" t="inlineStr">
        <is>
          <t>I_ES20044883</t>
        </is>
      </c>
      <c r="E38" s="182" t="inlineStr">
        <is>
          <t>北京雪莲羊绒有限公司</t>
        </is>
      </c>
      <c r="F38" s="716" t="n"/>
      <c r="G38" s="716" t="n"/>
      <c r="H38" s="462" t="n"/>
    </row>
    <row r="39">
      <c r="A39" s="672" t="inlineStr">
        <is>
          <t>E100000</t>
        </is>
      </c>
      <c r="B39" s="767" t="inlineStr"/>
      <c r="C39" s="182" t="inlineStr">
        <is>
          <t>北京能源集团有限责任公司</t>
        </is>
      </c>
      <c r="D39" s="182" t="inlineStr">
        <is>
          <t>I_E20044875</t>
        </is>
      </c>
      <c r="E39" s="182" t="inlineStr">
        <is>
          <t>【停用】北京顺隆投资发展基金（有限合伙）</t>
        </is>
      </c>
      <c r="F39" s="716" t="n"/>
      <c r="G39" s="716" t="n"/>
      <c r="H39" s="462" t="n"/>
    </row>
    <row r="40">
      <c r="A40" s="672" t="inlineStr">
        <is>
          <t>E100000</t>
        </is>
      </c>
      <c r="B40" s="767" t="inlineStr"/>
      <c r="C40" s="182" t="inlineStr">
        <is>
          <t>北京能源集团有限责任公司</t>
        </is>
      </c>
      <c r="D40" s="182" t="inlineStr">
        <is>
          <t>I_ES90000111</t>
        </is>
      </c>
      <c r="E40" s="182" t="inlineStr">
        <is>
          <t>【停用】STAQ</t>
        </is>
      </c>
      <c r="F40" s="716" t="n"/>
      <c r="G40" s="716" t="n"/>
      <c r="H40" s="462" t="n"/>
    </row>
    <row r="41">
      <c r="A41" s="672" t="inlineStr">
        <is>
          <t>E100000</t>
        </is>
      </c>
      <c r="B41" s="767" t="inlineStr"/>
      <c r="C41" s="182" t="inlineStr">
        <is>
          <t>北京能源集团有限责任公司</t>
        </is>
      </c>
      <c r="D41" s="182" t="inlineStr">
        <is>
          <t>I_ES20044877</t>
        </is>
      </c>
      <c r="E41" s="182" t="inlineStr">
        <is>
          <t>北京京国瑞股权投资基金管理有限公司（外部）</t>
        </is>
      </c>
      <c r="F41" s="716" t="n"/>
      <c r="G41" s="716" t="n"/>
      <c r="H41" s="462" t="n"/>
    </row>
    <row r="42">
      <c r="A42" s="672" t="inlineStr">
        <is>
          <t>E100000</t>
        </is>
      </c>
      <c r="B42" s="767" t="inlineStr"/>
      <c r="C42" s="182" t="inlineStr">
        <is>
          <t>北京能源集团有限责任公司</t>
        </is>
      </c>
      <c r="D42" s="182" t="inlineStr">
        <is>
          <t>I_ES20044879</t>
        </is>
      </c>
      <c r="E42" s="182" t="inlineStr">
        <is>
          <t>重庆富都股权投资基金合伙企业（有限合伙）（外部2）</t>
        </is>
      </c>
      <c r="F42" s="716" t="n"/>
      <c r="G42" s="716" t="n"/>
      <c r="H42" s="462" t="n"/>
    </row>
    <row r="43">
      <c r="A43" s="672" t="inlineStr">
        <is>
          <t>E100000</t>
        </is>
      </c>
      <c r="B43" s="767" t="inlineStr"/>
      <c r="C43" s="182" t="inlineStr">
        <is>
          <t>北京能源集团有限责任公司</t>
        </is>
      </c>
      <c r="D43" s="182" t="inlineStr">
        <is>
          <t>I_E20044891</t>
        </is>
      </c>
      <c r="E43" s="182" t="inlineStr">
        <is>
          <t>【停用】北京古北水镇旅游有限公司</t>
        </is>
      </c>
      <c r="F43" s="716" t="n"/>
      <c r="G43" s="716" t="n"/>
      <c r="H43" s="462" t="n"/>
    </row>
    <row r="44">
      <c r="A44" s="672" t="inlineStr">
        <is>
          <t>E100000</t>
        </is>
      </c>
      <c r="B44" s="767" t="inlineStr"/>
      <c r="C44" s="182" t="inlineStr">
        <is>
          <t>北京能源集团有限责任公司</t>
        </is>
      </c>
      <c r="D44" s="182" t="inlineStr">
        <is>
          <t>I_ES20044943</t>
        </is>
      </c>
      <c r="E44" s="182" t="inlineStr">
        <is>
          <t>北京城市铁路股份有限公司（外部）</t>
        </is>
      </c>
      <c r="F44" s="716" t="n"/>
      <c r="G44" s="716" t="n"/>
      <c r="H44" s="462" t="n"/>
    </row>
    <row r="45">
      <c r="A45" s="672" t="inlineStr">
        <is>
          <t>E100000</t>
        </is>
      </c>
      <c r="B45" s="767" t="inlineStr"/>
      <c r="C45" s="182" t="inlineStr">
        <is>
          <t>北京能源集团有限责任公司</t>
        </is>
      </c>
      <c r="D45" s="182" t="inlineStr">
        <is>
          <t>I_E20044878</t>
        </is>
      </c>
      <c r="E45" s="182" t="inlineStr">
        <is>
          <t>【停用】山东鲁信投资集团股份有限公司</t>
        </is>
      </c>
      <c r="F45" s="716" t="n"/>
      <c r="G45" s="716" t="n"/>
      <c r="H45" s="462" t="n"/>
    </row>
    <row r="46">
      <c r="A46" s="672" t="inlineStr">
        <is>
          <t>E100000</t>
        </is>
      </c>
      <c r="B46" s="767" t="inlineStr"/>
      <c r="C46" s="182" t="inlineStr">
        <is>
          <t>北京能源集团有限责任公司</t>
        </is>
      </c>
      <c r="D46" s="182" t="inlineStr">
        <is>
          <t>I_ES20034913</t>
        </is>
      </c>
      <c r="E46" s="182" t="inlineStr">
        <is>
          <t>北京实创科技园开发建设股份有限公司（外部）</t>
        </is>
      </c>
      <c r="F46" s="716" t="n"/>
      <c r="G46" s="716" t="n"/>
      <c r="H46" s="462" t="n"/>
    </row>
    <row r="47">
      <c r="A47" s="672" t="inlineStr">
        <is>
          <t>E100000</t>
        </is>
      </c>
      <c r="B47" s="767" t="inlineStr"/>
      <c r="C47" s="182" t="inlineStr">
        <is>
          <t>北京能源集团有限责任公司</t>
        </is>
      </c>
      <c r="D47" s="182" t="inlineStr">
        <is>
          <t>I_ES20044874</t>
        </is>
      </c>
      <c r="E47" s="182" t="inlineStr">
        <is>
          <t>广发银行股份有限公司</t>
        </is>
      </c>
      <c r="F47" s="716" t="n"/>
      <c r="G47" s="716" t="n"/>
      <c r="H47" s="462" t="n"/>
    </row>
    <row r="48">
      <c r="A48" s="672" t="inlineStr">
        <is>
          <t>E100000</t>
        </is>
      </c>
      <c r="B48" s="767" t="inlineStr"/>
      <c r="C48" s="182" t="inlineStr">
        <is>
          <t>北京能源集团有限责任公司</t>
        </is>
      </c>
      <c r="D48" s="182" t="inlineStr">
        <is>
          <t>I_E20039024</t>
        </is>
      </c>
      <c r="E48" s="182" t="inlineStr">
        <is>
          <t>【停用】国华能源有限公司</t>
        </is>
      </c>
      <c r="F48" s="716" t="n"/>
      <c r="G48" s="716" t="n"/>
      <c r="H48" s="462" t="n"/>
    </row>
    <row r="49">
      <c r="A49" s="672" t="inlineStr">
        <is>
          <t>E100000</t>
        </is>
      </c>
      <c r="B49" s="767" t="inlineStr"/>
      <c r="C49" s="182" t="inlineStr">
        <is>
          <t>北京能源集团有限责任公司</t>
        </is>
      </c>
      <c r="D49" s="182" t="inlineStr">
        <is>
          <t>I_ES20044875</t>
        </is>
      </c>
      <c r="E49" s="182" t="inlineStr">
        <is>
          <t>北京顺隆投资发展基金（有限合伙）（外部）</t>
        </is>
      </c>
      <c r="F49" s="716" t="n"/>
      <c r="G49" s="716" t="n"/>
      <c r="H49" s="462" t="n"/>
    </row>
    <row r="50">
      <c r="A50" s="672" t="inlineStr">
        <is>
          <t>E100000</t>
        </is>
      </c>
      <c r="B50" s="767" t="inlineStr"/>
      <c r="C50" s="182" t="inlineStr">
        <is>
          <t>北京能源集团有限责任公司</t>
        </is>
      </c>
      <c r="D50" s="716" t="inlineStr">
        <is>
          <t>I_E20044943</t>
        </is>
      </c>
      <c r="E50" s="716" t="inlineStr">
        <is>
          <t>【停用】北京城市铁路股份有限公司</t>
        </is>
      </c>
      <c r="F50" s="716" t="n"/>
      <c r="G50" s="716" t="n"/>
      <c r="H50" s="462" t="n"/>
    </row>
    <row r="51">
      <c r="A51" s="672" t="inlineStr">
        <is>
          <t>E100000</t>
        </is>
      </c>
      <c r="B51" s="767" t="inlineStr"/>
      <c r="C51" s="182" t="inlineStr">
        <is>
          <t>北京能源集团有限责任公司</t>
        </is>
      </c>
      <c r="D51" s="716" t="inlineStr">
        <is>
          <t>I_ES90000010</t>
        </is>
      </c>
      <c r="E51" s="716" t="inlineStr">
        <is>
          <t>【停用】基金丰和</t>
        </is>
      </c>
      <c r="F51" s="716" t="n"/>
      <c r="G51" s="716" t="n"/>
      <c r="H51" s="462" t="n"/>
    </row>
    <row r="52">
      <c r="A52" s="672" t="inlineStr">
        <is>
          <t>E100000</t>
        </is>
      </c>
      <c r="B52" s="767" t="inlineStr"/>
      <c r="C52" s="182" t="inlineStr">
        <is>
          <t>北京能源集团有限责任公司</t>
        </is>
      </c>
      <c r="D52" s="716" t="inlineStr">
        <is>
          <t>I_ES20000028</t>
        </is>
      </c>
      <c r="E52" s="716" t="inlineStr">
        <is>
          <t>【停用】成都商业银行</t>
        </is>
      </c>
      <c r="F52" s="716" t="n"/>
      <c r="G52" s="716" t="n"/>
      <c r="H52" s="462" t="n"/>
    </row>
    <row r="53">
      <c r="A53" s="672" t="inlineStr">
        <is>
          <t>E100000</t>
        </is>
      </c>
      <c r="B53" s="767" t="inlineStr"/>
      <c r="C53" s="182" t="inlineStr">
        <is>
          <t>北京能源集团有限责任公司</t>
        </is>
      </c>
      <c r="D53" s="716" t="inlineStr">
        <is>
          <t>I_ES20000042</t>
        </is>
      </c>
      <c r="E53" s="716" t="inlineStr">
        <is>
          <t>【停用】北京世洁环天开发有限公司</t>
        </is>
      </c>
      <c r="F53" s="716" t="n"/>
      <c r="G53" s="716" t="n"/>
      <c r="H53" s="462" t="n"/>
    </row>
    <row r="54">
      <c r="A54" s="672" t="inlineStr">
        <is>
          <t>E100000</t>
        </is>
      </c>
      <c r="B54" s="767" t="inlineStr"/>
      <c r="C54" s="182" t="inlineStr">
        <is>
          <t>北京能源集团有限责任公司</t>
        </is>
      </c>
      <c r="D54" s="182" t="inlineStr">
        <is>
          <t>I_ES20036144</t>
        </is>
      </c>
      <c r="E54" s="182" t="inlineStr">
        <is>
          <t>北京汽车股份有限公司（外部）</t>
        </is>
      </c>
      <c r="F54" s="716" t="n"/>
      <c r="G54" s="716" t="n"/>
      <c r="H54" s="462" t="n"/>
    </row>
    <row r="55">
      <c r="A55" s="672" t="inlineStr">
        <is>
          <t>E100000</t>
        </is>
      </c>
      <c r="B55" s="767" t="inlineStr"/>
      <c r="C55" s="182" t="inlineStr">
        <is>
          <t>北京能源集团有限责任公司</t>
        </is>
      </c>
      <c r="D55" s="182" t="inlineStr">
        <is>
          <t>I_E20044879</t>
        </is>
      </c>
      <c r="E55" s="182" t="inlineStr">
        <is>
          <t>重庆富都股权投资基金合伙企业（有限合伙）(外部）</t>
        </is>
      </c>
      <c r="F55" s="716" t="n"/>
      <c r="G55" s="716" t="n"/>
      <c r="H55" s="462" t="n"/>
    </row>
    <row r="56">
      <c r="A56" s="672" t="inlineStr">
        <is>
          <t>E100000</t>
        </is>
      </c>
      <c r="B56" s="767" t="inlineStr"/>
      <c r="C56" s="182" t="inlineStr">
        <is>
          <t>北京能源集团有限责任公司</t>
        </is>
      </c>
      <c r="D56" s="182" t="inlineStr">
        <is>
          <t>I_ES20044893</t>
        </is>
      </c>
      <c r="E56" s="182" t="inlineStr">
        <is>
          <t>北京安邦保险代理有限责任公司（外部）</t>
        </is>
      </c>
      <c r="F56" s="716" t="n"/>
      <c r="G56" s="716" t="n"/>
      <c r="H56" s="462" t="n"/>
    </row>
    <row r="57">
      <c r="A57" s="672" t="inlineStr">
        <is>
          <t>E100000</t>
        </is>
      </c>
      <c r="B57" s="767" t="inlineStr"/>
      <c r="C57" s="182" t="inlineStr">
        <is>
          <t>北京能源集团有限责任公司</t>
        </is>
      </c>
      <c r="D57" s="182" t="inlineStr">
        <is>
          <t>I_E20044877</t>
        </is>
      </c>
      <c r="E57" s="182" t="inlineStr">
        <is>
          <t>【停用】北京京国瑞股权投资基金管理有限公司</t>
        </is>
      </c>
      <c r="F57" s="716" t="n"/>
      <c r="G57" s="716" t="n"/>
      <c r="H57" s="462" t="n"/>
    </row>
    <row r="58">
      <c r="A58" s="672" t="inlineStr">
        <is>
          <t>E100000</t>
        </is>
      </c>
      <c r="B58" s="767" t="inlineStr"/>
      <c r="C58" s="182" t="inlineStr">
        <is>
          <t>北京能源集团有限责任公司</t>
        </is>
      </c>
      <c r="D58" s="182" t="inlineStr">
        <is>
          <t>I_E20044893</t>
        </is>
      </c>
      <c r="E58" s="182" t="inlineStr">
        <is>
          <t>【停用】北京安邦保险代理有限责任公司</t>
        </is>
      </c>
      <c r="F58" s="716" t="n"/>
      <c r="G58" s="716" t="n"/>
      <c r="H58" s="462" t="n"/>
    </row>
    <row r="59">
      <c r="A59" s="672" t="inlineStr">
        <is>
          <t>E100000</t>
        </is>
      </c>
      <c r="B59" s="767" t="inlineStr"/>
      <c r="C59" s="182" t="inlineStr">
        <is>
          <t>北京能源集团有限责任公司</t>
        </is>
      </c>
      <c r="D59" s="182" t="inlineStr">
        <is>
          <t>I_ESGQDZ0215</t>
        </is>
      </c>
      <c r="E59" s="182" t="inlineStr">
        <is>
          <t>宁夏发电集团有限责任公司</t>
        </is>
      </c>
      <c r="F59" s="716" t="n"/>
      <c r="G59" s="716" t="n"/>
      <c r="H59" s="462" t="n"/>
    </row>
    <row r="60">
      <c r="A60" s="672" t="inlineStr">
        <is>
          <t>E100000</t>
        </is>
      </c>
      <c r="B60" s="767" t="inlineStr"/>
      <c r="C60" s="182" t="inlineStr">
        <is>
          <t>北京能源集团有限责任公司</t>
        </is>
      </c>
      <c r="D60" s="182" t="inlineStr">
        <is>
          <t>I_E20044934</t>
        </is>
      </c>
      <c r="E60" s="182" t="inlineStr">
        <is>
          <t>【停用】汉江水电开发有限责任公司</t>
        </is>
      </c>
      <c r="F60" s="716" t="n"/>
      <c r="G60" s="716" t="n"/>
      <c r="H60" s="462" t="n"/>
    </row>
    <row r="61">
      <c r="A61" s="672" t="inlineStr">
        <is>
          <t>E100000</t>
        </is>
      </c>
      <c r="B61" s="767" t="inlineStr"/>
      <c r="C61" s="182" t="inlineStr">
        <is>
          <t>北京能源集团有限责任公司</t>
        </is>
      </c>
      <c r="D61" s="182" t="inlineStr">
        <is>
          <t>I_ESGQDZ0209</t>
        </is>
      </c>
      <c r="E61" s="182" t="inlineStr">
        <is>
          <t>国泰君安证券投资管理股份有限公司</t>
        </is>
      </c>
      <c r="F61" s="716" t="n"/>
      <c r="G61" s="716" t="n"/>
      <c r="H61" s="462" t="n"/>
    </row>
    <row r="62">
      <c r="A62" s="672" t="inlineStr">
        <is>
          <t>E100000</t>
        </is>
      </c>
      <c r="B62" s="767" t="inlineStr"/>
      <c r="C62" s="182" t="inlineStr">
        <is>
          <t>北京能源集团有限责任公司</t>
        </is>
      </c>
      <c r="D62" s="182" t="inlineStr">
        <is>
          <t>I_ESGQDZ0301</t>
        </is>
      </c>
      <c r="E62" s="182" t="inlineStr">
        <is>
          <t>北京京国瑞国企改革发展基金（有限合伙人）</t>
        </is>
      </c>
      <c r="F62" s="716" t="n"/>
      <c r="G62" s="716" t="n"/>
      <c r="H62" s="462" t="n"/>
    </row>
    <row r="63">
      <c r="A63" s="672" t="inlineStr">
        <is>
          <t>E100000</t>
        </is>
      </c>
      <c r="B63" s="767" t="inlineStr"/>
      <c r="C63" s="182" t="inlineStr">
        <is>
          <t>北京能源集团有限责任公司</t>
        </is>
      </c>
      <c r="D63" s="182" t="inlineStr">
        <is>
          <t>I_ESGQDZ0429</t>
        </is>
      </c>
      <c r="E63" s="182" t="inlineStr">
        <is>
          <t>内蒙古电力交易中心有限公司</t>
        </is>
      </c>
      <c r="F63" s="716" t="n"/>
      <c r="G63" s="716" t="n"/>
      <c r="H63" s="462" t="n"/>
    </row>
    <row r="64">
      <c r="A64" s="672" t="inlineStr">
        <is>
          <t>E100000</t>
        </is>
      </c>
      <c r="B64" s="767" t="inlineStr"/>
      <c r="C64" s="182" t="inlineStr">
        <is>
          <t>北京能源集团有限责任公司</t>
        </is>
      </c>
      <c r="D64" s="182" t="inlineStr">
        <is>
          <t>I_E20044885</t>
        </is>
      </c>
      <c r="E64" s="182" t="inlineStr">
        <is>
          <t>【停用】首都电力交易中心有限公司</t>
        </is>
      </c>
      <c r="F64" s="716" t="n"/>
      <c r="G64" s="716" t="n"/>
      <c r="H64" s="462" t="n"/>
    </row>
    <row r="65">
      <c r="A65" s="672" t="inlineStr">
        <is>
          <t>E100000</t>
        </is>
      </c>
      <c r="B65" s="767" t="inlineStr"/>
      <c r="C65" s="182" t="inlineStr">
        <is>
          <t>北京能源集团有限责任公司</t>
        </is>
      </c>
      <c r="D65" s="182" t="inlineStr">
        <is>
          <t>I_EC10038520</t>
        </is>
      </c>
      <c r="E65" s="182" t="inlineStr">
        <is>
          <t>厦门赛富股权投资合伙企业（有限合伙）</t>
        </is>
      </c>
      <c r="F65" s="716" t="n"/>
      <c r="G65" s="716" t="n"/>
      <c r="H65" s="462" t="n"/>
    </row>
    <row r="66">
      <c r="A66" s="672" t="inlineStr">
        <is>
          <t>E100000</t>
        </is>
      </c>
      <c r="B66" s="767" t="inlineStr"/>
      <c r="C66" s="182" t="inlineStr">
        <is>
          <t>北京能源集团有限责任公司</t>
        </is>
      </c>
      <c r="D66" s="182" t="inlineStr">
        <is>
          <t>I_EC10039891</t>
        </is>
      </c>
      <c r="E66" s="182" t="inlineStr">
        <is>
          <t>北京京国瑞国企改革发展基金</t>
        </is>
      </c>
      <c r="F66" s="716" t="n"/>
      <c r="G66" s="716" t="n"/>
      <c r="H66" s="462" t="n"/>
    </row>
    <row r="67">
      <c r="A67" s="672" t="inlineStr">
        <is>
          <t>E100000</t>
        </is>
      </c>
      <c r="B67" s="767" t="inlineStr"/>
      <c r="C67" s="182" t="inlineStr">
        <is>
          <t>北京能源集团有限责任公司</t>
        </is>
      </c>
      <c r="D67" s="182" t="inlineStr">
        <is>
          <t>I_EC10032125</t>
        </is>
      </c>
      <c r="E67" s="182" t="inlineStr">
        <is>
          <t>北京汽车股份有限公司</t>
        </is>
      </c>
      <c r="F67" s="716" t="n"/>
      <c r="G67" s="716" t="n"/>
      <c r="H67" s="462" t="n"/>
    </row>
    <row r="68">
      <c r="A68" s="672" t="inlineStr">
        <is>
          <t>E100000</t>
        </is>
      </c>
      <c r="B68" s="767" t="inlineStr"/>
      <c r="C68" s="182" t="inlineStr">
        <is>
          <t>北京能源集团有限责任公司</t>
        </is>
      </c>
      <c r="D68" s="182" t="inlineStr">
        <is>
          <t>I_EC10071414</t>
        </is>
      </c>
      <c r="E68" s="182" t="inlineStr">
        <is>
          <t>财务专用客商</t>
        </is>
      </c>
      <c r="F68" s="716" t="n"/>
      <c r="G68" s="716" t="n"/>
      <c r="H68" s="462" t="n"/>
    </row>
    <row r="69">
      <c r="A69" s="672" t="inlineStr">
        <is>
          <t>E100000G</t>
        </is>
      </c>
      <c r="B69" s="767" t="inlineStr"/>
      <c r="C69" s="182" t="inlineStr">
        <is>
          <t>北京能源集团有限责任公司（合并）</t>
        </is>
      </c>
      <c r="D69" s="182" t="inlineStr">
        <is>
          <t>I_EC10029000</t>
        </is>
      </c>
      <c r="E69" s="182" t="inlineStr">
        <is>
          <t>杭州梅苑股份有限公司（外部）</t>
        </is>
      </c>
      <c r="F69" s="716" t="n"/>
      <c r="G69" s="716" t="n"/>
      <c r="H69" s="462" t="n"/>
    </row>
    <row r="70">
      <c r="A70" s="672" t="inlineStr">
        <is>
          <t>E100000G</t>
        </is>
      </c>
      <c r="B70" s="767" t="inlineStr"/>
      <c r="C70" s="182" t="inlineStr">
        <is>
          <t>北京能源集团有限责任公司（合并）</t>
        </is>
      </c>
      <c r="D70" s="182" t="inlineStr">
        <is>
          <t>I_ES20000042</t>
        </is>
      </c>
      <c r="E70" s="182" t="inlineStr">
        <is>
          <t>【停用】北京世洁环天开发有限公司</t>
        </is>
      </c>
      <c r="F70" s="716" t="n"/>
      <c r="G70" s="716" t="n"/>
      <c r="H70" s="462" t="n"/>
    </row>
    <row r="71">
      <c r="A71" s="672" t="inlineStr">
        <is>
          <t>E100000G</t>
        </is>
      </c>
      <c r="B71" s="767" t="inlineStr"/>
      <c r="C71" s="182" t="inlineStr">
        <is>
          <t>北京能源集团有限责任公司（合并）</t>
        </is>
      </c>
      <c r="D71" s="182" t="inlineStr">
        <is>
          <t>I_ES20036719</t>
        </is>
      </c>
      <c r="E71" s="182" t="inlineStr">
        <is>
          <t>国电电力发展股份有限公司（外部）</t>
        </is>
      </c>
      <c r="F71" s="716" t="n"/>
      <c r="G71" s="716" t="n"/>
      <c r="H71" s="462" t="n"/>
    </row>
    <row r="72">
      <c r="A72" s="672" t="inlineStr">
        <is>
          <t>E100000G</t>
        </is>
      </c>
      <c r="B72" s="767" t="inlineStr"/>
      <c r="C72" s="182" t="inlineStr">
        <is>
          <t>北京能源集团有限责任公司（合并）</t>
        </is>
      </c>
      <c r="D72" s="182" t="inlineStr">
        <is>
          <t>I_ES20039024</t>
        </is>
      </c>
      <c r="E72" s="182" t="inlineStr">
        <is>
          <t>国华能源有限公司（外部）</t>
        </is>
      </c>
      <c r="F72" s="716" t="n"/>
      <c r="G72" s="716" t="n"/>
      <c r="H72" s="462" t="n"/>
    </row>
    <row r="73">
      <c r="A73" s="672" t="inlineStr">
        <is>
          <t>E100000G</t>
        </is>
      </c>
      <c r="B73" s="767" t="inlineStr"/>
      <c r="C73" s="182" t="inlineStr">
        <is>
          <t>北京能源集团有限责任公司（合并）</t>
        </is>
      </c>
      <c r="D73" s="182" t="inlineStr">
        <is>
          <t>I_ES20044875</t>
        </is>
      </c>
      <c r="E73" s="182" t="inlineStr">
        <is>
          <t>北京顺隆投资发展基金（有限合伙）（外部）</t>
        </is>
      </c>
      <c r="F73" s="716" t="n"/>
      <c r="G73" s="716" t="n"/>
      <c r="H73" s="462" t="n"/>
    </row>
    <row r="74">
      <c r="A74" s="672" t="inlineStr">
        <is>
          <t>E100000G</t>
        </is>
      </c>
      <c r="B74" s="767" t="inlineStr"/>
      <c r="C74" s="182" t="inlineStr">
        <is>
          <t>北京能源集团有限责任公司（合并）</t>
        </is>
      </c>
      <c r="D74" s="182" t="inlineStr">
        <is>
          <t>I_ES20034878</t>
        </is>
      </c>
      <c r="E74" s="182" t="inlineStr">
        <is>
          <t>北京静态交通投资运营有限公司</t>
        </is>
      </c>
      <c r="F74" s="716" t="n"/>
      <c r="G74" s="716" t="n"/>
      <c r="H74" s="462" t="n"/>
    </row>
    <row r="75">
      <c r="A75" s="672" t="inlineStr">
        <is>
          <t>E100000G</t>
        </is>
      </c>
      <c r="B75" s="767" t="inlineStr"/>
      <c r="C75" s="182" t="inlineStr">
        <is>
          <t>北京能源集团有限责任公司（合并）</t>
        </is>
      </c>
      <c r="D75" s="182" t="inlineStr">
        <is>
          <t>I_ES20000425</t>
        </is>
      </c>
      <c r="E75" s="182" t="inlineStr">
        <is>
          <t>江苏峰业环境科技集团股份有限公司</t>
        </is>
      </c>
      <c r="F75" s="716" t="n"/>
      <c r="G75" s="716" t="n"/>
      <c r="H75" s="462" t="n"/>
    </row>
    <row r="76">
      <c r="A76" s="672" t="inlineStr">
        <is>
          <t>E100000G</t>
        </is>
      </c>
      <c r="B76" s="767" t="inlineStr"/>
      <c r="C76" s="182" t="inlineStr">
        <is>
          <t>北京能源集团有限责任公司（合并）</t>
        </is>
      </c>
      <c r="D76" s="182" t="inlineStr">
        <is>
          <t>I_ES20036412</t>
        </is>
      </c>
      <c r="E76" s="182" t="inlineStr">
        <is>
          <t>北京中油华富石油化工有限责任公司（外部）</t>
        </is>
      </c>
      <c r="F76" s="716" t="n"/>
      <c r="G76" s="716" t="n"/>
      <c r="H76" s="462" t="n"/>
    </row>
    <row r="77">
      <c r="A77" s="672" t="inlineStr">
        <is>
          <t>E100000G</t>
        </is>
      </c>
      <c r="B77" s="767" t="inlineStr"/>
      <c r="C77" s="182" t="inlineStr">
        <is>
          <t>北京能源集团有限责任公司（合并）</t>
        </is>
      </c>
      <c r="D77" s="182" t="inlineStr">
        <is>
          <t>I_ES20039170</t>
        </is>
      </c>
      <c r="E77" s="182" t="inlineStr">
        <is>
          <t>宁夏电力交易中心有限公司（外部）</t>
        </is>
      </c>
      <c r="F77" s="716" t="n"/>
      <c r="G77" s="716" t="n"/>
      <c r="H77" s="462" t="n"/>
    </row>
    <row r="78">
      <c r="A78" s="672" t="inlineStr">
        <is>
          <t>E100000G</t>
        </is>
      </c>
      <c r="B78" s="767" t="inlineStr"/>
      <c r="C78" s="182" t="inlineStr">
        <is>
          <t>北京能源集团有限责任公司（合并）</t>
        </is>
      </c>
      <c r="D78" s="182" t="inlineStr">
        <is>
          <t>I_ES20044883</t>
        </is>
      </c>
      <c r="E78" s="182" t="inlineStr">
        <is>
          <t>北京雪莲羊绒有限公司</t>
        </is>
      </c>
      <c r="F78" s="716" t="n"/>
      <c r="G78" s="716" t="n"/>
      <c r="H78" s="462" t="n"/>
    </row>
    <row r="79">
      <c r="A79" s="672" t="inlineStr">
        <is>
          <t>E100000G</t>
        </is>
      </c>
      <c r="B79" s="767" t="inlineStr"/>
      <c r="C79" s="182" t="inlineStr">
        <is>
          <t>北京能源集团有限责任公司（合并）</t>
        </is>
      </c>
      <c r="D79" s="182" t="inlineStr">
        <is>
          <t>I_ES99999998</t>
        </is>
      </c>
      <c r="E79" s="182" t="inlineStr">
        <is>
          <t>财务专用客商</t>
        </is>
      </c>
      <c r="F79" s="716" t="n"/>
      <c r="G79" s="716" t="n"/>
      <c r="H79" s="462" t="n"/>
    </row>
    <row r="80">
      <c r="A80" s="672" t="inlineStr">
        <is>
          <t>E100000G</t>
        </is>
      </c>
      <c r="B80" s="767" t="inlineStr"/>
      <c r="C80" s="182" t="inlineStr">
        <is>
          <t>北京能源集团有限责任公司（合并）</t>
        </is>
      </c>
      <c r="D80" s="182" t="inlineStr">
        <is>
          <t>I_ES20044885</t>
        </is>
      </c>
      <c r="E80" s="182" t="inlineStr">
        <is>
          <t>首都电力交易中心有限公司（外部）</t>
        </is>
      </c>
      <c r="F80" s="716" t="n"/>
      <c r="G80" s="716" t="n"/>
      <c r="H80" s="462" t="n"/>
    </row>
    <row r="81">
      <c r="A81" s="672" t="inlineStr">
        <is>
          <t>E100000G</t>
        </is>
      </c>
      <c r="B81" s="767" t="inlineStr"/>
      <c r="C81" s="182" t="inlineStr">
        <is>
          <t>北京能源集团有限责任公司（合并）</t>
        </is>
      </c>
      <c r="D81" s="182" t="inlineStr">
        <is>
          <t>I_ES20036144</t>
        </is>
      </c>
      <c r="E81" s="182" t="inlineStr">
        <is>
          <t>北京汽车股份有限公司（外部）</t>
        </is>
      </c>
      <c r="F81" s="716" t="n"/>
      <c r="G81" s="716" t="n"/>
      <c r="H81" s="462" t="n"/>
    </row>
    <row r="82">
      <c r="A82" s="672" t="inlineStr">
        <is>
          <t>E100000G</t>
        </is>
      </c>
      <c r="B82" s="767" t="inlineStr"/>
      <c r="C82" s="182" t="inlineStr">
        <is>
          <t>北京能源集团有限责任公司（合并）</t>
        </is>
      </c>
      <c r="D82" s="182" t="inlineStr">
        <is>
          <t>I_ES20000117</t>
        </is>
      </c>
      <c r="E82" s="182" t="inlineStr">
        <is>
          <t>【停用】北京京仪绿能电力系统工程有限公司</t>
        </is>
      </c>
      <c r="F82" s="716" t="n"/>
      <c r="G82" s="716" t="n"/>
      <c r="H82" s="462" t="n"/>
    </row>
    <row r="83">
      <c r="A83" s="672" t="inlineStr">
        <is>
          <t>E100000G</t>
        </is>
      </c>
      <c r="B83" s="767" t="inlineStr"/>
      <c r="C83" s="182" t="inlineStr">
        <is>
          <t>北京能源集团有限责任公司（合并）</t>
        </is>
      </c>
      <c r="D83" s="182" t="inlineStr">
        <is>
          <t>I_ES20044934</t>
        </is>
      </c>
      <c r="E83" s="182" t="inlineStr">
        <is>
          <t>汉江水电开发有限责任公司（外部）</t>
        </is>
      </c>
      <c r="F83" s="716" t="n"/>
      <c r="G83" s="716" t="n"/>
      <c r="H83" s="462" t="n"/>
    </row>
    <row r="84">
      <c r="A84" s="672" t="inlineStr">
        <is>
          <t>E100000G</t>
        </is>
      </c>
      <c r="B84" s="767" t="inlineStr"/>
      <c r="C84" s="182" t="inlineStr">
        <is>
          <t>北京能源集团有限责任公司（合并）</t>
        </is>
      </c>
      <c r="D84" s="182" t="inlineStr">
        <is>
          <t>I_EC10057081</t>
        </is>
      </c>
      <c r="E84" s="182" t="inlineStr">
        <is>
          <t>惠能实业有限责任公司</t>
        </is>
      </c>
      <c r="F84" s="716" t="n"/>
      <c r="G84" s="716" t="n"/>
      <c r="H84" s="462" t="n"/>
    </row>
    <row r="85">
      <c r="A85" s="672" t="inlineStr">
        <is>
          <t>E100000G</t>
        </is>
      </c>
      <c r="B85" s="767" t="inlineStr"/>
      <c r="C85" s="182" t="inlineStr">
        <is>
          <t>北京能源集团有限责任公司（合并）</t>
        </is>
      </c>
      <c r="D85" s="182" t="inlineStr">
        <is>
          <t>I_EC10034807</t>
        </is>
      </c>
      <c r="E85" s="182" t="inlineStr">
        <is>
          <t>广西银建投资股份有限公司（外部）</t>
        </is>
      </c>
      <c r="F85" s="716" t="n"/>
      <c r="G85" s="716" t="n"/>
      <c r="H85" s="462" t="n"/>
    </row>
    <row r="86">
      <c r="A86" s="672" t="inlineStr">
        <is>
          <t>E100000G</t>
        </is>
      </c>
      <c r="B86" s="767" t="inlineStr"/>
      <c r="C86" s="182" t="inlineStr">
        <is>
          <t>北京能源集团有限责任公司（合并）</t>
        </is>
      </c>
      <c r="D86" s="182" t="inlineStr">
        <is>
          <t>I_ES90009281</t>
        </is>
      </c>
      <c r="E86" s="182" t="inlineStr">
        <is>
          <t>【停用】北京京国瑞国企改革发展基金</t>
        </is>
      </c>
      <c r="F86" s="716" t="n"/>
      <c r="G86" s="716" t="n"/>
      <c r="H86" s="462" t="n"/>
    </row>
    <row r="87">
      <c r="A87" s="672" t="inlineStr">
        <is>
          <t>E100000G</t>
        </is>
      </c>
      <c r="B87" s="767" t="inlineStr"/>
      <c r="C87" s="182" t="inlineStr">
        <is>
          <t>北京能源集团有限责任公司（合并）</t>
        </is>
      </c>
      <c r="D87" s="182" t="inlineStr">
        <is>
          <t>I_ES_TEPM_007</t>
        </is>
      </c>
      <c r="E87" s="182" t="inlineStr">
        <is>
          <t>福建金石</t>
        </is>
      </c>
      <c r="F87" s="716" t="n"/>
      <c r="G87" s="716" t="n"/>
      <c r="H87" s="462" t="n"/>
    </row>
    <row r="88">
      <c r="A88" s="672" t="inlineStr">
        <is>
          <t>E100000G</t>
        </is>
      </c>
      <c r="B88" s="767" t="inlineStr"/>
      <c r="C88" s="182" t="inlineStr">
        <is>
          <t>北京能源集团有限责任公司（合并）</t>
        </is>
      </c>
      <c r="D88" s="182" t="inlineStr">
        <is>
          <t>I_ES20040457</t>
        </is>
      </c>
      <c r="E88" s="182" t="inlineStr">
        <is>
          <t>北京世环洁天能源技术开发有限责任公司（外部）</t>
        </is>
      </c>
      <c r="F88" s="716" t="n"/>
      <c r="G88" s="716" t="n"/>
      <c r="H88" s="462" t="n"/>
    </row>
    <row r="89">
      <c r="A89" s="672" t="inlineStr">
        <is>
          <t>E100000G</t>
        </is>
      </c>
      <c r="B89" s="767" t="inlineStr"/>
      <c r="C89" s="182" t="inlineStr">
        <is>
          <t>北京能源集团有限责任公司（合并）</t>
        </is>
      </c>
      <c r="D89" s="182" t="inlineStr">
        <is>
          <t>I_ESGQDZ0301</t>
        </is>
      </c>
      <c r="E89" s="182" t="inlineStr">
        <is>
          <t>北京京国瑞国企改革发展基金（有限合伙人）</t>
        </is>
      </c>
      <c r="F89" s="716" t="n"/>
      <c r="G89" s="716" t="n"/>
      <c r="H89" s="462" t="n"/>
    </row>
    <row r="90">
      <c r="A90" s="672" t="inlineStr">
        <is>
          <t>E100000G</t>
        </is>
      </c>
      <c r="B90" s="767" t="inlineStr"/>
      <c r="C90" s="182" t="inlineStr">
        <is>
          <t>北京能源集团有限责任公司（合并）</t>
        </is>
      </c>
      <c r="D90" s="182" t="inlineStr">
        <is>
          <t>I_EC10081438</t>
        </is>
      </c>
      <c r="E90" s="182" t="inlineStr">
        <is>
          <t>北京中生京益医学检验实验室有限公司（外部）</t>
        </is>
      </c>
      <c r="F90" s="716" t="n"/>
      <c r="G90" s="716" t="n"/>
      <c r="H90" s="462" t="n"/>
    </row>
    <row r="91">
      <c r="A91" s="672" t="inlineStr">
        <is>
          <t>E100000G</t>
        </is>
      </c>
      <c r="B91" s="767" t="inlineStr"/>
      <c r="C91" s="182" t="inlineStr">
        <is>
          <t>北京能源集团有限责任公司（合并）</t>
        </is>
      </c>
      <c r="D91" s="182" t="inlineStr">
        <is>
          <t>I_ES20036247</t>
        </is>
      </c>
      <c r="E91" s="182" t="inlineStr">
        <is>
          <t>北京首都国际投资管理有限责任公司（外部2）</t>
        </is>
      </c>
      <c r="F91" s="716" t="n"/>
      <c r="G91" s="716" t="n"/>
      <c r="H91" s="462" t="n"/>
    </row>
    <row r="92">
      <c r="A92" s="672" t="inlineStr">
        <is>
          <t>E100000G</t>
        </is>
      </c>
      <c r="B92" s="767" t="inlineStr"/>
      <c r="C92" s="182" t="inlineStr">
        <is>
          <t>北京能源集团有限责任公司（合并）</t>
        </is>
      </c>
      <c r="D92" s="182" t="inlineStr">
        <is>
          <t>I_E20044943</t>
        </is>
      </c>
      <c r="E92" s="182" t="inlineStr">
        <is>
          <t>【停用】北京城市铁路股份有限公司</t>
        </is>
      </c>
      <c r="F92" s="716" t="n"/>
      <c r="G92" s="716" t="n"/>
      <c r="H92" s="462" t="n"/>
    </row>
    <row r="93">
      <c r="A93" s="672" t="inlineStr">
        <is>
          <t>E100000G</t>
        </is>
      </c>
      <c r="B93" s="767" t="inlineStr"/>
      <c r="C93" s="182" t="inlineStr">
        <is>
          <t>北京能源集团有限责任公司（合并）</t>
        </is>
      </c>
      <c r="D93" s="182" t="inlineStr">
        <is>
          <t>I_ES20024647</t>
        </is>
      </c>
      <c r="E93" s="182" t="inlineStr">
        <is>
          <t>国泰君安证券股份有限公司（外部）</t>
        </is>
      </c>
      <c r="F93" s="716" t="n"/>
      <c r="G93" s="716" t="n"/>
      <c r="H93" s="462" t="n"/>
    </row>
    <row r="94">
      <c r="A94" s="672" t="inlineStr">
        <is>
          <t>E100000G</t>
        </is>
      </c>
      <c r="B94" s="767" t="inlineStr"/>
      <c r="C94" s="182" t="inlineStr">
        <is>
          <t>北京能源集团有限责任公司（合并）</t>
        </is>
      </c>
      <c r="D94" s="182" t="inlineStr">
        <is>
          <t>I_ES20000116</t>
        </is>
      </c>
      <c r="E94" s="182" t="inlineStr">
        <is>
          <t>【停用】北京国电防腐安装工程有限公司</t>
        </is>
      </c>
      <c r="F94" s="716" t="n"/>
      <c r="G94" s="716" t="n"/>
      <c r="H94" s="462" t="n"/>
    </row>
    <row r="95">
      <c r="A95" s="672" t="inlineStr">
        <is>
          <t>E100000G</t>
        </is>
      </c>
      <c r="B95" s="767" t="inlineStr"/>
      <c r="C95" s="182" t="inlineStr">
        <is>
          <t>北京能源集团有限责任公司（合并）</t>
        </is>
      </c>
      <c r="D95" s="182" t="inlineStr">
        <is>
          <t>I_ES20044892</t>
        </is>
      </c>
      <c r="E95" s="182" t="inlineStr">
        <is>
          <t>北京京国瑞国企改革发展基金</t>
        </is>
      </c>
      <c r="F95" s="716" t="n"/>
      <c r="G95" s="716" t="n"/>
      <c r="H95" s="462" t="n"/>
    </row>
    <row r="96">
      <c r="A96" s="672" t="inlineStr">
        <is>
          <t>E100000G</t>
        </is>
      </c>
      <c r="B96" s="767" t="inlineStr"/>
      <c r="C96" s="182" t="inlineStr">
        <is>
          <t>北京能源集团有限责任公司（合并）</t>
        </is>
      </c>
      <c r="D96" s="182" t="inlineStr">
        <is>
          <t>I_ES90007071</t>
        </is>
      </c>
      <c r="E96" s="182" t="inlineStr">
        <is>
          <t>【停用】内蒙古西能能源有限责任公司</t>
        </is>
      </c>
      <c r="F96" s="716" t="n"/>
      <c r="G96" s="716" t="n"/>
      <c r="H96" s="462" t="n"/>
    </row>
    <row r="97">
      <c r="A97" s="672" t="inlineStr">
        <is>
          <t>E100000G</t>
        </is>
      </c>
      <c r="B97" s="767" t="inlineStr"/>
      <c r="C97" s="182" t="inlineStr">
        <is>
          <t>北京能源集团有限责任公司（合并）</t>
        </is>
      </c>
      <c r="D97" s="182" t="inlineStr">
        <is>
          <t>I_ES20044891</t>
        </is>
      </c>
      <c r="E97" s="182" t="inlineStr">
        <is>
          <t>北京古北水镇旅游有限公司（外部）</t>
        </is>
      </c>
      <c r="F97" s="716" t="n"/>
      <c r="G97" s="716" t="n"/>
      <c r="H97" s="462" t="n"/>
    </row>
    <row r="98">
      <c r="A98" s="672" t="inlineStr">
        <is>
          <t>E100000G</t>
        </is>
      </c>
      <c r="B98" s="767" t="inlineStr"/>
      <c r="C98" s="182" t="inlineStr">
        <is>
          <t>北京能源集团有限责任公司（合并）</t>
        </is>
      </c>
      <c r="D98" s="182" t="inlineStr">
        <is>
          <t>I_ES20000063</t>
        </is>
      </c>
      <c r="E98" s="182" t="inlineStr">
        <is>
          <t>【停用】北京首创股份有限公司</t>
        </is>
      </c>
      <c r="F98" s="716" t="n"/>
      <c r="G98" s="716" t="n"/>
      <c r="H98" s="462" t="n"/>
    </row>
    <row r="99">
      <c r="A99" s="672" t="inlineStr">
        <is>
          <t>E100000G</t>
        </is>
      </c>
      <c r="B99" s="767" t="inlineStr"/>
      <c r="C99" s="182" t="inlineStr">
        <is>
          <t>北京能源集团有限责任公司（合并）</t>
        </is>
      </c>
      <c r="D99" s="182" t="inlineStr">
        <is>
          <t>I_ES90001214</t>
        </is>
      </c>
      <c r="E99" s="182" t="inlineStr">
        <is>
          <t>【停用】北京天下一品美食烤肉有限公司</t>
        </is>
      </c>
      <c r="F99" s="716" t="n"/>
      <c r="G99" s="716" t="n"/>
      <c r="H99" s="462" t="n"/>
    </row>
    <row r="100">
      <c r="A100" s="672" t="inlineStr">
        <is>
          <t>E100000G</t>
        </is>
      </c>
      <c r="B100" s="767" t="inlineStr"/>
      <c r="C100" s="182" t="inlineStr">
        <is>
          <t>北京能源集团有限责任公司（合并）</t>
        </is>
      </c>
      <c r="D100" s="182" t="inlineStr">
        <is>
          <t>I_ES20000028</t>
        </is>
      </c>
      <c r="E100" s="182" t="inlineStr">
        <is>
          <t>【停用】成都商业银行</t>
        </is>
      </c>
      <c r="F100" s="716" t="n"/>
      <c r="G100" s="716" t="n"/>
      <c r="H100" s="462" t="n"/>
    </row>
    <row r="101">
      <c r="A101" s="672" t="inlineStr">
        <is>
          <t>E100000G</t>
        </is>
      </c>
      <c r="B101" s="767" t="inlineStr"/>
      <c r="C101" s="182" t="inlineStr">
        <is>
          <t>北京能源集团有限责任公司（合并）</t>
        </is>
      </c>
      <c r="D101" s="182" t="inlineStr">
        <is>
          <t>I_E20044893</t>
        </is>
      </c>
      <c r="E101" s="182" t="inlineStr">
        <is>
          <t>【停用】北京安邦保险代理有限责任公司</t>
        </is>
      </c>
      <c r="F101" s="716" t="n"/>
      <c r="G101" s="716" t="n"/>
      <c r="H101" s="462" t="n"/>
    </row>
    <row r="102">
      <c r="A102" s="672" t="inlineStr">
        <is>
          <t>E100000G</t>
        </is>
      </c>
      <c r="B102" s="767" t="inlineStr"/>
      <c r="C102" s="182" t="inlineStr">
        <is>
          <t>北京能源集团有限责任公司（合并）</t>
        </is>
      </c>
      <c r="D102" s="182" t="inlineStr">
        <is>
          <t>I_ES_TEPM_005</t>
        </is>
      </c>
      <c r="E102" s="182" t="inlineStr">
        <is>
          <t>杭州纤纳</t>
        </is>
      </c>
      <c r="F102" s="716" t="n"/>
      <c r="G102" s="716" t="n"/>
      <c r="H102" s="462" t="n"/>
    </row>
    <row r="103">
      <c r="A103" s="672" t="inlineStr">
        <is>
          <t>E100000G</t>
        </is>
      </c>
      <c r="B103" s="767" t="inlineStr"/>
      <c r="C103" s="182" t="inlineStr">
        <is>
          <t>北京能源集团有限责任公司（合并）</t>
        </is>
      </c>
      <c r="D103" s="182" t="inlineStr">
        <is>
          <t>I_ESGQDZ0429</t>
        </is>
      </c>
      <c r="E103" s="182" t="inlineStr">
        <is>
          <t>内蒙古电力交易中心有限公司</t>
        </is>
      </c>
      <c r="F103" s="716" t="n"/>
      <c r="G103" s="716" t="n"/>
      <c r="H103" s="462" t="n"/>
    </row>
    <row r="104">
      <c r="A104" s="672" t="inlineStr">
        <is>
          <t>E100000G</t>
        </is>
      </c>
      <c r="B104" s="767" t="inlineStr"/>
      <c r="C104" s="182" t="inlineStr">
        <is>
          <t>北京能源集团有限责任公司（合并）</t>
        </is>
      </c>
      <c r="D104" s="182" t="inlineStr">
        <is>
          <t>I_ES20035453</t>
        </is>
      </c>
      <c r="E104" s="182" t="inlineStr">
        <is>
          <t>厦门赛富股权投资合伙企业（有限合伙）（外部）</t>
        </is>
      </c>
      <c r="F104" s="716" t="n"/>
      <c r="G104" s="716" t="n"/>
      <c r="H104" s="462" t="n"/>
    </row>
    <row r="105">
      <c r="A105" s="672" t="inlineStr">
        <is>
          <t>E100000G</t>
        </is>
      </c>
      <c r="B105" s="767" t="inlineStr"/>
      <c r="C105" s="182" t="inlineStr">
        <is>
          <t>北京能源集团有限责任公司（合并）</t>
        </is>
      </c>
      <c r="D105" s="182" t="inlineStr">
        <is>
          <t>I_ES90000010</t>
        </is>
      </c>
      <c r="E105" s="182" t="inlineStr">
        <is>
          <t>【停用】基金丰和</t>
        </is>
      </c>
      <c r="F105" s="716" t="n"/>
      <c r="G105" s="716" t="n"/>
      <c r="H105" s="462" t="n"/>
    </row>
    <row r="106">
      <c r="A106" s="672" t="inlineStr">
        <is>
          <t>E100000G</t>
        </is>
      </c>
      <c r="B106" s="767" t="inlineStr"/>
      <c r="C106" s="182" t="inlineStr">
        <is>
          <t>北京能源集团有限责任公司（合并）</t>
        </is>
      </c>
      <c r="D106" s="182" t="inlineStr">
        <is>
          <t>I_EC10026576</t>
        </is>
      </c>
      <c r="E106" s="182" t="inlineStr">
        <is>
          <t>万通投资控股股份有限公司（外部）</t>
        </is>
      </c>
      <c r="F106" s="716" t="n"/>
      <c r="G106" s="716" t="n"/>
      <c r="H106" s="462" t="n"/>
    </row>
    <row r="107">
      <c r="A107" s="672" t="inlineStr">
        <is>
          <t>E100000G</t>
        </is>
      </c>
      <c r="B107" s="767" t="inlineStr"/>
      <c r="C107" s="182" t="inlineStr">
        <is>
          <t>北京能源集团有限责任公司（合并）</t>
        </is>
      </c>
      <c r="D107" s="182" t="inlineStr">
        <is>
          <t>I_ES_TEPM_002</t>
        </is>
      </c>
      <c r="E107" s="182" t="inlineStr">
        <is>
          <t>上海氢晨</t>
        </is>
      </c>
      <c r="F107" s="716" t="n"/>
      <c r="G107" s="716" t="n"/>
      <c r="H107" s="462" t="n"/>
    </row>
    <row r="108">
      <c r="A108" s="672" t="inlineStr">
        <is>
          <t>E100000G</t>
        </is>
      </c>
      <c r="B108" s="767" t="inlineStr"/>
      <c r="C108" s="182" t="inlineStr">
        <is>
          <t>北京能源集团有限责任公司（合并）</t>
        </is>
      </c>
      <c r="D108" s="182" t="inlineStr">
        <is>
          <t>I_ES20000060</t>
        </is>
      </c>
      <c r="E108" s="182" t="inlineStr">
        <is>
          <t>【停用】国电电力发展股份有限公司</t>
        </is>
      </c>
      <c r="F108" s="716" t="n"/>
      <c r="G108" s="716" t="n"/>
      <c r="H108" s="462" t="n"/>
    </row>
    <row r="109">
      <c r="A109" s="672" t="inlineStr">
        <is>
          <t>E100000G</t>
        </is>
      </c>
      <c r="B109" s="767" t="inlineStr"/>
      <c r="C109" s="182" t="inlineStr">
        <is>
          <t>北京能源集团有限责任公司（合并）</t>
        </is>
      </c>
      <c r="D109" s="182" t="inlineStr">
        <is>
          <t>I_ES20044893</t>
        </is>
      </c>
      <c r="E109" s="182" t="inlineStr">
        <is>
          <t>北京安邦保险代理有限责任公司（外部）</t>
        </is>
      </c>
      <c r="F109" s="716" t="n"/>
      <c r="G109" s="716" t="n"/>
      <c r="H109" s="462" t="n"/>
    </row>
    <row r="110">
      <c r="A110" s="672" t="inlineStr">
        <is>
          <t>E100000G</t>
        </is>
      </c>
      <c r="B110" s="767" t="inlineStr"/>
      <c r="C110" s="182" t="inlineStr">
        <is>
          <t>北京能源集团有限责任公司（合并）</t>
        </is>
      </c>
      <c r="D110" s="182" t="inlineStr">
        <is>
          <t>I_ES20039041</t>
        </is>
      </c>
      <c r="E110" s="182" t="inlineStr">
        <is>
          <t>山西电力交易中心有限公司</t>
        </is>
      </c>
      <c r="F110" s="716" t="n"/>
      <c r="G110" s="716" t="n"/>
      <c r="H110" s="462" t="n"/>
    </row>
    <row r="111">
      <c r="A111" s="672" t="inlineStr">
        <is>
          <t>E100000G</t>
        </is>
      </c>
      <c r="B111" s="767" t="inlineStr"/>
      <c r="C111" s="182" t="inlineStr">
        <is>
          <t>北京能源集团有限责任公司（合并）</t>
        </is>
      </c>
      <c r="D111" s="182" t="inlineStr">
        <is>
          <t>I_EC10038609</t>
        </is>
      </c>
      <c r="E111" s="182" t="inlineStr">
        <is>
          <t>中联煤炭销售有限责任公司（外部）</t>
        </is>
      </c>
      <c r="F111" s="716" t="n"/>
      <c r="G111" s="716" t="n"/>
      <c r="H111" s="462" t="n"/>
    </row>
    <row r="112">
      <c r="A112" s="672" t="inlineStr">
        <is>
          <t>E100000G</t>
        </is>
      </c>
      <c r="B112" s="767" t="inlineStr"/>
      <c r="C112" s="182" t="inlineStr">
        <is>
          <t>北京能源集团有限责任公司（合并）</t>
        </is>
      </c>
      <c r="D112" s="182" t="inlineStr">
        <is>
          <t>I_ES_TEPM_001</t>
        </is>
      </c>
      <c r="E112" s="182" t="inlineStr">
        <is>
          <t>能源科技基金</t>
        </is>
      </c>
      <c r="F112" s="716" t="n"/>
      <c r="G112" s="716" t="n"/>
      <c r="H112" s="462" t="n"/>
    </row>
    <row r="113">
      <c r="A113" s="672" t="inlineStr">
        <is>
          <t>E100000G</t>
        </is>
      </c>
      <c r="B113" s="767" t="inlineStr"/>
      <c r="C113" s="182" t="inlineStr">
        <is>
          <t>北京能源集团有限责任公司（合并）</t>
        </is>
      </c>
      <c r="D113" s="182" t="inlineStr">
        <is>
          <t>I_ES20000431</t>
        </is>
      </c>
      <c r="E113" s="182" t="inlineStr">
        <is>
          <t>【停用】内蒙古呼和浩特抽水蓄能发电有限责任公司</t>
        </is>
      </c>
      <c r="F113" s="716" t="n"/>
      <c r="G113" s="716" t="n"/>
      <c r="H113" s="462" t="n"/>
    </row>
    <row r="114">
      <c r="A114" s="672" t="inlineStr">
        <is>
          <t>E100000G</t>
        </is>
      </c>
      <c r="B114" s="767" t="inlineStr"/>
      <c r="C114" s="182" t="inlineStr">
        <is>
          <t>北京能源集团有限责任公司（合并）</t>
        </is>
      </c>
      <c r="D114" s="182" t="inlineStr">
        <is>
          <t>I_EC_TEPM_001</t>
        </is>
      </c>
      <c r="E114" s="182" t="inlineStr">
        <is>
          <t>新包神铁路有限责任公司</t>
        </is>
      </c>
      <c r="F114" s="716" t="n"/>
      <c r="G114" s="716" t="n"/>
      <c r="H114" s="462" t="n"/>
    </row>
    <row r="115">
      <c r="A115" s="672" t="inlineStr">
        <is>
          <t>E100000G</t>
        </is>
      </c>
      <c r="B115" s="767" t="inlineStr"/>
      <c r="C115" s="182" t="inlineStr">
        <is>
          <t>北京能源集团有限责任公司（合并）</t>
        </is>
      </c>
      <c r="D115" s="182" t="inlineStr">
        <is>
          <t>I_EC10000149</t>
        </is>
      </c>
      <c r="E115" s="182" t="inlineStr">
        <is>
          <t>北京银行股份有限公司（停用）</t>
        </is>
      </c>
      <c r="F115" s="716" t="n"/>
      <c r="G115" s="716" t="n"/>
      <c r="H115" s="462" t="n"/>
    </row>
    <row r="116">
      <c r="A116" s="672" t="inlineStr">
        <is>
          <t>E100000G</t>
        </is>
      </c>
      <c r="B116" s="767" t="inlineStr"/>
      <c r="C116" s="182" t="inlineStr">
        <is>
          <t>北京能源集团有限责任公司（合并）</t>
        </is>
      </c>
      <c r="D116" s="182" t="inlineStr">
        <is>
          <t>I_ES20044888</t>
        </is>
      </c>
      <c r="E116" s="182" t="inlineStr">
        <is>
          <t>中投信用担保有限公司</t>
        </is>
      </c>
      <c r="F116" s="716" t="n"/>
      <c r="G116" s="716" t="n"/>
      <c r="H116" s="462" t="n"/>
    </row>
    <row r="117">
      <c r="A117" s="672" t="inlineStr">
        <is>
          <t>E100000G</t>
        </is>
      </c>
      <c r="B117" s="767" t="inlineStr"/>
      <c r="C117" s="182" t="inlineStr">
        <is>
          <t>北京能源集团有限责任公司（合并）</t>
        </is>
      </c>
      <c r="D117" s="182" t="inlineStr">
        <is>
          <t>I_E20039024</t>
        </is>
      </c>
      <c r="E117" s="182" t="inlineStr">
        <is>
          <t>【停用】国华能源有限公司</t>
        </is>
      </c>
      <c r="F117" s="716" t="n"/>
      <c r="G117" s="716" t="n"/>
      <c r="H117" s="462" t="n"/>
    </row>
    <row r="118">
      <c r="A118" s="672" t="inlineStr">
        <is>
          <t>E100000G</t>
        </is>
      </c>
      <c r="B118" s="767" t="inlineStr"/>
      <c r="C118" s="182" t="inlineStr">
        <is>
          <t>北京能源集团有限责任公司（合并）</t>
        </is>
      </c>
      <c r="D118" s="182" t="inlineStr">
        <is>
          <t>I_ES20044559</t>
        </is>
      </c>
      <c r="E118" s="182" t="inlineStr">
        <is>
          <t>中国能源建设股份有限公司（外部）</t>
        </is>
      </c>
      <c r="F118" s="716" t="n"/>
      <c r="G118" s="716" t="n"/>
      <c r="H118" s="462" t="n"/>
    </row>
    <row r="119">
      <c r="A119" s="672" t="inlineStr">
        <is>
          <t>E100000G</t>
        </is>
      </c>
      <c r="B119" s="767" t="inlineStr"/>
      <c r="C119" s="182" t="inlineStr">
        <is>
          <t>北京能源集团有限责任公司（合并）</t>
        </is>
      </c>
      <c r="D119" s="182" t="inlineStr">
        <is>
          <t>I_ES20036313</t>
        </is>
      </c>
      <c r="E119" s="182" t="inlineStr">
        <is>
          <t>北京向导城市信息技术有限公司（外部2）</t>
        </is>
      </c>
      <c r="F119" s="716" t="n"/>
      <c r="G119" s="716" t="n"/>
      <c r="H119" s="462" t="n"/>
    </row>
    <row r="120">
      <c r="A120" s="672" t="inlineStr">
        <is>
          <t>E100000G</t>
        </is>
      </c>
      <c r="B120" s="767" t="inlineStr"/>
      <c r="C120" s="182" t="inlineStr">
        <is>
          <t>北京能源集团有限责任公司（合并）</t>
        </is>
      </c>
      <c r="D120" s="182" t="inlineStr">
        <is>
          <t>I_ES10000420</t>
        </is>
      </c>
      <c r="E120" s="182" t="inlineStr">
        <is>
          <t>【停用】北京京能清洁能源电力股份有限公司</t>
        </is>
      </c>
      <c r="F120" s="716" t="n"/>
      <c r="G120" s="716" t="n"/>
      <c r="H120" s="462" t="n"/>
    </row>
    <row r="121">
      <c r="A121" s="672" t="inlineStr">
        <is>
          <t>E100000G</t>
        </is>
      </c>
      <c r="B121" s="767" t="inlineStr"/>
      <c r="C121" s="182" t="inlineStr">
        <is>
          <t>北京能源集团有限责任公司（合并）</t>
        </is>
      </c>
      <c r="D121" s="182" t="inlineStr">
        <is>
          <t>I_ESGQDZ0215</t>
        </is>
      </c>
      <c r="E121" s="182" t="inlineStr">
        <is>
          <t>宁夏发电集团有限责任公司</t>
        </is>
      </c>
      <c r="F121" s="716" t="n"/>
      <c r="G121" s="716" t="n"/>
      <c r="H121" s="462" t="n"/>
    </row>
    <row r="122">
      <c r="A122" s="672" t="inlineStr">
        <is>
          <t>E100000G</t>
        </is>
      </c>
      <c r="B122" s="767" t="inlineStr"/>
      <c r="C122" s="182" t="inlineStr">
        <is>
          <t>北京能源集团有限责任公司（合并）</t>
        </is>
      </c>
      <c r="D122" s="182" t="inlineStr">
        <is>
          <t>I_ES20035330</t>
        </is>
      </c>
      <c r="E122" s="182" t="inlineStr">
        <is>
          <t>内蒙古呼和浩特抽水蓄能发电有限责任公司（外部）</t>
        </is>
      </c>
      <c r="F122" s="716" t="n"/>
      <c r="G122" s="716" t="n"/>
      <c r="H122" s="462" t="n"/>
    </row>
    <row r="123">
      <c r="A123" s="672" t="inlineStr">
        <is>
          <t>E100000G</t>
        </is>
      </c>
      <c r="B123" s="767" t="inlineStr"/>
      <c r="C123" s="182" t="inlineStr">
        <is>
          <t>北京能源集团有限责任公司（合并）</t>
        </is>
      </c>
      <c r="D123" s="182" t="inlineStr">
        <is>
          <t>I_ES20039171</t>
        </is>
      </c>
      <c r="E123" s="182" t="inlineStr">
        <is>
          <t>冀北电力交易中心有限公司（外部）</t>
        </is>
      </c>
      <c r="F123" s="716" t="n"/>
      <c r="G123" s="716" t="n"/>
      <c r="H123" s="462" t="n"/>
    </row>
    <row r="124">
      <c r="A124" s="672" t="inlineStr">
        <is>
          <t>E100000G</t>
        </is>
      </c>
      <c r="B124" s="767" t="inlineStr"/>
      <c r="C124" s="182" t="inlineStr">
        <is>
          <t>北京能源集团有限责任公司（合并）</t>
        </is>
      </c>
      <c r="D124" s="182" t="inlineStr">
        <is>
          <t>I_EC10086796</t>
        </is>
      </c>
      <c r="E124" s="182" t="inlineStr">
        <is>
          <t>鄂尔多斯南部铁路有限责任公司</t>
        </is>
      </c>
      <c r="F124" s="716" t="n"/>
      <c r="G124" s="716" t="n"/>
      <c r="H124" s="462" t="n"/>
    </row>
    <row r="125">
      <c r="A125" s="672" t="inlineStr">
        <is>
          <t>E100000G</t>
        </is>
      </c>
      <c r="B125" s="767" t="inlineStr"/>
      <c r="C125" s="182" t="inlineStr">
        <is>
          <t>北京能源集团有限责任公司（合并）</t>
        </is>
      </c>
      <c r="D125" s="182" t="inlineStr">
        <is>
          <t>I_E20044878</t>
        </is>
      </c>
      <c r="E125" s="182" t="inlineStr">
        <is>
          <t>【停用】山东鲁信投资集团股份有限公司</t>
        </is>
      </c>
      <c r="F125" s="716" t="n"/>
      <c r="G125" s="716" t="n"/>
      <c r="H125" s="462" t="n"/>
    </row>
    <row r="126">
      <c r="A126" s="672" t="inlineStr">
        <is>
          <t>E100000G</t>
        </is>
      </c>
      <c r="B126" s="767" t="inlineStr"/>
      <c r="C126" s="182" t="inlineStr">
        <is>
          <t>北京能源集团有限责任公司（合并）</t>
        </is>
      </c>
      <c r="D126" s="182" t="inlineStr">
        <is>
          <t>I_ES20044879</t>
        </is>
      </c>
      <c r="E126" s="182" t="inlineStr">
        <is>
          <t>重庆富都股权投资基金合伙企业（有限合伙）（外部2）</t>
        </is>
      </c>
      <c r="F126" s="716" t="n"/>
      <c r="G126" s="716" t="n"/>
      <c r="H126" s="462" t="n"/>
    </row>
    <row r="127">
      <c r="A127" s="672" t="inlineStr">
        <is>
          <t>E100000G</t>
        </is>
      </c>
      <c r="B127" s="767" t="inlineStr"/>
      <c r="C127" s="182" t="inlineStr">
        <is>
          <t>北京能源集团有限责任公司（合并）</t>
        </is>
      </c>
      <c r="D127" s="182" t="inlineStr">
        <is>
          <t>I_ES20044887</t>
        </is>
      </c>
      <c r="E127" s="182" t="inlineStr">
        <is>
          <t>首创证券股份有限公司</t>
        </is>
      </c>
      <c r="F127" s="716" t="n"/>
      <c r="G127" s="716" t="n"/>
      <c r="H127" s="462" t="n"/>
    </row>
    <row r="128">
      <c r="A128" s="672" t="inlineStr">
        <is>
          <t>E100000G</t>
        </is>
      </c>
      <c r="B128" s="767" t="inlineStr"/>
      <c r="C128" s="182" t="inlineStr">
        <is>
          <t>北京能源集团有限责任公司（合并）</t>
        </is>
      </c>
      <c r="D128" s="182" t="inlineStr">
        <is>
          <t>I_ECWQ020689</t>
        </is>
      </c>
      <c r="E128" s="182" t="inlineStr">
        <is>
          <t>光大银行</t>
        </is>
      </c>
      <c r="F128" s="716" t="n"/>
      <c r="G128" s="716" t="n"/>
      <c r="H128" s="462" t="n"/>
    </row>
    <row r="129">
      <c r="A129" s="672" t="inlineStr">
        <is>
          <t>E100000G</t>
        </is>
      </c>
      <c r="B129" s="767" t="inlineStr"/>
      <c r="C129" s="182" t="inlineStr">
        <is>
          <t>北京能源集团有限责任公司（合并）</t>
        </is>
      </c>
      <c r="D129" s="182" t="inlineStr">
        <is>
          <t>I_ES20044943</t>
        </is>
      </c>
      <c r="E129" s="182" t="inlineStr">
        <is>
          <t>北京城市铁路股份有限公司（外部）</t>
        </is>
      </c>
      <c r="F129" s="716" t="n"/>
      <c r="G129" s="716" t="n"/>
      <c r="H129" s="462" t="n"/>
    </row>
    <row r="130">
      <c r="A130" s="672" t="inlineStr">
        <is>
          <t>E100000G</t>
        </is>
      </c>
      <c r="B130" s="767" t="inlineStr"/>
      <c r="C130" s="182" t="inlineStr">
        <is>
          <t>北京能源集团有限责任公司（合并）</t>
        </is>
      </c>
      <c r="D130" s="182" t="inlineStr">
        <is>
          <t>I_ES20035759</t>
        </is>
      </c>
      <c r="E130" s="182" t="inlineStr">
        <is>
          <t>中铝宁夏能源集团有限公司（外部）</t>
        </is>
      </c>
      <c r="F130" s="716" t="n"/>
      <c r="G130" s="716" t="n"/>
      <c r="H130" s="462" t="n"/>
    </row>
    <row r="131">
      <c r="A131" s="672" t="inlineStr">
        <is>
          <t>E100000G</t>
        </is>
      </c>
      <c r="B131" s="767" t="inlineStr"/>
      <c r="C131" s="182" t="inlineStr">
        <is>
          <t>北京能源集团有限责任公司（合并）</t>
        </is>
      </c>
      <c r="D131" s="182" t="inlineStr">
        <is>
          <t>I_EC10033073</t>
        </is>
      </c>
      <c r="E131" s="182" t="inlineStr">
        <is>
          <t>北京金伦股份有限公司（外部）</t>
        </is>
      </c>
      <c r="F131" s="716" t="n"/>
      <c r="G131" s="716" t="n"/>
      <c r="H131" s="462" t="n"/>
    </row>
    <row r="132">
      <c r="A132" s="672" t="inlineStr">
        <is>
          <t>E100000G</t>
        </is>
      </c>
      <c r="B132" s="767" t="inlineStr"/>
      <c r="C132" s="182" t="inlineStr">
        <is>
          <t>北京能源集团有限责任公司（合并）</t>
        </is>
      </c>
      <c r="D132" s="182" t="inlineStr">
        <is>
          <t>I_ES90007070</t>
        </is>
      </c>
      <c r="E132" s="182" t="inlineStr">
        <is>
          <t>【停用】内蒙古东能能源有限责任公司</t>
        </is>
      </c>
      <c r="F132" s="716" t="n"/>
      <c r="G132" s="716" t="n"/>
      <c r="H132" s="462" t="n"/>
    </row>
    <row r="133">
      <c r="A133" s="672" t="inlineStr">
        <is>
          <t>E100000G</t>
        </is>
      </c>
      <c r="B133" s="767" t="inlineStr"/>
      <c r="C133" s="182" t="inlineStr">
        <is>
          <t>北京能源集团有限责任公司（合并）</t>
        </is>
      </c>
      <c r="D133" s="182" t="inlineStr">
        <is>
          <t>I_ES20035339</t>
        </is>
      </c>
      <c r="E133" s="182" t="inlineStr">
        <is>
          <t>内蒙古京科发电有限公司（外部）</t>
        </is>
      </c>
      <c r="F133" s="716" t="n"/>
      <c r="G133" s="716" t="n"/>
      <c r="H133" s="462" t="n"/>
    </row>
    <row r="134">
      <c r="A134" s="672" t="inlineStr">
        <is>
          <t>E100000G</t>
        </is>
      </c>
      <c r="B134" s="767" t="inlineStr"/>
      <c r="C134" s="182" t="inlineStr">
        <is>
          <t>北京能源集团有限责任公司（合并）</t>
        </is>
      </c>
      <c r="D134" s="182" t="inlineStr">
        <is>
          <t>I_ES20044874</t>
        </is>
      </c>
      <c r="E134" s="182" t="inlineStr">
        <is>
          <t>广发银行股份有限公司</t>
        </is>
      </c>
      <c r="F134" s="716" t="n"/>
      <c r="G134" s="716" t="n"/>
      <c r="H134" s="462" t="n"/>
    </row>
    <row r="135">
      <c r="A135" s="672" t="inlineStr">
        <is>
          <t>E100000G</t>
        </is>
      </c>
      <c r="B135" s="767" t="inlineStr"/>
      <c r="C135" s="182" t="inlineStr">
        <is>
          <t>北京能源集团有限责任公司（合并）</t>
        </is>
      </c>
      <c r="D135" s="182" t="inlineStr">
        <is>
          <t>I_ES20044758</t>
        </is>
      </c>
      <c r="E135" s="182" t="inlineStr">
        <is>
          <t>北京能源工业互联网研究院有限公司（外部）</t>
        </is>
      </c>
      <c r="F135" s="716" t="n"/>
      <c r="G135" s="716" t="n"/>
      <c r="H135" s="462" t="n"/>
    </row>
    <row r="136">
      <c r="A136" s="672" t="inlineStr">
        <is>
          <t>E100000G</t>
        </is>
      </c>
      <c r="B136" s="767" t="inlineStr"/>
      <c r="C136" s="182" t="inlineStr">
        <is>
          <t>北京能源集团有限责任公司（合并）</t>
        </is>
      </c>
      <c r="D136" s="182" t="inlineStr">
        <is>
          <t>I_ES_TEPM_004</t>
        </is>
      </c>
      <c r="E136" s="182" t="inlineStr">
        <is>
          <t>晨岭基金</t>
        </is>
      </c>
      <c r="F136" s="716" t="n"/>
      <c r="G136" s="716" t="n"/>
      <c r="H136" s="462" t="n"/>
    </row>
    <row r="137">
      <c r="A137" s="672" t="inlineStr">
        <is>
          <t>E100000G</t>
        </is>
      </c>
      <c r="B137" s="767" t="inlineStr"/>
      <c r="C137" s="182" t="inlineStr">
        <is>
          <t>北京能源集团有限责任公司（合并）</t>
        </is>
      </c>
      <c r="D137" s="182" t="inlineStr">
        <is>
          <t>I_ESGQDZ0209</t>
        </is>
      </c>
      <c r="E137" s="182" t="inlineStr">
        <is>
          <t>国泰君安证券投资管理股份有限公司</t>
        </is>
      </c>
      <c r="F137" s="716" t="n"/>
      <c r="G137" s="716" t="n"/>
      <c r="H137" s="462" t="n"/>
    </row>
    <row r="138">
      <c r="A138" s="672" t="inlineStr">
        <is>
          <t>E100000G</t>
        </is>
      </c>
      <c r="B138" s="767" t="inlineStr"/>
      <c r="C138" s="182" t="inlineStr">
        <is>
          <t>北京能源集团有限责任公司（合并）</t>
        </is>
      </c>
      <c r="D138" s="182" t="inlineStr">
        <is>
          <t>I_ES20044886</t>
        </is>
      </c>
      <c r="E138" s="182" t="inlineStr">
        <is>
          <t>北京中欧兴业投资管理有限公司</t>
        </is>
      </c>
      <c r="F138" s="716" t="n"/>
      <c r="G138" s="716" t="n"/>
      <c r="H138" s="462" t="n"/>
    </row>
    <row r="139">
      <c r="A139" s="672" t="inlineStr">
        <is>
          <t>E100000G</t>
        </is>
      </c>
      <c r="B139" s="767" t="inlineStr"/>
      <c r="C139" s="182" t="inlineStr">
        <is>
          <t>北京能源集团有限责任公司（合并）</t>
        </is>
      </c>
      <c r="D139" s="182" t="inlineStr">
        <is>
          <t>I_ES20034913</t>
        </is>
      </c>
      <c r="E139" s="182" t="inlineStr">
        <is>
          <t>北京实创科技园开发建设股份有限公司（外部）</t>
        </is>
      </c>
      <c r="F139" s="716" t="n"/>
      <c r="G139" s="716" t="n"/>
      <c r="H139" s="462" t="n"/>
    </row>
    <row r="140" customFormat="1" s="836">
      <c r="A140" s="672" t="inlineStr">
        <is>
          <t>E100000G</t>
        </is>
      </c>
      <c r="B140" s="767" t="inlineStr"/>
      <c r="C140" s="182" t="inlineStr">
        <is>
          <t>北京能源集团有限责任公司（合并）</t>
        </is>
      </c>
      <c r="D140" s="182" t="inlineStr">
        <is>
          <t>I_ES20037727</t>
        </is>
      </c>
      <c r="E140" s="182" t="inlineStr">
        <is>
          <t>深圳麦士威科技有限公司（外部）</t>
        </is>
      </c>
      <c r="F140" s="836" t="n"/>
      <c r="G140" s="836" t="n"/>
      <c r="H140" s="837" t="n"/>
    </row>
    <row r="141" ht="16.8" customHeight="1" s="1181">
      <c r="A141" s="384" t="inlineStr">
        <is>
          <t>E100000G</t>
        </is>
      </c>
      <c r="B141" s="767" t="inlineStr"/>
      <c r="C141" s="182" t="inlineStr">
        <is>
          <t>北京能源集团有限责任公司（合并）</t>
        </is>
      </c>
      <c r="D141" s="182" t="inlineStr">
        <is>
          <t>I_EC10058377</t>
        </is>
      </c>
      <c r="E141" s="182" t="inlineStr">
        <is>
          <t>北京西西友谊商城有限公司（外部）</t>
        </is>
      </c>
      <c r="F141" s="716" t="n"/>
      <c r="G141" s="716" t="n"/>
      <c r="H141" s="462" t="n"/>
    </row>
    <row r="142" ht="16.8" customHeight="1" s="1181">
      <c r="A142" s="384" t="inlineStr">
        <is>
          <t>E100000G</t>
        </is>
      </c>
      <c r="B142" s="767" t="inlineStr"/>
      <c r="C142" s="182" t="inlineStr">
        <is>
          <t>北京能源集团有限责任公司（合并）</t>
        </is>
      </c>
      <c r="D142" s="182" t="inlineStr">
        <is>
          <t>I_ES20044877</t>
        </is>
      </c>
      <c r="E142" s="182" t="inlineStr">
        <is>
          <t>北京京国瑞股权投资基金管理有限公司（外部）</t>
        </is>
      </c>
      <c r="F142" s="716" t="n"/>
      <c r="G142" s="716" t="n"/>
      <c r="H142" s="462" t="n"/>
    </row>
    <row r="143" ht="16.8" customHeight="1" s="1181">
      <c r="A143" s="384" t="inlineStr">
        <is>
          <t>E100000G</t>
        </is>
      </c>
      <c r="B143" s="767" t="inlineStr"/>
      <c r="C143" s="182" t="inlineStr">
        <is>
          <t>北京能源集团有限责任公司（合并）</t>
        </is>
      </c>
      <c r="D143" s="182" t="inlineStr">
        <is>
          <t>I_E20044877</t>
        </is>
      </c>
      <c r="E143" s="182" t="inlineStr">
        <is>
          <t>【停用】北京京国瑞股权投资基金管理有限公司</t>
        </is>
      </c>
      <c r="F143" s="716" t="n"/>
      <c r="G143" s="716" t="n"/>
      <c r="H143" s="462" t="n"/>
    </row>
    <row r="144" ht="16.8" customHeight="1" s="1181">
      <c r="A144" s="384" t="inlineStr">
        <is>
          <t>E100000G</t>
        </is>
      </c>
      <c r="B144" s="767" t="inlineStr"/>
      <c r="C144" s="182" t="inlineStr">
        <is>
          <t>北京能源集团有限责任公司（合并）</t>
        </is>
      </c>
      <c r="D144" s="182" t="inlineStr">
        <is>
          <t>I_ES_TEPM_006</t>
        </is>
      </c>
      <c r="E144" s="182" t="inlineStr">
        <is>
          <t>杭州龙焱</t>
        </is>
      </c>
      <c r="F144" s="716" t="n"/>
      <c r="G144" s="716" t="n"/>
      <c r="H144" s="462" t="n"/>
    </row>
    <row r="145" ht="16.8" customHeight="1" s="1181">
      <c r="A145" s="384" t="inlineStr">
        <is>
          <t>E100000G</t>
        </is>
      </c>
      <c r="B145" s="767" t="inlineStr"/>
      <c r="C145" s="182" t="inlineStr">
        <is>
          <t>北京能源集团有限责任公司（合并）</t>
        </is>
      </c>
      <c r="D145" s="182" t="inlineStr">
        <is>
          <t>I_ECWQ020789</t>
        </is>
      </c>
      <c r="E145" s="182" t="inlineStr">
        <is>
          <t>光大银行-601818</t>
        </is>
      </c>
      <c r="F145" s="716" t="n"/>
      <c r="G145" s="716" t="n"/>
      <c r="H145" s="462" t="n"/>
    </row>
    <row r="146" ht="16.8" customHeight="1" s="1181">
      <c r="A146" s="384" t="inlineStr">
        <is>
          <t>E100000G</t>
        </is>
      </c>
      <c r="B146" s="767" t="inlineStr"/>
      <c r="C146" s="182" t="inlineStr">
        <is>
          <t>北京能源集团有限责任公司（合并）</t>
        </is>
      </c>
      <c r="D146" s="182" t="inlineStr">
        <is>
          <t>I_E20044879</t>
        </is>
      </c>
      <c r="E146" s="182" t="inlineStr">
        <is>
          <t>重庆富都股权投资基金合伙企业（有限合伙）(外部）</t>
        </is>
      </c>
      <c r="F146" s="716" t="n"/>
      <c r="G146" s="716" t="n"/>
      <c r="H146" s="462" t="n"/>
    </row>
    <row r="147" ht="16.8" customHeight="1" s="1181">
      <c r="A147" s="384" t="inlineStr">
        <is>
          <t>E100000G</t>
        </is>
      </c>
      <c r="B147" s="767" t="inlineStr"/>
      <c r="C147" s="182" t="inlineStr">
        <is>
          <t>北京能源集团有限责任公司（合并）</t>
        </is>
      </c>
      <c r="D147" s="182" t="inlineStr">
        <is>
          <t>I_ES20044878</t>
        </is>
      </c>
      <c r="E147" s="182" t="inlineStr">
        <is>
          <t>山东鲁信投资集团股份有限公司（外部）</t>
        </is>
      </c>
      <c r="F147" s="716" t="n"/>
      <c r="G147" s="716" t="n"/>
      <c r="H147" s="462" t="n"/>
    </row>
    <row r="148" ht="16.8" customHeight="1" s="1181">
      <c r="A148" s="384" t="inlineStr">
        <is>
          <t>E100000G</t>
        </is>
      </c>
      <c r="B148" s="767" t="inlineStr"/>
      <c r="C148" s="182" t="inlineStr">
        <is>
          <t>北京能源集团有限责任公司（合并）</t>
        </is>
      </c>
      <c r="D148" s="182" t="inlineStr">
        <is>
          <t>I_EC10034031</t>
        </is>
      </c>
      <c r="E148" s="182" t="inlineStr">
        <is>
          <t>北京服务新首钢股权创业投资企业（有限合伙）（外部）</t>
        </is>
      </c>
      <c r="F148" s="716" t="n"/>
      <c r="G148" s="716" t="n"/>
      <c r="H148" s="462" t="n"/>
    </row>
    <row r="149" ht="16.8" customHeight="1" s="1181">
      <c r="A149" s="384" t="inlineStr">
        <is>
          <t>E100000G</t>
        </is>
      </c>
      <c r="B149" s="767" t="inlineStr"/>
      <c r="C149" s="182" t="inlineStr">
        <is>
          <t>北京能源集团有限责任公司（合并）</t>
        </is>
      </c>
      <c r="D149" s="182" t="inlineStr">
        <is>
          <t>I_E20044885</t>
        </is>
      </c>
      <c r="E149" s="182" t="inlineStr">
        <is>
          <t>【停用】首都电力交易中心有限公司</t>
        </is>
      </c>
      <c r="F149" s="716" t="n"/>
      <c r="G149" s="716" t="n"/>
      <c r="H149" s="462" t="n"/>
    </row>
    <row r="150" ht="16.8" customHeight="1" s="1181">
      <c r="A150" s="384" t="inlineStr">
        <is>
          <t>E100000G</t>
        </is>
      </c>
      <c r="B150" s="767" t="inlineStr"/>
      <c r="C150" s="182" t="inlineStr">
        <is>
          <t>北京能源集团有限责任公司（合并）</t>
        </is>
      </c>
      <c r="D150" s="182" t="inlineStr">
        <is>
          <t>I_E20044875</t>
        </is>
      </c>
      <c r="E150" s="182" t="inlineStr">
        <is>
          <t>【停用】北京顺隆投资发展基金（有限合伙）</t>
        </is>
      </c>
      <c r="F150" s="716" t="n"/>
      <c r="G150" s="716" t="n"/>
      <c r="H150" s="462" t="n"/>
    </row>
    <row r="151" ht="16.8" customHeight="1" s="1181">
      <c r="A151" s="384" t="inlineStr">
        <is>
          <t>E100000G</t>
        </is>
      </c>
      <c r="B151" s="767" t="inlineStr"/>
      <c r="C151" s="182" t="inlineStr">
        <is>
          <t>北京能源集团有限责任公司（合并）</t>
        </is>
      </c>
      <c r="D151" s="182" t="inlineStr">
        <is>
          <t>I_E20044934</t>
        </is>
      </c>
      <c r="E151" s="182" t="inlineStr">
        <is>
          <t>【停用】汉江水电开发有限责任公司</t>
        </is>
      </c>
      <c r="F151" s="716" t="n"/>
      <c r="G151" s="716" t="n"/>
      <c r="H151" s="462" t="n"/>
    </row>
    <row r="152" ht="16.8" customHeight="1" s="1181">
      <c r="A152" s="384" t="inlineStr">
        <is>
          <t>E100000G</t>
        </is>
      </c>
      <c r="B152" s="767" t="inlineStr"/>
      <c r="C152" s="182" t="inlineStr">
        <is>
          <t>北京能源集团有限责任公司（合并）</t>
        </is>
      </c>
      <c r="D152" s="182" t="inlineStr">
        <is>
          <t>I_ES90000111</t>
        </is>
      </c>
      <c r="E152" s="182" t="inlineStr">
        <is>
          <t>【停用】STAQ</t>
        </is>
      </c>
      <c r="F152" s="716" t="n"/>
      <c r="G152" s="716" t="n"/>
      <c r="H152" s="462" t="n"/>
    </row>
    <row r="153" ht="16.8" customHeight="1" s="1181">
      <c r="A153" s="384" t="inlineStr">
        <is>
          <t>E100000G</t>
        </is>
      </c>
      <c r="B153" s="767" t="inlineStr"/>
      <c r="C153" s="182" t="inlineStr">
        <is>
          <t>北京能源集团有限责任公司（合并）</t>
        </is>
      </c>
      <c r="D153" s="182" t="inlineStr">
        <is>
          <t>I_E20044891</t>
        </is>
      </c>
      <c r="E153" s="182" t="inlineStr">
        <is>
          <t>【停用】北京古北水镇旅游有限公司</t>
        </is>
      </c>
      <c r="F153" s="716" t="n"/>
      <c r="G153" s="716" t="n"/>
      <c r="H153" s="462" t="n"/>
    </row>
    <row r="154">
      <c r="A154" s="672" t="inlineStr">
        <is>
          <t>E100000G</t>
        </is>
      </c>
      <c r="B154" s="767" t="inlineStr"/>
      <c r="C154" s="182" t="inlineStr">
        <is>
          <t>北京能源集团有限责任公司（合并）</t>
        </is>
      </c>
      <c r="D154" s="182" t="inlineStr">
        <is>
          <t>I_ES20045422</t>
        </is>
      </c>
      <c r="E154" s="182" t="inlineStr">
        <is>
          <t>山东石油天然气股份有限公司（外部）</t>
        </is>
      </c>
      <c r="F154" s="716" t="n"/>
      <c r="G154" s="716" t="n"/>
      <c r="H154" s="462" t="n"/>
    </row>
    <row r="155">
      <c r="A155" s="672" t="inlineStr">
        <is>
          <t>E100000G</t>
        </is>
      </c>
      <c r="B155" s="767" t="inlineStr"/>
      <c r="C155" s="182" t="inlineStr">
        <is>
          <t>北京能源集团有限责任公司</t>
        </is>
      </c>
      <c r="D155" s="716" t="inlineStr">
        <is>
          <t>I_EC10076104</t>
        </is>
      </c>
      <c r="E155" s="716" t="inlineStr">
        <is>
          <t>首都电力交易中心有限公司</t>
        </is>
      </c>
      <c r="F155" s="716" t="n"/>
      <c r="G155" s="716" t="n"/>
      <c r="H155" s="462" t="n"/>
    </row>
    <row r="156">
      <c r="A156" s="672" t="inlineStr">
        <is>
          <t>E100000G</t>
        </is>
      </c>
      <c r="B156" s="767" t="inlineStr"/>
      <c r="C156" s="182" t="inlineStr">
        <is>
          <t>北京能源集团有限责任公司</t>
        </is>
      </c>
      <c r="D156" s="182" t="inlineStr">
        <is>
          <t>I_EC10039874</t>
        </is>
      </c>
      <c r="E156" s="182" t="inlineStr">
        <is>
          <t>北京京国瑞股权投资基金管理有限公司</t>
        </is>
      </c>
      <c r="F156" s="716" t="n"/>
      <c r="G156" s="716" t="n"/>
      <c r="H156" s="462" t="n"/>
    </row>
    <row r="157">
      <c r="A157" s="672" t="inlineStr">
        <is>
          <t>E100000G</t>
        </is>
      </c>
      <c r="B157" s="767" t="inlineStr"/>
      <c r="C157" s="182" t="inlineStr">
        <is>
          <t>北京能源集团有限责任公司</t>
        </is>
      </c>
      <c r="D157" s="182" t="inlineStr">
        <is>
          <t>I_EC10040104</t>
        </is>
      </c>
      <c r="E157" s="182" t="inlineStr">
        <is>
          <t>北京顺隆投资发展基金（有限合伙）</t>
        </is>
      </c>
      <c r="F157" s="716" t="n"/>
      <c r="G157" s="716" t="n"/>
      <c r="H157" s="462" t="n"/>
    </row>
    <row r="158">
      <c r="A158" s="672" t="inlineStr">
        <is>
          <t>E100000G</t>
        </is>
      </c>
      <c r="B158" s="767" t="inlineStr"/>
      <c r="C158" s="182" t="inlineStr">
        <is>
          <t>北京能源集团有限责任公司</t>
        </is>
      </c>
      <c r="D158" s="182" t="inlineStr">
        <is>
          <t>I_EC10013130</t>
        </is>
      </c>
      <c r="E158" s="182" t="inlineStr">
        <is>
          <t>北京实创科技园开发建设股份有限公司</t>
        </is>
      </c>
      <c r="F158" s="716" t="n"/>
      <c r="G158" s="716" t="n"/>
      <c r="H158" s="462" t="n"/>
    </row>
    <row r="159">
      <c r="A159" s="672" t="inlineStr">
        <is>
          <t>E100000G</t>
        </is>
      </c>
      <c r="B159" s="767" t="inlineStr"/>
      <c r="C159" s="182" t="inlineStr">
        <is>
          <t>北京能源集团有限责任公司</t>
        </is>
      </c>
      <c r="D159" s="182" t="inlineStr">
        <is>
          <t>I_EC10051316</t>
        </is>
      </c>
      <c r="E159" s="182" t="inlineStr">
        <is>
          <t>山东鲁信投资集团股份有限公司</t>
        </is>
      </c>
      <c r="F159" s="716" t="n"/>
      <c r="G159" s="716" t="n"/>
      <c r="H159" s="462" t="n"/>
    </row>
    <row r="160">
      <c r="A160" s="672" t="inlineStr">
        <is>
          <t>E100000G</t>
        </is>
      </c>
      <c r="B160" s="767" t="inlineStr"/>
      <c r="C160" s="182" t="inlineStr">
        <is>
          <t>北京能源集团有限责任公司</t>
        </is>
      </c>
      <c r="D160" s="182" t="inlineStr">
        <is>
          <t>I_EC10051319</t>
        </is>
      </c>
      <c r="E160" s="182" t="inlineStr">
        <is>
          <t>北京城市铁路股份有限公司</t>
        </is>
      </c>
      <c r="F160" s="716" t="n"/>
      <c r="G160" s="716" t="n"/>
      <c r="H160" s="462" t="n"/>
    </row>
    <row r="161">
      <c r="A161" s="672" t="inlineStr">
        <is>
          <t>E100000G</t>
        </is>
      </c>
      <c r="B161" s="767" t="inlineStr"/>
      <c r="C161" s="182" t="inlineStr">
        <is>
          <t>北京能源集团有限责任公司</t>
        </is>
      </c>
      <c r="D161" s="182" t="inlineStr">
        <is>
          <t>I_EC10039804</t>
        </is>
      </c>
      <c r="E161" s="182" t="inlineStr">
        <is>
          <t>中铝宁夏能源集团有限公司</t>
        </is>
      </c>
      <c r="F161" s="716" t="n"/>
      <c r="G161" s="716" t="n"/>
      <c r="H161" s="462" t="n"/>
    </row>
    <row r="162">
      <c r="A162" s="672" t="inlineStr">
        <is>
          <t>E100000G</t>
        </is>
      </c>
      <c r="B162" s="767" t="inlineStr"/>
      <c r="C162" s="182" t="inlineStr">
        <is>
          <t>北京能源集团有限责任公司</t>
        </is>
      </c>
      <c r="D162" s="182" t="inlineStr">
        <is>
          <t>I_EC10041184</t>
        </is>
      </c>
      <c r="E162" s="182" t="inlineStr">
        <is>
          <t>重庆富都股权投资基金合伙企业（有限合伙）</t>
        </is>
      </c>
      <c r="F162" s="716" t="n"/>
      <c r="G162" s="716" t="n"/>
      <c r="H162" s="462" t="n"/>
    </row>
    <row r="163">
      <c r="A163" s="672" t="inlineStr">
        <is>
          <t>E100000G</t>
        </is>
      </c>
      <c r="B163" s="767" t="inlineStr"/>
      <c r="C163" s="182" t="inlineStr">
        <is>
          <t>北京能源集团有限责任公司</t>
        </is>
      </c>
      <c r="D163" s="182" t="inlineStr">
        <is>
          <t>I_EC10051322</t>
        </is>
      </c>
      <c r="E163" s="182" t="inlineStr">
        <is>
          <t>汉江水电开发有限责任公司</t>
        </is>
      </c>
      <c r="F163" s="716" t="n"/>
      <c r="G163" s="716" t="n"/>
      <c r="H163" s="462" t="n"/>
    </row>
    <row r="164">
      <c r="A164" s="672" t="inlineStr">
        <is>
          <t>E100000G</t>
        </is>
      </c>
      <c r="B164" s="767" t="inlineStr"/>
      <c r="C164" s="182" t="inlineStr">
        <is>
          <t>北京能源集团有限责任公司</t>
        </is>
      </c>
      <c r="D164" s="182" t="inlineStr">
        <is>
          <t>I_EC10037306</t>
        </is>
      </c>
      <c r="E164" s="182" t="inlineStr">
        <is>
          <t>国泰君安证券股份有限公司</t>
        </is>
      </c>
      <c r="F164" s="716" t="n"/>
      <c r="G164" s="716" t="n"/>
      <c r="H164" s="462" t="n"/>
    </row>
    <row r="165">
      <c r="A165" s="672" t="inlineStr">
        <is>
          <t>E100000G</t>
        </is>
      </c>
      <c r="B165" s="767" t="inlineStr"/>
      <c r="C165" s="182" t="inlineStr">
        <is>
          <t>北京能源集团有限责任公司</t>
        </is>
      </c>
      <c r="D165" s="182" t="inlineStr">
        <is>
          <t>I_EC10076102</t>
        </is>
      </c>
      <c r="E165" s="182" t="inlineStr">
        <is>
          <t>首创证券股份有限公司</t>
        </is>
      </c>
      <c r="F165" s="716" t="n"/>
      <c r="G165" s="716" t="n"/>
      <c r="H165" s="462" t="n"/>
    </row>
    <row r="166">
      <c r="A166" s="672" t="inlineStr">
        <is>
          <t>E100000G</t>
        </is>
      </c>
      <c r="B166" s="767" t="inlineStr"/>
      <c r="C166" s="182" t="inlineStr">
        <is>
          <t>北京能源集团有限责任公司</t>
        </is>
      </c>
      <c r="D166" s="182" t="inlineStr">
        <is>
          <t>I_EC10009804</t>
        </is>
      </c>
      <c r="E166" s="182" t="inlineStr">
        <is>
          <t>内蒙古产权交易中心有限责任公司</t>
        </is>
      </c>
      <c r="F166" s="716" t="n"/>
      <c r="G166" s="716" t="n"/>
      <c r="H166" s="462" t="n"/>
    </row>
    <row r="167">
      <c r="A167" s="672" t="inlineStr">
        <is>
          <t>E100000G</t>
        </is>
      </c>
      <c r="B167" s="767" t="inlineStr"/>
      <c r="C167" s="182" t="inlineStr">
        <is>
          <t>北京能源集团有限责任公司</t>
        </is>
      </c>
      <c r="D167" s="182" t="inlineStr">
        <is>
          <t>I_EC10029257</t>
        </is>
      </c>
      <c r="E167" s="182" t="inlineStr">
        <is>
          <t>广发银行股份有限公司</t>
        </is>
      </c>
      <c r="F167" s="716" t="n"/>
      <c r="G167" s="716" t="n"/>
      <c r="H167" s="462" t="n"/>
    </row>
    <row r="168">
      <c r="A168" s="672" t="inlineStr">
        <is>
          <t>E100000G</t>
        </is>
      </c>
      <c r="B168" s="767" t="inlineStr"/>
      <c r="C168" s="182" t="inlineStr">
        <is>
          <t>北京能源集团有限责任公司</t>
        </is>
      </c>
      <c r="D168" s="182" t="inlineStr">
        <is>
          <t>I_EC10032845</t>
        </is>
      </c>
      <c r="E168" s="182" t="inlineStr">
        <is>
          <t>北京静态交通投资运营有限公司</t>
        </is>
      </c>
      <c r="F168" s="716" t="n"/>
      <c r="G168" s="716" t="n"/>
      <c r="H168" s="462" t="n"/>
    </row>
    <row r="169">
      <c r="A169" s="672" t="inlineStr">
        <is>
          <t>E100000G</t>
        </is>
      </c>
      <c r="B169" s="767" t="inlineStr"/>
      <c r="C169" s="182" t="inlineStr">
        <is>
          <t>北京能源集团有限责任公司</t>
        </is>
      </c>
      <c r="D169" s="182" t="inlineStr">
        <is>
          <t>I_EC10051318</t>
        </is>
      </c>
      <c r="E169" s="182" t="inlineStr">
        <is>
          <t>国华能源有限公司</t>
        </is>
      </c>
      <c r="F169" s="716" t="n"/>
      <c r="G169" s="716" t="n"/>
      <c r="H169" s="462" t="n"/>
    </row>
    <row r="170">
      <c r="A170" s="672" t="inlineStr">
        <is>
          <t>E100000G</t>
        </is>
      </c>
      <c r="B170" s="767" t="inlineStr"/>
      <c r="C170" s="182" t="inlineStr">
        <is>
          <t>北京能源集团有限责任公司</t>
        </is>
      </c>
      <c r="D170" s="182" t="inlineStr">
        <is>
          <t>I_EC10071414</t>
        </is>
      </c>
      <c r="E170" s="182" t="inlineStr">
        <is>
          <t>财务专用客商</t>
        </is>
      </c>
      <c r="F170" s="716" t="n"/>
      <c r="G170" s="716" t="n"/>
      <c r="H170" s="462" t="n"/>
    </row>
    <row r="171">
      <c r="A171" s="672" t="inlineStr">
        <is>
          <t>E100000H</t>
        </is>
      </c>
      <c r="B171" s="767" t="inlineStr"/>
      <c r="C171" s="182" t="inlineStr">
        <is>
          <t>北京能源集团有限责任公司（母公司）</t>
        </is>
      </c>
      <c r="D171" s="182" t="inlineStr">
        <is>
          <t>I_E20039024</t>
        </is>
      </c>
      <c r="E171" s="182" t="inlineStr">
        <is>
          <t>【停用】国华能源有限公司</t>
        </is>
      </c>
      <c r="F171" s="716" t="n"/>
      <c r="G171" s="716" t="n"/>
      <c r="H171" s="462" t="n"/>
    </row>
    <row r="172">
      <c r="A172" s="672" t="inlineStr">
        <is>
          <t>E100000H</t>
        </is>
      </c>
      <c r="B172" s="767" t="inlineStr"/>
      <c r="C172" s="182" t="inlineStr">
        <is>
          <t>北京能源集团有限责任公司（母公司）</t>
        </is>
      </c>
      <c r="D172" s="182" t="inlineStr">
        <is>
          <t>I_ES20036144</t>
        </is>
      </c>
      <c r="E172" s="182" t="inlineStr">
        <is>
          <t>北京汽车股份有限公司（外部）</t>
        </is>
      </c>
      <c r="F172" s="716" t="n"/>
      <c r="G172" s="716" t="n"/>
      <c r="H172" s="462" t="n"/>
    </row>
    <row r="173">
      <c r="A173" s="672" t="inlineStr">
        <is>
          <t>E100000H</t>
        </is>
      </c>
      <c r="B173" s="767" t="inlineStr"/>
      <c r="C173" s="182" t="inlineStr">
        <is>
          <t>北京能源集团有限责任公司（母公司）</t>
        </is>
      </c>
      <c r="D173" s="182" t="inlineStr">
        <is>
          <t>I_ES20000028</t>
        </is>
      </c>
      <c r="E173" s="182" t="inlineStr">
        <is>
          <t>【停用】成都商业银行</t>
        </is>
      </c>
      <c r="F173" s="716" t="n"/>
      <c r="G173" s="716" t="n"/>
      <c r="H173" s="462" t="n"/>
    </row>
    <row r="174">
      <c r="A174" s="672" t="inlineStr">
        <is>
          <t>E100000H</t>
        </is>
      </c>
      <c r="B174" s="767" t="inlineStr"/>
      <c r="C174" s="182" t="inlineStr">
        <is>
          <t>北京能源集团有限责任公司（母公司）</t>
        </is>
      </c>
      <c r="D174" s="182" t="inlineStr">
        <is>
          <t>I_ES20044886</t>
        </is>
      </c>
      <c r="E174" s="182" t="inlineStr">
        <is>
          <t>北京中欧兴业投资管理有限公司</t>
        </is>
      </c>
      <c r="F174" s="716" t="n"/>
      <c r="G174" s="716" t="n"/>
      <c r="H174" s="462" t="n"/>
    </row>
    <row r="175">
      <c r="A175" s="672" t="inlineStr">
        <is>
          <t>E100000H</t>
        </is>
      </c>
      <c r="B175" s="767" t="inlineStr"/>
      <c r="C175" s="182" t="inlineStr">
        <is>
          <t>北京能源集团有限责任公司（母公司）</t>
        </is>
      </c>
      <c r="D175" s="182" t="inlineStr">
        <is>
          <t>I_ES20000060</t>
        </is>
      </c>
      <c r="E175" s="182" t="inlineStr">
        <is>
          <t>【停用】国电电力发展股份有限公司</t>
        </is>
      </c>
      <c r="F175" s="716" t="n"/>
      <c r="G175" s="716" t="n"/>
      <c r="H175" s="462" t="n"/>
    </row>
    <row r="176">
      <c r="A176" s="672" t="inlineStr">
        <is>
          <t>E100000H</t>
        </is>
      </c>
      <c r="B176" s="767" t="inlineStr"/>
      <c r="C176" s="182" t="inlineStr">
        <is>
          <t>北京能源集团有限责任公司（母公司）</t>
        </is>
      </c>
      <c r="D176" s="182" t="inlineStr">
        <is>
          <t>I_ES20044883</t>
        </is>
      </c>
      <c r="E176" s="182" t="inlineStr">
        <is>
          <t>北京雪莲羊绒有限公司</t>
        </is>
      </c>
      <c r="F176" s="716" t="n"/>
      <c r="G176" s="716" t="n"/>
      <c r="H176" s="462" t="n"/>
    </row>
    <row r="177">
      <c r="A177" s="672" t="inlineStr">
        <is>
          <t>E100000H</t>
        </is>
      </c>
      <c r="B177" s="767" t="inlineStr"/>
      <c r="C177" s="182" t="inlineStr">
        <is>
          <t>北京能源集团有限责任公司（母公司）</t>
        </is>
      </c>
      <c r="D177" s="182" t="inlineStr">
        <is>
          <t>I_ES20024647</t>
        </is>
      </c>
      <c r="E177" s="182" t="inlineStr">
        <is>
          <t>国泰君安证券股份有限公司（外部）</t>
        </is>
      </c>
      <c r="F177" s="716" t="n"/>
      <c r="G177" s="716" t="n"/>
      <c r="H177" s="462" t="n"/>
    </row>
    <row r="178">
      <c r="A178" s="672" t="inlineStr">
        <is>
          <t>E100000H</t>
        </is>
      </c>
      <c r="B178" s="767" t="inlineStr"/>
      <c r="C178" s="182" t="inlineStr">
        <is>
          <t>北京能源集团有限责任公司（母公司）</t>
        </is>
      </c>
      <c r="D178" s="182" t="inlineStr">
        <is>
          <t>I_ES20036719</t>
        </is>
      </c>
      <c r="E178" s="182" t="inlineStr">
        <is>
          <t>国电电力发展股份有限公司（外部）</t>
        </is>
      </c>
      <c r="F178" s="716" t="n"/>
      <c r="G178" s="716" t="n"/>
      <c r="H178" s="462" t="n"/>
    </row>
    <row r="179">
      <c r="A179" s="672" t="inlineStr">
        <is>
          <t>E100000H</t>
        </is>
      </c>
      <c r="B179" s="767" t="inlineStr"/>
      <c r="C179" s="182" t="inlineStr">
        <is>
          <t>北京能源集团有限责任公司（母公司）</t>
        </is>
      </c>
      <c r="D179" s="182" t="inlineStr">
        <is>
          <t>I_ES20035759</t>
        </is>
      </c>
      <c r="E179" s="182" t="inlineStr">
        <is>
          <t>中铝宁夏能源集团有限公司（外部）</t>
        </is>
      </c>
      <c r="F179" s="716" t="n"/>
      <c r="G179" s="716" t="n"/>
      <c r="H179" s="462" t="n"/>
    </row>
    <row r="180">
      <c r="A180" s="672" t="inlineStr">
        <is>
          <t>E100000H</t>
        </is>
      </c>
      <c r="B180" s="767" t="inlineStr"/>
      <c r="C180" s="182" t="inlineStr">
        <is>
          <t>北京能源集团有限责任公司（母公司）</t>
        </is>
      </c>
      <c r="D180" s="182" t="inlineStr">
        <is>
          <t>I_ESGQDZ0301</t>
        </is>
      </c>
      <c r="E180" s="182" t="inlineStr">
        <is>
          <t>北京京国瑞国企改革发展基金（有限合伙人）</t>
        </is>
      </c>
      <c r="F180" s="716" t="n"/>
      <c r="G180" s="716" t="n"/>
      <c r="H180" s="462" t="n"/>
    </row>
    <row r="181">
      <c r="A181" s="672" t="inlineStr">
        <is>
          <t>E100000H</t>
        </is>
      </c>
      <c r="B181" s="767" t="inlineStr"/>
      <c r="C181" s="182" t="inlineStr">
        <is>
          <t>北京能源集团有限责任公司（母公司）</t>
        </is>
      </c>
      <c r="D181" s="182" t="inlineStr">
        <is>
          <t>I_ES20039024</t>
        </is>
      </c>
      <c r="E181" s="182" t="inlineStr">
        <is>
          <t>国华能源有限公司（外部）</t>
        </is>
      </c>
      <c r="F181" s="716" t="n"/>
      <c r="G181" s="716" t="n"/>
      <c r="H181" s="462" t="n"/>
    </row>
    <row r="182">
      <c r="A182" s="672" t="inlineStr">
        <is>
          <t>E100000H</t>
        </is>
      </c>
      <c r="B182" s="767" t="inlineStr"/>
      <c r="C182" s="182" t="inlineStr">
        <is>
          <t>北京能源集团有限责任公司（母公司）</t>
        </is>
      </c>
      <c r="D182" s="182" t="inlineStr">
        <is>
          <t>I_E20044878</t>
        </is>
      </c>
      <c r="E182" s="182" t="inlineStr">
        <is>
          <t>【停用】山东鲁信投资集团股份有限公司</t>
        </is>
      </c>
      <c r="F182" s="716" t="n"/>
      <c r="G182" s="716" t="n"/>
      <c r="H182" s="462" t="n"/>
    </row>
    <row r="183">
      <c r="A183" s="672" t="inlineStr">
        <is>
          <t>E100000H</t>
        </is>
      </c>
      <c r="B183" s="767" t="inlineStr"/>
      <c r="C183" s="182" t="inlineStr">
        <is>
          <t>北京能源集团有限责任公司（母公司）</t>
        </is>
      </c>
      <c r="D183" s="182" t="inlineStr">
        <is>
          <t>I_ES20000042</t>
        </is>
      </c>
      <c r="E183" s="182" t="inlineStr">
        <is>
          <t>【停用】北京世洁环天开发有限公司</t>
        </is>
      </c>
      <c r="F183" s="716" t="n"/>
      <c r="G183" s="716" t="n"/>
      <c r="H183" s="462" t="n"/>
    </row>
    <row r="184">
      <c r="A184" s="672" t="inlineStr">
        <is>
          <t>E100000H</t>
        </is>
      </c>
      <c r="B184" s="767" t="inlineStr"/>
      <c r="C184" s="182" t="inlineStr">
        <is>
          <t>北京能源集团有限责任公司（母公司）</t>
        </is>
      </c>
      <c r="D184" s="182" t="inlineStr">
        <is>
          <t>I_ES20044878</t>
        </is>
      </c>
      <c r="E184" s="182" t="inlineStr">
        <is>
          <t>山东鲁信投资集团股份有限公司（外部）</t>
        </is>
      </c>
      <c r="F184" s="716" t="n"/>
      <c r="G184" s="716" t="n"/>
      <c r="H184" s="462" t="n"/>
    </row>
    <row r="185">
      <c r="A185" s="672" t="inlineStr">
        <is>
          <t>E100000H</t>
        </is>
      </c>
      <c r="B185" s="767" t="inlineStr"/>
      <c r="C185" s="182" t="inlineStr">
        <is>
          <t>北京能源集团有限责任公司（母公司）</t>
        </is>
      </c>
      <c r="D185" s="182" t="inlineStr">
        <is>
          <t>I_ES20035453</t>
        </is>
      </c>
      <c r="E185" s="182" t="inlineStr">
        <is>
          <t>厦门赛富股权投资合伙企业（有限合伙）（外部）</t>
        </is>
      </c>
      <c r="F185" s="716" t="n"/>
      <c r="G185" s="716" t="n"/>
      <c r="H185" s="462" t="n"/>
    </row>
    <row r="186">
      <c r="A186" s="672" t="inlineStr">
        <is>
          <t>E100000H</t>
        </is>
      </c>
      <c r="B186" s="767" t="inlineStr"/>
      <c r="C186" s="182" t="inlineStr">
        <is>
          <t>北京能源集团有限责任公司（母公司）</t>
        </is>
      </c>
      <c r="D186" s="182" t="inlineStr">
        <is>
          <t>I_ESGQDZ0215</t>
        </is>
      </c>
      <c r="E186" s="182" t="inlineStr">
        <is>
          <t>宁夏发电集团有限责任公司</t>
        </is>
      </c>
      <c r="F186" s="716" t="n"/>
      <c r="G186" s="716" t="n"/>
      <c r="H186" s="462" t="n"/>
    </row>
    <row r="187" customFormat="1" s="836">
      <c r="A187" s="672" t="inlineStr">
        <is>
          <t>E100000H</t>
        </is>
      </c>
      <c r="B187" s="767" t="inlineStr"/>
      <c r="C187" s="182" t="inlineStr">
        <is>
          <t>北京能源集团有限责任公司（母公司）</t>
        </is>
      </c>
      <c r="D187" s="182" t="inlineStr">
        <is>
          <t>I_ES20044943</t>
        </is>
      </c>
      <c r="E187" s="182" t="inlineStr">
        <is>
          <t>北京城市铁路股份有限公司（外部）</t>
        </is>
      </c>
      <c r="F187" s="836" t="n"/>
      <c r="G187" s="836" t="n"/>
      <c r="H187" s="837" t="n"/>
    </row>
    <row r="188">
      <c r="A188" s="672" t="inlineStr">
        <is>
          <t>E100000H</t>
        </is>
      </c>
      <c r="B188" s="767" t="inlineStr"/>
      <c r="C188" s="182" t="inlineStr">
        <is>
          <t>北京能源集团有限责任公司（母公司）</t>
        </is>
      </c>
      <c r="D188" s="182" t="inlineStr">
        <is>
          <t>I_E20044875</t>
        </is>
      </c>
      <c r="E188" s="182" t="inlineStr">
        <is>
          <t>【停用】北京顺隆投资发展基金（有限合伙）</t>
        </is>
      </c>
      <c r="F188" s="716" t="n"/>
      <c r="G188" s="716" t="n"/>
      <c r="H188" s="462" t="n"/>
    </row>
    <row r="189">
      <c r="A189" s="672" t="inlineStr">
        <is>
          <t>E100000H</t>
        </is>
      </c>
      <c r="B189" s="767" t="inlineStr"/>
      <c r="C189" s="182" t="inlineStr">
        <is>
          <t>北京能源集团有限责任公司（母公司）</t>
        </is>
      </c>
      <c r="D189" s="182" t="inlineStr">
        <is>
          <t>I_ES20044892</t>
        </is>
      </c>
      <c r="E189" s="182" t="inlineStr">
        <is>
          <t>北京京国瑞国企改革发展基金</t>
        </is>
      </c>
      <c r="F189" s="716" t="n"/>
      <c r="G189" s="716" t="n"/>
      <c r="H189" s="462" t="n"/>
    </row>
    <row r="190">
      <c r="A190" s="672" t="inlineStr">
        <is>
          <t>E100000H</t>
        </is>
      </c>
      <c r="B190" s="767" t="inlineStr"/>
      <c r="C190" s="182" t="inlineStr">
        <is>
          <t>北京能源集团有限责任公司（母公司）</t>
        </is>
      </c>
      <c r="D190" s="182" t="inlineStr">
        <is>
          <t>I_ES20044893</t>
        </is>
      </c>
      <c r="E190" s="182" t="inlineStr">
        <is>
          <t>北京安邦保险代理有限责任公司（外部）</t>
        </is>
      </c>
      <c r="F190" s="716" t="n"/>
      <c r="G190" s="716" t="n"/>
      <c r="H190" s="462" t="n"/>
    </row>
    <row r="191">
      <c r="A191" s="672" t="inlineStr">
        <is>
          <t>E100000H</t>
        </is>
      </c>
      <c r="B191" s="767" t="inlineStr"/>
      <c r="C191" s="182" t="inlineStr">
        <is>
          <t>北京能源集团有限责任公司（母公司）</t>
        </is>
      </c>
      <c r="D191" s="182" t="inlineStr">
        <is>
          <t>I_ES90000010</t>
        </is>
      </c>
      <c r="E191" s="182" t="inlineStr">
        <is>
          <t>【停用】基金丰和</t>
        </is>
      </c>
      <c r="F191" s="716" t="n"/>
      <c r="G191" s="716" t="n"/>
      <c r="H191" s="462" t="n"/>
    </row>
    <row r="192">
      <c r="A192" s="672" t="inlineStr">
        <is>
          <t>E100000H</t>
        </is>
      </c>
      <c r="B192" s="767" t="inlineStr"/>
      <c r="C192" s="182" t="inlineStr">
        <is>
          <t>北京能源集团有限责任公司（母公司）</t>
        </is>
      </c>
      <c r="D192" s="182" t="inlineStr">
        <is>
          <t>I_ES90009281</t>
        </is>
      </c>
      <c r="E192" s="182" t="inlineStr">
        <is>
          <t>【停用】北京京国瑞国企改革发展基金</t>
        </is>
      </c>
      <c r="F192" s="716" t="n"/>
      <c r="G192" s="716" t="n"/>
      <c r="H192" s="462" t="n"/>
    </row>
    <row r="193">
      <c r="A193" s="672" t="inlineStr">
        <is>
          <t>E100000H</t>
        </is>
      </c>
      <c r="B193" s="767" t="inlineStr"/>
      <c r="C193" s="182" t="inlineStr">
        <is>
          <t>北京能源集团有限责任公司（母公司）</t>
        </is>
      </c>
      <c r="D193" s="182" t="inlineStr">
        <is>
          <t>I_E20044891</t>
        </is>
      </c>
      <c r="E193" s="182" t="inlineStr">
        <is>
          <t>【停用】北京古北水镇旅游有限公司</t>
        </is>
      </c>
      <c r="F193" s="716" t="n"/>
      <c r="G193" s="716" t="n"/>
      <c r="H193" s="462" t="n"/>
    </row>
    <row r="194">
      <c r="A194" s="672" t="inlineStr">
        <is>
          <t>E100000H</t>
        </is>
      </c>
      <c r="B194" s="767" t="inlineStr"/>
      <c r="C194" s="182" t="inlineStr">
        <is>
          <t>北京能源集团有限责任公司（母公司）</t>
        </is>
      </c>
      <c r="D194" s="182" t="inlineStr">
        <is>
          <t>I_ES99999998</t>
        </is>
      </c>
      <c r="E194" s="182" t="inlineStr">
        <is>
          <t>财务专用客商</t>
        </is>
      </c>
      <c r="F194" s="716" t="n"/>
      <c r="G194" s="716" t="n"/>
      <c r="H194" s="462" t="n"/>
    </row>
    <row r="195">
      <c r="A195" s="672" t="inlineStr">
        <is>
          <t>E100000H</t>
        </is>
      </c>
      <c r="B195" s="767" t="inlineStr"/>
      <c r="C195" s="182" t="inlineStr">
        <is>
          <t>北京能源集团有限责任公司（母公司）</t>
        </is>
      </c>
      <c r="D195" s="182" t="inlineStr">
        <is>
          <t>I_ES20044875</t>
        </is>
      </c>
      <c r="E195" s="182" t="inlineStr">
        <is>
          <t>北京顺隆投资发展基金（有限合伙）（外部）</t>
        </is>
      </c>
      <c r="F195" s="716" t="n"/>
      <c r="G195" s="716" t="n"/>
      <c r="H195" s="462" t="n"/>
    </row>
    <row r="196">
      <c r="A196" s="672" t="inlineStr">
        <is>
          <t>E100000H</t>
        </is>
      </c>
      <c r="B196" s="767" t="inlineStr"/>
      <c r="C196" s="182" t="inlineStr">
        <is>
          <t>北京能源集团有限责任公司（母公司）</t>
        </is>
      </c>
      <c r="D196" s="182" t="inlineStr">
        <is>
          <t>I_ES20044891</t>
        </is>
      </c>
      <c r="E196" s="182" t="inlineStr">
        <is>
          <t>北京古北水镇旅游有限公司（外部）</t>
        </is>
      </c>
      <c r="F196" s="716" t="n"/>
      <c r="G196" s="716" t="n"/>
      <c r="H196" s="462" t="n"/>
    </row>
    <row r="197">
      <c r="A197" s="672" t="inlineStr">
        <is>
          <t>E100000H</t>
        </is>
      </c>
      <c r="B197" s="767" t="inlineStr"/>
      <c r="C197" s="182" t="inlineStr">
        <is>
          <t>北京能源集团有限责任公司（母公司）</t>
        </is>
      </c>
      <c r="D197" s="182" t="inlineStr">
        <is>
          <t>I_ESGQDZ0209</t>
        </is>
      </c>
      <c r="E197" s="182" t="inlineStr">
        <is>
          <t>国泰君安证券投资管理股份有限公司</t>
        </is>
      </c>
      <c r="F197" s="716" t="n"/>
      <c r="G197" s="716" t="n"/>
      <c r="H197" s="462" t="n"/>
    </row>
    <row r="198">
      <c r="A198" s="672" t="inlineStr">
        <is>
          <t>E100000H</t>
        </is>
      </c>
      <c r="B198" s="767" t="inlineStr"/>
      <c r="C198" s="182" t="inlineStr">
        <is>
          <t>北京能源集团有限责任公司（母公司）</t>
        </is>
      </c>
      <c r="D198" s="182" t="inlineStr">
        <is>
          <t>I_ES20034878</t>
        </is>
      </c>
      <c r="E198" s="182" t="inlineStr">
        <is>
          <t>北京静态交通投资运营有限公司</t>
        </is>
      </c>
      <c r="F198" s="716" t="n"/>
      <c r="G198" s="716" t="n"/>
      <c r="H198" s="462" t="n"/>
    </row>
    <row r="199">
      <c r="A199" s="672" t="inlineStr">
        <is>
          <t>E100000H</t>
        </is>
      </c>
      <c r="B199" s="767" t="inlineStr"/>
      <c r="C199" s="182" t="inlineStr">
        <is>
          <t>北京能源集团有限责任公司（母公司）</t>
        </is>
      </c>
      <c r="D199" s="182" t="inlineStr">
        <is>
          <t>I_ES20044885</t>
        </is>
      </c>
      <c r="E199" s="182" t="inlineStr">
        <is>
          <t>首都电力交易中心有限公司（外部）</t>
        </is>
      </c>
      <c r="F199" s="716" t="n"/>
      <c r="G199" s="716" t="n"/>
      <c r="H199" s="462" t="n"/>
    </row>
    <row r="200">
      <c r="A200" s="672" t="inlineStr">
        <is>
          <t>E100000H</t>
        </is>
      </c>
      <c r="B200" s="767" t="inlineStr"/>
      <c r="C200" s="182" t="inlineStr">
        <is>
          <t>北京能源集团有限责任公司（母公司）</t>
        </is>
      </c>
      <c r="D200" s="182" t="inlineStr">
        <is>
          <t>I_ES20000063</t>
        </is>
      </c>
      <c r="E200" s="182" t="inlineStr">
        <is>
          <t>【停用】北京首创股份有限公司</t>
        </is>
      </c>
      <c r="F200" s="716" t="n"/>
      <c r="G200" s="716" t="n"/>
      <c r="H200" s="462" t="n"/>
    </row>
    <row r="201">
      <c r="A201" s="672" t="inlineStr">
        <is>
          <t>E100000H</t>
        </is>
      </c>
      <c r="B201" s="767" t="inlineStr"/>
      <c r="C201" s="182" t="inlineStr">
        <is>
          <t>北京能源集团有限责任公司（母公司）</t>
        </is>
      </c>
      <c r="D201" s="182" t="inlineStr">
        <is>
          <t>I_ES20034913</t>
        </is>
      </c>
      <c r="E201" s="182" t="inlineStr">
        <is>
          <t>北京实创科技园开发建设股份有限公司（外部）</t>
        </is>
      </c>
      <c r="F201" s="716" t="n"/>
      <c r="G201" s="716" t="n"/>
      <c r="H201" s="462" t="n"/>
    </row>
    <row r="202">
      <c r="A202" s="672" t="inlineStr">
        <is>
          <t>E100000H</t>
        </is>
      </c>
      <c r="B202" s="767" t="inlineStr"/>
      <c r="C202" s="182" t="inlineStr">
        <is>
          <t>北京能源集团有限责任公司（母公司）</t>
        </is>
      </c>
      <c r="D202" s="182" t="inlineStr">
        <is>
          <t>I_ESGQDZ0429</t>
        </is>
      </c>
      <c r="E202" s="182" t="inlineStr">
        <is>
          <t>内蒙古电力交易中心有限公司</t>
        </is>
      </c>
      <c r="F202" s="716" t="n"/>
      <c r="G202" s="716" t="n"/>
      <c r="H202" s="462" t="n"/>
    </row>
    <row r="203" ht="16.8" customHeight="1" s="1181">
      <c r="A203" s="384" t="inlineStr">
        <is>
          <t>E100000H</t>
        </is>
      </c>
      <c r="B203" s="767" t="inlineStr"/>
      <c r="C203" s="182" t="inlineStr">
        <is>
          <t>北京能源集团有限责任公司（母公司）</t>
        </is>
      </c>
      <c r="D203" s="182" t="inlineStr">
        <is>
          <t>I_E20044893</t>
        </is>
      </c>
      <c r="E203" s="326" t="inlineStr">
        <is>
          <t>【停用】北京安邦保险代理有限责任公司</t>
        </is>
      </c>
      <c r="F203" s="716" t="n"/>
      <c r="G203" s="716" t="n"/>
      <c r="H203" s="462" t="n"/>
    </row>
    <row r="204" ht="16.8" customHeight="1" s="1181">
      <c r="A204" s="384" t="inlineStr">
        <is>
          <t>E100000H</t>
        </is>
      </c>
      <c r="B204" s="767" t="inlineStr"/>
      <c r="C204" s="182" t="inlineStr">
        <is>
          <t>北京能源集团有限责任公司（母公司）</t>
        </is>
      </c>
      <c r="D204" s="182" t="inlineStr">
        <is>
          <t>I_ES20044877</t>
        </is>
      </c>
      <c r="E204" s="326" t="inlineStr">
        <is>
          <t>北京京国瑞股权投资基金管理有限公司（外部）</t>
        </is>
      </c>
      <c r="F204" s="716" t="n"/>
      <c r="G204" s="716" t="n"/>
      <c r="H204" s="462" t="n"/>
    </row>
    <row r="205" ht="16.8" customHeight="1" s="1181">
      <c r="A205" s="384" t="inlineStr">
        <is>
          <t>E100000H</t>
        </is>
      </c>
      <c r="B205" s="767" t="inlineStr"/>
      <c r="C205" s="182" t="inlineStr">
        <is>
          <t>北京能源集团有限责任公司（母公司）</t>
        </is>
      </c>
      <c r="D205" s="182" t="inlineStr">
        <is>
          <t>I_ES20044879</t>
        </is>
      </c>
      <c r="E205" s="326" t="inlineStr">
        <is>
          <t>重庆富都股权投资基金合伙企业（有限合伙）（外部2）</t>
        </is>
      </c>
      <c r="F205" s="716" t="n"/>
      <c r="G205" s="716" t="n"/>
      <c r="H205" s="462" t="n"/>
    </row>
    <row r="206" ht="16.8" customHeight="1" s="1181">
      <c r="A206" s="384" t="inlineStr">
        <is>
          <t>E100000H</t>
        </is>
      </c>
      <c r="B206" s="767" t="inlineStr"/>
      <c r="C206" s="182" t="inlineStr">
        <is>
          <t>北京能源集团有限责任公司（母公司）</t>
        </is>
      </c>
      <c r="D206" s="182" t="inlineStr">
        <is>
          <t>I_ES20044874</t>
        </is>
      </c>
      <c r="E206" s="326" t="inlineStr">
        <is>
          <t>广发银行股份有限公司</t>
        </is>
      </c>
      <c r="F206" s="716" t="n"/>
      <c r="G206" s="716" t="n"/>
      <c r="H206" s="462" t="n"/>
    </row>
    <row r="207" ht="16.8" customHeight="1" s="1181">
      <c r="A207" s="384" t="inlineStr">
        <is>
          <t>E100000H</t>
        </is>
      </c>
      <c r="B207" s="767" t="inlineStr"/>
      <c r="C207" s="182" t="inlineStr">
        <is>
          <t>北京能源集团有限责任公司（母公司）</t>
        </is>
      </c>
      <c r="D207" s="182" t="inlineStr">
        <is>
          <t>I_ES20036313</t>
        </is>
      </c>
      <c r="E207" s="326" t="inlineStr">
        <is>
          <t>北京向导城市信息技术有限公司（外部2）</t>
        </is>
      </c>
      <c r="F207" s="716" t="n"/>
      <c r="G207" s="716" t="n"/>
      <c r="H207" s="462" t="n"/>
    </row>
    <row r="208" ht="16.8" customHeight="1" s="1181">
      <c r="A208" s="384" t="inlineStr">
        <is>
          <t>E100000H</t>
        </is>
      </c>
      <c r="B208" s="767" t="inlineStr"/>
      <c r="C208" s="182" t="inlineStr">
        <is>
          <t>北京能源集团有限责任公司（母公司）</t>
        </is>
      </c>
      <c r="D208" s="182" t="inlineStr">
        <is>
          <t>I_ES90000111</t>
        </is>
      </c>
      <c r="E208" s="326" t="inlineStr">
        <is>
          <t>【停用】STAQ</t>
        </is>
      </c>
      <c r="F208" s="716" t="n"/>
      <c r="G208" s="716" t="n"/>
      <c r="H208" s="462" t="n"/>
    </row>
    <row r="209" ht="16.8" customHeight="1" s="1181">
      <c r="A209" s="384" t="inlineStr">
        <is>
          <t>E100000H</t>
        </is>
      </c>
      <c r="B209" s="767" t="inlineStr"/>
      <c r="C209" s="182" t="inlineStr">
        <is>
          <t>北京能源集团有限责任公司（母公司）</t>
        </is>
      </c>
      <c r="D209" s="182" t="inlineStr">
        <is>
          <t>I_E20044885</t>
        </is>
      </c>
      <c r="E209" s="326" t="inlineStr">
        <is>
          <t>【停用】首都电力交易中心有限公司</t>
        </is>
      </c>
      <c r="F209" s="716" t="n"/>
      <c r="G209" s="716" t="n"/>
      <c r="H209" s="462" t="n"/>
    </row>
    <row r="210" ht="16.8" customHeight="1" s="1181">
      <c r="A210" s="384" t="inlineStr">
        <is>
          <t>E100000H</t>
        </is>
      </c>
      <c r="B210" s="767" t="inlineStr"/>
      <c r="C210" s="182" t="inlineStr">
        <is>
          <t>北京能源集团有限责任公司（母公司）</t>
        </is>
      </c>
      <c r="D210" s="182" t="inlineStr">
        <is>
          <t>I_E20044879</t>
        </is>
      </c>
      <c r="E210" s="326" t="inlineStr">
        <is>
          <t>重庆富都股权投资基金合伙企业（有限合伙）(外部）</t>
        </is>
      </c>
      <c r="F210" s="716" t="n"/>
      <c r="G210" s="716" t="n"/>
      <c r="H210" s="462" t="n"/>
    </row>
    <row r="211" ht="16.8" customHeight="1" s="1181">
      <c r="A211" s="384" t="inlineStr">
        <is>
          <t>E100000H</t>
        </is>
      </c>
      <c r="B211" s="767" t="inlineStr"/>
      <c r="C211" s="182" t="inlineStr">
        <is>
          <t>北京能源集团有限责任公司（母公司）</t>
        </is>
      </c>
      <c r="D211" s="182" t="inlineStr">
        <is>
          <t>I_ES20044934</t>
        </is>
      </c>
      <c r="E211" s="326" t="inlineStr">
        <is>
          <t>汉江水电开发有限责任公司（外部）</t>
        </is>
      </c>
      <c r="F211" s="716" t="n"/>
      <c r="G211" s="716" t="n"/>
      <c r="H211" s="462" t="n"/>
    </row>
    <row r="212" ht="16.8" customHeight="1" s="1181">
      <c r="A212" s="384" t="inlineStr">
        <is>
          <t>E100000H</t>
        </is>
      </c>
      <c r="B212" s="767" t="inlineStr"/>
      <c r="C212" s="182" t="inlineStr">
        <is>
          <t>北京能源集团有限责任公司（母公司）</t>
        </is>
      </c>
      <c r="D212" s="182" t="inlineStr">
        <is>
          <t>I_E20044943</t>
        </is>
      </c>
      <c r="E212" s="326" t="inlineStr">
        <is>
          <t>【停用】北京城市铁路股份有限公司</t>
        </is>
      </c>
      <c r="F212" s="716" t="n"/>
      <c r="G212" s="716" t="n"/>
      <c r="H212" s="462" t="n"/>
    </row>
    <row r="213" ht="16.8" customHeight="1" s="1181">
      <c r="A213" s="384" t="inlineStr">
        <is>
          <t>E100000H</t>
        </is>
      </c>
      <c r="B213" s="767" t="inlineStr"/>
      <c r="C213" s="182" t="inlineStr">
        <is>
          <t>北京能源集团有限责任公司（母公司）</t>
        </is>
      </c>
      <c r="D213" s="182" t="inlineStr">
        <is>
          <t>I_E20044934</t>
        </is>
      </c>
      <c r="E213" s="326" t="inlineStr">
        <is>
          <t>【停用】汉江水电开发有限责任公司</t>
        </is>
      </c>
      <c r="F213" s="716" t="n"/>
      <c r="G213" s="716" t="n"/>
      <c r="H213" s="462" t="n"/>
    </row>
    <row r="214" ht="16.8" customHeight="1" s="1181">
      <c r="A214" s="384" t="inlineStr">
        <is>
          <t>E100000H</t>
        </is>
      </c>
      <c r="B214" s="767" t="inlineStr"/>
      <c r="C214" s="182" t="inlineStr">
        <is>
          <t>北京能源集团有限责任公司（母公司）</t>
        </is>
      </c>
      <c r="D214" s="182" t="inlineStr">
        <is>
          <t>I_ES20036247</t>
        </is>
      </c>
      <c r="E214" s="326" t="inlineStr">
        <is>
          <t>北京首都国际投资管理有限责任公司（外部2）</t>
        </is>
      </c>
      <c r="F214" s="716" t="n"/>
      <c r="G214" s="716" t="n"/>
      <c r="H214" s="462" t="n"/>
    </row>
    <row r="215" ht="16.8" customHeight="1" s="1181">
      <c r="A215" s="384" t="inlineStr">
        <is>
          <t>E100000H</t>
        </is>
      </c>
      <c r="B215" s="767" t="inlineStr"/>
      <c r="C215" s="182" t="inlineStr">
        <is>
          <t>北京能源集团有限责任公司（母公司）</t>
        </is>
      </c>
      <c r="D215" s="182" t="inlineStr">
        <is>
          <t>I_ES20044888</t>
        </is>
      </c>
      <c r="E215" s="326" t="inlineStr">
        <is>
          <t>中投信用担保有限公司</t>
        </is>
      </c>
      <c r="F215" s="716" t="n"/>
      <c r="G215" s="716" t="n"/>
      <c r="H215" s="462" t="n"/>
    </row>
    <row r="216" ht="16.8" customHeight="1" s="1181">
      <c r="A216" s="384" t="inlineStr">
        <is>
          <t>E100000H</t>
        </is>
      </c>
      <c r="B216" s="767" t="inlineStr"/>
      <c r="C216" s="182" t="inlineStr">
        <is>
          <t>北京能源集团有限责任公司（母公司）</t>
        </is>
      </c>
      <c r="D216" s="182" t="inlineStr">
        <is>
          <t>I_ES20044887</t>
        </is>
      </c>
      <c r="E216" s="326" t="inlineStr">
        <is>
          <t>首创证券股份有限公司</t>
        </is>
      </c>
      <c r="F216" s="716" t="n"/>
      <c r="G216" s="716" t="n"/>
      <c r="H216" s="462" t="n"/>
    </row>
    <row r="217">
      <c r="A217" s="672" t="inlineStr">
        <is>
          <t>E100000H</t>
        </is>
      </c>
      <c r="B217" s="767" t="inlineStr"/>
      <c r="C217" s="182" t="inlineStr">
        <is>
          <t>北京能源集团有限责任公司（母公司）</t>
        </is>
      </c>
      <c r="D217" s="182" t="inlineStr">
        <is>
          <t>I_E20044877</t>
        </is>
      </c>
      <c r="E217" s="326" t="inlineStr">
        <is>
          <t>【停用】北京京国瑞股权投资基金管理有限公司</t>
        </is>
      </c>
      <c r="F217" s="716" t="n"/>
      <c r="G217" s="716" t="n"/>
      <c r="H217" s="462" t="n"/>
    </row>
    <row r="218">
      <c r="A218" s="672" t="inlineStr">
        <is>
          <t>E100000H</t>
        </is>
      </c>
      <c r="B218" s="767" t="inlineStr"/>
      <c r="C218" s="182" t="inlineStr">
        <is>
          <t>北京能源集团有限责任公司</t>
        </is>
      </c>
      <c r="D218" s="716" t="inlineStr">
        <is>
          <t>I_EC10076104</t>
        </is>
      </c>
      <c r="E218" s="836" t="inlineStr">
        <is>
          <t>首都电力交易中心有限公司</t>
        </is>
      </c>
      <c r="F218" s="716" t="n"/>
      <c r="G218" s="716" t="n"/>
      <c r="H218" s="462" t="n"/>
    </row>
    <row r="219">
      <c r="A219" s="672" t="inlineStr">
        <is>
          <t>E100000H</t>
        </is>
      </c>
      <c r="B219" s="767" t="inlineStr"/>
      <c r="C219" s="182" t="inlineStr">
        <is>
          <t>北京能源集团有限责任公司</t>
        </is>
      </c>
      <c r="D219" s="182" t="inlineStr">
        <is>
          <t>I_EC10039874</t>
        </is>
      </c>
      <c r="E219" s="182" t="inlineStr">
        <is>
          <t>北京京国瑞股权投资基金管理有限公司</t>
        </is>
      </c>
      <c r="F219" s="716" t="n"/>
      <c r="G219" s="716" t="n"/>
      <c r="H219" s="462" t="n"/>
    </row>
    <row r="220">
      <c r="A220" s="672" t="inlineStr">
        <is>
          <t>E100000H</t>
        </is>
      </c>
      <c r="B220" s="767" t="inlineStr"/>
      <c r="C220" s="182" t="inlineStr">
        <is>
          <t>北京能源集团有限责任公司</t>
        </is>
      </c>
      <c r="D220" s="182" t="inlineStr">
        <is>
          <t>I_EC10040104</t>
        </is>
      </c>
      <c r="E220" s="182" t="inlineStr">
        <is>
          <t>北京顺隆投资发展基金（有限合伙）</t>
        </is>
      </c>
      <c r="F220" s="716" t="n"/>
      <c r="G220" s="716" t="n"/>
      <c r="H220" s="462" t="n"/>
    </row>
    <row r="221">
      <c r="A221" s="672" t="inlineStr">
        <is>
          <t>E100000H</t>
        </is>
      </c>
      <c r="B221" s="767" t="inlineStr"/>
      <c r="C221" s="182" t="inlineStr">
        <is>
          <t>北京能源集团有限责任公司</t>
        </is>
      </c>
      <c r="D221" s="182" t="inlineStr">
        <is>
          <t>I_EC10013130</t>
        </is>
      </c>
      <c r="E221" s="182" t="inlineStr">
        <is>
          <t>北京实创科技园开发建设股份有限公司</t>
        </is>
      </c>
      <c r="F221" s="716" t="n"/>
      <c r="G221" s="716" t="n"/>
      <c r="H221" s="462" t="n"/>
    </row>
    <row r="222">
      <c r="A222" s="672" t="inlineStr">
        <is>
          <t>E100000H</t>
        </is>
      </c>
      <c r="B222" s="767" t="inlineStr"/>
      <c r="C222" s="182" t="inlineStr">
        <is>
          <t>北京能源集团有限责任公司</t>
        </is>
      </c>
      <c r="D222" s="182" t="inlineStr">
        <is>
          <t>I_EC10051316</t>
        </is>
      </c>
      <c r="E222" s="182" t="inlineStr">
        <is>
          <t>山东鲁信投资集团股份有限公司</t>
        </is>
      </c>
      <c r="F222" s="716" t="n"/>
      <c r="G222" s="716" t="n"/>
      <c r="H222" s="462" t="n"/>
    </row>
    <row r="223">
      <c r="A223" s="672" t="inlineStr">
        <is>
          <t>E100000H</t>
        </is>
      </c>
      <c r="B223" s="767" t="inlineStr"/>
      <c r="C223" s="182" t="inlineStr">
        <is>
          <t>北京能源集团有限责任公司</t>
        </is>
      </c>
      <c r="D223" s="182" t="inlineStr">
        <is>
          <t>I_EC10051319</t>
        </is>
      </c>
      <c r="E223" s="182" t="inlineStr">
        <is>
          <t>北京城市铁路股份有限公司</t>
        </is>
      </c>
      <c r="F223" s="716" t="n"/>
      <c r="G223" s="716" t="n"/>
      <c r="H223" s="462" t="n"/>
    </row>
    <row r="224">
      <c r="A224" s="672" t="inlineStr">
        <is>
          <t>E100000H</t>
        </is>
      </c>
      <c r="B224" s="767" t="inlineStr"/>
      <c r="C224" s="182" t="inlineStr">
        <is>
          <t>北京能源集团有限责任公司</t>
        </is>
      </c>
      <c r="D224" s="182" t="inlineStr">
        <is>
          <t>I_EC10039804</t>
        </is>
      </c>
      <c r="E224" s="182" t="inlineStr">
        <is>
          <t>中铝宁夏能源集团有限公司</t>
        </is>
      </c>
      <c r="F224" s="716" t="n"/>
      <c r="G224" s="716" t="n"/>
      <c r="H224" s="462" t="n"/>
    </row>
    <row r="225">
      <c r="A225" s="672" t="inlineStr">
        <is>
          <t>E100000H</t>
        </is>
      </c>
      <c r="B225" s="767" t="inlineStr"/>
      <c r="C225" s="182" t="inlineStr">
        <is>
          <t>北京能源集团有限责任公司</t>
        </is>
      </c>
      <c r="D225" s="182" t="inlineStr">
        <is>
          <t>I_EC10041184</t>
        </is>
      </c>
      <c r="E225" s="182" t="inlineStr">
        <is>
          <t>重庆富都股权投资基金合伙企业（有限合伙）</t>
        </is>
      </c>
      <c r="F225" s="716" t="n"/>
      <c r="G225" s="716" t="n"/>
      <c r="H225" s="462" t="n"/>
    </row>
    <row r="226">
      <c r="A226" s="672" t="inlineStr">
        <is>
          <t>E100000H</t>
        </is>
      </c>
      <c r="B226" s="767" t="inlineStr"/>
      <c r="C226" s="182" t="inlineStr">
        <is>
          <t>北京能源集团有限责任公司</t>
        </is>
      </c>
      <c r="D226" s="182" t="inlineStr">
        <is>
          <t>I_EC10051322</t>
        </is>
      </c>
      <c r="E226" s="182" t="inlineStr">
        <is>
          <t>汉江水电开发有限责任公司</t>
        </is>
      </c>
      <c r="F226" s="716" t="n"/>
      <c r="G226" s="716" t="n"/>
      <c r="H226" s="462" t="n"/>
    </row>
    <row r="227">
      <c r="A227" s="672" t="inlineStr">
        <is>
          <t>E100000H</t>
        </is>
      </c>
      <c r="B227" s="767" t="inlineStr"/>
      <c r="C227" s="182" t="inlineStr">
        <is>
          <t>北京能源集团有限责任公司</t>
        </is>
      </c>
      <c r="D227" s="182" t="inlineStr">
        <is>
          <t>I_EC10037306</t>
        </is>
      </c>
      <c r="E227" s="182" t="inlineStr">
        <is>
          <t>国泰君安证券股份有限公司</t>
        </is>
      </c>
      <c r="F227" s="716" t="n"/>
      <c r="G227" s="716" t="n"/>
      <c r="H227" s="462" t="n"/>
    </row>
    <row r="228">
      <c r="A228" s="672" t="inlineStr">
        <is>
          <t>E100000H</t>
        </is>
      </c>
      <c r="B228" s="767" t="inlineStr"/>
      <c r="C228" s="182" t="inlineStr">
        <is>
          <t>北京能源集团有限责任公司</t>
        </is>
      </c>
      <c r="D228" s="182" t="inlineStr">
        <is>
          <t>I_EC10076102</t>
        </is>
      </c>
      <c r="E228" s="182" t="inlineStr">
        <is>
          <t>首创证券股份有限公司</t>
        </is>
      </c>
      <c r="F228" s="716" t="n"/>
      <c r="G228" s="716" t="n"/>
      <c r="H228" s="462" t="n"/>
    </row>
    <row r="229">
      <c r="A229" s="672" t="inlineStr">
        <is>
          <t>E100000H</t>
        </is>
      </c>
      <c r="B229" s="767" t="inlineStr"/>
      <c r="C229" s="182" t="inlineStr">
        <is>
          <t>北京能源集团有限责任公司</t>
        </is>
      </c>
      <c r="D229" s="182" t="inlineStr">
        <is>
          <t>I_EC10009804</t>
        </is>
      </c>
      <c r="E229" s="182" t="inlineStr">
        <is>
          <t>内蒙古产权交易中心有限责任公司</t>
        </is>
      </c>
      <c r="F229" s="716" t="n"/>
      <c r="G229" s="716" t="n"/>
      <c r="H229" s="462" t="n"/>
    </row>
    <row r="230">
      <c r="A230" s="672" t="inlineStr">
        <is>
          <t>E100000H</t>
        </is>
      </c>
      <c r="B230" s="767" t="inlineStr"/>
      <c r="C230" s="182" t="inlineStr">
        <is>
          <t>北京能源集团有限责任公司</t>
        </is>
      </c>
      <c r="D230" s="182" t="inlineStr">
        <is>
          <t>I_EC10029257</t>
        </is>
      </c>
      <c r="E230" s="182" t="inlineStr">
        <is>
          <t>广发银行股份有限公司</t>
        </is>
      </c>
      <c r="F230" s="716" t="n"/>
      <c r="G230" s="716" t="n"/>
      <c r="H230" s="462" t="n"/>
    </row>
    <row r="231">
      <c r="A231" s="672" t="inlineStr">
        <is>
          <t>E100000H</t>
        </is>
      </c>
      <c r="B231" s="767" t="inlineStr"/>
      <c r="C231" s="182" t="inlineStr">
        <is>
          <t>北京能源集团有限责任公司</t>
        </is>
      </c>
      <c r="D231" s="182" t="inlineStr">
        <is>
          <t>I_EC10032845</t>
        </is>
      </c>
      <c r="E231" s="182" t="inlineStr">
        <is>
          <t>北京静态交通投资运营有限公司</t>
        </is>
      </c>
      <c r="F231" s="716" t="n"/>
      <c r="G231" s="716" t="n"/>
      <c r="H231" s="462" t="n"/>
    </row>
    <row r="232">
      <c r="A232" s="672" t="inlineStr">
        <is>
          <t>E100000H</t>
        </is>
      </c>
      <c r="B232" s="767" t="inlineStr"/>
      <c r="C232" s="182" t="inlineStr">
        <is>
          <t>北京能源集团有限责任公司</t>
        </is>
      </c>
      <c r="D232" s="182" t="inlineStr">
        <is>
          <t>I_EC10051318</t>
        </is>
      </c>
      <c r="E232" s="182" t="inlineStr">
        <is>
          <t>国华能源有限公司</t>
        </is>
      </c>
      <c r="F232" s="716" t="n"/>
      <c r="G232" s="716" t="n"/>
      <c r="H232" s="462" t="n"/>
    </row>
    <row r="233">
      <c r="A233" s="672" t="inlineStr">
        <is>
          <t>E100000H</t>
        </is>
      </c>
      <c r="B233" s="767" t="inlineStr"/>
      <c r="C233" s="182" t="inlineStr">
        <is>
          <t>北京能源集团有限责任公司</t>
        </is>
      </c>
      <c r="D233" s="182" t="inlineStr">
        <is>
          <t>I_EC10071414</t>
        </is>
      </c>
      <c r="E233" s="182" t="inlineStr">
        <is>
          <t>财务专用客商</t>
        </is>
      </c>
      <c r="F233" s="716" t="n"/>
      <c r="G233" s="716" t="n"/>
      <c r="H233" s="462" t="n"/>
    </row>
    <row r="234">
      <c r="A234" s="672" t="inlineStr">
        <is>
          <t>E100001</t>
        </is>
      </c>
      <c r="B234" s="767" t="inlineStr"/>
      <c r="C234" s="182" t="inlineStr">
        <is>
          <t>北京京能清洁能源电力股份有限公司</t>
        </is>
      </c>
      <c r="D234" s="182" t="inlineStr">
        <is>
          <t>I_ES20000431</t>
        </is>
      </c>
      <c r="E234" s="182" t="inlineStr">
        <is>
          <t>【停用】内蒙古呼和浩特抽水蓄能发电有限责任公司</t>
        </is>
      </c>
      <c r="F234" s="716" t="n"/>
      <c r="G234" s="716" t="n"/>
      <c r="H234" s="462" t="n"/>
    </row>
    <row r="235">
      <c r="A235" s="672" t="inlineStr">
        <is>
          <t>E100001</t>
        </is>
      </c>
      <c r="B235" s="767" t="inlineStr"/>
      <c r="C235" s="182" t="inlineStr">
        <is>
          <t>北京京能清洁能源电力股份有限公司</t>
        </is>
      </c>
      <c r="D235" s="182" t="inlineStr">
        <is>
          <t>I_ES20035330</t>
        </is>
      </c>
      <c r="E235" s="182" t="inlineStr">
        <is>
          <t>内蒙古呼和浩特抽水蓄能发电有限责任公司（外部）</t>
        </is>
      </c>
      <c r="F235" s="716" t="n"/>
      <c r="G235" s="716" t="n"/>
      <c r="H235" s="462" t="n"/>
    </row>
    <row r="236">
      <c r="A236" s="672" t="inlineStr">
        <is>
          <t>E100001G</t>
        </is>
      </c>
      <c r="B236" s="767" t="inlineStr"/>
      <c r="C236" s="182" t="inlineStr">
        <is>
          <t>北京京能清洁能源电力股份有限公司（合并）</t>
        </is>
      </c>
      <c r="D236" s="182" t="inlineStr">
        <is>
          <t>I_ES20035330</t>
        </is>
      </c>
      <c r="E236" s="182" t="inlineStr">
        <is>
          <t>内蒙古呼和浩特抽水蓄能发电有限责任公司（外部）</t>
        </is>
      </c>
      <c r="F236" s="716" t="n"/>
      <c r="G236" s="716" t="n"/>
      <c r="H236" s="462" t="n"/>
    </row>
    <row r="237">
      <c r="A237" s="672" t="inlineStr">
        <is>
          <t>E100001G</t>
        </is>
      </c>
      <c r="B237" s="767" t="inlineStr"/>
      <c r="C237" s="182" t="inlineStr">
        <is>
          <t>北京京能清洁能源电力股份有限公司（合并）</t>
        </is>
      </c>
      <c r="D237" s="182" t="inlineStr">
        <is>
          <t>I_ES20000431</t>
        </is>
      </c>
      <c r="E237" s="182" t="inlineStr">
        <is>
          <t>【停用】内蒙古呼和浩特抽水蓄能发电有限责任公司</t>
        </is>
      </c>
      <c r="F237" s="716" t="n"/>
      <c r="G237" s="716" t="n"/>
      <c r="H237" s="462" t="n"/>
    </row>
    <row r="238">
      <c r="A238" s="672" t="inlineStr">
        <is>
          <t>E100001H</t>
        </is>
      </c>
      <c r="B238" s="767" t="inlineStr"/>
      <c r="C238" s="182" t="inlineStr">
        <is>
          <t>北京京能清洁能源电力股份有限公司（母公司）</t>
        </is>
      </c>
      <c r="D238" s="182" t="inlineStr">
        <is>
          <t>I_ES20000431</t>
        </is>
      </c>
      <c r="E238" s="182" t="inlineStr">
        <is>
          <t>【停用】内蒙古呼和浩特抽水蓄能发电有限责任公司</t>
        </is>
      </c>
      <c r="F238" s="716" t="n"/>
      <c r="G238" s="716" t="n"/>
      <c r="H238" s="462" t="n"/>
    </row>
    <row r="239">
      <c r="A239" s="672" t="inlineStr">
        <is>
          <t>E100001H</t>
        </is>
      </c>
      <c r="B239" s="767" t="inlineStr"/>
      <c r="C239" s="182" t="inlineStr">
        <is>
          <t>北京京能清洁能源电力股份有限公司（母公司）</t>
        </is>
      </c>
      <c r="D239" s="182" t="inlineStr">
        <is>
          <t>I_ES20035330</t>
        </is>
      </c>
      <c r="E239" s="182" t="inlineStr">
        <is>
          <t>内蒙古呼和浩特抽水蓄能发电有限责任公司（外部）</t>
        </is>
      </c>
      <c r="F239" s="716" t="n"/>
      <c r="G239" s="716" t="n"/>
      <c r="H239" s="462" t="n"/>
    </row>
    <row r="240">
      <c r="A240" s="672" t="inlineStr">
        <is>
          <t>E100004</t>
        </is>
      </c>
      <c r="B240" s="767" t="inlineStr"/>
      <c r="C240" s="182" t="inlineStr">
        <is>
          <t>北京京丰热电有限责任公司</t>
        </is>
      </c>
      <c r="D240" s="182" t="inlineStr">
        <is>
          <t>I_ES20045422</t>
        </is>
      </c>
      <c r="E240" s="182" t="inlineStr">
        <is>
          <t>山东石油天然气股份有限公司（外部）</t>
        </is>
      </c>
      <c r="F240" s="716" t="n"/>
      <c r="G240" s="716" t="n"/>
      <c r="H240" s="462" t="n"/>
    </row>
    <row r="241">
      <c r="A241" s="672" t="inlineStr">
        <is>
          <t>E100142G</t>
        </is>
      </c>
      <c r="B241" s="767" t="inlineStr"/>
      <c r="C241" s="182" t="inlineStr">
        <is>
          <t>北京京能国际能源股份有限公司（合并）</t>
        </is>
      </c>
      <c r="D241" s="182" t="inlineStr">
        <is>
          <t>I_ES20039170</t>
        </is>
      </c>
      <c r="E241" s="182" t="inlineStr">
        <is>
          <t>宁夏电力交易中心有限公司（外部）</t>
        </is>
      </c>
      <c r="F241" s="716" t="n"/>
      <c r="G241" s="716" t="n"/>
      <c r="H241" s="462" t="n"/>
    </row>
    <row r="242">
      <c r="A242" s="672" t="inlineStr">
        <is>
          <t>E100142G</t>
        </is>
      </c>
      <c r="B242" s="767" t="inlineStr"/>
      <c r="C242" s="182" t="inlineStr">
        <is>
          <t>北京京能国际能源股份有限公司（合并）</t>
        </is>
      </c>
      <c r="D242" s="182" t="inlineStr">
        <is>
          <t>I_ES20039024</t>
        </is>
      </c>
      <c r="E242" s="182" t="inlineStr">
        <is>
          <t>国华能源有限公司（外部）</t>
        </is>
      </c>
      <c r="F242" s="716" t="n"/>
      <c r="G242" s="716" t="n"/>
      <c r="H242" s="462" t="n"/>
    </row>
    <row r="243">
      <c r="A243" s="672" t="inlineStr">
        <is>
          <t>E100142G</t>
        </is>
      </c>
      <c r="B243" s="767" t="inlineStr"/>
      <c r="C243" s="182" t="inlineStr">
        <is>
          <t>北京京能国际能源股份有限公司（合并）</t>
        </is>
      </c>
      <c r="D243" s="182" t="inlineStr">
        <is>
          <t>I_ES20039171</t>
        </is>
      </c>
      <c r="E243" s="182" t="inlineStr">
        <is>
          <t>冀北电力交易中心有限公司（外部）</t>
        </is>
      </c>
      <c r="F243" s="716" t="n"/>
      <c r="G243" s="716" t="n"/>
      <c r="H243" s="462" t="n"/>
    </row>
    <row r="244">
      <c r="A244" s="672" t="inlineStr">
        <is>
          <t>E100142G</t>
        </is>
      </c>
      <c r="B244" s="767" t="inlineStr"/>
      <c r="C244" s="182" t="inlineStr">
        <is>
          <t>北京京能国际能源股份有限公司（合并）</t>
        </is>
      </c>
      <c r="D244" s="182" t="inlineStr">
        <is>
          <t>I_ES20039041</t>
        </is>
      </c>
      <c r="E244" s="182" t="inlineStr">
        <is>
          <t>山西电力交易中心有限公司</t>
        </is>
      </c>
      <c r="F244" s="716" t="n"/>
      <c r="G244" s="716" t="n"/>
      <c r="H244" s="462" t="n"/>
    </row>
    <row r="245">
      <c r="A245" s="672" t="inlineStr">
        <is>
          <t>E100142G</t>
        </is>
      </c>
      <c r="B245" s="767" t="inlineStr"/>
      <c r="C245" s="182" t="inlineStr">
        <is>
          <t>北京京能国际能源股份有限公司（合并）</t>
        </is>
      </c>
      <c r="D245" s="182" t="inlineStr">
        <is>
          <t>I_ES20035339</t>
        </is>
      </c>
      <c r="E245" s="182" t="inlineStr">
        <is>
          <t>内蒙古京科发电有限公司（外部）</t>
        </is>
      </c>
      <c r="F245" s="716" t="n"/>
      <c r="G245" s="716" t="n"/>
      <c r="H245" s="462" t="n"/>
    </row>
    <row r="246">
      <c r="A246" s="672" t="inlineStr">
        <is>
          <t>E100145</t>
        </is>
      </c>
      <c r="B246" s="767" t="inlineStr"/>
      <c r="C246" s="182" t="inlineStr">
        <is>
          <t>北京京能电力股份有限公司</t>
        </is>
      </c>
      <c r="D246" s="182" t="inlineStr">
        <is>
          <t>I_EC10006839</t>
        </is>
      </c>
      <c r="E246" s="182" t="inlineStr">
        <is>
          <t>内蒙古京科发电有限责任公司</t>
        </is>
      </c>
      <c r="F246" s="716" t="n"/>
      <c r="G246" s="716" t="n"/>
      <c r="H246" s="462" t="n"/>
    </row>
    <row r="247">
      <c r="A247" s="672" t="inlineStr">
        <is>
          <t>E100145</t>
        </is>
      </c>
      <c r="B247" s="767" t="inlineStr"/>
      <c r="C247" s="182" t="inlineStr">
        <is>
          <t>北京京能电力股份有限公司</t>
        </is>
      </c>
      <c r="D247" s="182" t="inlineStr">
        <is>
          <t>I_EC10054880</t>
        </is>
      </c>
      <c r="E247" s="182" t="inlineStr">
        <is>
          <t>宁夏电力交易中心有限公司</t>
        </is>
      </c>
      <c r="F247" s="716" t="n"/>
      <c r="G247" s="716" t="n"/>
      <c r="H247" s="462" t="n"/>
    </row>
    <row r="248">
      <c r="A248" s="672" t="inlineStr">
        <is>
          <t>E100145</t>
        </is>
      </c>
      <c r="B248" s="767" t="inlineStr"/>
      <c r="C248" s="182" t="inlineStr">
        <is>
          <t>北京京能电力股份有限公司</t>
        </is>
      </c>
      <c r="D248" s="182" t="inlineStr">
        <is>
          <t>I_EC10051318</t>
        </is>
      </c>
      <c r="E248" s="182" t="inlineStr">
        <is>
          <t>国华能源有限公司</t>
        </is>
      </c>
      <c r="F248" s="716" t="n"/>
      <c r="G248" s="716" t="n"/>
      <c r="H248" s="462" t="n"/>
    </row>
    <row r="249">
      <c r="A249" s="672" t="inlineStr">
        <is>
          <t>E100145</t>
        </is>
      </c>
      <c r="B249" s="767" t="inlineStr"/>
      <c r="C249" s="182" t="inlineStr">
        <is>
          <t>北京京能电力股份有限公司</t>
        </is>
      </c>
      <c r="D249" s="182" t="inlineStr">
        <is>
          <t>I_EC10054881</t>
        </is>
      </c>
      <c r="E249" s="182" t="inlineStr">
        <is>
          <t>冀北电力交易中心有限公司</t>
        </is>
      </c>
      <c r="F249" s="716" t="n"/>
      <c r="G249" s="716" t="n"/>
      <c r="H249" s="462" t="n"/>
    </row>
    <row r="250">
      <c r="A250" s="672" t="inlineStr">
        <is>
          <t>E100145</t>
        </is>
      </c>
      <c r="B250" s="767" t="inlineStr"/>
      <c r="C250" s="182" t="inlineStr">
        <is>
          <t>北京京能电力股份有限公司</t>
        </is>
      </c>
      <c r="D250" s="182" t="inlineStr">
        <is>
          <t>I_EC10073003</t>
        </is>
      </c>
      <c r="E250" s="182" t="inlineStr">
        <is>
          <t>山西电力交易中心有限公司</t>
        </is>
      </c>
      <c r="F250" s="716" t="n"/>
      <c r="G250" s="716" t="n"/>
      <c r="H250" s="462" t="n"/>
    </row>
    <row r="251">
      <c r="A251" s="672" t="inlineStr">
        <is>
          <t>E100145G</t>
        </is>
      </c>
      <c r="B251" s="767" t="inlineStr"/>
      <c r="C251" s="182" t="inlineStr">
        <is>
          <t>北京京能电力股份有限公司（合并）上市</t>
        </is>
      </c>
      <c r="D251" s="182" t="inlineStr">
        <is>
          <t>I_EC10006839</t>
        </is>
      </c>
      <c r="E251" s="182" t="inlineStr">
        <is>
          <t>内蒙古京科发电有限责任公司</t>
        </is>
      </c>
      <c r="F251" s="716" t="n"/>
      <c r="G251" s="716" t="n"/>
      <c r="H251" s="462" t="n"/>
    </row>
    <row r="252">
      <c r="A252" s="672" t="inlineStr">
        <is>
          <t>E100145G</t>
        </is>
      </c>
      <c r="B252" s="767" t="inlineStr"/>
      <c r="C252" s="182" t="inlineStr">
        <is>
          <t>北京京能电力股份有限公司（合并）上市</t>
        </is>
      </c>
      <c r="D252" s="182" t="inlineStr">
        <is>
          <t>I_EC10054880</t>
        </is>
      </c>
      <c r="E252" s="182" t="inlineStr">
        <is>
          <t>宁夏电力交易中心有限公司</t>
        </is>
      </c>
      <c r="F252" s="716" t="n"/>
      <c r="G252" s="716" t="n"/>
      <c r="H252" s="462" t="n"/>
    </row>
    <row r="253">
      <c r="A253" s="672" t="inlineStr">
        <is>
          <t>E100145G</t>
        </is>
      </c>
      <c r="B253" s="767" t="inlineStr"/>
      <c r="C253" s="182" t="inlineStr">
        <is>
          <t>北京京能电力股份有限公司（合并）上市</t>
        </is>
      </c>
      <c r="D253" s="182" t="inlineStr">
        <is>
          <t>I_EC10051318</t>
        </is>
      </c>
      <c r="E253" s="182" t="inlineStr">
        <is>
          <t>国华能源有限公司</t>
        </is>
      </c>
      <c r="F253" s="716" t="n"/>
      <c r="G253" s="716" t="n"/>
      <c r="H253" s="462" t="n"/>
    </row>
    <row r="254">
      <c r="A254" s="672" t="inlineStr">
        <is>
          <t>E100145G</t>
        </is>
      </c>
      <c r="B254" s="767" t="inlineStr"/>
      <c r="C254" s="182" t="inlineStr">
        <is>
          <t>北京京能电力股份有限公司（合并）上市</t>
        </is>
      </c>
      <c r="D254" s="182" t="inlineStr">
        <is>
          <t>I_EC10054881</t>
        </is>
      </c>
      <c r="E254" s="182" t="inlineStr">
        <is>
          <t>冀北电力交易中心有限公司</t>
        </is>
      </c>
      <c r="F254" s="716" t="n"/>
      <c r="G254" s="716" t="n"/>
      <c r="H254" s="462" t="n"/>
    </row>
    <row r="255">
      <c r="A255" s="672" t="inlineStr">
        <is>
          <t>E100145G</t>
        </is>
      </c>
      <c r="B255" s="767" t="inlineStr"/>
      <c r="C255" s="182" t="inlineStr">
        <is>
          <t>北京京能电力股份有限公司（合并）上市</t>
        </is>
      </c>
      <c r="D255" s="182" t="inlineStr">
        <is>
          <t>I_EC10073003</t>
        </is>
      </c>
      <c r="E255" s="182" t="inlineStr">
        <is>
          <t>山西电力交易中心有限公司</t>
        </is>
      </c>
      <c r="F255" s="716" t="n"/>
      <c r="G255" s="716" t="n"/>
      <c r="H255" s="462" t="n"/>
    </row>
    <row r="256">
      <c r="A256" s="672" t="inlineStr">
        <is>
          <t>E100145H</t>
        </is>
      </c>
      <c r="B256" s="767" t="inlineStr"/>
      <c r="C256" s="182" t="inlineStr">
        <is>
          <t>北京京能电力股份有限公司（母公司）本部</t>
        </is>
      </c>
      <c r="D256" s="182" t="inlineStr">
        <is>
          <t>I_EC10006839</t>
        </is>
      </c>
      <c r="E256" s="182" t="inlineStr">
        <is>
          <t>内蒙古京科发电有限责任公司</t>
        </is>
      </c>
      <c r="F256" s="716" t="n"/>
      <c r="G256" s="716" t="n"/>
      <c r="H256" s="462" t="n"/>
    </row>
    <row r="257">
      <c r="A257" s="672" t="inlineStr">
        <is>
          <t>E100145H</t>
        </is>
      </c>
      <c r="B257" s="767" t="inlineStr"/>
      <c r="C257" s="182" t="inlineStr">
        <is>
          <t>北京京能电力股份有限公司（母公司）本部</t>
        </is>
      </c>
      <c r="D257" s="182" t="inlineStr">
        <is>
          <t>I_EC10054880</t>
        </is>
      </c>
      <c r="E257" s="182" t="inlineStr">
        <is>
          <t>宁夏电力交易中心有限公司</t>
        </is>
      </c>
      <c r="F257" s="716" t="n"/>
      <c r="G257" s="716" t="n"/>
      <c r="H257" s="462" t="n"/>
    </row>
    <row r="258">
      <c r="A258" s="672" t="inlineStr">
        <is>
          <t>E100145H</t>
        </is>
      </c>
      <c r="B258" s="767" t="inlineStr"/>
      <c r="C258" s="182" t="inlineStr">
        <is>
          <t>北京京能电力股份有限公司（母公司）本部</t>
        </is>
      </c>
      <c r="D258" s="182" t="inlineStr">
        <is>
          <t>I_EC10051318</t>
        </is>
      </c>
      <c r="E258" s="182" t="inlineStr">
        <is>
          <t>国华能源有限公司</t>
        </is>
      </c>
      <c r="F258" s="716" t="n"/>
      <c r="G258" s="716" t="n"/>
      <c r="H258" s="462" t="n"/>
    </row>
    <row r="259">
      <c r="A259" s="672" t="inlineStr">
        <is>
          <t>E100145H</t>
        </is>
      </c>
      <c r="B259" s="767" t="inlineStr"/>
      <c r="C259" s="182" t="inlineStr">
        <is>
          <t>北京京能电力股份有限公司（母公司）本部</t>
        </is>
      </c>
      <c r="D259" s="182" t="inlineStr">
        <is>
          <t>I_EC10054881</t>
        </is>
      </c>
      <c r="E259" s="182" t="inlineStr">
        <is>
          <t>冀北电力交易中心有限公司</t>
        </is>
      </c>
      <c r="F259" s="716" t="n"/>
      <c r="G259" s="716" t="n"/>
      <c r="H259" s="462" t="n"/>
    </row>
    <row r="260">
      <c r="A260" s="672" t="inlineStr">
        <is>
          <t>E100145H</t>
        </is>
      </c>
      <c r="B260" s="767" t="inlineStr"/>
      <c r="C260" s="182" t="inlineStr">
        <is>
          <t>北京京能电力股份有限公司（母公司）本部</t>
        </is>
      </c>
      <c r="D260" s="182" t="inlineStr">
        <is>
          <t>I_EC10073003</t>
        </is>
      </c>
      <c r="E260" s="182" t="inlineStr">
        <is>
          <t>山西电力交易中心有限公司</t>
        </is>
      </c>
      <c r="F260" s="716" t="n"/>
      <c r="G260" s="716" t="n"/>
      <c r="H260" s="462" t="n"/>
    </row>
    <row r="261">
      <c r="A261" s="672" t="inlineStr">
        <is>
          <t>E100197</t>
        </is>
      </c>
      <c r="B261" s="767" t="inlineStr"/>
      <c r="C261" s="182" t="inlineStr">
        <is>
          <t>北京国际电气工程有限责任公司</t>
        </is>
      </c>
      <c r="D261" s="182" t="inlineStr">
        <is>
          <t>I_ES20000117</t>
        </is>
      </c>
      <c r="E261" s="182" t="inlineStr">
        <is>
          <t>【停用】北京京仪绿能电力系统工程有限公司</t>
        </is>
      </c>
      <c r="F261" s="716" t="n"/>
      <c r="G261" s="716" t="n"/>
      <c r="H261" s="462" t="n"/>
    </row>
    <row r="262">
      <c r="A262" s="672" t="inlineStr">
        <is>
          <t>E100197</t>
        </is>
      </c>
      <c r="B262" s="767" t="inlineStr"/>
      <c r="C262" s="182" t="inlineStr">
        <is>
          <t>北京国际电气工程有限责任公司</t>
        </is>
      </c>
      <c r="D262" s="182" t="inlineStr">
        <is>
          <t>I_ES10000420</t>
        </is>
      </c>
      <c r="E262" s="182" t="inlineStr">
        <is>
          <t>【停用】北京京能清洁能源电力股份有限公司</t>
        </is>
      </c>
      <c r="F262" s="716" t="n"/>
      <c r="G262" s="716" t="n"/>
      <c r="H262" s="462" t="n"/>
    </row>
    <row r="263">
      <c r="A263" s="672" t="inlineStr">
        <is>
          <t>E100197</t>
        </is>
      </c>
      <c r="B263" s="767" t="inlineStr"/>
      <c r="C263" s="182" t="inlineStr">
        <is>
          <t>北京国际电气工程有限责任公司</t>
        </is>
      </c>
      <c r="D263" s="182" t="inlineStr">
        <is>
          <t>I_ES20000116</t>
        </is>
      </c>
      <c r="E263" s="182" t="inlineStr">
        <is>
          <t>【停用】北京国电防腐安装工程有限公司</t>
        </is>
      </c>
      <c r="F263" s="716" t="n"/>
      <c r="G263" s="716" t="n"/>
      <c r="H263" s="462" t="n"/>
    </row>
    <row r="264">
      <c r="A264" s="672" t="inlineStr">
        <is>
          <t>E100197G</t>
        </is>
      </c>
      <c r="B264" s="767" t="inlineStr"/>
      <c r="C264" s="182" t="inlineStr">
        <is>
          <t>北京国际电气工程有限责任公司（合并）---弃用</t>
        </is>
      </c>
      <c r="D264" s="182" t="inlineStr">
        <is>
          <t>I_ES10000420</t>
        </is>
      </c>
      <c r="E264" s="182" t="inlineStr">
        <is>
          <t>【停用】北京京能清洁能源电力股份有限公司</t>
        </is>
      </c>
      <c r="F264" s="716" t="n"/>
      <c r="G264" s="716" t="n"/>
      <c r="H264" s="462" t="n"/>
    </row>
    <row r="265">
      <c r="A265" s="672" t="inlineStr">
        <is>
          <t>E100197G</t>
        </is>
      </c>
      <c r="B265" s="767" t="inlineStr"/>
      <c r="C265" s="182" t="inlineStr">
        <is>
          <t>北京国际电气工程有限责任公司（合并）---弃用</t>
        </is>
      </c>
      <c r="D265" s="182" t="inlineStr">
        <is>
          <t>I_ES20000117</t>
        </is>
      </c>
      <c r="E265" s="182" t="inlineStr">
        <is>
          <t>【停用】北京京仪绿能电力系统工程有限公司</t>
        </is>
      </c>
      <c r="F265" s="716" t="n"/>
      <c r="G265" s="716" t="n"/>
      <c r="H265" s="462" t="n"/>
    </row>
    <row r="266">
      <c r="A266" s="672" t="inlineStr">
        <is>
          <t>E100197G</t>
        </is>
      </c>
      <c r="B266" s="767" t="inlineStr"/>
      <c r="C266" s="182" t="inlineStr">
        <is>
          <t>北京国际电气工程有限责任公司（合并）---弃用</t>
        </is>
      </c>
      <c r="D266" s="182" t="inlineStr">
        <is>
          <t>I_ES20000116</t>
        </is>
      </c>
      <c r="E266" s="182" t="inlineStr">
        <is>
          <t>【停用】北京国电防腐安装工程有限公司</t>
        </is>
      </c>
      <c r="F266" s="716" t="n"/>
      <c r="G266" s="716" t="n"/>
      <c r="H266" s="462" t="n"/>
    </row>
    <row r="267">
      <c r="A267" s="672" t="inlineStr">
        <is>
          <t>E100200</t>
        </is>
      </c>
      <c r="B267" s="767" t="inlineStr"/>
      <c r="C267" s="182" t="inlineStr">
        <is>
          <t>北京京能能源技术研究有限责任公司</t>
        </is>
      </c>
      <c r="D267" s="182" t="inlineStr">
        <is>
          <t>I_ES20044758</t>
        </is>
      </c>
      <c r="E267" s="182" t="inlineStr">
        <is>
          <t>北京能源工业互联网研究院有限公司（外部）</t>
        </is>
      </c>
      <c r="F267" s="716" t="n"/>
      <c r="G267" s="716" t="n"/>
      <c r="H267" s="462" t="n"/>
    </row>
    <row r="268">
      <c r="A268" s="672" t="inlineStr">
        <is>
          <t>E100200G</t>
        </is>
      </c>
      <c r="B268" s="767" t="inlineStr"/>
      <c r="C268" s="182" t="inlineStr">
        <is>
          <t>北京京能能源技术研究有限责任公司（合并）</t>
        </is>
      </c>
      <c r="D268" s="182" t="inlineStr">
        <is>
          <t>I_ES20044758</t>
        </is>
      </c>
      <c r="E268" s="182" t="inlineStr">
        <is>
          <t>北京能源工业互联网研究院有限公司（外部）</t>
        </is>
      </c>
      <c r="F268" s="716" t="n"/>
      <c r="G268" s="716" t="n"/>
      <c r="H268" s="462" t="n"/>
    </row>
    <row r="269">
      <c r="A269" s="672" t="inlineStr">
        <is>
          <t>E100201</t>
        </is>
      </c>
      <c r="B269" s="767" t="inlineStr"/>
      <c r="C269" s="182" t="inlineStr">
        <is>
          <t>北京昊华能源股份有限公司</t>
        </is>
      </c>
      <c r="D269" s="182" t="inlineStr">
        <is>
          <t>I_EC_TEPM_001</t>
        </is>
      </c>
      <c r="E269" s="182" t="inlineStr">
        <is>
          <t>新包神铁路有限责任公司</t>
        </is>
      </c>
      <c r="F269" s="716" t="n"/>
      <c r="G269" s="716" t="n"/>
      <c r="H269" s="462" t="n"/>
    </row>
    <row r="270">
      <c r="A270" s="672" t="inlineStr">
        <is>
          <t>E100201G</t>
        </is>
      </c>
      <c r="B270" s="767" t="inlineStr"/>
      <c r="C270" s="182" t="inlineStr">
        <is>
          <t>北京昊华能源股份有限公司（合并）</t>
        </is>
      </c>
      <c r="D270" s="182" t="inlineStr">
        <is>
          <t>I_EC10086796</t>
        </is>
      </c>
      <c r="E270" s="182" t="inlineStr">
        <is>
          <t>鄂尔多斯南部铁路有限责任公司</t>
        </is>
      </c>
      <c r="F270" s="716" t="n"/>
      <c r="G270" s="716" t="n"/>
      <c r="H270" s="462" t="n"/>
    </row>
    <row r="271">
      <c r="A271" s="672" t="inlineStr">
        <is>
          <t>E100201G</t>
        </is>
      </c>
      <c r="B271" s="767" t="inlineStr"/>
      <c r="C271" s="182" t="inlineStr">
        <is>
          <t>北京昊华能源股份有限公司（合并）</t>
        </is>
      </c>
      <c r="D271" s="182" t="inlineStr">
        <is>
          <t>I_EC_TEPM_001</t>
        </is>
      </c>
      <c r="E271" s="182" t="inlineStr">
        <is>
          <t>新包神铁路有限责任公司</t>
        </is>
      </c>
      <c r="F271" s="716" t="n"/>
      <c r="G271" s="716" t="n"/>
      <c r="H271" s="462" t="n"/>
    </row>
    <row r="272">
      <c r="A272" s="672" t="inlineStr">
        <is>
          <t>E100201G</t>
        </is>
      </c>
      <c r="B272" s="767" t="inlineStr"/>
      <c r="C272" s="182" t="inlineStr">
        <is>
          <t>北京昊华能源股份有限公司（合并）</t>
        </is>
      </c>
      <c r="D272" s="182" t="inlineStr">
        <is>
          <t>I_ECWQ020787</t>
        </is>
      </c>
      <c r="E272" s="182" t="inlineStr">
        <is>
          <t>MC Mining Limited</t>
        </is>
      </c>
      <c r="F272" s="716" t="n"/>
      <c r="G272" s="716" t="n"/>
      <c r="H272" s="462" t="n"/>
    </row>
    <row r="273">
      <c r="A273" s="672" t="inlineStr">
        <is>
          <t>E100201H</t>
        </is>
      </c>
      <c r="B273" s="767" t="inlineStr"/>
      <c r="C273" s="182" t="inlineStr">
        <is>
          <t>北京昊华能源股份有限公司（母公司）</t>
        </is>
      </c>
      <c r="D273" s="182" t="inlineStr">
        <is>
          <t>I_EC_TEPM_001</t>
        </is>
      </c>
      <c r="E273" s="182" t="inlineStr">
        <is>
          <t>新包神铁路有限责任公司</t>
        </is>
      </c>
      <c r="F273" s="716" t="n"/>
      <c r="G273" s="716" t="n"/>
      <c r="H273" s="462" t="n"/>
    </row>
    <row r="274">
      <c r="A274" s="672" t="inlineStr">
        <is>
          <t>E100203</t>
        </is>
      </c>
      <c r="B274" s="767" t="inlineStr"/>
      <c r="C274" s="182" t="inlineStr">
        <is>
          <t>杭锦旗西部能源开发有限公司</t>
        </is>
      </c>
      <c r="D274" s="182" t="inlineStr">
        <is>
          <t>I_EC10086796</t>
        </is>
      </c>
      <c r="E274" s="182" t="inlineStr">
        <is>
          <t>鄂尔多斯南部铁路有限责任公司</t>
        </is>
      </c>
      <c r="F274" s="716" t="n"/>
      <c r="G274" s="716" t="n"/>
      <c r="H274" s="462" t="n"/>
    </row>
    <row r="275">
      <c r="A275" s="672" t="inlineStr">
        <is>
          <t>E100203G</t>
        </is>
      </c>
      <c r="B275" s="767" t="inlineStr"/>
      <c r="C275" s="182" t="inlineStr">
        <is>
          <t>杭锦旗西部能源开发有限公司（合并）</t>
        </is>
      </c>
      <c r="D275" s="182" t="inlineStr">
        <is>
          <t>I_EC10086796</t>
        </is>
      </c>
      <c r="E275" s="182" t="inlineStr">
        <is>
          <t>鄂尔多斯南部铁路有限责任公司</t>
        </is>
      </c>
      <c r="F275" s="716" t="n"/>
      <c r="G275" s="716" t="n"/>
      <c r="H275" s="462" t="n"/>
    </row>
    <row r="276">
      <c r="A276" s="672" t="inlineStr">
        <is>
          <t>E100268G</t>
        </is>
      </c>
      <c r="B276" s="767">
        <f>ROW()</f>
        <v/>
      </c>
      <c r="C276" s="182">
        <f>IF(_epmOfflineCondition_,"北京京煤集团有限责任公司（合并）",EPMMemberDesc(A276))</f>
        <v/>
      </c>
      <c r="D276" s="182" t="inlineStr">
        <is>
          <t>I_EC10081438</t>
        </is>
      </c>
      <c r="E276" s="182">
        <f>IF(_epmOfflineCondition_,"北京中生京益医学检验实验室有限公司",EPMMemberDesc(D276))</f>
        <v/>
      </c>
      <c r="F276" s="716" t="n"/>
      <c r="G276" s="716" t="n"/>
      <c r="H276" s="462" t="n"/>
    </row>
    <row r="277">
      <c r="A277" s="672" t="inlineStr">
        <is>
          <t>E100268G</t>
        </is>
      </c>
      <c r="B277" s="767">
        <f>ROW()</f>
        <v/>
      </c>
      <c r="C277" s="182">
        <f>IF(_epmOfflineCondition_,"北京京煤集团有限责任公司（合并）",EPMMemberDesc(A277))</f>
        <v/>
      </c>
      <c r="D277" s="182" t="inlineStr">
        <is>
          <t>I_EC10029000</t>
        </is>
      </c>
      <c r="E277" s="182">
        <f>IF(_epmOfflineCondition_,"杭州梅苑股份有限公司",EPMMemberDesc(D277))</f>
        <v/>
      </c>
      <c r="F277" s="716" t="n"/>
      <c r="G277" s="716" t="n"/>
      <c r="H277" s="462" t="n"/>
    </row>
    <row r="278">
      <c r="A278" s="672" t="inlineStr">
        <is>
          <t>E100268G</t>
        </is>
      </c>
      <c r="B278" s="767">
        <f>ROW()</f>
        <v/>
      </c>
      <c r="C278" s="182">
        <f>IF(_epmOfflineCondition_,"北京京煤集团有限责任公司（合并）",EPMMemberDesc(A278))</f>
        <v/>
      </c>
      <c r="D278" s="182" t="inlineStr">
        <is>
          <t>I_EC10026576</t>
        </is>
      </c>
      <c r="E278" s="182">
        <f>IF(_epmOfflineCondition_,"万通投资控股股份有限公司",EPMMemberDesc(D278))</f>
        <v/>
      </c>
      <c r="F278" s="716" t="n"/>
      <c r="G278" s="716" t="n"/>
      <c r="H278" s="462" t="n"/>
    </row>
    <row r="279">
      <c r="A279" s="672" t="inlineStr">
        <is>
          <t>E100268G</t>
        </is>
      </c>
      <c r="B279" s="767">
        <f>ROW()</f>
        <v/>
      </c>
      <c r="C279" s="182">
        <f>IF(_epmOfflineCondition_,"北京京煤集团有限责任公司（合并）",EPMMemberDesc(A279))</f>
        <v/>
      </c>
      <c r="D279" s="182" t="inlineStr">
        <is>
          <t>I_EC10033073</t>
        </is>
      </c>
      <c r="E279" s="182">
        <f>IF(_epmOfflineCondition_,"北京金伦股份有限公司",EPMMemberDesc(D279))</f>
        <v/>
      </c>
      <c r="F279" s="716" t="n"/>
      <c r="G279" s="716" t="n"/>
      <c r="H279" s="462" t="n"/>
    </row>
    <row r="280">
      <c r="A280" s="672" t="inlineStr">
        <is>
          <t>E100268G</t>
        </is>
      </c>
      <c r="B280" s="767">
        <f>ROW()</f>
        <v/>
      </c>
      <c r="C280" s="182">
        <f>IF(_epmOfflineCondition_,"北京京煤集团有限责任公司（合并）",EPMMemberDesc(A280))</f>
        <v/>
      </c>
      <c r="D280" s="182" t="inlineStr">
        <is>
          <t>I_EC10038609</t>
        </is>
      </c>
      <c r="E280" s="182">
        <f>IF(_epmOfflineCondition_,"中联煤炭销售有限责任公司",EPMMemberDesc(D280))</f>
        <v/>
      </c>
      <c r="F280" s="716" t="n"/>
      <c r="G280" s="716" t="n"/>
      <c r="H280" s="462" t="n"/>
    </row>
    <row r="281">
      <c r="A281" s="672" t="inlineStr">
        <is>
          <t>E100268G</t>
        </is>
      </c>
      <c r="B281" s="767">
        <f>ROW()</f>
        <v/>
      </c>
      <c r="C281" s="182">
        <f>IF(_epmOfflineCondition_,"北京京煤集团有限责任公司（合并）",EPMMemberDesc(A281))</f>
        <v/>
      </c>
      <c r="D281" s="182" t="inlineStr">
        <is>
          <t>I_EC10057081</t>
        </is>
      </c>
      <c r="E281" s="182">
        <f>IF(_epmOfflineCondition_,"惠能实业有限责任公司",EPMMemberDesc(D281))</f>
        <v/>
      </c>
      <c r="F281" s="716" t="n"/>
      <c r="G281" s="716" t="n"/>
      <c r="H281" s="462" t="n"/>
    </row>
    <row r="282">
      <c r="A282" s="672" t="inlineStr">
        <is>
          <t>E100268G</t>
        </is>
      </c>
      <c r="B282" s="767">
        <f>ROW()</f>
        <v/>
      </c>
      <c r="C282" s="182">
        <f>IF(_epmOfflineCondition_,"北京京煤集团有限责任公司（合并）",EPMMemberDesc(A282))</f>
        <v/>
      </c>
      <c r="D282" s="182" t="inlineStr">
        <is>
          <t>I_EC10034031</t>
        </is>
      </c>
      <c r="E282" s="182">
        <f>IF(_epmOfflineCondition_,"北京服务新首钢股权创业投资企业（有限合伙）",EPMMemberDesc(D282))</f>
        <v/>
      </c>
      <c r="F282" s="716" t="n"/>
      <c r="G282" s="716" t="n"/>
      <c r="H282" s="462" t="n"/>
    </row>
    <row r="283">
      <c r="A283" s="672" t="inlineStr">
        <is>
          <t>E100268G</t>
        </is>
      </c>
      <c r="B283" s="767">
        <f>ROW()</f>
        <v/>
      </c>
      <c r="C283" s="182">
        <f>IF(_epmOfflineCondition_,"北京京煤集团有限责任公司（合并）",EPMMemberDesc(A283))</f>
        <v/>
      </c>
      <c r="D283" s="182" t="inlineStr">
        <is>
          <t>I_EC10034807</t>
        </is>
      </c>
      <c r="E283" s="182">
        <f>IF(_epmOfflineCondition_,"广西银建投资股份有限公司",EPMMemberDesc(D283))</f>
        <v/>
      </c>
      <c r="F283" s="716" t="n"/>
      <c r="G283" s="716" t="n"/>
      <c r="H283" s="462" t="n"/>
    </row>
    <row r="284">
      <c r="A284" s="672" t="inlineStr">
        <is>
          <t>E100268H</t>
        </is>
      </c>
      <c r="B284" s="767">
        <f>ROW()</f>
        <v/>
      </c>
      <c r="C284" s="182">
        <f>IF(_epmOfflineCondition_,"北京京煤集团有限责任公司（母公司）",EPMMemberDesc(A284))</f>
        <v/>
      </c>
      <c r="D284" s="182" t="inlineStr">
        <is>
          <t>I_EC10038609</t>
        </is>
      </c>
      <c r="E284" s="182">
        <f>IF(_epmOfflineCondition_,"中联煤炭销售有限责任公司",EPMMemberDesc(D284))</f>
        <v/>
      </c>
      <c r="F284" s="716" t="n"/>
      <c r="G284" s="716" t="n"/>
      <c r="H284" s="462" t="n"/>
    </row>
    <row r="285">
      <c r="A285" s="672" t="inlineStr">
        <is>
          <t>E100268H</t>
        </is>
      </c>
      <c r="B285" s="767">
        <f>ROW()</f>
        <v/>
      </c>
      <c r="C285" s="182">
        <f>IF(_epmOfflineCondition_,"北京京煤集团有限责任公司（母公司）",EPMMemberDesc(A285))</f>
        <v/>
      </c>
      <c r="D285" s="182" t="inlineStr">
        <is>
          <t>I_EC10057081</t>
        </is>
      </c>
      <c r="E285" s="182">
        <f>IF(_epmOfflineCondition_,"惠能实业有限责任公司",EPMMemberDesc(D285))</f>
        <v/>
      </c>
      <c r="F285" s="716" t="n"/>
      <c r="G285" s="716" t="n"/>
      <c r="H285" s="462" t="n"/>
    </row>
    <row r="286">
      <c r="A286" s="672" t="inlineStr">
        <is>
          <t>E100268H</t>
        </is>
      </c>
      <c r="B286" s="767">
        <f>ROW()</f>
        <v/>
      </c>
      <c r="C286" s="182">
        <f>IF(_epmOfflineCondition_,"北京京煤集团有限责任公司（母公司）",EPMMemberDesc(A286))</f>
        <v/>
      </c>
      <c r="D286" s="182" t="inlineStr">
        <is>
          <t>I_EC10034031</t>
        </is>
      </c>
      <c r="E286" s="182">
        <f>IF(_epmOfflineCondition_,"北京服务新首钢股权创业投资企业（有限合伙）",EPMMemberDesc(D286))</f>
        <v/>
      </c>
      <c r="F286" s="716" t="n"/>
      <c r="G286" s="716" t="n"/>
      <c r="H286" s="462" t="n"/>
    </row>
    <row r="287">
      <c r="A287" s="672" t="inlineStr">
        <is>
          <t>E100268H</t>
        </is>
      </c>
      <c r="B287" s="767">
        <f>ROW()</f>
        <v/>
      </c>
      <c r="C287" s="182">
        <f>IF(_epmOfflineCondition_,"北京京煤集团有限责任公司（母公司）",EPMMemberDesc(A287))</f>
        <v/>
      </c>
      <c r="D287" s="182" t="inlineStr">
        <is>
          <t>I_EC10026576</t>
        </is>
      </c>
      <c r="E287" s="182">
        <f>IF(_epmOfflineCondition_,"万通投资控股股份有限公司",EPMMemberDesc(D287))</f>
        <v/>
      </c>
      <c r="F287" s="716" t="n"/>
      <c r="G287" s="716" t="n"/>
      <c r="H287" s="462" t="n"/>
    </row>
    <row r="288">
      <c r="A288" s="672" t="inlineStr">
        <is>
          <t>E100268H</t>
        </is>
      </c>
      <c r="B288" s="767">
        <f>ROW()</f>
        <v/>
      </c>
      <c r="C288" s="182">
        <f>IF(_epmOfflineCondition_,"北京京煤集团有限责任公司（母公司）",EPMMemberDesc(A288))</f>
        <v/>
      </c>
      <c r="D288" s="182" t="inlineStr">
        <is>
          <t>I_EC10081438</t>
        </is>
      </c>
      <c r="E288" s="182">
        <f>IF(_epmOfflineCondition_,"北京中生京益医学检验实验室有限公司",EPMMemberDesc(D288))</f>
        <v/>
      </c>
      <c r="F288" s="716" t="n"/>
      <c r="G288" s="716" t="n"/>
      <c r="H288" s="462" t="n"/>
    </row>
    <row r="289">
      <c r="A289" s="672" t="inlineStr">
        <is>
          <t>E100320</t>
        </is>
      </c>
      <c r="B289" s="767">
        <f>ROW()</f>
        <v/>
      </c>
      <c r="C289" s="182">
        <f>IF(_epmOfflineCondition_,"北京市天创房地产开发有限公司",EPMMemberDesc(A289))</f>
        <v/>
      </c>
      <c r="D289" s="182" t="inlineStr">
        <is>
          <t>I_EC10034807</t>
        </is>
      </c>
      <c r="E289" s="182">
        <f>IF(_epmOfflineCondition_,"广西银建投资股份有限公司",EPMMemberDesc(D289))</f>
        <v/>
      </c>
      <c r="F289" s="716" t="n"/>
      <c r="G289" s="716" t="n"/>
      <c r="H289" s="462" t="n"/>
    </row>
    <row r="290">
      <c r="A290" s="672" t="inlineStr">
        <is>
          <t>E100320G</t>
        </is>
      </c>
      <c r="B290" s="767">
        <f>ROW()</f>
        <v/>
      </c>
      <c r="C290" s="182">
        <f>IF(_epmOfflineCondition_,"北京市天创房地产开发有限公司（合并）",EPMMemberDesc(A290))</f>
        <v/>
      </c>
      <c r="D290" s="182" t="inlineStr">
        <is>
          <t>I_EC10034807</t>
        </is>
      </c>
      <c r="E290" s="182">
        <f>IF(_epmOfflineCondition_,"广西银建投资股份有限公司",EPMMemberDesc(D290))</f>
        <v/>
      </c>
      <c r="F290" s="716" t="n"/>
      <c r="G290" s="716" t="n"/>
      <c r="H290" s="462" t="n"/>
    </row>
    <row r="291">
      <c r="A291" s="672" t="inlineStr">
        <is>
          <t>E100326</t>
        </is>
      </c>
      <c r="B291" s="767">
        <f>ROW()</f>
        <v/>
      </c>
      <c r="C291" s="182">
        <f>IF(_epmOfflineCondition_,"北京金泰通华商贸有限责任公司",EPMMemberDesc(A291))</f>
        <v/>
      </c>
      <c r="D291" s="182" t="inlineStr">
        <is>
          <t>I_EC10058377</t>
        </is>
      </c>
      <c r="E291" s="182">
        <f>IF(_epmOfflineCondition_,"北京西西友谊商城有限公司",EPMMemberDesc(D291))</f>
        <v/>
      </c>
      <c r="F291" s="716" t="n"/>
      <c r="G291" s="716" t="n"/>
      <c r="H291" s="462" t="n"/>
    </row>
    <row r="292">
      <c r="A292" s="672" t="inlineStr">
        <is>
          <t>E100326H</t>
        </is>
      </c>
      <c r="B292" s="767">
        <f>ROW()</f>
        <v/>
      </c>
      <c r="C292" s="182">
        <f>IF(_epmOfflineCondition_,"北京金泰通华商贸有限责任公司（母公司）",EPMMemberDesc(A292))</f>
        <v/>
      </c>
      <c r="D292" s="182" t="inlineStr">
        <is>
          <t>I_EC10058377</t>
        </is>
      </c>
      <c r="E292" s="182">
        <f>IF(_epmOfflineCondition_,"北京西西友谊商城有限公司",EPMMemberDesc(D292))</f>
        <v/>
      </c>
      <c r="F292" s="716" t="n"/>
      <c r="G292" s="716" t="n"/>
      <c r="H292" s="462" t="n"/>
    </row>
    <row r="293">
      <c r="A293" s="672" t="inlineStr">
        <is>
          <t>E100349</t>
        </is>
      </c>
      <c r="B293" s="767">
        <f>ROW()</f>
        <v/>
      </c>
      <c r="C293" s="182">
        <f>IF(_epmOfflineCondition_,"北京金泰恒业晟通商贸有限公司",EPMMemberDesc(A293))</f>
        <v/>
      </c>
      <c r="D293" s="182" t="inlineStr">
        <is>
          <t>I_EC10000149</t>
        </is>
      </c>
      <c r="E293" s="182">
        <f>IF(_epmOfflineCondition_,"北京银行股份有限公司",EPMMemberDesc(D293))</f>
        <v/>
      </c>
      <c r="F293" s="716" t="n"/>
      <c r="G293" s="716" t="n"/>
      <c r="H293" s="462" t="n"/>
    </row>
    <row r="294">
      <c r="A294" s="672" t="inlineStr">
        <is>
          <t>E100353</t>
        </is>
      </c>
      <c r="B294" s="767">
        <f>ROW()</f>
        <v/>
      </c>
      <c r="C294" s="182">
        <f>IF(_epmOfflineCondition_,"北京京能房产租赁经营有限责任公司",EPMMemberDesc(A294))</f>
        <v/>
      </c>
      <c r="D294" s="182" t="inlineStr">
        <is>
          <t>I_EC10033073</t>
        </is>
      </c>
      <c r="E294" s="182">
        <f>IF(_epmOfflineCondition_,"北京金伦股份有限公司",EPMMemberDesc(D294))</f>
        <v/>
      </c>
      <c r="F294" s="716" t="n"/>
      <c r="G294" s="716" t="n"/>
      <c r="H294" s="462" t="n"/>
    </row>
    <row r="295">
      <c r="A295" s="672" t="inlineStr">
        <is>
          <t>E100353</t>
        </is>
      </c>
      <c r="B295" s="767">
        <f>ROW()</f>
        <v/>
      </c>
      <c r="C295" s="182">
        <f>IF(_epmOfflineCondition_,"北京京能房产租赁经营有限责任公司",EPMMemberDesc(A295))</f>
        <v/>
      </c>
      <c r="D295" s="182" t="inlineStr">
        <is>
          <t>I_EC10029000</t>
        </is>
      </c>
      <c r="E295" s="182">
        <f>IF(_epmOfflineCondition_,"杭州梅苑股份有限公司",EPMMemberDesc(D295))</f>
        <v/>
      </c>
      <c r="F295" s="716" t="n"/>
      <c r="G295" s="716" t="n"/>
      <c r="H295" s="462" t="n"/>
    </row>
    <row r="296">
      <c r="A296" s="672" t="inlineStr">
        <is>
          <t>E100353G</t>
        </is>
      </c>
      <c r="B296" s="767">
        <f>ROW()</f>
        <v/>
      </c>
      <c r="C296" s="182">
        <f>IF(_epmOfflineCondition_,"北京京能房产租赁经营有限责任公司（合并）",EPMMemberDesc(A296))</f>
        <v/>
      </c>
      <c r="D296" s="182" t="inlineStr">
        <is>
          <t>I_EC10029000</t>
        </is>
      </c>
      <c r="E296" s="182">
        <f>IF(_epmOfflineCondition_,"杭州梅苑股份有限公司",EPMMemberDesc(D296))</f>
        <v/>
      </c>
      <c r="F296" s="716" t="n"/>
      <c r="G296" s="716" t="n"/>
      <c r="H296" s="462" t="n"/>
    </row>
    <row r="297">
      <c r="A297" s="672" t="inlineStr">
        <is>
          <t>E100353G</t>
        </is>
      </c>
      <c r="B297" s="767">
        <f>ROW()</f>
        <v/>
      </c>
      <c r="C297" s="182">
        <f>IF(_epmOfflineCondition_,"北京京能房产租赁经营有限责任公司（合并）",EPMMemberDesc(A297))</f>
        <v/>
      </c>
      <c r="D297" s="182" t="inlineStr">
        <is>
          <t>I_EC10033073</t>
        </is>
      </c>
      <c r="E297" s="182">
        <f>IF(_epmOfflineCondition_,"北京金伦股份有限公司",EPMMemberDesc(D297))</f>
        <v/>
      </c>
      <c r="F297" s="716" t="n"/>
      <c r="G297" s="716" t="n"/>
      <c r="H297" s="462" t="n"/>
    </row>
    <row r="298">
      <c r="A298" s="672" t="inlineStr">
        <is>
          <t>E100353G</t>
        </is>
      </c>
      <c r="B298" s="767">
        <f>ROW()</f>
        <v/>
      </c>
      <c r="C298" s="182">
        <f>IF(_epmOfflineCondition_,"北京京能房产租赁经营有限责任公司（合并）",EPMMemberDesc(A298))</f>
        <v/>
      </c>
      <c r="D298" s="182" t="inlineStr">
        <is>
          <t>I_EC10000149</t>
        </is>
      </c>
      <c r="E298" s="182">
        <f>IF(_epmOfflineCondition_,"北京银行股份有限公司",EPMMemberDesc(D298))</f>
        <v/>
      </c>
      <c r="F298" s="716" t="n"/>
      <c r="G298" s="716" t="n"/>
      <c r="H298" s="462" t="n"/>
    </row>
    <row r="299">
      <c r="A299" s="672" t="inlineStr">
        <is>
          <t>E100353G</t>
        </is>
      </c>
      <c r="B299" s="767">
        <f>ROW()</f>
        <v/>
      </c>
      <c r="C299" s="182">
        <f>IF(_epmOfflineCondition_,"北京京能房产租赁经营有限责任公司（合并）",EPMMemberDesc(A299))</f>
        <v/>
      </c>
      <c r="D299" s="182" t="inlineStr">
        <is>
          <t>I_EC10058377</t>
        </is>
      </c>
      <c r="E299" s="182">
        <f>IF(_epmOfflineCondition_,"北京西西友谊商城有限公司",EPMMemberDesc(D299))</f>
        <v/>
      </c>
      <c r="F299" s="716" t="n"/>
      <c r="G299" s="716" t="n"/>
      <c r="H299" s="462" t="n"/>
    </row>
    <row r="300">
      <c r="A300" s="672" t="inlineStr">
        <is>
          <t>E100353H</t>
        </is>
      </c>
      <c r="B300" s="767">
        <f>ROW()</f>
        <v/>
      </c>
      <c r="C300" s="182">
        <f>IF(_epmOfflineCondition_,"北京京能房产租赁经营有限责任公司（母公司）",EPMMemberDesc(A300))</f>
        <v/>
      </c>
      <c r="D300" s="182" t="inlineStr">
        <is>
          <t>I_EC10029000</t>
        </is>
      </c>
      <c r="E300" s="182">
        <f>IF(_epmOfflineCondition_,"杭州梅苑股份有限公司",EPMMemberDesc(D300))</f>
        <v/>
      </c>
      <c r="F300" s="716" t="n"/>
      <c r="G300" s="716" t="n"/>
      <c r="H300" s="462" t="n"/>
    </row>
    <row r="301">
      <c r="A301" s="672" t="inlineStr">
        <is>
          <t>E100353H</t>
        </is>
      </c>
      <c r="B301" s="767">
        <f>ROW()</f>
        <v/>
      </c>
      <c r="C301" s="182">
        <f>IF(_epmOfflineCondition_,"北京京能房产租赁经营有限责任公司（母公司）",EPMMemberDesc(A301))</f>
        <v/>
      </c>
      <c r="D301" s="182" t="inlineStr">
        <is>
          <t>I_EC10033073</t>
        </is>
      </c>
      <c r="E301" s="182">
        <f>IF(_epmOfflineCondition_,"北京金伦股份有限公司",EPMMemberDesc(D301))</f>
        <v/>
      </c>
      <c r="F301" s="716" t="n"/>
      <c r="G301" s="716" t="n"/>
      <c r="H301" s="462" t="n"/>
    </row>
    <row r="302">
      <c r="A302" s="672" t="inlineStr">
        <is>
          <t>E100353T</t>
        </is>
      </c>
      <c r="B302" s="767">
        <f>ROW()</f>
        <v/>
      </c>
      <c r="C302" s="182">
        <f>IF(_epmOfflineCondition_,"北京京能房产租赁经营有限责任公司（合并）本部",EPMMemberDesc(A302))</f>
        <v/>
      </c>
      <c r="D302" s="182" t="inlineStr">
        <is>
          <t>I_EC10029000</t>
        </is>
      </c>
      <c r="E302" s="182">
        <f>IF(_epmOfflineCondition_,"杭州梅苑股份有限公司",EPMMemberDesc(D302))</f>
        <v/>
      </c>
      <c r="F302" s="716" t="n"/>
      <c r="G302" s="716" t="n"/>
      <c r="H302" s="462" t="n"/>
    </row>
    <row r="303">
      <c r="A303" s="672" t="inlineStr">
        <is>
          <t>E100353T</t>
        </is>
      </c>
      <c r="B303" s="767">
        <f>ROW()</f>
        <v/>
      </c>
      <c r="C303" s="182">
        <f>IF(_epmOfflineCondition_,"北京京能房产租赁经营有限责任公司（合并）本部",EPMMemberDesc(A303))</f>
        <v/>
      </c>
      <c r="D303" s="182" t="inlineStr">
        <is>
          <t>I_EC10033073</t>
        </is>
      </c>
      <c r="E303" s="182">
        <f>IF(_epmOfflineCondition_,"北京金伦股份有限公司",EPMMemberDesc(D303))</f>
        <v/>
      </c>
      <c r="F303" s="716" t="n"/>
      <c r="G303" s="716" t="n"/>
      <c r="H303" s="462" t="n"/>
    </row>
    <row r="304">
      <c r="A304" s="672" t="inlineStr">
        <is>
          <t>E100371</t>
        </is>
      </c>
      <c r="B304" s="767">
        <f>ROW()</f>
        <v/>
      </c>
      <c r="C304" s="182">
        <f>IF(_epmOfflineCondition_,"北京京能科技有限公司",EPMMemberDesc(A304))</f>
        <v/>
      </c>
      <c r="D304" s="182" t="inlineStr">
        <is>
          <t>I_ES20040457</t>
        </is>
      </c>
      <c r="E304" s="182">
        <f>IF(_epmOfflineCondition_,"北京世环洁天能源技术开发有限责任公司",EPMMemberDesc(D304))</f>
        <v/>
      </c>
      <c r="F304" s="716" t="n"/>
      <c r="G304" s="716" t="n"/>
      <c r="H304" s="462" t="n"/>
    </row>
    <row r="305">
      <c r="A305" s="672" t="inlineStr">
        <is>
          <t>E100371G</t>
        </is>
      </c>
      <c r="B305" s="767">
        <f>ROW()</f>
        <v/>
      </c>
      <c r="C305" s="182">
        <f>IF(_epmOfflineCondition_,"北京京能科技有限公司（合并）",EPMMemberDesc(A305))</f>
        <v/>
      </c>
      <c r="D305" s="182" t="inlineStr">
        <is>
          <t>I_ES20000425</t>
        </is>
      </c>
      <c r="E305" s="182">
        <f>IF(_epmOfflineCondition_,"江苏峰业环境科技集团股份有限公司",EPMMemberDesc(D305))</f>
        <v/>
      </c>
      <c r="F305" s="716" t="n"/>
      <c r="G305" s="716" t="n"/>
      <c r="H305" s="462" t="n"/>
    </row>
    <row r="306">
      <c r="A306" s="672" t="inlineStr">
        <is>
          <t>E100371G</t>
        </is>
      </c>
      <c r="B306" s="767">
        <f>ROW()</f>
        <v/>
      </c>
      <c r="C306" s="182">
        <f>IF(_epmOfflineCondition_,"北京京能科技有限公司（合并）",EPMMemberDesc(A306))</f>
        <v/>
      </c>
      <c r="D306" s="182" t="inlineStr">
        <is>
          <t>I_ES20036412</t>
        </is>
      </c>
      <c r="E306" s="182">
        <f>IF(_epmOfflineCondition_,"北京中油华富石油化工有限责任公司",EPMMemberDesc(D306))</f>
        <v/>
      </c>
      <c r="F306" s="716" t="n"/>
      <c r="G306" s="716" t="n"/>
      <c r="H306" s="462" t="n"/>
    </row>
    <row r="307">
      <c r="A307" s="672" t="inlineStr">
        <is>
          <t>E100371G</t>
        </is>
      </c>
      <c r="B307" s="767">
        <f>ROW()</f>
        <v/>
      </c>
      <c r="C307" s="182">
        <f>IF(_epmOfflineCondition_,"北京京能科技有限公司（合并）",EPMMemberDesc(A307))</f>
        <v/>
      </c>
      <c r="D307" s="182" t="inlineStr">
        <is>
          <t>I_ES20040457</t>
        </is>
      </c>
      <c r="E307" s="182">
        <f>IF(_epmOfflineCondition_,"北京世环洁天能源技术开发有限责任公司",EPMMemberDesc(D307))</f>
        <v/>
      </c>
      <c r="F307" s="716" t="n"/>
      <c r="G307" s="716" t="n"/>
      <c r="H307" s="462" t="n"/>
    </row>
    <row r="308">
      <c r="A308" s="672" t="inlineStr">
        <is>
          <t>E100371G</t>
        </is>
      </c>
      <c r="B308" s="767">
        <f>ROW()</f>
        <v/>
      </c>
      <c r="C308" s="182">
        <f>IF(_epmOfflineCondition_,"北京京能科技有限公司（合并）",EPMMemberDesc(A308))</f>
        <v/>
      </c>
      <c r="D308" s="182" t="inlineStr">
        <is>
          <t>I_ES90001214</t>
        </is>
      </c>
      <c r="E308" s="182">
        <f>IF(_epmOfflineCondition_,"【停用】北京天下一品美食烤肉有限公司",EPMMemberDesc(D308))</f>
        <v/>
      </c>
      <c r="F308" s="716" t="n"/>
      <c r="G308" s="716" t="n"/>
      <c r="H308" s="462" t="n"/>
    </row>
    <row r="309">
      <c r="A309" s="672" t="inlineStr">
        <is>
          <t>E100371G</t>
        </is>
      </c>
      <c r="B309" s="767">
        <f>ROW()</f>
        <v/>
      </c>
      <c r="C309" s="182">
        <f>IF(_epmOfflineCondition_,"北京京能科技有限公司（合并）",EPMMemberDesc(A309))</f>
        <v/>
      </c>
      <c r="D309" s="182" t="inlineStr">
        <is>
          <t>I_ES20037727</t>
        </is>
      </c>
      <c r="E309" s="182">
        <f>IF(_epmOfflineCondition_,"深圳麦士威科技有限公司",EPMMemberDesc(D309))</f>
        <v/>
      </c>
      <c r="F309" s="716" t="n"/>
      <c r="G309" s="716" t="n"/>
      <c r="H309" s="462" t="n"/>
    </row>
    <row r="310">
      <c r="A310" s="672" t="inlineStr">
        <is>
          <t>E100405</t>
        </is>
      </c>
      <c r="B310" s="767">
        <f>ROW()</f>
        <v/>
      </c>
      <c r="C310" s="182">
        <f>IF(_epmOfflineCondition_,"北京高新技术创业投资有限公司",EPMMemberDesc(A310))</f>
        <v/>
      </c>
      <c r="D310" s="182" t="inlineStr">
        <is>
          <t>I_ES90001214</t>
        </is>
      </c>
      <c r="E310" s="182">
        <f>IF(_epmOfflineCondition_,"【停用】北京天下一品美食烤肉有限公司",EPMMemberDesc(D310))</f>
        <v/>
      </c>
      <c r="F310" s="716" t="n"/>
      <c r="G310" s="716" t="n"/>
      <c r="H310" s="462" t="n"/>
    </row>
    <row r="311">
      <c r="A311" s="672" t="inlineStr">
        <is>
          <t>E100405</t>
        </is>
      </c>
      <c r="B311" s="767">
        <f>ROW()</f>
        <v/>
      </c>
      <c r="C311" s="182">
        <f>IF(_epmOfflineCondition_,"北京高新技术创业投资有限公司",EPMMemberDesc(A311))</f>
        <v/>
      </c>
      <c r="D311" s="182" t="inlineStr">
        <is>
          <t>I_ES20037727</t>
        </is>
      </c>
      <c r="E311" s="182">
        <f>IF(_epmOfflineCondition_,"深圳麦士威科技有限公司",EPMMemberDesc(D311))</f>
        <v/>
      </c>
      <c r="F311" s="716" t="n"/>
      <c r="G311" s="716" t="n"/>
      <c r="H311" s="462" t="n"/>
    </row>
    <row r="312">
      <c r="A312" s="672" t="inlineStr">
        <is>
          <t>E100405</t>
        </is>
      </c>
      <c r="B312" s="767">
        <f>ROW()</f>
        <v/>
      </c>
      <c r="C312" s="182">
        <f>IF(_epmOfflineCondition_,"北京高新技术创业投资有限公司",EPMMemberDesc(A312))</f>
        <v/>
      </c>
      <c r="D312" s="182" t="inlineStr">
        <is>
          <t>I_ES20036412</t>
        </is>
      </c>
      <c r="E312" s="182">
        <f>IF(_epmOfflineCondition_,"北京中油华富石油化工有限责任公司",EPMMemberDesc(D312))</f>
        <v/>
      </c>
      <c r="F312" s="716" t="n"/>
      <c r="G312" s="716" t="n"/>
      <c r="H312" s="462" t="n"/>
    </row>
    <row r="313">
      <c r="A313" s="672" t="inlineStr">
        <is>
          <t>E100405</t>
        </is>
      </c>
      <c r="B313" s="767">
        <f>ROW()</f>
        <v/>
      </c>
      <c r="C313" s="182">
        <f>IF(_epmOfflineCondition_,"北京高新技术创业投资有限公司",EPMMemberDesc(A313))</f>
        <v/>
      </c>
      <c r="D313" s="182" t="inlineStr">
        <is>
          <t>I_ES20000425</t>
        </is>
      </c>
      <c r="E313" s="182">
        <f>IF(_epmOfflineCondition_,"江苏峰业环境科技集团股份有限公司",EPMMemberDesc(D313))</f>
        <v/>
      </c>
      <c r="F313" s="716" t="n"/>
      <c r="G313" s="716" t="n"/>
      <c r="H313" s="462" t="n"/>
    </row>
    <row r="314">
      <c r="A314" s="672" t="inlineStr">
        <is>
          <t>E100405G</t>
        </is>
      </c>
      <c r="B314" s="767">
        <f>ROW()</f>
        <v/>
      </c>
      <c r="C314" s="182">
        <f>IF(_epmOfflineCondition_,"北京高新技术创业投资有限公司（合并）",EPMMemberDesc(A314))</f>
        <v/>
      </c>
      <c r="D314" s="182" t="inlineStr">
        <is>
          <t>I_ES90001214</t>
        </is>
      </c>
      <c r="E314" s="182">
        <f>IF(_epmOfflineCondition_,"【停用】北京天下一品美食烤肉有限公司",EPMMemberDesc(D314))</f>
        <v/>
      </c>
      <c r="F314" s="716" t="n"/>
      <c r="G314" s="716" t="n"/>
      <c r="H314" s="462" t="n"/>
    </row>
    <row r="315">
      <c r="A315" s="672" t="inlineStr">
        <is>
          <t>E100405G</t>
        </is>
      </c>
      <c r="B315" s="767">
        <f>ROW()</f>
        <v/>
      </c>
      <c r="C315" s="182">
        <f>IF(_epmOfflineCondition_,"北京高新技术创业投资有限公司（合并）",EPMMemberDesc(A315))</f>
        <v/>
      </c>
      <c r="D315" s="182" t="inlineStr">
        <is>
          <t>I_ES20037727</t>
        </is>
      </c>
      <c r="E315" s="182">
        <f>IF(_epmOfflineCondition_,"深圳麦士威科技有限公司",EPMMemberDesc(D315))</f>
        <v/>
      </c>
      <c r="F315" s="716" t="n"/>
      <c r="G315" s="716" t="n"/>
      <c r="H315" s="462" t="n"/>
    </row>
    <row r="316">
      <c r="A316" s="672" t="inlineStr">
        <is>
          <t>E100405G</t>
        </is>
      </c>
      <c r="B316" s="767">
        <f>ROW()</f>
        <v/>
      </c>
      <c r="C316" s="182">
        <f>IF(_epmOfflineCondition_,"北京高新技术创业投资有限公司（合并）",EPMMemberDesc(A316))</f>
        <v/>
      </c>
      <c r="D316" s="182" t="inlineStr">
        <is>
          <t>I_ES20036412</t>
        </is>
      </c>
      <c r="E316" s="182">
        <f>IF(_epmOfflineCondition_,"北京中油华富石油化工有限责任公司",EPMMemberDesc(D316))</f>
        <v/>
      </c>
      <c r="F316" s="716" t="n"/>
      <c r="G316" s="716" t="n"/>
      <c r="H316" s="462" t="n"/>
    </row>
    <row r="317">
      <c r="A317" s="672" t="inlineStr">
        <is>
          <t>E100405G</t>
        </is>
      </c>
      <c r="B317" s="767">
        <f>ROW()</f>
        <v/>
      </c>
      <c r="C317" s="182">
        <f>IF(_epmOfflineCondition_,"北京高新技术创业投资有限公司（合并）",EPMMemberDesc(A317))</f>
        <v/>
      </c>
      <c r="D317" s="182" t="inlineStr">
        <is>
          <t>I_ES20000425</t>
        </is>
      </c>
      <c r="E317" s="182">
        <f>IF(_epmOfflineCondition_,"江苏峰业环境科技集团股份有限公司",EPMMemberDesc(D317))</f>
        <v/>
      </c>
      <c r="F317" s="716" t="n"/>
      <c r="G317" s="716" t="n"/>
      <c r="H317" s="462" t="n"/>
    </row>
    <row r="318">
      <c r="A318" s="672" t="inlineStr">
        <is>
          <t>E100420</t>
        </is>
      </c>
      <c r="B318" s="767">
        <f>ROW()</f>
        <v/>
      </c>
      <c r="C318" s="182">
        <f>IF(_epmOfflineCondition_,"京能置业股份有限公司",EPMMemberDesc(A318))</f>
        <v/>
      </c>
      <c r="D318" s="182" t="inlineStr">
        <is>
          <t>I_ECWQ020789</t>
        </is>
      </c>
      <c r="E318" s="182">
        <f>IF(_epmOfflineCondition_,"光大银行-601818",EPMMemberDesc(D318))</f>
        <v/>
      </c>
      <c r="F318" s="716" t="n"/>
      <c r="G318" s="716" t="n"/>
      <c r="H318" s="462" t="n"/>
    </row>
    <row r="319">
      <c r="A319" s="672" t="inlineStr">
        <is>
          <t>E100420</t>
        </is>
      </c>
      <c r="B319" s="767">
        <f>ROW()</f>
        <v/>
      </c>
      <c r="C319" s="182">
        <f>IF(_epmOfflineCondition_,"京能置业股份有限公司",EPMMemberDesc(A319))</f>
        <v/>
      </c>
      <c r="D319" s="182" t="inlineStr">
        <is>
          <t>I_ECWQ020689</t>
        </is>
      </c>
      <c r="E319" s="182">
        <f>IF(_epmOfflineCondition_,"光大银行",EPMMemberDesc(D319))</f>
        <v/>
      </c>
      <c r="F319" s="716" t="n"/>
      <c r="G319" s="716" t="n"/>
      <c r="H319" s="462" t="n"/>
    </row>
    <row r="320">
      <c r="A320" s="672" t="inlineStr">
        <is>
          <t>E100420G</t>
        </is>
      </c>
      <c r="B320" s="767">
        <f>ROW()</f>
        <v/>
      </c>
      <c r="C320" s="182">
        <f>IF(_epmOfflineCondition_,"京能置业股份有限公司（合并）",EPMMemberDesc(A320))</f>
        <v/>
      </c>
      <c r="D320" s="182" t="inlineStr">
        <is>
          <t>I_ECWQ020689</t>
        </is>
      </c>
      <c r="E320" s="182">
        <f>IF(_epmOfflineCondition_,"光大银行",EPMMemberDesc(D320))</f>
        <v/>
      </c>
      <c r="F320" s="716" t="n"/>
      <c r="G320" s="716" t="n"/>
      <c r="H320" s="462" t="n"/>
    </row>
    <row r="321">
      <c r="A321" s="672" t="inlineStr">
        <is>
          <t>E100420G</t>
        </is>
      </c>
      <c r="B321" s="767">
        <f>ROW()</f>
        <v/>
      </c>
      <c r="C321" s="182">
        <f>IF(_epmOfflineCondition_,"京能置业股份有限公司（合并）",EPMMemberDesc(A321))</f>
        <v/>
      </c>
      <c r="D321" s="182" t="inlineStr">
        <is>
          <t>I_ECWQ020789</t>
        </is>
      </c>
      <c r="E321" s="182">
        <f>IF(_epmOfflineCondition_,"光大银行-601818",EPMMemberDesc(D321))</f>
        <v/>
      </c>
      <c r="F321" s="716" t="n"/>
      <c r="G321" s="716" t="n"/>
      <c r="H321" s="462" t="n"/>
    </row>
    <row r="322">
      <c r="A322" s="672" t="inlineStr">
        <is>
          <t>E100484</t>
        </is>
      </c>
      <c r="B322" s="767">
        <f>ROW()</f>
        <v/>
      </c>
      <c r="C322" s="182">
        <f>IF(_epmOfflineCondition_,"北京京能同鑫投资管理有限公司",EPMMemberDesc(A322))</f>
        <v/>
      </c>
      <c r="D322" s="182" t="inlineStr">
        <is>
          <t>I_ES_TEPM_001</t>
        </is>
      </c>
      <c r="E322" s="182">
        <f>IF(_epmOfflineCondition_,"能源科技基金",EPMMemberDesc(D322))</f>
        <v/>
      </c>
      <c r="F322" s="716" t="n"/>
      <c r="G322" s="716" t="n"/>
      <c r="H322" s="462" t="n"/>
    </row>
    <row r="323">
      <c r="A323" s="672" t="inlineStr">
        <is>
          <t>E100559</t>
        </is>
      </c>
      <c r="B323" s="767">
        <f>ROW()</f>
        <v/>
      </c>
      <c r="C323" s="182">
        <f>IF(_epmOfflineCondition_,"北京能源投资集团（香港）有限公司",EPMMemberDesc(A323))</f>
        <v/>
      </c>
      <c r="D323" s="182" t="inlineStr">
        <is>
          <t>I_ES20044559</t>
        </is>
      </c>
      <c r="E323" s="182">
        <f>IF(_epmOfflineCondition_,"中国能源建设股份有限公司",EPMMemberDesc(D323))</f>
        <v/>
      </c>
      <c r="F323" s="716" t="n"/>
      <c r="G323" s="716" t="n"/>
      <c r="H323" s="462" t="n"/>
    </row>
    <row r="324">
      <c r="A324" s="672" t="inlineStr">
        <is>
          <t>E100559</t>
        </is>
      </c>
      <c r="B324" s="767">
        <f>ROW()</f>
        <v/>
      </c>
      <c r="C324" s="182">
        <f>IF(_epmOfflineCondition_,"北京能源投资集团（香港）有限公司",EPMMemberDesc(A324))</f>
        <v/>
      </c>
      <c r="D324" s="182" t="inlineStr">
        <is>
          <t>I_ES100001</t>
        </is>
      </c>
      <c r="E324" s="182">
        <f>IF(_epmOfflineCondition_,"北京京能清洁能源电力股份有限公司",EPMMemberDesc(D324))</f>
        <v/>
      </c>
      <c r="F324" s="716" t="n"/>
      <c r="G324" s="716" t="n"/>
      <c r="H324" s="462" t="n"/>
    </row>
    <row r="325">
      <c r="A325" s="672" t="inlineStr">
        <is>
          <t>E100559G</t>
        </is>
      </c>
      <c r="B325" s="767">
        <f>ROW()</f>
        <v/>
      </c>
      <c r="C325" s="182">
        <f>IF(_epmOfflineCondition_,"北京能源投资集团（香港）有限公司（合并）",EPMMemberDesc(A325))</f>
        <v/>
      </c>
      <c r="D325" s="182" t="inlineStr">
        <is>
          <t>I_ES20044559</t>
        </is>
      </c>
      <c r="E325" s="182">
        <f>IF(_epmOfflineCondition_,"中国能源建设股份有限公司",EPMMemberDesc(D325))</f>
        <v/>
      </c>
      <c r="F325" s="716" t="n"/>
      <c r="G325" s="716" t="n"/>
      <c r="H325" s="462" t="n"/>
    </row>
    <row r="326">
      <c r="A326" s="672" t="inlineStr">
        <is>
          <t>E100858</t>
        </is>
      </c>
      <c r="B326" s="767">
        <f>ROW()</f>
        <v/>
      </c>
      <c r="C326" s="182">
        <f>IF(_epmOfflineCondition_,"北京京能能源科技并购投资基金（有限合伙）",EPMMemberDesc(A326))</f>
        <v/>
      </c>
      <c r="D326" s="182" t="inlineStr">
        <is>
          <t>I_ES_TEPM_002</t>
        </is>
      </c>
      <c r="E326" s="182">
        <f>IF(_epmOfflineCondition_,"上海氢晨",EPMMemberDesc(D326))</f>
        <v/>
      </c>
      <c r="F326" s="716" t="n"/>
      <c r="G326" s="716" t="n"/>
      <c r="H326" s="462" t="n"/>
    </row>
    <row r="327">
      <c r="A327" s="672" t="inlineStr">
        <is>
          <t>E100858</t>
        </is>
      </c>
      <c r="B327" s="767">
        <f>ROW()</f>
        <v/>
      </c>
      <c r="C327" s="182">
        <f>IF(_epmOfflineCondition_,"北京京能能源科技并购投资基金（有限合伙）",EPMMemberDesc(A327))</f>
        <v/>
      </c>
      <c r="D327" s="182" t="inlineStr">
        <is>
          <t>I_ES_TEPM_005</t>
        </is>
      </c>
      <c r="E327" s="182">
        <f>IF(_epmOfflineCondition_,"杭州纤纳",EPMMemberDesc(D327))</f>
        <v/>
      </c>
      <c r="F327" s="716" t="n"/>
      <c r="G327" s="716" t="n"/>
      <c r="H327" s="462" t="n"/>
    </row>
    <row r="328">
      <c r="A328" s="672" t="inlineStr">
        <is>
          <t>E100858</t>
        </is>
      </c>
      <c r="B328" s="767">
        <f>ROW()</f>
        <v/>
      </c>
      <c r="C328" s="182">
        <f>IF(_epmOfflineCondition_,"北京京能能源科技并购投资基金（有限合伙）",EPMMemberDesc(A328))</f>
        <v/>
      </c>
      <c r="D328" s="182" t="inlineStr">
        <is>
          <t>I_ES_TEPM_004</t>
        </is>
      </c>
      <c r="E328" s="182">
        <f>IF(_epmOfflineCondition_,"晨岭基金",EPMMemberDesc(D328))</f>
        <v/>
      </c>
      <c r="F328" s="716" t="n"/>
      <c r="G328" s="716" t="n"/>
      <c r="H328" s="462" t="n"/>
    </row>
    <row r="329">
      <c r="A329" s="672" t="inlineStr">
        <is>
          <t>E100858</t>
        </is>
      </c>
      <c r="B329" s="767">
        <f>ROW()</f>
        <v/>
      </c>
      <c r="C329" s="182">
        <f>IF(_epmOfflineCondition_,"北京京能能源科技并购投资基金（有限合伙）",EPMMemberDesc(A329))</f>
        <v/>
      </c>
      <c r="D329" s="182" t="inlineStr">
        <is>
          <t>I_ES_TEPM_007</t>
        </is>
      </c>
      <c r="E329" s="182">
        <f>IF(_epmOfflineCondition_,"福建金石",EPMMemberDesc(D329))</f>
        <v/>
      </c>
      <c r="F329" s="716" t="n"/>
      <c r="G329" s="716" t="n"/>
      <c r="H329" s="462" t="n"/>
    </row>
    <row r="330">
      <c r="A330" s="672" t="inlineStr">
        <is>
          <t>E100858</t>
        </is>
      </c>
      <c r="B330" s="767">
        <f>ROW()</f>
        <v/>
      </c>
      <c r="C330" s="182">
        <f>IF(_epmOfflineCondition_,"北京京能能源科技并购投资基金（有限合伙）",EPMMemberDesc(A330))</f>
        <v/>
      </c>
      <c r="D330" s="182" t="inlineStr">
        <is>
          <t>I_ES_TEPM_006</t>
        </is>
      </c>
      <c r="E330" s="182">
        <f>IF(_epmOfflineCondition_,"杭州龙焱",EPMMemberDesc(D330))</f>
        <v/>
      </c>
      <c r="F330" s="716" t="n"/>
      <c r="G330" s="716" t="n"/>
      <c r="H330" s="462" t="n"/>
    </row>
    <row r="331">
      <c r="A331" s="672" t="inlineStr">
        <is>
          <t>E100216</t>
        </is>
      </c>
      <c r="B331" s="767">
        <f>ROW()</f>
        <v/>
      </c>
      <c r="C331" s="182" t="inlineStr">
        <is>
          <t>昊华能源国际（香港）有限公司</t>
        </is>
      </c>
      <c r="D331" s="182" t="inlineStr">
        <is>
          <t>I_ECWQ020787</t>
        </is>
      </c>
      <c r="E331" s="182" t="inlineStr">
        <is>
          <t>MC Mining Limited</t>
        </is>
      </c>
      <c r="F331" s="716" t="n"/>
      <c r="G331" s="716" t="n"/>
      <c r="H331" s="462" t="n"/>
    </row>
    <row r="332">
      <c r="A332" s="672" t="n"/>
      <c r="B332" s="767">
        <f>ROW()</f>
        <v/>
      </c>
      <c r="C332" s="182" t="n"/>
      <c r="D332" s="182" t="n"/>
      <c r="E332" s="182" t="n"/>
      <c r="F332" s="716" t="n"/>
      <c r="G332" s="716" t="n"/>
      <c r="H332" s="462" t="n"/>
    </row>
    <row r="333">
      <c r="A333" s="672" t="n"/>
      <c r="B333" s="767">
        <f>ROW()</f>
        <v/>
      </c>
      <c r="C333" s="182" t="n"/>
      <c r="D333" s="182" t="n"/>
      <c r="E333" s="182" t="n"/>
      <c r="F333" s="716" t="n"/>
      <c r="G333" s="716" t="n"/>
      <c r="H333" s="462" t="n"/>
    </row>
    <row r="334">
      <c r="A334" s="672" t="n"/>
      <c r="B334" s="767">
        <f>ROW()</f>
        <v/>
      </c>
      <c r="C334" s="182" t="n"/>
      <c r="D334" s="182" t="n"/>
      <c r="E334" s="182" t="n"/>
      <c r="F334" s="716" t="n"/>
      <c r="G334" s="716" t="n"/>
      <c r="H334" s="462" t="n"/>
    </row>
    <row r="335">
      <c r="A335" s="672" t="n"/>
      <c r="B335" s="767">
        <f>ROW()</f>
        <v/>
      </c>
      <c r="C335" s="182" t="n"/>
      <c r="D335" s="182" t="n"/>
      <c r="E335" s="182" t="n"/>
      <c r="F335" s="716" t="n"/>
      <c r="G335" s="716" t="n"/>
      <c r="H335" s="462" t="n"/>
    </row>
    <row r="336">
      <c r="A336" s="672" t="n"/>
      <c r="B336" s="767">
        <f>ROW()</f>
        <v/>
      </c>
      <c r="C336" s="182" t="n"/>
      <c r="D336" s="182" t="n"/>
      <c r="E336" s="182" t="n"/>
      <c r="F336" s="716" t="n"/>
      <c r="G336" s="716" t="n"/>
      <c r="H336" s="462" t="n"/>
    </row>
    <row r="337">
      <c r="A337" s="672" t="n"/>
      <c r="B337" s="767">
        <f>ROW()</f>
        <v/>
      </c>
      <c r="C337" s="182" t="n"/>
      <c r="D337" s="182" t="n"/>
      <c r="E337" s="182" t="n"/>
      <c r="F337" s="716" t="n"/>
      <c r="G337" s="716" t="n"/>
      <c r="H337" s="462" t="n"/>
    </row>
    <row r="338">
      <c r="A338" s="672" t="n"/>
      <c r="B338" s="767">
        <f>ROW()</f>
        <v/>
      </c>
      <c r="C338" s="182" t="n"/>
      <c r="D338" s="182" t="n"/>
      <c r="E338" s="182" t="n"/>
      <c r="F338" s="716" t="n"/>
      <c r="G338" s="716" t="n"/>
      <c r="H338" s="462" t="n"/>
    </row>
    <row r="339">
      <c r="A339" s="672" t="n"/>
      <c r="B339" s="767">
        <f>ROW()</f>
        <v/>
      </c>
      <c r="C339" s="182" t="n"/>
      <c r="D339" s="182" t="n"/>
      <c r="E339" s="182" t="n"/>
      <c r="F339" s="716" t="n"/>
      <c r="G339" s="716" t="n"/>
      <c r="H339" s="462" t="n"/>
    </row>
    <row r="340">
      <c r="A340" s="672" t="n"/>
      <c r="B340" s="767">
        <f>ROW()</f>
        <v/>
      </c>
      <c r="C340" s="182" t="n"/>
      <c r="D340" s="182" t="n"/>
      <c r="E340" s="182" t="n"/>
      <c r="F340" s="716" t="n"/>
      <c r="G340" s="716" t="n"/>
      <c r="H340" s="462" t="n"/>
    </row>
    <row r="341">
      <c r="A341" s="672" t="n"/>
      <c r="B341" s="767">
        <f>ROW()</f>
        <v/>
      </c>
      <c r="C341" s="182" t="n"/>
      <c r="D341" s="182" t="n"/>
      <c r="E341" s="182" t="n"/>
      <c r="F341" s="716" t="n"/>
      <c r="G341" s="716" t="n"/>
      <c r="H341" s="462" t="n"/>
    </row>
    <row r="342">
      <c r="A342" s="672" t="n"/>
      <c r="B342" s="767">
        <f>ROW()</f>
        <v/>
      </c>
      <c r="C342" s="182" t="n"/>
      <c r="D342" s="182" t="n"/>
      <c r="E342" s="182" t="n"/>
      <c r="F342" s="716" t="n"/>
      <c r="G342" s="716" t="n"/>
      <c r="H342" s="462" t="n"/>
    </row>
    <row r="343">
      <c r="A343" s="672" t="n"/>
      <c r="B343" s="767">
        <f>ROW()</f>
        <v/>
      </c>
      <c r="C343" s="182" t="n"/>
      <c r="D343" s="182" t="n"/>
      <c r="E343" s="182" t="n"/>
      <c r="F343" s="716" t="n"/>
      <c r="G343" s="716" t="n"/>
      <c r="H343" s="462" t="n"/>
    </row>
    <row r="344">
      <c r="A344" s="672" t="n"/>
      <c r="B344" s="767">
        <f>ROW()</f>
        <v/>
      </c>
      <c r="C344" s="182" t="n"/>
      <c r="D344" s="182" t="n"/>
      <c r="E344" s="182" t="n"/>
      <c r="F344" s="716" t="n"/>
      <c r="G344" s="716" t="n"/>
      <c r="H344" s="462" t="n"/>
    </row>
    <row r="345">
      <c r="A345" s="672" t="n"/>
      <c r="B345" s="767">
        <f>ROW()</f>
        <v/>
      </c>
      <c r="C345" s="182" t="n"/>
      <c r="D345" s="182" t="n"/>
      <c r="E345" s="182" t="n"/>
      <c r="F345" s="716" t="n"/>
      <c r="G345" s="716" t="n"/>
      <c r="H345" s="462" t="n"/>
    </row>
    <row r="346">
      <c r="A346" s="672" t="n"/>
      <c r="B346" s="767">
        <f>ROW()</f>
        <v/>
      </c>
      <c r="C346" s="182" t="n"/>
      <c r="D346" s="182" t="n"/>
      <c r="E346" s="182" t="n"/>
      <c r="F346" s="716" t="n"/>
      <c r="G346" s="716" t="n"/>
      <c r="H346" s="462" t="n"/>
    </row>
    <row r="347">
      <c r="A347" s="672" t="n"/>
      <c r="B347" s="767">
        <f>ROW()</f>
        <v/>
      </c>
      <c r="C347" s="182" t="n"/>
      <c r="D347" s="182" t="n"/>
      <c r="E347" s="182" t="n"/>
      <c r="F347" s="716" t="n"/>
      <c r="G347" s="716" t="n"/>
      <c r="H347" s="462" t="n"/>
    </row>
    <row r="348">
      <c r="A348" s="672" t="n"/>
      <c r="B348" s="767">
        <f>ROW()</f>
        <v/>
      </c>
      <c r="C348" s="182" t="n"/>
      <c r="D348" s="182" t="n"/>
      <c r="E348" s="182" t="n"/>
      <c r="F348" s="716" t="n"/>
      <c r="G348" s="716" t="n"/>
      <c r="H348" s="462" t="n"/>
    </row>
    <row r="349">
      <c r="A349" s="672" t="n"/>
      <c r="B349" s="767">
        <f>ROW()</f>
        <v/>
      </c>
      <c r="C349" s="182" t="n"/>
      <c r="D349" s="182" t="n"/>
      <c r="E349" s="182" t="n"/>
      <c r="F349" s="716" t="n"/>
      <c r="G349" s="716" t="n"/>
      <c r="H349" s="462" t="n"/>
    </row>
    <row r="350">
      <c r="A350" s="672" t="n"/>
      <c r="B350" s="767">
        <f>ROW()</f>
        <v/>
      </c>
      <c r="C350" s="182" t="n"/>
      <c r="D350" s="182" t="n"/>
      <c r="E350" s="182" t="n"/>
      <c r="F350" s="716" t="n"/>
      <c r="G350" s="716" t="n"/>
      <c r="H350" s="462" t="n"/>
    </row>
    <row r="351">
      <c r="A351" s="672" t="n"/>
      <c r="B351" s="767">
        <f>ROW()</f>
        <v/>
      </c>
      <c r="C351" s="182" t="n"/>
      <c r="D351" s="182" t="n"/>
      <c r="E351" s="182" t="n"/>
      <c r="F351" s="716" t="n"/>
      <c r="G351" s="716" t="n"/>
      <c r="H351" s="462" t="n"/>
    </row>
    <row r="352">
      <c r="A352" s="672" t="n"/>
      <c r="B352" s="767">
        <f>ROW()</f>
        <v/>
      </c>
      <c r="C352" s="182" t="n"/>
      <c r="D352" s="182" t="n"/>
      <c r="E352" s="182" t="n"/>
      <c r="F352" s="716" t="n"/>
      <c r="G352" s="716" t="n"/>
      <c r="H352" s="462" t="n"/>
    </row>
    <row r="353">
      <c r="A353" s="672" t="n"/>
      <c r="B353" s="767">
        <f>ROW()</f>
        <v/>
      </c>
      <c r="C353" s="182" t="n"/>
      <c r="D353" s="182" t="n"/>
      <c r="E353" s="182" t="n"/>
      <c r="F353" s="716" t="n"/>
      <c r="G353" s="716" t="n"/>
      <c r="H353" s="462" t="n"/>
    </row>
    <row r="354">
      <c r="A354" s="672" t="n"/>
      <c r="B354" s="767">
        <f>ROW()</f>
        <v/>
      </c>
      <c r="C354" s="182" t="n"/>
      <c r="D354" s="182" t="n"/>
      <c r="E354" s="182" t="n"/>
      <c r="F354" s="716" t="n"/>
      <c r="G354" s="716" t="n"/>
      <c r="H354" s="462" t="n"/>
    </row>
    <row r="355">
      <c r="A355" s="672" t="n"/>
      <c r="B355" s="767">
        <f>ROW()</f>
        <v/>
      </c>
      <c r="C355" s="182" t="n"/>
      <c r="D355" s="182" t="n"/>
      <c r="E355" s="182" t="n"/>
      <c r="F355" s="716" t="n"/>
      <c r="G355" s="716" t="n"/>
      <c r="H355" s="462" t="n"/>
    </row>
    <row r="356">
      <c r="A356" s="672" t="n"/>
      <c r="B356" s="767">
        <f>ROW()</f>
        <v/>
      </c>
      <c r="C356" s="182" t="n"/>
      <c r="D356" s="182" t="n"/>
      <c r="E356" s="182" t="n"/>
      <c r="F356" s="716" t="n"/>
      <c r="G356" s="716" t="n"/>
      <c r="H356" s="462" t="n"/>
    </row>
    <row r="357">
      <c r="A357" s="672" t="n"/>
      <c r="B357" s="767">
        <f>ROW()</f>
        <v/>
      </c>
      <c r="C357" s="182" t="n"/>
      <c r="D357" s="182" t="n"/>
      <c r="E357" s="182" t="n"/>
      <c r="F357" s="716" t="n"/>
      <c r="G357" s="716" t="n"/>
      <c r="H357" s="462" t="n"/>
    </row>
    <row r="358">
      <c r="A358" s="672" t="n"/>
      <c r="B358" s="767">
        <f>ROW()</f>
        <v/>
      </c>
      <c r="C358" s="182" t="n"/>
      <c r="D358" s="182" t="n"/>
      <c r="E358" s="182" t="n"/>
      <c r="F358" s="716" t="n"/>
      <c r="G358" s="716" t="n"/>
      <c r="H358" s="462" t="n"/>
    </row>
    <row r="359">
      <c r="A359" s="672" t="n"/>
      <c r="B359" s="767">
        <f>ROW()</f>
        <v/>
      </c>
      <c r="C359" s="182" t="n"/>
      <c r="D359" s="182" t="n"/>
      <c r="E359" s="182" t="n"/>
      <c r="F359" s="716" t="n"/>
      <c r="G359" s="716" t="n"/>
      <c r="H359" s="462" t="n"/>
    </row>
    <row r="360">
      <c r="A360" s="672" t="n"/>
      <c r="B360" s="767">
        <f>ROW()</f>
        <v/>
      </c>
      <c r="C360" s="182" t="n"/>
      <c r="D360" s="182" t="n"/>
      <c r="E360" s="182" t="n"/>
      <c r="F360" s="716" t="n"/>
      <c r="G360" s="716" t="n"/>
      <c r="H360" s="462" t="n"/>
    </row>
    <row r="361">
      <c r="A361" s="672" t="n"/>
      <c r="B361" s="767">
        <f>ROW()</f>
        <v/>
      </c>
      <c r="C361" s="182" t="n"/>
      <c r="D361" s="182" t="n"/>
      <c r="E361" s="182" t="n"/>
      <c r="F361" s="716" t="n"/>
      <c r="G361" s="716" t="n"/>
      <c r="H361" s="462" t="n"/>
    </row>
    <row r="362">
      <c r="A362" s="672" t="n"/>
      <c r="B362" s="767">
        <f>ROW()</f>
        <v/>
      </c>
      <c r="C362" s="182" t="n"/>
      <c r="D362" s="182" t="n"/>
      <c r="E362" s="182" t="n"/>
      <c r="F362" s="716" t="n"/>
      <c r="G362" s="716" t="n"/>
      <c r="H362" s="462" t="n"/>
    </row>
    <row r="363">
      <c r="A363" s="672" t="n"/>
      <c r="B363" s="767">
        <f>ROW()</f>
        <v/>
      </c>
      <c r="C363" s="182" t="n"/>
      <c r="D363" s="182" t="n"/>
      <c r="E363" s="182" t="n"/>
      <c r="F363" s="716" t="n"/>
      <c r="G363" s="716" t="n"/>
      <c r="H363" s="462" t="n"/>
    </row>
    <row r="364">
      <c r="A364" s="672" t="n"/>
      <c r="B364" s="767">
        <f>ROW()</f>
        <v/>
      </c>
      <c r="C364" s="182" t="n"/>
      <c r="D364" s="182" t="n"/>
      <c r="E364" s="182" t="n"/>
      <c r="F364" s="716" t="n"/>
      <c r="G364" s="716" t="n"/>
      <c r="H364" s="462" t="n"/>
    </row>
    <row r="365">
      <c r="A365" s="672" t="n"/>
      <c r="B365" s="767">
        <f>ROW()</f>
        <v/>
      </c>
      <c r="C365" s="182" t="n"/>
      <c r="D365" s="182" t="n"/>
      <c r="E365" s="182" t="n"/>
      <c r="F365" s="716" t="n"/>
      <c r="G365" s="716" t="n"/>
      <c r="H365" s="462" t="n"/>
    </row>
    <row r="366">
      <c r="A366" s="672" t="n"/>
      <c r="B366" s="767">
        <f>ROW()</f>
        <v/>
      </c>
      <c r="C366" s="182" t="n"/>
      <c r="D366" s="182" t="n"/>
      <c r="E366" s="182" t="n"/>
      <c r="F366" s="716" t="n"/>
      <c r="G366" s="716" t="n"/>
      <c r="H366" s="462" t="n"/>
    </row>
    <row r="367">
      <c r="A367" s="672" t="n"/>
      <c r="B367" s="767">
        <f>ROW()</f>
        <v/>
      </c>
      <c r="C367" s="182" t="n"/>
      <c r="D367" s="182" t="n"/>
      <c r="E367" s="182" t="n"/>
      <c r="F367" s="716" t="n"/>
      <c r="G367" s="716" t="n"/>
      <c r="H367" s="462" t="n"/>
    </row>
    <row r="368">
      <c r="A368" s="672" t="n"/>
      <c r="B368" s="767">
        <f>ROW()</f>
        <v/>
      </c>
      <c r="C368" s="182" t="n"/>
      <c r="D368" s="182" t="n"/>
      <c r="E368" s="182" t="n"/>
      <c r="F368" s="716" t="n"/>
      <c r="G368" s="716" t="n"/>
      <c r="H368" s="462" t="n"/>
    </row>
    <row r="369">
      <c r="A369" s="672" t="n"/>
      <c r="B369" s="767">
        <f>ROW()</f>
        <v/>
      </c>
      <c r="C369" s="182" t="n"/>
      <c r="D369" s="182" t="n"/>
      <c r="E369" s="182" t="n"/>
      <c r="F369" s="716" t="n"/>
      <c r="G369" s="716" t="n"/>
      <c r="H369" s="462" t="n"/>
    </row>
    <row r="370">
      <c r="A370" s="672" t="n"/>
      <c r="B370" s="767">
        <f>ROW()</f>
        <v/>
      </c>
      <c r="C370" s="182" t="n"/>
      <c r="D370" s="182" t="n"/>
      <c r="E370" s="182" t="n"/>
      <c r="F370" s="716" t="n"/>
      <c r="G370" s="716" t="n"/>
      <c r="H370" s="462" t="n"/>
    </row>
    <row r="371">
      <c r="A371" s="672" t="n"/>
      <c r="B371" s="767">
        <f>ROW()</f>
        <v/>
      </c>
      <c r="C371" s="182" t="n"/>
      <c r="D371" s="182" t="n"/>
      <c r="E371" s="182" t="n"/>
      <c r="F371" s="716" t="n"/>
      <c r="G371" s="716" t="n"/>
      <c r="H371" s="462" t="n"/>
    </row>
    <row r="372">
      <c r="A372" s="672" t="n"/>
      <c r="B372" s="767">
        <f>ROW()</f>
        <v/>
      </c>
      <c r="C372" s="182" t="n"/>
      <c r="D372" s="182" t="n"/>
      <c r="E372" s="182" t="n"/>
      <c r="F372" s="716" t="n"/>
      <c r="G372" s="716" t="n"/>
      <c r="H372" s="462" t="n"/>
    </row>
    <row r="373">
      <c r="A373" s="672" t="n"/>
      <c r="B373" s="767">
        <f>ROW()</f>
        <v/>
      </c>
      <c r="C373" s="182" t="n"/>
      <c r="D373" s="182" t="n"/>
      <c r="E373" s="182" t="n"/>
      <c r="F373" s="716" t="n"/>
      <c r="G373" s="716" t="n"/>
      <c r="H373" s="462" t="n"/>
    </row>
    <row r="374">
      <c r="A374" s="672" t="n"/>
      <c r="B374" s="767">
        <f>ROW()</f>
        <v/>
      </c>
      <c r="C374" s="182" t="n"/>
      <c r="D374" s="182" t="n"/>
      <c r="E374" s="182" t="n"/>
      <c r="F374" s="716" t="n"/>
      <c r="G374" s="716" t="n"/>
      <c r="H374" s="462" t="n"/>
    </row>
    <row r="375">
      <c r="A375" s="672" t="n"/>
      <c r="B375" s="767">
        <f>ROW()</f>
        <v/>
      </c>
      <c r="C375" s="182" t="n"/>
      <c r="D375" s="182" t="n"/>
      <c r="E375" s="182" t="n"/>
      <c r="F375" s="716" t="n"/>
      <c r="G375" s="716" t="n"/>
      <c r="H375" s="462" t="n"/>
    </row>
    <row r="376">
      <c r="A376" s="672" t="n"/>
      <c r="B376" s="767">
        <f>ROW()</f>
        <v/>
      </c>
      <c r="C376" s="182" t="n"/>
      <c r="D376" s="182" t="n"/>
      <c r="E376" s="182" t="n"/>
      <c r="F376" s="716" t="n"/>
      <c r="G376" s="716" t="n"/>
      <c r="H376" s="462" t="n"/>
    </row>
    <row r="377">
      <c r="A377" s="761" t="inlineStr">
        <is>
          <t>债券投资-集团内</t>
        </is>
      </c>
      <c r="B377" s="767">
        <f>ROW()</f>
        <v/>
      </c>
      <c r="C377" s="761" t="n"/>
      <c r="D377" s="27" t="n"/>
      <c r="E377" s="761" t="n"/>
      <c r="F377" s="716" t="n"/>
      <c r="G377" s="716" t="n"/>
      <c r="H377" s="462" t="n"/>
    </row>
    <row r="378">
      <c r="A378" s="672" t="inlineStr">
        <is>
          <t>E100000G</t>
        </is>
      </c>
      <c r="B378" s="767">
        <f>ROW()</f>
        <v/>
      </c>
      <c r="C378" s="182">
        <f>IF(_epmOfflineCondition_,"北京能源集团有限责任公司（合并）",EPMMemberDesc(A378))</f>
        <v/>
      </c>
      <c r="D378" s="672" t="inlineStr">
        <is>
          <t>I_E100107</t>
        </is>
      </c>
      <c r="E378" s="182">
        <f>IF(_epmOfflineCondition_,"深圳京能融资租赁有限公司",EPMMemberDesc(D378))</f>
        <v/>
      </c>
      <c r="F378" s="716" t="n"/>
      <c r="G378" s="716" t="n"/>
      <c r="H378" s="462" t="n"/>
    </row>
    <row r="379">
      <c r="A379" s="672" t="inlineStr">
        <is>
          <t>E100000G</t>
        </is>
      </c>
      <c r="B379" s="767">
        <f>ROW()</f>
        <v/>
      </c>
      <c r="C379" s="182">
        <f>IF(_epmOfflineCondition_,"北京能源集团有限责任公司（合并）",EPMMemberDesc(A379))</f>
        <v/>
      </c>
      <c r="D379" s="770" t="inlineStr">
        <is>
          <t>I_E100001</t>
        </is>
      </c>
      <c r="E379" s="182">
        <f>IF(_epmOfflineCondition_,"北京京能清洁能源电力股份有限公司",EPMMemberDesc(D379))</f>
        <v/>
      </c>
      <c r="F379" s="716" t="n"/>
      <c r="G379" s="716" t="n"/>
      <c r="H379" s="462" t="n"/>
    </row>
    <row r="380">
      <c r="A380" s="672" t="inlineStr">
        <is>
          <t>E100000G</t>
        </is>
      </c>
      <c r="B380" s="767">
        <f>ROW()</f>
        <v/>
      </c>
      <c r="C380" s="182">
        <f>IF(_epmOfflineCondition_,"北京能源集团有限责任公司（合并）",EPMMemberDesc(A380))</f>
        <v/>
      </c>
      <c r="D380" s="672" t="inlineStr">
        <is>
          <t>I_E101043</t>
        </is>
      </c>
      <c r="E380" s="182">
        <f>IF(_epmOfflineCondition_,"熊猫绿色能源集团有限公司",EPMMemberDesc(D380))</f>
        <v/>
      </c>
      <c r="F380" s="716" t="n"/>
      <c r="G380" s="716" t="n"/>
      <c r="H380" s="462" t="n"/>
    </row>
    <row r="381">
      <c r="A381" s="672" t="inlineStr">
        <is>
          <t>E100000G</t>
        </is>
      </c>
      <c r="B381" s="767">
        <f>ROW()</f>
        <v/>
      </c>
      <c r="C381" s="182">
        <f>IF(_epmOfflineCondition_,"北京能源集团有限责任公司（合并）",EPMMemberDesc(A381))</f>
        <v/>
      </c>
      <c r="D381" s="672" t="inlineStr">
        <is>
          <t>I_E100860</t>
        </is>
      </c>
      <c r="E381" s="182">
        <f>IF(_epmOfflineCondition_,"北京京能绿色能源并购投资基金（有限合伙）",EPMMemberDesc(D381))</f>
        <v/>
      </c>
      <c r="F381" s="716" t="n"/>
      <c r="G381" s="716" t="n"/>
      <c r="H381" s="462" t="n"/>
    </row>
    <row r="382">
      <c r="A382" s="672" t="inlineStr">
        <is>
          <t>E100000G</t>
        </is>
      </c>
      <c r="B382" s="767">
        <f>ROW()</f>
        <v/>
      </c>
      <c r="C382" s="182">
        <f>IF(_epmOfflineCondition_,"北京能源集团有限责任公司（合并）",EPMMemberDesc(A382))</f>
        <v/>
      </c>
      <c r="D382" s="182" t="inlineStr">
        <is>
          <t>I_E100770</t>
        </is>
      </c>
      <c r="E382" s="182">
        <f>IF(_epmOfflineCondition_,"金泰壹号（天津）企业管理合伙企业（有限合伙）",EPMMemberDesc(D382))</f>
        <v/>
      </c>
      <c r="F382" s="716" t="n"/>
      <c r="G382" s="716" t="n"/>
      <c r="H382" s="462" t="n"/>
    </row>
    <row r="383">
      <c r="A383" s="672" t="inlineStr">
        <is>
          <t>E100000G</t>
        </is>
      </c>
      <c r="B383" s="767">
        <f>ROW()</f>
        <v/>
      </c>
      <c r="C383" s="182">
        <f>IF(_epmOfflineCondition_,"北京能源集团有限责任公司（合并）",EPMMemberDesc(A383))</f>
        <v/>
      </c>
      <c r="D383" s="182" t="inlineStr">
        <is>
          <t>I_E100858</t>
        </is>
      </c>
      <c r="E383" s="182">
        <f>IF(_epmOfflineCondition_,"北京京能能源科技并购投资基金（有限合伙）",EPMMemberDesc(D383))</f>
        <v/>
      </c>
      <c r="F383" s="716" t="n"/>
      <c r="G383" s="716" t="n"/>
      <c r="H383" s="462" t="n"/>
    </row>
    <row r="384">
      <c r="A384" s="672" t="inlineStr">
        <is>
          <t>E100000G</t>
        </is>
      </c>
      <c r="B384" s="767">
        <f>ROW()</f>
        <v/>
      </c>
      <c r="C384" s="182">
        <f>IF(_epmOfflineCondition_,"北京能源集团有限责任公司（合并）",EPMMemberDesc(A384))</f>
        <v/>
      </c>
      <c r="D384" s="182" t="inlineStr">
        <is>
          <t>I_E100734</t>
        </is>
      </c>
      <c r="E384" s="182">
        <f>IF(_epmOfflineCondition_,"联合光伏（常州）投资集团有限公司",EPMMemberDesc(D384))</f>
        <v/>
      </c>
      <c r="F384" s="716" t="n"/>
      <c r="G384" s="716" t="n"/>
      <c r="H384" s="462" t="n"/>
    </row>
    <row r="385">
      <c r="A385" s="672" t="inlineStr">
        <is>
          <t>E100000G</t>
        </is>
      </c>
      <c r="B385" s="767">
        <f>ROW()</f>
        <v/>
      </c>
      <c r="C385" s="182">
        <f>IF(_epmOfflineCondition_,"北京能源集团有限责任公司（合并）",EPMMemberDesc(A385))</f>
        <v/>
      </c>
      <c r="D385" s="182" t="inlineStr">
        <is>
          <t>I_E100730</t>
        </is>
      </c>
      <c r="E385" s="182">
        <f>IF(_epmOfflineCondition_,"京能国际能源发展（北京）有限公司",EPMMemberDesc(D385))</f>
        <v/>
      </c>
      <c r="F385" s="716" t="n"/>
      <c r="G385" s="716" t="n"/>
      <c r="H385" s="462" t="n"/>
    </row>
    <row r="386">
      <c r="A386" s="672" t="inlineStr">
        <is>
          <t>E100197</t>
        </is>
      </c>
      <c r="B386" s="767">
        <f>ROW()</f>
        <v/>
      </c>
      <c r="C386" s="182">
        <f>IF(_epmOfflineCondition_,"北京国际电气工程有限责任公司",EPMMemberDesc(A386))</f>
        <v/>
      </c>
      <c r="D386" s="182" t="inlineStr">
        <is>
          <t>I_E100001</t>
        </is>
      </c>
      <c r="E386" s="182">
        <f>IF(_epmOfflineCondition_,"北京京能清洁能源电力股份有限公司",EPMMemberDesc(D386))</f>
        <v/>
      </c>
      <c r="F386" s="716" t="n"/>
      <c r="G386" s="716" t="n"/>
      <c r="H386" s="462" t="n"/>
    </row>
    <row r="387">
      <c r="A387" s="672" t="inlineStr">
        <is>
          <t>E100197G</t>
        </is>
      </c>
      <c r="B387" s="767">
        <f>ROW()</f>
        <v/>
      </c>
      <c r="C387" s="182">
        <f>IF(_epmOfflineCondition_,"北京国际电气工程有限责任公司（合并）",EPMMemberDesc(A387))</f>
        <v/>
      </c>
      <c r="D387" s="182" t="inlineStr">
        <is>
          <t>I_E100001</t>
        </is>
      </c>
      <c r="E387" s="182">
        <f>IF(_epmOfflineCondition_,"北京京能清洁能源电力股份有限公司",EPMMemberDesc(D387))</f>
        <v/>
      </c>
      <c r="F387" s="716" t="n"/>
      <c r="G387" s="716" t="n"/>
      <c r="H387" s="462" t="n"/>
    </row>
    <row r="388">
      <c r="A388" s="672" t="inlineStr">
        <is>
          <t>E100222</t>
        </is>
      </c>
      <c r="B388" s="767">
        <f>ROW()</f>
        <v/>
      </c>
      <c r="C388" s="182">
        <f>IF(_epmOfflineCondition_,"北京市热力集团有限责任公司",EPMMemberDesc(A388))</f>
        <v/>
      </c>
      <c r="D388" s="182" t="inlineStr">
        <is>
          <t>I_E100001</t>
        </is>
      </c>
      <c r="E388" s="182">
        <f>IF(_epmOfflineCondition_,"北京京能清洁能源电力股份有限公司",EPMMemberDesc(D388))</f>
        <v/>
      </c>
      <c r="F388" s="716" t="n"/>
      <c r="G388" s="716" t="n"/>
      <c r="H388" s="462" t="n"/>
    </row>
    <row r="389">
      <c r="A389" s="672" t="inlineStr">
        <is>
          <t>E100222G</t>
        </is>
      </c>
      <c r="B389" s="767">
        <f>ROW()</f>
        <v/>
      </c>
      <c r="C389" s="182">
        <f>IF(_epmOfflineCondition_,"北京市热力集团有限责任公司（合并）",EPMMemberDesc(A389))</f>
        <v/>
      </c>
      <c r="D389" s="182" t="inlineStr">
        <is>
          <t>I_E100001</t>
        </is>
      </c>
      <c r="E389" s="182">
        <f>IF(_epmOfflineCondition_,"北京京能清洁能源电力股份有限公司",EPMMemberDesc(D389))</f>
        <v/>
      </c>
      <c r="F389" s="716" t="n"/>
      <c r="G389" s="716" t="n"/>
      <c r="H389" s="462" t="n"/>
    </row>
    <row r="390">
      <c r="A390" s="672" t="inlineStr">
        <is>
          <t>E100222H</t>
        </is>
      </c>
      <c r="B390" s="767">
        <f>ROW()</f>
        <v/>
      </c>
      <c r="C390" s="182">
        <f>IF(_epmOfflineCondition_,"北京市热力集团有限责任公司（母公司）",EPMMemberDesc(A390))</f>
        <v/>
      </c>
      <c r="D390" s="182" t="inlineStr">
        <is>
          <t>I_E100001</t>
        </is>
      </c>
      <c r="E390" s="182">
        <f>IF(_epmOfflineCondition_,"北京京能清洁能源电力股份有限公司",EPMMemberDesc(D390))</f>
        <v/>
      </c>
      <c r="F390" s="716" t="n"/>
      <c r="G390" s="716" t="n"/>
      <c r="H390" s="462" t="n"/>
    </row>
    <row r="391">
      <c r="A391" s="672" t="inlineStr">
        <is>
          <t>E100268</t>
        </is>
      </c>
      <c r="B391" s="767">
        <f>ROW()</f>
        <v/>
      </c>
      <c r="C391" s="182">
        <f>IF(_epmOfflineCondition_,"北京京煤集团有限责任公司",EPMMemberDesc(A391))</f>
        <v/>
      </c>
      <c r="D391" s="182" t="inlineStr">
        <is>
          <t>I_E100770</t>
        </is>
      </c>
      <c r="E391" s="182">
        <f>IF(_epmOfflineCondition_,"金泰壹号（天津）企业管理合伙企业（有限合伙）",EPMMemberDesc(D391))</f>
        <v/>
      </c>
      <c r="F391" s="716" t="n"/>
      <c r="G391" s="716" t="n"/>
      <c r="H391" s="462" t="n"/>
    </row>
    <row r="392">
      <c r="A392" s="672" t="inlineStr">
        <is>
          <t>E100268G</t>
        </is>
      </c>
      <c r="B392" s="767">
        <f>ROW()</f>
        <v/>
      </c>
      <c r="C392" s="182">
        <f>IF(_epmOfflineCondition_,"北京京煤集团有限责任公司（合并）",EPMMemberDesc(A392))</f>
        <v/>
      </c>
      <c r="D392" s="182" t="inlineStr">
        <is>
          <t>I_E100770</t>
        </is>
      </c>
      <c r="E392" s="182">
        <f>IF(_epmOfflineCondition_,"金泰壹号（天津）企业管理合伙企业（有限合伙）",EPMMemberDesc(D392))</f>
        <v/>
      </c>
      <c r="F392" s="716" t="n"/>
      <c r="G392" s="716" t="n"/>
      <c r="H392" s="462" t="n"/>
    </row>
    <row r="393">
      <c r="A393" s="672" t="inlineStr">
        <is>
          <t>E100268H</t>
        </is>
      </c>
      <c r="B393" s="767">
        <f>ROW()</f>
        <v/>
      </c>
      <c r="C393" s="182">
        <f>IF(_epmOfflineCondition_,"北京京煤集团有限责任公司（母公司）",EPMMemberDesc(A393))</f>
        <v/>
      </c>
      <c r="D393" s="770" t="inlineStr">
        <is>
          <t>I_E100770</t>
        </is>
      </c>
      <c r="E393" s="182">
        <f>IF(_epmOfflineCondition_,"金泰壹号（天津）企业管理合伙企业（有限合伙）",EPMMemberDesc(D393))</f>
        <v/>
      </c>
      <c r="F393" s="716" t="n"/>
      <c r="G393" s="716" t="n"/>
      <c r="H393" s="462" t="n"/>
    </row>
    <row r="394">
      <c r="A394" s="672" t="inlineStr">
        <is>
          <t>E100484</t>
        </is>
      </c>
      <c r="B394" s="767">
        <f>ROW()</f>
        <v/>
      </c>
      <c r="C394" s="182">
        <f>IF(_epmOfflineCondition_,"北京京能同鑫投资管理有限公司",EPMMemberDesc(A394))</f>
        <v/>
      </c>
      <c r="D394" s="182" t="inlineStr">
        <is>
          <t>I_E100860</t>
        </is>
      </c>
      <c r="E394" s="182">
        <f>IF(_epmOfflineCondition_,"北京京能绿色能源并购投资基金（有限合伙）",EPMMemberDesc(D394))</f>
        <v/>
      </c>
      <c r="F394" s="716" t="n"/>
      <c r="G394" s="716" t="n"/>
      <c r="H394" s="462" t="n"/>
    </row>
    <row r="395">
      <c r="A395" s="672" t="inlineStr">
        <is>
          <t>E100559</t>
        </is>
      </c>
      <c r="B395" s="767">
        <f>ROW()</f>
        <v/>
      </c>
      <c r="C395" s="182">
        <f>IF(_epmOfflineCondition_,"北京能源投资集团（香港）有限公司",EPMMemberDesc(A395))</f>
        <v/>
      </c>
      <c r="D395" s="182" t="inlineStr">
        <is>
          <t>I_E100107</t>
        </is>
      </c>
      <c r="E395" s="182">
        <f>IF(_epmOfflineCondition_,"深圳京能融资租赁有限公司",EPMMemberDesc(D395))</f>
        <v/>
      </c>
      <c r="F395" s="716" t="n"/>
      <c r="G395" s="716" t="n"/>
      <c r="H395" s="462" t="n"/>
    </row>
    <row r="396">
      <c r="A396" s="672" t="inlineStr">
        <is>
          <t>E100559</t>
        </is>
      </c>
      <c r="B396" s="767">
        <f>ROW()</f>
        <v/>
      </c>
      <c r="C396" s="182">
        <f>IF(_epmOfflineCondition_,"北京能源投资集团（香港）有限公司",EPMMemberDesc(A396))</f>
        <v/>
      </c>
      <c r="D396" s="182" t="inlineStr">
        <is>
          <t>I_E100001</t>
        </is>
      </c>
      <c r="E396" s="182">
        <f>IF(_epmOfflineCondition_,"北京京能清洁能源电力股份有限公司",EPMMemberDesc(D396))</f>
        <v/>
      </c>
      <c r="F396" s="716" t="n"/>
      <c r="G396" s="716" t="n"/>
      <c r="H396" s="462" t="n"/>
    </row>
    <row r="397">
      <c r="A397" s="672" t="inlineStr">
        <is>
          <t>E100559G</t>
        </is>
      </c>
      <c r="B397" s="767">
        <f>ROW()</f>
        <v/>
      </c>
      <c r="C397" s="182">
        <f>IF(_epmOfflineCondition_,"北京能源投资集团（香港）有限公司（合并）",EPMMemberDesc(A397))</f>
        <v/>
      </c>
      <c r="D397" s="182" t="inlineStr">
        <is>
          <t>I_E100001</t>
        </is>
      </c>
      <c r="E397" s="182">
        <f>IF(_epmOfflineCondition_,"北京京能清洁能源电力股份有限公司",EPMMemberDesc(D397))</f>
        <v/>
      </c>
      <c r="F397" s="716" t="n"/>
      <c r="G397" s="716" t="n"/>
      <c r="H397" s="462" t="n"/>
    </row>
    <row r="398">
      <c r="A398" s="672" t="inlineStr">
        <is>
          <t>E100559G</t>
        </is>
      </c>
      <c r="B398" s="767">
        <f>ROW()</f>
        <v/>
      </c>
      <c r="C398" s="182">
        <f>IF(_epmOfflineCondition_,"北京能源投资集团（香港）有限公司（合并）",EPMMemberDesc(A398))</f>
        <v/>
      </c>
      <c r="D398" s="182" t="inlineStr">
        <is>
          <t>I_E100734</t>
        </is>
      </c>
      <c r="E398" s="182">
        <f>IF(_epmOfflineCondition_,"联合光伏（常州）投资集团有限公司",EPMMemberDesc(D398))</f>
        <v/>
      </c>
      <c r="F398" s="716" t="n"/>
      <c r="G398" s="716" t="n"/>
      <c r="H398" s="462" t="n"/>
    </row>
    <row r="399">
      <c r="A399" s="672" t="inlineStr">
        <is>
          <t>E100559G</t>
        </is>
      </c>
      <c r="B399" s="767">
        <f>ROW()</f>
        <v/>
      </c>
      <c r="C399" s="182">
        <f>IF(_epmOfflineCondition_,"北京能源投资集团（香港）有限公司（合并）",EPMMemberDesc(A399))</f>
        <v/>
      </c>
      <c r="D399" s="182" t="inlineStr">
        <is>
          <t>I_E100730</t>
        </is>
      </c>
      <c r="E399" s="182">
        <f>IF(_epmOfflineCondition_,"京能国际能源发展（北京）有限公司",EPMMemberDesc(D399))</f>
        <v/>
      </c>
      <c r="F399" s="716" t="n"/>
      <c r="G399" s="716" t="n"/>
      <c r="H399" s="462" t="n"/>
    </row>
    <row r="400">
      <c r="A400" s="672" t="inlineStr">
        <is>
          <t>E100559G</t>
        </is>
      </c>
      <c r="B400" s="767">
        <f>ROW()</f>
        <v/>
      </c>
      <c r="C400" s="182">
        <f>IF(_epmOfflineCondition_,"北京能源投资集团（香港）有限公司（合并）",EPMMemberDesc(A400))</f>
        <v/>
      </c>
      <c r="D400" s="182" t="inlineStr">
        <is>
          <t>I_E100107</t>
        </is>
      </c>
      <c r="E400" s="182">
        <f>IF(_epmOfflineCondition_,"深圳京能融资租赁有限公司",EPMMemberDesc(D400))</f>
        <v/>
      </c>
      <c r="F400" s="716" t="n"/>
      <c r="G400" s="716" t="n"/>
      <c r="H400" s="462" t="n"/>
    </row>
    <row r="401">
      <c r="A401" s="672" t="inlineStr">
        <is>
          <t>E100559G</t>
        </is>
      </c>
      <c r="B401" s="767">
        <f>ROW()</f>
        <v/>
      </c>
      <c r="C401" s="182">
        <f>IF(_epmOfflineCondition_,"北京能源投资集团（香港）有限公司（合并）",EPMMemberDesc(A401))</f>
        <v/>
      </c>
      <c r="D401" s="182" t="inlineStr">
        <is>
          <t>I_E101043</t>
        </is>
      </c>
      <c r="E401" s="182">
        <f>IF(_epmOfflineCondition_,"熊猫绿色能源集团有限公司",EPMMemberDesc(D401))</f>
        <v/>
      </c>
      <c r="F401" s="716" t="n"/>
      <c r="G401" s="716" t="n"/>
      <c r="H401" s="462" t="n"/>
    </row>
    <row r="402">
      <c r="A402" s="672" t="inlineStr">
        <is>
          <t>E100734G</t>
        </is>
      </c>
      <c r="B402" s="767">
        <f>ROW()</f>
        <v/>
      </c>
      <c r="C402" s="182">
        <f>IF(_epmOfflineCondition_,"联合光伏（常州）投资集团有限公司（合并）",EPMMemberDesc(A402))</f>
        <v/>
      </c>
      <c r="D402" s="182" t="inlineStr">
        <is>
          <t>I_E100730</t>
        </is>
      </c>
      <c r="E402" s="182">
        <f>IF(_epmOfflineCondition_,"京能国际能源发展（北京）有限公司",EPMMemberDesc(D402))</f>
        <v/>
      </c>
      <c r="F402" s="716" t="n"/>
      <c r="G402" s="716" t="n"/>
      <c r="H402" s="462" t="n"/>
    </row>
    <row r="403">
      <c r="A403" s="672" t="inlineStr">
        <is>
          <t>E100747G</t>
        </is>
      </c>
      <c r="B403" s="767">
        <f>ROW()</f>
        <v/>
      </c>
      <c r="C403" s="182">
        <f>IF(_epmOfflineCondition_,"北京能源国际控股有限公司（合并）",EPMMemberDesc(A403))</f>
        <v/>
      </c>
      <c r="D403" s="182" t="inlineStr">
        <is>
          <t>I_E101043</t>
        </is>
      </c>
      <c r="E403" s="182">
        <f>IF(_epmOfflineCondition_,"熊猫绿色能源集团有限公司",EPMMemberDesc(D403))</f>
        <v/>
      </c>
      <c r="F403" s="716" t="n"/>
      <c r="G403" s="716" t="n"/>
      <c r="H403" s="462" t="n"/>
    </row>
    <row r="404">
      <c r="A404" s="672" t="inlineStr">
        <is>
          <t>E100747G</t>
        </is>
      </c>
      <c r="B404" s="767">
        <f>ROW()</f>
        <v/>
      </c>
      <c r="C404" s="182">
        <f>IF(_epmOfflineCondition_,"北京能源国际控股有限公司（合并）",EPMMemberDesc(A404))</f>
        <v/>
      </c>
      <c r="D404" s="182" t="inlineStr">
        <is>
          <t>I_E100730</t>
        </is>
      </c>
      <c r="E404" s="182">
        <f>IF(_epmOfflineCondition_,"京能国际能源发展（北京）有限公司",EPMMemberDesc(D404))</f>
        <v/>
      </c>
      <c r="F404" s="716" t="n"/>
      <c r="G404" s="716" t="n"/>
      <c r="H404" s="462" t="n"/>
    </row>
    <row r="405">
      <c r="A405" s="672" t="inlineStr">
        <is>
          <t>E100747G</t>
        </is>
      </c>
      <c r="B405" s="767">
        <f>ROW()</f>
        <v/>
      </c>
      <c r="C405" s="182">
        <f>IF(_epmOfflineCondition_,"北京能源国际控股有限公司（合并）",EPMMemberDesc(A405))</f>
        <v/>
      </c>
      <c r="D405" s="182" t="inlineStr">
        <is>
          <t>I_E100734</t>
        </is>
      </c>
      <c r="E405" s="182">
        <f>IF(_epmOfflineCondition_,"联合光伏（常州）投资集团有限公司",EPMMemberDesc(D405))</f>
        <v/>
      </c>
      <c r="F405" s="716" t="n"/>
      <c r="G405" s="716" t="n"/>
      <c r="H405" s="462" t="n"/>
    </row>
    <row r="406">
      <c r="A406" s="672" t="inlineStr">
        <is>
          <t>E100764</t>
        </is>
      </c>
      <c r="B406" s="767">
        <f>ROW()</f>
        <v/>
      </c>
      <c r="C406" s="182">
        <f>IF(_epmOfflineCondition_,"联合光伏（深圳）有限公司",EPMMemberDesc(A406))</f>
        <v/>
      </c>
      <c r="D406" s="182" t="inlineStr">
        <is>
          <t>I_E100734</t>
        </is>
      </c>
      <c r="E406" s="182">
        <f>IF(_epmOfflineCondition_,"联合光伏（常州）投资集团有限公司",EPMMemberDesc(D406))</f>
        <v/>
      </c>
      <c r="F406" s="716" t="n"/>
      <c r="G406" s="716" t="n"/>
      <c r="H406" s="462" t="n"/>
    </row>
    <row r="407">
      <c r="A407" s="672" t="inlineStr">
        <is>
          <t>E100764G</t>
        </is>
      </c>
      <c r="B407" s="767">
        <f>ROW()</f>
        <v/>
      </c>
      <c r="C407" s="182">
        <f>IF(_epmOfflineCondition_,"联合光伏（深圳）有限公司（合并）",EPMMemberDesc(A407))</f>
        <v/>
      </c>
      <c r="D407" s="182" t="inlineStr">
        <is>
          <t>I_E100734</t>
        </is>
      </c>
      <c r="E407" s="182">
        <f>IF(_epmOfflineCondition_,"联合光伏（常州）投资集团有限公司",EPMMemberDesc(D407))</f>
        <v/>
      </c>
      <c r="F407" s="716" t="n"/>
      <c r="G407" s="716" t="n"/>
      <c r="H407" s="462" t="n"/>
    </row>
    <row r="408">
      <c r="A408" s="672" t="inlineStr">
        <is>
          <t>E100881G</t>
        </is>
      </c>
      <c r="B408" s="767">
        <f>ROW()</f>
        <v/>
      </c>
      <c r="C408" s="182">
        <f>IF(_epmOfflineCondition_,"中国太阳能电力集团有限公司（合并）",EPMMemberDesc(A408))</f>
        <v/>
      </c>
      <c r="D408" s="182" t="inlineStr">
        <is>
          <t>I_E100730</t>
        </is>
      </c>
      <c r="E408" s="182">
        <f>IF(_epmOfflineCondition_,"京能国际能源发展（北京）有限公司",EPMMemberDesc(D408))</f>
        <v/>
      </c>
      <c r="F408" s="716" t="n"/>
      <c r="G408" s="716" t="n"/>
      <c r="H408" s="462" t="n"/>
    </row>
    <row r="409">
      <c r="A409" s="672" t="inlineStr">
        <is>
          <t>E100881G</t>
        </is>
      </c>
      <c r="B409" s="767">
        <f>ROW()</f>
        <v/>
      </c>
      <c r="C409" s="182">
        <f>IF(_epmOfflineCondition_,"中国太阳能电力集团有限公司（合并）",EPMMemberDesc(A409))</f>
        <v/>
      </c>
      <c r="D409" s="182" t="inlineStr">
        <is>
          <t>I_E100734</t>
        </is>
      </c>
      <c r="E409" s="182">
        <f>IF(_epmOfflineCondition_,"联合光伏（常州）投资集团有限公司",EPMMemberDesc(D409))</f>
        <v/>
      </c>
      <c r="F409" s="716" t="n"/>
      <c r="G409" s="716" t="n"/>
      <c r="H409" s="462" t="n"/>
    </row>
    <row r="410">
      <c r="A410" s="672" t="inlineStr">
        <is>
          <t>E100882G</t>
        </is>
      </c>
      <c r="B410" s="767">
        <f>ROW()</f>
        <v/>
      </c>
      <c r="C410" s="182">
        <f>IF(_epmOfflineCondition_,"中国科技新能源有限公司（合并）（2024年1月注销）",EPMMemberDesc(A410))</f>
        <v/>
      </c>
      <c r="D410" s="182" t="inlineStr">
        <is>
          <t>I_E100730</t>
        </is>
      </c>
      <c r="E410" s="182">
        <f>IF(_epmOfflineCondition_,"京能国际能源发展（北京）有限公司",EPMMemberDesc(D410))</f>
        <v/>
      </c>
      <c r="F410" s="716" t="n"/>
      <c r="G410" s="716" t="n"/>
      <c r="H410" s="462" t="n"/>
    </row>
    <row r="411">
      <c r="A411" s="672" t="inlineStr">
        <is>
          <t>E100882G</t>
        </is>
      </c>
      <c r="B411" s="767">
        <f>ROW()</f>
        <v/>
      </c>
      <c r="C411" s="182">
        <f>IF(_epmOfflineCondition_,"中国科技新能源有限公司（合并）（2024年1月注销）",EPMMemberDesc(A411))</f>
        <v/>
      </c>
      <c r="D411" s="182" t="inlineStr">
        <is>
          <t>I_E100734</t>
        </is>
      </c>
      <c r="E411" s="182">
        <f>IF(_epmOfflineCondition_,"联合光伏（常州）投资集团有限公司",EPMMemberDesc(D411))</f>
        <v/>
      </c>
      <c r="F411" s="716" t="n"/>
      <c r="G411" s="716" t="n"/>
      <c r="H411" s="462" t="n"/>
    </row>
    <row r="412">
      <c r="A412" s="672" t="inlineStr">
        <is>
          <t>E100883G</t>
        </is>
      </c>
      <c r="B412" s="767">
        <f>ROW()</f>
        <v/>
      </c>
      <c r="C412" s="182">
        <f>IF(_epmOfflineCondition_,"北京能源国际投资有限公司（合并）",EPMMemberDesc(A412))</f>
        <v/>
      </c>
      <c r="D412" s="182" t="inlineStr">
        <is>
          <t>I_E100734</t>
        </is>
      </c>
      <c r="E412" s="182">
        <f>IF(_epmOfflineCondition_,"联合光伏（常州）投资集团有限公司",EPMMemberDesc(D412))</f>
        <v/>
      </c>
      <c r="F412" s="716" t="n"/>
      <c r="G412" s="716" t="n"/>
      <c r="H412" s="462" t="n"/>
    </row>
    <row r="413">
      <c r="A413" s="672" t="inlineStr">
        <is>
          <t>E100883G</t>
        </is>
      </c>
      <c r="B413" s="767">
        <f>ROW()</f>
        <v/>
      </c>
      <c r="C413" s="182">
        <f>IF(_epmOfflineCondition_,"北京能源国际投资有限公司（合并）",EPMMemberDesc(A413))</f>
        <v/>
      </c>
      <c r="D413" s="182" t="inlineStr">
        <is>
          <t>I_E100730</t>
        </is>
      </c>
      <c r="E413" s="182">
        <f>IF(_epmOfflineCondition_,"京能国际能源发展（北京）有限公司",EPMMemberDesc(D413))</f>
        <v/>
      </c>
      <c r="F413" s="716" t="n"/>
      <c r="G413" s="716" t="n"/>
      <c r="H413" s="462" t="n"/>
    </row>
    <row r="414">
      <c r="A414" s="672" t="inlineStr">
        <is>
          <t>E100963</t>
        </is>
      </c>
      <c r="B414" s="767">
        <f>ROW()</f>
        <v/>
      </c>
      <c r="C414" s="182">
        <f>IF(_epmOfflineCondition_,"丝绸之路新能源（常州）有限公司",EPMMemberDesc(A414))</f>
        <v/>
      </c>
      <c r="D414" s="182" t="inlineStr">
        <is>
          <t>I_E100730</t>
        </is>
      </c>
      <c r="E414" s="182">
        <f>IF(_epmOfflineCondition_,"京能国际能源发展（北京）有限公司",EPMMemberDesc(D414))</f>
        <v/>
      </c>
      <c r="F414" s="716" t="n"/>
      <c r="G414" s="716" t="n"/>
      <c r="H414" s="462" t="n"/>
    </row>
    <row r="415">
      <c r="A415" s="672" t="inlineStr">
        <is>
          <t>E100963G</t>
        </is>
      </c>
      <c r="B415" s="767">
        <f>ROW()</f>
        <v/>
      </c>
      <c r="C415" s="182">
        <f>IF(_epmOfflineCondition_,"丝绸之路新能源（常州）有限公司（合并）",EPMMemberDesc(A415))</f>
        <v/>
      </c>
      <c r="D415" s="182" t="inlineStr">
        <is>
          <t>I_E100730</t>
        </is>
      </c>
      <c r="E415" s="182">
        <f>IF(_epmOfflineCondition_,"京能国际能源发展（北京）有限公司",EPMMemberDesc(D415))</f>
        <v/>
      </c>
      <c r="F415" s="716" t="n"/>
      <c r="G415" s="716" t="n"/>
      <c r="H415" s="462" t="n"/>
    </row>
    <row r="416">
      <c r="A416" s="672" t="inlineStr">
        <is>
          <t>E101031G</t>
        </is>
      </c>
      <c r="B416" s="767">
        <f>ROW()</f>
        <v/>
      </c>
      <c r="C416" s="182">
        <f>IF(_epmOfflineCondition_,"熊猫绿色电力集团有限公司（合并）-（2025年1月注销）",EPMMemberDesc(A416))</f>
        <v/>
      </c>
      <c r="D416" s="182" t="inlineStr">
        <is>
          <t>I_E101043</t>
        </is>
      </c>
      <c r="E416" s="182">
        <f>IF(_epmOfflineCondition_,"熊猫绿色能源集团有限公司",EPMMemberDesc(D416))</f>
        <v/>
      </c>
      <c r="F416" s="716" t="n"/>
      <c r="G416" s="716" t="n"/>
      <c r="H416" s="462" t="n"/>
    </row>
    <row r="417">
      <c r="A417" s="672" t="inlineStr">
        <is>
          <t>E101042</t>
        </is>
      </c>
      <c r="B417" s="767">
        <f>ROW()</f>
        <v/>
      </c>
      <c r="C417" s="182">
        <f>IF(_epmOfflineCondition_,"熊猫太阳能电力控股有限公司-（2025年1月注销）",EPMMemberDesc(A417))</f>
        <v/>
      </c>
      <c r="D417" s="182" t="inlineStr">
        <is>
          <t>I_E101043</t>
        </is>
      </c>
      <c r="E417" s="182">
        <f>IF(_epmOfflineCondition_,"熊猫绿色能源集团有限公司",EPMMemberDesc(D417))</f>
        <v/>
      </c>
      <c r="F417" s="716" t="n"/>
      <c r="G417" s="716" t="n"/>
      <c r="H417" s="462" t="n"/>
    </row>
    <row r="418">
      <c r="A418" s="672" t="inlineStr">
        <is>
          <t>E101042G</t>
        </is>
      </c>
      <c r="B418" s="767">
        <f>ROW()</f>
        <v/>
      </c>
      <c r="C418" s="182">
        <f>IF(_epmOfflineCondition_,"熊猫太阳能电力控股有限公司（合并）-（2025年1月注销）",EPMMemberDesc(A418))</f>
        <v/>
      </c>
      <c r="D418" s="182" t="inlineStr">
        <is>
          <t>I_E101043</t>
        </is>
      </c>
      <c r="E418" s="182">
        <f>IF(_epmOfflineCondition_,"熊猫绿色能源集团有限公司",EPMMemberDesc(D418))</f>
        <v/>
      </c>
      <c r="F418" s="716" t="n"/>
      <c r="G418" s="716" t="n"/>
      <c r="H418" s="462" t="n"/>
    </row>
    <row r="419">
      <c r="A419" s="672" t="n"/>
      <c r="B419" s="767">
        <f>ROW()</f>
        <v/>
      </c>
      <c r="C419" s="182" t="n"/>
      <c r="D419" s="182" t="n"/>
      <c r="E419" s="182" t="n"/>
      <c r="F419" s="716" t="n"/>
      <c r="G419" s="716" t="n"/>
      <c r="H419" s="462" t="n"/>
    </row>
    <row r="420">
      <c r="A420" s="672" t="n"/>
      <c r="B420" s="767">
        <f>ROW()</f>
        <v/>
      </c>
      <c r="C420" s="182" t="n"/>
      <c r="D420" s="182" t="n"/>
      <c r="E420" s="182" t="n"/>
      <c r="F420" s="716" t="n"/>
      <c r="G420" s="716" t="n"/>
      <c r="H420" s="462" t="n"/>
    </row>
    <row r="421">
      <c r="A421" s="672" t="n"/>
      <c r="B421" s="767">
        <f>ROW()</f>
        <v/>
      </c>
      <c r="C421" s="182" t="n"/>
      <c r="D421" s="182" t="n"/>
      <c r="E421" s="182" t="n"/>
      <c r="F421" s="716" t="n"/>
      <c r="G421" s="716" t="n"/>
      <c r="H421" s="462" t="n"/>
    </row>
    <row r="422">
      <c r="A422" s="672" t="n"/>
      <c r="B422" s="767">
        <f>ROW()</f>
        <v/>
      </c>
      <c r="C422" s="182" t="n"/>
      <c r="D422" s="182" t="n"/>
      <c r="E422" s="182" t="n"/>
      <c r="F422" s="716" t="n"/>
      <c r="G422" s="716" t="n"/>
      <c r="H422" s="462" t="n"/>
    </row>
    <row r="423">
      <c r="A423" s="672" t="n"/>
      <c r="B423" s="767">
        <f>ROW()</f>
        <v/>
      </c>
      <c r="C423" s="182" t="n"/>
      <c r="D423" s="182" t="n"/>
      <c r="E423" s="182" t="n"/>
      <c r="F423" s="716" t="n"/>
      <c r="G423" s="716" t="n"/>
      <c r="H423" s="462" t="n"/>
    </row>
    <row r="424">
      <c r="A424" s="672" t="n"/>
      <c r="B424" s="767">
        <f>ROW()</f>
        <v/>
      </c>
      <c r="C424" s="182" t="n"/>
      <c r="D424" s="182" t="n"/>
      <c r="E424" s="182" t="n"/>
      <c r="F424" s="716" t="n"/>
      <c r="G424" s="716" t="n"/>
      <c r="H424" s="462" t="n"/>
    </row>
    <row r="425">
      <c r="A425" s="672" t="n"/>
      <c r="B425" s="767">
        <f>ROW()</f>
        <v/>
      </c>
      <c r="C425" s="182" t="n"/>
      <c r="D425" s="182" t="n"/>
      <c r="E425" s="182" t="n"/>
      <c r="F425" s="716" t="n"/>
      <c r="G425" s="716" t="n"/>
      <c r="H425" s="462" t="n"/>
    </row>
    <row r="426">
      <c r="A426" s="672" t="n"/>
      <c r="B426" s="767">
        <f>ROW()</f>
        <v/>
      </c>
      <c r="C426" s="182" t="n"/>
      <c r="D426" s="182" t="n"/>
      <c r="E426" s="182" t="n"/>
      <c r="F426" s="716" t="n"/>
      <c r="G426" s="716" t="n"/>
      <c r="H426" s="462" t="n"/>
    </row>
    <row r="427">
      <c r="A427" s="672" t="n"/>
      <c r="B427" s="767">
        <f>ROW()</f>
        <v/>
      </c>
      <c r="C427" s="182" t="n"/>
      <c r="D427" s="182" t="n"/>
      <c r="E427" s="182" t="n"/>
      <c r="F427" s="716" t="n"/>
      <c r="G427" s="716" t="n"/>
      <c r="H427" s="462" t="n"/>
    </row>
    <row r="428">
      <c r="A428" s="672" t="n"/>
      <c r="B428" s="767">
        <f>ROW()</f>
        <v/>
      </c>
      <c r="C428" s="182" t="n"/>
      <c r="D428" s="182" t="n"/>
      <c r="E428" s="182" t="n"/>
      <c r="F428" s="716" t="n"/>
      <c r="G428" s="716" t="n"/>
      <c r="H428" s="462" t="n"/>
    </row>
    <row r="429">
      <c r="A429" s="672" t="n"/>
      <c r="B429" s="767">
        <f>ROW()</f>
        <v/>
      </c>
      <c r="C429" s="182" t="n"/>
      <c r="D429" s="182" t="n"/>
      <c r="E429" s="182" t="n"/>
      <c r="F429" s="716" t="n"/>
      <c r="G429" s="716" t="n"/>
      <c r="H429" s="462" t="n"/>
    </row>
    <row r="430">
      <c r="A430" s="672" t="n"/>
      <c r="B430" s="767">
        <f>ROW()</f>
        <v/>
      </c>
      <c r="C430" s="182" t="n"/>
      <c r="D430" s="182" t="n"/>
      <c r="E430" s="182" t="n"/>
      <c r="F430" s="716" t="n"/>
      <c r="G430" s="716" t="n"/>
      <c r="H430" s="462" t="n"/>
    </row>
    <row r="431">
      <c r="A431" s="672" t="n"/>
      <c r="B431" s="767">
        <f>ROW()</f>
        <v/>
      </c>
      <c r="C431" s="182" t="n"/>
      <c r="D431" s="182" t="n"/>
      <c r="E431" s="182" t="n"/>
      <c r="F431" s="716" t="n"/>
      <c r="G431" s="716" t="n"/>
      <c r="H431" s="462" t="n"/>
    </row>
    <row r="432">
      <c r="A432" s="672" t="n"/>
      <c r="B432" s="767">
        <f>ROW()</f>
        <v/>
      </c>
      <c r="C432" s="182" t="n"/>
      <c r="D432" s="182" t="n"/>
      <c r="E432" s="182" t="n"/>
      <c r="F432" s="716" t="n"/>
      <c r="G432" s="716" t="n"/>
      <c r="H432" s="462" t="n"/>
    </row>
    <row r="433">
      <c r="A433" s="672" t="n"/>
      <c r="B433" s="767">
        <f>ROW()</f>
        <v/>
      </c>
      <c r="C433" s="182" t="n"/>
      <c r="D433" s="182" t="n"/>
      <c r="E433" s="182" t="n"/>
      <c r="F433" s="716" t="n"/>
      <c r="G433" s="716" t="n"/>
      <c r="H433" s="462" t="n"/>
    </row>
    <row r="434">
      <c r="A434" s="672" t="n"/>
      <c r="B434" s="767">
        <f>ROW()</f>
        <v/>
      </c>
      <c r="C434" s="182" t="n"/>
      <c r="D434" s="182" t="n"/>
      <c r="E434" s="182" t="n"/>
      <c r="F434" s="716" t="n"/>
      <c r="G434" s="716" t="n"/>
      <c r="H434" s="462" t="n"/>
    </row>
    <row r="435">
      <c r="A435" s="672" t="n"/>
      <c r="B435" s="767">
        <f>ROW()</f>
        <v/>
      </c>
      <c r="C435" s="182" t="n"/>
      <c r="D435" s="182" t="n"/>
      <c r="E435" s="182" t="n"/>
      <c r="F435" s="716" t="n"/>
      <c r="G435" s="716" t="n"/>
      <c r="H435" s="462" t="n"/>
    </row>
    <row r="436">
      <c r="A436" s="672" t="n"/>
      <c r="B436" s="767">
        <f>ROW()</f>
        <v/>
      </c>
      <c r="C436" s="182" t="n"/>
      <c r="D436" s="182" t="n"/>
      <c r="E436" s="182" t="n"/>
      <c r="F436" s="716" t="n"/>
      <c r="G436" s="716" t="n"/>
      <c r="H436" s="462" t="n"/>
    </row>
    <row r="437">
      <c r="A437" s="672" t="n"/>
      <c r="B437" s="767">
        <f>ROW()</f>
        <v/>
      </c>
      <c r="C437" s="182" t="n"/>
      <c r="D437" s="182" t="n"/>
      <c r="E437" s="182" t="n"/>
      <c r="F437" s="716" t="n"/>
      <c r="G437" s="716" t="n"/>
      <c r="H437" s="462" t="n"/>
    </row>
    <row r="438">
      <c r="A438" s="672" t="n"/>
      <c r="B438" s="767">
        <f>ROW()</f>
        <v/>
      </c>
      <c r="C438" s="182" t="n"/>
      <c r="D438" s="182" t="n"/>
      <c r="E438" s="182" t="n"/>
      <c r="F438" s="716" t="n"/>
      <c r="G438" s="716" t="n"/>
      <c r="H438" s="462" t="n"/>
    </row>
    <row r="439">
      <c r="A439" s="672" t="n"/>
      <c r="B439" s="767">
        <f>ROW()</f>
        <v/>
      </c>
      <c r="C439" s="182" t="n"/>
      <c r="D439" s="182" t="n"/>
      <c r="E439" s="182" t="n"/>
      <c r="F439" s="716" t="n"/>
      <c r="G439" s="716" t="n"/>
      <c r="H439" s="462" t="n"/>
    </row>
    <row r="440">
      <c r="A440" s="672" t="n"/>
      <c r="B440" s="767">
        <f>ROW()</f>
        <v/>
      </c>
      <c r="C440" s="182" t="n"/>
      <c r="D440" s="182" t="n"/>
      <c r="E440" s="182" t="n"/>
      <c r="F440" s="716" t="n"/>
      <c r="G440" s="716" t="n"/>
      <c r="H440" s="462" t="n"/>
    </row>
    <row r="441">
      <c r="A441" s="672" t="n"/>
      <c r="B441" s="767">
        <f>ROW()</f>
        <v/>
      </c>
      <c r="C441" s="182" t="n"/>
      <c r="D441" s="182" t="n"/>
      <c r="E441" s="182" t="n"/>
      <c r="F441" s="716" t="n"/>
      <c r="G441" s="716" t="n"/>
      <c r="H441" s="462" t="n"/>
    </row>
    <row r="442">
      <c r="A442" s="672" t="n"/>
      <c r="B442" s="767">
        <f>ROW()</f>
        <v/>
      </c>
      <c r="C442" s="182" t="n"/>
      <c r="D442" s="182" t="n"/>
      <c r="E442" s="182" t="n"/>
      <c r="F442" s="716" t="n"/>
      <c r="G442" s="716" t="n"/>
      <c r="H442" s="462" t="n"/>
    </row>
    <row r="443">
      <c r="A443" s="672" t="n"/>
      <c r="B443" s="767">
        <f>ROW()</f>
        <v/>
      </c>
      <c r="C443" s="182" t="n"/>
      <c r="D443" s="182" t="n"/>
      <c r="E443" s="182" t="n"/>
      <c r="F443" s="716" t="n"/>
      <c r="G443" s="716" t="n"/>
      <c r="H443" s="462" t="n"/>
    </row>
    <row r="444">
      <c r="A444" s="672" t="n"/>
      <c r="B444" s="767">
        <f>ROW()</f>
        <v/>
      </c>
      <c r="C444" s="182" t="n"/>
      <c r="D444" s="182" t="n"/>
      <c r="E444" s="182" t="n"/>
      <c r="F444" s="716" t="n"/>
      <c r="G444" s="716" t="n"/>
      <c r="H444" s="462" t="n"/>
    </row>
    <row r="445">
      <c r="A445" s="672" t="n"/>
      <c r="B445" s="767">
        <f>ROW()</f>
        <v/>
      </c>
      <c r="C445" s="182" t="n"/>
      <c r="D445" s="182" t="n"/>
      <c r="E445" s="182" t="n"/>
      <c r="F445" s="716" t="n"/>
      <c r="G445" s="716" t="n"/>
      <c r="H445" s="462" t="n"/>
    </row>
    <row r="446">
      <c r="A446" s="672" t="n"/>
      <c r="B446" s="767">
        <f>ROW()</f>
        <v/>
      </c>
      <c r="C446" s="182" t="n"/>
      <c r="D446" s="182" t="n"/>
      <c r="E446" s="182" t="n"/>
      <c r="F446" s="716" t="n"/>
      <c r="G446" s="716" t="n"/>
      <c r="H446" s="462" t="n"/>
    </row>
    <row r="447">
      <c r="A447" s="672" t="n"/>
      <c r="B447" s="767">
        <f>ROW()</f>
        <v/>
      </c>
      <c r="C447" s="182" t="n"/>
      <c r="D447" s="182" t="n"/>
      <c r="E447" s="182" t="n"/>
      <c r="F447" s="716" t="n"/>
      <c r="G447" s="716" t="n"/>
      <c r="H447" s="462" t="n"/>
    </row>
    <row r="448">
      <c r="A448" s="672" t="n"/>
      <c r="B448" s="767">
        <f>ROW()</f>
        <v/>
      </c>
      <c r="C448" s="182" t="n"/>
      <c r="D448" s="182" t="n"/>
      <c r="E448" s="182" t="n"/>
      <c r="F448" s="716" t="n"/>
      <c r="G448" s="716" t="n"/>
      <c r="H448" s="462" t="n"/>
    </row>
    <row r="449">
      <c r="A449" s="672" t="n"/>
      <c r="B449" s="767">
        <f>ROW()</f>
        <v/>
      </c>
      <c r="C449" s="182" t="n"/>
      <c r="D449" s="182" t="n"/>
      <c r="E449" s="182" t="n"/>
      <c r="F449" s="716" t="n"/>
      <c r="G449" s="716" t="n"/>
      <c r="H449" s="462" t="n"/>
    </row>
    <row r="450">
      <c r="A450" s="672" t="n"/>
      <c r="B450" s="767">
        <f>ROW()</f>
        <v/>
      </c>
      <c r="C450" s="182" t="n"/>
      <c r="D450" s="182" t="n"/>
      <c r="E450" s="182" t="n"/>
      <c r="F450" s="716" t="n"/>
      <c r="G450" s="716" t="n"/>
      <c r="H450" s="462" t="n"/>
    </row>
    <row r="451">
      <c r="A451" s="672" t="n"/>
      <c r="B451" s="767">
        <f>ROW()</f>
        <v/>
      </c>
      <c r="C451" s="182" t="n"/>
      <c r="D451" s="182" t="n"/>
      <c r="E451" s="182" t="n"/>
      <c r="F451" s="716" t="n"/>
      <c r="G451" s="716" t="n"/>
      <c r="H451" s="462" t="n"/>
    </row>
    <row r="452">
      <c r="A452" s="672" t="n"/>
      <c r="B452" s="767">
        <f>ROW()</f>
        <v/>
      </c>
      <c r="C452" s="182" t="n"/>
      <c r="D452" s="182" t="n"/>
      <c r="E452" s="182" t="n"/>
      <c r="F452" s="716" t="n"/>
      <c r="G452" s="716" t="n"/>
      <c r="H452" s="462" t="n"/>
    </row>
    <row r="453">
      <c r="A453" s="672" t="n"/>
      <c r="B453" s="767">
        <f>ROW()</f>
        <v/>
      </c>
      <c r="C453" s="182" t="n"/>
      <c r="D453" s="182" t="n"/>
      <c r="E453" s="182" t="n"/>
      <c r="F453" s="716" t="n"/>
      <c r="G453" s="716" t="n"/>
      <c r="H453" s="462" t="n"/>
    </row>
    <row r="454">
      <c r="A454" s="672" t="n"/>
      <c r="B454" s="767">
        <f>ROW()</f>
        <v/>
      </c>
      <c r="C454" s="182" t="n"/>
      <c r="D454" s="182" t="n"/>
      <c r="E454" s="182" t="n"/>
      <c r="F454" s="716" t="n"/>
      <c r="G454" s="716" t="n"/>
      <c r="H454" s="462" t="n"/>
    </row>
    <row r="455">
      <c r="A455" s="672" t="n"/>
      <c r="B455" s="767">
        <f>ROW()</f>
        <v/>
      </c>
      <c r="C455" s="182" t="n"/>
      <c r="D455" s="182" t="n"/>
      <c r="E455" s="182" t="n"/>
      <c r="F455" s="716" t="n"/>
      <c r="G455" s="716" t="n"/>
      <c r="H455" s="462" t="n"/>
    </row>
    <row r="456">
      <c r="A456" s="672" t="n"/>
      <c r="B456" s="767">
        <f>ROW()</f>
        <v/>
      </c>
      <c r="C456" s="182" t="n"/>
      <c r="D456" s="182" t="n"/>
      <c r="E456" s="182" t="n"/>
      <c r="F456" s="716" t="n"/>
      <c r="G456" s="716" t="n"/>
      <c r="H456" s="462" t="n"/>
    </row>
    <row r="457">
      <c r="A457" s="672" t="n"/>
      <c r="B457" s="767">
        <f>ROW()</f>
        <v/>
      </c>
      <c r="C457" s="182" t="n"/>
      <c r="D457" s="182" t="n"/>
      <c r="E457" s="182" t="n"/>
      <c r="F457" s="716" t="n"/>
      <c r="G457" s="716" t="n"/>
      <c r="H457" s="462" t="n"/>
    </row>
    <row r="458">
      <c r="A458" s="672" t="n"/>
      <c r="B458" s="767">
        <f>ROW()</f>
        <v/>
      </c>
      <c r="C458" s="182" t="n"/>
      <c r="D458" s="182" t="n"/>
      <c r="E458" s="182" t="n"/>
      <c r="F458" s="716" t="n"/>
      <c r="G458" s="716" t="n"/>
      <c r="H458" s="462" t="n"/>
    </row>
    <row r="459">
      <c r="A459" s="672" t="n"/>
      <c r="B459" s="767">
        <f>ROW()</f>
        <v/>
      </c>
      <c r="C459" s="182" t="n"/>
      <c r="D459" s="182" t="n"/>
      <c r="E459" s="182" t="n"/>
      <c r="F459" s="716" t="n"/>
      <c r="G459" s="716" t="n"/>
      <c r="H459" s="462" t="n"/>
    </row>
    <row r="460">
      <c r="A460" s="672" t="n"/>
      <c r="B460" s="767">
        <f>ROW()</f>
        <v/>
      </c>
      <c r="C460" s="182" t="n"/>
      <c r="D460" s="182" t="n"/>
      <c r="E460" s="182" t="n"/>
      <c r="F460" s="716" t="n"/>
      <c r="G460" s="716" t="n"/>
      <c r="H460" s="462" t="n"/>
    </row>
    <row r="461">
      <c r="A461" s="672" t="n"/>
      <c r="B461" s="767">
        <f>ROW()</f>
        <v/>
      </c>
      <c r="C461" s="182" t="n"/>
      <c r="D461" s="182" t="n"/>
      <c r="E461" s="182" t="n"/>
      <c r="F461" s="716" t="n"/>
      <c r="G461" s="716" t="n"/>
      <c r="H461" s="462" t="n"/>
    </row>
    <row r="462">
      <c r="A462" s="672" t="n"/>
      <c r="B462" s="767">
        <f>ROW()</f>
        <v/>
      </c>
      <c r="C462" s="182" t="n"/>
      <c r="D462" s="182" t="n"/>
      <c r="E462" s="182" t="n"/>
      <c r="F462" s="716" t="n"/>
      <c r="G462" s="716" t="n"/>
      <c r="H462" s="462" t="n"/>
    </row>
    <row r="463">
      <c r="A463" s="672" t="n"/>
      <c r="B463" s="767">
        <f>ROW()</f>
        <v/>
      </c>
      <c r="C463" s="182" t="n"/>
      <c r="D463" s="182" t="n"/>
      <c r="E463" s="182" t="n"/>
      <c r="F463" s="716" t="n"/>
      <c r="G463" s="716" t="n"/>
      <c r="H463" s="462" t="n"/>
    </row>
    <row r="464">
      <c r="A464" s="672" t="n"/>
      <c r="B464" s="767">
        <f>ROW()</f>
        <v/>
      </c>
      <c r="C464" s="182" t="n"/>
      <c r="D464" s="182" t="n"/>
      <c r="E464" s="182" t="n"/>
      <c r="F464" s="716" t="n"/>
      <c r="G464" s="716" t="n"/>
      <c r="H464" s="462" t="n"/>
    </row>
    <row r="465">
      <c r="A465" s="672" t="n"/>
      <c r="B465" s="767">
        <f>ROW()</f>
        <v/>
      </c>
      <c r="C465" s="182" t="n"/>
      <c r="D465" s="182" t="n"/>
      <c r="E465" s="182" t="n"/>
      <c r="F465" s="716" t="n"/>
      <c r="G465" s="716" t="n"/>
      <c r="H465" s="462" t="n"/>
    </row>
    <row r="466">
      <c r="A466" s="672" t="n"/>
      <c r="B466" s="767">
        <f>ROW()</f>
        <v/>
      </c>
      <c r="C466" s="182" t="n"/>
      <c r="D466" s="182" t="n"/>
      <c r="E466" s="182" t="n"/>
      <c r="F466" s="716" t="n"/>
      <c r="G466" s="716" t="n"/>
      <c r="H466" s="462" t="n"/>
    </row>
    <row r="467">
      <c r="A467" s="672" t="n"/>
      <c r="B467" s="767">
        <f>ROW()</f>
        <v/>
      </c>
      <c r="C467" s="182" t="n"/>
      <c r="D467" s="182" t="n"/>
      <c r="E467" s="182" t="n"/>
      <c r="F467" s="716" t="n"/>
      <c r="G467" s="716" t="n"/>
      <c r="H467" s="462" t="n"/>
    </row>
    <row r="468">
      <c r="A468" s="672" t="n"/>
      <c r="B468" s="767">
        <f>ROW()</f>
        <v/>
      </c>
      <c r="C468" s="182" t="n"/>
      <c r="D468" s="182" t="n"/>
      <c r="E468" s="182" t="n"/>
      <c r="F468" s="716" t="n"/>
      <c r="G468" s="716" t="n"/>
      <c r="H468" s="462" t="n"/>
    </row>
    <row r="469">
      <c r="A469" s="672" t="n"/>
      <c r="B469" s="767">
        <f>ROW()</f>
        <v/>
      </c>
      <c r="C469" s="182" t="n"/>
      <c r="D469" s="182" t="n"/>
      <c r="E469" s="182" t="n"/>
      <c r="F469" s="716" t="n"/>
      <c r="G469" s="716" t="n"/>
      <c r="H469" s="462" t="n"/>
    </row>
    <row r="470">
      <c r="A470" s="672" t="n"/>
      <c r="B470" s="767">
        <f>ROW()</f>
        <v/>
      </c>
      <c r="C470" s="182" t="n"/>
      <c r="D470" s="182" t="n"/>
      <c r="E470" s="182" t="n"/>
      <c r="F470" s="716" t="n"/>
      <c r="G470" s="716" t="n"/>
      <c r="H470" s="462" t="n"/>
    </row>
    <row r="471">
      <c r="A471" s="672" t="n"/>
      <c r="B471" s="767">
        <f>ROW()</f>
        <v/>
      </c>
      <c r="C471" s="182" t="n"/>
      <c r="D471" s="182" t="n"/>
      <c r="E471" s="182" t="n"/>
      <c r="F471" s="716" t="n"/>
      <c r="G471" s="716" t="n"/>
      <c r="H471" s="462" t="n"/>
    </row>
    <row r="472">
      <c r="A472" s="672" t="n"/>
      <c r="B472" s="767">
        <f>ROW()</f>
        <v/>
      </c>
      <c r="C472" s="182" t="n"/>
      <c r="D472" s="182" t="n"/>
      <c r="E472" s="182" t="n"/>
      <c r="F472" s="716" t="n"/>
      <c r="G472" s="716" t="n"/>
      <c r="H472" s="462" t="n"/>
    </row>
    <row r="473">
      <c r="A473" s="672" t="n"/>
      <c r="B473" s="767">
        <f>ROW()</f>
        <v/>
      </c>
      <c r="C473" s="182" t="n"/>
      <c r="D473" s="182" t="n"/>
      <c r="E473" s="182" t="n"/>
      <c r="F473" s="716" t="n"/>
      <c r="G473" s="716" t="n"/>
      <c r="H473" s="462" t="n"/>
    </row>
    <row r="474">
      <c r="A474" s="672" t="n"/>
      <c r="B474" s="767">
        <f>ROW()</f>
        <v/>
      </c>
      <c r="C474" s="182" t="n"/>
      <c r="D474" s="182" t="n"/>
      <c r="E474" s="182" t="n"/>
      <c r="F474" s="716" t="n"/>
      <c r="G474" s="716" t="n"/>
      <c r="H474" s="462" t="n"/>
    </row>
    <row r="475">
      <c r="A475" s="672" t="n"/>
      <c r="B475" s="767">
        <f>ROW()</f>
        <v/>
      </c>
      <c r="C475" s="182" t="n"/>
      <c r="D475" s="182" t="n"/>
      <c r="E475" s="182" t="n"/>
      <c r="F475" s="716" t="n"/>
      <c r="G475" s="716" t="n"/>
      <c r="H475" s="462" t="n"/>
    </row>
    <row r="476">
      <c r="A476" s="672" t="n"/>
      <c r="B476" s="767">
        <f>ROW()</f>
        <v/>
      </c>
      <c r="C476" s="182" t="n"/>
      <c r="D476" s="182" t="n"/>
      <c r="E476" s="182" t="n"/>
      <c r="F476" s="716" t="n"/>
      <c r="G476" s="716" t="n"/>
      <c r="H476" s="462" t="n"/>
    </row>
    <row r="477">
      <c r="A477" s="672" t="n"/>
      <c r="B477" s="767">
        <f>ROW()</f>
        <v/>
      </c>
      <c r="C477" s="182" t="n"/>
      <c r="D477" s="182" t="n"/>
      <c r="E477" s="182" t="n"/>
      <c r="F477" s="716" t="n"/>
      <c r="G477" s="716" t="n"/>
      <c r="H477" s="462" t="n"/>
    </row>
    <row r="478">
      <c r="A478" s="672" t="n"/>
      <c r="B478" s="767">
        <f>ROW()</f>
        <v/>
      </c>
      <c r="C478" s="182" t="n"/>
      <c r="D478" s="182" t="n"/>
      <c r="E478" s="182" t="n"/>
      <c r="F478" s="716" t="n"/>
      <c r="G478" s="716" t="n"/>
      <c r="H478" s="462" t="n"/>
    </row>
    <row r="479">
      <c r="A479" s="672" t="n"/>
      <c r="B479" s="767">
        <f>ROW()</f>
        <v/>
      </c>
      <c r="C479" s="182" t="n"/>
      <c r="D479" s="182" t="n"/>
      <c r="E479" s="182" t="n"/>
      <c r="F479" s="716" t="n"/>
      <c r="G479" s="716" t="n"/>
      <c r="H479" s="462" t="n"/>
    </row>
    <row r="480">
      <c r="A480" s="672" t="n"/>
      <c r="B480" s="767">
        <f>ROW()</f>
        <v/>
      </c>
      <c r="C480" s="182" t="n"/>
      <c r="D480" s="182" t="n"/>
      <c r="E480" s="182" t="n"/>
      <c r="F480" s="716" t="n"/>
      <c r="G480" s="716" t="n"/>
      <c r="H480" s="462" t="n"/>
    </row>
    <row r="481">
      <c r="A481" s="672" t="n"/>
      <c r="B481" s="767">
        <f>ROW()</f>
        <v/>
      </c>
      <c r="C481" s="182" t="n"/>
      <c r="D481" s="182" t="n"/>
      <c r="E481" s="182" t="n"/>
      <c r="F481" s="716" t="n"/>
      <c r="G481" s="716" t="n"/>
      <c r="H481" s="462" t="n"/>
    </row>
    <row r="482">
      <c r="A482" s="672" t="n"/>
      <c r="B482" s="767">
        <f>ROW()</f>
        <v/>
      </c>
      <c r="C482" s="182" t="n"/>
      <c r="D482" s="182" t="n"/>
      <c r="E482" s="182" t="n"/>
      <c r="F482" s="716" t="n"/>
      <c r="G482" s="716" t="n"/>
      <c r="H482" s="462" t="n"/>
    </row>
    <row r="483">
      <c r="A483" s="672" t="n"/>
      <c r="B483" s="767">
        <f>ROW()</f>
        <v/>
      </c>
      <c r="C483" s="182" t="n"/>
      <c r="D483" s="182" t="n"/>
      <c r="E483" s="182" t="n"/>
      <c r="F483" s="716" t="n"/>
      <c r="G483" s="716" t="n"/>
      <c r="H483" s="462" t="n"/>
    </row>
    <row r="484">
      <c r="A484" s="672" t="n"/>
      <c r="B484" s="767">
        <f>ROW()</f>
        <v/>
      </c>
      <c r="C484" s="182" t="n"/>
      <c r="D484" s="182" t="n"/>
      <c r="E484" s="182" t="n"/>
      <c r="F484" s="716" t="n"/>
      <c r="G484" s="716" t="n"/>
      <c r="H484" s="462" t="n"/>
    </row>
    <row r="485">
      <c r="A485" s="672" t="n"/>
      <c r="B485" s="767">
        <f>ROW()</f>
        <v/>
      </c>
      <c r="C485" s="182" t="n"/>
      <c r="D485" s="182" t="n"/>
      <c r="E485" s="182" t="n"/>
      <c r="F485" s="716" t="n"/>
      <c r="G485" s="716" t="n"/>
      <c r="H485" s="462" t="n"/>
    </row>
    <row r="486">
      <c r="A486" s="672" t="n"/>
      <c r="B486" s="767">
        <f>ROW()</f>
        <v/>
      </c>
      <c r="C486" s="182" t="n"/>
      <c r="D486" s="182" t="n"/>
      <c r="E486" s="182" t="n"/>
      <c r="F486" s="716" t="n"/>
      <c r="G486" s="716" t="n"/>
      <c r="H486" s="462" t="n"/>
    </row>
    <row r="487">
      <c r="A487" s="672" t="n"/>
      <c r="B487" s="767">
        <f>ROW()</f>
        <v/>
      </c>
      <c r="C487" s="182" t="n"/>
      <c r="D487" s="182" t="n"/>
      <c r="E487" s="182" t="n"/>
      <c r="F487" s="716" t="n"/>
      <c r="G487" s="716" t="n"/>
      <c r="H487" s="462" t="n"/>
    </row>
    <row r="488">
      <c r="A488" s="672" t="n"/>
      <c r="B488" s="767">
        <f>ROW()</f>
        <v/>
      </c>
      <c r="C488" s="182" t="n"/>
      <c r="D488" s="182" t="n"/>
      <c r="E488" s="182" t="n"/>
      <c r="F488" s="716" t="n"/>
      <c r="G488" s="716" t="n"/>
      <c r="H488" s="462" t="n"/>
    </row>
    <row r="489">
      <c r="A489" s="672" t="n"/>
      <c r="B489" s="767">
        <f>ROW()</f>
        <v/>
      </c>
      <c r="C489" s="182" t="n"/>
      <c r="D489" s="182" t="n"/>
      <c r="E489" s="182" t="n"/>
      <c r="F489" s="716" t="n"/>
      <c r="G489" s="716" t="n"/>
      <c r="H489" s="462" t="n"/>
    </row>
    <row r="490">
      <c r="A490" s="672" t="n"/>
      <c r="B490" s="767">
        <f>ROW()</f>
        <v/>
      </c>
      <c r="C490" s="182" t="n"/>
      <c r="D490" s="182" t="n"/>
      <c r="E490" s="182" t="n"/>
      <c r="F490" s="716" t="n"/>
      <c r="G490" s="716" t="n"/>
      <c r="H490" s="462" t="n"/>
    </row>
    <row r="491">
      <c r="A491" s="672" t="n"/>
      <c r="B491" s="767">
        <f>ROW()</f>
        <v/>
      </c>
      <c r="C491" s="182" t="n"/>
      <c r="D491" s="182" t="n"/>
      <c r="E491" s="182" t="n"/>
      <c r="F491" s="716" t="n"/>
      <c r="G491" s="716" t="n"/>
      <c r="H491" s="462" t="n"/>
    </row>
    <row r="492">
      <c r="A492" s="672" t="n"/>
      <c r="B492" s="767">
        <f>ROW()</f>
        <v/>
      </c>
      <c r="C492" s="182" t="n"/>
      <c r="D492" s="182" t="n"/>
      <c r="E492" s="182" t="n"/>
      <c r="F492" s="716" t="n"/>
      <c r="G492" s="716" t="n"/>
      <c r="H492" s="462" t="n"/>
    </row>
    <row r="493">
      <c r="A493" s="672" t="n"/>
      <c r="B493" s="767">
        <f>ROW()</f>
        <v/>
      </c>
      <c r="C493" s="182" t="n"/>
      <c r="D493" s="182" t="n"/>
      <c r="E493" s="182" t="n"/>
      <c r="F493" s="716" t="n"/>
      <c r="G493" s="716" t="n"/>
      <c r="H493" s="462" t="n"/>
    </row>
    <row r="494">
      <c r="A494" s="672" t="n"/>
      <c r="B494" s="767">
        <f>ROW()</f>
        <v/>
      </c>
      <c r="C494" s="182" t="n"/>
      <c r="D494" s="182" t="n"/>
      <c r="E494" s="182" t="n"/>
      <c r="F494" s="716" t="n"/>
      <c r="G494" s="716" t="n"/>
      <c r="H494" s="462" t="n"/>
    </row>
    <row r="495">
      <c r="A495" s="672" t="n"/>
      <c r="B495" s="767">
        <f>ROW()</f>
        <v/>
      </c>
      <c r="C495" s="182" t="n"/>
      <c r="D495" s="182" t="n"/>
      <c r="E495" s="182" t="n"/>
      <c r="F495" s="716" t="n"/>
      <c r="G495" s="716" t="n"/>
      <c r="H495" s="462" t="n"/>
    </row>
    <row r="496">
      <c r="A496" s="672" t="n"/>
      <c r="B496" s="767">
        <f>ROW()</f>
        <v/>
      </c>
      <c r="C496" s="182" t="n"/>
      <c r="D496" s="182" t="n"/>
      <c r="E496" s="182" t="n"/>
      <c r="F496" s="716" t="n"/>
      <c r="G496" s="716" t="n"/>
      <c r="H496" s="462" t="n"/>
    </row>
    <row r="497">
      <c r="A497" s="672" t="n"/>
      <c r="B497" s="767">
        <f>ROW()</f>
        <v/>
      </c>
      <c r="C497" s="182" t="n"/>
      <c r="D497" s="182" t="n"/>
      <c r="E497" s="182" t="n"/>
      <c r="F497" s="716" t="n"/>
      <c r="G497" s="716" t="n"/>
      <c r="H497" s="462" t="n"/>
    </row>
    <row r="498">
      <c r="A498" s="672" t="n"/>
      <c r="B498" s="767">
        <f>ROW()</f>
        <v/>
      </c>
      <c r="C498" s="182" t="n"/>
      <c r="D498" s="182" t="n"/>
      <c r="E498" s="182" t="n"/>
      <c r="F498" s="716" t="n"/>
      <c r="G498" s="716" t="n"/>
      <c r="H498" s="462" t="n"/>
    </row>
    <row r="499">
      <c r="A499" s="672" t="n"/>
      <c r="B499" s="767">
        <f>ROW()</f>
        <v/>
      </c>
      <c r="C499" s="182" t="n"/>
      <c r="D499" s="182" t="n"/>
      <c r="E499" s="182" t="n"/>
      <c r="F499" s="716" t="n"/>
      <c r="G499" s="716" t="n"/>
      <c r="H499" s="462" t="n"/>
    </row>
    <row r="500">
      <c r="A500" s="672" t="n"/>
      <c r="B500" s="767">
        <f>ROW()</f>
        <v/>
      </c>
      <c r="C500" s="182" t="n"/>
      <c r="D500" s="182" t="n"/>
      <c r="E500" s="182" t="n"/>
      <c r="F500" s="716" t="n"/>
      <c r="G500" s="716" t="n"/>
      <c r="H500" s="462" t="n"/>
    </row>
    <row r="501">
      <c r="A501" s="672" t="n"/>
      <c r="B501" s="767">
        <f>ROW()</f>
        <v/>
      </c>
      <c r="C501" s="182" t="n"/>
      <c r="D501" s="182" t="n"/>
      <c r="E501" s="182" t="n"/>
      <c r="F501" s="716" t="n"/>
      <c r="G501" s="716" t="n"/>
      <c r="H501" s="462" t="n"/>
    </row>
    <row r="502">
      <c r="A502" s="672" t="n"/>
      <c r="B502" s="767">
        <f>ROW()</f>
        <v/>
      </c>
      <c r="C502" s="182" t="n"/>
      <c r="D502" s="182" t="n"/>
      <c r="E502" s="182" t="n"/>
      <c r="F502" s="716" t="n"/>
      <c r="G502" s="716" t="n"/>
      <c r="H502" s="462" t="n"/>
    </row>
    <row r="503">
      <c r="A503" s="672" t="n"/>
      <c r="B503" s="767">
        <f>ROW()</f>
        <v/>
      </c>
      <c r="C503" s="182" t="n"/>
      <c r="D503" s="182" t="n"/>
      <c r="E503" s="182" t="n"/>
      <c r="F503" s="716" t="n"/>
      <c r="G503" s="716" t="n"/>
      <c r="H503" s="462" t="n"/>
    </row>
    <row r="504">
      <c r="A504" s="672" t="n"/>
      <c r="B504" s="767">
        <f>ROW()</f>
        <v/>
      </c>
      <c r="C504" s="182" t="n"/>
      <c r="D504" s="182" t="n"/>
      <c r="E504" s="182" t="n"/>
      <c r="F504" s="716" t="n"/>
      <c r="G504" s="716" t="n"/>
      <c r="H504" s="462" t="n"/>
    </row>
    <row r="505">
      <c r="A505" s="672" t="n"/>
      <c r="B505" s="767">
        <f>ROW()</f>
        <v/>
      </c>
      <c r="C505" s="182" t="n"/>
      <c r="D505" s="182" t="n"/>
      <c r="E505" s="182" t="n"/>
      <c r="F505" s="716" t="n"/>
      <c r="G505" s="716" t="n"/>
      <c r="H505" s="462" t="n"/>
    </row>
    <row r="506">
      <c r="A506" s="672" t="n"/>
      <c r="B506" s="767">
        <f>ROW()</f>
        <v/>
      </c>
      <c r="C506" s="182" t="n"/>
      <c r="D506" s="182" t="n"/>
      <c r="E506" s="182" t="n"/>
      <c r="F506" s="716" t="n"/>
      <c r="G506" s="716" t="n"/>
      <c r="H506" s="462" t="n"/>
    </row>
    <row r="507">
      <c r="A507" s="672" t="n"/>
      <c r="B507" s="767">
        <f>ROW()</f>
        <v/>
      </c>
      <c r="C507" s="182" t="n"/>
      <c r="D507" s="182" t="n"/>
      <c r="E507" s="182" t="n"/>
      <c r="F507" s="716" t="n"/>
      <c r="G507" s="716" t="n"/>
      <c r="H507" s="462" t="n"/>
    </row>
    <row r="508">
      <c r="A508" s="672" t="n"/>
      <c r="B508" s="767">
        <f>ROW()</f>
        <v/>
      </c>
      <c r="C508" s="182" t="n"/>
      <c r="D508" s="182" t="n"/>
      <c r="E508" s="182" t="n"/>
      <c r="F508" s="716" t="n"/>
      <c r="G508" s="716" t="n"/>
      <c r="H508" s="462" t="n"/>
    </row>
    <row r="509">
      <c r="A509" s="672" t="n"/>
      <c r="B509" s="767">
        <f>ROW()</f>
        <v/>
      </c>
      <c r="C509" s="182" t="n"/>
      <c r="D509" s="182" t="n"/>
      <c r="E509" s="182" t="n"/>
      <c r="F509" s="716" t="n"/>
      <c r="G509" s="716" t="n"/>
      <c r="H509" s="462" t="n"/>
    </row>
    <row r="510">
      <c r="A510" s="672" t="n"/>
      <c r="B510" s="767">
        <f>ROW()</f>
        <v/>
      </c>
      <c r="C510" s="182" t="n"/>
      <c r="D510" s="182" t="n"/>
      <c r="E510" s="182" t="n"/>
      <c r="F510" s="716" t="n"/>
      <c r="G510" s="716" t="n"/>
      <c r="H510" s="462" t="n"/>
    </row>
    <row r="511">
      <c r="A511" s="672" t="n"/>
      <c r="B511" s="767">
        <f>ROW()</f>
        <v/>
      </c>
      <c r="C511" s="182" t="n"/>
      <c r="D511" s="182" t="n"/>
      <c r="E511" s="182" t="n"/>
      <c r="F511" s="716" t="n"/>
      <c r="G511" s="716" t="n"/>
      <c r="H511" s="462" t="n"/>
    </row>
    <row r="512">
      <c r="A512" s="672" t="n"/>
      <c r="B512" s="767">
        <f>ROW()</f>
        <v/>
      </c>
      <c r="C512" s="182" t="n"/>
      <c r="D512" s="182" t="n"/>
      <c r="E512" s="182" t="n"/>
      <c r="F512" s="716" t="n"/>
      <c r="G512" s="716" t="n"/>
      <c r="H512" s="462" t="n"/>
    </row>
    <row r="513">
      <c r="A513" s="672" t="n"/>
      <c r="B513" s="767">
        <f>ROW()</f>
        <v/>
      </c>
      <c r="C513" s="182" t="n"/>
      <c r="D513" s="182" t="n"/>
      <c r="E513" s="182" t="n"/>
      <c r="F513" s="716" t="n"/>
      <c r="G513" s="716" t="n"/>
      <c r="H513" s="462" t="n"/>
    </row>
    <row r="514">
      <c r="A514" s="672" t="n"/>
      <c r="B514" s="767">
        <f>ROW()</f>
        <v/>
      </c>
      <c r="C514" s="182" t="n"/>
      <c r="D514" s="182" t="n"/>
      <c r="E514" s="182" t="n"/>
      <c r="F514" s="716" t="n"/>
      <c r="G514" s="716" t="n"/>
      <c r="H514" s="462" t="n"/>
    </row>
    <row r="515">
      <c r="A515" s="672" t="n"/>
      <c r="B515" s="767">
        <f>ROW()</f>
        <v/>
      </c>
      <c r="C515" s="182" t="n"/>
      <c r="D515" s="182" t="n"/>
      <c r="E515" s="182" t="n"/>
      <c r="F515" s="716" t="n"/>
      <c r="G515" s="716" t="n"/>
      <c r="H515" s="462" t="n"/>
    </row>
    <row r="516">
      <c r="A516" s="672" t="n"/>
      <c r="B516" s="767">
        <f>ROW()</f>
        <v/>
      </c>
      <c r="C516" s="182" t="n"/>
      <c r="D516" s="182" t="n"/>
      <c r="E516" s="182" t="n"/>
      <c r="F516" s="716" t="n"/>
      <c r="G516" s="716" t="n"/>
      <c r="H516" s="462" t="n"/>
    </row>
    <row r="517">
      <c r="A517" s="672" t="n"/>
      <c r="B517" s="767">
        <f>ROW()</f>
        <v/>
      </c>
      <c r="C517" s="182" t="n"/>
      <c r="D517" s="182" t="n"/>
      <c r="E517" s="182" t="n"/>
      <c r="F517" s="716" t="n"/>
      <c r="G517" s="716" t="n"/>
      <c r="H517" s="462" t="n"/>
    </row>
    <row r="518">
      <c r="A518" s="672" t="n"/>
      <c r="B518" s="767">
        <f>ROW()</f>
        <v/>
      </c>
      <c r="C518" s="182" t="n"/>
      <c r="D518" s="182" t="n"/>
      <c r="E518" s="182" t="n"/>
      <c r="F518" s="716" t="n"/>
      <c r="G518" s="716" t="n"/>
      <c r="H518" s="462" t="n"/>
    </row>
    <row r="519">
      <c r="A519" s="672" t="n"/>
      <c r="B519" s="767">
        <f>ROW()</f>
        <v/>
      </c>
      <c r="C519" s="182" t="n"/>
      <c r="D519" s="182" t="n"/>
      <c r="E519" s="182" t="n"/>
      <c r="F519" s="716" t="n"/>
      <c r="G519" s="716" t="n"/>
      <c r="H519" s="462" t="n"/>
    </row>
    <row r="520">
      <c r="A520" s="672" t="n"/>
      <c r="B520" s="767">
        <f>ROW()</f>
        <v/>
      </c>
      <c r="C520" s="182" t="n"/>
      <c r="D520" s="182" t="n"/>
      <c r="E520" s="182" t="n"/>
      <c r="F520" s="716" t="n"/>
      <c r="G520" s="716" t="n"/>
      <c r="H520" s="462" t="n"/>
    </row>
    <row r="521">
      <c r="A521" s="672" t="n"/>
      <c r="B521" s="767">
        <f>ROW()</f>
        <v/>
      </c>
      <c r="C521" s="182" t="n"/>
      <c r="D521" s="182" t="n"/>
      <c r="E521" s="182" t="n"/>
      <c r="F521" s="716" t="n"/>
      <c r="G521" s="716" t="n"/>
      <c r="H521" s="462" t="n"/>
    </row>
    <row r="522">
      <c r="A522" s="672" t="n"/>
      <c r="B522" s="767">
        <f>ROW()</f>
        <v/>
      </c>
      <c r="C522" s="182" t="n"/>
      <c r="D522" s="182" t="n"/>
      <c r="E522" s="182" t="n"/>
      <c r="F522" s="716" t="n"/>
      <c r="G522" s="716" t="n"/>
      <c r="H522" s="462" t="n"/>
    </row>
    <row r="523">
      <c r="A523" s="672" t="n"/>
      <c r="B523" s="767">
        <f>ROW()</f>
        <v/>
      </c>
      <c r="C523" s="182" t="n"/>
      <c r="D523" s="182" t="n"/>
      <c r="E523" s="182" t="n"/>
      <c r="F523" s="716" t="n"/>
      <c r="G523" s="716" t="n"/>
      <c r="H523" s="462" t="n"/>
    </row>
    <row r="524">
      <c r="A524" s="672" t="n"/>
      <c r="B524" s="767">
        <f>ROW()</f>
        <v/>
      </c>
      <c r="C524" s="182" t="n"/>
      <c r="D524" s="182" t="n"/>
      <c r="E524" s="182" t="n"/>
      <c r="F524" s="716" t="n"/>
      <c r="G524" s="716" t="n"/>
      <c r="H524" s="462" t="n"/>
    </row>
    <row r="525">
      <c r="A525" s="672" t="n"/>
      <c r="B525" s="767">
        <f>ROW()</f>
        <v/>
      </c>
      <c r="C525" s="182" t="n"/>
      <c r="D525" s="182" t="n"/>
      <c r="E525" s="182" t="n"/>
      <c r="F525" s="716" t="n"/>
      <c r="G525" s="716" t="n"/>
      <c r="H525" s="462" t="n"/>
    </row>
    <row r="526">
      <c r="A526" s="672" t="n"/>
      <c r="B526" s="767">
        <f>ROW()</f>
        <v/>
      </c>
      <c r="C526" s="182" t="n"/>
      <c r="D526" s="182" t="n"/>
      <c r="E526" s="182" t="n"/>
      <c r="F526" s="716" t="n"/>
      <c r="G526" s="716" t="n"/>
      <c r="H526" s="462" t="n"/>
    </row>
    <row r="527">
      <c r="A527" s="672" t="n"/>
      <c r="B527" s="767">
        <f>ROW()</f>
        <v/>
      </c>
      <c r="C527" s="182" t="n"/>
      <c r="D527" s="182" t="n"/>
      <c r="E527" s="182" t="n"/>
      <c r="F527" s="716" t="n"/>
      <c r="G527" s="716" t="n"/>
      <c r="H527" s="462" t="n"/>
    </row>
    <row r="528">
      <c r="A528" s="672" t="n"/>
      <c r="B528" s="767">
        <f>ROW()</f>
        <v/>
      </c>
      <c r="C528" s="182" t="n"/>
      <c r="D528" s="182" t="n"/>
      <c r="E528" s="182" t="n"/>
      <c r="F528" s="716" t="n"/>
      <c r="G528" s="716" t="n"/>
      <c r="H528" s="462" t="n"/>
    </row>
    <row r="529">
      <c r="A529" s="672" t="n"/>
      <c r="B529" s="767">
        <f>ROW()</f>
        <v/>
      </c>
      <c r="C529" s="182" t="n"/>
      <c r="D529" s="182" t="n"/>
      <c r="E529" s="182" t="n"/>
      <c r="F529" s="716" t="n"/>
      <c r="G529" s="716" t="n"/>
      <c r="H529" s="462" t="n"/>
    </row>
    <row r="530">
      <c r="A530" s="672" t="n"/>
      <c r="B530" s="767">
        <f>ROW()</f>
        <v/>
      </c>
      <c r="C530" s="182" t="n"/>
      <c r="D530" s="182" t="n"/>
      <c r="E530" s="182" t="n"/>
      <c r="F530" s="716" t="n"/>
      <c r="G530" s="716" t="n"/>
      <c r="H530" s="462" t="n"/>
    </row>
    <row r="531">
      <c r="A531" s="672" t="n"/>
      <c r="B531" s="767">
        <f>ROW()</f>
        <v/>
      </c>
      <c r="C531" s="182" t="n"/>
      <c r="D531" s="182" t="n"/>
      <c r="E531" s="182" t="n"/>
      <c r="F531" s="716" t="n"/>
      <c r="G531" s="716" t="n"/>
      <c r="H531" s="462" t="n"/>
    </row>
    <row r="532">
      <c r="A532" s="672" t="n"/>
      <c r="B532" s="767">
        <f>ROW()</f>
        <v/>
      </c>
      <c r="C532" s="182" t="n"/>
      <c r="D532" s="182" t="n"/>
      <c r="E532" s="182" t="n"/>
      <c r="F532" s="716" t="n"/>
      <c r="G532" s="716" t="n"/>
      <c r="H532" s="462" t="n"/>
    </row>
    <row r="533">
      <c r="A533" s="672" t="n"/>
      <c r="B533" s="767">
        <f>ROW()</f>
        <v/>
      </c>
      <c r="C533" s="182" t="n"/>
      <c r="D533" s="182" t="n"/>
      <c r="E533" s="182" t="n"/>
      <c r="F533" s="716" t="n"/>
      <c r="G533" s="716" t="n"/>
      <c r="H533" s="462" t="n"/>
    </row>
    <row r="534">
      <c r="A534" s="672" t="n"/>
      <c r="B534" s="767">
        <f>ROW()</f>
        <v/>
      </c>
      <c r="C534" s="182" t="n"/>
      <c r="D534" s="182" t="n"/>
      <c r="E534" s="182" t="n"/>
      <c r="F534" s="716" t="n"/>
      <c r="G534" s="716" t="n"/>
      <c r="H534" s="462" t="n"/>
    </row>
    <row r="535">
      <c r="A535" s="672" t="n"/>
      <c r="B535" s="767">
        <f>ROW()</f>
        <v/>
      </c>
      <c r="C535" s="182" t="n"/>
      <c r="D535" s="182" t="n"/>
      <c r="E535" s="182" t="n"/>
      <c r="F535" s="716" t="n"/>
      <c r="G535" s="716" t="n"/>
      <c r="H535" s="462" t="n"/>
    </row>
    <row r="536">
      <c r="A536" s="672" t="n"/>
      <c r="B536" s="767">
        <f>ROW()</f>
        <v/>
      </c>
      <c r="C536" s="182" t="n"/>
      <c r="D536" s="182" t="n"/>
      <c r="E536" s="182" t="n"/>
      <c r="F536" s="716" t="n"/>
      <c r="G536" s="716" t="n"/>
      <c r="H536" s="462" t="n"/>
    </row>
    <row r="537">
      <c r="A537" s="672" t="n"/>
      <c r="B537" s="767">
        <f>ROW()</f>
        <v/>
      </c>
      <c r="C537" s="182" t="n"/>
      <c r="D537" s="182" t="n"/>
      <c r="E537" s="182" t="n"/>
      <c r="F537" s="716" t="n"/>
      <c r="G537" s="716" t="n"/>
      <c r="H537" s="462" t="n"/>
    </row>
    <row r="538">
      <c r="A538" s="672" t="n"/>
      <c r="B538" s="767">
        <f>ROW()</f>
        <v/>
      </c>
      <c r="C538" s="182" t="n"/>
      <c r="D538" s="182" t="n"/>
      <c r="E538" s="182" t="n"/>
      <c r="F538" s="716" t="n"/>
      <c r="G538" s="716" t="n"/>
      <c r="H538" s="462" t="n"/>
    </row>
    <row r="539">
      <c r="A539" s="672" t="n"/>
      <c r="B539" s="767">
        <f>ROW()</f>
        <v/>
      </c>
      <c r="C539" s="182" t="n"/>
      <c r="D539" s="182" t="n"/>
      <c r="E539" s="182" t="n"/>
      <c r="F539" s="716" t="n"/>
      <c r="G539" s="716" t="n"/>
      <c r="H539" s="462" t="n"/>
    </row>
    <row r="540">
      <c r="A540" s="672" t="n"/>
      <c r="B540" s="767">
        <f>ROW()</f>
        <v/>
      </c>
      <c r="C540" s="182" t="n"/>
      <c r="D540" s="182" t="n"/>
      <c r="E540" s="182" t="n"/>
      <c r="F540" s="716" t="n"/>
      <c r="G540" s="716" t="n"/>
      <c r="H540" s="462" t="n"/>
    </row>
    <row r="541">
      <c r="A541" s="672" t="n"/>
      <c r="B541" s="767">
        <f>ROW()</f>
        <v/>
      </c>
      <c r="C541" s="182" t="n"/>
      <c r="D541" s="182" t="n"/>
      <c r="E541" s="182" t="n"/>
      <c r="F541" s="716" t="n"/>
      <c r="G541" s="716" t="n"/>
      <c r="H541" s="462" t="n"/>
    </row>
    <row r="542">
      <c r="A542" s="672" t="n"/>
      <c r="B542" s="767">
        <f>ROW()</f>
        <v/>
      </c>
      <c r="C542" s="182" t="n"/>
      <c r="D542" s="182" t="n"/>
      <c r="E542" s="182" t="n"/>
      <c r="F542" s="716" t="n"/>
      <c r="G542" s="716" t="n"/>
      <c r="H542" s="462" t="n"/>
    </row>
    <row r="543">
      <c r="A543" s="672" t="n"/>
      <c r="B543" s="767">
        <f>ROW()</f>
        <v/>
      </c>
      <c r="C543" s="182" t="n"/>
      <c r="D543" s="182" t="n"/>
      <c r="E543" s="182" t="n"/>
      <c r="F543" s="716" t="n"/>
      <c r="G543" s="716" t="n"/>
      <c r="H543" s="462" t="n"/>
    </row>
    <row r="544">
      <c r="A544" s="672" t="n"/>
      <c r="B544" s="767">
        <f>ROW()</f>
        <v/>
      </c>
      <c r="C544" s="182" t="n"/>
      <c r="D544" s="182" t="n"/>
      <c r="E544" s="182" t="n"/>
      <c r="F544" s="716" t="n"/>
      <c r="G544" s="716" t="n"/>
      <c r="H544" s="462" t="n"/>
    </row>
    <row r="545">
      <c r="A545" s="672" t="n"/>
      <c r="B545" s="767">
        <f>ROW()</f>
        <v/>
      </c>
      <c r="C545" s="182" t="n"/>
      <c r="D545" s="182" t="n"/>
      <c r="E545" s="182" t="n"/>
      <c r="F545" s="716" t="n"/>
      <c r="G545" s="716" t="n"/>
      <c r="H545" s="462" t="n"/>
    </row>
    <row r="546">
      <c r="A546" s="672" t="n"/>
      <c r="B546" s="767">
        <f>ROW()</f>
        <v/>
      </c>
      <c r="C546" s="182" t="n"/>
      <c r="D546" s="182" t="n"/>
      <c r="E546" s="182" t="n"/>
      <c r="F546" s="716" t="n"/>
      <c r="G546" s="716" t="n"/>
      <c r="H546" s="462" t="n"/>
    </row>
    <row r="547">
      <c r="A547" s="672" t="n"/>
      <c r="B547" s="767">
        <f>ROW()</f>
        <v/>
      </c>
      <c r="C547" s="182" t="n"/>
      <c r="D547" s="182" t="n"/>
      <c r="E547" s="182" t="n"/>
      <c r="F547" s="716" t="n"/>
      <c r="G547" s="716" t="n"/>
      <c r="H547" s="462" t="n"/>
    </row>
    <row r="548">
      <c r="A548" s="672" t="n"/>
      <c r="B548" s="767">
        <f>ROW()</f>
        <v/>
      </c>
      <c r="C548" s="182" t="n"/>
      <c r="D548" s="182" t="n"/>
      <c r="E548" s="182" t="n"/>
      <c r="F548" s="716" t="n"/>
      <c r="G548" s="716" t="n"/>
      <c r="H548" s="462" t="n"/>
    </row>
    <row r="549">
      <c r="A549" s="672" t="n"/>
      <c r="B549" s="767">
        <f>ROW()</f>
        <v/>
      </c>
      <c r="C549" s="182" t="n"/>
      <c r="D549" s="182" t="n"/>
      <c r="E549" s="182" t="n"/>
      <c r="F549" s="716" t="n"/>
      <c r="G549" s="716" t="n"/>
      <c r="H549" s="462" t="n"/>
    </row>
    <row r="550">
      <c r="A550" s="672" t="n"/>
      <c r="B550" s="767">
        <f>ROW()</f>
        <v/>
      </c>
      <c r="C550" s="182" t="n"/>
      <c r="D550" s="182" t="n"/>
      <c r="E550" s="182" t="n"/>
      <c r="F550" s="716" t="n"/>
      <c r="G550" s="716" t="n"/>
      <c r="H550" s="462" t="n"/>
    </row>
    <row r="551">
      <c r="A551" s="672" t="n"/>
      <c r="B551" s="767">
        <f>ROW()</f>
        <v/>
      </c>
      <c r="C551" s="182" t="n"/>
      <c r="D551" s="182" t="n"/>
      <c r="E551" s="182" t="n"/>
      <c r="F551" s="716" t="n"/>
      <c r="G551" s="716" t="n"/>
      <c r="H551" s="462" t="n"/>
    </row>
    <row r="552">
      <c r="A552" s="672" t="n"/>
      <c r="B552" s="767">
        <f>ROW()</f>
        <v/>
      </c>
      <c r="C552" s="182" t="n"/>
      <c r="D552" s="182" t="n"/>
      <c r="E552" s="182" t="n"/>
      <c r="F552" s="716" t="n"/>
      <c r="G552" s="716" t="n"/>
      <c r="H552" s="462" t="n"/>
    </row>
    <row r="553">
      <c r="A553" s="672" t="n"/>
      <c r="B553" s="767">
        <f>ROW()</f>
        <v/>
      </c>
      <c r="C553" s="182" t="n"/>
      <c r="D553" s="182" t="n"/>
      <c r="E553" s="182" t="n"/>
      <c r="F553" s="716" t="n"/>
      <c r="G553" s="716" t="n"/>
      <c r="H553" s="462" t="n"/>
    </row>
    <row r="554">
      <c r="A554" s="672" t="n"/>
      <c r="B554" s="767">
        <f>ROW()</f>
        <v/>
      </c>
      <c r="C554" s="182" t="n"/>
      <c r="D554" s="182" t="n"/>
      <c r="E554" s="182" t="n"/>
      <c r="F554" s="716" t="n"/>
      <c r="G554" s="716" t="n"/>
      <c r="H554" s="462" t="n"/>
    </row>
    <row r="555">
      <c r="A555" s="672" t="n"/>
      <c r="B555" s="767">
        <f>ROW()</f>
        <v/>
      </c>
      <c r="C555" s="182" t="n"/>
      <c r="D555" s="182" t="n"/>
      <c r="E555" s="182" t="n"/>
      <c r="F555" s="716" t="n"/>
      <c r="G555" s="716" t="n"/>
      <c r="H555" s="462" t="n"/>
    </row>
    <row r="556">
      <c r="A556" s="672" t="n"/>
      <c r="B556" s="767">
        <f>ROW()</f>
        <v/>
      </c>
      <c r="C556" s="182" t="n"/>
      <c r="D556" s="182" t="n"/>
      <c r="E556" s="182" t="n"/>
      <c r="F556" s="716" t="n"/>
      <c r="G556" s="716" t="n"/>
      <c r="H556" s="462" t="n"/>
    </row>
    <row r="557">
      <c r="A557" s="672" t="n"/>
      <c r="B557" s="767">
        <f>ROW()</f>
        <v/>
      </c>
      <c r="C557" s="182" t="n"/>
      <c r="D557" s="182" t="n"/>
      <c r="E557" s="182" t="n"/>
      <c r="F557" s="716" t="n"/>
      <c r="G557" s="716" t="n"/>
      <c r="H557" s="462" t="n"/>
    </row>
    <row r="558">
      <c r="A558" s="672" t="n"/>
      <c r="B558" s="767">
        <f>ROW()</f>
        <v/>
      </c>
      <c r="C558" s="182" t="n"/>
      <c r="D558" s="182" t="n"/>
      <c r="E558" s="182" t="n"/>
      <c r="F558" s="716" t="n"/>
      <c r="G558" s="716" t="n"/>
      <c r="H558" s="462" t="n"/>
    </row>
    <row r="559">
      <c r="A559" s="672" t="n"/>
      <c r="B559" s="767">
        <f>ROW()</f>
        <v/>
      </c>
      <c r="C559" s="182" t="n"/>
      <c r="D559" s="182" t="n"/>
      <c r="E559" s="182" t="n"/>
      <c r="F559" s="716" t="n"/>
      <c r="G559" s="716" t="n"/>
      <c r="H559" s="462" t="n"/>
    </row>
    <row r="560">
      <c r="A560" s="672" t="n"/>
      <c r="B560" s="767">
        <f>ROW()</f>
        <v/>
      </c>
      <c r="C560" s="182" t="n"/>
      <c r="D560" s="182" t="n"/>
      <c r="E560" s="182" t="n"/>
      <c r="F560" s="716" t="n"/>
      <c r="G560" s="716" t="n"/>
      <c r="H560" s="462" t="n"/>
    </row>
    <row r="561">
      <c r="A561" s="672" t="n"/>
      <c r="B561" s="767">
        <f>ROW()</f>
        <v/>
      </c>
      <c r="C561" s="182" t="n"/>
      <c r="D561" s="182" t="n"/>
      <c r="E561" s="182" t="n"/>
      <c r="F561" s="716" t="n"/>
      <c r="G561" s="716" t="n"/>
      <c r="H561" s="462" t="n"/>
    </row>
    <row r="562">
      <c r="A562" s="672" t="n"/>
      <c r="B562" s="767">
        <f>ROW()</f>
        <v/>
      </c>
      <c r="C562" s="182" t="n"/>
      <c r="D562" s="182" t="n"/>
      <c r="E562" s="182" t="n"/>
      <c r="F562" s="716" t="n"/>
      <c r="G562" s="716" t="n"/>
      <c r="H562" s="462" t="n"/>
    </row>
    <row r="563">
      <c r="A563" s="672" t="n"/>
      <c r="B563" s="767">
        <f>ROW()</f>
        <v/>
      </c>
      <c r="C563" s="182" t="n"/>
      <c r="D563" s="182" t="n"/>
      <c r="E563" s="182" t="n"/>
      <c r="F563" s="716" t="n"/>
      <c r="G563" s="716" t="n"/>
      <c r="H563" s="462" t="n"/>
    </row>
    <row r="564">
      <c r="A564" s="672" t="n"/>
      <c r="B564" s="767">
        <f>ROW()</f>
        <v/>
      </c>
      <c r="C564" s="182" t="n"/>
      <c r="D564" s="182" t="n"/>
      <c r="E564" s="182" t="n"/>
      <c r="F564" s="716" t="n"/>
      <c r="G564" s="716" t="n"/>
      <c r="H564" s="462" t="n"/>
    </row>
    <row r="565">
      <c r="A565" s="672" t="n"/>
      <c r="B565" s="767">
        <f>ROW()</f>
        <v/>
      </c>
      <c r="C565" s="182" t="n"/>
      <c r="D565" s="182" t="n"/>
      <c r="E565" s="182" t="n"/>
      <c r="F565" s="716" t="n"/>
      <c r="G565" s="716" t="n"/>
      <c r="H565" s="462" t="n"/>
    </row>
    <row r="566">
      <c r="A566" s="672" t="n"/>
      <c r="B566" s="767">
        <f>ROW()</f>
        <v/>
      </c>
      <c r="C566" s="182" t="n"/>
      <c r="D566" s="182" t="n"/>
      <c r="E566" s="182" t="n"/>
      <c r="F566" s="716" t="n"/>
      <c r="G566" s="716" t="n"/>
      <c r="H566" s="462" t="n"/>
    </row>
    <row r="567">
      <c r="A567" s="672" t="n"/>
      <c r="B567" s="767">
        <f>ROW()</f>
        <v/>
      </c>
      <c r="C567" s="182" t="n"/>
      <c r="D567" s="182" t="n"/>
      <c r="E567" s="182" t="n"/>
      <c r="F567" s="716" t="n"/>
      <c r="G567" s="716" t="n"/>
      <c r="H567" s="462" t="n"/>
    </row>
    <row r="568">
      <c r="A568" s="672" t="n"/>
      <c r="B568" s="767">
        <f>ROW()</f>
        <v/>
      </c>
      <c r="C568" s="182" t="n"/>
      <c r="D568" s="182" t="n"/>
      <c r="E568" s="182" t="n"/>
      <c r="F568" s="716" t="n"/>
      <c r="G568" s="716" t="n"/>
      <c r="H568" s="462" t="n"/>
    </row>
    <row r="569">
      <c r="A569" s="672" t="n"/>
      <c r="B569" s="767">
        <f>ROW()</f>
        <v/>
      </c>
      <c r="C569" s="182" t="n"/>
      <c r="D569" s="182" t="n"/>
      <c r="E569" s="182" t="n"/>
      <c r="F569" s="716" t="n"/>
      <c r="G569" s="716" t="n"/>
      <c r="H569" s="462" t="n"/>
    </row>
    <row r="570">
      <c r="A570" s="672" t="n"/>
      <c r="B570" s="767">
        <f>ROW()</f>
        <v/>
      </c>
      <c r="C570" s="182" t="n"/>
      <c r="D570" s="182" t="n"/>
      <c r="E570" s="182" t="n"/>
      <c r="F570" s="716" t="n"/>
      <c r="G570" s="716" t="n"/>
      <c r="H570" s="462" t="n"/>
    </row>
    <row r="571">
      <c r="A571" s="672" t="n"/>
      <c r="B571" s="767">
        <f>ROW()</f>
        <v/>
      </c>
      <c r="C571" s="182" t="n"/>
      <c r="D571" s="182" t="n"/>
      <c r="E571" s="182" t="n"/>
      <c r="F571" s="716" t="n"/>
      <c r="G571" s="716" t="n"/>
      <c r="H571" s="462" t="n"/>
    </row>
    <row r="572">
      <c r="A572" s="672" t="n"/>
      <c r="B572" s="767">
        <f>ROW()</f>
        <v/>
      </c>
      <c r="C572" s="182" t="n"/>
      <c r="D572" s="182" t="n"/>
      <c r="E572" s="182" t="n"/>
      <c r="F572" s="716" t="n"/>
      <c r="G572" s="716" t="n"/>
      <c r="H572" s="462" t="n"/>
    </row>
    <row r="573">
      <c r="A573" s="672" t="n"/>
      <c r="B573" s="767">
        <f>ROW()</f>
        <v/>
      </c>
      <c r="C573" s="182" t="n"/>
      <c r="D573" s="182" t="n"/>
      <c r="E573" s="182" t="n"/>
      <c r="F573" s="716" t="n"/>
      <c r="G573" s="716" t="n"/>
      <c r="H573" s="462" t="n"/>
    </row>
    <row r="574">
      <c r="A574" s="672" t="n"/>
      <c r="B574" s="767">
        <f>ROW()</f>
        <v/>
      </c>
      <c r="C574" s="182" t="n"/>
      <c r="D574" s="182" t="n"/>
      <c r="E574" s="182" t="n"/>
      <c r="F574" s="716" t="n"/>
      <c r="G574" s="716" t="n"/>
      <c r="H574" s="462" t="n"/>
    </row>
    <row r="575">
      <c r="A575" s="672" t="n"/>
      <c r="B575" s="767">
        <f>ROW()</f>
        <v/>
      </c>
      <c r="C575" s="182" t="n"/>
      <c r="D575" s="182" t="n"/>
      <c r="E575" s="182" t="n"/>
      <c r="F575" s="716" t="n"/>
      <c r="G575" s="716" t="n"/>
      <c r="H575" s="462" t="n"/>
    </row>
    <row r="576">
      <c r="A576" s="672" t="n"/>
      <c r="B576" s="767">
        <f>ROW()</f>
        <v/>
      </c>
      <c r="C576" s="182" t="n"/>
      <c r="D576" s="182" t="n"/>
      <c r="E576" s="182" t="n"/>
      <c r="F576" s="716" t="n"/>
      <c r="G576" s="716" t="n"/>
      <c r="H576" s="462" t="n"/>
    </row>
    <row r="577">
      <c r="A577" s="672" t="n"/>
      <c r="B577" s="767">
        <f>ROW()</f>
        <v/>
      </c>
      <c r="C577" s="182" t="n"/>
      <c r="D577" s="182" t="n"/>
      <c r="E577" s="182" t="n"/>
      <c r="F577" s="716" t="n"/>
      <c r="G577" s="716" t="n"/>
      <c r="H577" s="462" t="n"/>
    </row>
    <row r="578">
      <c r="A578" s="672" t="n"/>
      <c r="B578" s="767">
        <f>ROW()</f>
        <v/>
      </c>
      <c r="C578" s="182" t="n"/>
      <c r="D578" s="182" t="n"/>
      <c r="E578" s="182" t="n"/>
      <c r="F578" s="716" t="n"/>
      <c r="G578" s="716" t="n"/>
      <c r="H578" s="462" t="n"/>
    </row>
    <row r="579">
      <c r="A579" s="672" t="n"/>
      <c r="B579" s="767">
        <f>ROW()</f>
        <v/>
      </c>
      <c r="C579" s="182" t="n"/>
      <c r="D579" s="182" t="n"/>
      <c r="E579" s="182" t="n"/>
      <c r="F579" s="716" t="n"/>
      <c r="G579" s="716" t="n"/>
      <c r="H579" s="462" t="n"/>
    </row>
    <row r="580">
      <c r="A580" s="672" t="n"/>
      <c r="B580" s="767">
        <f>ROW()</f>
        <v/>
      </c>
      <c r="C580" s="182" t="n"/>
      <c r="D580" s="182" t="n"/>
      <c r="E580" s="182" t="n"/>
      <c r="F580" s="716" t="n"/>
      <c r="G580" s="716" t="n"/>
      <c r="H580" s="462" t="n"/>
    </row>
    <row r="581">
      <c r="A581" s="672" t="n"/>
      <c r="B581" s="767">
        <f>ROW()</f>
        <v/>
      </c>
      <c r="C581" s="182" t="n"/>
      <c r="D581" s="182" t="n"/>
      <c r="E581" s="182" t="n"/>
      <c r="F581" s="716" t="n"/>
      <c r="G581" s="716" t="n"/>
      <c r="H581" s="462" t="n"/>
    </row>
    <row r="582">
      <c r="A582" s="672" t="n"/>
      <c r="B582" s="767">
        <f>ROW()</f>
        <v/>
      </c>
      <c r="C582" s="182" t="n"/>
      <c r="D582" s="182" t="n"/>
      <c r="E582" s="182" t="n"/>
      <c r="F582" s="716" t="n"/>
      <c r="G582" s="716" t="n"/>
      <c r="H582" s="462" t="n"/>
    </row>
    <row r="583">
      <c r="A583" s="672" t="n"/>
      <c r="B583" s="767">
        <f>ROW()</f>
        <v/>
      </c>
      <c r="C583" s="182" t="n"/>
      <c r="D583" s="182" t="n"/>
      <c r="E583" s="182" t="n"/>
      <c r="F583" s="716" t="n"/>
      <c r="G583" s="716" t="n"/>
      <c r="H583" s="462" t="n"/>
    </row>
    <row r="584">
      <c r="A584" s="672" t="n"/>
      <c r="B584" s="767">
        <f>ROW()</f>
        <v/>
      </c>
      <c r="C584" s="182" t="n"/>
      <c r="D584" s="182" t="n"/>
      <c r="E584" s="182" t="n"/>
      <c r="F584" s="716" t="n"/>
      <c r="G584" s="716" t="n"/>
      <c r="H584" s="462" t="n"/>
    </row>
    <row r="585">
      <c r="A585" s="672" t="n"/>
      <c r="B585" s="767">
        <f>ROW()</f>
        <v/>
      </c>
      <c r="C585" s="182" t="n"/>
      <c r="D585" s="182" t="n"/>
      <c r="E585" s="182" t="n"/>
      <c r="F585" s="716" t="n"/>
      <c r="G585" s="716" t="n"/>
      <c r="H585" s="462" t="n"/>
    </row>
    <row r="586">
      <c r="A586" s="672" t="n"/>
      <c r="B586" s="767">
        <f>ROW()</f>
        <v/>
      </c>
      <c r="C586" s="182" t="n"/>
      <c r="D586" s="182" t="n"/>
      <c r="E586" s="182" t="n"/>
      <c r="F586" s="716" t="n"/>
      <c r="G586" s="716" t="n"/>
      <c r="H586" s="462" t="n"/>
    </row>
    <row r="587">
      <c r="A587" s="672" t="n"/>
      <c r="B587" s="767">
        <f>ROW()</f>
        <v/>
      </c>
      <c r="C587" s="182" t="n"/>
      <c r="D587" s="182" t="n"/>
      <c r="E587" s="182" t="n"/>
      <c r="F587" s="716" t="n"/>
      <c r="G587" s="716" t="n"/>
      <c r="H587" s="462" t="n"/>
    </row>
    <row r="588">
      <c r="A588" s="672" t="n"/>
      <c r="B588" s="767">
        <f>ROW()</f>
        <v/>
      </c>
      <c r="C588" s="182" t="n"/>
      <c r="D588" s="182" t="n"/>
      <c r="E588" s="182" t="n"/>
      <c r="F588" s="716" t="n"/>
      <c r="G588" s="716" t="n"/>
      <c r="H588" s="462" t="n"/>
    </row>
    <row r="589">
      <c r="A589" s="672" t="n"/>
      <c r="B589" s="767">
        <f>ROW()</f>
        <v/>
      </c>
      <c r="C589" s="182" t="n"/>
      <c r="D589" s="182" t="n"/>
      <c r="E589" s="182" t="n"/>
      <c r="F589" s="716" t="n"/>
      <c r="G589" s="716" t="n"/>
      <c r="H589" s="462" t="n"/>
    </row>
    <row r="590">
      <c r="A590" s="672" t="n"/>
      <c r="B590" s="767">
        <f>ROW()</f>
        <v/>
      </c>
      <c r="C590" s="182" t="n"/>
      <c r="D590" s="182" t="n"/>
      <c r="E590" s="182" t="n"/>
      <c r="F590" s="716" t="n"/>
      <c r="G590" s="716" t="n"/>
      <c r="H590" s="462" t="n"/>
    </row>
    <row r="591">
      <c r="A591" s="672" t="n"/>
      <c r="B591" s="767">
        <f>ROW()</f>
        <v/>
      </c>
      <c r="C591" s="182" t="n"/>
      <c r="D591" s="182" t="n"/>
      <c r="E591" s="182" t="n"/>
      <c r="F591" s="716" t="n"/>
      <c r="G591" s="716" t="n"/>
      <c r="H591" s="462" t="n"/>
    </row>
    <row r="592">
      <c r="A592" s="672" t="n"/>
      <c r="B592" s="767">
        <f>ROW()</f>
        <v/>
      </c>
      <c r="C592" s="182" t="n"/>
      <c r="D592" s="182" t="n"/>
      <c r="E592" s="182" t="n"/>
      <c r="F592" s="716" t="n"/>
      <c r="G592" s="716" t="n"/>
      <c r="H592" s="462" t="n"/>
    </row>
    <row r="593">
      <c r="A593" s="672" t="n"/>
      <c r="B593" s="767">
        <f>ROW()</f>
        <v/>
      </c>
      <c r="C593" s="182" t="n"/>
      <c r="D593" s="182" t="n"/>
      <c r="E593" s="182" t="n"/>
      <c r="F593" s="716" t="n"/>
      <c r="G593" s="716" t="n"/>
      <c r="H593" s="462" t="n"/>
    </row>
    <row r="594">
      <c r="A594" s="672" t="n"/>
      <c r="B594" s="767">
        <f>ROW()</f>
        <v/>
      </c>
      <c r="C594" s="182" t="n"/>
      <c r="D594" s="182" t="n"/>
      <c r="E594" s="182" t="n"/>
      <c r="F594" s="716" t="n"/>
      <c r="G594" s="716" t="n"/>
      <c r="H594" s="462" t="n"/>
    </row>
    <row r="595">
      <c r="A595" s="672" t="n"/>
      <c r="B595" s="767">
        <f>ROW()</f>
        <v/>
      </c>
      <c r="C595" s="182" t="n"/>
      <c r="D595" s="182" t="n"/>
      <c r="E595" s="182" t="n"/>
      <c r="F595" s="716" t="n"/>
      <c r="G595" s="716" t="n"/>
      <c r="H595" s="462" t="n"/>
    </row>
    <row r="596">
      <c r="A596" s="672" t="n"/>
      <c r="B596" s="767">
        <f>ROW()</f>
        <v/>
      </c>
      <c r="C596" s="182" t="n"/>
      <c r="D596" s="182" t="n"/>
      <c r="E596" s="182" t="n"/>
      <c r="F596" s="716" t="n"/>
      <c r="G596" s="716" t="n"/>
      <c r="H596" s="462" t="n"/>
    </row>
    <row r="597">
      <c r="A597" s="672" t="n"/>
      <c r="B597" s="767">
        <f>ROW()</f>
        <v/>
      </c>
      <c r="C597" s="182" t="n"/>
      <c r="D597" s="182" t="n"/>
      <c r="E597" s="182" t="n"/>
      <c r="F597" s="716" t="n"/>
      <c r="G597" s="716" t="n"/>
      <c r="H597" s="462" t="n"/>
    </row>
    <row r="598">
      <c r="A598" s="672" t="n"/>
      <c r="B598" s="767">
        <f>ROW()</f>
        <v/>
      </c>
      <c r="C598" s="182" t="n"/>
      <c r="D598" s="182" t="n"/>
      <c r="E598" s="182" t="n"/>
      <c r="F598" s="716" t="n"/>
      <c r="G598" s="716" t="n"/>
      <c r="H598" s="462" t="n"/>
    </row>
    <row r="599">
      <c r="A599" s="672" t="n"/>
      <c r="B599" s="767">
        <f>ROW()</f>
        <v/>
      </c>
      <c r="C599" s="182" t="n"/>
      <c r="D599" s="182" t="n"/>
      <c r="E599" s="182" t="n"/>
      <c r="F599" s="716" t="n"/>
      <c r="G599" s="716" t="n"/>
      <c r="H599" s="462" t="n"/>
    </row>
    <row r="600">
      <c r="A600" s="672" t="n"/>
      <c r="B600" s="767">
        <f>ROW()</f>
        <v/>
      </c>
      <c r="C600" s="182" t="n"/>
      <c r="D600" s="182" t="n"/>
      <c r="E600" s="182" t="n"/>
      <c r="F600" s="716" t="n"/>
      <c r="G600" s="716" t="n"/>
      <c r="H600" s="462" t="n"/>
    </row>
    <row r="601">
      <c r="A601" s="672" t="n"/>
      <c r="B601" s="767">
        <f>ROW()</f>
        <v/>
      </c>
      <c r="C601" s="182" t="n"/>
      <c r="D601" s="182" t="n"/>
      <c r="E601" s="182" t="n"/>
      <c r="F601" s="716" t="n"/>
      <c r="G601" s="716" t="n"/>
      <c r="H601" s="462" t="n"/>
    </row>
    <row r="602">
      <c r="A602" s="672" t="n"/>
      <c r="B602" s="767">
        <f>ROW()</f>
        <v/>
      </c>
      <c r="C602" s="182" t="n"/>
      <c r="D602" s="182" t="n"/>
      <c r="E602" s="182" t="n"/>
      <c r="F602" s="716" t="n"/>
      <c r="G602" s="716" t="n"/>
      <c r="H602" s="462" t="n"/>
    </row>
    <row r="603">
      <c r="A603" s="672" t="n"/>
      <c r="B603" s="767">
        <f>ROW()</f>
        <v/>
      </c>
      <c r="C603" s="182" t="n"/>
      <c r="D603" s="182" t="n"/>
      <c r="E603" s="182" t="n"/>
      <c r="F603" s="716" t="n"/>
      <c r="G603" s="716" t="n"/>
      <c r="H603" s="462" t="n"/>
    </row>
    <row r="604">
      <c r="A604" s="672" t="n"/>
      <c r="B604" s="767">
        <f>ROW()</f>
        <v/>
      </c>
      <c r="C604" s="182" t="n"/>
      <c r="D604" s="182" t="n"/>
      <c r="E604" s="182" t="n"/>
      <c r="F604" s="716" t="n"/>
      <c r="G604" s="716" t="n"/>
      <c r="H604" s="462" t="n"/>
    </row>
    <row r="605">
      <c r="A605" s="672" t="n"/>
      <c r="B605" s="767">
        <f>ROW()</f>
        <v/>
      </c>
      <c r="C605" s="182" t="n"/>
      <c r="D605" s="182" t="n"/>
      <c r="E605" s="182" t="n"/>
      <c r="F605" s="716" t="n"/>
      <c r="G605" s="716" t="n"/>
      <c r="H605" s="462" t="n"/>
    </row>
    <row r="606">
      <c r="A606" s="672" t="n"/>
      <c r="B606" s="767">
        <f>ROW()</f>
        <v/>
      </c>
      <c r="C606" s="182" t="n"/>
      <c r="D606" s="182" t="n"/>
      <c r="E606" s="182" t="n"/>
      <c r="F606" s="716" t="n"/>
      <c r="G606" s="716" t="n"/>
      <c r="H606" s="462" t="n"/>
    </row>
    <row r="607">
      <c r="A607" s="672" t="n"/>
      <c r="B607" s="767">
        <f>ROW()</f>
        <v/>
      </c>
      <c r="C607" s="182" t="n"/>
      <c r="D607" s="182" t="n"/>
      <c r="E607" s="182" t="n"/>
      <c r="F607" s="716" t="n"/>
      <c r="G607" s="716" t="n"/>
      <c r="H607" s="462" t="n"/>
    </row>
    <row r="608">
      <c r="A608" s="672" t="n"/>
      <c r="B608" s="767">
        <f>ROW()</f>
        <v/>
      </c>
      <c r="C608" s="182" t="n"/>
      <c r="D608" s="182" t="n"/>
      <c r="E608" s="182" t="n"/>
      <c r="F608" s="716" t="n"/>
      <c r="G608" s="716" t="n"/>
      <c r="H608" s="462" t="n"/>
    </row>
    <row r="609">
      <c r="A609" s="672" t="n"/>
      <c r="B609" s="767">
        <f>ROW()</f>
        <v/>
      </c>
      <c r="C609" s="182" t="n"/>
      <c r="D609" s="182" t="n"/>
      <c r="E609" s="182" t="n"/>
      <c r="F609" s="716" t="n"/>
      <c r="G609" s="716" t="n"/>
      <c r="H609" s="462" t="n"/>
    </row>
    <row r="610">
      <c r="A610" s="672" t="n"/>
      <c r="B610" s="767">
        <f>ROW()</f>
        <v/>
      </c>
      <c r="C610" s="182" t="n"/>
      <c r="D610" s="182" t="n"/>
      <c r="E610" s="182" t="n"/>
      <c r="F610" s="716" t="n"/>
      <c r="G610" s="716" t="n"/>
      <c r="H610" s="462" t="n"/>
    </row>
    <row r="611">
      <c r="A611" s="672" t="n"/>
      <c r="B611" s="767">
        <f>ROW()</f>
        <v/>
      </c>
      <c r="C611" s="182" t="n"/>
      <c r="D611" s="182" t="n"/>
      <c r="E611" s="182" t="n"/>
      <c r="F611" s="716" t="n"/>
      <c r="G611" s="716" t="n"/>
      <c r="H611" s="462" t="n"/>
    </row>
    <row r="612">
      <c r="A612" s="672" t="n"/>
      <c r="B612" s="767">
        <f>ROW()</f>
        <v/>
      </c>
      <c r="C612" s="182" t="n"/>
      <c r="D612" s="182" t="n"/>
      <c r="E612" s="182" t="n"/>
      <c r="F612" s="716" t="n"/>
      <c r="G612" s="716" t="n"/>
      <c r="H612" s="462" t="n"/>
    </row>
    <row r="613">
      <c r="A613" s="672" t="n"/>
      <c r="B613" s="767">
        <f>ROW()</f>
        <v/>
      </c>
      <c r="C613" s="182" t="n"/>
      <c r="D613" s="182" t="n"/>
      <c r="E613" s="182" t="n"/>
      <c r="F613" s="716" t="n"/>
      <c r="G613" s="716" t="n"/>
      <c r="H613" s="462" t="n"/>
    </row>
    <row r="614">
      <c r="A614" s="672" t="n"/>
      <c r="B614" s="767">
        <f>ROW()</f>
        <v/>
      </c>
      <c r="C614" s="182" t="n"/>
      <c r="D614" s="182" t="n"/>
      <c r="E614" s="182" t="n"/>
      <c r="F614" s="716" t="n"/>
      <c r="G614" s="716" t="n"/>
      <c r="H614" s="462" t="n"/>
    </row>
    <row r="615">
      <c r="A615" s="672" t="n"/>
      <c r="B615" s="767">
        <f>ROW()</f>
        <v/>
      </c>
      <c r="C615" s="182" t="n"/>
      <c r="D615" s="182" t="n"/>
      <c r="E615" s="182" t="n"/>
      <c r="F615" s="716" t="n"/>
      <c r="G615" s="716" t="n"/>
      <c r="H615" s="462" t="n"/>
    </row>
    <row r="616">
      <c r="A616" s="672" t="n"/>
      <c r="B616" s="767">
        <f>ROW()</f>
        <v/>
      </c>
      <c r="C616" s="182" t="n"/>
      <c r="D616" s="182" t="n"/>
      <c r="E616" s="182" t="n"/>
      <c r="F616" s="716" t="n"/>
      <c r="G616" s="716" t="n"/>
      <c r="H616" s="462" t="n"/>
    </row>
    <row r="617">
      <c r="A617" s="672" t="n"/>
      <c r="B617" s="767">
        <f>ROW()</f>
        <v/>
      </c>
      <c r="C617" s="182" t="n"/>
      <c r="D617" s="182" t="n"/>
      <c r="E617" s="182" t="n"/>
      <c r="F617" s="716" t="n"/>
      <c r="G617" s="716" t="n"/>
      <c r="H617" s="462" t="n"/>
    </row>
    <row r="618">
      <c r="A618" s="672" t="n"/>
      <c r="B618" s="767">
        <f>ROW()</f>
        <v/>
      </c>
      <c r="C618" s="182" t="n"/>
      <c r="D618" s="182" t="n"/>
      <c r="E618" s="182" t="n"/>
      <c r="F618" s="716" t="n"/>
      <c r="G618" s="716" t="n"/>
      <c r="H618" s="462" t="n"/>
    </row>
    <row r="619">
      <c r="A619" s="672" t="n"/>
      <c r="B619" s="767">
        <f>ROW()</f>
        <v/>
      </c>
      <c r="C619" s="182" t="n"/>
      <c r="D619" s="182" t="n"/>
      <c r="E619" s="182" t="n"/>
      <c r="F619" s="716" t="n"/>
      <c r="G619" s="716" t="n"/>
      <c r="H619" s="462" t="n"/>
    </row>
    <row r="620">
      <c r="A620" s="672" t="n"/>
      <c r="B620" s="767">
        <f>ROW()</f>
        <v/>
      </c>
      <c r="C620" s="182" t="n"/>
      <c r="D620" s="182" t="n"/>
      <c r="E620" s="182" t="n"/>
      <c r="F620" s="716" t="n"/>
      <c r="G620" s="716" t="n"/>
      <c r="H620" s="462" t="n"/>
    </row>
    <row r="621">
      <c r="A621" s="672" t="n"/>
      <c r="B621" s="767">
        <f>ROW()</f>
        <v/>
      </c>
      <c r="C621" s="182" t="n"/>
      <c r="D621" s="182" t="n"/>
      <c r="E621" s="182" t="n"/>
      <c r="F621" s="716" t="n"/>
      <c r="G621" s="716" t="n"/>
      <c r="H621" s="462" t="n"/>
    </row>
    <row r="622">
      <c r="A622" s="672" t="n"/>
      <c r="B622" s="767">
        <f>ROW()</f>
        <v/>
      </c>
      <c r="C622" s="182" t="n"/>
      <c r="D622" s="182" t="n"/>
      <c r="E622" s="182" t="n"/>
      <c r="F622" s="716" t="n"/>
      <c r="G622" s="716" t="n"/>
      <c r="H622" s="462" t="n"/>
    </row>
    <row r="623">
      <c r="A623" s="672" t="n"/>
      <c r="B623" s="767">
        <f>ROW()</f>
        <v/>
      </c>
      <c r="C623" s="182" t="n"/>
      <c r="D623" s="182" t="n"/>
      <c r="E623" s="182" t="n"/>
      <c r="F623" s="716" t="n"/>
      <c r="G623" s="716" t="n"/>
      <c r="H623" s="462" t="n"/>
    </row>
    <row r="624">
      <c r="A624" s="672" t="n"/>
      <c r="B624" s="767">
        <f>ROW()</f>
        <v/>
      </c>
      <c r="C624" s="182" t="n"/>
      <c r="D624" s="182" t="n"/>
      <c r="E624" s="182" t="n"/>
      <c r="F624" s="716" t="n"/>
      <c r="G624" s="716" t="n"/>
      <c r="H624" s="462" t="n"/>
    </row>
    <row r="625">
      <c r="A625" s="672" t="n"/>
      <c r="B625" s="767">
        <f>ROW()</f>
        <v/>
      </c>
      <c r="C625" s="182" t="n"/>
      <c r="D625" s="182" t="n"/>
      <c r="E625" s="182" t="n"/>
      <c r="F625" s="716" t="n"/>
      <c r="G625" s="716" t="n"/>
      <c r="H625" s="462" t="n"/>
    </row>
    <row r="626">
      <c r="A626" s="672" t="n"/>
      <c r="B626" s="767">
        <f>ROW()</f>
        <v/>
      </c>
      <c r="C626" s="182" t="n"/>
      <c r="D626" s="182" t="n"/>
      <c r="E626" s="182" t="n"/>
      <c r="F626" s="716" t="n"/>
      <c r="G626" s="716" t="n"/>
      <c r="H626" s="462" t="n"/>
    </row>
    <row r="627">
      <c r="A627" s="672" t="n"/>
      <c r="B627" s="767">
        <f>ROW()</f>
        <v/>
      </c>
      <c r="C627" s="182" t="n"/>
      <c r="D627" s="182" t="n"/>
      <c r="E627" s="182" t="n"/>
      <c r="F627" s="716" t="n"/>
      <c r="G627" s="716" t="n"/>
      <c r="H627" s="462" t="n"/>
    </row>
    <row r="628">
      <c r="A628" s="672" t="n"/>
      <c r="B628" s="767">
        <f>ROW()</f>
        <v/>
      </c>
      <c r="C628" s="182" t="n"/>
      <c r="D628" s="182" t="n"/>
      <c r="E628" s="182" t="n"/>
      <c r="F628" s="716" t="n"/>
      <c r="G628" s="716" t="n"/>
      <c r="H628" s="462" t="n"/>
    </row>
    <row r="629">
      <c r="A629" s="672" t="n"/>
      <c r="B629" s="767">
        <f>ROW()</f>
        <v/>
      </c>
      <c r="C629" s="182" t="n"/>
      <c r="D629" s="182" t="n"/>
      <c r="E629" s="182" t="n"/>
      <c r="F629" s="716" t="n"/>
      <c r="G629" s="716" t="n"/>
      <c r="H629" s="462" t="n"/>
    </row>
    <row r="630">
      <c r="A630" s="672" t="n"/>
      <c r="B630" s="767">
        <f>ROW()</f>
        <v/>
      </c>
      <c r="C630" s="182" t="n"/>
      <c r="D630" s="182" t="n"/>
      <c r="E630" s="182" t="n"/>
      <c r="F630" s="716" t="n"/>
      <c r="G630" s="716" t="n"/>
      <c r="H630" s="462" t="n"/>
    </row>
    <row r="631">
      <c r="A631" s="672" t="n"/>
      <c r="B631" s="767">
        <f>ROW()</f>
        <v/>
      </c>
      <c r="C631" s="182" t="n"/>
      <c r="D631" s="182" t="n"/>
      <c r="E631" s="182" t="n"/>
      <c r="F631" s="716" t="n"/>
      <c r="G631" s="716" t="n"/>
      <c r="H631" s="462" t="n"/>
    </row>
    <row r="632">
      <c r="A632" s="672" t="n"/>
      <c r="B632" s="767">
        <f>ROW()</f>
        <v/>
      </c>
      <c r="C632" s="182" t="n"/>
      <c r="D632" s="182" t="n"/>
      <c r="E632" s="182" t="n"/>
      <c r="F632" s="716" t="n"/>
      <c r="G632" s="716" t="n"/>
      <c r="H632" s="462" t="n"/>
    </row>
    <row r="633">
      <c r="A633" s="672" t="n"/>
      <c r="B633" s="767">
        <f>ROW()</f>
        <v/>
      </c>
      <c r="C633" s="182" t="n"/>
      <c r="D633" s="182" t="n"/>
      <c r="E633" s="182" t="n"/>
      <c r="F633" s="716" t="n"/>
      <c r="G633" s="716" t="n"/>
      <c r="H633" s="462" t="n"/>
    </row>
    <row r="634">
      <c r="A634" s="672" t="n"/>
      <c r="B634" s="767">
        <f>ROW()</f>
        <v/>
      </c>
      <c r="C634" s="182" t="n"/>
      <c r="D634" s="182" t="n"/>
      <c r="E634" s="182" t="n"/>
      <c r="F634" s="716" t="n"/>
      <c r="G634" s="716" t="n"/>
      <c r="H634" s="462" t="n"/>
    </row>
    <row r="635">
      <c r="A635" s="672" t="n"/>
      <c r="B635" s="767">
        <f>ROW()</f>
        <v/>
      </c>
      <c r="C635" s="182" t="n"/>
      <c r="D635" s="182" t="n"/>
      <c r="E635" s="182" t="n"/>
      <c r="F635" s="716" t="n"/>
      <c r="G635" s="716" t="n"/>
      <c r="H635" s="462" t="n"/>
    </row>
    <row r="636">
      <c r="A636" s="672" t="n"/>
      <c r="B636" s="767">
        <f>ROW()</f>
        <v/>
      </c>
      <c r="C636" s="182" t="n"/>
      <c r="D636" s="182" t="n"/>
      <c r="E636" s="182" t="n"/>
      <c r="F636" s="716" t="n"/>
      <c r="G636" s="716" t="n"/>
      <c r="H636" s="462" t="n"/>
    </row>
    <row r="637">
      <c r="A637" s="672" t="n"/>
      <c r="B637" s="767">
        <f>ROW()</f>
        <v/>
      </c>
      <c r="C637" s="182" t="n"/>
      <c r="D637" s="182" t="n"/>
      <c r="E637" s="182" t="n"/>
      <c r="F637" s="716" t="n"/>
      <c r="G637" s="716" t="n"/>
      <c r="H637" s="462" t="n"/>
    </row>
    <row r="638">
      <c r="A638" s="672" t="n"/>
      <c r="B638" s="767">
        <f>ROW()</f>
        <v/>
      </c>
      <c r="C638" s="182" t="n"/>
      <c r="D638" s="182" t="n"/>
      <c r="E638" s="182" t="n"/>
      <c r="F638" s="716" t="n"/>
      <c r="G638" s="716" t="n"/>
      <c r="H638" s="462" t="n"/>
    </row>
    <row r="639">
      <c r="A639" s="672" t="n"/>
      <c r="B639" s="767">
        <f>ROW()</f>
        <v/>
      </c>
      <c r="C639" s="182" t="n"/>
      <c r="D639" s="182" t="n"/>
      <c r="E639" s="182" t="n"/>
      <c r="F639" s="716" t="n"/>
      <c r="G639" s="716" t="n"/>
      <c r="H639" s="462" t="n"/>
    </row>
    <row r="640">
      <c r="A640" s="672" t="n"/>
      <c r="B640" s="767">
        <f>ROW()</f>
        <v/>
      </c>
      <c r="C640" s="182" t="n"/>
      <c r="D640" s="182" t="n"/>
      <c r="E640" s="182" t="n"/>
      <c r="F640" s="716" t="n"/>
      <c r="G640" s="716" t="n"/>
      <c r="H640" s="462" t="n"/>
    </row>
    <row r="641">
      <c r="A641" s="672" t="n"/>
      <c r="B641" s="767">
        <f>ROW()</f>
        <v/>
      </c>
      <c r="C641" s="182" t="n"/>
      <c r="D641" s="182" t="n"/>
      <c r="E641" s="182" t="n"/>
      <c r="F641" s="716" t="n"/>
      <c r="G641" s="716" t="n"/>
      <c r="H641" s="462" t="n"/>
    </row>
    <row r="642">
      <c r="A642" s="672" t="n"/>
      <c r="B642" s="767">
        <f>ROW()</f>
        <v/>
      </c>
      <c r="C642" s="182" t="n"/>
      <c r="D642" s="182" t="n"/>
      <c r="E642" s="182" t="n"/>
      <c r="F642" s="716" t="n"/>
      <c r="G642" s="716" t="n"/>
      <c r="H642" s="462" t="n"/>
    </row>
    <row r="643">
      <c r="A643" s="672" t="n"/>
      <c r="B643" s="767">
        <f>ROW()</f>
        <v/>
      </c>
      <c r="C643" s="182" t="n"/>
      <c r="D643" s="182" t="n"/>
      <c r="E643" s="182" t="n"/>
      <c r="F643" s="716" t="n"/>
      <c r="G643" s="716" t="n"/>
      <c r="H643" s="462" t="n"/>
    </row>
    <row r="644">
      <c r="A644" s="672" t="n"/>
      <c r="B644" s="767">
        <f>ROW()</f>
        <v/>
      </c>
      <c r="C644" s="182" t="n"/>
      <c r="D644" s="182" t="n"/>
      <c r="E644" s="182" t="n"/>
      <c r="F644" s="716" t="n"/>
      <c r="G644" s="716" t="n"/>
      <c r="H644" s="462" t="n"/>
    </row>
    <row r="645">
      <c r="A645" s="672" t="n"/>
      <c r="B645" s="767">
        <f>ROW()</f>
        <v/>
      </c>
      <c r="C645" s="182" t="n"/>
      <c r="D645" s="182" t="n"/>
      <c r="E645" s="182" t="n"/>
      <c r="F645" s="716" t="n"/>
      <c r="G645" s="716" t="n"/>
      <c r="H645" s="462" t="n"/>
    </row>
    <row r="646">
      <c r="A646" s="672" t="n"/>
      <c r="B646" s="767">
        <f>ROW()</f>
        <v/>
      </c>
      <c r="C646" s="182" t="n"/>
      <c r="D646" s="182" t="n"/>
      <c r="E646" s="182" t="n"/>
      <c r="F646" s="716" t="n"/>
      <c r="G646" s="716" t="n"/>
      <c r="H646" s="462" t="n"/>
    </row>
    <row r="647">
      <c r="A647" s="672" t="n"/>
      <c r="B647" s="767">
        <f>ROW()</f>
        <v/>
      </c>
      <c r="C647" s="182" t="n"/>
      <c r="D647" s="182" t="n"/>
      <c r="E647" s="182" t="n"/>
      <c r="F647" s="716" t="n"/>
      <c r="G647" s="716" t="n"/>
      <c r="H647" s="462" t="n"/>
    </row>
    <row r="648">
      <c r="A648" s="672" t="n"/>
      <c r="B648" s="767">
        <f>ROW()</f>
        <v/>
      </c>
      <c r="C648" s="182" t="n"/>
      <c r="D648" s="182" t="n"/>
      <c r="E648" s="182" t="n"/>
      <c r="F648" s="716" t="n"/>
      <c r="G648" s="716" t="n"/>
      <c r="H648" s="462" t="n"/>
    </row>
    <row r="649">
      <c r="A649" s="672" t="n"/>
      <c r="B649" s="767">
        <f>ROW()</f>
        <v/>
      </c>
      <c r="C649" s="182" t="n"/>
      <c r="D649" s="182" t="n"/>
      <c r="E649" s="182" t="n"/>
      <c r="F649" s="716" t="n"/>
      <c r="G649" s="716" t="n"/>
      <c r="H649" s="462" t="n"/>
    </row>
    <row r="650">
      <c r="A650" s="672" t="n"/>
      <c r="B650" s="767">
        <f>ROW()</f>
        <v/>
      </c>
      <c r="C650" s="182" t="n"/>
      <c r="D650" s="182" t="n"/>
      <c r="E650" s="182" t="n"/>
      <c r="F650" s="716" t="n"/>
      <c r="G650" s="716" t="n"/>
      <c r="H650" s="462" t="n"/>
    </row>
    <row r="651">
      <c r="A651" s="672" t="n"/>
      <c r="B651" s="767">
        <f>ROW()</f>
        <v/>
      </c>
      <c r="C651" s="182" t="n"/>
      <c r="D651" s="182" t="n"/>
      <c r="E651" s="182" t="n"/>
      <c r="F651" s="716" t="n"/>
      <c r="G651" s="716" t="n"/>
      <c r="H651" s="462" t="n"/>
    </row>
    <row r="652">
      <c r="A652" s="672" t="n"/>
      <c r="B652" s="767">
        <f>ROW()</f>
        <v/>
      </c>
      <c r="C652" s="182" t="n"/>
      <c r="D652" s="182" t="n"/>
      <c r="E652" s="182" t="n"/>
      <c r="F652" s="716" t="n"/>
      <c r="G652" s="716" t="n"/>
      <c r="H652" s="462" t="n"/>
    </row>
    <row r="653">
      <c r="A653" s="672" t="n"/>
      <c r="B653" s="767">
        <f>ROW()</f>
        <v/>
      </c>
      <c r="C653" s="182" t="n"/>
      <c r="D653" s="182" t="n"/>
      <c r="E653" s="182" t="n"/>
      <c r="F653" s="716" t="n"/>
      <c r="G653" s="716" t="n"/>
      <c r="H653" s="462" t="n"/>
    </row>
    <row r="654">
      <c r="A654" s="672" t="n"/>
      <c r="B654" s="767">
        <f>ROW()</f>
        <v/>
      </c>
      <c r="C654" s="182" t="n"/>
      <c r="D654" s="182" t="n"/>
      <c r="E654" s="182" t="n"/>
      <c r="F654" s="716" t="n"/>
      <c r="G654" s="716" t="n"/>
      <c r="H654" s="462" t="n"/>
    </row>
    <row r="655">
      <c r="A655" s="672" t="n"/>
      <c r="B655" s="767">
        <f>ROW()</f>
        <v/>
      </c>
      <c r="C655" s="182" t="n"/>
      <c r="D655" s="182" t="n"/>
      <c r="E655" s="182" t="n"/>
      <c r="F655" s="716" t="n"/>
      <c r="G655" s="716" t="n"/>
      <c r="H655" s="462" t="n"/>
    </row>
    <row r="656">
      <c r="A656" s="672" t="n"/>
      <c r="B656" s="767">
        <f>ROW()</f>
        <v/>
      </c>
      <c r="C656" s="182" t="n"/>
      <c r="D656" s="182" t="n"/>
      <c r="E656" s="182" t="n"/>
      <c r="F656" s="716" t="n"/>
      <c r="G656" s="716" t="n"/>
      <c r="H656" s="462" t="n"/>
    </row>
    <row r="657">
      <c r="A657" s="672" t="n"/>
      <c r="B657" s="767">
        <f>ROW()</f>
        <v/>
      </c>
      <c r="C657" s="182" t="n"/>
      <c r="D657" s="182" t="n"/>
      <c r="E657" s="182" t="n"/>
      <c r="F657" s="716" t="n"/>
      <c r="G657" s="716" t="n"/>
      <c r="H657" s="462" t="n"/>
    </row>
    <row r="658">
      <c r="A658" s="672" t="n"/>
      <c r="B658" s="767">
        <f>ROW()</f>
        <v/>
      </c>
      <c r="C658" s="182" t="n"/>
      <c r="D658" s="182" t="n"/>
      <c r="E658" s="182" t="n"/>
      <c r="F658" s="716" t="n"/>
      <c r="G658" s="716" t="n"/>
      <c r="H658" s="462" t="n"/>
    </row>
    <row r="659">
      <c r="A659" s="672" t="n"/>
      <c r="B659" s="767">
        <f>ROW()</f>
        <v/>
      </c>
      <c r="C659" s="182" t="n"/>
      <c r="D659" s="182" t="n"/>
      <c r="E659" s="182" t="n"/>
      <c r="F659" s="716" t="n"/>
      <c r="G659" s="716" t="n"/>
      <c r="H659" s="462" t="n"/>
    </row>
    <row r="660">
      <c r="A660" s="672" t="n"/>
      <c r="B660" s="767">
        <f>ROW()</f>
        <v/>
      </c>
      <c r="C660" s="182" t="n"/>
      <c r="D660" s="182" t="n"/>
      <c r="E660" s="182" t="n"/>
      <c r="F660" s="716" t="n"/>
      <c r="G660" s="716" t="n"/>
      <c r="H660" s="462" t="n"/>
    </row>
    <row r="661">
      <c r="A661" s="672" t="n"/>
      <c r="B661" s="767">
        <f>ROW()</f>
        <v/>
      </c>
      <c r="C661" s="182" t="n"/>
      <c r="D661" s="182" t="n"/>
      <c r="E661" s="182" t="n"/>
      <c r="F661" s="716" t="n"/>
      <c r="G661" s="716" t="n"/>
      <c r="H661" s="462" t="n"/>
    </row>
    <row r="662">
      <c r="A662" s="672" t="n"/>
      <c r="B662" s="767">
        <f>ROW()</f>
        <v/>
      </c>
      <c r="C662" s="182" t="n"/>
      <c r="D662" s="182" t="n"/>
      <c r="E662" s="182" t="n"/>
      <c r="F662" s="716" t="n"/>
      <c r="G662" s="716" t="n"/>
      <c r="H662" s="462" t="n"/>
    </row>
    <row r="663">
      <c r="A663" s="672" t="n"/>
      <c r="B663" s="767">
        <f>ROW()</f>
        <v/>
      </c>
      <c r="C663" s="182" t="n"/>
      <c r="D663" s="182" t="n"/>
      <c r="E663" s="182" t="n"/>
      <c r="F663" s="716" t="n"/>
      <c r="G663" s="716" t="n"/>
      <c r="H663" s="462" t="n"/>
    </row>
    <row r="664">
      <c r="A664" s="672" t="n"/>
      <c r="B664" s="767">
        <f>ROW()</f>
        <v/>
      </c>
      <c r="C664" s="182" t="n"/>
      <c r="D664" s="182" t="n"/>
      <c r="E664" s="182" t="n"/>
      <c r="F664" s="716" t="n"/>
      <c r="G664" s="716" t="n"/>
      <c r="H664" s="462" t="n"/>
    </row>
    <row r="665">
      <c r="A665" s="672" t="n"/>
      <c r="B665" s="767">
        <f>ROW()</f>
        <v/>
      </c>
      <c r="C665" s="182" t="n"/>
      <c r="D665" s="182" t="n"/>
      <c r="E665" s="182" t="n"/>
      <c r="F665" s="716" t="n"/>
      <c r="G665" s="716" t="n"/>
      <c r="H665" s="462" t="n"/>
    </row>
    <row r="666">
      <c r="A666" s="672" t="n"/>
      <c r="B666" s="767">
        <f>ROW()</f>
        <v/>
      </c>
      <c r="C666" s="182" t="n"/>
      <c r="D666" s="182" t="n"/>
      <c r="E666" s="182" t="n"/>
      <c r="F666" s="716" t="n"/>
      <c r="G666" s="716" t="n"/>
      <c r="H666" s="462" t="n"/>
    </row>
    <row r="667">
      <c r="A667" s="672" t="n"/>
      <c r="B667" s="767">
        <f>ROW()</f>
        <v/>
      </c>
      <c r="C667" s="182" t="n"/>
      <c r="D667" s="182" t="n"/>
      <c r="E667" s="182" t="n"/>
      <c r="F667" s="716" t="n"/>
      <c r="G667" s="716" t="n"/>
      <c r="H667" s="462" t="n"/>
    </row>
    <row r="668">
      <c r="A668" s="672" t="n"/>
      <c r="B668" s="767">
        <f>ROW()</f>
        <v/>
      </c>
      <c r="C668" s="182" t="n"/>
      <c r="D668" s="182" t="n"/>
      <c r="E668" s="182" t="n"/>
      <c r="F668" s="716" t="n"/>
      <c r="G668" s="716" t="n"/>
      <c r="H668" s="462" t="n"/>
    </row>
    <row r="669">
      <c r="A669" s="672" t="n"/>
      <c r="B669" s="767">
        <f>ROW()</f>
        <v/>
      </c>
      <c r="C669" s="182" t="n"/>
      <c r="D669" s="182" t="n"/>
      <c r="E669" s="182" t="n"/>
      <c r="F669" s="716" t="n"/>
      <c r="G669" s="716" t="n"/>
      <c r="H669" s="462" t="n"/>
    </row>
    <row r="670">
      <c r="A670" s="462" t="n"/>
      <c r="B670" s="767">
        <f>ROW()</f>
        <v/>
      </c>
      <c r="C670" s="716" t="n"/>
      <c r="D670" s="716" t="n"/>
      <c r="E670" s="716" t="n"/>
      <c r="F670" s="716" t="n"/>
      <c r="G670" s="716" t="n"/>
      <c r="H670" s="462" t="n"/>
    </row>
    <row r="671">
      <c r="A671" s="462" t="n"/>
      <c r="B671" s="767">
        <f>ROW()</f>
        <v/>
      </c>
      <c r="C671" s="716" t="n"/>
      <c r="D671" s="716" t="n"/>
      <c r="E671" s="716" t="n"/>
      <c r="F671" s="716" t="n"/>
      <c r="G671" s="716" t="n"/>
      <c r="H671" s="462" t="n"/>
    </row>
    <row r="672">
      <c r="A672" s="462" t="n"/>
      <c r="B672" s="767">
        <f>ROW()</f>
        <v/>
      </c>
      <c r="C672" s="716" t="n"/>
      <c r="D672" s="716" t="n"/>
      <c r="E672" s="716" t="n"/>
      <c r="F672" s="716" t="n"/>
      <c r="G672" s="716" t="n"/>
      <c r="H672" s="462" t="n"/>
    </row>
    <row r="673">
      <c r="A673" s="462" t="n"/>
      <c r="B673" s="767">
        <f>ROW()</f>
        <v/>
      </c>
      <c r="C673" s="716" t="n"/>
      <c r="D673" s="716" t="n"/>
      <c r="E673" s="716" t="n"/>
      <c r="F673" s="716" t="n"/>
      <c r="G673" s="716" t="n"/>
      <c r="H673" s="462" t="n"/>
    </row>
    <row r="674">
      <c r="A674" s="462" t="n"/>
      <c r="B674" s="767">
        <f>ROW()</f>
        <v/>
      </c>
      <c r="C674" s="716" t="n"/>
      <c r="D674" s="716" t="n"/>
      <c r="E674" s="716" t="n"/>
      <c r="F674" s="716" t="n"/>
      <c r="G674" s="716" t="n"/>
      <c r="H674" s="462" t="n"/>
    </row>
    <row r="675">
      <c r="A675" s="462" t="n"/>
      <c r="B675" s="767">
        <f>ROW()</f>
        <v/>
      </c>
      <c r="C675" s="716" t="n"/>
      <c r="D675" s="716" t="n"/>
      <c r="E675" s="716" t="n"/>
      <c r="F675" s="716" t="n"/>
      <c r="G675" s="716" t="n"/>
      <c r="H675" s="462" t="n"/>
    </row>
    <row r="676">
      <c r="A676" s="462" t="n"/>
      <c r="B676" s="767">
        <f>ROW()</f>
        <v/>
      </c>
      <c r="C676" s="716" t="n"/>
      <c r="D676" s="716" t="n"/>
      <c r="E676" s="716" t="n"/>
      <c r="F676" s="716" t="n"/>
      <c r="G676" s="716" t="n"/>
      <c r="H676" s="462" t="n"/>
    </row>
    <row r="677">
      <c r="A677" s="462" t="n"/>
      <c r="B677" s="767">
        <f>ROW()</f>
        <v/>
      </c>
      <c r="C677" s="716" t="n"/>
      <c r="D677" s="716" t="n"/>
      <c r="E677" s="716" t="n"/>
      <c r="F677" s="716" t="n"/>
      <c r="G677" s="716" t="n"/>
      <c r="H677" s="462" t="n"/>
    </row>
    <row r="678">
      <c r="A678" s="462" t="n"/>
      <c r="B678" s="767">
        <f>ROW()</f>
        <v/>
      </c>
      <c r="C678" s="716" t="n"/>
      <c r="D678" s="716" t="n"/>
      <c r="E678" s="716" t="n"/>
      <c r="F678" s="716" t="n"/>
      <c r="G678" s="716" t="n"/>
      <c r="H678" s="462" t="n"/>
    </row>
    <row r="679">
      <c r="A679" s="462" t="n"/>
      <c r="B679" s="767">
        <f>ROW()</f>
        <v/>
      </c>
      <c r="C679" s="716" t="n"/>
      <c r="D679" s="716" t="n"/>
      <c r="E679" s="716" t="n"/>
      <c r="F679" s="716" t="n"/>
      <c r="G679" s="716" t="n"/>
      <c r="H679" s="462" t="n"/>
    </row>
    <row r="680">
      <c r="A680" s="462" t="n"/>
      <c r="B680" s="767">
        <f>ROW()</f>
        <v/>
      </c>
      <c r="C680" s="716" t="n"/>
      <c r="D680" s="716" t="n"/>
      <c r="E680" s="716" t="n"/>
      <c r="F680" s="716" t="n"/>
      <c r="G680" s="716" t="n"/>
      <c r="H680" s="462" t="n"/>
    </row>
    <row r="681">
      <c r="A681" s="462" t="n"/>
      <c r="B681" s="767">
        <f>ROW()</f>
        <v/>
      </c>
      <c r="C681" s="716" t="n"/>
      <c r="D681" s="716" t="n"/>
      <c r="E681" s="716" t="n"/>
      <c r="F681" s="716" t="n"/>
      <c r="G681" s="716" t="n"/>
      <c r="H681" s="462" t="n"/>
    </row>
    <row r="682">
      <c r="A682" s="462" t="n"/>
      <c r="B682" s="767">
        <f>ROW()</f>
        <v/>
      </c>
      <c r="C682" s="716" t="n"/>
      <c r="D682" s="716" t="n"/>
      <c r="E682" s="716" t="n"/>
      <c r="F682" s="716" t="n"/>
      <c r="G682" s="716" t="n"/>
      <c r="H682" s="462" t="n"/>
    </row>
    <row r="683">
      <c r="A683" s="462" t="n"/>
      <c r="B683" s="767">
        <f>ROW()</f>
        <v/>
      </c>
      <c r="C683" s="716" t="n"/>
      <c r="D683" s="716" t="n"/>
      <c r="E683" s="716" t="n"/>
      <c r="F683" s="716" t="n"/>
      <c r="G683" s="716" t="n"/>
      <c r="H683" s="462" t="n"/>
    </row>
    <row r="684">
      <c r="A684" s="462" t="n"/>
      <c r="B684" s="767">
        <f>ROW()</f>
        <v/>
      </c>
      <c r="C684" s="716" t="n"/>
      <c r="D684" s="716" t="n"/>
      <c r="E684" s="716" t="n"/>
      <c r="F684" s="716" t="n"/>
      <c r="G684" s="716" t="n"/>
      <c r="H684" s="462" t="n"/>
    </row>
    <row r="685">
      <c r="A685" s="462" t="n"/>
      <c r="B685" s="767">
        <f>ROW()</f>
        <v/>
      </c>
      <c r="C685" s="716" t="n"/>
      <c r="D685" s="716" t="n"/>
      <c r="E685" s="716" t="n"/>
      <c r="F685" s="716" t="n"/>
      <c r="G685" s="716" t="n"/>
      <c r="H685" s="462" t="n"/>
    </row>
    <row r="686">
      <c r="A686" s="462" t="n"/>
      <c r="B686" s="767">
        <f>ROW()</f>
        <v/>
      </c>
      <c r="C686" s="716" t="n"/>
      <c r="D686" s="716" t="n"/>
      <c r="E686" s="716" t="n"/>
      <c r="F686" s="716" t="n"/>
      <c r="G686" s="716" t="n"/>
      <c r="H686" s="462" t="n"/>
    </row>
    <row r="687">
      <c r="A687" s="462" t="n"/>
      <c r="B687" s="767">
        <f>ROW()</f>
        <v/>
      </c>
      <c r="C687" s="716" t="n"/>
      <c r="D687" s="716" t="n"/>
      <c r="E687" s="716" t="n"/>
      <c r="F687" s="716" t="n"/>
      <c r="G687" s="716" t="n"/>
      <c r="H687" s="462" t="n"/>
    </row>
    <row r="688">
      <c r="A688" s="462" t="n"/>
      <c r="B688" s="767">
        <f>ROW()</f>
        <v/>
      </c>
      <c r="C688" s="716" t="n"/>
      <c r="D688" s="716" t="n"/>
      <c r="E688" s="716" t="n"/>
      <c r="F688" s="716" t="n"/>
      <c r="G688" s="716" t="n"/>
      <c r="H688" s="462" t="n"/>
    </row>
    <row r="689">
      <c r="A689" s="462" t="n"/>
      <c r="B689" s="767">
        <f>ROW()</f>
        <v/>
      </c>
      <c r="C689" s="716" t="n"/>
      <c r="D689" s="716" t="n"/>
      <c r="E689" s="716" t="n"/>
      <c r="F689" s="716" t="n"/>
      <c r="G689" s="716" t="n"/>
      <c r="H689" s="462" t="n"/>
    </row>
    <row r="690">
      <c r="A690" s="462" t="n"/>
      <c r="B690" s="767">
        <f>ROW()</f>
        <v/>
      </c>
      <c r="C690" s="716" t="n"/>
      <c r="D690" s="716" t="n"/>
      <c r="E690" s="716" t="n"/>
      <c r="F690" s="716" t="n"/>
      <c r="G690" s="716" t="n"/>
      <c r="H690" s="462" t="n"/>
    </row>
    <row r="691">
      <c r="A691" s="462" t="n"/>
      <c r="B691" s="767">
        <f>ROW()</f>
        <v/>
      </c>
      <c r="C691" s="716" t="n"/>
      <c r="D691" s="716" t="n"/>
      <c r="E691" s="716" t="n"/>
      <c r="F691" s="716" t="n"/>
      <c r="G691" s="716" t="n"/>
      <c r="H691" s="462" t="n"/>
    </row>
    <row r="692">
      <c r="A692" s="462" t="n"/>
      <c r="B692" s="767">
        <f>ROW()</f>
        <v/>
      </c>
      <c r="C692" s="716" t="n"/>
      <c r="D692" s="716" t="n"/>
      <c r="E692" s="716" t="n"/>
      <c r="F692" s="716" t="n"/>
      <c r="G692" s="716" t="n"/>
      <c r="H692" s="462" t="n"/>
    </row>
    <row r="693">
      <c r="A693" s="462" t="n"/>
      <c r="B693" s="767">
        <f>ROW()</f>
        <v/>
      </c>
      <c r="C693" s="716" t="n"/>
      <c r="D693" s="716" t="n"/>
      <c r="E693" s="716" t="n"/>
      <c r="F693" s="716" t="n"/>
      <c r="G693" s="716" t="n"/>
      <c r="H693" s="462" t="n"/>
    </row>
    <row r="694">
      <c r="A694" s="462" t="n"/>
      <c r="B694" s="767">
        <f>ROW()</f>
        <v/>
      </c>
      <c r="C694" s="716" t="n"/>
      <c r="D694" s="716" t="n"/>
      <c r="E694" s="716" t="n"/>
      <c r="F694" s="716" t="n"/>
      <c r="G694" s="716" t="n"/>
      <c r="H694" s="462" t="n"/>
    </row>
    <row r="695">
      <c r="A695" s="462" t="n"/>
      <c r="B695" s="767">
        <f>ROW()</f>
        <v/>
      </c>
      <c r="C695" s="716" t="n"/>
      <c r="D695" s="716" t="n"/>
      <c r="E695" s="716" t="n"/>
      <c r="F695" s="716" t="n"/>
      <c r="G695" s="716" t="n"/>
      <c r="H695" s="462" t="n"/>
    </row>
    <row r="696" ht="16.8" customHeight="1" s="1181">
      <c r="A696" s="462" t="n"/>
      <c r="B696" s="767">
        <f>ROW()</f>
        <v/>
      </c>
      <c r="C696" s="182" t="n"/>
      <c r="D696" s="384" t="n"/>
      <c r="E696" s="384" t="n"/>
      <c r="F696" s="716" t="n"/>
      <c r="G696" s="716" t="n"/>
      <c r="H696" s="462" t="n"/>
    </row>
    <row r="697">
      <c r="A697" s="462" t="n"/>
      <c r="B697" s="767">
        <f>ROW()</f>
        <v/>
      </c>
      <c r="C697" s="716" t="n"/>
      <c r="D697" s="716" t="n"/>
      <c r="E697" s="716" t="n"/>
      <c r="F697" s="716" t="n"/>
      <c r="G697" s="716" t="n"/>
      <c r="H697" s="462" t="n"/>
    </row>
    <row r="698">
      <c r="A698" s="462" t="n"/>
      <c r="B698" s="767">
        <f>ROW()</f>
        <v/>
      </c>
      <c r="C698" s="716" t="n"/>
      <c r="D698" s="716" t="n"/>
      <c r="E698" s="716" t="n"/>
      <c r="F698" s="716" t="n"/>
      <c r="G698" s="716" t="n"/>
      <c r="H698" s="462" t="n"/>
    </row>
    <row r="699">
      <c r="A699" s="462" t="n"/>
      <c r="B699" s="767">
        <f>ROW()</f>
        <v/>
      </c>
      <c r="C699" s="716" t="n"/>
      <c r="D699" s="716" t="n"/>
      <c r="E699" s="716" t="n"/>
      <c r="F699" s="716" t="n"/>
      <c r="G699" s="716" t="n"/>
      <c r="H699" s="462" t="n"/>
    </row>
    <row r="700">
      <c r="A700" s="462" t="n"/>
      <c r="B700" s="767">
        <f>ROW()</f>
        <v/>
      </c>
      <c r="C700" s="716" t="n"/>
      <c r="D700" s="716" t="n"/>
      <c r="E700" s="716" t="n"/>
      <c r="F700" s="716" t="n"/>
      <c r="G700" s="716" t="n"/>
      <c r="H700" s="462" t="n"/>
    </row>
    <row r="701">
      <c r="A701" s="462" t="n"/>
      <c r="B701" s="767">
        <f>ROW()</f>
        <v/>
      </c>
      <c r="C701" s="716" t="n"/>
      <c r="D701" s="716" t="n"/>
      <c r="E701" s="716" t="n"/>
      <c r="F701" s="716" t="n"/>
      <c r="G701" s="716" t="n"/>
      <c r="H701" s="462" t="n"/>
    </row>
    <row r="702">
      <c r="A702" s="462" t="n"/>
      <c r="B702" s="767">
        <f>ROW()</f>
        <v/>
      </c>
      <c r="C702" s="716" t="n"/>
      <c r="D702" s="716" t="n"/>
      <c r="E702" s="716" t="n"/>
      <c r="F702" s="716" t="n"/>
      <c r="G702" s="716" t="n"/>
      <c r="H702" s="462" t="n"/>
    </row>
    <row r="703">
      <c r="A703" s="462" t="n"/>
      <c r="B703" s="767">
        <f>ROW()</f>
        <v/>
      </c>
      <c r="C703" s="716" t="n"/>
      <c r="D703" s="716" t="n"/>
      <c r="E703" s="716" t="n"/>
      <c r="F703" s="716" t="n"/>
      <c r="G703" s="716" t="n"/>
      <c r="H703" s="462" t="n"/>
    </row>
    <row r="704">
      <c r="A704" s="462" t="n"/>
      <c r="B704" s="767">
        <f>ROW()</f>
        <v/>
      </c>
      <c r="C704" s="716" t="n"/>
      <c r="D704" s="716" t="n"/>
      <c r="E704" s="716" t="n"/>
      <c r="F704" s="716" t="n"/>
      <c r="G704" s="716" t="n"/>
      <c r="H704" s="462" t="n"/>
    </row>
    <row r="705">
      <c r="A705" s="462" t="n"/>
      <c r="B705" s="767">
        <f>ROW()</f>
        <v/>
      </c>
      <c r="C705" s="716" t="n"/>
      <c r="D705" s="716" t="n"/>
      <c r="E705" s="716" t="n"/>
      <c r="F705" s="716" t="n"/>
      <c r="G705" s="716" t="n"/>
      <c r="H705" s="462" t="n"/>
    </row>
    <row r="706">
      <c r="A706" s="462" t="n"/>
      <c r="B706" s="767">
        <f>ROW()</f>
        <v/>
      </c>
      <c r="C706" s="716" t="n"/>
      <c r="D706" s="716" t="n"/>
      <c r="E706" s="716" t="n"/>
      <c r="F706" s="716" t="n"/>
      <c r="G706" s="716" t="n"/>
      <c r="H706" s="462" t="n"/>
    </row>
    <row r="707">
      <c r="A707" s="462" t="n"/>
      <c r="B707" s="767">
        <f>ROW()</f>
        <v/>
      </c>
      <c r="C707" s="716" t="n"/>
      <c r="D707" s="716" t="n"/>
      <c r="E707" s="716" t="n"/>
      <c r="F707" s="716" t="n"/>
      <c r="G707" s="716" t="n"/>
      <c r="H707" s="462" t="n"/>
    </row>
    <row r="708">
      <c r="A708" s="462" t="n"/>
      <c r="B708" s="767">
        <f>ROW()</f>
        <v/>
      </c>
      <c r="C708" s="716" t="n"/>
      <c r="D708" s="716" t="n"/>
      <c r="E708" s="716" t="n"/>
      <c r="F708" s="716" t="n"/>
      <c r="G708" s="716" t="n"/>
      <c r="H708" s="462" t="n"/>
    </row>
    <row r="709">
      <c r="A709" s="462" t="n"/>
      <c r="B709" s="767">
        <f>ROW()</f>
        <v/>
      </c>
      <c r="C709" s="716" t="n"/>
      <c r="D709" s="716" t="n"/>
      <c r="E709" s="716" t="n"/>
      <c r="F709" s="716" t="n"/>
      <c r="G709" s="716" t="n"/>
      <c r="H709" s="462" t="n"/>
    </row>
    <row r="710">
      <c r="A710" s="462" t="n"/>
      <c r="B710" s="767">
        <f>ROW()</f>
        <v/>
      </c>
      <c r="C710" s="716" t="n"/>
      <c r="D710" s="716" t="n"/>
      <c r="E710" s="716" t="n"/>
      <c r="F710" s="716" t="n"/>
      <c r="G710" s="716" t="n"/>
      <c r="H710" s="462" t="n"/>
    </row>
    <row r="711">
      <c r="A711" s="462" t="n"/>
      <c r="B711" s="767">
        <f>ROW()</f>
        <v/>
      </c>
      <c r="C711" s="716" t="n"/>
      <c r="D711" s="716" t="n"/>
      <c r="E711" s="716" t="n"/>
      <c r="F711" s="716" t="n"/>
      <c r="G711" s="716" t="n"/>
      <c r="H711" s="462" t="n"/>
    </row>
    <row r="712">
      <c r="A712" s="462" t="n"/>
      <c r="B712" s="767">
        <f>ROW()</f>
        <v/>
      </c>
      <c r="C712" s="716" t="n"/>
      <c r="D712" s="716" t="n"/>
      <c r="E712" s="716" t="n"/>
      <c r="F712" s="716" t="n"/>
      <c r="G712" s="716" t="n"/>
      <c r="H712" s="462" t="n"/>
    </row>
    <row r="713">
      <c r="A713" s="462" t="n"/>
      <c r="B713" s="767">
        <f>ROW()</f>
        <v/>
      </c>
      <c r="C713" s="716" t="n"/>
      <c r="D713" s="716" t="n"/>
      <c r="E713" s="716" t="n"/>
      <c r="F713" s="716" t="n"/>
      <c r="G713" s="716" t="n"/>
      <c r="H713" s="462" t="n"/>
    </row>
    <row r="714">
      <c r="A714" s="462" t="n"/>
      <c r="B714" s="767">
        <f>ROW()</f>
        <v/>
      </c>
      <c r="C714" s="716" t="n"/>
      <c r="D714" s="716" t="n"/>
      <c r="E714" s="716" t="n"/>
      <c r="F714" s="716" t="n"/>
      <c r="G714" s="716" t="n"/>
      <c r="H714" s="462" t="n"/>
    </row>
    <row r="715">
      <c r="A715" s="462" t="n"/>
      <c r="B715" s="767">
        <f>ROW()</f>
        <v/>
      </c>
      <c r="C715" s="716" t="n"/>
      <c r="D715" s="716" t="n"/>
      <c r="E715" s="716" t="n"/>
      <c r="F715" s="716" t="n"/>
      <c r="G715" s="716" t="n"/>
      <c r="H715" s="462" t="n"/>
    </row>
    <row r="716">
      <c r="A716" s="462" t="n"/>
      <c r="B716" s="767">
        <f>ROW()</f>
        <v/>
      </c>
      <c r="C716" s="716" t="n"/>
      <c r="D716" s="716" t="n"/>
      <c r="E716" s="716" t="n"/>
      <c r="F716" s="716" t="n"/>
      <c r="G716" s="716" t="n"/>
      <c r="H716" s="462" t="n"/>
    </row>
    <row r="717">
      <c r="A717" s="462" t="n"/>
      <c r="B717" s="767">
        <f>ROW()</f>
        <v/>
      </c>
      <c r="C717" s="716" t="n"/>
      <c r="D717" s="716" t="n"/>
      <c r="E717" s="716" t="n"/>
      <c r="F717" s="716" t="n"/>
      <c r="G717" s="716" t="n"/>
      <c r="H717" s="462" t="n"/>
    </row>
    <row r="718">
      <c r="A718" s="462" t="n"/>
      <c r="B718" s="767">
        <f>ROW()</f>
        <v/>
      </c>
      <c r="C718" s="716" t="n"/>
      <c r="D718" s="716" t="n"/>
      <c r="E718" s="716" t="n"/>
      <c r="F718" s="716" t="n"/>
      <c r="G718" s="716" t="n"/>
      <c r="H718" s="462" t="n"/>
    </row>
    <row r="719">
      <c r="A719" s="462" t="n"/>
      <c r="B719" s="767">
        <f>ROW()</f>
        <v/>
      </c>
      <c r="C719" s="716" t="n"/>
      <c r="D719" s="716" t="n"/>
      <c r="E719" s="716" t="n"/>
      <c r="F719" s="716" t="n"/>
      <c r="G719" s="716" t="n"/>
      <c r="H719" s="462" t="n"/>
    </row>
    <row r="720">
      <c r="A720" s="462" t="n"/>
      <c r="B720" s="767">
        <f>ROW()</f>
        <v/>
      </c>
      <c r="C720" s="716" t="n"/>
      <c r="D720" s="716" t="n"/>
      <c r="E720" s="716" t="n"/>
      <c r="F720" s="716" t="n"/>
      <c r="G720" s="716" t="n"/>
      <c r="H720" s="462" t="n"/>
    </row>
    <row r="721">
      <c r="A721" s="462" t="n"/>
      <c r="B721" s="767">
        <f>ROW()</f>
        <v/>
      </c>
      <c r="C721" s="716" t="n"/>
      <c r="D721" s="716" t="n"/>
      <c r="E721" s="716" t="n"/>
      <c r="F721" s="716" t="n"/>
      <c r="G721" s="716" t="n"/>
      <c r="H721" s="462" t="n"/>
    </row>
    <row r="722">
      <c r="A722" s="462" t="n"/>
      <c r="B722" s="767">
        <f>ROW()</f>
        <v/>
      </c>
      <c r="C722" s="716" t="n"/>
      <c r="D722" s="716" t="n"/>
      <c r="E722" s="716" t="n"/>
      <c r="F722" s="716" t="n"/>
      <c r="G722" s="716" t="n"/>
      <c r="H722" s="462" t="n"/>
    </row>
    <row r="723">
      <c r="A723" s="462" t="n"/>
      <c r="B723" s="767">
        <f>ROW()</f>
        <v/>
      </c>
      <c r="C723" s="716" t="n"/>
      <c r="D723" s="716" t="n"/>
      <c r="E723" s="716" t="n"/>
      <c r="F723" s="716" t="n"/>
      <c r="G723" s="716" t="n"/>
      <c r="H723" s="462" t="n"/>
    </row>
    <row r="724">
      <c r="A724" s="462" t="n"/>
      <c r="B724" s="767">
        <f>ROW()</f>
        <v/>
      </c>
      <c r="C724" s="716" t="n"/>
      <c r="D724" s="716" t="n"/>
      <c r="E724" s="716" t="n"/>
      <c r="F724" s="716" t="n"/>
      <c r="G724" s="716" t="n"/>
      <c r="H724" s="462" t="n"/>
    </row>
    <row r="725">
      <c r="A725" s="462" t="n"/>
      <c r="B725" s="767">
        <f>ROW()</f>
        <v/>
      </c>
      <c r="C725" s="716" t="n"/>
      <c r="D725" s="716" t="n"/>
      <c r="E725" s="716" t="n"/>
      <c r="F725" s="716" t="n"/>
      <c r="G725" s="716" t="n"/>
      <c r="H725" s="462" t="n"/>
    </row>
    <row r="726">
      <c r="A726" s="462" t="n"/>
      <c r="B726" s="767">
        <f>ROW()</f>
        <v/>
      </c>
      <c r="C726" s="716" t="n"/>
      <c r="D726" s="716" t="n"/>
      <c r="E726" s="716" t="n"/>
      <c r="F726" s="716" t="n"/>
      <c r="G726" s="716" t="n"/>
      <c r="H726" s="462" t="n"/>
    </row>
    <row r="727">
      <c r="A727" s="462" t="n"/>
      <c r="B727" s="767">
        <f>ROW()</f>
        <v/>
      </c>
      <c r="C727" s="716" t="n"/>
      <c r="D727" s="716" t="n"/>
      <c r="E727" s="716" t="n"/>
      <c r="F727" s="716" t="n"/>
      <c r="G727" s="716" t="n"/>
      <c r="H727" s="462" t="n"/>
    </row>
    <row r="728">
      <c r="A728" s="462" t="n"/>
      <c r="B728" s="767">
        <f>ROW()</f>
        <v/>
      </c>
      <c r="C728" s="716" t="n"/>
      <c r="D728" s="716" t="n"/>
      <c r="E728" s="716" t="n"/>
      <c r="F728" s="716" t="n"/>
      <c r="G728" s="716" t="n"/>
      <c r="H728" s="462" t="n"/>
    </row>
    <row r="729">
      <c r="A729" s="462" t="n"/>
      <c r="B729" s="767">
        <f>ROW()</f>
        <v/>
      </c>
      <c r="C729" s="716" t="n"/>
      <c r="D729" s="716" t="n"/>
      <c r="E729" s="716" t="n"/>
      <c r="F729" s="716" t="n"/>
      <c r="G729" s="716" t="n"/>
      <c r="H729" s="462" t="n"/>
    </row>
    <row r="730">
      <c r="A730" s="462" t="n"/>
      <c r="B730" s="767">
        <f>ROW()</f>
        <v/>
      </c>
      <c r="C730" s="716" t="n"/>
      <c r="D730" s="716" t="n"/>
      <c r="E730" s="716" t="n"/>
      <c r="F730" s="716" t="n"/>
      <c r="G730" s="716" t="n"/>
      <c r="H730" s="462" t="n"/>
    </row>
    <row r="731">
      <c r="A731" s="462" t="n"/>
      <c r="B731" s="767">
        <f>ROW()</f>
        <v/>
      </c>
      <c r="C731" s="716" t="n"/>
      <c r="D731" s="716" t="n"/>
      <c r="E731" s="716" t="n"/>
      <c r="F731" s="716" t="n"/>
      <c r="G731" s="716" t="n"/>
      <c r="H731" s="462" t="n"/>
    </row>
    <row r="732">
      <c r="A732" s="462" t="n"/>
      <c r="B732" s="767">
        <f>ROW()</f>
        <v/>
      </c>
      <c r="C732" s="716" t="n"/>
      <c r="D732" s="716" t="n"/>
      <c r="E732" s="716" t="n"/>
      <c r="F732" s="716" t="n"/>
      <c r="G732" s="716" t="n"/>
      <c r="H732" s="462" t="n"/>
    </row>
    <row r="733">
      <c r="A733" s="462" t="n"/>
      <c r="B733" s="767">
        <f>ROW()</f>
        <v/>
      </c>
      <c r="C733" s="716" t="n"/>
      <c r="D733" s="716" t="n"/>
      <c r="E733" s="716" t="n"/>
      <c r="F733" s="716" t="n"/>
      <c r="G733" s="716" t="n"/>
      <c r="H733" s="716" t="n"/>
    </row>
    <row r="734">
      <c r="A734" s="462" t="n"/>
      <c r="B734" s="767">
        <f>ROW()</f>
        <v/>
      </c>
      <c r="C734" s="716" t="n"/>
      <c r="D734" s="716" t="n"/>
      <c r="E734" s="716" t="n"/>
      <c r="F734" s="716" t="n"/>
      <c r="G734" s="716" t="n"/>
      <c r="H734" s="462" t="n"/>
    </row>
    <row r="735">
      <c r="A735" s="462" t="n"/>
      <c r="B735" s="767">
        <f>ROW()</f>
        <v/>
      </c>
      <c r="C735" s="716" t="n"/>
      <c r="D735" s="716" t="n"/>
      <c r="E735" s="716" t="n"/>
      <c r="F735" s="716" t="n"/>
      <c r="G735" s="716" t="n"/>
      <c r="H735" s="462" t="n"/>
    </row>
    <row r="736">
      <c r="A736" s="462" t="n"/>
      <c r="B736" s="767">
        <f>ROW()</f>
        <v/>
      </c>
      <c r="C736" s="716" t="n"/>
      <c r="D736" s="716" t="n"/>
      <c r="E736" s="716" t="n"/>
      <c r="F736" s="716" t="n"/>
      <c r="G736" s="716" t="n"/>
      <c r="H736" s="462" t="n"/>
    </row>
    <row r="737">
      <c r="A737" s="462" t="n"/>
      <c r="B737" s="767">
        <f>ROW()</f>
        <v/>
      </c>
      <c r="C737" s="716" t="n"/>
      <c r="D737" s="716" t="n"/>
      <c r="E737" s="716" t="n"/>
      <c r="F737" s="716" t="n"/>
      <c r="G737" s="716" t="n"/>
      <c r="H737" s="462" t="n"/>
    </row>
    <row r="738">
      <c r="A738" s="462" t="n"/>
      <c r="B738" s="767">
        <f>ROW()</f>
        <v/>
      </c>
      <c r="C738" s="716" t="n"/>
      <c r="D738" s="716" t="n"/>
      <c r="E738" s="716" t="n"/>
      <c r="F738" s="716" t="n"/>
      <c r="G738" s="716" t="n"/>
      <c r="H738" s="462" t="n"/>
    </row>
    <row r="739">
      <c r="A739" s="462" t="n"/>
      <c r="B739" s="767">
        <f>ROW()</f>
        <v/>
      </c>
      <c r="C739" s="716" t="n"/>
      <c r="D739" s="716" t="n"/>
      <c r="E739" s="716" t="n"/>
      <c r="F739" s="716" t="n"/>
      <c r="G739" s="716" t="n"/>
      <c r="H739" s="462" t="n"/>
    </row>
    <row r="740">
      <c r="A740" s="462" t="n"/>
      <c r="B740" s="767">
        <f>ROW()</f>
        <v/>
      </c>
      <c r="C740" s="716" t="n"/>
      <c r="D740" s="716" t="n"/>
      <c r="E740" s="716" t="n"/>
      <c r="F740" s="716" t="n"/>
      <c r="G740" s="716" t="n"/>
      <c r="H740" s="462" t="n"/>
    </row>
    <row r="741">
      <c r="A741" s="462" t="n"/>
      <c r="B741" s="767">
        <f>ROW()</f>
        <v/>
      </c>
      <c r="C741" s="716" t="n"/>
      <c r="D741" s="716" t="n"/>
      <c r="E741" s="716" t="n"/>
      <c r="F741" s="716" t="n"/>
      <c r="G741" s="716" t="n"/>
      <c r="H741" s="462" t="n"/>
    </row>
    <row r="742">
      <c r="A742" s="462" t="n"/>
      <c r="B742" s="767">
        <f>ROW()</f>
        <v/>
      </c>
      <c r="C742" s="716" t="n"/>
      <c r="D742" s="716" t="n"/>
      <c r="E742" s="716" t="n"/>
      <c r="F742" s="716" t="n"/>
      <c r="G742" s="716" t="n"/>
      <c r="H742" s="462" t="n"/>
    </row>
    <row r="743">
      <c r="A743" s="462" t="n"/>
      <c r="B743" s="767">
        <f>ROW()</f>
        <v/>
      </c>
      <c r="C743" s="716" t="n"/>
      <c r="D743" s="716" t="n"/>
      <c r="E743" s="716" t="n"/>
      <c r="F743" s="716" t="n"/>
      <c r="G743" s="716" t="n"/>
      <c r="H743" s="462" t="n"/>
    </row>
    <row r="744">
      <c r="A744" s="462" t="n"/>
      <c r="B744" s="767">
        <f>ROW()</f>
        <v/>
      </c>
      <c r="C744" s="716" t="n"/>
      <c r="D744" s="716" t="n"/>
      <c r="E744" s="716" t="n"/>
      <c r="F744" s="716" t="n"/>
      <c r="G744" s="716" t="n"/>
      <c r="H744" s="462" t="n"/>
    </row>
    <row r="745">
      <c r="A745" s="462" t="n"/>
      <c r="B745" s="767">
        <f>ROW()</f>
        <v/>
      </c>
      <c r="C745" s="716" t="n"/>
      <c r="D745" s="716" t="n"/>
      <c r="E745" s="716" t="n"/>
      <c r="F745" s="716" t="n"/>
      <c r="G745" s="716" t="n"/>
      <c r="H745" s="462" t="n"/>
    </row>
    <row r="746">
      <c r="A746" s="462" t="n"/>
      <c r="B746" s="767">
        <f>ROW()</f>
        <v/>
      </c>
      <c r="C746" s="716" t="n"/>
      <c r="D746" s="716" t="n"/>
      <c r="E746" s="716" t="n"/>
      <c r="F746" s="716" t="n"/>
      <c r="G746" s="716" t="n"/>
      <c r="H746" s="462" t="n"/>
    </row>
    <row r="747">
      <c r="A747" s="462" t="n"/>
      <c r="B747" s="767">
        <f>ROW()</f>
        <v/>
      </c>
      <c r="C747" s="716" t="n"/>
      <c r="D747" s="716" t="n"/>
      <c r="E747" s="716" t="n"/>
      <c r="F747" s="716" t="n"/>
      <c r="G747" s="716" t="n"/>
      <c r="H747" s="462" t="n"/>
    </row>
    <row r="748">
      <c r="A748" s="462" t="n"/>
      <c r="B748" s="767">
        <f>ROW()</f>
        <v/>
      </c>
      <c r="C748" s="716" t="n"/>
      <c r="D748" s="716" t="n"/>
      <c r="E748" s="716" t="n"/>
      <c r="F748" s="716" t="n"/>
      <c r="G748" s="716" t="n"/>
      <c r="H748" s="462" t="n"/>
    </row>
    <row r="749">
      <c r="A749" s="462" t="n"/>
      <c r="B749" s="767">
        <f>ROW()</f>
        <v/>
      </c>
      <c r="C749" s="716" t="n"/>
      <c r="D749" s="716" t="n"/>
      <c r="E749" s="716" t="n"/>
      <c r="F749" s="716" t="n"/>
      <c r="G749" s="716" t="n"/>
      <c r="H749" s="462" t="n"/>
    </row>
    <row r="750">
      <c r="A750" s="462" t="n"/>
      <c r="B750" s="767">
        <f>ROW()</f>
        <v/>
      </c>
      <c r="C750" s="716" t="n"/>
      <c r="D750" s="716" t="n"/>
      <c r="E750" s="716" t="n"/>
      <c r="F750" s="716" t="n"/>
      <c r="G750" s="716" t="n"/>
      <c r="H750" s="462" t="n"/>
    </row>
    <row r="751">
      <c r="A751" s="462" t="n"/>
      <c r="B751" s="767">
        <f>ROW()</f>
        <v/>
      </c>
      <c r="C751" s="716" t="n"/>
      <c r="D751" s="716" t="n"/>
      <c r="E751" s="716" t="n"/>
      <c r="F751" s="716" t="n"/>
      <c r="G751" s="716" t="n"/>
      <c r="H751" s="462" t="n"/>
    </row>
    <row r="752">
      <c r="A752" s="462" t="n"/>
      <c r="B752" s="767">
        <f>ROW()</f>
        <v/>
      </c>
      <c r="C752" s="716" t="n"/>
      <c r="D752" s="716" t="n"/>
      <c r="E752" s="716" t="n"/>
      <c r="F752" s="716" t="n"/>
      <c r="G752" s="716" t="n"/>
      <c r="H752" s="462" t="n"/>
    </row>
    <row r="753">
      <c r="A753" s="462" t="n"/>
      <c r="B753" s="767">
        <f>ROW()</f>
        <v/>
      </c>
      <c r="C753" s="716" t="n"/>
      <c r="D753" s="716" t="n"/>
      <c r="E753" s="716" t="n"/>
      <c r="F753" s="716" t="n"/>
      <c r="G753" s="716" t="n"/>
      <c r="H753" s="462" t="n"/>
    </row>
    <row r="754">
      <c r="A754" s="462" t="n"/>
      <c r="B754" s="767">
        <f>ROW()</f>
        <v/>
      </c>
      <c r="C754" s="716" t="n"/>
      <c r="D754" s="716" t="n"/>
      <c r="E754" s="716" t="n"/>
      <c r="F754" s="716" t="n"/>
      <c r="G754" s="716" t="n"/>
      <c r="H754" s="462" t="n"/>
    </row>
    <row r="755">
      <c r="A755" s="462" t="n"/>
      <c r="B755" s="767">
        <f>ROW()</f>
        <v/>
      </c>
      <c r="C755" s="716" t="n"/>
      <c r="D755" s="716" t="n"/>
      <c r="E755" s="716" t="n"/>
      <c r="F755" s="716" t="n"/>
      <c r="G755" s="716" t="n"/>
      <c r="H755" s="462" t="n"/>
    </row>
    <row r="756">
      <c r="A756" s="462" t="n"/>
      <c r="B756" s="767">
        <f>ROW()</f>
        <v/>
      </c>
      <c r="C756" s="716" t="n"/>
      <c r="D756" s="716" t="n"/>
      <c r="E756" s="716" t="n"/>
      <c r="F756" s="716" t="n"/>
      <c r="G756" s="716" t="n"/>
      <c r="H756" s="462" t="n"/>
    </row>
    <row r="757">
      <c r="A757" s="462" t="n"/>
      <c r="B757" s="767">
        <f>ROW()</f>
        <v/>
      </c>
      <c r="C757" s="716" t="n"/>
      <c r="D757" s="716" t="n"/>
      <c r="E757" s="716" t="n"/>
      <c r="F757" s="716" t="n"/>
      <c r="G757" s="716" t="n"/>
      <c r="H757" s="462" t="n"/>
    </row>
    <row r="758">
      <c r="A758" s="462" t="n"/>
      <c r="B758" s="767">
        <f>ROW()</f>
        <v/>
      </c>
      <c r="C758" s="716" t="n"/>
      <c r="D758" s="716" t="n"/>
      <c r="E758" s="716" t="n"/>
      <c r="F758" s="716" t="n"/>
      <c r="G758" s="716" t="n"/>
      <c r="H758" s="462" t="n"/>
    </row>
    <row r="759">
      <c r="A759" s="462" t="n"/>
      <c r="B759" s="767">
        <f>ROW()</f>
        <v/>
      </c>
      <c r="C759" s="716" t="n"/>
      <c r="D759" s="716" t="n"/>
      <c r="E759" s="716" t="n"/>
      <c r="F759" s="716" t="n"/>
      <c r="G759" s="716" t="n"/>
      <c r="H759" s="462" t="n"/>
    </row>
    <row r="760">
      <c r="A760" s="462" t="n"/>
      <c r="B760" s="767">
        <f>ROW()</f>
        <v/>
      </c>
      <c r="C760" s="716" t="n"/>
      <c r="D760" s="716" t="n"/>
      <c r="E760" s="716" t="n"/>
      <c r="F760" s="716" t="n"/>
      <c r="G760" s="716" t="n"/>
      <c r="H760" s="462" t="n"/>
    </row>
    <row r="761">
      <c r="A761" s="462" t="n"/>
      <c r="B761" s="767">
        <f>ROW()</f>
        <v/>
      </c>
      <c r="C761" s="716" t="n"/>
      <c r="D761" s="716" t="n"/>
      <c r="E761" s="716" t="n"/>
      <c r="F761" s="716" t="n"/>
      <c r="G761" s="716" t="n"/>
      <c r="H761" s="462" t="n"/>
    </row>
    <row r="762">
      <c r="A762" s="462" t="n"/>
      <c r="B762" s="767">
        <f>ROW()</f>
        <v/>
      </c>
      <c r="C762" s="716" t="n"/>
      <c r="D762" s="716" t="n"/>
      <c r="E762" s="716" t="n"/>
      <c r="F762" s="716" t="n"/>
      <c r="G762" s="716" t="n"/>
      <c r="H762" s="462" t="n"/>
    </row>
    <row r="763">
      <c r="A763" s="462" t="n"/>
      <c r="B763" s="767">
        <f>ROW()</f>
        <v/>
      </c>
      <c r="C763" s="716" t="n"/>
      <c r="D763" s="716" t="n"/>
      <c r="E763" s="716" t="n"/>
      <c r="F763" s="716" t="n"/>
      <c r="G763" s="716" t="n"/>
      <c r="H763" s="462" t="n"/>
    </row>
    <row r="764">
      <c r="A764" s="462" t="n"/>
      <c r="B764" s="767">
        <f>ROW()</f>
        <v/>
      </c>
      <c r="C764" s="716" t="n"/>
      <c r="D764" s="716" t="n"/>
      <c r="E764" s="716" t="n"/>
      <c r="F764" s="716" t="n"/>
      <c r="G764" s="716" t="n"/>
      <c r="H764" s="462" t="n"/>
    </row>
    <row r="765">
      <c r="A765" s="462" t="n"/>
      <c r="B765" s="767">
        <f>ROW()</f>
        <v/>
      </c>
      <c r="C765" s="716" t="n"/>
      <c r="D765" s="716" t="n"/>
      <c r="E765" s="716" t="n"/>
      <c r="F765" s="716" t="n"/>
      <c r="G765" s="716" t="n"/>
      <c r="H765" s="462" t="n"/>
    </row>
    <row r="766">
      <c r="A766" s="462" t="n"/>
      <c r="B766" s="767">
        <f>ROW()</f>
        <v/>
      </c>
      <c r="C766" s="716" t="n"/>
      <c r="D766" s="716" t="n"/>
      <c r="E766" s="716" t="n"/>
      <c r="F766" s="716" t="n"/>
      <c r="G766" s="716" t="n"/>
      <c r="H766" s="462" t="n"/>
    </row>
    <row r="767">
      <c r="A767" s="462" t="n"/>
      <c r="B767" s="767">
        <f>ROW()</f>
        <v/>
      </c>
      <c r="C767" s="716" t="n"/>
      <c r="D767" s="716" t="n"/>
      <c r="E767" s="716" t="n"/>
      <c r="F767" s="716" t="n"/>
      <c r="G767" s="716" t="n"/>
      <c r="H767" s="462" t="n"/>
    </row>
    <row r="768">
      <c r="A768" s="462" t="n"/>
      <c r="B768" s="767">
        <f>ROW()</f>
        <v/>
      </c>
      <c r="C768" s="716" t="n"/>
      <c r="D768" s="716" t="n"/>
      <c r="E768" s="716" t="n"/>
      <c r="F768" s="716" t="n"/>
      <c r="G768" s="716" t="n"/>
      <c r="H768" s="462" t="n"/>
    </row>
    <row r="769">
      <c r="A769" s="462" t="n"/>
      <c r="B769" s="767">
        <f>ROW()</f>
        <v/>
      </c>
      <c r="C769" s="716" t="n"/>
      <c r="D769" s="716" t="n"/>
      <c r="E769" s="716" t="n"/>
      <c r="F769" s="716" t="n"/>
      <c r="G769" s="716" t="n"/>
      <c r="H769" s="462" t="n"/>
    </row>
    <row r="770">
      <c r="A770" s="462" t="n"/>
      <c r="B770" s="767">
        <f>ROW()</f>
        <v/>
      </c>
      <c r="C770" s="716" t="n"/>
      <c r="D770" s="716" t="n"/>
      <c r="E770" s="716" t="n"/>
      <c r="F770" s="716" t="n"/>
      <c r="G770" s="716" t="n"/>
      <c r="H770" s="462" t="n"/>
    </row>
    <row r="771">
      <c r="A771" s="462" t="n"/>
      <c r="B771" s="767">
        <f>ROW()</f>
        <v/>
      </c>
      <c r="C771" s="716" t="n"/>
      <c r="D771" s="716" t="n"/>
      <c r="E771" s="716" t="n"/>
      <c r="F771" s="716" t="n"/>
      <c r="G771" s="716" t="n"/>
      <c r="H771" s="462" t="n"/>
    </row>
    <row r="772">
      <c r="A772" s="462" t="n"/>
      <c r="B772" s="767">
        <f>ROW()</f>
        <v/>
      </c>
      <c r="C772" s="716" t="n"/>
      <c r="D772" s="716" t="n"/>
      <c r="E772" s="716" t="n"/>
      <c r="F772" s="716" t="n"/>
      <c r="G772" s="716" t="n"/>
      <c r="H772" s="462" t="n"/>
    </row>
    <row r="773">
      <c r="A773" s="462" t="n"/>
      <c r="B773" s="767">
        <f>ROW()</f>
        <v/>
      </c>
      <c r="C773" s="716" t="n"/>
      <c r="D773" s="716" t="n"/>
      <c r="E773" s="716" t="n"/>
      <c r="F773" s="716" t="n"/>
      <c r="G773" s="716" t="n"/>
      <c r="H773" s="462" t="n"/>
    </row>
    <row r="774">
      <c r="A774" s="462" t="n"/>
      <c r="B774" s="767">
        <f>ROW()</f>
        <v/>
      </c>
      <c r="C774" s="716" t="n"/>
      <c r="D774" s="716" t="n"/>
      <c r="E774" s="716" t="n"/>
      <c r="F774" s="716" t="n"/>
      <c r="G774" s="716" t="n"/>
      <c r="H774" s="462" t="n"/>
    </row>
    <row r="775">
      <c r="A775" s="462" t="n"/>
      <c r="B775" s="767">
        <f>ROW()</f>
        <v/>
      </c>
      <c r="C775" s="716" t="n"/>
      <c r="D775" s="716" t="n"/>
      <c r="E775" s="716" t="n"/>
      <c r="F775" s="716" t="n"/>
      <c r="G775" s="716" t="n"/>
      <c r="H775" s="462" t="n"/>
    </row>
    <row r="776">
      <c r="A776" s="462" t="n"/>
      <c r="B776" s="767">
        <f>ROW()</f>
        <v/>
      </c>
      <c r="C776" s="716" t="n"/>
      <c r="D776" s="716" t="n"/>
      <c r="E776" s="716" t="n"/>
      <c r="F776" s="716" t="n"/>
      <c r="G776" s="716" t="n"/>
      <c r="H776" s="462" t="n"/>
    </row>
    <row r="777">
      <c r="A777" s="462" t="n"/>
      <c r="B777" s="767">
        <f>ROW()</f>
        <v/>
      </c>
      <c r="C777" s="716" t="n"/>
      <c r="D777" s="716" t="n"/>
      <c r="E777" s="716" t="n"/>
      <c r="F777" s="716" t="n"/>
      <c r="G777" s="716" t="n"/>
      <c r="H777" s="462" t="n"/>
    </row>
    <row r="778">
      <c r="A778" s="462" t="n"/>
      <c r="B778" s="767">
        <f>ROW()</f>
        <v/>
      </c>
      <c r="C778" s="716" t="n"/>
      <c r="D778" s="716" t="n"/>
      <c r="E778" s="716" t="n"/>
      <c r="F778" s="716" t="n"/>
      <c r="G778" s="716" t="n"/>
      <c r="H778" s="462" t="n"/>
    </row>
    <row r="779">
      <c r="A779" s="462" t="n"/>
      <c r="B779" s="767">
        <f>ROW()</f>
        <v/>
      </c>
      <c r="C779" s="716" t="n"/>
      <c r="D779" s="716" t="n"/>
      <c r="E779" s="716" t="n"/>
      <c r="F779" s="716" t="n"/>
      <c r="G779" s="716" t="n"/>
      <c r="H779" s="462" t="n"/>
    </row>
    <row r="780">
      <c r="A780" s="462" t="n"/>
      <c r="B780" s="767">
        <f>ROW()</f>
        <v/>
      </c>
      <c r="C780" s="716" t="n"/>
      <c r="D780" s="716" t="n"/>
      <c r="E780" s="716" t="n"/>
      <c r="F780" s="716" t="n"/>
      <c r="G780" s="716" t="n"/>
      <c r="H780" s="462" t="n"/>
    </row>
    <row r="781">
      <c r="A781" s="462" t="n"/>
      <c r="B781" s="767">
        <f>ROW()</f>
        <v/>
      </c>
      <c r="C781" s="716" t="n"/>
      <c r="D781" s="716" t="n"/>
      <c r="E781" s="716" t="n"/>
      <c r="F781" s="716" t="n"/>
      <c r="G781" s="716" t="n"/>
      <c r="H781" s="462" t="n"/>
    </row>
    <row r="782">
      <c r="A782" s="462" t="n"/>
      <c r="B782" s="767">
        <f>ROW()</f>
        <v/>
      </c>
      <c r="C782" s="716" t="n"/>
      <c r="D782" s="716" t="n"/>
      <c r="E782" s="716" t="n"/>
      <c r="F782" s="716" t="n"/>
      <c r="G782" s="716" t="n"/>
      <c r="H782" s="462" t="n"/>
    </row>
    <row r="783">
      <c r="A783" s="462" t="n"/>
      <c r="B783" s="767">
        <f>ROW()</f>
        <v/>
      </c>
      <c r="C783" s="716" t="n"/>
      <c r="D783" s="716" t="n"/>
      <c r="E783" s="716" t="n"/>
      <c r="F783" s="716" t="n"/>
      <c r="G783" s="716" t="n"/>
      <c r="H783" s="462" t="n"/>
    </row>
    <row r="784">
      <c r="A784" s="462" t="n"/>
      <c r="B784" s="767">
        <f>ROW()</f>
        <v/>
      </c>
      <c r="C784" s="716" t="n"/>
      <c r="D784" s="716" t="n"/>
      <c r="E784" s="716" t="n"/>
      <c r="F784" s="716" t="n"/>
      <c r="G784" s="716" t="n"/>
      <c r="H784" s="462" t="n"/>
    </row>
    <row r="785">
      <c r="A785" s="462" t="n"/>
      <c r="B785" s="767">
        <f>ROW()</f>
        <v/>
      </c>
      <c r="C785" s="716" t="n"/>
      <c r="D785" s="716" t="n"/>
      <c r="E785" s="716" t="n"/>
      <c r="F785" s="716" t="n"/>
      <c r="G785" s="716" t="n"/>
      <c r="H785" s="462" t="n"/>
    </row>
    <row r="786">
      <c r="A786" s="462" t="n"/>
      <c r="B786" s="767">
        <f>ROW()</f>
        <v/>
      </c>
      <c r="C786" s="716" t="n"/>
      <c r="D786" s="716" t="n"/>
      <c r="E786" s="716" t="n"/>
      <c r="F786" s="716" t="n"/>
      <c r="G786" s="716" t="n"/>
      <c r="H786" s="462" t="n"/>
    </row>
    <row r="787">
      <c r="A787" s="462" t="n"/>
      <c r="B787" s="767">
        <f>ROW()</f>
        <v/>
      </c>
      <c r="C787" s="716" t="n"/>
      <c r="D787" s="716" t="n"/>
      <c r="E787" s="716" t="n"/>
      <c r="F787" s="716" t="n"/>
      <c r="G787" s="716" t="n"/>
      <c r="H787" s="462" t="n"/>
    </row>
    <row r="788">
      <c r="A788" s="462" t="n"/>
      <c r="B788" s="767">
        <f>ROW()</f>
        <v/>
      </c>
      <c r="C788" s="716" t="n"/>
      <c r="D788" s="716" t="n"/>
      <c r="E788" s="716" t="n"/>
      <c r="F788" s="716" t="n"/>
      <c r="G788" s="716" t="n"/>
      <c r="H788" s="462" t="n"/>
    </row>
    <row r="789">
      <c r="A789" s="462" t="n"/>
      <c r="B789" s="767">
        <f>ROW()</f>
        <v/>
      </c>
      <c r="C789" s="716" t="n"/>
      <c r="D789" s="716" t="n"/>
      <c r="E789" s="716" t="n"/>
      <c r="F789" s="716" t="n"/>
      <c r="G789" s="716" t="n"/>
      <c r="H789" s="462" t="n"/>
    </row>
    <row r="790">
      <c r="A790" s="462" t="n"/>
      <c r="B790" s="767">
        <f>ROW()</f>
        <v/>
      </c>
      <c r="C790" s="716" t="n"/>
      <c r="D790" s="716" t="n"/>
      <c r="E790" s="716" t="n"/>
      <c r="F790" s="716" t="n"/>
      <c r="G790" s="716" t="n"/>
      <c r="H790" s="462" t="n"/>
    </row>
    <row r="791">
      <c r="A791" s="462" t="n"/>
      <c r="B791" s="767">
        <f>ROW()</f>
        <v/>
      </c>
      <c r="C791" s="716" t="n"/>
      <c r="D791" s="716" t="n"/>
      <c r="E791" s="716" t="n"/>
      <c r="F791" s="716" t="n"/>
      <c r="G791" s="716" t="n"/>
      <c r="H791" s="462" t="n"/>
    </row>
    <row r="792">
      <c r="A792" s="462" t="n"/>
      <c r="B792" s="767">
        <f>ROW()</f>
        <v/>
      </c>
      <c r="C792" s="716" t="n"/>
      <c r="D792" s="716" t="n"/>
      <c r="E792" s="716" t="n"/>
      <c r="F792" s="716" t="n"/>
      <c r="G792" s="716" t="n"/>
      <c r="H792" s="462" t="n"/>
    </row>
    <row r="793">
      <c r="A793" s="462" t="n"/>
      <c r="B793" s="767">
        <f>ROW()</f>
        <v/>
      </c>
      <c r="C793" s="716" t="n"/>
      <c r="D793" s="716" t="n"/>
      <c r="E793" s="716" t="n"/>
      <c r="F793" s="716" t="n"/>
      <c r="G793" s="716" t="n"/>
      <c r="H793" s="462" t="n"/>
    </row>
    <row r="794">
      <c r="A794" s="462" t="n"/>
      <c r="B794" s="767">
        <f>ROW()</f>
        <v/>
      </c>
      <c r="C794" s="716" t="n"/>
      <c r="D794" s="716" t="n"/>
      <c r="E794" s="716" t="n"/>
      <c r="F794" s="716" t="n"/>
      <c r="G794" s="716" t="n"/>
      <c r="H794" s="462" t="n"/>
    </row>
    <row r="795">
      <c r="A795" s="462" t="n"/>
      <c r="B795" s="767">
        <f>ROW()</f>
        <v/>
      </c>
      <c r="C795" s="716" t="n"/>
      <c r="D795" s="716" t="n"/>
      <c r="E795" s="716" t="n"/>
      <c r="F795" s="716" t="n"/>
      <c r="G795" s="716" t="n"/>
      <c r="H795" s="462" t="n"/>
    </row>
    <row r="796">
      <c r="A796" s="462" t="n"/>
      <c r="B796" s="767">
        <f>ROW()</f>
        <v/>
      </c>
      <c r="C796" s="716" t="n"/>
      <c r="D796" s="716" t="n"/>
      <c r="E796" s="716" t="n"/>
      <c r="F796" s="716" t="n"/>
      <c r="G796" s="716" t="n"/>
      <c r="H796" s="462" t="n"/>
    </row>
    <row r="797">
      <c r="A797" s="462" t="n"/>
      <c r="B797" s="767">
        <f>ROW()</f>
        <v/>
      </c>
      <c r="C797" s="716" t="n"/>
      <c r="D797" s="716" t="n"/>
      <c r="E797" s="716" t="n"/>
      <c r="F797" s="716" t="n"/>
      <c r="G797" s="716" t="n"/>
      <c r="H797" s="462" t="n"/>
    </row>
    <row r="798">
      <c r="A798" s="462" t="n"/>
      <c r="B798" s="767">
        <f>ROW()</f>
        <v/>
      </c>
      <c r="C798" s="716" t="n"/>
      <c r="D798" s="716" t="n"/>
      <c r="E798" s="716" t="n"/>
      <c r="F798" s="716" t="n"/>
      <c r="G798" s="716" t="n"/>
      <c r="H798" s="462" t="n"/>
    </row>
    <row r="799">
      <c r="A799" s="462" t="n"/>
      <c r="B799" s="767">
        <f>ROW()</f>
        <v/>
      </c>
      <c r="C799" s="716" t="n"/>
      <c r="D799" s="716" t="n"/>
      <c r="E799" s="716" t="n"/>
      <c r="F799" s="716" t="n"/>
      <c r="G799" s="716" t="n"/>
      <c r="H799" s="462" t="n"/>
    </row>
    <row r="800">
      <c r="A800" s="462" t="n"/>
      <c r="B800" s="767">
        <f>ROW()</f>
        <v/>
      </c>
      <c r="C800" s="716" t="n"/>
      <c r="D800" s="716" t="n"/>
      <c r="E800" s="716" t="n"/>
      <c r="F800" s="716" t="n"/>
      <c r="G800" s="716" t="n"/>
      <c r="H800" s="462" t="n"/>
    </row>
    <row r="801">
      <c r="A801" s="462" t="n"/>
      <c r="B801" s="767">
        <f>ROW()</f>
        <v/>
      </c>
      <c r="C801" s="716" t="n"/>
      <c r="D801" s="716" t="n"/>
      <c r="E801" s="716" t="n"/>
      <c r="F801" s="716" t="n"/>
      <c r="G801" s="716" t="n"/>
      <c r="H801" s="462" t="n"/>
    </row>
    <row r="802">
      <c r="A802" s="462" t="n"/>
      <c r="B802" s="767">
        <f>ROW()</f>
        <v/>
      </c>
      <c r="C802" s="716" t="n"/>
      <c r="D802" s="716" t="n"/>
      <c r="E802" s="716" t="n"/>
      <c r="F802" s="716" t="n"/>
      <c r="G802" s="716" t="n"/>
      <c r="H802" s="462" t="n"/>
    </row>
    <row r="803">
      <c r="A803" s="462" t="n"/>
      <c r="B803" s="767">
        <f>ROW()</f>
        <v/>
      </c>
      <c r="C803" s="716" t="n"/>
      <c r="D803" s="716" t="n"/>
      <c r="E803" s="716" t="n"/>
      <c r="F803" s="716" t="n"/>
      <c r="G803" s="716" t="n"/>
      <c r="H803" s="462" t="n"/>
    </row>
    <row r="804">
      <c r="A804" s="462" t="n"/>
      <c r="B804" s="767">
        <f>ROW()</f>
        <v/>
      </c>
      <c r="C804" s="716" t="n"/>
      <c r="D804" s="716" t="n"/>
      <c r="E804" s="716" t="n"/>
      <c r="F804" s="716" t="n"/>
      <c r="G804" s="716" t="n"/>
      <c r="H804" s="462" t="n"/>
    </row>
    <row r="805">
      <c r="A805" s="462" t="n"/>
      <c r="B805" s="767">
        <f>ROW()</f>
        <v/>
      </c>
      <c r="C805" s="716" t="n"/>
      <c r="D805" s="716" t="n"/>
      <c r="E805" s="716" t="n"/>
      <c r="F805" s="716" t="n"/>
      <c r="G805" s="716" t="n"/>
      <c r="H805" s="462" t="n"/>
    </row>
    <row r="806">
      <c r="A806" s="462" t="n"/>
      <c r="B806" s="767">
        <f>ROW()</f>
        <v/>
      </c>
      <c r="C806" s="716" t="n"/>
      <c r="D806" s="716" t="n"/>
      <c r="E806" s="716" t="n"/>
      <c r="F806" s="716" t="n"/>
      <c r="G806" s="716" t="n"/>
      <c r="H806" s="462" t="n"/>
    </row>
    <row r="807">
      <c r="A807" s="462" t="n"/>
      <c r="B807" s="767">
        <f>ROW()</f>
        <v/>
      </c>
      <c r="C807" s="716" t="n"/>
      <c r="D807" s="716" t="n"/>
      <c r="E807" s="716" t="n"/>
      <c r="F807" s="716" t="n"/>
      <c r="G807" s="716" t="n"/>
      <c r="H807" s="462" t="n"/>
    </row>
    <row r="808">
      <c r="A808" s="462" t="n"/>
      <c r="B808" s="767">
        <f>ROW()</f>
        <v/>
      </c>
      <c r="C808" s="716" t="n"/>
      <c r="D808" s="716" t="n"/>
      <c r="E808" s="716" t="n"/>
      <c r="F808" s="716" t="n"/>
      <c r="G808" s="716" t="n"/>
      <c r="H808" s="462" t="n"/>
    </row>
    <row r="809">
      <c r="A809" s="462" t="n"/>
      <c r="B809" s="767">
        <f>ROW()</f>
        <v/>
      </c>
      <c r="C809" s="716" t="n"/>
      <c r="D809" s="716" t="n"/>
      <c r="E809" s="716" t="n"/>
      <c r="F809" s="716" t="n"/>
      <c r="G809" s="716" t="n"/>
      <c r="H809" s="462" t="n"/>
    </row>
    <row r="810">
      <c r="A810" s="462" t="n"/>
      <c r="B810" s="767">
        <f>ROW()</f>
        <v/>
      </c>
      <c r="C810" s="716" t="n"/>
      <c r="D810" s="716" t="n"/>
      <c r="E810" s="716" t="n"/>
      <c r="F810" s="716" t="n"/>
      <c r="G810" s="716" t="n"/>
      <c r="H810" s="462" t="n"/>
    </row>
    <row r="811">
      <c r="A811" s="462" t="n"/>
      <c r="B811" s="767">
        <f>ROW()</f>
        <v/>
      </c>
      <c r="C811" s="716" t="n"/>
      <c r="D811" s="716" t="n"/>
      <c r="E811" s="716" t="n"/>
      <c r="F811" s="716" t="n"/>
      <c r="G811" s="716" t="n"/>
      <c r="H811" s="462" t="n"/>
    </row>
    <row r="812">
      <c r="A812" s="462" t="n"/>
      <c r="B812" s="767">
        <f>ROW()</f>
        <v/>
      </c>
      <c r="C812" s="716" t="n"/>
      <c r="D812" s="716" t="n"/>
      <c r="E812" s="716" t="n"/>
      <c r="F812" s="716" t="n"/>
      <c r="G812" s="716" t="n"/>
      <c r="H812" s="462" t="n"/>
    </row>
    <row r="813">
      <c r="A813" s="462" t="n"/>
      <c r="B813" s="767">
        <f>ROW()</f>
        <v/>
      </c>
      <c r="C813" s="716" t="n"/>
      <c r="D813" s="716" t="n"/>
      <c r="E813" s="716" t="n"/>
      <c r="F813" s="716" t="n"/>
      <c r="G813" s="716" t="n"/>
      <c r="H813" s="462" t="n"/>
    </row>
    <row r="814">
      <c r="A814" s="462" t="n"/>
      <c r="B814" s="767">
        <f>ROW()</f>
        <v/>
      </c>
      <c r="C814" s="716" t="n"/>
      <c r="D814" s="716" t="n"/>
      <c r="E814" s="716" t="n"/>
      <c r="F814" s="716" t="n"/>
      <c r="G814" s="716" t="n"/>
      <c r="H814" s="462" t="n"/>
    </row>
    <row r="815">
      <c r="A815" s="462" t="n"/>
      <c r="B815" s="767">
        <f>ROW()</f>
        <v/>
      </c>
      <c r="C815" s="716" t="n"/>
      <c r="D815" s="716" t="n"/>
      <c r="E815" s="716" t="n"/>
      <c r="F815" s="716" t="n"/>
      <c r="G815" s="716" t="n"/>
      <c r="H815" s="462" t="n"/>
    </row>
    <row r="816">
      <c r="A816" s="462" t="n"/>
      <c r="B816" s="767">
        <f>ROW()</f>
        <v/>
      </c>
      <c r="C816" s="716" t="n"/>
      <c r="D816" s="716" t="n"/>
      <c r="E816" s="716" t="n"/>
      <c r="F816" s="716" t="n"/>
      <c r="G816" s="716" t="n"/>
      <c r="H816" s="462" t="n"/>
    </row>
    <row r="817">
      <c r="A817" s="462" t="n"/>
      <c r="B817" s="767">
        <f>ROW()</f>
        <v/>
      </c>
      <c r="C817" s="716" t="n"/>
      <c r="D817" s="716" t="n"/>
      <c r="E817" s="716" t="n"/>
      <c r="F817" s="716" t="n"/>
      <c r="G817" s="716" t="n"/>
      <c r="H817" s="462" t="n"/>
    </row>
    <row r="818">
      <c r="A818" s="462" t="n"/>
      <c r="B818" s="767">
        <f>ROW()</f>
        <v/>
      </c>
      <c r="C818" s="716" t="n"/>
      <c r="D818" s="716" t="n"/>
      <c r="E818" s="716" t="n"/>
      <c r="F818" s="716" t="n"/>
      <c r="G818" s="716" t="n"/>
      <c r="H818" s="462" t="n"/>
    </row>
    <row r="819">
      <c r="A819" s="462" t="n"/>
      <c r="B819" s="767">
        <f>ROW()</f>
        <v/>
      </c>
      <c r="C819" s="716" t="n"/>
      <c r="D819" s="716" t="n"/>
      <c r="E819" s="716" t="n"/>
      <c r="F819" s="716" t="n"/>
      <c r="G819" s="716" t="n"/>
      <c r="H819" s="462" t="n"/>
    </row>
    <row r="820">
      <c r="A820" s="462" t="n"/>
      <c r="B820" s="767">
        <f>ROW()</f>
        <v/>
      </c>
      <c r="C820" s="716" t="n"/>
      <c r="D820" s="716" t="n"/>
      <c r="E820" s="716" t="n"/>
      <c r="F820" s="716" t="n"/>
      <c r="G820" s="716" t="n"/>
      <c r="H820" s="462" t="n"/>
    </row>
    <row r="821">
      <c r="A821" s="462" t="n"/>
      <c r="B821" s="767">
        <f>ROW()</f>
        <v/>
      </c>
      <c r="C821" s="716" t="n"/>
      <c r="D821" s="716" t="n"/>
      <c r="E821" s="716" t="n"/>
      <c r="F821" s="716" t="n"/>
      <c r="G821" s="716" t="n"/>
      <c r="H821" s="462" t="n"/>
    </row>
    <row r="822">
      <c r="A822" s="462" t="n"/>
      <c r="B822" s="767">
        <f>ROW()</f>
        <v/>
      </c>
      <c r="C822" s="716" t="n"/>
      <c r="D822" s="716" t="n"/>
      <c r="E822" s="716" t="n"/>
      <c r="F822" s="716" t="n"/>
      <c r="G822" s="716" t="n"/>
      <c r="H822" s="462" t="n"/>
    </row>
    <row r="823">
      <c r="A823" s="462" t="n"/>
      <c r="B823" s="767">
        <f>ROW()</f>
        <v/>
      </c>
      <c r="C823" s="716" t="n"/>
      <c r="D823" s="716" t="n"/>
      <c r="E823" s="716" t="n"/>
      <c r="F823" s="716" t="n"/>
      <c r="G823" s="716" t="n"/>
      <c r="H823" s="462" t="n"/>
    </row>
    <row r="824">
      <c r="A824" s="462" t="n"/>
      <c r="B824" s="767">
        <f>ROW()</f>
        <v/>
      </c>
      <c r="C824" s="716" t="n"/>
      <c r="D824" s="716" t="n"/>
      <c r="E824" s="716" t="n"/>
      <c r="F824" s="716" t="n"/>
      <c r="G824" s="716" t="n"/>
      <c r="H824" s="462" t="n"/>
    </row>
    <row r="825">
      <c r="A825" s="462" t="n"/>
      <c r="B825" s="767">
        <f>ROW()</f>
        <v/>
      </c>
      <c r="C825" s="716" t="n"/>
      <c r="D825" s="716" t="n"/>
      <c r="E825" s="716" t="n"/>
      <c r="F825" s="716" t="n"/>
      <c r="G825" s="716" t="n"/>
      <c r="H825" s="462" t="n"/>
    </row>
    <row r="826">
      <c r="A826" s="462" t="n"/>
      <c r="B826" s="767">
        <f>ROW()</f>
        <v/>
      </c>
      <c r="C826" s="716" t="n"/>
      <c r="D826" s="716" t="n"/>
      <c r="E826" s="716" t="n"/>
      <c r="F826" s="716" t="n"/>
      <c r="G826" s="716" t="n"/>
      <c r="H826" s="462" t="n"/>
    </row>
    <row r="827">
      <c r="A827" s="462" t="n"/>
      <c r="B827" s="767">
        <f>ROW()</f>
        <v/>
      </c>
      <c r="C827" s="716" t="n"/>
      <c r="D827" s="716" t="n"/>
      <c r="E827" s="716" t="n"/>
      <c r="F827" s="716" t="n"/>
      <c r="G827" s="716" t="n"/>
      <c r="H827" s="462" t="n"/>
    </row>
    <row r="828">
      <c r="A828" s="462" t="n"/>
      <c r="B828" s="767">
        <f>ROW()</f>
        <v/>
      </c>
      <c r="C828" s="716" t="n"/>
      <c r="D828" s="716" t="n"/>
      <c r="E828" s="716" t="n"/>
      <c r="F828" s="716" t="n"/>
      <c r="G828" s="716" t="n"/>
      <c r="H828" s="462" t="n"/>
    </row>
    <row r="829">
      <c r="A829" s="462" t="n"/>
      <c r="B829" s="767">
        <f>ROW()</f>
        <v/>
      </c>
      <c r="C829" s="716" t="n"/>
      <c r="D829" s="716" t="n"/>
      <c r="E829" s="716" t="n"/>
      <c r="F829" s="716" t="n"/>
      <c r="G829" s="716" t="n"/>
      <c r="H829" s="462" t="n"/>
    </row>
    <row r="830">
      <c r="A830" s="462" t="n"/>
      <c r="B830" s="767">
        <f>ROW()</f>
        <v/>
      </c>
      <c r="C830" s="716" t="n"/>
      <c r="D830" s="716" t="n"/>
      <c r="E830" s="716" t="n"/>
      <c r="F830" s="716" t="n"/>
      <c r="G830" s="716" t="n"/>
      <c r="H830" s="462" t="n"/>
    </row>
    <row r="831">
      <c r="A831" s="462" t="n"/>
      <c r="B831" s="767">
        <f>ROW()</f>
        <v/>
      </c>
      <c r="C831" s="716" t="n"/>
      <c r="D831" s="716" t="n"/>
      <c r="E831" s="716" t="n"/>
      <c r="F831" s="716" t="n"/>
      <c r="G831" s="716" t="n"/>
      <c r="H831" s="462" t="n"/>
    </row>
    <row r="832">
      <c r="A832" s="462" t="n"/>
      <c r="B832" s="767">
        <f>ROW()</f>
        <v/>
      </c>
      <c r="C832" s="716" t="n"/>
      <c r="D832" s="716" t="n"/>
      <c r="E832" s="716" t="n"/>
      <c r="F832" s="716" t="n"/>
      <c r="G832" s="716" t="n"/>
      <c r="H832" s="462" t="n"/>
    </row>
    <row r="833">
      <c r="A833" s="462" t="n"/>
      <c r="B833" s="767">
        <f>ROW()</f>
        <v/>
      </c>
      <c r="C833" s="716" t="n"/>
      <c r="D833" s="716" t="n"/>
      <c r="E833" s="716" t="n"/>
      <c r="F833" s="716" t="n"/>
      <c r="G833" s="716" t="n"/>
      <c r="H833" s="462" t="n"/>
    </row>
    <row r="834">
      <c r="A834" s="462" t="n"/>
      <c r="B834" s="767">
        <f>ROW()</f>
        <v/>
      </c>
      <c r="C834" s="716" t="n"/>
      <c r="D834" s="716" t="n"/>
      <c r="E834" s="716" t="n"/>
      <c r="F834" s="716" t="n"/>
      <c r="G834" s="716" t="n"/>
      <c r="H834" s="462" t="n"/>
    </row>
    <row r="835">
      <c r="A835" s="462" t="n"/>
      <c r="B835" s="767">
        <f>ROW()</f>
        <v/>
      </c>
      <c r="C835" s="716" t="n"/>
      <c r="D835" s="716" t="n"/>
      <c r="E835" s="716" t="n"/>
      <c r="F835" s="716" t="n"/>
      <c r="G835" s="716" t="n"/>
      <c r="H835" s="462" t="n"/>
    </row>
    <row r="836">
      <c r="A836" s="462" t="n"/>
      <c r="B836" s="767">
        <f>ROW()</f>
        <v/>
      </c>
      <c r="C836" s="716" t="n"/>
      <c r="D836" s="716" t="n"/>
      <c r="E836" s="716" t="n"/>
      <c r="F836" s="716" t="n"/>
      <c r="G836" s="716" t="n"/>
      <c r="H836" s="462" t="n"/>
    </row>
    <row r="837">
      <c r="A837" s="462" t="n"/>
      <c r="B837" s="767">
        <f>ROW()</f>
        <v/>
      </c>
      <c r="C837" s="716" t="n"/>
      <c r="D837" s="716" t="n"/>
      <c r="E837" s="716" t="n"/>
      <c r="F837" s="716" t="n"/>
      <c r="G837" s="716" t="n"/>
      <c r="H837" s="462" t="n"/>
    </row>
    <row r="838">
      <c r="A838" s="462" t="n"/>
      <c r="B838" s="767">
        <f>ROW()</f>
        <v/>
      </c>
      <c r="C838" s="716" t="n"/>
      <c r="D838" s="716" t="n"/>
      <c r="E838" s="716" t="n"/>
      <c r="F838" s="716" t="n"/>
      <c r="G838" s="716" t="n"/>
      <c r="H838" s="462" t="n"/>
    </row>
    <row r="839">
      <c r="A839" s="462" t="n"/>
      <c r="B839" s="767">
        <f>ROW()</f>
        <v/>
      </c>
      <c r="C839" s="716" t="n"/>
      <c r="D839" s="716" t="n"/>
      <c r="E839" s="716" t="n"/>
      <c r="F839" s="716" t="n"/>
      <c r="G839" s="716" t="n"/>
      <c r="H839" s="462" t="n"/>
    </row>
    <row r="840">
      <c r="A840" s="462" t="n"/>
      <c r="B840" s="767">
        <f>ROW()</f>
        <v/>
      </c>
      <c r="C840" s="716" t="n"/>
      <c r="D840" s="716" t="n"/>
      <c r="E840" s="716" t="n"/>
      <c r="F840" s="716" t="n"/>
      <c r="G840" s="716" t="n"/>
      <c r="H840" s="462" t="n"/>
    </row>
    <row r="841">
      <c r="A841" s="462" t="n"/>
      <c r="B841" s="767">
        <f>ROW()</f>
        <v/>
      </c>
      <c r="C841" s="716" t="n"/>
      <c r="D841" s="716" t="n"/>
      <c r="E841" s="716" t="n"/>
      <c r="F841" s="716" t="n"/>
      <c r="G841" s="716" t="n"/>
      <c r="H841" s="462" t="n"/>
    </row>
    <row r="842">
      <c r="A842" s="462" t="n"/>
      <c r="B842" s="767">
        <f>ROW()</f>
        <v/>
      </c>
      <c r="C842" s="716" t="n"/>
      <c r="D842" s="716" t="n"/>
      <c r="E842" s="716" t="n"/>
      <c r="F842" s="716" t="n"/>
      <c r="G842" s="716" t="n"/>
      <c r="H842" s="462" t="n"/>
    </row>
    <row r="843">
      <c r="A843" s="462" t="n"/>
      <c r="B843" s="767">
        <f>ROW()</f>
        <v/>
      </c>
      <c r="C843" s="716" t="n"/>
      <c r="D843" s="716" t="n"/>
      <c r="E843" s="716" t="n"/>
      <c r="F843" s="716" t="n"/>
      <c r="G843" s="716" t="n"/>
      <c r="H843" s="462" t="n"/>
    </row>
    <row r="844">
      <c r="A844" s="462" t="n"/>
      <c r="B844" s="767">
        <f>ROW()</f>
        <v/>
      </c>
      <c r="C844" s="716" t="n"/>
      <c r="D844" s="716" t="n"/>
      <c r="E844" s="716" t="n"/>
      <c r="F844" s="716" t="n"/>
      <c r="G844" s="716" t="n"/>
      <c r="H844" s="462" t="n"/>
    </row>
    <row r="845">
      <c r="A845" s="462" t="n"/>
      <c r="B845" s="767">
        <f>ROW()</f>
        <v/>
      </c>
      <c r="C845" s="716" t="n"/>
      <c r="D845" s="716" t="n"/>
      <c r="E845" s="716" t="n"/>
      <c r="F845" s="716" t="n"/>
      <c r="G845" s="716" t="n"/>
      <c r="H845" s="462" t="n"/>
    </row>
    <row r="846">
      <c r="A846" s="462" t="n"/>
      <c r="B846" s="767">
        <f>ROW()</f>
        <v/>
      </c>
      <c r="C846" s="716" t="n"/>
      <c r="D846" s="716" t="n"/>
      <c r="E846" s="716" t="n"/>
      <c r="F846" s="716" t="n"/>
      <c r="G846" s="716" t="n"/>
      <c r="H846" s="462" t="n"/>
    </row>
    <row r="847">
      <c r="A847" s="462" t="n"/>
      <c r="B847" s="767">
        <f>ROW()</f>
        <v/>
      </c>
      <c r="C847" s="716" t="n"/>
      <c r="D847" s="716" t="n"/>
      <c r="E847" s="716" t="n"/>
      <c r="F847" s="716" t="n"/>
      <c r="G847" s="716" t="n"/>
      <c r="H847" s="462" t="n"/>
    </row>
    <row r="848">
      <c r="A848" s="462" t="n"/>
      <c r="B848" s="767">
        <f>ROW()</f>
        <v/>
      </c>
      <c r="C848" s="716" t="n"/>
      <c r="D848" s="716" t="n"/>
      <c r="E848" s="716" t="n"/>
      <c r="F848" s="716" t="n"/>
      <c r="G848" s="716" t="n"/>
      <c r="H848" s="462" t="n"/>
    </row>
    <row r="849">
      <c r="A849" s="462" t="n"/>
      <c r="B849" s="767">
        <f>ROW()</f>
        <v/>
      </c>
      <c r="C849" s="716" t="n"/>
      <c r="D849" s="716" t="n"/>
      <c r="E849" s="716" t="n"/>
      <c r="F849" s="716" t="n"/>
      <c r="G849" s="716" t="n"/>
      <c r="H849" s="462" t="n"/>
    </row>
    <row r="850">
      <c r="A850" s="462" t="n"/>
      <c r="B850" s="767">
        <f>ROW()</f>
        <v/>
      </c>
      <c r="C850" s="716" t="n"/>
      <c r="D850" s="716" t="n"/>
      <c r="E850" s="716" t="n"/>
      <c r="F850" s="716" t="n"/>
      <c r="G850" s="716" t="n"/>
      <c r="H850" s="462" t="n"/>
    </row>
    <row r="851">
      <c r="A851" s="462" t="n"/>
      <c r="B851" s="767">
        <f>ROW()</f>
        <v/>
      </c>
      <c r="C851" s="716" t="n"/>
      <c r="D851" s="716" t="n"/>
      <c r="E851" s="716" t="n"/>
      <c r="F851" s="716" t="n"/>
      <c r="G851" s="716" t="n"/>
      <c r="H851" s="462" t="n"/>
    </row>
    <row r="852">
      <c r="A852" s="462" t="n"/>
      <c r="B852" s="767">
        <f>ROW()</f>
        <v/>
      </c>
      <c r="C852" s="716" t="n"/>
      <c r="D852" s="716" t="n"/>
      <c r="E852" s="716" t="n"/>
      <c r="F852" s="716" t="n"/>
      <c r="G852" s="716" t="n"/>
      <c r="H852" s="462" t="n"/>
    </row>
    <row r="853">
      <c r="A853" s="462" t="n"/>
      <c r="B853" s="767">
        <f>ROW()</f>
        <v/>
      </c>
      <c r="C853" s="716" t="n"/>
      <c r="D853" s="716" t="n"/>
      <c r="E853" s="716" t="n"/>
      <c r="F853" s="716" t="n"/>
      <c r="G853" s="716" t="n"/>
      <c r="H853" s="462" t="n"/>
    </row>
    <row r="854">
      <c r="A854" s="462" t="n"/>
      <c r="B854" s="767">
        <f>ROW()</f>
        <v/>
      </c>
      <c r="C854" s="716" t="n"/>
      <c r="D854" s="716" t="n"/>
      <c r="E854" s="716" t="n"/>
      <c r="F854" s="716" t="n"/>
      <c r="G854" s="716" t="n"/>
      <c r="H854" s="462" t="n"/>
    </row>
    <row r="855">
      <c r="A855" s="462" t="n"/>
      <c r="B855" s="767">
        <f>ROW()</f>
        <v/>
      </c>
      <c r="C855" s="716" t="n"/>
      <c r="D855" s="716" t="n"/>
      <c r="E855" s="716" t="n"/>
      <c r="F855" s="716" t="n"/>
      <c r="G855" s="716" t="n"/>
      <c r="H855" s="462" t="n"/>
    </row>
    <row r="856">
      <c r="A856" s="462" t="n"/>
      <c r="B856" s="767">
        <f>ROW()</f>
        <v/>
      </c>
      <c r="C856" s="716" t="n"/>
      <c r="D856" s="716" t="n"/>
      <c r="E856" s="716" t="n"/>
      <c r="F856" s="716" t="n"/>
      <c r="G856" s="716" t="n"/>
      <c r="H856" s="462" t="n"/>
    </row>
    <row r="857">
      <c r="A857" s="462" t="n"/>
      <c r="B857" s="767">
        <f>ROW()</f>
        <v/>
      </c>
      <c r="C857" s="716" t="n"/>
      <c r="D857" s="716" t="n"/>
      <c r="E857" s="716" t="n"/>
      <c r="F857" s="716" t="n"/>
      <c r="G857" s="716" t="n"/>
      <c r="H857" s="462" t="n"/>
    </row>
    <row r="858">
      <c r="A858" s="462" t="n"/>
      <c r="B858" s="767">
        <f>ROW()</f>
        <v/>
      </c>
      <c r="C858" s="716" t="n"/>
      <c r="D858" s="716" t="n"/>
      <c r="E858" s="716" t="n"/>
      <c r="F858" s="716" t="n"/>
      <c r="G858" s="716" t="n"/>
      <c r="H858" s="462" t="n"/>
    </row>
    <row r="859">
      <c r="A859" s="462" t="n"/>
      <c r="B859" s="767">
        <f>ROW()</f>
        <v/>
      </c>
      <c r="C859" s="716" t="n"/>
      <c r="D859" s="716" t="n"/>
      <c r="E859" s="716" t="n"/>
      <c r="F859" s="716" t="n"/>
      <c r="G859" s="716" t="n"/>
      <c r="H859" s="462" t="n"/>
    </row>
    <row r="860">
      <c r="A860" s="462" t="n"/>
      <c r="B860" s="767">
        <f>ROW()</f>
        <v/>
      </c>
      <c r="C860" s="716" t="n"/>
      <c r="D860" s="716" t="n"/>
      <c r="E860" s="716" t="n"/>
      <c r="F860" s="716" t="n"/>
      <c r="G860" s="716" t="n"/>
      <c r="H860" s="462" t="n"/>
    </row>
    <row r="861">
      <c r="A861" s="462" t="n"/>
      <c r="B861" s="767">
        <f>ROW()</f>
        <v/>
      </c>
      <c r="C861" s="716" t="n"/>
      <c r="D861" s="716" t="n"/>
      <c r="E861" s="716" t="n"/>
      <c r="F861" s="716" t="n"/>
      <c r="G861" s="716" t="n"/>
      <c r="H861" s="462" t="n"/>
    </row>
    <row r="862">
      <c r="A862" s="462" t="n"/>
      <c r="B862" s="767">
        <f>ROW()</f>
        <v/>
      </c>
      <c r="C862" s="716" t="n"/>
      <c r="D862" s="716" t="n"/>
      <c r="E862" s="716" t="n"/>
      <c r="F862" s="716" t="n"/>
      <c r="G862" s="716" t="n"/>
      <c r="H862" s="462" t="n"/>
    </row>
    <row r="863">
      <c r="A863" s="462" t="n"/>
      <c r="B863" s="767">
        <f>ROW()</f>
        <v/>
      </c>
      <c r="C863" s="716" t="n"/>
      <c r="D863" s="716" t="n"/>
      <c r="E863" s="716" t="n"/>
      <c r="F863" s="716" t="n"/>
      <c r="G863" s="716" t="n"/>
      <c r="H863" s="462" t="n"/>
    </row>
    <row r="864">
      <c r="A864" s="462" t="n"/>
      <c r="B864" s="767">
        <f>ROW()</f>
        <v/>
      </c>
      <c r="C864" s="716" t="n"/>
      <c r="D864" s="716" t="n"/>
      <c r="E864" s="716" t="n"/>
      <c r="F864" s="716" t="n"/>
      <c r="G864" s="716" t="n"/>
      <c r="H864" s="462" t="n"/>
    </row>
    <row r="865">
      <c r="A865" s="462" t="n"/>
      <c r="B865" s="767">
        <f>ROW()</f>
        <v/>
      </c>
      <c r="C865" s="716" t="n"/>
      <c r="D865" s="716" t="n"/>
      <c r="E865" s="716" t="n"/>
      <c r="F865" s="716" t="n"/>
      <c r="G865" s="716" t="n"/>
      <c r="H865" s="462" t="n"/>
    </row>
    <row r="866">
      <c r="A866" s="462" t="n"/>
      <c r="B866" s="767">
        <f>ROW()</f>
        <v/>
      </c>
      <c r="C866" s="716" t="n"/>
      <c r="D866" s="716" t="n"/>
      <c r="E866" s="716" t="n"/>
      <c r="F866" s="716" t="n"/>
      <c r="G866" s="716" t="n"/>
      <c r="H866" s="462" t="n"/>
    </row>
    <row r="867">
      <c r="A867" s="462" t="n"/>
      <c r="B867" s="767">
        <f>ROW()</f>
        <v/>
      </c>
      <c r="C867" s="716" t="n"/>
      <c r="D867" s="716" t="n"/>
      <c r="E867" s="716" t="n"/>
      <c r="F867" s="716" t="n"/>
      <c r="G867" s="716" t="n"/>
      <c r="H867" s="462" t="n"/>
    </row>
    <row r="868">
      <c r="A868" s="462" t="n"/>
      <c r="B868" s="767">
        <f>ROW()</f>
        <v/>
      </c>
      <c r="C868" s="716" t="n"/>
      <c r="D868" s="716" t="n"/>
      <c r="E868" s="716" t="n"/>
      <c r="F868" s="716" t="n"/>
      <c r="G868" s="716" t="n"/>
      <c r="H868" s="462" t="n"/>
    </row>
    <row r="869">
      <c r="A869" s="462" t="n"/>
      <c r="B869" s="767">
        <f>ROW()</f>
        <v/>
      </c>
      <c r="C869" s="716" t="n"/>
      <c r="D869" s="716" t="n"/>
      <c r="E869" s="716" t="n"/>
      <c r="F869" s="716" t="n"/>
      <c r="G869" s="716" t="n"/>
      <c r="H869" s="462" t="n"/>
    </row>
    <row r="870">
      <c r="A870" s="462" t="n"/>
      <c r="B870" s="767">
        <f>ROW()</f>
        <v/>
      </c>
      <c r="C870" s="716" t="n"/>
      <c r="D870" s="716" t="n"/>
      <c r="E870" s="716" t="n"/>
      <c r="F870" s="716" t="n"/>
      <c r="G870" s="716" t="n"/>
      <c r="H870" s="462" t="n"/>
    </row>
    <row r="871">
      <c r="A871" s="462" t="n"/>
      <c r="B871" s="767">
        <f>ROW()</f>
        <v/>
      </c>
      <c r="C871" s="716" t="n"/>
      <c r="D871" s="716" t="n"/>
      <c r="E871" s="716" t="n"/>
      <c r="F871" s="716" t="n"/>
      <c r="G871" s="716" t="n"/>
      <c r="H871" s="462" t="n"/>
    </row>
    <row r="872">
      <c r="A872" s="462" t="n"/>
      <c r="B872" s="767">
        <f>ROW()</f>
        <v/>
      </c>
      <c r="C872" s="716" t="n"/>
      <c r="D872" s="716" t="n"/>
      <c r="E872" s="716" t="n"/>
      <c r="F872" s="716" t="n"/>
      <c r="G872" s="716" t="n"/>
      <c r="H872" s="462" t="n"/>
    </row>
    <row r="873">
      <c r="A873" s="462" t="n"/>
      <c r="B873" s="767">
        <f>ROW()</f>
        <v/>
      </c>
      <c r="C873" s="716" t="n"/>
      <c r="D873" s="716" t="n"/>
      <c r="E873" s="716" t="n"/>
      <c r="F873" s="716" t="n"/>
      <c r="G873" s="716" t="n"/>
      <c r="H873" s="462" t="n"/>
    </row>
    <row r="874">
      <c r="A874" s="462" t="n"/>
      <c r="B874" s="767">
        <f>ROW()</f>
        <v/>
      </c>
      <c r="C874" s="716" t="n"/>
      <c r="D874" s="716" t="n"/>
      <c r="E874" s="716" t="n"/>
      <c r="F874" s="716" t="n"/>
      <c r="G874" s="716" t="n"/>
      <c r="H874" s="462" t="n"/>
    </row>
    <row r="875">
      <c r="A875" s="462" t="n"/>
      <c r="B875" s="767">
        <f>ROW()</f>
        <v/>
      </c>
      <c r="C875" s="716" t="n"/>
      <c r="D875" s="716" t="n"/>
      <c r="E875" s="716" t="n"/>
      <c r="F875" s="716" t="n"/>
      <c r="G875" s="716" t="n"/>
      <c r="H875" s="462" t="n"/>
    </row>
    <row r="876">
      <c r="A876" s="462" t="n"/>
      <c r="B876" s="767">
        <f>ROW()</f>
        <v/>
      </c>
      <c r="C876" s="716" t="n"/>
      <c r="D876" s="716" t="n"/>
      <c r="E876" s="716" t="n"/>
      <c r="F876" s="716" t="n"/>
      <c r="G876" s="716" t="n"/>
      <c r="H876" s="462" t="n"/>
    </row>
    <row r="877">
      <c r="A877" s="462" t="n"/>
      <c r="B877" s="767">
        <f>ROW()</f>
        <v/>
      </c>
      <c r="C877" s="716" t="n"/>
      <c r="D877" s="716" t="n"/>
      <c r="E877" s="716" t="n"/>
      <c r="F877" s="716" t="n"/>
      <c r="G877" s="716" t="n"/>
      <c r="H877" s="462" t="n"/>
    </row>
    <row r="878">
      <c r="A878" s="462" t="n"/>
      <c r="B878" s="767">
        <f>ROW()</f>
        <v/>
      </c>
      <c r="C878" s="716" t="n"/>
      <c r="D878" s="716" t="n"/>
      <c r="E878" s="716" t="n"/>
      <c r="F878" s="716" t="n"/>
      <c r="G878" s="716" t="n"/>
      <c r="H878" s="462" t="n"/>
    </row>
    <row r="879">
      <c r="A879" s="462" t="n"/>
      <c r="B879" s="767">
        <f>ROW()</f>
        <v/>
      </c>
      <c r="C879" s="716" t="n"/>
      <c r="D879" s="716" t="n"/>
      <c r="E879" s="716" t="n"/>
      <c r="F879" s="716" t="n"/>
      <c r="G879" s="716" t="n"/>
      <c r="H879" s="462" t="n"/>
    </row>
    <row r="880">
      <c r="A880" s="462" t="n"/>
      <c r="B880" s="767">
        <f>ROW()</f>
        <v/>
      </c>
      <c r="C880" s="716" t="n"/>
      <c r="D880" s="716" t="n"/>
      <c r="E880" s="716" t="n"/>
      <c r="F880" s="716" t="n"/>
      <c r="G880" s="716" t="n"/>
      <c r="H880" s="462" t="n"/>
    </row>
    <row r="881">
      <c r="A881" s="462" t="n"/>
      <c r="B881" s="767">
        <f>ROW()</f>
        <v/>
      </c>
      <c r="C881" s="716" t="n"/>
      <c r="D881" s="716" t="n"/>
      <c r="E881" s="716" t="n"/>
      <c r="F881" s="716" t="n"/>
      <c r="G881" s="716" t="n"/>
      <c r="H881" s="462" t="n"/>
    </row>
    <row r="882">
      <c r="A882" s="462" t="n"/>
      <c r="B882" s="767">
        <f>ROW()</f>
        <v/>
      </c>
      <c r="C882" s="716" t="n"/>
      <c r="D882" s="716" t="n"/>
      <c r="E882" s="716" t="n"/>
      <c r="F882" s="716" t="n"/>
      <c r="G882" s="716" t="n"/>
      <c r="H882" s="462" t="n"/>
    </row>
    <row r="883">
      <c r="A883" s="462" t="n"/>
      <c r="B883" s="767">
        <f>ROW()</f>
        <v/>
      </c>
      <c r="C883" s="716" t="n"/>
      <c r="D883" s="716" t="n"/>
      <c r="E883" s="716" t="n"/>
      <c r="F883" s="716" t="n"/>
      <c r="G883" s="716" t="n"/>
      <c r="H883" s="462" t="n"/>
    </row>
    <row r="884">
      <c r="A884" s="462" t="n"/>
      <c r="B884" s="767">
        <f>ROW()</f>
        <v/>
      </c>
      <c r="C884" s="716" t="n"/>
      <c r="D884" s="716" t="n"/>
      <c r="E884" s="716" t="n"/>
      <c r="F884" s="716" t="n"/>
      <c r="G884" s="716" t="n"/>
      <c r="H884" s="462" t="n"/>
    </row>
    <row r="885">
      <c r="A885" s="462" t="n"/>
      <c r="B885" s="767">
        <f>ROW()</f>
        <v/>
      </c>
      <c r="C885" s="716" t="n"/>
      <c r="D885" s="716" t="n"/>
      <c r="E885" s="716" t="n"/>
      <c r="F885" s="716" t="n"/>
      <c r="G885" s="716" t="n"/>
      <c r="H885" s="462" t="n"/>
    </row>
    <row r="886">
      <c r="A886" s="462" t="n"/>
      <c r="B886" s="767">
        <f>ROW()</f>
        <v/>
      </c>
      <c r="C886" s="716" t="n"/>
      <c r="D886" s="716" t="n"/>
      <c r="E886" s="716" t="n"/>
      <c r="F886" s="716" t="n"/>
      <c r="G886" s="716" t="n"/>
      <c r="H886" s="462" t="n"/>
    </row>
    <row r="887">
      <c r="A887" s="462" t="n"/>
      <c r="B887" s="767">
        <f>ROW()</f>
        <v/>
      </c>
      <c r="C887" s="716" t="n"/>
      <c r="D887" s="716" t="n"/>
      <c r="E887" s="716" t="n"/>
      <c r="F887" s="716" t="n"/>
      <c r="G887" s="716" t="n"/>
      <c r="H887" s="462" t="n"/>
    </row>
    <row r="888">
      <c r="A888" s="462" t="n"/>
      <c r="B888" s="767">
        <f>ROW()</f>
        <v/>
      </c>
      <c r="C888" s="716" t="n"/>
      <c r="D888" s="716" t="n"/>
      <c r="E888" s="716" t="n"/>
      <c r="F888" s="716" t="n"/>
      <c r="G888" s="716" t="n"/>
      <c r="H888" s="462" t="n"/>
    </row>
    <row r="889">
      <c r="A889" s="462" t="n"/>
      <c r="B889" s="767">
        <f>ROW()</f>
        <v/>
      </c>
      <c r="C889" s="716" t="n"/>
      <c r="D889" s="716" t="n"/>
      <c r="E889" s="716" t="n"/>
      <c r="F889" s="716" t="n"/>
      <c r="G889" s="716" t="n"/>
      <c r="H889" s="462" t="n"/>
    </row>
    <row r="890">
      <c r="A890" s="462" t="n"/>
      <c r="B890" s="767">
        <f>ROW()</f>
        <v/>
      </c>
      <c r="C890" s="716" t="n"/>
      <c r="D890" s="716" t="n"/>
      <c r="E890" s="716" t="n"/>
      <c r="F890" s="716" t="n"/>
      <c r="G890" s="716" t="n"/>
      <c r="H890" s="462" t="n"/>
    </row>
    <row r="891">
      <c r="A891" s="462" t="n"/>
      <c r="B891" s="767">
        <f>ROW()</f>
        <v/>
      </c>
      <c r="C891" s="716" t="n"/>
      <c r="D891" s="716" t="n"/>
      <c r="E891" s="716" t="n"/>
      <c r="F891" s="716" t="n"/>
      <c r="G891" s="716" t="n"/>
      <c r="H891" s="462" t="n"/>
    </row>
    <row r="892">
      <c r="A892" s="462" t="n"/>
      <c r="B892" s="767">
        <f>ROW()</f>
        <v/>
      </c>
      <c r="C892" s="716" t="n"/>
      <c r="D892" s="716" t="n"/>
      <c r="E892" s="716" t="n"/>
      <c r="F892" s="716" t="n"/>
      <c r="G892" s="716" t="n"/>
      <c r="H892" s="462" t="n"/>
    </row>
    <row r="893">
      <c r="A893" s="462" t="n"/>
      <c r="B893" s="767">
        <f>ROW()</f>
        <v/>
      </c>
      <c r="C893" s="716" t="n"/>
      <c r="D893" s="716" t="n"/>
      <c r="E893" s="716" t="n"/>
      <c r="F893" s="716" t="n"/>
      <c r="G893" s="716" t="n"/>
      <c r="H893" s="462" t="n"/>
    </row>
    <row r="894">
      <c r="A894" s="462" t="n"/>
      <c r="B894" s="767">
        <f>ROW()</f>
        <v/>
      </c>
      <c r="C894" s="716" t="n"/>
      <c r="D894" s="716" t="n"/>
      <c r="E894" s="716" t="n"/>
      <c r="F894" s="716" t="n"/>
      <c r="G894" s="716" t="n"/>
      <c r="H894" s="462" t="n"/>
    </row>
    <row r="895">
      <c r="A895" s="462" t="n"/>
      <c r="B895" s="767">
        <f>ROW()</f>
        <v/>
      </c>
      <c r="C895" s="716" t="n"/>
      <c r="D895" s="716" t="n"/>
      <c r="E895" s="716" t="n"/>
      <c r="F895" s="716" t="n"/>
      <c r="G895" s="716" t="n"/>
      <c r="H895" s="462" t="n"/>
    </row>
    <row r="896">
      <c r="A896" s="462" t="n"/>
      <c r="B896" s="767">
        <f>ROW()</f>
        <v/>
      </c>
      <c r="C896" s="716" t="n"/>
      <c r="D896" s="716" t="n"/>
      <c r="E896" s="716" t="n"/>
      <c r="F896" s="716" t="n"/>
      <c r="G896" s="716" t="n"/>
      <c r="H896" s="462" t="n"/>
    </row>
    <row r="897">
      <c r="A897" s="462" t="n"/>
      <c r="B897" s="767">
        <f>ROW()</f>
        <v/>
      </c>
      <c r="C897" s="716" t="n"/>
      <c r="D897" s="716" t="n"/>
      <c r="E897" s="716" t="n"/>
      <c r="F897" s="716" t="n"/>
      <c r="G897" s="716" t="n"/>
      <c r="H897" s="462" t="n"/>
    </row>
    <row r="898">
      <c r="A898" s="462" t="n"/>
      <c r="B898" s="767">
        <f>ROW()</f>
        <v/>
      </c>
      <c r="C898" s="716" t="n"/>
      <c r="D898" s="716" t="n"/>
      <c r="E898" s="716" t="n"/>
      <c r="F898" s="716" t="n"/>
      <c r="G898" s="716" t="n"/>
      <c r="H898" s="462" t="n"/>
    </row>
    <row r="899">
      <c r="A899" s="462" t="n"/>
      <c r="B899" s="767">
        <f>ROW()</f>
        <v/>
      </c>
      <c r="C899" s="716" t="n"/>
      <c r="D899" s="716" t="n"/>
      <c r="E899" s="716" t="n"/>
      <c r="F899" s="716" t="n"/>
      <c r="G899" s="716" t="n"/>
      <c r="H899" s="462" t="n"/>
    </row>
    <row r="900">
      <c r="A900" s="462" t="n"/>
      <c r="B900" s="767">
        <f>ROW()</f>
        <v/>
      </c>
      <c r="C900" s="716" t="n"/>
      <c r="D900" s="716" t="n"/>
      <c r="E900" s="716" t="n"/>
      <c r="F900" s="716" t="n"/>
      <c r="G900" s="716" t="n"/>
      <c r="H900" s="462" t="n"/>
    </row>
    <row r="901">
      <c r="A901" s="462" t="n"/>
      <c r="B901" s="767">
        <f>ROW()</f>
        <v/>
      </c>
      <c r="C901" s="716" t="n"/>
      <c r="D901" s="716" t="n"/>
      <c r="E901" s="716" t="n"/>
      <c r="F901" s="716" t="n"/>
      <c r="G901" s="716" t="n"/>
      <c r="H901" s="462" t="n"/>
    </row>
    <row r="902">
      <c r="A902" s="462" t="n"/>
      <c r="B902" s="767">
        <f>ROW()</f>
        <v/>
      </c>
      <c r="C902" s="716" t="n"/>
      <c r="D902" s="716" t="n"/>
      <c r="E902" s="716" t="n"/>
      <c r="F902" s="716" t="n"/>
      <c r="G902" s="716" t="n"/>
      <c r="H902" s="462" t="n"/>
    </row>
    <row r="903">
      <c r="A903" s="462" t="n"/>
      <c r="B903" s="767">
        <f>ROW()</f>
        <v/>
      </c>
      <c r="C903" s="716" t="n"/>
      <c r="D903" s="716" t="n"/>
      <c r="E903" s="716" t="n"/>
      <c r="F903" s="716" t="n"/>
      <c r="G903" s="716" t="n"/>
      <c r="H903" s="462" t="n"/>
    </row>
    <row r="904">
      <c r="A904" s="462" t="n"/>
      <c r="B904" s="767">
        <f>ROW()</f>
        <v/>
      </c>
      <c r="C904" s="716" t="n"/>
      <c r="D904" s="716" t="n"/>
      <c r="E904" s="716" t="n"/>
      <c r="F904" s="716" t="n"/>
      <c r="G904" s="716" t="n"/>
      <c r="H904" s="462" t="n"/>
    </row>
    <row r="905">
      <c r="A905" s="462" t="n"/>
      <c r="B905" s="767">
        <f>ROW()</f>
        <v/>
      </c>
      <c r="C905" s="716" t="n"/>
      <c r="D905" s="716" t="n"/>
      <c r="E905" s="716" t="n"/>
      <c r="F905" s="716" t="n"/>
      <c r="G905" s="716" t="n"/>
      <c r="H905" s="462" t="n"/>
    </row>
    <row r="906">
      <c r="A906" s="462" t="n"/>
      <c r="B906" s="767">
        <f>ROW()</f>
        <v/>
      </c>
      <c r="C906" s="716" t="n"/>
      <c r="D906" s="716" t="n"/>
      <c r="E906" s="716" t="n"/>
      <c r="F906" s="716" t="n"/>
      <c r="G906" s="716" t="n"/>
      <c r="H906" s="462" t="n"/>
    </row>
    <row r="907">
      <c r="A907" s="462" t="n"/>
      <c r="B907" s="767">
        <f>ROW()</f>
        <v/>
      </c>
      <c r="C907" s="716" t="n"/>
      <c r="D907" s="716" t="n"/>
      <c r="E907" s="716" t="n"/>
      <c r="F907" s="716" t="n"/>
      <c r="G907" s="716" t="n"/>
      <c r="H907" s="462" t="n"/>
    </row>
    <row r="908">
      <c r="A908" s="462" t="n"/>
      <c r="B908" s="767">
        <f>ROW()</f>
        <v/>
      </c>
      <c r="C908" s="716" t="n"/>
      <c r="D908" s="716" t="n"/>
      <c r="E908" s="716" t="n"/>
      <c r="F908" s="716" t="n"/>
      <c r="G908" s="716" t="n"/>
      <c r="H908" s="462" t="n"/>
    </row>
    <row r="909">
      <c r="A909" s="462" t="n"/>
      <c r="B909" s="767">
        <f>ROW()</f>
        <v/>
      </c>
      <c r="C909" s="716" t="n"/>
      <c r="D909" s="716" t="n"/>
      <c r="E909" s="716" t="n"/>
      <c r="F909" s="716" t="n"/>
      <c r="G909" s="716" t="n"/>
      <c r="H909" s="462" t="n"/>
    </row>
    <row r="910">
      <c r="A910" s="462" t="n"/>
      <c r="B910" s="767">
        <f>ROW()</f>
        <v/>
      </c>
      <c r="C910" s="716" t="n"/>
      <c r="D910" s="716" t="n"/>
      <c r="E910" s="716" t="n"/>
      <c r="F910" s="716" t="n"/>
      <c r="G910" s="716" t="n"/>
      <c r="H910" s="462" t="n"/>
    </row>
    <row r="911">
      <c r="A911" s="462" t="n"/>
      <c r="B911" s="767">
        <f>ROW()</f>
        <v/>
      </c>
      <c r="C911" s="716" t="n"/>
      <c r="D911" s="716" t="n"/>
      <c r="E911" s="716" t="n"/>
      <c r="F911" s="716" t="n"/>
      <c r="G911" s="716" t="n"/>
      <c r="H911" s="462" t="n"/>
    </row>
    <row r="912">
      <c r="A912" s="462" t="n"/>
      <c r="B912" s="767">
        <f>ROW()</f>
        <v/>
      </c>
      <c r="C912" s="716" t="n"/>
      <c r="D912" s="716" t="n"/>
      <c r="E912" s="716" t="n"/>
      <c r="F912" s="716" t="n"/>
      <c r="G912" s="716" t="n"/>
      <c r="H912" s="462" t="n"/>
    </row>
    <row r="913">
      <c r="A913" s="462" t="n"/>
      <c r="B913" s="767">
        <f>ROW()</f>
        <v/>
      </c>
      <c r="C913" s="716" t="n"/>
      <c r="D913" s="716" t="n"/>
      <c r="E913" s="716" t="n"/>
      <c r="F913" s="716" t="n"/>
      <c r="G913" s="716" t="n"/>
      <c r="H913" s="462" t="n"/>
    </row>
    <row r="914">
      <c r="A914" s="462" t="n"/>
      <c r="B914" s="767">
        <f>ROW()</f>
        <v/>
      </c>
      <c r="C914" s="716" t="n"/>
      <c r="D914" s="716" t="n"/>
      <c r="E914" s="716" t="n"/>
      <c r="F914" s="716" t="n"/>
      <c r="G914" s="716" t="n"/>
      <c r="H914" s="462" t="n"/>
    </row>
    <row r="915">
      <c r="A915" s="462" t="n"/>
      <c r="B915" s="767">
        <f>ROW()</f>
        <v/>
      </c>
      <c r="C915" s="716" t="n"/>
      <c r="D915" s="716" t="n"/>
      <c r="E915" s="716" t="n"/>
      <c r="F915" s="716" t="n"/>
      <c r="G915" s="716" t="n"/>
      <c r="H915" s="462" t="n"/>
    </row>
    <row r="916">
      <c r="A916" s="462" t="n"/>
      <c r="B916" s="767">
        <f>ROW()</f>
        <v/>
      </c>
      <c r="C916" s="716" t="n"/>
      <c r="D916" s="716" t="n"/>
      <c r="E916" s="716" t="n"/>
      <c r="F916" s="716" t="n"/>
      <c r="G916" s="716" t="n"/>
      <c r="H916" s="462" t="n"/>
    </row>
    <row r="917">
      <c r="A917" s="462" t="n"/>
      <c r="B917" s="767">
        <f>ROW()</f>
        <v/>
      </c>
      <c r="C917" s="716" t="n"/>
      <c r="D917" s="716" t="n"/>
      <c r="E917" s="716" t="n"/>
      <c r="F917" s="716" t="n"/>
      <c r="G917" s="716" t="n"/>
      <c r="H917" s="462" t="n"/>
    </row>
    <row r="918">
      <c r="A918" s="462" t="n"/>
      <c r="B918" s="767">
        <f>ROW()</f>
        <v/>
      </c>
      <c r="C918" s="716" t="n"/>
      <c r="D918" s="716" t="n"/>
      <c r="E918" s="716" t="n"/>
      <c r="F918" s="716" t="n"/>
      <c r="G918" s="716" t="n"/>
      <c r="H918" s="462" t="n"/>
    </row>
    <row r="919">
      <c r="A919" s="462" t="n"/>
      <c r="B919" s="767">
        <f>ROW()</f>
        <v/>
      </c>
      <c r="C919" s="716" t="n"/>
      <c r="D919" s="716" t="n"/>
      <c r="E919" s="716" t="n"/>
      <c r="F919" s="716" t="n"/>
      <c r="G919" s="716" t="n"/>
      <c r="H919" s="462" t="n"/>
    </row>
    <row r="920">
      <c r="A920" s="462" t="n"/>
      <c r="B920" s="767">
        <f>ROW()</f>
        <v/>
      </c>
      <c r="C920" s="716" t="n"/>
      <c r="D920" s="716" t="n"/>
      <c r="E920" s="716" t="n"/>
      <c r="F920" s="716" t="n"/>
      <c r="G920" s="716" t="n"/>
      <c r="H920" s="462" t="n"/>
    </row>
    <row r="921">
      <c r="A921" s="462" t="n"/>
      <c r="B921" s="767">
        <f>ROW()</f>
        <v/>
      </c>
      <c r="C921" s="716" t="n"/>
      <c r="D921" s="716" t="n"/>
      <c r="E921" s="716" t="n"/>
      <c r="F921" s="716" t="n"/>
      <c r="G921" s="716" t="n"/>
      <c r="H921" s="462" t="n"/>
    </row>
    <row r="922">
      <c r="A922" s="462" t="n"/>
      <c r="B922" s="767">
        <f>ROW()</f>
        <v/>
      </c>
      <c r="C922" s="716" t="n"/>
      <c r="D922" s="716" t="n"/>
      <c r="E922" s="716" t="n"/>
      <c r="F922" s="716" t="n"/>
      <c r="G922" s="716" t="n"/>
      <c r="H922" s="462" t="n"/>
    </row>
    <row r="923">
      <c r="A923" s="462" t="n"/>
      <c r="B923" s="767">
        <f>ROW()</f>
        <v/>
      </c>
      <c r="C923" s="716" t="n"/>
      <c r="D923" s="716" t="n"/>
      <c r="E923" s="716" t="n"/>
      <c r="F923" s="716" t="n"/>
      <c r="G923" s="716" t="n"/>
      <c r="H923" s="462" t="n"/>
    </row>
    <row r="924">
      <c r="A924" s="462" t="n"/>
      <c r="B924" s="767">
        <f>ROW()</f>
        <v/>
      </c>
      <c r="C924" s="716" t="n"/>
      <c r="D924" s="716" t="n"/>
      <c r="E924" s="716" t="n"/>
      <c r="F924" s="716" t="n"/>
      <c r="G924" s="716" t="n"/>
      <c r="H924" s="462" t="n"/>
    </row>
    <row r="925">
      <c r="A925" s="462" t="n"/>
      <c r="B925" s="767">
        <f>ROW()</f>
        <v/>
      </c>
      <c r="C925" s="716" t="n"/>
      <c r="D925" s="716" t="n"/>
      <c r="E925" s="716" t="n"/>
      <c r="F925" s="716" t="n"/>
      <c r="G925" s="716" t="n"/>
      <c r="H925" s="462" t="n"/>
    </row>
    <row r="926">
      <c r="A926" s="462" t="n"/>
      <c r="B926" s="767">
        <f>ROW()</f>
        <v/>
      </c>
      <c r="C926" s="716" t="n"/>
      <c r="D926" s="716" t="n"/>
      <c r="E926" s="716" t="n"/>
      <c r="F926" s="716" t="n"/>
      <c r="G926" s="716" t="n"/>
      <c r="H926" s="462" t="n"/>
    </row>
    <row r="927">
      <c r="A927" s="462" t="n"/>
      <c r="B927" s="767">
        <f>ROW()</f>
        <v/>
      </c>
      <c r="C927" s="716" t="n"/>
      <c r="D927" s="716" t="n"/>
      <c r="E927" s="716" t="n"/>
      <c r="F927" s="716" t="n"/>
      <c r="G927" s="716" t="n"/>
      <c r="H927" s="462" t="n"/>
    </row>
    <row r="928">
      <c r="A928" s="462" t="n"/>
      <c r="B928" s="767">
        <f>ROW()</f>
        <v/>
      </c>
      <c r="C928" s="716" t="n"/>
      <c r="D928" s="716" t="n"/>
      <c r="E928" s="716" t="n"/>
      <c r="F928" s="716" t="n"/>
      <c r="G928" s="716" t="n"/>
      <c r="H928" s="462" t="n"/>
    </row>
    <row r="929">
      <c r="A929" s="462" t="n"/>
      <c r="B929" s="767">
        <f>ROW()</f>
        <v/>
      </c>
      <c r="C929" s="716" t="n"/>
      <c r="D929" s="716" t="n"/>
      <c r="E929" s="716" t="n"/>
      <c r="F929" s="716" t="n"/>
      <c r="G929" s="716" t="n"/>
      <c r="H929" s="462" t="n"/>
    </row>
    <row r="930">
      <c r="A930" s="462" t="n"/>
      <c r="B930" s="767">
        <f>ROW()</f>
        <v/>
      </c>
      <c r="C930" s="716" t="n"/>
      <c r="D930" s="716" t="n"/>
      <c r="E930" s="716" t="n"/>
      <c r="F930" s="716" t="n"/>
      <c r="G930" s="716" t="n"/>
      <c r="H930" s="462" t="n"/>
    </row>
    <row r="931">
      <c r="A931" s="462" t="n"/>
      <c r="B931" s="767">
        <f>ROW()</f>
        <v/>
      </c>
      <c r="C931" s="716" t="n"/>
      <c r="D931" s="716" t="n"/>
      <c r="E931" s="716" t="n"/>
      <c r="F931" s="716" t="n"/>
      <c r="G931" s="716" t="n"/>
      <c r="H931" s="462" t="n"/>
    </row>
    <row r="932">
      <c r="A932" s="462" t="n"/>
      <c r="B932" s="767">
        <f>ROW()</f>
        <v/>
      </c>
      <c r="C932" s="716" t="n"/>
      <c r="D932" s="716" t="n"/>
      <c r="E932" s="716" t="n"/>
      <c r="F932" s="716" t="n"/>
      <c r="G932" s="716" t="n"/>
      <c r="H932" s="462" t="n"/>
    </row>
    <row r="933">
      <c r="A933" s="462" t="n"/>
      <c r="B933" s="767">
        <f>ROW()</f>
        <v/>
      </c>
      <c r="C933" s="716" t="n"/>
      <c r="D933" s="716" t="n"/>
      <c r="E933" s="716" t="n"/>
      <c r="F933" s="716" t="n"/>
      <c r="G933" s="716" t="n"/>
      <c r="H933" s="462" t="n"/>
    </row>
    <row r="934">
      <c r="A934" s="462" t="n"/>
      <c r="B934" s="767">
        <f>ROW()</f>
        <v/>
      </c>
      <c r="C934" s="716" t="n"/>
      <c r="D934" s="716" t="n"/>
      <c r="E934" s="716" t="n"/>
      <c r="F934" s="716" t="n"/>
      <c r="G934" s="716" t="n"/>
      <c r="H934" s="462" t="n"/>
    </row>
    <row r="935">
      <c r="A935" s="462" t="n"/>
      <c r="B935" s="767">
        <f>ROW()</f>
        <v/>
      </c>
      <c r="C935" s="716" t="n"/>
      <c r="D935" s="716" t="n"/>
      <c r="E935" s="716" t="n"/>
      <c r="F935" s="716" t="n"/>
      <c r="G935" s="716" t="n"/>
      <c r="H935" s="462" t="n"/>
    </row>
    <row r="936">
      <c r="A936" s="462" t="n"/>
      <c r="B936" s="767">
        <f>ROW()</f>
        <v/>
      </c>
      <c r="C936" s="716" t="n"/>
      <c r="D936" s="716" t="n"/>
      <c r="E936" s="716" t="n"/>
      <c r="F936" s="716" t="n"/>
      <c r="G936" s="716" t="n"/>
      <c r="H936" s="462" t="n"/>
    </row>
    <row r="937">
      <c r="A937" s="462" t="n"/>
      <c r="B937" s="767">
        <f>ROW()</f>
        <v/>
      </c>
      <c r="C937" s="716" t="n"/>
      <c r="D937" s="716" t="n"/>
      <c r="E937" s="716" t="n"/>
      <c r="F937" s="716" t="n"/>
      <c r="G937" s="716" t="n"/>
      <c r="H937" s="462" t="n"/>
    </row>
    <row r="938">
      <c r="A938" s="462" t="n"/>
      <c r="B938" s="767">
        <f>ROW()</f>
        <v/>
      </c>
      <c r="C938" s="716" t="n"/>
      <c r="D938" s="716" t="n"/>
      <c r="E938" s="716" t="n"/>
      <c r="F938" s="716" t="n"/>
      <c r="G938" s="716" t="n"/>
      <c r="H938" s="462" t="n"/>
    </row>
    <row r="939">
      <c r="A939" s="462" t="n"/>
      <c r="B939" s="767">
        <f>ROW()</f>
        <v/>
      </c>
      <c r="C939" s="716" t="n"/>
      <c r="D939" s="716" t="n"/>
      <c r="E939" s="716" t="n"/>
      <c r="F939" s="716" t="n"/>
      <c r="G939" s="716" t="n"/>
      <c r="H939" s="462" t="n"/>
    </row>
    <row r="940">
      <c r="A940" s="462" t="n"/>
      <c r="B940" s="767">
        <f>ROW()</f>
        <v/>
      </c>
      <c r="C940" s="716" t="n"/>
      <c r="D940" s="716" t="n"/>
      <c r="E940" s="716" t="n"/>
      <c r="F940" s="716" t="n"/>
      <c r="G940" s="716" t="n"/>
      <c r="H940" s="462" t="n"/>
    </row>
    <row r="941">
      <c r="A941" s="462" t="n"/>
      <c r="B941" s="767">
        <f>ROW()</f>
        <v/>
      </c>
      <c r="C941" s="716" t="n"/>
      <c r="D941" s="716" t="n"/>
      <c r="E941" s="716" t="n"/>
      <c r="F941" s="716" t="n"/>
      <c r="G941" s="716" t="n"/>
      <c r="H941" s="462" t="n"/>
    </row>
    <row r="942">
      <c r="A942" s="462" t="n"/>
      <c r="B942" s="767">
        <f>ROW()</f>
        <v/>
      </c>
      <c r="C942" s="716" t="n"/>
      <c r="D942" s="716" t="n"/>
      <c r="E942" s="716" t="n"/>
      <c r="F942" s="716" t="n"/>
      <c r="G942" s="716" t="n"/>
      <c r="H942" s="462" t="n"/>
    </row>
    <row r="943">
      <c r="A943" s="462" t="n"/>
      <c r="B943" s="767">
        <f>ROW()</f>
        <v/>
      </c>
      <c r="C943" s="716" t="n"/>
      <c r="D943" s="716" t="n"/>
      <c r="E943" s="716" t="n"/>
      <c r="F943" s="716" t="n"/>
      <c r="G943" s="716" t="n"/>
      <c r="H943" s="462" t="n"/>
    </row>
    <row r="944">
      <c r="A944" s="462" t="n"/>
      <c r="B944" s="767">
        <f>ROW()</f>
        <v/>
      </c>
      <c r="C944" s="716" t="n"/>
      <c r="D944" s="716" t="n"/>
      <c r="E944" s="716" t="n"/>
      <c r="F944" s="716" t="n"/>
      <c r="G944" s="716" t="n"/>
      <c r="H944" s="462" t="n"/>
    </row>
    <row r="945">
      <c r="A945" s="462" t="n"/>
      <c r="B945" s="767">
        <f>ROW()</f>
        <v/>
      </c>
      <c r="C945" s="716" t="n"/>
      <c r="D945" s="716" t="n"/>
      <c r="E945" s="716" t="n"/>
      <c r="F945" s="716" t="n"/>
      <c r="G945" s="716" t="n"/>
      <c r="H945" s="462" t="n"/>
    </row>
    <row r="946">
      <c r="A946" s="462" t="n"/>
      <c r="B946" s="767">
        <f>ROW()</f>
        <v/>
      </c>
      <c r="C946" s="716" t="n"/>
      <c r="D946" s="716" t="n"/>
      <c r="E946" s="716" t="n"/>
      <c r="F946" s="716" t="n"/>
      <c r="G946" s="716" t="n"/>
      <c r="H946" s="462" t="n"/>
    </row>
    <row r="947">
      <c r="A947" s="462" t="n"/>
      <c r="B947" s="767">
        <f>ROW()</f>
        <v/>
      </c>
      <c r="C947" s="716" t="n"/>
      <c r="D947" s="716" t="n"/>
      <c r="E947" s="716" t="n"/>
      <c r="F947" s="716" t="n"/>
      <c r="G947" s="716" t="n"/>
      <c r="H947" s="462" t="n"/>
    </row>
    <row r="948">
      <c r="A948" s="462" t="n"/>
      <c r="B948" s="767">
        <f>ROW()</f>
        <v/>
      </c>
      <c r="C948" s="716" t="n"/>
      <c r="D948" s="716" t="n"/>
      <c r="E948" s="716" t="n"/>
      <c r="F948" s="716" t="n"/>
      <c r="G948" s="716" t="n"/>
      <c r="H948" s="462" t="n"/>
    </row>
    <row r="949">
      <c r="A949" s="462" t="n"/>
      <c r="B949" s="767">
        <f>ROW()</f>
        <v/>
      </c>
      <c r="C949" s="716" t="n"/>
      <c r="D949" s="716" t="n"/>
      <c r="E949" s="716" t="n"/>
      <c r="F949" s="716" t="n"/>
      <c r="G949" s="716" t="n"/>
      <c r="H949" s="462" t="n"/>
    </row>
    <row r="950">
      <c r="A950" s="462" t="n"/>
      <c r="B950" s="767">
        <f>ROW()</f>
        <v/>
      </c>
      <c r="C950" s="716" t="n"/>
      <c r="D950" s="716" t="n"/>
      <c r="E950" s="716" t="n"/>
      <c r="F950" s="716" t="n"/>
      <c r="G950" s="716" t="n"/>
      <c r="H950" s="462" t="n"/>
    </row>
    <row r="951">
      <c r="A951" s="462" t="n"/>
      <c r="B951" s="767">
        <f>ROW()</f>
        <v/>
      </c>
      <c r="C951" s="716" t="n"/>
      <c r="D951" s="716" t="n"/>
      <c r="E951" s="716" t="n"/>
      <c r="F951" s="716" t="n"/>
      <c r="G951" s="716" t="n"/>
      <c r="H951" s="462" t="n"/>
    </row>
    <row r="952">
      <c r="A952" s="462" t="n"/>
      <c r="B952" s="767">
        <f>ROW()</f>
        <v/>
      </c>
      <c r="C952" s="716" t="n"/>
      <c r="D952" s="716" t="n"/>
      <c r="E952" s="716" t="n"/>
      <c r="F952" s="716" t="n"/>
      <c r="G952" s="716" t="n"/>
      <c r="H952" s="462" t="n"/>
    </row>
    <row r="953">
      <c r="A953" s="462" t="n"/>
      <c r="B953" s="767">
        <f>ROW()</f>
        <v/>
      </c>
      <c r="C953" s="716" t="n"/>
      <c r="D953" s="716" t="n"/>
      <c r="E953" s="716" t="n"/>
      <c r="F953" s="716" t="n"/>
      <c r="G953" s="716" t="n"/>
      <c r="H953" s="462" t="n"/>
    </row>
    <row r="954">
      <c r="A954" s="462" t="n"/>
      <c r="B954" s="767">
        <f>ROW()</f>
        <v/>
      </c>
      <c r="C954" s="716" t="n"/>
      <c r="D954" s="716" t="n"/>
      <c r="E954" s="716" t="n"/>
      <c r="F954" s="716" t="n"/>
      <c r="G954" s="716" t="n"/>
      <c r="H954" s="462" t="n"/>
    </row>
    <row r="955">
      <c r="A955" s="462" t="n"/>
      <c r="B955" s="767">
        <f>ROW()</f>
        <v/>
      </c>
      <c r="C955" s="716" t="n"/>
      <c r="D955" s="716" t="n"/>
      <c r="E955" s="716" t="n"/>
      <c r="F955" s="716" t="n"/>
      <c r="G955" s="716" t="n"/>
      <c r="H955" s="462" t="n"/>
    </row>
    <row r="956">
      <c r="A956" s="462" t="n"/>
      <c r="B956" s="767">
        <f>ROW()</f>
        <v/>
      </c>
      <c r="C956" s="716" t="n"/>
      <c r="D956" s="716" t="n"/>
      <c r="E956" s="716" t="n"/>
      <c r="F956" s="716" t="n"/>
      <c r="G956" s="716" t="n"/>
      <c r="H956" s="462" t="n"/>
    </row>
    <row r="957">
      <c r="A957" s="462" t="n"/>
      <c r="B957" s="767">
        <f>ROW()</f>
        <v/>
      </c>
      <c r="C957" s="716" t="n"/>
      <c r="D957" s="716" t="n"/>
      <c r="E957" s="716" t="n"/>
      <c r="F957" s="716" t="n"/>
      <c r="G957" s="716" t="n"/>
      <c r="H957" s="462" t="n"/>
    </row>
    <row r="958">
      <c r="A958" s="462" t="n"/>
      <c r="B958" s="767">
        <f>ROW()</f>
        <v/>
      </c>
      <c r="C958" s="716" t="n"/>
      <c r="D958" s="716" t="n"/>
      <c r="E958" s="716" t="n"/>
      <c r="F958" s="716" t="n"/>
      <c r="G958" s="716" t="n"/>
      <c r="H958" s="462" t="n"/>
    </row>
    <row r="959">
      <c r="A959" s="462" t="n"/>
      <c r="B959" s="767">
        <f>ROW()</f>
        <v/>
      </c>
      <c r="C959" s="716" t="n"/>
      <c r="D959" s="716" t="n"/>
      <c r="E959" s="716" t="n"/>
      <c r="F959" s="716" t="n"/>
      <c r="G959" s="716" t="n"/>
      <c r="H959" s="462" t="n"/>
    </row>
    <row r="960">
      <c r="A960" s="462" t="n"/>
      <c r="B960" s="767">
        <f>ROW()</f>
        <v/>
      </c>
      <c r="C960" s="716" t="n"/>
      <c r="D960" s="716" t="n"/>
      <c r="E960" s="716" t="n"/>
      <c r="F960" s="716" t="n"/>
      <c r="G960" s="716" t="n"/>
      <c r="H960" s="462" t="n"/>
    </row>
    <row r="961">
      <c r="A961" s="462" t="n"/>
      <c r="B961" s="767">
        <f>ROW()</f>
        <v/>
      </c>
      <c r="C961" s="716" t="n"/>
      <c r="D961" s="716" t="n"/>
      <c r="E961" s="716" t="n"/>
      <c r="F961" s="716" t="n"/>
      <c r="G961" s="716" t="n"/>
      <c r="H961" s="462" t="n"/>
    </row>
    <row r="962">
      <c r="A962" s="462" t="n"/>
      <c r="B962" s="767">
        <f>ROW()</f>
        <v/>
      </c>
      <c r="C962" s="716" t="n"/>
      <c r="D962" s="716" t="n"/>
      <c r="E962" s="716" t="n"/>
      <c r="F962" s="716" t="n"/>
      <c r="G962" s="716" t="n"/>
      <c r="H962" s="462" t="n"/>
    </row>
    <row r="963">
      <c r="A963" s="462" t="n"/>
      <c r="B963" s="767">
        <f>ROW()</f>
        <v/>
      </c>
      <c r="C963" s="716" t="n"/>
      <c r="D963" s="716" t="n"/>
      <c r="E963" s="716" t="n"/>
      <c r="F963" s="716" t="n"/>
      <c r="G963" s="716" t="n"/>
      <c r="H963" s="462" t="n"/>
    </row>
    <row r="964">
      <c r="A964" s="462" t="n"/>
      <c r="B964" s="767">
        <f>ROW()</f>
        <v/>
      </c>
      <c r="C964" s="716" t="n"/>
      <c r="D964" s="716" t="n"/>
      <c r="E964" s="716" t="n"/>
      <c r="F964" s="716" t="n"/>
      <c r="G964" s="716" t="n"/>
      <c r="H964" s="462" t="n"/>
    </row>
    <row r="965">
      <c r="A965" s="462" t="n"/>
      <c r="B965" s="767">
        <f>ROW()</f>
        <v/>
      </c>
      <c r="C965" s="716" t="n"/>
      <c r="D965" s="716" t="n"/>
      <c r="E965" s="716" t="n"/>
      <c r="F965" s="716" t="n"/>
      <c r="G965" s="716" t="n"/>
      <c r="H965" s="462" t="n"/>
    </row>
    <row r="966">
      <c r="A966" s="462" t="n"/>
      <c r="B966" s="767">
        <f>ROW()</f>
        <v/>
      </c>
      <c r="C966" s="716" t="n"/>
      <c r="D966" s="716" t="n"/>
      <c r="E966" s="716" t="n"/>
      <c r="F966" s="716" t="n"/>
      <c r="G966" s="716" t="n"/>
      <c r="H966" s="462" t="n"/>
    </row>
    <row r="967">
      <c r="A967" s="462" t="n"/>
      <c r="B967" s="767">
        <f>ROW()</f>
        <v/>
      </c>
      <c r="C967" s="716" t="n"/>
      <c r="D967" s="716" t="n"/>
      <c r="E967" s="716" t="n"/>
      <c r="F967" s="716" t="n"/>
      <c r="G967" s="716" t="n"/>
      <c r="H967" s="462" t="n"/>
    </row>
    <row r="968">
      <c r="A968" s="462" t="n"/>
      <c r="B968" s="767">
        <f>ROW()</f>
        <v/>
      </c>
      <c r="C968" s="716" t="n"/>
      <c r="D968" s="716" t="n"/>
      <c r="E968" s="716" t="n"/>
      <c r="F968" s="716" t="n"/>
      <c r="G968" s="716" t="n"/>
      <c r="H968" s="462" t="n"/>
    </row>
    <row r="969">
      <c r="A969" s="462" t="n"/>
      <c r="B969" s="767">
        <f>ROW()</f>
        <v/>
      </c>
      <c r="C969" s="716" t="n"/>
      <c r="D969" s="716" t="n"/>
      <c r="E969" s="716" t="n"/>
      <c r="F969" s="716" t="n"/>
      <c r="G969" s="716" t="n"/>
      <c r="H969" s="462" t="n"/>
    </row>
    <row r="970">
      <c r="A970" s="462" t="n"/>
      <c r="B970" s="767">
        <f>ROW()</f>
        <v/>
      </c>
      <c r="C970" s="716" t="n"/>
      <c r="D970" s="716" t="n"/>
      <c r="E970" s="716" t="n"/>
      <c r="F970" s="716" t="n"/>
      <c r="G970" s="716" t="n"/>
      <c r="H970" s="462" t="n"/>
    </row>
    <row r="971">
      <c r="A971" s="462" t="n"/>
      <c r="B971" s="767">
        <f>ROW()</f>
        <v/>
      </c>
      <c r="C971" s="716" t="n"/>
      <c r="D971" s="716" t="n"/>
      <c r="E971" s="716" t="n"/>
      <c r="F971" s="716" t="n"/>
      <c r="G971" s="716" t="n"/>
      <c r="H971" s="462" t="n"/>
    </row>
    <row r="972">
      <c r="A972" s="462" t="n"/>
      <c r="B972" s="767">
        <f>ROW()</f>
        <v/>
      </c>
      <c r="C972" s="716" t="n"/>
      <c r="D972" s="716" t="n"/>
      <c r="E972" s="716" t="n"/>
      <c r="F972" s="716" t="n"/>
      <c r="G972" s="716" t="n"/>
      <c r="H972" s="462" t="n"/>
    </row>
    <row r="973">
      <c r="A973" s="462" t="n"/>
      <c r="B973" s="767">
        <f>ROW()</f>
        <v/>
      </c>
      <c r="C973" s="716" t="n"/>
      <c r="D973" s="716" t="n"/>
      <c r="E973" s="716" t="n"/>
      <c r="F973" s="716" t="n"/>
      <c r="G973" s="716" t="n"/>
      <c r="H973" s="462" t="n"/>
    </row>
    <row r="974">
      <c r="A974" s="462" t="n"/>
      <c r="B974" s="767">
        <f>ROW()</f>
        <v/>
      </c>
      <c r="C974" s="462" t="n"/>
      <c r="D974" s="716" t="n"/>
      <c r="E974" s="462" t="n"/>
      <c r="F974" s="716" t="n"/>
      <c r="G974" s="716" t="n"/>
      <c r="H974" s="462" t="n"/>
    </row>
    <row r="975">
      <c r="A975" s="462" t="n"/>
      <c r="B975" s="767">
        <f>ROW()</f>
        <v/>
      </c>
      <c r="C975" s="462" t="n"/>
      <c r="D975" s="716" t="n"/>
      <c r="E975" s="716" t="n"/>
      <c r="F975" s="716" t="n"/>
      <c r="G975" s="716" t="n"/>
      <c r="H975" s="462" t="n"/>
    </row>
    <row r="976">
      <c r="A976" s="462" t="n"/>
      <c r="B976" s="767">
        <f>ROW()</f>
        <v/>
      </c>
      <c r="C976" s="716" t="n"/>
      <c r="D976" s="716" t="n"/>
      <c r="E976" s="716" t="n"/>
      <c r="F976" s="716" t="n"/>
      <c r="G976" s="716" t="n"/>
      <c r="H976" s="462" t="n"/>
    </row>
    <row r="977">
      <c r="A977" s="462" t="n"/>
      <c r="B977" s="767">
        <f>ROW()</f>
        <v/>
      </c>
      <c r="C977" s="716" t="n"/>
      <c r="D977" s="716" t="n"/>
      <c r="E977" s="716" t="n"/>
      <c r="F977" s="716" t="n"/>
      <c r="G977" s="716" t="n"/>
      <c r="H977" s="462" t="n"/>
    </row>
    <row r="978">
      <c r="A978" s="462" t="n"/>
      <c r="B978" s="767">
        <f>ROW()</f>
        <v/>
      </c>
      <c r="C978" s="716" t="n"/>
      <c r="D978" s="716" t="n"/>
      <c r="E978" s="716" t="n"/>
      <c r="F978" s="716" t="n"/>
      <c r="G978" s="716" t="n"/>
      <c r="H978" s="462" t="n"/>
    </row>
    <row r="979">
      <c r="A979" s="462" t="n"/>
      <c r="B979" s="767">
        <f>ROW()</f>
        <v/>
      </c>
      <c r="C979" s="716" t="n"/>
      <c r="D979" s="716" t="n"/>
      <c r="E979" s="716" t="n"/>
      <c r="F979" s="716" t="n"/>
      <c r="G979" s="716" t="n"/>
      <c r="H979" s="462" t="n"/>
    </row>
    <row r="980">
      <c r="A980" s="462" t="n"/>
      <c r="B980" s="767">
        <f>ROW()</f>
        <v/>
      </c>
      <c r="C980" s="716" t="n"/>
      <c r="D980" s="716" t="n"/>
      <c r="E980" s="716" t="n"/>
      <c r="F980" s="716" t="n"/>
      <c r="G980" s="716" t="n"/>
      <c r="H980" s="462" t="n"/>
    </row>
    <row r="981">
      <c r="A981" s="462" t="n"/>
      <c r="B981" s="767">
        <f>ROW()</f>
        <v/>
      </c>
      <c r="C981" s="716" t="n"/>
      <c r="D981" s="716" t="n"/>
      <c r="E981" s="716" t="n"/>
      <c r="F981" s="716" t="n"/>
      <c r="G981" s="716" t="n"/>
      <c r="H981" s="462" t="n"/>
    </row>
    <row r="982">
      <c r="A982" s="462" t="n"/>
      <c r="B982" s="767">
        <f>ROW()</f>
        <v/>
      </c>
      <c r="C982" s="716" t="n"/>
      <c r="D982" s="716" t="n"/>
      <c r="E982" s="716" t="n"/>
      <c r="F982" s="716" t="n"/>
      <c r="G982" s="716" t="n"/>
      <c r="H982" s="462" t="n"/>
    </row>
    <row r="983">
      <c r="A983" s="462" t="n"/>
      <c r="B983" s="767">
        <f>ROW()</f>
        <v/>
      </c>
      <c r="C983" s="716" t="n"/>
      <c r="D983" s="716" t="n"/>
      <c r="E983" s="716" t="n"/>
      <c r="F983" s="716" t="n"/>
      <c r="G983" s="716" t="n"/>
      <c r="H983" s="462" t="n"/>
    </row>
    <row r="984">
      <c r="A984" s="462" t="n"/>
      <c r="B984" s="767">
        <f>ROW()</f>
        <v/>
      </c>
      <c r="C984" s="716" t="n"/>
      <c r="D984" s="716" t="n"/>
      <c r="E984" s="716" t="n"/>
      <c r="F984" s="716" t="n"/>
      <c r="G984" s="716" t="n"/>
      <c r="H984" s="462" t="n"/>
    </row>
    <row r="985">
      <c r="A985" s="462" t="n"/>
      <c r="B985" s="767">
        <f>ROW()</f>
        <v/>
      </c>
      <c r="C985" s="716" t="n"/>
      <c r="D985" s="716" t="n"/>
      <c r="E985" s="716" t="n"/>
      <c r="F985" s="716" t="n"/>
      <c r="G985" s="716" t="n"/>
      <c r="H985" s="462" t="n"/>
    </row>
    <row r="986">
      <c r="A986" s="462" t="n"/>
      <c r="B986" s="767">
        <f>ROW()</f>
        <v/>
      </c>
      <c r="C986" s="182" t="n"/>
      <c r="D986" s="182" t="n"/>
      <c r="E986" s="182" t="n"/>
      <c r="F986" s="716" t="n"/>
      <c r="G986" s="716" t="n"/>
      <c r="H986" s="462" t="n"/>
    </row>
    <row r="987">
      <c r="A987" s="672" t="n"/>
      <c r="B987" s="767">
        <f>ROW()</f>
        <v/>
      </c>
      <c r="C987" s="182" t="n"/>
      <c r="D987" s="182" t="n"/>
      <c r="E987" s="182" t="n"/>
      <c r="F987" s="716" t="n"/>
      <c r="G987" s="716" t="n"/>
      <c r="H987" s="462" t="n"/>
    </row>
    <row r="988">
      <c r="A988" s="462" t="n"/>
      <c r="B988" s="767">
        <f>ROW()</f>
        <v/>
      </c>
      <c r="C988" s="182" t="n"/>
      <c r="D988" s="182" t="n"/>
      <c r="E988" s="182" t="n"/>
      <c r="F988" s="716" t="n"/>
      <c r="G988" s="716" t="n"/>
      <c r="H988" s="462" t="n"/>
    </row>
    <row r="989">
      <c r="A989" s="838" t="n"/>
      <c r="B989" s="767">
        <f>ROW()</f>
        <v/>
      </c>
      <c r="C989" s="716" t="n"/>
      <c r="D989" s="839" t="n"/>
      <c r="E989" s="839" t="n"/>
      <c r="F989" s="716" t="n"/>
      <c r="G989" s="716" t="n"/>
      <c r="H989" s="462" t="n"/>
    </row>
    <row r="990">
      <c r="A990" s="672" t="n"/>
      <c r="B990" s="767">
        <f>ROW()</f>
        <v/>
      </c>
      <c r="C990" s="182" t="n"/>
      <c r="D990" s="182" t="n"/>
      <c r="E990" s="182" t="n"/>
      <c r="F990" s="716" t="n"/>
      <c r="G990" s="716" t="n"/>
      <c r="H990" s="462" t="n"/>
    </row>
    <row r="991">
      <c r="A991" s="462" t="n"/>
      <c r="B991" s="767">
        <f>ROW()</f>
        <v/>
      </c>
      <c r="C991" s="716" t="n"/>
      <c r="D991" s="182" t="n"/>
      <c r="E991" s="716" t="n"/>
      <c r="F991" s="716" t="n"/>
      <c r="G991" s="716" t="n"/>
      <c r="H991" s="462" t="n"/>
    </row>
    <row r="992">
      <c r="A992" s="462" t="n"/>
      <c r="B992" s="767">
        <f>ROW()</f>
        <v/>
      </c>
      <c r="C992" s="716" t="n"/>
      <c r="D992" s="182" t="n"/>
      <c r="E992" s="716" t="n"/>
      <c r="F992" s="716" t="n"/>
      <c r="G992" s="716" t="n"/>
      <c r="H992" s="462" t="n"/>
    </row>
    <row r="993">
      <c r="A993" s="462" t="n"/>
      <c r="B993" s="767">
        <f>ROW()</f>
        <v/>
      </c>
      <c r="C993" s="716" t="n"/>
      <c r="D993" s="182" t="n"/>
      <c r="E993" s="716" t="n"/>
      <c r="F993" s="716" t="n"/>
      <c r="G993" s="716" t="n"/>
      <c r="H993" s="462" t="n"/>
    </row>
    <row r="994">
      <c r="A994" s="462" t="n"/>
      <c r="B994" s="767">
        <f>ROW()</f>
        <v/>
      </c>
      <c r="C994" s="716" t="n"/>
      <c r="D994" s="716" t="n"/>
      <c r="E994" s="716" t="n"/>
      <c r="F994" s="716" t="n"/>
      <c r="G994" s="716" t="n"/>
      <c r="H994" s="462" t="n"/>
    </row>
    <row r="995">
      <c r="A995" s="462" t="n"/>
      <c r="B995" s="767">
        <f>ROW()</f>
        <v/>
      </c>
      <c r="C995" s="716" t="n"/>
      <c r="D995" s="182" t="n"/>
      <c r="E995" s="182" t="n"/>
      <c r="F995" s="716" t="n"/>
      <c r="G995" s="716" t="n"/>
      <c r="H995" s="462" t="n"/>
    </row>
    <row r="996">
      <c r="A996" s="462" t="n"/>
      <c r="B996" s="767">
        <f>ROW()</f>
        <v/>
      </c>
      <c r="C996" s="716" t="n"/>
      <c r="D996" s="182" t="n"/>
      <c r="E996" s="182" t="n"/>
      <c r="F996" s="716" t="n"/>
      <c r="G996" s="716" t="n"/>
      <c r="H996" s="462" t="n"/>
    </row>
    <row r="997">
      <c r="A997" s="462" t="n"/>
      <c r="B997" s="767">
        <f>ROW()</f>
        <v/>
      </c>
      <c r="C997" s="716" t="n"/>
      <c r="D997" s="182" t="n"/>
      <c r="E997" s="716" t="n"/>
      <c r="F997" s="716" t="n"/>
      <c r="G997" s="716" t="n"/>
      <c r="H997" s="462" t="n"/>
    </row>
    <row r="998" ht="16.8" customHeight="1" s="1181">
      <c r="A998" s="462" t="n"/>
      <c r="B998" s="767">
        <f>ROW()</f>
        <v/>
      </c>
      <c r="C998" s="182" t="n"/>
      <c r="D998" s="384" t="n"/>
      <c r="E998" s="384" t="n"/>
      <c r="F998" s="716" t="n"/>
      <c r="G998" s="716" t="n"/>
      <c r="H998" s="462" t="n"/>
    </row>
    <row r="999">
      <c r="A999" s="462" t="n"/>
      <c r="B999" s="767">
        <f>ROW()</f>
        <v/>
      </c>
      <c r="C999" s="716" t="n"/>
      <c r="D999" s="182" t="n"/>
      <c r="E999" s="182" t="n"/>
      <c r="F999" s="716" t="n"/>
      <c r="G999" s="716" t="n"/>
      <c r="H999" s="462" t="n"/>
    </row>
    <row r="1000">
      <c r="A1000" s="462" t="n"/>
      <c r="B1000" s="767">
        <f>ROW()</f>
        <v/>
      </c>
      <c r="C1000" s="716" t="n"/>
      <c r="D1000" s="182" t="n"/>
      <c r="E1000" s="182" t="n"/>
      <c r="F1000" s="716" t="n"/>
      <c r="G1000" s="716" t="n"/>
      <c r="H1000" s="462" t="n"/>
    </row>
    <row r="1001">
      <c r="A1001" s="462" t="n"/>
      <c r="B1001" s="767">
        <f>ROW()</f>
        <v/>
      </c>
      <c r="C1001" s="716" t="n"/>
      <c r="D1001" s="182" t="n"/>
      <c r="E1001" s="182" t="n"/>
      <c r="F1001" s="716" t="n"/>
      <c r="G1001" s="716" t="n"/>
      <c r="H1001" s="462" t="n"/>
    </row>
    <row r="1002">
      <c r="A1002" s="462" t="n"/>
      <c r="B1002" s="767">
        <f>ROW()</f>
        <v/>
      </c>
      <c r="C1002" s="716" t="n"/>
      <c r="D1002" s="182" t="n"/>
      <c r="E1002" s="182" t="n"/>
      <c r="F1002" s="716" t="n"/>
      <c r="G1002" s="716" t="n"/>
      <c r="H1002" s="462" t="n"/>
    </row>
    <row r="1003">
      <c r="A1003" s="462" t="n"/>
      <c r="B1003" s="767">
        <f>ROW()</f>
        <v/>
      </c>
      <c r="C1003" s="716" t="n"/>
      <c r="D1003" s="182" t="n"/>
      <c r="E1003" s="716" t="n"/>
      <c r="F1003" s="716" t="n"/>
      <c r="G1003" s="716" t="n"/>
      <c r="H1003" s="462" t="n"/>
    </row>
    <row r="1004">
      <c r="A1004" s="462" t="n"/>
      <c r="B1004" s="767">
        <f>ROW()</f>
        <v/>
      </c>
      <c r="C1004" s="716" t="n"/>
      <c r="D1004" s="182" t="n"/>
      <c r="E1004" s="716" t="n"/>
      <c r="F1004" s="716" t="n"/>
      <c r="G1004" s="716" t="n"/>
      <c r="H1004" s="462" t="n"/>
    </row>
    <row r="1005">
      <c r="A1005" s="462" t="n"/>
      <c r="B1005" s="767">
        <f>ROW()</f>
        <v/>
      </c>
      <c r="C1005" s="716" t="n"/>
      <c r="D1005" s="182" t="n"/>
      <c r="E1005" s="716" t="n"/>
      <c r="F1005" s="716" t="n"/>
      <c r="G1005" s="716" t="n"/>
      <c r="H1005" s="462" t="n"/>
    </row>
    <row r="1006">
      <c r="A1006" s="462" t="n"/>
      <c r="B1006" s="767">
        <f>ROW()</f>
        <v/>
      </c>
      <c r="C1006" s="716" t="n"/>
      <c r="D1006" s="716" t="n"/>
      <c r="E1006" s="716" t="n"/>
      <c r="F1006" s="716" t="n"/>
      <c r="G1006" s="716" t="n"/>
      <c r="H1006" s="462" t="n"/>
    </row>
    <row r="1007">
      <c r="A1007" s="462" t="n"/>
      <c r="B1007" s="767">
        <f>ROW()</f>
        <v/>
      </c>
      <c r="C1007" s="716" t="n"/>
      <c r="D1007" s="716" t="n"/>
      <c r="E1007" s="716" t="n"/>
      <c r="F1007" s="716" t="n"/>
      <c r="G1007" s="716" t="n"/>
      <c r="H1007" s="462" t="n"/>
    </row>
    <row r="1008">
      <c r="A1008" s="462" t="n"/>
      <c r="B1008" s="767">
        <f>ROW()</f>
        <v/>
      </c>
      <c r="C1008" s="716" t="n"/>
      <c r="D1008" s="716" t="n"/>
      <c r="E1008" s="716" t="n"/>
      <c r="F1008" s="716" t="n"/>
      <c r="G1008" s="716" t="n"/>
      <c r="H1008" s="462" t="n"/>
    </row>
    <row r="1009">
      <c r="A1009" s="462" t="n"/>
      <c r="B1009" s="767">
        <f>ROW()</f>
        <v/>
      </c>
      <c r="C1009" s="716" t="n"/>
      <c r="D1009" s="716" t="n"/>
      <c r="E1009" s="716" t="n"/>
      <c r="F1009" s="716" t="n"/>
      <c r="G1009" s="716" t="n"/>
      <c r="H1009" s="462" t="n"/>
    </row>
    <row r="1010">
      <c r="A1010" s="462" t="n"/>
      <c r="B1010" s="767">
        <f>ROW()</f>
        <v/>
      </c>
      <c r="C1010" s="716" t="n"/>
      <c r="D1010" s="716" t="n"/>
      <c r="E1010" s="716" t="n"/>
      <c r="F1010" s="716" t="n"/>
      <c r="G1010" s="716" t="n"/>
      <c r="H1010" s="462" t="n"/>
    </row>
    <row r="1011">
      <c r="A1011" s="462" t="n"/>
      <c r="B1011" s="767">
        <f>ROW()</f>
        <v/>
      </c>
      <c r="C1011" s="716" t="n"/>
      <c r="D1011" s="716" t="n"/>
      <c r="E1011" s="716" t="n"/>
      <c r="F1011" s="716" t="n"/>
      <c r="G1011" s="716" t="n"/>
      <c r="H1011" s="462" t="n"/>
    </row>
    <row r="1012">
      <c r="A1012" s="462" t="n"/>
      <c r="B1012" s="767">
        <f>ROW()</f>
        <v/>
      </c>
      <c r="C1012" s="716" t="n"/>
      <c r="D1012" s="716" t="n"/>
      <c r="E1012" s="716" t="n"/>
      <c r="F1012" s="716" t="n"/>
      <c r="G1012" s="716" t="n"/>
      <c r="H1012" s="462" t="n"/>
    </row>
    <row r="1013">
      <c r="A1013" s="462" t="n"/>
      <c r="B1013" s="767">
        <f>ROW()</f>
        <v/>
      </c>
      <c r="C1013" s="716" t="n"/>
      <c r="D1013" s="716" t="n"/>
      <c r="E1013" s="716" t="n"/>
      <c r="F1013" s="716" t="n"/>
      <c r="G1013" s="716" t="n"/>
      <c r="H1013" s="462" t="n"/>
    </row>
    <row r="1014">
      <c r="A1014" s="462" t="n"/>
      <c r="B1014" s="767">
        <f>ROW()</f>
        <v/>
      </c>
      <c r="C1014" s="716" t="n"/>
      <c r="D1014" s="716" t="n"/>
      <c r="E1014" s="716" t="n"/>
      <c r="F1014" s="716" t="n"/>
      <c r="G1014" s="716" t="n"/>
      <c r="H1014" s="462" t="n"/>
    </row>
    <row r="1015">
      <c r="A1015" s="462" t="n"/>
      <c r="B1015" s="767">
        <f>ROW()</f>
        <v/>
      </c>
      <c r="C1015" s="716" t="n"/>
      <c r="D1015" s="716" t="n"/>
      <c r="E1015" s="716" t="n"/>
      <c r="F1015" s="716" t="n"/>
      <c r="G1015" s="716" t="n"/>
      <c r="H1015" s="462" t="n"/>
    </row>
    <row r="1016">
      <c r="A1016" s="462" t="n"/>
      <c r="B1016" s="767">
        <f>ROW()</f>
        <v/>
      </c>
      <c r="C1016" s="716" t="n"/>
      <c r="D1016" s="716" t="n"/>
      <c r="E1016" s="716" t="n"/>
      <c r="F1016" s="716" t="n"/>
      <c r="G1016" s="716" t="n"/>
      <c r="H1016" s="462" t="n"/>
    </row>
    <row r="1017">
      <c r="A1017" s="462" t="n"/>
      <c r="B1017" s="767">
        <f>ROW()</f>
        <v/>
      </c>
      <c r="C1017" s="716" t="n"/>
      <c r="D1017" s="716" t="n"/>
      <c r="E1017" s="716" t="n"/>
      <c r="F1017" s="716" t="n"/>
      <c r="G1017" s="716" t="n"/>
      <c r="H1017" s="462" t="n"/>
    </row>
    <row r="1018">
      <c r="A1018" s="462" t="n"/>
      <c r="B1018" s="767">
        <f>ROW()</f>
        <v/>
      </c>
      <c r="C1018" s="716" t="n"/>
      <c r="D1018" s="716" t="n"/>
      <c r="E1018" s="716" t="n"/>
      <c r="F1018" s="716" t="n"/>
      <c r="G1018" s="716" t="n"/>
      <c r="H1018" s="462" t="n"/>
    </row>
    <row r="1019">
      <c r="A1019" s="462" t="n"/>
      <c r="B1019" s="767">
        <f>ROW()</f>
        <v/>
      </c>
      <c r="C1019" s="716" t="n"/>
      <c r="D1019" s="716" t="n"/>
      <c r="E1019" s="716" t="n"/>
      <c r="F1019" s="716" t="n"/>
      <c r="G1019" s="716" t="n"/>
      <c r="H1019" s="462" t="n"/>
    </row>
    <row r="1020">
      <c r="A1020" s="462" t="n"/>
      <c r="B1020" s="767">
        <f>ROW()</f>
        <v/>
      </c>
      <c r="C1020" s="716" t="n"/>
      <c r="D1020" s="716" t="n"/>
      <c r="E1020" s="716" t="n"/>
      <c r="F1020" s="716" t="n"/>
      <c r="G1020" s="716" t="n"/>
      <c r="H1020" s="462" t="n"/>
    </row>
    <row r="1021">
      <c r="A1021" s="462" t="n"/>
      <c r="B1021" s="767">
        <f>ROW()</f>
        <v/>
      </c>
      <c r="C1021" s="716" t="n"/>
      <c r="D1021" s="716" t="n"/>
      <c r="E1021" s="716" t="n"/>
      <c r="F1021" s="716" t="n"/>
      <c r="G1021" s="716" t="n"/>
      <c r="H1021" s="462" t="n"/>
    </row>
    <row r="1022">
      <c r="A1022" s="462" t="n"/>
      <c r="B1022" s="767">
        <f>ROW()</f>
        <v/>
      </c>
      <c r="C1022" s="716" t="n"/>
      <c r="D1022" s="716" t="n"/>
      <c r="E1022" s="716" t="n"/>
      <c r="F1022" s="716" t="n"/>
      <c r="G1022" s="716" t="n"/>
      <c r="H1022" s="462" t="n"/>
    </row>
    <row r="1023">
      <c r="A1023" s="462" t="n"/>
      <c r="B1023" s="767">
        <f>ROW()</f>
        <v/>
      </c>
      <c r="C1023" s="716" t="n"/>
      <c r="D1023" s="716" t="n"/>
      <c r="E1023" s="716" t="n"/>
      <c r="F1023" s="716" t="n"/>
      <c r="G1023" s="716" t="n"/>
      <c r="H1023" s="462" t="n"/>
    </row>
    <row r="1024">
      <c r="A1024" s="462" t="n"/>
      <c r="B1024" s="767">
        <f>ROW()</f>
        <v/>
      </c>
      <c r="C1024" s="716" t="n"/>
      <c r="D1024" s="716" t="n"/>
      <c r="E1024" s="716" t="n"/>
      <c r="F1024" s="716" t="n"/>
      <c r="G1024" s="716" t="n"/>
      <c r="H1024" s="462" t="n"/>
    </row>
    <row r="1025">
      <c r="A1025" s="462" t="n"/>
      <c r="B1025" s="767">
        <f>ROW()</f>
        <v/>
      </c>
      <c r="C1025" s="716" t="n"/>
      <c r="D1025" s="716" t="n"/>
      <c r="E1025" s="716" t="n"/>
      <c r="F1025" s="716" t="n"/>
      <c r="G1025" s="716" t="n"/>
      <c r="H1025" s="462" t="n"/>
    </row>
    <row r="1026">
      <c r="A1026" s="462" t="n"/>
      <c r="B1026" s="767">
        <f>ROW()</f>
        <v/>
      </c>
      <c r="C1026" s="716" t="n"/>
      <c r="D1026" s="716" t="n"/>
      <c r="E1026" s="716" t="n"/>
      <c r="F1026" s="716" t="n"/>
      <c r="G1026" s="716" t="n"/>
      <c r="H1026" s="462" t="n"/>
    </row>
    <row r="1027">
      <c r="A1027" s="462" t="n"/>
      <c r="B1027" s="767">
        <f>ROW()</f>
        <v/>
      </c>
      <c r="C1027" s="716" t="n"/>
      <c r="D1027" s="716" t="n"/>
      <c r="E1027" s="716" t="n"/>
      <c r="F1027" s="716" t="n"/>
      <c r="G1027" s="716" t="n"/>
      <c r="H1027" s="462" t="n"/>
    </row>
    <row r="1028">
      <c r="A1028" s="462" t="n"/>
      <c r="B1028" s="767">
        <f>ROW()</f>
        <v/>
      </c>
      <c r="C1028" s="716" t="n"/>
      <c r="D1028" s="716" t="n"/>
      <c r="E1028" s="716" t="n"/>
      <c r="F1028" s="716" t="n"/>
      <c r="G1028" s="716" t="n"/>
      <c r="H1028" s="462" t="n"/>
    </row>
    <row r="1029">
      <c r="A1029" s="462" t="n"/>
      <c r="B1029" s="767">
        <f>ROW()</f>
        <v/>
      </c>
      <c r="C1029" s="716" t="n"/>
      <c r="D1029" s="716" t="n"/>
      <c r="E1029" s="716" t="n"/>
      <c r="F1029" s="716" t="n"/>
      <c r="G1029" s="716" t="n"/>
      <c r="H1029" s="462" t="n"/>
    </row>
    <row r="1030">
      <c r="A1030" s="462" t="n"/>
      <c r="B1030" s="767">
        <f>ROW()</f>
        <v/>
      </c>
      <c r="C1030" s="716" t="n"/>
      <c r="D1030" s="716" t="n"/>
      <c r="E1030" s="716" t="n"/>
      <c r="F1030" s="716" t="n"/>
      <c r="G1030" s="716" t="n"/>
      <c r="H1030" s="462" t="n"/>
    </row>
    <row r="1031">
      <c r="A1031" s="462" t="n"/>
      <c r="B1031" s="767">
        <f>ROW()</f>
        <v/>
      </c>
      <c r="C1031" s="716" t="n"/>
      <c r="D1031" s="716" t="n"/>
      <c r="E1031" s="716" t="n"/>
      <c r="F1031" s="716" t="n"/>
      <c r="G1031" s="716" t="n"/>
      <c r="H1031" s="462" t="n"/>
    </row>
    <row r="1032">
      <c r="A1032" s="462" t="n"/>
      <c r="B1032" s="767">
        <f>ROW()</f>
        <v/>
      </c>
      <c r="C1032" s="716" t="n"/>
      <c r="D1032" s="716" t="n"/>
      <c r="E1032" s="716" t="n"/>
      <c r="F1032" s="716" t="n"/>
      <c r="G1032" s="716" t="n"/>
      <c r="H1032" s="462" t="n"/>
    </row>
    <row r="1033">
      <c r="A1033" s="462" t="n"/>
      <c r="B1033" s="767">
        <f>ROW()</f>
        <v/>
      </c>
      <c r="C1033" s="716" t="n"/>
      <c r="D1033" s="716" t="n"/>
      <c r="E1033" s="716" t="n"/>
      <c r="F1033" s="716" t="n"/>
      <c r="G1033" s="716" t="n"/>
      <c r="H1033" s="462" t="n"/>
    </row>
    <row r="1034">
      <c r="A1034" s="462" t="n"/>
      <c r="B1034" s="767">
        <f>ROW()</f>
        <v/>
      </c>
      <c r="C1034" s="716" t="n"/>
      <c r="D1034" s="716" t="n"/>
      <c r="E1034" s="716" t="n"/>
      <c r="F1034" s="716" t="n"/>
      <c r="G1034" s="716" t="n"/>
      <c r="H1034" s="462" t="n"/>
    </row>
    <row r="1035">
      <c r="A1035" s="462" t="n"/>
      <c r="B1035" s="767">
        <f>ROW()</f>
        <v/>
      </c>
      <c r="C1035" s="716" t="n"/>
      <c r="D1035" s="716" t="n"/>
      <c r="E1035" s="716" t="n"/>
      <c r="F1035" s="716" t="n"/>
      <c r="G1035" s="716" t="n"/>
      <c r="H1035" s="462" t="n"/>
    </row>
    <row r="1036">
      <c r="A1036" s="462" t="n"/>
      <c r="B1036" s="767">
        <f>ROW()</f>
        <v/>
      </c>
      <c r="C1036" s="716" t="n"/>
      <c r="D1036" s="716" t="n"/>
      <c r="E1036" s="716" t="n"/>
      <c r="F1036" s="716" t="n"/>
      <c r="G1036" s="716" t="n"/>
      <c r="H1036" s="462" t="n"/>
    </row>
    <row r="1037">
      <c r="A1037" s="462" t="n"/>
      <c r="B1037" s="767">
        <f>ROW()</f>
        <v/>
      </c>
      <c r="C1037" s="716" t="n"/>
      <c r="D1037" s="716" t="n"/>
      <c r="E1037" s="716" t="n"/>
      <c r="F1037" s="716" t="n"/>
      <c r="G1037" s="716" t="n"/>
      <c r="H1037" s="462" t="n"/>
    </row>
    <row r="1038">
      <c r="A1038" s="462" t="n"/>
      <c r="B1038" s="767">
        <f>ROW()</f>
        <v/>
      </c>
      <c r="C1038" s="716" t="n"/>
      <c r="D1038" s="716" t="n"/>
      <c r="E1038" s="716" t="n"/>
      <c r="F1038" s="716" t="n"/>
      <c r="G1038" s="716" t="n"/>
      <c r="H1038" s="462" t="n"/>
    </row>
    <row r="1039">
      <c r="A1039" s="462" t="n"/>
      <c r="B1039" s="767">
        <f>ROW()</f>
        <v/>
      </c>
      <c r="C1039" s="716" t="n"/>
      <c r="D1039" s="716" t="n"/>
      <c r="E1039" s="716" t="n"/>
      <c r="F1039" s="716" t="n"/>
      <c r="G1039" s="716" t="n"/>
      <c r="H1039" s="462" t="n"/>
    </row>
    <row r="1040">
      <c r="A1040" s="462" t="n"/>
      <c r="B1040" s="767">
        <f>ROW()</f>
        <v/>
      </c>
      <c r="C1040" s="716" t="n"/>
      <c r="D1040" s="716" t="n"/>
      <c r="E1040" s="716" t="n"/>
      <c r="F1040" s="716" t="n"/>
      <c r="G1040" s="716" t="n"/>
      <c r="H1040" s="462" t="n"/>
    </row>
    <row r="1041">
      <c r="A1041" s="462" t="n"/>
      <c r="B1041" s="767">
        <f>ROW()</f>
        <v/>
      </c>
      <c r="C1041" s="716" t="n"/>
      <c r="D1041" s="716" t="n"/>
      <c r="E1041" s="716" t="n"/>
      <c r="F1041" s="716" t="n"/>
      <c r="G1041" s="716" t="n"/>
      <c r="H1041" s="462" t="n"/>
    </row>
    <row r="1042">
      <c r="A1042" s="462" t="n"/>
      <c r="B1042" s="767">
        <f>ROW()</f>
        <v/>
      </c>
      <c r="C1042" s="716" t="n"/>
      <c r="D1042" s="716" t="n"/>
      <c r="E1042" s="716" t="n"/>
      <c r="F1042" s="716" t="n"/>
      <c r="G1042" s="716" t="n"/>
      <c r="H1042" s="462" t="n"/>
    </row>
    <row r="1043">
      <c r="A1043" s="462" t="n"/>
      <c r="B1043" s="767">
        <f>ROW()</f>
        <v/>
      </c>
      <c r="C1043" s="716" t="n"/>
      <c r="D1043" s="716" t="n"/>
      <c r="E1043" s="716" t="n"/>
      <c r="F1043" s="716" t="n"/>
      <c r="G1043" s="716" t="n"/>
      <c r="H1043" s="462" t="n"/>
    </row>
    <row r="1044">
      <c r="A1044" s="462" t="n"/>
      <c r="B1044" s="767">
        <f>ROW()</f>
        <v/>
      </c>
      <c r="C1044" s="716" t="n"/>
      <c r="D1044" s="716" t="n"/>
      <c r="E1044" s="716" t="n"/>
      <c r="F1044" s="716" t="n"/>
      <c r="G1044" s="716" t="n"/>
      <c r="H1044" s="462" t="n"/>
    </row>
    <row r="1045">
      <c r="A1045" s="462" t="n"/>
      <c r="B1045" s="767">
        <f>ROW()</f>
        <v/>
      </c>
      <c r="C1045" s="716" t="n"/>
      <c r="D1045" s="716" t="n"/>
      <c r="E1045" s="716" t="n"/>
      <c r="F1045" s="716" t="n"/>
      <c r="G1045" s="716" t="n"/>
      <c r="H1045" s="462" t="n"/>
    </row>
    <row r="1046">
      <c r="A1046" s="462" t="n"/>
      <c r="B1046" s="767">
        <f>ROW()</f>
        <v/>
      </c>
      <c r="C1046" s="716" t="n"/>
      <c r="D1046" s="716" t="n"/>
      <c r="E1046" s="716" t="n"/>
      <c r="F1046" s="716" t="n"/>
      <c r="G1046" s="716" t="n"/>
      <c r="H1046" s="462" t="n"/>
    </row>
    <row r="1047">
      <c r="A1047" s="462" t="n"/>
      <c r="B1047" s="767">
        <f>ROW()</f>
        <v/>
      </c>
      <c r="C1047" s="716" t="n"/>
      <c r="D1047" s="716" t="n"/>
      <c r="E1047" s="716" t="n"/>
      <c r="F1047" s="716" t="n"/>
      <c r="G1047" s="716" t="n"/>
      <c r="H1047" s="462" t="n"/>
    </row>
    <row r="1048">
      <c r="A1048" s="462" t="n"/>
      <c r="B1048" s="767">
        <f>ROW()</f>
        <v/>
      </c>
      <c r="C1048" s="716" t="n"/>
      <c r="D1048" s="716" t="n"/>
      <c r="E1048" s="716" t="n"/>
      <c r="F1048" s="716" t="n"/>
      <c r="G1048" s="716" t="n"/>
      <c r="H1048" s="462" t="n"/>
    </row>
    <row r="1049">
      <c r="A1049" s="462" t="n"/>
      <c r="B1049" s="767">
        <f>ROW()</f>
        <v/>
      </c>
      <c r="C1049" s="716" t="n"/>
      <c r="D1049" s="716" t="n"/>
      <c r="E1049" s="716" t="n"/>
      <c r="F1049" s="716" t="n"/>
      <c r="G1049" s="716" t="n"/>
      <c r="H1049" s="462" t="n"/>
    </row>
    <row r="1050">
      <c r="A1050" s="462" t="n"/>
      <c r="B1050" s="767">
        <f>ROW()</f>
        <v/>
      </c>
      <c r="C1050" s="716" t="n"/>
      <c r="D1050" s="716" t="n"/>
      <c r="E1050" s="716" t="n"/>
      <c r="F1050" s="716" t="n"/>
      <c r="G1050" s="716" t="n"/>
      <c r="H1050" s="462" t="n"/>
    </row>
    <row r="1051">
      <c r="A1051" s="462" t="n"/>
      <c r="B1051" s="767">
        <f>ROW()</f>
        <v/>
      </c>
      <c r="C1051" s="716" t="n"/>
      <c r="D1051" s="716" t="n"/>
      <c r="E1051" s="716" t="n"/>
      <c r="F1051" s="716" t="n"/>
      <c r="G1051" s="716" t="n"/>
      <c r="H1051" s="462" t="n"/>
    </row>
    <row r="1052">
      <c r="A1052" s="462" t="n"/>
      <c r="B1052" s="767">
        <f>ROW()</f>
        <v/>
      </c>
      <c r="C1052" s="716" t="n"/>
      <c r="D1052" s="716" t="n"/>
      <c r="E1052" s="716" t="n"/>
      <c r="F1052" s="716" t="n"/>
      <c r="G1052" s="716" t="n"/>
      <c r="H1052" s="462" t="n"/>
    </row>
    <row r="1053">
      <c r="A1053" s="462" t="n"/>
      <c r="B1053" s="767">
        <f>ROW()</f>
        <v/>
      </c>
      <c r="C1053" s="716" t="n"/>
      <c r="D1053" s="716" t="n"/>
      <c r="E1053" s="716" t="n"/>
      <c r="F1053" s="716" t="n"/>
      <c r="G1053" s="716" t="n"/>
      <c r="H1053" s="462" t="n"/>
    </row>
    <row r="1054">
      <c r="A1054" s="462" t="n"/>
      <c r="B1054" s="767">
        <f>ROW()</f>
        <v/>
      </c>
      <c r="C1054" s="716" t="n"/>
      <c r="D1054" s="716" t="n"/>
      <c r="E1054" s="716" t="n"/>
      <c r="F1054" s="716" t="n"/>
      <c r="G1054" s="716" t="n"/>
      <c r="H1054" s="462" t="n"/>
    </row>
    <row r="1055">
      <c r="A1055" s="462" t="n"/>
      <c r="B1055" s="767">
        <f>ROW()</f>
        <v/>
      </c>
      <c r="C1055" s="716" t="n"/>
      <c r="D1055" s="716" t="n"/>
      <c r="E1055" s="716" t="n"/>
      <c r="F1055" s="716" t="n"/>
      <c r="G1055" s="716" t="n"/>
      <c r="H1055" s="462" t="n"/>
    </row>
    <row r="1056">
      <c r="A1056" s="462" t="n"/>
      <c r="B1056" s="767">
        <f>ROW()</f>
        <v/>
      </c>
      <c r="C1056" s="716" t="n"/>
      <c r="D1056" s="716" t="n"/>
      <c r="E1056" s="716" t="n"/>
      <c r="F1056" s="716" t="n"/>
      <c r="G1056" s="716" t="n"/>
      <c r="H1056" s="462" t="n"/>
    </row>
    <row r="1057">
      <c r="A1057" s="462" t="n"/>
      <c r="B1057" s="767">
        <f>ROW()</f>
        <v/>
      </c>
      <c r="C1057" s="716" t="n"/>
      <c r="D1057" s="716" t="n"/>
      <c r="E1057" s="716" t="n"/>
      <c r="F1057" s="716" t="n"/>
      <c r="G1057" s="716" t="n"/>
      <c r="H1057" s="462" t="n"/>
    </row>
    <row r="1058">
      <c r="A1058" s="462" t="n"/>
      <c r="B1058" s="767">
        <f>ROW()</f>
        <v/>
      </c>
      <c r="C1058" s="716" t="n"/>
      <c r="D1058" s="716" t="n"/>
      <c r="E1058" s="716" t="n"/>
      <c r="F1058" s="716" t="n"/>
      <c r="G1058" s="716" t="n"/>
      <c r="H1058" s="462" t="n"/>
    </row>
    <row r="1059">
      <c r="A1059" s="462" t="n"/>
      <c r="B1059" s="767">
        <f>ROW()</f>
        <v/>
      </c>
      <c r="C1059" s="716" t="n"/>
      <c r="D1059" s="716" t="n"/>
      <c r="E1059" s="716" t="n"/>
      <c r="F1059" s="716" t="n"/>
      <c r="G1059" s="716" t="n"/>
      <c r="H1059" s="462" t="n"/>
    </row>
    <row r="1060">
      <c r="A1060" s="462" t="n"/>
      <c r="B1060" s="767">
        <f>ROW()</f>
        <v/>
      </c>
      <c r="C1060" s="716" t="n"/>
      <c r="D1060" s="716" t="n"/>
      <c r="E1060" s="716" t="n"/>
      <c r="F1060" s="716" t="n"/>
      <c r="G1060" s="716" t="n"/>
      <c r="H1060" s="462" t="n"/>
    </row>
    <row r="1061">
      <c r="A1061" s="462" t="n"/>
      <c r="B1061" s="767">
        <f>ROW()</f>
        <v/>
      </c>
      <c r="C1061" s="716" t="n"/>
      <c r="D1061" s="716" t="n"/>
      <c r="E1061" s="716" t="n"/>
      <c r="F1061" s="716" t="n"/>
      <c r="G1061" s="716" t="n"/>
      <c r="H1061" s="462" t="n"/>
    </row>
    <row r="1062">
      <c r="A1062" s="462" t="n"/>
      <c r="B1062" s="767">
        <f>ROW()</f>
        <v/>
      </c>
      <c r="C1062" s="716" t="n"/>
      <c r="D1062" s="716" t="n"/>
      <c r="E1062" s="716" t="n"/>
      <c r="F1062" s="716" t="n"/>
      <c r="G1062" s="716" t="n"/>
      <c r="H1062" s="462" t="n"/>
    </row>
    <row r="1063">
      <c r="A1063" s="462" t="n"/>
      <c r="B1063" s="767">
        <f>ROW()</f>
        <v/>
      </c>
      <c r="C1063" s="716" t="n"/>
      <c r="D1063" s="716" t="n"/>
      <c r="E1063" s="716" t="n"/>
      <c r="F1063" s="716" t="n"/>
      <c r="G1063" s="716" t="n"/>
      <c r="H1063" s="462" t="n"/>
    </row>
    <row r="1064">
      <c r="A1064" s="462" t="n"/>
      <c r="B1064" s="767">
        <f>ROW()</f>
        <v/>
      </c>
      <c r="C1064" s="716" t="n"/>
      <c r="D1064" s="716" t="n"/>
      <c r="E1064" s="716" t="n"/>
      <c r="F1064" s="716" t="n"/>
      <c r="G1064" s="716" t="n"/>
      <c r="H1064" s="462" t="n"/>
    </row>
    <row r="1065">
      <c r="A1065" s="462" t="n"/>
      <c r="B1065" s="767">
        <f>ROW()</f>
        <v/>
      </c>
      <c r="C1065" s="716" t="n"/>
      <c r="D1065" s="716" t="n"/>
      <c r="E1065" s="716" t="n"/>
      <c r="F1065" s="716" t="n"/>
      <c r="G1065" s="716" t="n"/>
      <c r="H1065" s="462" t="n"/>
    </row>
    <row r="1066">
      <c r="A1066" s="462" t="n"/>
      <c r="B1066" s="767">
        <f>ROW()</f>
        <v/>
      </c>
      <c r="C1066" s="716" t="n"/>
      <c r="D1066" s="716" t="n"/>
      <c r="E1066" s="716" t="n"/>
      <c r="F1066" s="716" t="n"/>
      <c r="G1066" s="716" t="n"/>
      <c r="H1066" s="462" t="n"/>
    </row>
    <row r="1067">
      <c r="A1067" s="462" t="n"/>
      <c r="B1067" s="767">
        <f>ROW()</f>
        <v/>
      </c>
      <c r="C1067" s="716" t="n"/>
      <c r="D1067" s="716" t="n"/>
      <c r="E1067" s="716" t="n"/>
      <c r="F1067" s="716" t="n"/>
      <c r="G1067" s="716" t="n"/>
      <c r="H1067" s="462" t="n"/>
    </row>
    <row r="1068">
      <c r="A1068" s="462" t="n"/>
      <c r="B1068" s="767">
        <f>ROW()</f>
        <v/>
      </c>
      <c r="C1068" s="716" t="n"/>
      <c r="D1068" s="716" t="n"/>
      <c r="E1068" s="716" t="n"/>
      <c r="F1068" s="716" t="n"/>
      <c r="G1068" s="716" t="n"/>
      <c r="H1068" s="462" t="n"/>
    </row>
    <row r="1069">
      <c r="A1069" s="462" t="n"/>
      <c r="B1069" s="767">
        <f>ROW()</f>
        <v/>
      </c>
      <c r="C1069" s="716" t="n"/>
      <c r="D1069" s="716" t="n"/>
      <c r="E1069" s="716" t="n"/>
      <c r="F1069" s="716" t="n"/>
      <c r="G1069" s="716" t="n"/>
      <c r="H1069" s="462" t="n"/>
    </row>
    <row r="1070">
      <c r="A1070" s="462" t="n"/>
      <c r="B1070" s="767">
        <f>ROW()</f>
        <v/>
      </c>
      <c r="C1070" s="716" t="n"/>
      <c r="D1070" s="716" t="n"/>
      <c r="E1070" s="716" t="n"/>
      <c r="F1070" s="716" t="n"/>
      <c r="G1070" s="716" t="n"/>
      <c r="H1070" s="462" t="n"/>
    </row>
    <row r="1071">
      <c r="A1071" s="462" t="n"/>
      <c r="B1071" s="767">
        <f>ROW()</f>
        <v/>
      </c>
      <c r="C1071" s="716" t="n"/>
      <c r="D1071" s="716" t="n"/>
      <c r="E1071" s="716" t="n"/>
      <c r="F1071" s="716" t="n"/>
      <c r="G1071" s="716" t="n"/>
      <c r="H1071" s="462" t="n"/>
    </row>
    <row r="1072">
      <c r="A1072" s="462" t="n"/>
      <c r="B1072" s="767">
        <f>ROW()</f>
        <v/>
      </c>
      <c r="C1072" s="716" t="n"/>
      <c r="D1072" s="716" t="n"/>
      <c r="E1072" s="716" t="n"/>
      <c r="F1072" s="716" t="n"/>
      <c r="G1072" s="716" t="n"/>
      <c r="H1072" s="462" t="n"/>
    </row>
    <row r="1073">
      <c r="A1073" s="462" t="n"/>
      <c r="B1073" s="767">
        <f>ROW()</f>
        <v/>
      </c>
      <c r="C1073" s="716" t="n"/>
      <c r="D1073" s="716" t="n"/>
      <c r="E1073" s="716" t="n"/>
      <c r="F1073" s="716" t="n"/>
      <c r="G1073" s="716" t="n"/>
      <c r="H1073" s="462" t="n"/>
    </row>
    <row r="1074">
      <c r="A1074" s="462" t="n"/>
      <c r="B1074" s="767">
        <f>ROW()</f>
        <v/>
      </c>
      <c r="C1074" s="716" t="n"/>
      <c r="D1074" s="716" t="n"/>
      <c r="E1074" s="716" t="n"/>
      <c r="F1074" s="716" t="n"/>
      <c r="G1074" s="716" t="n"/>
      <c r="H1074" s="462" t="n"/>
    </row>
    <row r="1075">
      <c r="A1075" s="462" t="n"/>
      <c r="B1075" s="767">
        <f>ROW()</f>
        <v/>
      </c>
      <c r="C1075" s="716" t="n"/>
      <c r="D1075" s="716" t="n"/>
      <c r="E1075" s="716" t="n"/>
      <c r="F1075" s="716" t="n"/>
      <c r="G1075" s="716" t="n"/>
      <c r="H1075" s="462" t="n"/>
    </row>
    <row r="1076">
      <c r="A1076" s="462" t="n"/>
      <c r="B1076" s="767">
        <f>ROW()</f>
        <v/>
      </c>
      <c r="C1076" s="716" t="n"/>
      <c r="D1076" s="716" t="n"/>
      <c r="E1076" s="716" t="n"/>
      <c r="F1076" s="716" t="n"/>
      <c r="G1076" s="716" t="n"/>
      <c r="H1076" s="462" t="n"/>
    </row>
    <row r="1077">
      <c r="A1077" s="462" t="n"/>
      <c r="B1077" s="767">
        <f>ROW()</f>
        <v/>
      </c>
      <c r="C1077" s="716" t="n"/>
      <c r="D1077" s="716" t="n"/>
      <c r="E1077" s="716" t="n"/>
      <c r="F1077" s="716" t="n"/>
      <c r="G1077" s="716" t="n"/>
      <c r="H1077" s="462" t="n"/>
    </row>
    <row r="1078">
      <c r="A1078" s="462" t="n"/>
      <c r="B1078" s="767">
        <f>ROW()</f>
        <v/>
      </c>
      <c r="C1078" s="716" t="n"/>
      <c r="D1078" s="716" t="n"/>
      <c r="E1078" s="716" t="n"/>
      <c r="F1078" s="716" t="n"/>
      <c r="G1078" s="716" t="n"/>
      <c r="H1078" s="462" t="n"/>
    </row>
    <row r="1079">
      <c r="A1079" s="462" t="n"/>
      <c r="B1079" s="767">
        <f>ROW()</f>
        <v/>
      </c>
      <c r="C1079" s="716" t="n"/>
      <c r="D1079" s="716" t="n"/>
      <c r="E1079" s="716" t="n"/>
      <c r="F1079" s="716" t="n"/>
      <c r="G1079" s="716" t="n"/>
      <c r="H1079" s="462" t="n"/>
    </row>
    <row r="1080">
      <c r="A1080" s="462" t="n"/>
      <c r="B1080" s="767">
        <f>ROW()</f>
        <v/>
      </c>
      <c r="C1080" s="716" t="n"/>
      <c r="D1080" s="716" t="n"/>
      <c r="E1080" s="716" t="n"/>
      <c r="F1080" s="716" t="n"/>
      <c r="G1080" s="716" t="n"/>
      <c r="H1080" s="462" t="n"/>
    </row>
    <row r="1081">
      <c r="A1081" s="462" t="n"/>
      <c r="B1081" s="767">
        <f>ROW()</f>
        <v/>
      </c>
      <c r="C1081" s="716" t="n"/>
      <c r="D1081" s="716" t="n"/>
      <c r="E1081" s="716" t="n"/>
      <c r="F1081" s="716" t="n"/>
      <c r="G1081" s="716" t="n"/>
      <c r="H1081" s="462" t="n"/>
    </row>
    <row r="1082">
      <c r="A1082" s="462" t="n"/>
      <c r="B1082" s="767">
        <f>ROW()</f>
        <v/>
      </c>
      <c r="C1082" s="716" t="n"/>
      <c r="D1082" s="716" t="n"/>
      <c r="E1082" s="716" t="n"/>
      <c r="F1082" s="716" t="n"/>
      <c r="G1082" s="716" t="n"/>
      <c r="H1082" s="462" t="n"/>
    </row>
    <row r="1083">
      <c r="A1083" s="462" t="n"/>
      <c r="B1083" s="767">
        <f>ROW()</f>
        <v/>
      </c>
      <c r="C1083" s="716" t="n"/>
      <c r="D1083" s="716" t="n"/>
      <c r="E1083" s="716" t="n"/>
      <c r="F1083" s="716" t="n"/>
      <c r="G1083" s="716" t="n"/>
      <c r="H1083" s="462" t="n"/>
    </row>
    <row r="1084">
      <c r="A1084" s="462" t="n"/>
      <c r="B1084" s="767">
        <f>ROW()</f>
        <v/>
      </c>
      <c r="C1084" s="716" t="n"/>
      <c r="D1084" s="716" t="n"/>
      <c r="E1084" s="716" t="n"/>
      <c r="F1084" s="716" t="n"/>
      <c r="G1084" s="716" t="n"/>
      <c r="H1084" s="462" t="n"/>
    </row>
    <row r="1085">
      <c r="A1085" s="462" t="n"/>
      <c r="B1085" s="767">
        <f>ROW()</f>
        <v/>
      </c>
      <c r="C1085" s="716" t="n"/>
      <c r="D1085" s="716" t="n"/>
      <c r="E1085" s="716" t="n"/>
      <c r="F1085" s="716" t="n"/>
      <c r="G1085" s="716" t="n"/>
      <c r="H1085" s="462" t="n"/>
    </row>
    <row r="1086">
      <c r="A1086" s="462" t="n"/>
      <c r="B1086" s="767">
        <f>ROW()</f>
        <v/>
      </c>
      <c r="C1086" s="716" t="n"/>
      <c r="D1086" s="716" t="n"/>
      <c r="E1086" s="716" t="n"/>
      <c r="F1086" s="716" t="n"/>
      <c r="G1086" s="716" t="n"/>
      <c r="H1086" s="462" t="n"/>
    </row>
    <row r="1087">
      <c r="A1087" s="462" t="n"/>
      <c r="B1087" s="767">
        <f>ROW()</f>
        <v/>
      </c>
      <c r="C1087" s="716" t="n"/>
      <c r="D1087" s="716" t="n"/>
      <c r="E1087" s="716" t="n"/>
      <c r="F1087" s="716" t="n"/>
      <c r="G1087" s="716" t="n"/>
      <c r="H1087" s="462" t="n"/>
    </row>
    <row r="1088">
      <c r="A1088" s="462" t="n"/>
      <c r="B1088" s="767">
        <f>ROW()</f>
        <v/>
      </c>
      <c r="C1088" s="716" t="n"/>
      <c r="D1088" s="716" t="n"/>
      <c r="E1088" s="716" t="n"/>
      <c r="F1088" s="716" t="n"/>
      <c r="G1088" s="716" t="n"/>
      <c r="H1088" s="462" t="n"/>
    </row>
    <row r="1089">
      <c r="A1089" s="462" t="n"/>
      <c r="B1089" s="767">
        <f>ROW()</f>
        <v/>
      </c>
      <c r="C1089" s="716" t="n"/>
      <c r="D1089" s="716" t="n"/>
      <c r="E1089" s="716" t="n"/>
      <c r="F1089" s="716" t="n"/>
      <c r="G1089" s="716" t="n"/>
      <c r="H1089" s="462" t="n"/>
    </row>
    <row r="1090">
      <c r="A1090" s="462" t="n"/>
      <c r="B1090" s="767">
        <f>ROW()</f>
        <v/>
      </c>
      <c r="C1090" s="716" t="n"/>
      <c r="D1090" s="716" t="n"/>
      <c r="E1090" s="716" t="n"/>
      <c r="F1090" s="716" t="n"/>
      <c r="G1090" s="716" t="n"/>
      <c r="H1090" s="462" t="n"/>
    </row>
    <row r="1091">
      <c r="A1091" s="462" t="n"/>
      <c r="B1091" s="767">
        <f>ROW()</f>
        <v/>
      </c>
      <c r="C1091" s="716" t="n"/>
      <c r="D1091" s="716" t="n"/>
      <c r="E1091" s="716" t="n"/>
      <c r="F1091" s="716" t="n"/>
      <c r="G1091" s="716" t="n"/>
      <c r="H1091" s="462" t="n"/>
    </row>
    <row r="1092">
      <c r="A1092" s="462" t="n"/>
      <c r="B1092" s="767">
        <f>ROW()</f>
        <v/>
      </c>
      <c r="C1092" s="716" t="n"/>
      <c r="D1092" s="716" t="n"/>
      <c r="E1092" s="716" t="n"/>
      <c r="F1092" s="716" t="n"/>
      <c r="G1092" s="716" t="n"/>
      <c r="H1092" s="462" t="n"/>
    </row>
    <row r="1093">
      <c r="A1093" s="462" t="n"/>
      <c r="B1093" s="767">
        <f>ROW()</f>
        <v/>
      </c>
      <c r="C1093" s="716" t="n"/>
      <c r="D1093" s="716" t="n"/>
      <c r="E1093" s="716" t="n"/>
      <c r="F1093" s="716" t="n"/>
      <c r="G1093" s="716" t="n"/>
      <c r="H1093" s="462" t="n"/>
    </row>
    <row r="1094">
      <c r="A1094" s="462" t="n"/>
      <c r="B1094" s="767">
        <f>ROW()</f>
        <v/>
      </c>
      <c r="C1094" s="716" t="n"/>
      <c r="D1094" s="716" t="n"/>
      <c r="E1094" s="716" t="n"/>
      <c r="F1094" s="716" t="n"/>
      <c r="G1094" s="716" t="n"/>
      <c r="H1094" s="462" t="n"/>
    </row>
    <row r="1095">
      <c r="A1095" s="462" t="n"/>
      <c r="B1095" s="767">
        <f>ROW()</f>
        <v/>
      </c>
      <c r="C1095" s="716" t="n"/>
      <c r="D1095" s="716" t="n"/>
      <c r="E1095" s="716" t="n"/>
      <c r="F1095" s="716" t="n"/>
      <c r="G1095" s="716" t="n"/>
      <c r="H1095" s="462" t="n"/>
    </row>
    <row r="1096">
      <c r="A1096" s="462" t="n"/>
      <c r="B1096" s="767">
        <f>ROW()</f>
        <v/>
      </c>
      <c r="C1096" s="716" t="n"/>
      <c r="D1096" s="716" t="n"/>
      <c r="E1096" s="716" t="n"/>
      <c r="F1096" s="716" t="n"/>
      <c r="G1096" s="716" t="n"/>
      <c r="H1096" s="462" t="n"/>
    </row>
    <row r="1097">
      <c r="A1097" s="462" t="n"/>
      <c r="B1097" s="767">
        <f>ROW()</f>
        <v/>
      </c>
      <c r="C1097" s="716" t="n"/>
      <c r="D1097" s="716" t="n"/>
      <c r="E1097" s="716" t="n"/>
      <c r="F1097" s="716" t="n"/>
      <c r="G1097" s="716" t="n"/>
      <c r="H1097" s="462" t="n"/>
    </row>
    <row r="1098">
      <c r="A1098" s="462" t="n"/>
      <c r="B1098" s="767">
        <f>ROW()</f>
        <v/>
      </c>
      <c r="C1098" s="716" t="n"/>
      <c r="D1098" s="716" t="n"/>
      <c r="E1098" s="716" t="n"/>
      <c r="F1098" s="716" t="n"/>
      <c r="G1098" s="716" t="n"/>
      <c r="H1098" s="462" t="n"/>
    </row>
    <row r="1099">
      <c r="A1099" s="462" t="n"/>
      <c r="B1099" s="767">
        <f>ROW()</f>
        <v/>
      </c>
      <c r="C1099" s="716" t="n"/>
      <c r="D1099" s="716" t="n"/>
      <c r="E1099" s="716" t="n"/>
      <c r="F1099" s="716" t="n"/>
      <c r="G1099" s="716" t="n"/>
      <c r="H1099" s="462" t="n"/>
    </row>
    <row r="1100">
      <c r="A1100" s="462" t="n"/>
      <c r="B1100" s="767">
        <f>ROW()</f>
        <v/>
      </c>
      <c r="C1100" s="716" t="n"/>
      <c r="D1100" s="716" t="n"/>
      <c r="E1100" s="716" t="n"/>
      <c r="F1100" s="716" t="n"/>
      <c r="G1100" s="716" t="n"/>
      <c r="H1100" s="462" t="n"/>
    </row>
    <row r="1101">
      <c r="A1101" s="462" t="n"/>
      <c r="B1101" s="767">
        <f>ROW()</f>
        <v/>
      </c>
      <c r="C1101" s="716" t="n"/>
      <c r="D1101" s="716" t="n"/>
      <c r="E1101" s="716" t="n"/>
      <c r="F1101" s="716" t="n"/>
      <c r="G1101" s="716" t="n"/>
      <c r="H1101" s="462" t="n"/>
    </row>
    <row r="1102">
      <c r="A1102" s="462" t="n"/>
      <c r="B1102" s="767">
        <f>ROW()</f>
        <v/>
      </c>
      <c r="C1102" s="716" t="n"/>
      <c r="D1102" s="716" t="n"/>
      <c r="E1102" s="716" t="n"/>
      <c r="F1102" s="716" t="n"/>
      <c r="G1102" s="716" t="n"/>
      <c r="H1102" s="462" t="n"/>
    </row>
    <row r="1103">
      <c r="A1103" s="462" t="n"/>
      <c r="B1103" s="767">
        <f>ROW()</f>
        <v/>
      </c>
      <c r="C1103" s="716" t="n"/>
      <c r="D1103" s="716" t="n"/>
      <c r="E1103" s="716" t="n"/>
      <c r="F1103" s="716" t="n"/>
      <c r="G1103" s="716" t="n"/>
      <c r="H1103" s="462" t="n"/>
    </row>
    <row r="1104">
      <c r="A1104" s="462" t="n"/>
      <c r="B1104" s="767">
        <f>ROW()</f>
        <v/>
      </c>
      <c r="C1104" s="716" t="n"/>
      <c r="D1104" s="716" t="n"/>
      <c r="E1104" s="716" t="n"/>
      <c r="F1104" s="716" t="n"/>
      <c r="G1104" s="716" t="n"/>
      <c r="H1104" s="462" t="n"/>
    </row>
    <row r="1105">
      <c r="A1105" s="462" t="n"/>
      <c r="B1105" s="767">
        <f>ROW()</f>
        <v/>
      </c>
      <c r="C1105" s="716" t="n"/>
      <c r="D1105" s="716" t="n"/>
      <c r="E1105" s="716" t="n"/>
      <c r="F1105" s="716" t="n"/>
      <c r="G1105" s="716" t="n"/>
      <c r="H1105" s="462" t="n"/>
    </row>
    <row r="1106">
      <c r="A1106" s="462" t="n"/>
      <c r="B1106" s="767">
        <f>ROW()</f>
        <v/>
      </c>
      <c r="C1106" s="716" t="n"/>
      <c r="D1106" s="716" t="n"/>
      <c r="E1106" s="716" t="n"/>
      <c r="F1106" s="716" t="n"/>
      <c r="G1106" s="716" t="n"/>
      <c r="H1106" s="462" t="n"/>
    </row>
    <row r="1107">
      <c r="A1107" s="462" t="n"/>
      <c r="B1107" s="767">
        <f>ROW()</f>
        <v/>
      </c>
      <c r="C1107" s="716" t="n"/>
      <c r="D1107" s="716" t="n"/>
      <c r="E1107" s="716" t="n"/>
      <c r="F1107" s="716" t="n"/>
      <c r="G1107" s="716" t="n"/>
      <c r="H1107" s="462" t="n"/>
    </row>
    <row r="1108">
      <c r="A1108" s="462" t="n"/>
      <c r="B1108" s="767">
        <f>ROW()</f>
        <v/>
      </c>
      <c r="C1108" s="716" t="n"/>
      <c r="D1108" s="716" t="n"/>
      <c r="E1108" s="716" t="n"/>
      <c r="F1108" s="716" t="n"/>
      <c r="G1108" s="716" t="n"/>
      <c r="H1108" s="462" t="n"/>
    </row>
    <row r="1109">
      <c r="A1109" s="462" t="n"/>
      <c r="B1109" s="767">
        <f>ROW()</f>
        <v/>
      </c>
      <c r="C1109" s="716" t="n"/>
      <c r="D1109" s="716" t="n"/>
      <c r="E1109" s="716" t="n"/>
      <c r="F1109" s="716" t="n"/>
      <c r="G1109" s="716" t="n"/>
      <c r="H1109" s="462" t="n"/>
    </row>
    <row r="1110">
      <c r="A1110" s="462" t="n"/>
      <c r="B1110" s="767">
        <f>ROW()</f>
        <v/>
      </c>
      <c r="C1110" s="716" t="n"/>
      <c r="D1110" s="716" t="n"/>
      <c r="E1110" s="716" t="n"/>
      <c r="F1110" s="716" t="n"/>
      <c r="G1110" s="716" t="n"/>
      <c r="H1110" s="462" t="n"/>
    </row>
    <row r="1111">
      <c r="A1111" s="462" t="n"/>
      <c r="B1111" s="767">
        <f>ROW()</f>
        <v/>
      </c>
      <c r="C1111" s="716" t="n"/>
      <c r="D1111" s="716" t="n"/>
      <c r="E1111" s="716" t="n"/>
      <c r="F1111" s="716" t="n"/>
      <c r="G1111" s="716" t="n"/>
      <c r="H1111" s="462" t="n"/>
    </row>
    <row r="1112">
      <c r="A1112" s="462" t="n"/>
      <c r="B1112" s="767">
        <f>ROW()</f>
        <v/>
      </c>
      <c r="C1112" s="716" t="n"/>
      <c r="D1112" s="716" t="n"/>
      <c r="E1112" s="716" t="n"/>
      <c r="F1112" s="716" t="n"/>
      <c r="G1112" s="716" t="n"/>
      <c r="H1112" s="462" t="n"/>
    </row>
    <row r="1113">
      <c r="A1113" s="462" t="n"/>
      <c r="B1113" s="767">
        <f>ROW()</f>
        <v/>
      </c>
      <c r="C1113" s="716" t="n"/>
      <c r="D1113" s="716" t="n"/>
      <c r="E1113" s="716" t="n"/>
      <c r="F1113" s="716" t="n"/>
      <c r="G1113" s="716" t="n"/>
      <c r="H1113" s="462" t="n"/>
    </row>
    <row r="1114">
      <c r="A1114" s="462" t="n"/>
      <c r="B1114" s="767">
        <f>ROW()</f>
        <v/>
      </c>
      <c r="C1114" s="716" t="n"/>
      <c r="D1114" s="716" t="n"/>
      <c r="E1114" s="716" t="n"/>
      <c r="F1114" s="716" t="n"/>
      <c r="G1114" s="716" t="n"/>
      <c r="H1114" s="462" t="n"/>
    </row>
    <row r="1115">
      <c r="A1115" s="462" t="n"/>
      <c r="B1115" s="767">
        <f>ROW()</f>
        <v/>
      </c>
      <c r="C1115" s="716" t="n"/>
      <c r="D1115" s="716" t="n"/>
      <c r="E1115" s="716" t="n"/>
      <c r="F1115" s="716" t="n"/>
      <c r="G1115" s="716" t="n"/>
      <c r="H1115" s="462" t="n"/>
    </row>
    <row r="1116">
      <c r="A1116" s="672" t="n"/>
      <c r="B1116" s="767">
        <f>ROW()</f>
        <v/>
      </c>
      <c r="C1116" s="182" t="n"/>
      <c r="D1116" s="182" t="n"/>
      <c r="E1116" s="182" t="n"/>
      <c r="F1116" s="716" t="n"/>
      <c r="G1116" s="716" t="n"/>
      <c r="H1116" s="462" t="n"/>
    </row>
    <row r="1117">
      <c r="A1117" s="672" t="n"/>
      <c r="B1117" s="767" t="n"/>
      <c r="C1117" s="182" t="n"/>
      <c r="D1117" s="182" t="n"/>
      <c r="E1117" s="182" t="n"/>
      <c r="F1117" s="716" t="n"/>
      <c r="G1117" s="716" t="n"/>
      <c r="H1117" s="462" t="n"/>
    </row>
    <row r="1118">
      <c r="A1118" s="672" t="n"/>
      <c r="B1118" s="767" t="n"/>
      <c r="C1118" s="182" t="n"/>
      <c r="D1118" s="182" t="n"/>
      <c r="E1118" s="182" t="n"/>
      <c r="F1118" s="716" t="n"/>
      <c r="G1118" s="716" t="n"/>
      <c r="H1118" s="462" t="n"/>
    </row>
  </sheetData>
  <sheetProtection selectLockedCells="0" selectUnlockedCells="0" algorithmName="SHA-512" sheet="1" objects="0" insertRows="1" insertHyperlinks="1" autoFilter="1" scenarios="1" formatColumns="1" deleteColumns="1" insertColumns="1" pivotTables="1" deleteRows="1" formatCells="1" saltValue="Rm8oo/YU3bjUM3U3EGZc8g==" formatRows="1" sort="1" spinCount="100000" hashValue="sAj7sxVyTLqLbKdHpqAk8FGWkbCISUH+1ICN+ZnGNF4VQY9kML4irXkEIlIezYoO7vlf+oq2q94g29u3pcOQBQ=="/>
  <mergeCells count="1">
    <mergeCell ref="G1:H1"/>
  </mergeCells>
  <pageMargins left="0.7" right="0.7" top="0.75" bottom="0.75" header="0.3" footer="0.3"/>
  <pageSetup orientation="portrait" paperSize="9"/>
</worksheet>
</file>

<file path=xl/worksheets/sheet14.xml><?xml version="1.0" encoding="utf-8"?>
<worksheet xmlns="http://schemas.openxmlformats.org/spreadsheetml/2006/main">
  <sheetPr codeName="Sheet31">
    <outlinePr summaryBelow="1" summaryRight="1"/>
    <pageSetUpPr/>
  </sheetPr>
  <dimension ref="A1:AK78"/>
  <sheetViews>
    <sheetView topLeftCell="W34" zoomScale="90" zoomScaleNormal="90" workbookViewId="0">
      <pane xSplit="3" ySplit="14" topLeftCell="Z48" activePane="bottomRight" state="frozen"/>
      <selection activeCell="A1" sqref="A1"/>
      <selection pane="topRight" activeCell="A1" sqref="A1"/>
      <selection pane="bottomLeft" activeCell="A1" sqref="A1"/>
      <selection pane="bottomRight" activeCell="AB37" sqref="AB37"/>
    </sheetView>
  </sheetViews>
  <sheetFormatPr baseColWidth="8" defaultColWidth="8.625" defaultRowHeight="16.8"/>
  <cols>
    <col hidden="1" width="8" customWidth="1" style="1181" min="1" max="1"/>
    <col hidden="1" width="15.375" customWidth="1" style="1181" min="2" max="2"/>
    <col hidden="1" width="11.375" customWidth="1" style="1181" min="3" max="3"/>
    <col hidden="1" width="12.25" customWidth="1" style="1181" min="4" max="4"/>
    <col hidden="1" width="7.625" customWidth="1" style="1181" min="5" max="5"/>
    <col hidden="1" width="7.75" customWidth="1" style="1181" min="6" max="7"/>
    <col hidden="1" width="8.375" customWidth="1" style="1181" min="8" max="8"/>
    <col hidden="1" width="7.75" customWidth="1" style="1181" min="9" max="9"/>
    <col hidden="1" width="11.125" customWidth="1" style="1181" min="10" max="10"/>
    <col hidden="1" width="7.75" customWidth="1" style="1181" min="11" max="12"/>
    <col hidden="1" width="6.25" customWidth="1" style="1181" min="13" max="13"/>
    <col hidden="1" width="14.75" customWidth="1" style="1181" min="14" max="15"/>
    <col hidden="1" width="6.25" customWidth="1" style="1181" min="16" max="16"/>
    <col hidden="1" width="14.75" customWidth="1" style="1181" min="17" max="18"/>
    <col hidden="1" width="31" customWidth="1" style="32" min="19" max="19"/>
    <col hidden="1" width="2.375" customWidth="1" style="1181" min="20" max="20"/>
    <col hidden="1" width="10.375" customWidth="1" style="716" min="21" max="21"/>
    <col hidden="1" width="21.25" customWidth="1" style="716" min="22" max="22"/>
    <col width="1.625" customWidth="1" style="1181" min="23" max="23"/>
    <col width="20.375" customWidth="1" style="38" min="24" max="24"/>
    <col width="4.625" customWidth="1" style="38" min="25" max="25"/>
    <col width="20.625" customWidth="1" style="1181" min="26" max="33"/>
    <col hidden="1" width="16.75" customWidth="1" style="1181" min="34" max="34"/>
    <col hidden="1" width="17.375" customWidth="1" style="1181" min="35" max="36"/>
    <col width="16.75" customWidth="1" style="1181" min="37" max="37"/>
    <col width="8.625" customWidth="1" style="1181" min="38" max="38"/>
  </cols>
  <sheetData>
    <row r="1" hidden="1" customFormat="1" s="13">
      <c r="A1" s="172" t="inlineStr">
        <is>
          <t>维度清单</t>
        </is>
      </c>
      <c r="B1" s="462" t="n"/>
      <c r="C1" s="173" t="n"/>
      <c r="D1" s="173" t="n"/>
      <c r="E1" s="716" t="n"/>
      <c r="F1" s="13" t="n"/>
      <c r="G1" s="13" t="n"/>
      <c r="H1" s="13" t="n"/>
      <c r="I1" s="13" t="n"/>
      <c r="J1" s="13" t="n"/>
      <c r="K1" s="13" t="n"/>
      <c r="L1" s="13" t="n"/>
      <c r="M1" s="522" t="inlineStr">
        <is>
          <t>应交数</t>
        </is>
      </c>
      <c r="N1" s="1182" t="n"/>
      <c r="O1" s="1183" t="n"/>
      <c r="P1" s="450" t="inlineStr">
        <is>
          <t>已交数</t>
        </is>
      </c>
      <c r="Q1" s="1182" t="n"/>
      <c r="R1" s="1183" t="n"/>
      <c r="S1" s="1103" t="n"/>
      <c r="T1" s="1103" t="n"/>
      <c r="U1" s="462" t="n"/>
      <c r="V1" s="716" t="n"/>
      <c r="W1" s="13" t="n"/>
      <c r="X1" s="171" t="n"/>
      <c r="Y1" s="171" t="n"/>
      <c r="Z1" s="13" t="n"/>
      <c r="AA1" s="13" t="n"/>
      <c r="AB1" s="13" t="n"/>
      <c r="AC1" s="13" t="n"/>
      <c r="AD1" s="13" t="n"/>
      <c r="AE1" s="13" t="n"/>
      <c r="AF1" s="13" t="n"/>
      <c r="AG1" s="13" t="n"/>
      <c r="AH1" s="13" t="n"/>
      <c r="AI1" s="13" t="n"/>
      <c r="AJ1" s="13" t="n"/>
      <c r="AK1" s="13" t="n"/>
    </row>
    <row r="2" hidden="1" customFormat="1" s="13">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522" t="inlineStr">
        <is>
          <t>本月数</t>
        </is>
      </c>
      <c r="N2" s="522" t="inlineStr">
        <is>
          <t>本年累计数</t>
        </is>
      </c>
      <c r="O2" s="522" t="inlineStr">
        <is>
          <t>上年同期累计数</t>
        </is>
      </c>
      <c r="P2" s="450" t="inlineStr">
        <is>
          <t>本月数</t>
        </is>
      </c>
      <c r="Q2" s="450" t="inlineStr">
        <is>
          <t>本年累计数</t>
        </is>
      </c>
      <c r="R2" s="450" t="inlineStr">
        <is>
          <t>上年同期累计数</t>
        </is>
      </c>
      <c r="S2" s="450" t="inlineStr">
        <is>
          <t>本年累计数（上月本年累计）</t>
        </is>
      </c>
      <c r="T2" s="1103" t="n"/>
      <c r="U2" s="462" t="n"/>
      <c r="V2" s="716" t="n"/>
      <c r="W2" s="13" t="n"/>
      <c r="X2" s="171" t="n"/>
      <c r="Y2" s="171" t="n"/>
      <c r="Z2" s="13" t="n"/>
      <c r="AA2" s="13" t="n"/>
      <c r="AB2" s="13" t="n"/>
      <c r="AC2" s="13" t="n"/>
      <c r="AD2" s="13" t="n"/>
      <c r="AE2" s="13" t="n"/>
      <c r="AF2" s="13" t="n"/>
      <c r="AG2" s="13" t="n"/>
      <c r="AH2" s="13" t="n"/>
      <c r="AI2" s="13" t="n"/>
      <c r="AJ2" s="13" t="n"/>
      <c r="AK2" s="13" t="n"/>
    </row>
    <row r="3" hidden="1" ht="31" customFormat="1" customHeight="1" s="13">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821" t="inlineStr">
        <is>
          <t>增值税</t>
        </is>
      </c>
      <c r="M3" s="13" t="n"/>
      <c r="N3" s="1303">
        <f>IF(_epmOfflineCondition_,0,EPMSaveData(AA50,,$D$21,$D$22,$E$23,$E$25,$D$26,$D$27,$D$28,$AA$41,$AA$42,$AA$44,$AA$45,$AA$46,$V$50))</f>
        <v/>
      </c>
      <c r="O3" s="1303">
        <f>IF(_epmOfflineCondition_,0,EPMSaveData(AB50,,$D$21,$D$22,$E$23,$E$25,$D$26,$D$27,$D$28,$AB$41,$AB$42,$AB$44,$AB$45,$AB$46,$V$50))</f>
        <v/>
      </c>
      <c r="P3" s="1303" t="n"/>
      <c r="Q3" s="1303">
        <f>IF(_epmOfflineCondition_,0,EPMSaveData(AE50,,$D$21,$D$22,$E$23,$E$25,$D$26,$D$27,$D$28,$AE$41,$AE$42,$AE$44,$AE$45,$AE$46,$V$50))</f>
        <v/>
      </c>
      <c r="R3" s="1303">
        <f>IF(_epmOfflineCondition_,0,EPMSaveData(AF50,,$D$21,$D$22,$E$23,$E$25,$D$26,$D$27,$D$28,$AF$41,$AF$42,$AF$44,$AF$45,$AF$46,$V$50))</f>
        <v/>
      </c>
      <c r="S3" s="1303">
        <f>IF(_epmOfflineCondition_,0,EPMRetrieveData(,,$D$21,$D$22,$E$23,$E$25,$D$26,$D$27,$D$28,$I$12,$AE$42,$AE$44,$AE$45,$AE$46,$V$50))</f>
        <v/>
      </c>
      <c r="T3" s="13" t="n"/>
      <c r="U3" s="716" t="n"/>
      <c r="V3" s="716" t="n"/>
      <c r="W3" s="13" t="n"/>
      <c r="X3" s="171" t="n"/>
      <c r="Y3" s="171" t="n"/>
      <c r="Z3" s="13" t="n"/>
      <c r="AA3" s="13" t="n"/>
      <c r="AB3" s="13" t="n"/>
      <c r="AC3" s="13" t="n"/>
      <c r="AD3" s="13" t="n"/>
      <c r="AE3" s="13" t="n"/>
      <c r="AF3" s="13" t="n"/>
      <c r="AG3" s="13" t="n"/>
      <c r="AH3" s="13" t="n"/>
      <c r="AI3" s="13" t="n"/>
      <c r="AJ3" s="13" t="n"/>
      <c r="AK3" s="13" t="n"/>
    </row>
    <row r="4" hidden="1" customFormat="1" s="13">
      <c r="A4" s="175" t="inlineStr">
        <is>
          <t>C</t>
        </is>
      </c>
      <c r="B4" s="176">
        <f>IF(_epmOfflineCondition_,"C_CATEGORY",EPMDimensionType(,A4))</f>
        <v/>
      </c>
      <c r="C4" s="176">
        <f>IF(_epmOfflineCondition_,"C_ALL",IF(B4="","",EPMContextMember(,B4)))</f>
        <v/>
      </c>
      <c r="D4" s="176">
        <f>IF(_epmOfflineCondition_,"全部类别",EPMMemberDesc(C4))</f>
        <v/>
      </c>
      <c r="E4" s="176" t="n"/>
      <c r="F4" s="13" t="n"/>
      <c r="G4" s="13" t="n"/>
      <c r="H4" s="184" t="inlineStr">
        <is>
          <t>预算年</t>
        </is>
      </c>
      <c r="I4" s="184">
        <f>"V_"&amp;$I$3</f>
        <v/>
      </c>
      <c r="J4" s="184">
        <f>$I$3&amp;".TOTAL"</f>
        <v/>
      </c>
      <c r="K4" s="13" t="n"/>
      <c r="L4" s="13" t="n"/>
      <c r="M4" s="13" t="n"/>
      <c r="N4" s="13" t="n"/>
      <c r="O4" s="13" t="n"/>
      <c r="P4" s="13" t="n"/>
      <c r="Q4" s="1303" t="n"/>
      <c r="R4" s="1303" t="n"/>
      <c r="S4" s="1103" t="n"/>
      <c r="T4" s="13" t="n"/>
      <c r="U4" s="716" t="n"/>
      <c r="V4" s="716" t="n"/>
      <c r="W4" s="13" t="n"/>
      <c r="X4" s="171" t="n"/>
      <c r="Y4" s="171" t="n"/>
      <c r="Z4" s="13" t="n"/>
      <c r="AA4" s="13" t="n"/>
      <c r="AB4" s="13" t="n"/>
      <c r="AC4" s="13" t="n"/>
      <c r="AD4" s="13" t="n"/>
      <c r="AE4" s="13" t="n"/>
      <c r="AF4" s="13" t="n"/>
      <c r="AG4" s="13" t="n"/>
      <c r="AH4" s="13" t="n"/>
      <c r="AI4" s="13" t="n"/>
      <c r="AJ4" s="13" t="n"/>
      <c r="AK4" s="13" t="n"/>
    </row>
    <row r="5" hidden="1" customFormat="1" s="13">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716" t="n"/>
      <c r="V5" s="716" t="n"/>
      <c r="W5" s="13" t="n"/>
      <c r="X5" s="171" t="n"/>
      <c r="Y5" s="171" t="n"/>
      <c r="Z5" s="13" t="n"/>
      <c r="AA5" s="13" t="n"/>
      <c r="AB5" s="13" t="n"/>
      <c r="AC5" s="13" t="n"/>
      <c r="AD5" s="13" t="n"/>
      <c r="AE5" s="13" t="n"/>
      <c r="AF5" s="13" t="n"/>
      <c r="AG5" s="13" t="n"/>
      <c r="AH5" s="13" t="n"/>
      <c r="AI5" s="13" t="n"/>
      <c r="AJ5" s="13" t="n"/>
      <c r="AK5" s="13" t="n"/>
    </row>
    <row r="6" hidden="1" customFormat="1" s="13">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103" t="n"/>
      <c r="T6" s="13" t="n"/>
      <c r="U6" s="716" t="n"/>
      <c r="V6" s="716" t="n"/>
      <c r="W6" s="13" t="n"/>
      <c r="X6" s="171" t="n"/>
      <c r="Y6" s="171" t="n"/>
      <c r="Z6" s="13" t="n"/>
      <c r="AA6" s="13" t="n"/>
      <c r="AB6" s="13" t="n"/>
      <c r="AC6" s="13" t="n"/>
      <c r="AD6" s="13" t="n"/>
      <c r="AE6" s="13" t="n"/>
      <c r="AF6" s="13" t="n"/>
      <c r="AG6" s="13" t="n"/>
      <c r="AH6" s="13" t="n"/>
      <c r="AI6" s="13" t="n"/>
      <c r="AJ6" s="13" t="n"/>
      <c r="AK6" s="13" t="n"/>
    </row>
    <row r="7" hidden="1" customFormat="1" s="13">
      <c r="A7" s="175" t="inlineStr">
        <is>
          <t>R</t>
        </is>
      </c>
      <c r="B7" s="176">
        <f>IF(_epmOfflineCondition_,"C_RPTCURRENCY",EPMDimensionType(,A7))</f>
        <v/>
      </c>
      <c r="C7" s="176">
        <f>IF(_epmOfflineCondition_,"AUD",IF(B7="","",EPMContextMember(,B7)))</f>
        <v/>
      </c>
      <c r="D7" s="176">
        <f>IF(_epmOfflineCondition_,"澳元",EPMMemberDesc(C7))</f>
        <v/>
      </c>
      <c r="E7" s="176" t="n"/>
      <c r="F7" s="13" t="n"/>
      <c r="G7" s="13" t="n"/>
      <c r="H7" s="13" t="n"/>
      <c r="I7" s="13" t="n"/>
      <c r="J7" s="13" t="n"/>
      <c r="K7" s="13" t="n"/>
      <c r="L7" s="13" t="n"/>
      <c r="M7" s="13" t="n"/>
      <c r="N7" s="13" t="n"/>
      <c r="O7" s="13" t="n"/>
      <c r="P7" s="13" t="n"/>
      <c r="Q7" s="13" t="n"/>
      <c r="R7" s="13" t="n"/>
      <c r="S7" s="1103" t="n"/>
      <c r="T7" s="13" t="n"/>
      <c r="U7" s="716" t="n"/>
      <c r="V7" s="716" t="n"/>
      <c r="W7" s="13" t="n"/>
      <c r="X7" s="171" t="n"/>
      <c r="Y7" s="171" t="n"/>
      <c r="Z7" s="13" t="n"/>
      <c r="AA7" s="13" t="n"/>
      <c r="AB7" s="13" t="n"/>
      <c r="AC7" s="13" t="n"/>
      <c r="AD7" s="13" t="n"/>
      <c r="AE7" s="13" t="n"/>
      <c r="AF7" s="13" t="n"/>
      <c r="AG7" s="13" t="n"/>
      <c r="AH7" s="13" t="n"/>
      <c r="AI7" s="13" t="n"/>
      <c r="AJ7" s="13" t="n"/>
      <c r="AK7" s="13" t="n"/>
    </row>
    <row r="8" hidden="1" customFormat="1" s="13">
      <c r="A8" s="175" t="inlineStr">
        <is>
          <t>D</t>
        </is>
      </c>
      <c r="B8" s="176">
        <f>IF(_epmOfflineCondition_,"C_AUDITTRAIL",EPMDimensionType(,A8))</f>
        <v/>
      </c>
      <c r="C8" s="176">
        <f>IF(_epmOfflineCondition_,"DTOTAL",IF(B8="","",EPMContextMember(,B8)))</f>
        <v/>
      </c>
      <c r="D8" s="176">
        <f>IF(_epmOfflineCondition_,"全部审计线索",EPMMemberDesc(C8))</f>
        <v/>
      </c>
      <c r="E8" s="176" t="n"/>
      <c r="F8" s="13" t="n"/>
      <c r="G8" s="13" t="n"/>
      <c r="H8" s="184" t="inlineStr">
        <is>
          <t>本月</t>
        </is>
      </c>
      <c r="I8" s="184">
        <f>IF(_epmOfflineCondition_,"03",RIGHT("0"&amp;EPMMemberProperty(,EPMContextMember(,"C_TIME"),"MONTHNUM"),2))</f>
        <v/>
      </c>
      <c r="J8" s="13" t="n"/>
      <c r="K8" s="13" t="n"/>
      <c r="L8" s="13" t="n"/>
      <c r="M8" s="13" t="n"/>
      <c r="N8" s="13" t="n"/>
      <c r="O8" s="13" t="n"/>
      <c r="P8" s="13" t="n"/>
      <c r="Q8" s="13" t="n"/>
      <c r="R8" s="13" t="n"/>
      <c r="S8" s="1103" t="n"/>
      <c r="T8" s="13" t="n"/>
      <c r="U8" s="716" t="n"/>
      <c r="V8" s="716" t="n"/>
      <c r="W8" s="13" t="n"/>
      <c r="X8" s="171" t="n"/>
      <c r="Y8" s="171" t="n"/>
      <c r="Z8" s="13" t="n"/>
      <c r="AA8" s="13" t="n"/>
      <c r="AB8" s="13" t="n"/>
      <c r="AC8" s="13" t="n"/>
      <c r="AD8" s="13" t="n"/>
      <c r="AE8" s="13" t="n"/>
      <c r="AF8" s="13" t="n"/>
      <c r="AG8" s="13" t="n"/>
      <c r="AH8" s="13" t="n"/>
      <c r="AI8" s="13" t="n"/>
      <c r="AJ8" s="13" t="n"/>
      <c r="AK8" s="13" t="n"/>
    </row>
    <row r="9" hidden="1" customFormat="1" s="13">
      <c r="A9" s="175" t="inlineStr">
        <is>
          <t>S</t>
        </is>
      </c>
      <c r="B9" s="176">
        <f>IF(_epmOfflineCondition_,"C_FLOW",EPMDimensionType(,A9))</f>
        <v/>
      </c>
      <c r="C9" s="176">
        <f>IF(_epmOfflineCondition_,"FTOTAL",IF(B9="","",EPMContextMember(,B9)))</f>
        <v/>
      </c>
      <c r="D9" s="176">
        <f>IF(_epmOfflineCondition_,"全部变动",EPMMemberDesc(C9))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716" t="n"/>
      <c r="V9" s="716" t="n"/>
      <c r="W9" s="13" t="n"/>
      <c r="X9" s="171" t="n"/>
      <c r="Y9" s="171" t="n"/>
      <c r="Z9" s="13" t="n"/>
      <c r="AA9" s="13" t="n"/>
      <c r="AB9" s="13" t="n"/>
      <c r="AC9" s="13" t="n"/>
      <c r="AD9" s="13" t="n"/>
      <c r="AE9" s="13" t="n"/>
      <c r="AF9" s="13" t="n"/>
      <c r="AG9" s="13" t="n"/>
      <c r="AH9" s="13" t="n"/>
      <c r="AI9" s="13" t="n"/>
      <c r="AJ9" s="13" t="n"/>
      <c r="AK9" s="13" t="n"/>
    </row>
    <row r="10" hidden="1" customFormat="1" s="13">
      <c r="A10" s="175" t="inlineStr">
        <is>
          <t>I</t>
        </is>
      </c>
      <c r="B10" s="176">
        <f>IF(_epmOfflineCondition_,"C_INTERCO",EPMDimensionType(,A10))</f>
        <v/>
      </c>
      <c r="C10" s="176">
        <f>IF(_epmOfflineCondition_,"I_ALL",IF(B10="","",EPMContextMember(,B10)))</f>
        <v/>
      </c>
      <c r="D10" s="176">
        <f>IF(_epmOfflineCondition_,"全部贸易伙伴",EPMMemberDesc(C10))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716" t="n"/>
      <c r="V10" s="716" t="n"/>
      <c r="W10" s="13" t="n"/>
      <c r="X10" s="171" t="n"/>
      <c r="Y10" s="171" t="n"/>
      <c r="Z10" s="13" t="n"/>
      <c r="AA10" s="13" t="n"/>
      <c r="AB10" s="13" t="n"/>
      <c r="AC10" s="13" t="n"/>
      <c r="AD10" s="13" t="n"/>
      <c r="AE10" s="13" t="n"/>
      <c r="AF10" s="13" t="n"/>
      <c r="AG10" s="13" t="n"/>
      <c r="AH10" s="13" t="n"/>
      <c r="AI10" s="13" t="n"/>
      <c r="AJ10" s="13" t="n"/>
      <c r="AK10" s="13" t="n"/>
    </row>
    <row r="11" hidden="1" customFormat="1" s="13">
      <c r="A11" s="175" t="inlineStr">
        <is>
          <t>G</t>
        </is>
      </c>
      <c r="B11" s="176">
        <f>IF(_epmOfflineCondition_,"C_SCOPE",EPMDimensionType(,A11))</f>
        <v/>
      </c>
      <c r="C11" s="176">
        <f>IF(_epmOfflineCondition_,"G_DUMMY",IF(B11="","",EPMContextMember(,B11)))</f>
        <v/>
      </c>
      <c r="D11" s="176">
        <f>IF(_epmOfflineCondition_,"合并范围无关",EPMMemberDesc(C11))</f>
        <v/>
      </c>
      <c r="E11" s="176" t="n"/>
      <c r="F11" s="13" t="n"/>
      <c r="G11" s="13" t="n"/>
      <c r="H11" s="184" t="inlineStr">
        <is>
          <t xml:space="preserve">本年月 </t>
        </is>
      </c>
      <c r="I11" s="184">
        <f>I3&amp;"."&amp;I8</f>
        <v/>
      </c>
      <c r="J11" s="13" t="n"/>
      <c r="K11" s="13" t="n"/>
      <c r="L11" s="13" t="n"/>
      <c r="M11" s="13" t="n"/>
      <c r="N11" s="13" t="n"/>
      <c r="O11" s="13" t="n"/>
      <c r="P11" s="13" t="n"/>
      <c r="Q11" s="13" t="n"/>
      <c r="R11" s="13" t="n"/>
      <c r="S11" s="1103" t="n"/>
      <c r="T11" s="13" t="n"/>
      <c r="U11" s="716" t="n"/>
      <c r="V11" s="716" t="n"/>
      <c r="W11" s="13" t="n"/>
      <c r="X11" s="171" t="n"/>
      <c r="Y11" s="171" t="n"/>
      <c r="Z11" s="13" t="n"/>
      <c r="AA11" s="13" t="n"/>
      <c r="AB11" s="13" t="n"/>
      <c r="AC11" s="13" t="n"/>
      <c r="AD11" s="13" t="n"/>
      <c r="AE11" s="13" t="n"/>
      <c r="AF11" s="13" t="n"/>
      <c r="AG11" s="13" t="n"/>
      <c r="AH11" s="13" t="n"/>
      <c r="AI11" s="13" t="n"/>
      <c r="AJ11" s="13" t="n"/>
      <c r="AK11" s="13" t="n"/>
    </row>
    <row r="12" hidden="1" customFormat="1" s="13">
      <c r="A12" s="175" t="inlineStr">
        <is>
          <t>U8</t>
        </is>
      </c>
      <c r="B12" s="176">
        <f>IF(_epmOfflineCondition_,"C_PROJECT",EPMDimensionType(,A12))</f>
        <v/>
      </c>
      <c r="C12" s="176">
        <f>IF(_epmOfflineCondition_,"ZP_ALL",IF(B12="","",EPMContextMember(,B12)))</f>
        <v/>
      </c>
      <c r="D12" s="176">
        <f>IF(_epmOfflineCondition_,"项目合计",EPMMemberDesc(C12))</f>
        <v/>
      </c>
      <c r="E12" s="176" t="n"/>
      <c r="F12" s="13" t="n"/>
      <c r="G12" s="13" t="n"/>
      <c r="H12" s="184" t="inlineStr">
        <is>
          <t>上年月</t>
        </is>
      </c>
      <c r="I12" s="184">
        <f>IF(I8="01",I10&amp;"."&amp;I9,I3&amp;"."&amp;I9)</f>
        <v/>
      </c>
      <c r="J12" s="13" t="n"/>
      <c r="K12" s="13" t="n"/>
      <c r="L12" s="13" t="n"/>
      <c r="M12" s="13" t="n"/>
      <c r="N12" s="13" t="n"/>
      <c r="O12" s="13" t="n"/>
      <c r="P12" s="13" t="n"/>
      <c r="Q12" s="13" t="n"/>
      <c r="R12" s="13" t="n"/>
      <c r="S12" s="1103" t="n"/>
      <c r="T12" s="13" t="n"/>
      <c r="U12" s="716" t="n"/>
      <c r="V12" s="716" t="n"/>
      <c r="W12" s="13" t="n"/>
      <c r="X12" s="171" t="n"/>
      <c r="Y12" s="171" t="n"/>
      <c r="Z12" s="13" t="n"/>
      <c r="AA12" s="13" t="n"/>
      <c r="AB12" s="13" t="n"/>
      <c r="AC12" s="13" t="n"/>
      <c r="AD12" s="13" t="n"/>
      <c r="AE12" s="13" t="n"/>
      <c r="AF12" s="13" t="n"/>
      <c r="AG12" s="13" t="n"/>
      <c r="AH12" s="13" t="n"/>
      <c r="AI12" s="13" t="n"/>
      <c r="AJ12" s="13" t="n"/>
      <c r="AK12" s="13" t="n"/>
    </row>
    <row r="13" hidden="1" customFormat="1" s="13">
      <c r="A13" s="175" t="inlineStr">
        <is>
          <t>U9</t>
        </is>
      </c>
      <c r="B13" s="176">
        <f>IF(_epmOfflineCondition_,"C_ITEM",EPMDimensionType(,A13))</f>
        <v/>
      </c>
      <c r="C13" s="176">
        <f>IF(_epmOfflineCondition_,"ZI_ALL",IF(B13="","",EPMContextMember(,B13)))</f>
        <v/>
      </c>
      <c r="D13" s="176">
        <f>IF(_epmOfflineCondition_,"全部ITEM",EPMMemberDesc(C13))</f>
        <v/>
      </c>
      <c r="E13" s="176" t="n"/>
      <c r="F13" s="13" t="n"/>
      <c r="G13" s="13" t="n"/>
      <c r="H13" s="184" t="inlineStr">
        <is>
          <t xml:space="preserve">上年同期 </t>
        </is>
      </c>
      <c r="I13" s="184">
        <f>I10&amp;"."&amp;I8</f>
        <v/>
      </c>
      <c r="J13" s="13" t="n"/>
      <c r="K13" s="13" t="n"/>
      <c r="L13" s="13" t="n"/>
      <c r="M13" s="13" t="n"/>
      <c r="N13" s="13" t="n"/>
      <c r="O13" s="13" t="n"/>
      <c r="P13" s="13" t="n"/>
      <c r="Q13" s="13" t="n"/>
      <c r="R13" s="13" t="n"/>
      <c r="S13" s="1103" t="n"/>
      <c r="T13" s="13" t="n"/>
      <c r="U13" s="716" t="n"/>
      <c r="V13" s="716" t="n"/>
      <c r="W13" s="13" t="n"/>
      <c r="X13" s="171" t="n"/>
      <c r="Y13" s="171" t="n"/>
      <c r="Z13" s="13" t="n"/>
      <c r="AA13" s="13" t="n"/>
      <c r="AB13" s="13" t="n"/>
      <c r="AC13" s="13" t="n"/>
      <c r="AD13" s="13" t="n"/>
      <c r="AE13" s="13" t="n"/>
      <c r="AF13" s="13" t="n"/>
      <c r="AG13" s="13" t="n"/>
      <c r="AH13" s="13" t="n"/>
      <c r="AI13" s="13" t="n"/>
      <c r="AJ13" s="13" t="n"/>
      <c r="AK13" s="13" t="n"/>
    </row>
    <row r="14" hidden="1" customFormat="1" s="13">
      <c r="A14" s="175" t="inlineStr">
        <is>
          <t>U10</t>
        </is>
      </c>
      <c r="B14" s="176">
        <f>IF(_epmOfflineCondition_,"C_MISK",EPMDimensionType(,A14))</f>
        <v/>
      </c>
      <c r="C14" s="176">
        <f>IF(_epmOfflineCondition_,"ZM_ALL",IF(B14="","",EPMContextMember(,B14)))</f>
        <v/>
      </c>
      <c r="D14" s="176">
        <f>IF(_epmOfflineCondition_,"ALL",EPMMemberDesc(C14))</f>
        <v/>
      </c>
      <c r="E14" s="176" t="n"/>
      <c r="F14" s="13" t="n"/>
      <c r="G14" s="13" t="n"/>
      <c r="H14" s="13" t="n"/>
      <c r="I14" s="13" t="n"/>
      <c r="J14" s="13" t="n"/>
      <c r="K14" s="13" t="n"/>
      <c r="L14" s="13" t="n"/>
      <c r="M14" s="13" t="n"/>
      <c r="N14" s="13" t="n"/>
      <c r="O14" s="13" t="n"/>
      <c r="P14" s="13" t="n"/>
      <c r="Q14" s="13" t="n"/>
      <c r="R14" s="13" t="n"/>
      <c r="S14" s="1103" t="n"/>
      <c r="T14" s="13" t="n"/>
      <c r="U14" s="716" t="n"/>
      <c r="V14" s="716" t="n"/>
      <c r="W14" s="13" t="n"/>
      <c r="X14" s="171" t="n"/>
      <c r="Y14" s="171" t="n"/>
      <c r="Z14" s="13" t="n"/>
      <c r="AA14" s="13" t="n"/>
      <c r="AB14" s="13" t="n"/>
      <c r="AC14" s="13" t="n"/>
      <c r="AD14" s="13" t="n"/>
      <c r="AE14" s="13" t="n"/>
      <c r="AF14" s="13" t="n"/>
      <c r="AG14" s="13" t="n"/>
      <c r="AH14" s="13" t="n"/>
      <c r="AI14" s="13" t="n"/>
      <c r="AJ14" s="13" t="n"/>
      <c r="AK14" s="13" t="n"/>
    </row>
    <row r="15" hidden="1" customFormat="1" s="13">
      <c r="A15" s="13" t="n"/>
      <c r="B15" s="1103" t="n"/>
      <c r="C15" s="1103" t="n"/>
      <c r="D15" s="1103" t="n"/>
      <c r="E15" s="13" t="n"/>
      <c r="F15" s="13" t="n"/>
      <c r="G15" s="13" t="n"/>
      <c r="H15" s="13" t="n"/>
      <c r="I15" s="13" t="n"/>
      <c r="J15" s="13" t="n"/>
      <c r="K15" s="13" t="n"/>
      <c r="L15" s="13" t="n"/>
      <c r="M15" s="13" t="n"/>
      <c r="N15" s="13" t="n"/>
      <c r="O15" s="13" t="n"/>
      <c r="P15" s="13" t="n"/>
      <c r="Q15" s="13" t="n"/>
      <c r="R15" s="13" t="n"/>
      <c r="S15" s="1103" t="n"/>
      <c r="T15" s="13" t="n"/>
      <c r="U15" s="716" t="n"/>
      <c r="V15" s="716" t="n"/>
      <c r="W15" s="13" t="n"/>
      <c r="X15" s="171" t="n"/>
      <c r="Y15" s="171" t="n"/>
      <c r="Z15" s="13" t="n"/>
      <c r="AA15" s="13" t="n"/>
      <c r="AB15" s="13" t="n"/>
      <c r="AC15" s="13" t="n"/>
      <c r="AD15" s="13" t="n"/>
      <c r="AE15" s="13" t="n"/>
      <c r="AF15" s="13" t="n"/>
      <c r="AG15" s="13" t="n"/>
      <c r="AH15" s="13" t="n"/>
      <c r="AI15" s="13" t="n"/>
      <c r="AJ15" s="13" t="n"/>
      <c r="AK15" s="13" t="n"/>
    </row>
    <row r="16" hidden="1" customFormat="1" s="13">
      <c r="A16" s="13" t="n"/>
      <c r="B16" s="13" t="n"/>
      <c r="C16" s="13" t="n"/>
      <c r="D16" s="174" t="inlineStr">
        <is>
          <t>页轴</t>
        </is>
      </c>
      <c r="E16" s="1183" t="n"/>
      <c r="F16" s="13" t="n"/>
      <c r="G16" s="13" t="n"/>
      <c r="H16" s="13" t="n"/>
      <c r="I16" s="13" t="n"/>
      <c r="J16" s="13" t="n"/>
      <c r="K16" s="13" t="n"/>
      <c r="L16" s="13" t="n"/>
      <c r="M16" s="13" t="n"/>
      <c r="N16" s="13" t="n"/>
      <c r="O16" s="13" t="n"/>
      <c r="P16" s="13" t="n"/>
      <c r="Q16" s="13" t="n"/>
      <c r="R16" s="13" t="n"/>
      <c r="S16" s="1103" t="n"/>
      <c r="T16" s="13" t="n"/>
      <c r="U16" s="716" t="n"/>
      <c r="V16" s="716" t="n"/>
      <c r="W16" s="13" t="n"/>
      <c r="X16" s="171" t="n"/>
      <c r="Y16" s="171" t="n"/>
      <c r="Z16" s="13" t="n"/>
      <c r="AA16" s="13" t="n"/>
      <c r="AB16" s="13" t="n"/>
      <c r="AC16" s="13" t="n"/>
      <c r="AD16" s="13" t="n"/>
      <c r="AE16" s="13" t="n"/>
      <c r="AF16" s="13" t="n"/>
      <c r="AG16" s="13" t="n"/>
      <c r="AH16" s="13" t="n"/>
      <c r="AI16" s="13" t="n"/>
      <c r="AJ16" s="13" t="n"/>
      <c r="AK16" s="13" t="n"/>
    </row>
    <row r="17" hidden="1" customFormat="1" s="13">
      <c r="A17" s="174" t="inlineStr">
        <is>
          <t>维度类型</t>
        </is>
      </c>
      <c r="B17" s="174" t="inlineStr">
        <is>
          <t>维度</t>
        </is>
      </c>
      <c r="C17" s="178" t="inlineStr">
        <is>
          <t>页轴替换</t>
        </is>
      </c>
      <c r="D17" s="174" t="inlineStr">
        <is>
          <t>报表001</t>
        </is>
      </c>
      <c r="E17" s="174" t="inlineStr">
        <is>
          <t>报表002</t>
        </is>
      </c>
      <c r="F17" s="13" t="n"/>
      <c r="G17" s="13" t="n"/>
      <c r="H17" s="13" t="n"/>
      <c r="I17" s="13" t="n"/>
      <c r="J17" s="13" t="n"/>
      <c r="K17" s="13" t="n"/>
      <c r="L17" s="13" t="n"/>
      <c r="M17" s="13" t="n"/>
      <c r="N17" s="13" t="n"/>
      <c r="O17" s="13" t="n"/>
      <c r="P17" s="13" t="n"/>
      <c r="Q17" s="13" t="n"/>
      <c r="R17" s="13" t="n"/>
      <c r="S17" s="1103" t="n"/>
      <c r="T17" s="13" t="n"/>
      <c r="U17" s="716" t="n"/>
      <c r="V17" s="716" t="n"/>
      <c r="W17" s="13" t="n"/>
      <c r="X17" s="171" t="n"/>
      <c r="Y17" s="171" t="n"/>
      <c r="Z17" s="13" t="n"/>
      <c r="AA17" s="13" t="n"/>
      <c r="AB17" s="13" t="n"/>
      <c r="AC17" s="13" t="n"/>
      <c r="AD17" s="13" t="n"/>
      <c r="AE17" s="13" t="n"/>
      <c r="AF17" s="13" t="n"/>
      <c r="AG17" s="13" t="n"/>
      <c r="AH17" s="13" t="n"/>
      <c r="AI17" s="13" t="n"/>
      <c r="AJ17" s="13" t="n"/>
      <c r="AK17" s="13" t="n"/>
    </row>
    <row r="18" hidden="1" customFormat="1" s="13">
      <c r="A18" s="175" t="inlineStr">
        <is>
          <t>A</t>
        </is>
      </c>
      <c r="B18" s="176">
        <f>IF(_epmOfflineCondition_,"C_ACCOUNT",EPMDimensionType(,A18))</f>
        <v/>
      </c>
      <c r="C18" s="182" t="inlineStr">
        <is>
          <t>A_NOUSED</t>
        </is>
      </c>
      <c r="D18" s="180" t="n"/>
      <c r="E18" s="13" t="n"/>
      <c r="F18" s="13" t="n"/>
      <c r="G18" s="13" t="n"/>
      <c r="H18" s="13" t="n"/>
      <c r="I18" s="13" t="n"/>
      <c r="J18" s="13" t="n"/>
      <c r="K18" s="13" t="n"/>
      <c r="L18" s="13" t="n"/>
      <c r="M18" s="13" t="n"/>
      <c r="N18" s="13" t="n"/>
      <c r="O18" s="13" t="n"/>
      <c r="P18" s="13" t="n"/>
      <c r="Q18" s="13" t="n"/>
      <c r="R18" s="13" t="n"/>
      <c r="S18" s="1103" t="n"/>
      <c r="T18" s="13" t="n"/>
      <c r="U18" s="716" t="n"/>
      <c r="V18" s="716" t="n"/>
      <c r="W18" s="13" t="n"/>
      <c r="X18" s="171" t="n"/>
      <c r="Y18" s="171" t="n"/>
      <c r="Z18" s="13" t="n"/>
      <c r="AA18" s="13" t="n"/>
      <c r="AB18" s="13" t="n"/>
      <c r="AC18" s="13" t="n"/>
      <c r="AD18" s="13" t="n"/>
      <c r="AE18" s="13" t="n"/>
      <c r="AF18" s="13" t="n"/>
      <c r="AG18" s="13" t="n"/>
      <c r="AH18" s="13" t="n"/>
      <c r="AI18" s="13" t="n"/>
      <c r="AJ18" s="13" t="n"/>
      <c r="AK18" s="13" t="n"/>
    </row>
    <row r="19" hidden="1" customFormat="1" s="13">
      <c r="A19" s="175" t="inlineStr">
        <is>
          <t>C</t>
        </is>
      </c>
      <c r="B19" s="176">
        <f>IF(_epmOfflineCondition_,"C_CATEGORY",EPMDimensionType(,A19))</f>
        <v/>
      </c>
      <c r="C19" s="182" t="inlineStr">
        <is>
          <t>C_DUMMY</t>
        </is>
      </c>
      <c r="D19" s="180" t="n"/>
      <c r="E19" s="13" t="n"/>
      <c r="F19" s="13" t="n"/>
      <c r="G19" s="13" t="n"/>
      <c r="H19" s="13" t="n"/>
      <c r="I19" s="13" t="n"/>
      <c r="J19" s="13" t="n"/>
      <c r="K19" s="13" t="n"/>
      <c r="L19" s="13" t="n"/>
      <c r="M19" s="13" t="n"/>
      <c r="N19" s="13" t="n"/>
      <c r="O19" s="13" t="n"/>
      <c r="P19" s="13" t="n"/>
      <c r="Q19" s="13" t="n"/>
      <c r="R19" s="13" t="n"/>
      <c r="S19" s="1103" t="n"/>
      <c r="T19" s="13" t="n"/>
      <c r="U19" s="716" t="n"/>
      <c r="V19" s="716" t="n"/>
      <c r="W19" s="13" t="n"/>
      <c r="X19" s="171" t="n"/>
      <c r="Y19" s="171" t="n"/>
      <c r="Z19" s="13" t="n"/>
      <c r="AA19" s="13" t="n"/>
      <c r="AB19" s="13" t="n"/>
      <c r="AC19" s="13" t="n"/>
      <c r="AD19" s="13" t="n"/>
      <c r="AE19" s="13" t="n"/>
      <c r="AF19" s="13" t="n"/>
      <c r="AG19" s="13" t="n"/>
      <c r="AH19" s="13" t="n"/>
      <c r="AI19" s="13" t="n"/>
      <c r="AJ19" s="13" t="n"/>
      <c r="AK19" s="13" t="n"/>
    </row>
    <row r="20" hidden="1" customFormat="1" s="13">
      <c r="A20" s="175" t="inlineStr">
        <is>
          <t>T</t>
        </is>
      </c>
      <c r="B20" s="176">
        <f>IF(_epmOfflineCondition_,"C_TIME",EPMDimensionType(,A20))</f>
        <v/>
      </c>
      <c r="C20" s="672" t="inlineStr">
        <is>
          <t>T_DUMMY</t>
        </is>
      </c>
      <c r="D20" s="180" t="n"/>
      <c r="E20" s="13" t="n"/>
      <c r="F20" s="384" t="n"/>
      <c r="G20" s="384" t="n"/>
      <c r="H20" s="13" t="n"/>
      <c r="I20" s="13" t="n"/>
      <c r="J20" s="13" t="n"/>
      <c r="K20" s="13" t="n"/>
      <c r="L20" s="13" t="n"/>
      <c r="M20" s="13" t="n"/>
      <c r="N20" s="13" t="n"/>
      <c r="O20" s="13" t="n"/>
      <c r="P20" s="13" t="n"/>
      <c r="Q20" s="13" t="n"/>
      <c r="R20" s="13" t="n"/>
      <c r="S20" s="1103" t="n"/>
      <c r="T20" s="13" t="n"/>
      <c r="U20" s="716" t="n"/>
      <c r="V20" s="716" t="n"/>
      <c r="W20" s="13" t="n"/>
      <c r="X20" s="171" t="n"/>
      <c r="Y20" s="171" t="n"/>
      <c r="Z20" s="384" t="n"/>
      <c r="AA20" s="384" t="n"/>
      <c r="AB20" s="13" t="n"/>
      <c r="AC20" s="13" t="n"/>
      <c r="AD20" s="13" t="n"/>
      <c r="AE20" s="13" t="n"/>
      <c r="AF20" s="13" t="n"/>
      <c r="AG20" s="13" t="n"/>
      <c r="AH20" s="13" t="n"/>
      <c r="AI20" s="13" t="n"/>
      <c r="AJ20" s="13" t="n"/>
      <c r="AK20" s="13" t="n"/>
    </row>
    <row r="21" hidden="1" customFormat="1" s="13">
      <c r="A21" s="175" t="inlineStr">
        <is>
          <t>E</t>
        </is>
      </c>
      <c r="B21" s="176">
        <f>IF(_epmOfflineCondition_,"C_ENTITY",EPMDimensionType(,A21))</f>
        <v/>
      </c>
      <c r="C21" s="447">
        <f>IF(_epmOfflineCondition_,"E100787",IF(B21="","",EPMContextMember(,B21)))</f>
        <v/>
      </c>
      <c r="D21" s="390">
        <f>IF(_epmOfflineCondition_,"E100787",EPMOlapMemberO(C21,"[C_ENTITY].[PARENTH1].[E100787]","E100787 - 内蒙古京能苏尼特风力发电有限公司（内蒙古分公司）","","000"))</f>
        <v/>
      </c>
      <c r="E21" s="13" t="n"/>
      <c r="F21" s="384" t="n"/>
      <c r="G21" s="384" t="n"/>
      <c r="H21" s="13" t="n"/>
      <c r="I21" s="13" t="n"/>
      <c r="J21" s="13" t="n"/>
      <c r="K21" s="13" t="n"/>
      <c r="L21" s="13" t="n"/>
      <c r="M21" s="13" t="n"/>
      <c r="N21" s="13" t="n"/>
      <c r="O21" s="13" t="n"/>
      <c r="P21" s="13" t="n"/>
      <c r="Q21" s="13" t="n"/>
      <c r="R21" s="13" t="n"/>
      <c r="S21" s="1103" t="n"/>
      <c r="T21" s="13" t="n"/>
      <c r="U21" s="716" t="n"/>
      <c r="V21" s="716" t="n"/>
      <c r="W21" s="13" t="n"/>
      <c r="X21" s="171" t="n"/>
      <c r="Y21" s="171" t="n"/>
      <c r="Z21" s="384" t="n"/>
      <c r="AA21" s="384" t="n"/>
      <c r="AB21" s="13" t="n"/>
      <c r="AC21" s="13" t="n"/>
      <c r="AD21" s="13" t="n"/>
      <c r="AE21" s="13" t="n"/>
      <c r="AF21" s="13" t="n"/>
      <c r="AG21" s="13" t="n"/>
      <c r="AH21" s="716" t="n"/>
      <c r="AI21" s="13" t="n"/>
      <c r="AJ21" s="13" t="n"/>
      <c r="AK21" s="13" t="n"/>
    </row>
    <row r="22" hidden="1" customFormat="1" s="13">
      <c r="A22" s="175" t="inlineStr">
        <is>
          <t>R</t>
        </is>
      </c>
      <c r="B22" s="176">
        <f>IF(_epmOfflineCondition_,"C_RPTCURRENCY",EPMDimensionType(,A22))</f>
        <v/>
      </c>
      <c r="C22" s="176">
        <f>AA37</f>
        <v/>
      </c>
      <c r="D22" s="390">
        <f>IF(_epmOfflineCondition_,"LC",EPMOlapMemberO(AA37,"[C_RPTCURRENCY].[].[LC]","LC - 本位币","","000"))</f>
        <v/>
      </c>
      <c r="E22" s="13" t="n"/>
      <c r="F22" s="384" t="n"/>
      <c r="G22" s="384" t="n"/>
      <c r="H22" s="13" t="n"/>
      <c r="I22" s="13" t="n"/>
      <c r="J22" s="13" t="n"/>
      <c r="K22" s="13" t="n"/>
      <c r="L22" s="13" t="n"/>
      <c r="M22" s="13" t="n"/>
      <c r="N22" s="13" t="n"/>
      <c r="O22" s="13" t="n"/>
      <c r="P22" s="13" t="n"/>
      <c r="Q22" s="13" t="n"/>
      <c r="R22" s="13" t="n"/>
      <c r="S22" s="1103" t="n"/>
      <c r="T22" s="13" t="n"/>
      <c r="U22" s="716" t="n"/>
      <c r="V22" s="716" t="n"/>
      <c r="W22" s="13" t="n"/>
      <c r="X22" s="171" t="n"/>
      <c r="Y22" s="171" t="n"/>
      <c r="Z22" s="384" t="n"/>
      <c r="AA22" s="384" t="n"/>
      <c r="AB22" s="13" t="n"/>
      <c r="AC22" s="13" t="n"/>
      <c r="AD22" s="13" t="n"/>
      <c r="AE22" s="13" t="n"/>
      <c r="AF22" s="13" t="n"/>
      <c r="AG22" s="13" t="n"/>
      <c r="AH22" s="716" t="n"/>
      <c r="AI22" s="13" t="n"/>
      <c r="AJ22" s="13" t="n"/>
      <c r="AK22" s="13" t="n"/>
    </row>
    <row r="23" hidden="1" customFormat="1" s="13">
      <c r="A23" s="175" t="inlineStr">
        <is>
          <t>D</t>
        </is>
      </c>
      <c r="B23" s="176">
        <f>IF(_epmOfflineCondition_,"C_AUDITTRAIL",EPMDimensionType(,A23))</f>
        <v/>
      </c>
      <c r="C23" s="447">
        <f>IF(_epmOfflineCondition_,"DTOTAL",IF(B23="","",EPMContextMember(,B23)))</f>
        <v/>
      </c>
      <c r="D23" s="390" t="n"/>
      <c r="E23" s="13" t="inlineStr">
        <is>
          <t>D1110</t>
        </is>
      </c>
      <c r="F23" s="13" t="n"/>
      <c r="G23" s="384" t="n"/>
      <c r="H23" s="13" t="n"/>
      <c r="I23" s="13" t="n"/>
      <c r="J23" s="13" t="n"/>
      <c r="K23" s="13" t="n"/>
      <c r="L23" s="13" t="n"/>
      <c r="M23" s="13" t="n"/>
      <c r="N23" s="13" t="n"/>
      <c r="O23" s="13" t="n"/>
      <c r="P23" s="13" t="n"/>
      <c r="Q23" s="13" t="n"/>
      <c r="R23" s="13" t="n"/>
      <c r="S23" s="1103" t="n"/>
      <c r="T23" s="13" t="n"/>
      <c r="U23" s="716" t="n"/>
      <c r="V23" s="716" t="n"/>
      <c r="W23" s="13" t="n"/>
      <c r="X23" s="171" t="n"/>
      <c r="Y23" s="171" t="n"/>
      <c r="Z23" s="384" t="n"/>
      <c r="AA23" s="384" t="n"/>
      <c r="AB23" s="13" t="n"/>
      <c r="AC23" s="13" t="n"/>
      <c r="AD23" s="13" t="n"/>
      <c r="AE23" s="13" t="n"/>
      <c r="AF23" s="13" t="n"/>
      <c r="AG23" s="13" t="n"/>
      <c r="AH23" s="716" t="n"/>
      <c r="AI23" s="13" t="n"/>
      <c r="AJ23" s="13" t="n"/>
      <c r="AK23" s="13" t="n"/>
    </row>
    <row r="24" hidden="1" customFormat="1" s="13">
      <c r="A24" s="175" t="inlineStr">
        <is>
          <t>S</t>
        </is>
      </c>
      <c r="B24" s="176">
        <f>IF(_epmOfflineCondition_,"C_FLOW",EPMDimensionType(,A24))</f>
        <v/>
      </c>
      <c r="C24" s="176">
        <f>IF(_epmOfflineCondition_,"FTOTAL",IF(B24="","",EPMContextMember(,B24)))</f>
        <v/>
      </c>
      <c r="D24" s="390" t="n"/>
      <c r="E24" s="13" t="n"/>
      <c r="F24" s="384" t="n"/>
      <c r="G24" s="384" t="n"/>
      <c r="H24" s="13" t="n"/>
      <c r="I24" s="13" t="n"/>
      <c r="J24" s="13" t="n"/>
      <c r="K24" s="13" t="n"/>
      <c r="L24" s="13" t="n"/>
      <c r="M24" s="13" t="n"/>
      <c r="N24" s="13" t="n"/>
      <c r="O24" s="13" t="n"/>
      <c r="P24" s="13" t="n"/>
      <c r="Q24" s="13" t="n"/>
      <c r="R24" s="13" t="n"/>
      <c r="S24" s="1103" t="n"/>
      <c r="T24" s="13" t="n"/>
      <c r="U24" s="716" t="n"/>
      <c r="V24" s="716" t="n"/>
      <c r="W24" s="13" t="n"/>
      <c r="X24" s="171" t="n"/>
      <c r="Y24" s="171" t="n"/>
      <c r="Z24" s="384" t="n"/>
      <c r="AA24" s="384" t="n"/>
      <c r="AB24" s="13" t="n"/>
      <c r="AC24" s="13" t="n"/>
      <c r="AD24" s="13" t="n"/>
      <c r="AE24" s="13" t="n"/>
      <c r="AF24" s="13" t="n"/>
      <c r="AG24" s="13" t="n"/>
      <c r="AH24" s="716" t="n"/>
      <c r="AI24" s="13" t="n"/>
      <c r="AJ24" s="13" t="n"/>
      <c r="AK24" s="13" t="n"/>
    </row>
    <row r="25" hidden="1" ht="17" customFormat="1" customHeight="1" s="13">
      <c r="A25" s="175" t="inlineStr">
        <is>
          <t>I</t>
        </is>
      </c>
      <c r="B25" s="176">
        <f>IF(_epmOfflineCondition_,"C_INTERCO",EPMDimensionType(,A25))</f>
        <v/>
      </c>
      <c r="C25" s="176" t="inlineStr">
        <is>
          <t>I_ALL</t>
        </is>
      </c>
      <c r="D25" s="390">
        <f>IF(_epmOfflineCondition_,"I_ALL",EPMOlapMemberO(C25,"[C_INTERCO].[PARENTH1].[I_ALL]","I_ALL - 全部贸易伙伴","","000"))</f>
        <v/>
      </c>
      <c r="E25" s="13" t="inlineStr">
        <is>
          <t>I_DUMMY</t>
        </is>
      </c>
      <c r="F25" s="384" t="n"/>
      <c r="G25" s="384" t="n"/>
      <c r="H25" s="13" t="n"/>
      <c r="I25" s="13" t="n"/>
      <c r="J25" s="13" t="n"/>
      <c r="K25" s="13" t="n"/>
      <c r="L25" s="13" t="n"/>
      <c r="M25" s="13" t="n"/>
      <c r="N25" s="13" t="n"/>
      <c r="O25" s="13" t="n"/>
      <c r="P25" s="13" t="n"/>
      <c r="Q25" s="13" t="n"/>
      <c r="R25" s="13" t="n"/>
      <c r="S25" s="1103" t="n"/>
      <c r="T25" s="13" t="n"/>
      <c r="U25" s="716" t="n"/>
      <c r="V25" s="716" t="n"/>
      <c r="W25" s="13" t="n"/>
      <c r="X25" s="823" t="inlineStr">
        <is>
          <t>CATEGORY</t>
        </is>
      </c>
      <c r="Y25" s="823" t="n"/>
      <c r="Z25" s="823" t="inlineStr">
        <is>
          <t>C1001</t>
        </is>
      </c>
      <c r="AA25" s="823" t="inlineStr">
        <is>
          <t>C1001</t>
        </is>
      </c>
      <c r="AB25" s="823" t="inlineStr">
        <is>
          <t>C1001</t>
        </is>
      </c>
      <c r="AC25" s="823" t="inlineStr">
        <is>
          <t>C1001</t>
        </is>
      </c>
      <c r="AD25" s="823" t="inlineStr">
        <is>
          <t>C1001</t>
        </is>
      </c>
      <c r="AE25" s="823" t="inlineStr">
        <is>
          <t>C1001</t>
        </is>
      </c>
      <c r="AF25" s="823" t="inlineStr">
        <is>
          <t>C1001</t>
        </is>
      </c>
      <c r="AG25" s="823" t="inlineStr">
        <is>
          <t>C1001</t>
        </is>
      </c>
      <c r="AH25" s="823" t="inlineStr">
        <is>
          <t>C1001</t>
        </is>
      </c>
      <c r="AI25" s="823" t="inlineStr">
        <is>
          <t>C1001</t>
        </is>
      </c>
      <c r="AJ25" s="823" t="inlineStr">
        <is>
          <t>C1001</t>
        </is>
      </c>
      <c r="AK25" s="220" t="n"/>
    </row>
    <row r="26" hidden="1" ht="17" customFormat="1" customHeight="1" s="13">
      <c r="A26" s="175" t="inlineStr">
        <is>
          <t>G</t>
        </is>
      </c>
      <c r="B26" s="176">
        <f>IF(_epmOfflineCondition_,"C_SCOPE",EPMDimensionType(,A26))</f>
        <v/>
      </c>
      <c r="C26" s="182" t="inlineStr">
        <is>
          <t>G_DUMMY</t>
        </is>
      </c>
      <c r="D26" s="390">
        <f>IF(_epmOfflineCondition_,"G_DUMMY",EPMOlapMemberO(C26,"[C_SCOPE].[PARENTH1].[G_DUMMY]","G_DUMMY - 合并范围无关","","000"))</f>
        <v/>
      </c>
      <c r="E26" s="13" t="n"/>
      <c r="F26" s="384" t="n"/>
      <c r="G26" s="384" t="n"/>
      <c r="H26" s="13" t="n"/>
      <c r="I26" s="13" t="n"/>
      <c r="J26" s="13" t="n"/>
      <c r="K26" s="13" t="n"/>
      <c r="L26" s="13" t="n"/>
      <c r="M26" s="13" t="n"/>
      <c r="N26" s="13" t="n"/>
      <c r="O26" s="13" t="n"/>
      <c r="P26" s="13" t="n"/>
      <c r="Q26" s="13" t="n"/>
      <c r="R26" s="13" t="n"/>
      <c r="S26" s="1103" t="n"/>
      <c r="T26" s="13" t="n"/>
      <c r="U26" s="716" t="n"/>
      <c r="V26" s="716" t="n"/>
      <c r="W26" s="13" t="n"/>
      <c r="X26" s="823" t="inlineStr">
        <is>
          <t>TIME</t>
        </is>
      </c>
      <c r="Y26" s="823" t="n"/>
      <c r="Z26" s="823">
        <f>I11</f>
        <v/>
      </c>
      <c r="AA26" s="823">
        <f>I11</f>
        <v/>
      </c>
      <c r="AB26" s="823">
        <f>I13</f>
        <v/>
      </c>
      <c r="AC26" s="823">
        <f>I11</f>
        <v/>
      </c>
      <c r="AD26" s="823">
        <f>I11</f>
        <v/>
      </c>
      <c r="AE26" s="823">
        <f>I11</f>
        <v/>
      </c>
      <c r="AF26" s="823">
        <f>I13</f>
        <v/>
      </c>
      <c r="AG26" s="823">
        <f>I11</f>
        <v/>
      </c>
      <c r="AH26" s="823">
        <f>I11</f>
        <v/>
      </c>
      <c r="AI26" s="823">
        <f>I11</f>
        <v/>
      </c>
      <c r="AJ26" s="823">
        <f>I13</f>
        <v/>
      </c>
      <c r="AK26" s="220" t="n"/>
    </row>
    <row r="27" hidden="1" ht="17" customFormat="1" customHeight="1" s="13">
      <c r="A27" s="175" t="inlineStr">
        <is>
          <t>U8</t>
        </is>
      </c>
      <c r="B27" s="176">
        <f>IF(_epmOfflineCondition_,"C_PROJECT",EPMDimensionType(,A27))</f>
        <v/>
      </c>
      <c r="C27" s="180" t="inlineStr">
        <is>
          <t>ZP_DUMMY</t>
        </is>
      </c>
      <c r="D27" s="390">
        <f>IF(_epmOfflineCondition_,"ZP_DUMMY",EPMOlapMemberO(C27,"[C_PROJECT].[PARENTH1].[ZP_DUMMY]","ZP_DUMMY - 项目无关","","000"))</f>
        <v/>
      </c>
      <c r="E27" s="13" t="n"/>
      <c r="F27" s="384" t="n"/>
      <c r="G27" s="384" t="n"/>
      <c r="H27" s="13" t="n"/>
      <c r="I27" s="13" t="n"/>
      <c r="J27" s="13" t="n"/>
      <c r="K27" s="13" t="n"/>
      <c r="L27" s="13" t="n"/>
      <c r="M27" s="13" t="n"/>
      <c r="N27" s="13" t="n"/>
      <c r="O27" s="13" t="n"/>
      <c r="P27" s="13" t="n"/>
      <c r="Q27" s="13" t="n"/>
      <c r="R27" s="13" t="n"/>
      <c r="S27" s="1103" t="n"/>
      <c r="T27" s="13" t="n"/>
      <c r="U27" s="716" t="n"/>
      <c r="V27" s="716" t="n"/>
      <c r="W27" s="13" t="n"/>
      <c r="X27" s="823" t="inlineStr">
        <is>
          <t>MEASURES</t>
        </is>
      </c>
      <c r="Y27" s="823" t="n"/>
      <c r="Z27" s="823" t="inlineStr">
        <is>
          <t>Periodic</t>
        </is>
      </c>
      <c r="AA27" s="823" t="inlineStr">
        <is>
          <t>YTD</t>
        </is>
      </c>
      <c r="AB27" s="823" t="inlineStr">
        <is>
          <t>YTD</t>
        </is>
      </c>
      <c r="AC27" s="823" t="inlineStr">
        <is>
          <t>YTD</t>
        </is>
      </c>
      <c r="AD27" s="823" t="inlineStr">
        <is>
          <t>Periodic</t>
        </is>
      </c>
      <c r="AE27" s="823" t="inlineStr">
        <is>
          <t>YTD</t>
        </is>
      </c>
      <c r="AF27" s="823" t="inlineStr">
        <is>
          <t>YTD</t>
        </is>
      </c>
      <c r="AG27" s="823" t="inlineStr">
        <is>
          <t>Periodic</t>
        </is>
      </c>
      <c r="AH27" s="823" t="inlineStr">
        <is>
          <t>Periodic</t>
        </is>
      </c>
      <c r="AI27" s="823" t="inlineStr">
        <is>
          <t>YTD</t>
        </is>
      </c>
      <c r="AJ27" s="823" t="inlineStr">
        <is>
          <t>YTD</t>
        </is>
      </c>
      <c r="AK27" s="220" t="n"/>
    </row>
    <row r="28" hidden="1" ht="17" customFormat="1" customHeight="1" s="13">
      <c r="A28" s="175" t="inlineStr">
        <is>
          <t>U9</t>
        </is>
      </c>
      <c r="B28" s="176">
        <f>IF(_epmOfflineCondition_,"C_ITEM",EPMDimensionType(,A28))</f>
        <v/>
      </c>
      <c r="C28" s="180" t="inlineStr">
        <is>
          <t>ZI_DUMMY</t>
        </is>
      </c>
      <c r="D28" s="390">
        <f>IF(_epmOfflineCondition_,"ZI_DUMMY",EPMOlapMemberO(C28,"[C_ITEM].[PARENTH1].[ZI_DUMMY]","ZI_DUMMY - 与子项无关","","000"))</f>
        <v/>
      </c>
      <c r="E28" s="13" t="n"/>
      <c r="F28" s="384" t="n"/>
      <c r="G28" s="384" t="n"/>
      <c r="H28" s="13" t="n"/>
      <c r="I28" s="13" t="n"/>
      <c r="J28" s="13" t="n"/>
      <c r="K28" s="13" t="n"/>
      <c r="L28" s="13" t="n"/>
      <c r="M28" s="13" t="n"/>
      <c r="N28" s="13" t="n"/>
      <c r="O28" s="13" t="n"/>
      <c r="P28" s="13" t="n"/>
      <c r="Q28" s="13" t="n"/>
      <c r="R28" s="13" t="n"/>
      <c r="S28" s="1103" t="n"/>
      <c r="T28" s="13" t="n"/>
      <c r="U28" s="716" t="n"/>
      <c r="V28" s="716" t="n"/>
      <c r="W28" s="13" t="n"/>
      <c r="X28" s="823" t="inlineStr">
        <is>
          <t>FLOW</t>
        </is>
      </c>
      <c r="Y28" s="823" t="n"/>
      <c r="Z28" s="823" t="inlineStr">
        <is>
          <t>F20</t>
        </is>
      </c>
      <c r="AA28" s="823" t="inlineStr">
        <is>
          <t>F20</t>
        </is>
      </c>
      <c r="AB28" s="823" t="inlineStr">
        <is>
          <t>F20</t>
        </is>
      </c>
      <c r="AC28" s="823" t="inlineStr">
        <is>
          <t>F20</t>
        </is>
      </c>
      <c r="AD28" s="823" t="inlineStr">
        <is>
          <t>F30</t>
        </is>
      </c>
      <c r="AE28" s="823" t="inlineStr">
        <is>
          <t>F30</t>
        </is>
      </c>
      <c r="AF28" s="823" t="inlineStr">
        <is>
          <t>F30</t>
        </is>
      </c>
      <c r="AG28" s="823" t="inlineStr">
        <is>
          <t>F30</t>
        </is>
      </c>
      <c r="AH28" s="823" t="inlineStr">
        <is>
          <t>F30</t>
        </is>
      </c>
      <c r="AI28" s="823" t="inlineStr">
        <is>
          <t>F30</t>
        </is>
      </c>
      <c r="AJ28" s="823" t="inlineStr">
        <is>
          <t>F30</t>
        </is>
      </c>
      <c r="AK28" s="13" t="n"/>
    </row>
    <row r="29" hidden="1" ht="17" customFormat="1" customHeight="1" s="13">
      <c r="A29" s="175" t="inlineStr">
        <is>
          <t>U10</t>
        </is>
      </c>
      <c r="B29" s="176">
        <f>IF(_epmOfflineCondition_,"C_MISK",EPMDimensionType(,A29))</f>
        <v/>
      </c>
      <c r="C29" s="449" t="inlineStr">
        <is>
          <t>ZM_DUMMY</t>
        </is>
      </c>
      <c r="D29" s="390" t="n"/>
      <c r="E29" s="13" t="n"/>
      <c r="F29" s="384" t="n"/>
      <c r="G29" s="384" t="n"/>
      <c r="H29" s="13" t="n"/>
      <c r="I29" s="13" t="n"/>
      <c r="J29" s="13" t="n"/>
      <c r="K29" s="13" t="n"/>
      <c r="L29" s="13" t="n"/>
      <c r="M29" s="13" t="n"/>
      <c r="N29" s="13" t="n"/>
      <c r="O29" s="13" t="n"/>
      <c r="P29" s="13" t="n"/>
      <c r="Q29" s="13" t="n"/>
      <c r="R29" s="13" t="n"/>
      <c r="S29" s="1103" t="n"/>
      <c r="T29" s="13" t="n"/>
      <c r="U29" s="716" t="n"/>
      <c r="V29" s="716" t="n"/>
      <c r="W29" s="13" t="n"/>
      <c r="X29" s="823" t="inlineStr">
        <is>
          <t>AUDITTRAIL</t>
        </is>
      </c>
      <c r="Y29" s="823" t="n"/>
      <c r="Z29" s="823" t="inlineStr">
        <is>
          <t>DALL</t>
        </is>
      </c>
      <c r="AA29" s="823" t="inlineStr">
        <is>
          <t>DLC_BK</t>
        </is>
      </c>
      <c r="AB29" s="823" t="inlineStr">
        <is>
          <t>DLC_BK</t>
        </is>
      </c>
      <c r="AC29" s="823" t="inlineStr">
        <is>
          <t>DLC_BK</t>
        </is>
      </c>
      <c r="AD29" s="823" t="inlineStr">
        <is>
          <t>DLC_BK</t>
        </is>
      </c>
      <c r="AE29" s="823" t="inlineStr">
        <is>
          <t>DLC_BK</t>
        </is>
      </c>
      <c r="AF29" s="823" t="inlineStr">
        <is>
          <t>DLC_BK</t>
        </is>
      </c>
      <c r="AG29" s="823" t="inlineStr">
        <is>
          <t>DLC_BK</t>
        </is>
      </c>
      <c r="AH29" s="823" t="inlineStr">
        <is>
          <t>DLC_BK</t>
        </is>
      </c>
      <c r="AI29" s="823" t="inlineStr">
        <is>
          <t>DLC_BK</t>
        </is>
      </c>
      <c r="AJ29" s="823" t="inlineStr">
        <is>
          <t>DLC_BK</t>
        </is>
      </c>
      <c r="AK29" s="13" t="n"/>
    </row>
    <row r="30" hidden="1" ht="17" customFormat="1" customHeight="1" s="13">
      <c r="A30" s="175" t="n"/>
      <c r="B30" s="175">
        <f>IF(_epmOfflineCondition_,"",EPMDimensionType(,A30))</f>
        <v/>
      </c>
      <c r="C30" s="182" t="inlineStr">
        <is>
          <t>PERIODIC</t>
        </is>
      </c>
      <c r="D30" s="390" t="n"/>
      <c r="E30" s="13" t="n"/>
      <c r="F30" s="384" t="n"/>
      <c r="G30" s="384" t="n"/>
      <c r="H30" s="13" t="n"/>
      <c r="I30" s="13" t="n"/>
      <c r="J30" s="13" t="n"/>
      <c r="K30" s="13" t="n"/>
      <c r="L30" s="13" t="n"/>
      <c r="M30" s="13" t="n"/>
      <c r="N30" s="13" t="n"/>
      <c r="O30" s="13" t="n"/>
      <c r="P30" s="13" t="n"/>
      <c r="Q30" s="13" t="n"/>
      <c r="R30" s="13" t="n"/>
      <c r="S30" s="1103" t="n"/>
      <c r="T30" s="13" t="n"/>
      <c r="U30" s="716" t="n"/>
      <c r="V30" s="716" t="n"/>
      <c r="W30" s="13" t="n"/>
      <c r="X30" s="823" t="inlineStr">
        <is>
          <t>MISK</t>
        </is>
      </c>
      <c r="Y30" s="823" t="n"/>
      <c r="Z30" s="823" t="inlineStr">
        <is>
          <t>ZM_DUMMY</t>
        </is>
      </c>
      <c r="AA30" s="823" t="inlineStr">
        <is>
          <t>ZM_DUMMY</t>
        </is>
      </c>
      <c r="AB30" s="823" t="inlineStr">
        <is>
          <t>ZM_DUMMY</t>
        </is>
      </c>
      <c r="AC30" s="823" t="inlineStr">
        <is>
          <t>ZM_DUMMY</t>
        </is>
      </c>
      <c r="AD30" s="823" t="inlineStr">
        <is>
          <t>ZM_DUMMY</t>
        </is>
      </c>
      <c r="AE30" s="823" t="inlineStr">
        <is>
          <t>ZM_DUMMY</t>
        </is>
      </c>
      <c r="AF30" s="823" t="inlineStr">
        <is>
          <t>ZM_DUMMY</t>
        </is>
      </c>
      <c r="AG30" s="823" t="inlineStr">
        <is>
          <t>ZM_DUMMY</t>
        </is>
      </c>
      <c r="AH30" s="823" t="inlineStr">
        <is>
          <t>ZM_DUMMY</t>
        </is>
      </c>
      <c r="AI30" s="823" t="inlineStr">
        <is>
          <t>ZM_DUMMY</t>
        </is>
      </c>
      <c r="AJ30" s="823" t="inlineStr">
        <is>
          <t>ZM_DUMMY</t>
        </is>
      </c>
      <c r="AK30" s="13" t="n"/>
    </row>
    <row r="31" hidden="1" customFormat="1" s="13">
      <c r="A31" s="13" t="n"/>
      <c r="B31" s="1103" t="n"/>
      <c r="C31" s="1103" t="n"/>
      <c r="D31" s="1103" t="n"/>
      <c r="E31" s="13" t="n"/>
      <c r="F31" s="13" t="n"/>
      <c r="G31" s="13" t="n"/>
      <c r="H31" s="13" t="n"/>
      <c r="I31" s="13" t="n"/>
      <c r="J31" s="13" t="n"/>
      <c r="K31" s="13" t="n"/>
      <c r="L31" s="13" t="n"/>
      <c r="M31" s="13" t="n"/>
      <c r="N31" s="13" t="n"/>
      <c r="O31" s="13" t="n"/>
      <c r="P31" s="13" t="n"/>
      <c r="Q31" s="13" t="n"/>
      <c r="R31" s="13" t="n"/>
      <c r="S31" s="1103" t="n"/>
      <c r="T31" s="13" t="n"/>
      <c r="U31" s="716" t="n"/>
      <c r="V31" s="716" t="n"/>
      <c r="W31" s="13" t="n"/>
      <c r="X31" s="171" t="n"/>
      <c r="Y31" s="171" t="n"/>
      <c r="Z31" s="384" t="n"/>
      <c r="AA31" s="384" t="n"/>
      <c r="AB31" s="13" t="n"/>
      <c r="AC31" s="384" t="n"/>
      <c r="AD31" s="13" t="n"/>
      <c r="AE31" s="13" t="n"/>
      <c r="AF31" s="13" t="n"/>
      <c r="AG31" s="13" t="n"/>
      <c r="AH31" s="716" t="n"/>
      <c r="AI31" s="13" t="n"/>
      <c r="AJ31" s="13" t="n"/>
      <c r="AK31" s="13" t="n"/>
    </row>
    <row r="32" hidden="1" customFormat="1" s="13">
      <c r="A32" s="13" t="n"/>
      <c r="B32" s="1103" t="n"/>
      <c r="C32" s="1103" t="n"/>
      <c r="D32" s="1103" t="n"/>
      <c r="E32" s="13" t="n"/>
      <c r="F32" s="13" t="n"/>
      <c r="G32" s="13" t="n"/>
      <c r="H32" s="13" t="n"/>
      <c r="I32" s="13" t="n"/>
      <c r="J32" s="13" t="n"/>
      <c r="K32" s="13" t="n"/>
      <c r="L32" s="13" t="n"/>
      <c r="M32" s="13" t="n"/>
      <c r="N32" s="13" t="n"/>
      <c r="O32" s="13" t="n"/>
      <c r="P32" s="13" t="n"/>
      <c r="Q32" s="13" t="n"/>
      <c r="R32" s="13" t="n"/>
      <c r="S32" s="1103" t="n"/>
      <c r="T32" s="13" t="n"/>
      <c r="U32" s="716" t="n"/>
      <c r="V32" s="716" t="n"/>
      <c r="W32" s="13" t="n"/>
      <c r="X32" s="171" t="n"/>
      <c r="Y32" s="171" t="n"/>
      <c r="Z32" s="13" t="n"/>
      <c r="AA32" s="13" t="n"/>
      <c r="AB32" s="13" t="n"/>
      <c r="AC32" s="13" t="n"/>
      <c r="AD32" s="13" t="n"/>
      <c r="AE32" s="13" t="n"/>
      <c r="AF32" s="13" t="n"/>
      <c r="AG32" s="13" t="n"/>
      <c r="AH32" s="716" t="n"/>
      <c r="AI32" s="13" t="n"/>
      <c r="AJ32" s="13" t="n"/>
      <c r="AK32" s="13" t="n"/>
    </row>
    <row r="33" hidden="1" customFormat="1" s="13">
      <c r="A33" s="13" t="n"/>
      <c r="B33" s="1103" t="n"/>
      <c r="C33" s="1103" t="n"/>
      <c r="D33" s="1103" t="n"/>
      <c r="E33" s="13" t="n"/>
      <c r="F33" s="13" t="n"/>
      <c r="G33" s="13" t="n"/>
      <c r="H33" s="13" t="n"/>
      <c r="I33" s="13" t="n"/>
      <c r="J33" s="13" t="n"/>
      <c r="K33" s="13" t="n"/>
      <c r="L33" s="13" t="n"/>
      <c r="M33" s="13" t="n"/>
      <c r="N33" s="13" t="n"/>
      <c r="O33" s="13" t="n"/>
      <c r="P33" s="13" t="n"/>
      <c r="Q33" s="13" t="n"/>
      <c r="R33" s="13" t="n"/>
      <c r="S33" s="1103" t="n"/>
      <c r="T33" s="13" t="n"/>
      <c r="U33" s="716" t="n"/>
      <c r="V33" s="716" t="n"/>
      <c r="W33" s="13" t="n"/>
      <c r="X33" s="171" t="n"/>
      <c r="Y33" s="171" t="n"/>
      <c r="Z33" s="13" t="n"/>
      <c r="AA33" s="13" t="n"/>
      <c r="AB33" s="13" t="n"/>
      <c r="AC33" s="13" t="n"/>
      <c r="AD33" s="13" t="n"/>
      <c r="AE33" s="13" t="n"/>
      <c r="AF33" s="13" t="n"/>
      <c r="AG33" s="13" t="n"/>
      <c r="AH33" s="716" t="n"/>
      <c r="AI33" s="13" t="n"/>
      <c r="AJ33" s="13" t="n"/>
      <c r="AK33" s="13" t="n"/>
    </row>
    <row r="34" ht="10.5" customFormat="1" customHeight="1" s="13">
      <c r="A34" s="13" t="n"/>
      <c r="B34" s="1103" t="n"/>
      <c r="C34" s="1103" t="n"/>
      <c r="D34" s="1103" t="n"/>
      <c r="E34" s="13" t="n"/>
      <c r="F34" s="13" t="n"/>
      <c r="G34" s="13" t="n"/>
      <c r="H34" s="13" t="n"/>
      <c r="I34" s="13" t="n"/>
      <c r="J34" s="13" t="n"/>
      <c r="K34" s="13" t="n"/>
      <c r="L34" s="13" t="n"/>
      <c r="M34" s="13" t="n"/>
      <c r="N34" s="13" t="n"/>
      <c r="O34" s="13" t="n"/>
      <c r="P34" s="13" t="n"/>
      <c r="Q34" s="13" t="n"/>
      <c r="R34" s="13" t="n"/>
      <c r="S34" s="1103" t="n"/>
      <c r="T34" s="13" t="n"/>
      <c r="U34" s="716" t="n"/>
      <c r="V34" s="716" t="n"/>
      <c r="W34" s="13" t="n"/>
      <c r="X34" s="171" t="n"/>
      <c r="Y34" s="171" t="n"/>
      <c r="Z34" s="13" t="n"/>
      <c r="AA34" s="13" t="n"/>
      <c r="AB34" s="13" t="n"/>
      <c r="AC34" s="13" t="n"/>
      <c r="AD34" s="13" t="n"/>
      <c r="AE34" s="13" t="n"/>
      <c r="AF34" s="13" t="n"/>
      <c r="AG34" s="13" t="n"/>
      <c r="AH34" s="13" t="n"/>
      <c r="AI34" s="716" t="n"/>
      <c r="AJ34" s="13" t="n"/>
      <c r="AK34" s="13" t="n"/>
    </row>
    <row r="35" ht="32.25" customHeight="1" s="1181">
      <c r="A35" s="384" t="n"/>
      <c r="B35" s="384" t="n"/>
      <c r="C35" s="384" t="n"/>
      <c r="D35" s="384" t="n"/>
      <c r="E35" s="384" t="n"/>
      <c r="F35" s="384" t="n"/>
      <c r="G35" s="384" t="n"/>
      <c r="H35" s="384" t="n"/>
      <c r="I35" s="384" t="n"/>
      <c r="J35" s="384" t="n"/>
      <c r="K35" s="384" t="n"/>
      <c r="L35" s="384" t="n"/>
      <c r="M35" s="384" t="n"/>
      <c r="N35" s="384" t="n"/>
      <c r="O35" s="384" t="n"/>
      <c r="P35" s="384" t="n"/>
      <c r="Q35" s="384" t="n"/>
      <c r="R35" s="384" t="n"/>
      <c r="S35" s="32" t="n"/>
      <c r="T35" s="384" t="n"/>
      <c r="U35" s="716" t="n"/>
      <c r="V35" s="716" t="n"/>
      <c r="W35" s="384" t="n"/>
      <c r="X35" s="38" t="n"/>
      <c r="Y35" s="38" t="n"/>
      <c r="Z35" s="760" t="n"/>
      <c r="AA35" s="13" t="n"/>
      <c r="AB35" s="465" t="n"/>
      <c r="AC35" s="465" t="inlineStr">
        <is>
          <t>应交款项明细表</t>
        </is>
      </c>
      <c r="AD35" s="384" t="n"/>
      <c r="AE35" s="384" t="n"/>
      <c r="AF35" s="384" t="n"/>
      <c r="AG35" s="384" t="n"/>
      <c r="AH35" s="384" t="n"/>
      <c r="AI35" s="384" t="n"/>
      <c r="AJ35" s="384" t="n"/>
      <c r="AK35" s="384" t="n"/>
    </row>
    <row r="36" ht="15.2" customFormat="1" customHeight="1" s="716">
      <c r="A36" s="716" t="n"/>
      <c r="B36" s="716" t="n"/>
      <c r="C36" s="716" t="n"/>
      <c r="D36" s="716" t="n"/>
      <c r="E36" s="716" t="n"/>
      <c r="F36" s="716" t="n"/>
      <c r="G36" s="716" t="n"/>
      <c r="H36" s="716" t="n"/>
      <c r="I36" s="716" t="n"/>
      <c r="J36" s="716" t="n"/>
      <c r="K36" s="716" t="n"/>
      <c r="L36" s="716" t="n"/>
      <c r="M36" s="716" t="n"/>
      <c r="N36" s="716" t="n"/>
      <c r="O36" s="716" t="n"/>
      <c r="P36" s="716" t="n"/>
      <c r="Q36" s="716" t="n"/>
      <c r="R36" s="716" t="n"/>
      <c r="S36" s="462" t="n"/>
      <c r="T36" s="716" t="n"/>
      <c r="U36" s="716" t="n"/>
      <c r="V36" s="716" t="n"/>
      <c r="W36" s="716" t="n"/>
      <c r="X36" s="190">
        <f>"编制单位："&amp;(IF(C6="E_ALL",D11,D6))</f>
        <v/>
      </c>
      <c r="Y36" s="190" t="n"/>
      <c r="Z36" s="760" t="n"/>
      <c r="AA36" s="716" t="n"/>
      <c r="AB36" s="203" t="n"/>
      <c r="AC36" s="716" t="n"/>
      <c r="AD36" s="716" t="n"/>
      <c r="AE36" s="716" t="n"/>
      <c r="AF36" s="716" t="n"/>
      <c r="AG36" s="716" t="n"/>
      <c r="AH36" s="716" t="n"/>
      <c r="AI36" s="716" t="n"/>
      <c r="AJ36" s="716" t="n"/>
      <c r="AK36" s="716" t="n"/>
    </row>
    <row r="37" ht="15.2" customFormat="1" customHeight="1" s="716">
      <c r="A37" s="716" t="n"/>
      <c r="B37" s="716" t="n"/>
      <c r="C37" s="716" t="n"/>
      <c r="D37" s="716" t="n"/>
      <c r="E37" s="716" t="n"/>
      <c r="F37" s="716" t="n"/>
      <c r="G37" s="716" t="n"/>
      <c r="H37" s="716" t="n"/>
      <c r="I37" s="716" t="n"/>
      <c r="J37" s="716" t="n"/>
      <c r="K37" s="716" t="n"/>
      <c r="L37" s="716" t="n"/>
      <c r="M37" s="716" t="n"/>
      <c r="N37" s="716" t="n"/>
      <c r="O37" s="716" t="n"/>
      <c r="P37" s="716" t="n"/>
      <c r="Q37" s="716" t="n"/>
      <c r="R37" s="716" t="n"/>
      <c r="S37" s="462" t="n"/>
      <c r="T37" s="716" t="n"/>
      <c r="U37" s="716" t="n"/>
      <c r="V37" s="716" t="n"/>
      <c r="W37" s="716" t="n"/>
      <c r="X37" s="190">
        <f>"编制月份："&amp;$I$3&amp;"年"&amp;$I$8&amp;"月"</f>
        <v/>
      </c>
      <c r="Y37" s="190" t="n"/>
      <c r="Z37" s="190" t="inlineStr">
        <is>
          <t>币种：</t>
        </is>
      </c>
      <c r="AA37" s="716" t="inlineStr">
        <is>
          <t>LC</t>
        </is>
      </c>
      <c r="AB37" s="434" t="n"/>
      <c r="AC37" s="223" t="n"/>
      <c r="AD37" s="716" t="n"/>
      <c r="AE37" s="716" t="n"/>
      <c r="AF37" s="716" t="n"/>
      <c r="AG37" s="223" t="inlineStr">
        <is>
          <t>金额单位：元</t>
        </is>
      </c>
      <c r="AH37" s="716" t="n"/>
      <c r="AI37" s="716" t="n"/>
      <c r="AJ37" s="716" t="n"/>
      <c r="AK37" s="716" t="n"/>
    </row>
    <row r="38" ht="9.949999999999999" customFormat="1" customHeight="1" s="716">
      <c r="A38" s="716" t="n"/>
      <c r="B38" s="716" t="n"/>
      <c r="C38" s="716" t="n"/>
      <c r="D38" s="716" t="n"/>
      <c r="E38" s="716" t="n"/>
      <c r="F38" s="716" t="n"/>
      <c r="G38" s="716" t="n"/>
      <c r="H38" s="716" t="n"/>
      <c r="I38" s="716" t="n"/>
      <c r="J38" s="716" t="n"/>
      <c r="K38" s="716" t="n"/>
      <c r="L38" s="716" t="n"/>
      <c r="M38" s="716" t="n"/>
      <c r="N38" s="716" t="n"/>
      <c r="O38" s="716" t="n"/>
      <c r="P38" s="716" t="n"/>
      <c r="Q38" s="716" t="n"/>
      <c r="R38" s="462" t="n"/>
      <c r="S38" s="462" t="n"/>
      <c r="T38" s="462" t="n"/>
      <c r="U38" s="462" t="n"/>
      <c r="V38" s="462" t="n"/>
      <c r="W38" s="716" t="n"/>
      <c r="X38" s="190" t="n"/>
      <c r="Y38" s="190" t="n"/>
      <c r="Z38" s="716" t="n"/>
      <c r="AA38" s="716" t="n"/>
      <c r="AB38" s="203" t="n"/>
      <c r="AC38" s="223" t="n"/>
      <c r="AD38" s="716" t="n"/>
      <c r="AE38" s="716" t="n"/>
      <c r="AF38" s="716" t="n"/>
      <c r="AG38" s="716" t="n"/>
      <c r="AH38" s="716" t="n"/>
      <c r="AI38" s="716" t="n"/>
      <c r="AJ38" s="716" t="n"/>
      <c r="AK38" s="716" t="n"/>
    </row>
    <row r="39" ht="14.45" customFormat="1" customHeight="1" s="716">
      <c r="A39" s="716" t="n"/>
      <c r="B39" s="716" t="n"/>
      <c r="C39" s="716" t="n"/>
      <c r="D39" s="716" t="n"/>
      <c r="E39" s="716" t="n"/>
      <c r="F39" s="716" t="n"/>
      <c r="G39" s="716" t="n"/>
      <c r="H39" s="716" t="n"/>
      <c r="I39" s="716" t="n"/>
      <c r="J39" s="716" t="n"/>
      <c r="K39" s="716" t="n"/>
      <c r="L39" s="716" t="n"/>
      <c r="M39" s="716" t="n"/>
      <c r="N39" s="716" t="n"/>
      <c r="O39" s="716" t="n"/>
      <c r="P39" s="716" t="n"/>
      <c r="Q39" s="716" t="n"/>
      <c r="R39" s="716" t="n"/>
      <c r="S39" s="716" t="n"/>
      <c r="T39" s="716" t="n"/>
      <c r="U39" s="716" t="n"/>
      <c r="V39" s="716" t="n"/>
      <c r="W39" s="716" t="n"/>
      <c r="X39" s="450" t="inlineStr">
        <is>
          <t>项        目</t>
        </is>
      </c>
      <c r="Y39" s="450" t="inlineStr">
        <is>
          <t>行次</t>
        </is>
      </c>
      <c r="Z39" s="736" t="inlineStr">
        <is>
          <t>应交数</t>
        </is>
      </c>
      <c r="AA39" s="1182" t="n"/>
      <c r="AB39" s="1182" t="n"/>
      <c r="AC39" s="1182" t="n"/>
      <c r="AD39" s="450" t="inlineStr">
        <is>
          <t>已交数</t>
        </is>
      </c>
      <c r="AE39" s="1182" t="n"/>
      <c r="AF39" s="1182" t="n"/>
      <c r="AG39" s="1183" t="n"/>
      <c r="AH39" s="450" t="inlineStr">
        <is>
          <t>已交数</t>
        </is>
      </c>
      <c r="AI39" s="1182" t="n"/>
      <c r="AJ39" s="1183" t="n"/>
      <c r="AK39" s="716" t="n"/>
    </row>
    <row r="40" ht="14.45" customFormat="1" customHeight="1" s="716">
      <c r="A40" s="716" t="n"/>
      <c r="B40" s="716" t="n"/>
      <c r="C40" s="716" t="n"/>
      <c r="D40" s="716" t="n"/>
      <c r="E40" s="716" t="n"/>
      <c r="F40" s="716" t="n"/>
      <c r="G40" s="716" t="n"/>
      <c r="H40" s="716" t="n"/>
      <c r="I40" s="716" t="n"/>
      <c r="J40" s="716" t="n"/>
      <c r="K40" s="716" t="n"/>
      <c r="L40" s="716" t="n"/>
      <c r="M40" s="716" t="n"/>
      <c r="N40" s="716" t="n"/>
      <c r="O40" s="716" t="n"/>
      <c r="P40" s="716" t="n"/>
      <c r="Q40" s="716" t="n"/>
      <c r="R40" s="716" t="n"/>
      <c r="S40" s="716" t="n"/>
      <c r="T40" s="716" t="n"/>
      <c r="U40" s="716" t="n"/>
      <c r="V40" s="716" t="n"/>
      <c r="W40" s="716" t="n"/>
      <c r="X40" s="1184" t="n"/>
      <c r="Y40" s="1184" t="n"/>
      <c r="Z40" s="522" t="inlineStr">
        <is>
          <t>本月数</t>
        </is>
      </c>
      <c r="AA40" s="522" t="inlineStr">
        <is>
          <t>本年累计数</t>
        </is>
      </c>
      <c r="AB40" s="522" t="inlineStr">
        <is>
          <t>上年同期累计数</t>
        </is>
      </c>
      <c r="AC40" s="450" t="inlineStr">
        <is>
          <t>本年累计同比增减（%）</t>
        </is>
      </c>
      <c r="AD40" s="450" t="inlineStr">
        <is>
          <t>本月数</t>
        </is>
      </c>
      <c r="AE40" s="450" t="inlineStr">
        <is>
          <t>本年累计数</t>
        </is>
      </c>
      <c r="AF40" s="450" t="inlineStr">
        <is>
          <t>上年同期累计数</t>
        </is>
      </c>
      <c r="AG40" s="450" t="inlineStr">
        <is>
          <t>本年累计同比增减（%）</t>
        </is>
      </c>
      <c r="AH40" s="450" t="inlineStr">
        <is>
          <t>本月数</t>
        </is>
      </c>
      <c r="AI40" s="450" t="inlineStr">
        <is>
          <t>本年累计数</t>
        </is>
      </c>
      <c r="AJ40" s="450" t="inlineStr">
        <is>
          <t>上年同期累计数</t>
        </is>
      </c>
      <c r="AK40" s="716" t="n"/>
    </row>
    <row r="41" hidden="1" ht="14.45" customFormat="1" customHeight="1" s="462">
      <c r="A41" s="716" t="n"/>
      <c r="B41" s="716" t="n"/>
      <c r="C41" s="716" t="n"/>
      <c r="D41" s="716" t="n"/>
      <c r="E41" s="716" t="n"/>
      <c r="F41" s="716" t="n"/>
      <c r="G41" s="716" t="n"/>
      <c r="H41" s="716" t="n"/>
      <c r="I41" s="716" t="n"/>
      <c r="J41" s="716" t="n"/>
      <c r="K41" s="716" t="n"/>
      <c r="L41" s="716" t="n"/>
      <c r="M41" s="716" t="n"/>
      <c r="N41" s="716" t="n"/>
      <c r="O41" s="716" t="n"/>
      <c r="P41" s="716" t="n"/>
      <c r="Q41" s="716" t="n"/>
      <c r="R41" s="716" t="n"/>
      <c r="S41" s="716" t="n"/>
      <c r="T41" s="716" t="n"/>
      <c r="U41" s="716" t="n"/>
      <c r="V41" s="716" t="n"/>
      <c r="W41" s="462" t="n"/>
      <c r="X41" s="515" t="inlineStr">
        <is>
          <t>time</t>
        </is>
      </c>
      <c r="Y41" s="523" t="n"/>
      <c r="Z41" s="831">
        <f>IF(_epmOfflineCondition_,"2025.03",EPMOlapMemberO(Z26,"[C_TIME].[PARENTH1].[2025.03]","2025.03 - 2025.03","","000"))</f>
        <v/>
      </c>
      <c r="AA41" s="831">
        <f>IF(_epmOfflineCondition_,"2025.03",EPMOlapMemberO(AA26,"[C_TIME].[PARENTH1].[2025.03]","2025.03 - 2025.03","","000"))</f>
        <v/>
      </c>
      <c r="AB41" s="831">
        <f>IF(_epmOfflineCondition_,"2024.03",EPMOlapMemberO(AB26,"[C_TIME].[PARENTH1].[2024.03]","2024.03 - 2024.03","","000"))</f>
        <v/>
      </c>
      <c r="AC41" s="831" t="n"/>
      <c r="AD41" s="831">
        <f>IF(_epmOfflineCondition_,"2025.03",EPMOlapMemberO(AD26,"[C_TIME].[PARENTH1].[2025.03]","2025.03 - 2025.03","","000"))</f>
        <v/>
      </c>
      <c r="AE41" s="831">
        <f>IF(_epmOfflineCondition_,"2025.03",EPMOlapMemberO(AE26,"[C_TIME].[PARENTH1].[2025.03]","2025.03 - 2025.03","","000"))</f>
        <v/>
      </c>
      <c r="AF41" s="831">
        <f>IF(_epmOfflineCondition_,"2024.03",EPMOlapMemberO(AF26,"[C_TIME].[PARENTH1].[2024.03]","2024.03 - 2024.03","","000"))</f>
        <v/>
      </c>
      <c r="AG41" s="831" t="n"/>
      <c r="AH41" s="831">
        <f>IF(_epmOfflineCondition_,"2025.03",EPMOlapMemberO(AH26,"[C_TIME].[PARENTH1].[2025.03]","2025.03 - 2025.03","","000"))</f>
        <v/>
      </c>
      <c r="AI41" s="831">
        <f>IF(_epmOfflineCondition_,"2025.03",EPMOlapMemberO(AI26,"[C_TIME].[PARENTH1].[2025.03]","2025.03 - 2025.03","","000"))</f>
        <v/>
      </c>
      <c r="AJ41" s="831">
        <f>IF(_epmOfflineCondition_,"2024.03",EPMOlapMemberO(AJ26,"[C_TIME].[PARENTH1].[2024.03]","2024.03 - 2024.03","","000"))</f>
        <v/>
      </c>
      <c r="AK41" s="716" t="n"/>
    </row>
    <row r="42" hidden="1" ht="14.25" customFormat="1" customHeight="1" s="24">
      <c r="A42" s="716" t="n"/>
      <c r="B42" s="716" t="n"/>
      <c r="C42" s="716" t="n"/>
      <c r="D42" s="716" t="n"/>
      <c r="E42" s="716" t="n"/>
      <c r="F42" s="716" t="n"/>
      <c r="G42" s="716" t="n"/>
      <c r="H42" s="716" t="n"/>
      <c r="I42" s="716" t="n"/>
      <c r="J42" s="716" t="n"/>
      <c r="K42" s="716" t="n"/>
      <c r="L42" s="716" t="n"/>
      <c r="M42" s="716" t="n"/>
      <c r="N42" s="716" t="n"/>
      <c r="O42" s="716" t="n"/>
      <c r="P42" s="716" t="n"/>
      <c r="Q42" s="716" t="n"/>
      <c r="R42" s="716" t="n"/>
      <c r="S42" s="716" t="n"/>
      <c r="T42" s="716" t="n"/>
      <c r="U42" s="716" t="n"/>
      <c r="V42" s="716" t="n"/>
      <c r="W42" s="24" t="n"/>
      <c r="X42" s="515" t="inlineStr">
        <is>
          <t>category</t>
        </is>
      </c>
      <c r="Y42" s="523" t="n"/>
      <c r="Z42" s="469">
        <f>IF(_epmOfflineCondition_,"C1001",EPMOlapMemberO(Z25,"[C_CATEGORY].[PARENTH1].[C1001]","C1001 - 实际数/决算数","","000"))</f>
        <v/>
      </c>
      <c r="AA42" s="469">
        <f>IF(_epmOfflineCondition_,"C1001",EPMOlapMemberO(AA25,"[C_CATEGORY].[PARENTH1].[C1001]","C1001 - 实际数/决算数","","000"))</f>
        <v/>
      </c>
      <c r="AB42" s="469">
        <f>IF(_epmOfflineCondition_,"C1001",EPMOlapMemberO(AB25,"[C_CATEGORY].[PARENTH1].[C1001]","C1001 - 实际数/决算数","","000"))</f>
        <v/>
      </c>
      <c r="AC42" s="469" t="n"/>
      <c r="AD42" s="469">
        <f>IF(_epmOfflineCondition_,"C1001",EPMOlapMemberO(AD25,"[C_CATEGORY].[PARENTH1].[C1001]","C1001 - 实际数/决算数","","000"))</f>
        <v/>
      </c>
      <c r="AE42" s="469">
        <f>IF(_epmOfflineCondition_,"C1001",EPMOlapMemberO(AE25,"[C_CATEGORY].[PARENTH1].[C1001]","C1001 - 实际数/决算数","","000"))</f>
        <v/>
      </c>
      <c r="AF42" s="469">
        <f>IF(_epmOfflineCondition_,"C1001",EPMOlapMemberO(AF25,"[C_CATEGORY].[PARENTH1].[C1001]","C1001 - 实际数/决算数","","000"))</f>
        <v/>
      </c>
      <c r="AG42" s="469" t="n"/>
      <c r="AH42" s="469">
        <f>IF(_epmOfflineCondition_,"C1001",EPMOlapMemberO(AH25,"[C_CATEGORY].[PARENTH1].[C1001]","C1001 - 实际数/决算数","","000"))</f>
        <v/>
      </c>
      <c r="AI42" s="469">
        <f>IF(_epmOfflineCondition_,"C1001",EPMOlapMemberO(AI25,"[C_CATEGORY].[PARENTH1].[C1001]","C1001 - 实际数/决算数","","000"))</f>
        <v/>
      </c>
      <c r="AJ42" s="469">
        <f>IF(_epmOfflineCondition_,"C1001",EPMOlapMemberO(AJ25,"[C_CATEGORY].[PARENTH1].[C1001]","C1001 - 实际数/决算数","","000"))</f>
        <v/>
      </c>
      <c r="AK42" s="716" t="n"/>
    </row>
    <row r="43" hidden="1" ht="14.25" customFormat="1" customHeight="1" s="716">
      <c r="A43" s="716" t="n"/>
      <c r="B43" s="716" t="n"/>
      <c r="C43" s="716" t="n"/>
      <c r="D43" s="716" t="n"/>
      <c r="E43" s="716" t="n"/>
      <c r="F43" s="716" t="n"/>
      <c r="G43" s="716" t="n"/>
      <c r="H43" s="716" t="n"/>
      <c r="I43" s="716" t="n"/>
      <c r="J43" s="716" t="n"/>
      <c r="K43" s="716" t="n"/>
      <c r="L43" s="716" t="n"/>
      <c r="M43" s="716" t="n"/>
      <c r="N43" s="716" t="n"/>
      <c r="O43" s="716" t="n"/>
      <c r="P43" s="716" t="n"/>
      <c r="Q43" s="716" t="n"/>
      <c r="R43" s="716" t="n"/>
      <c r="S43" s="716" t="n"/>
      <c r="T43" s="716" t="n"/>
      <c r="U43" s="716" t="n"/>
      <c r="V43" s="716" t="n"/>
      <c r="W43" s="716" t="n"/>
      <c r="X43" s="515" t="inlineStr">
        <is>
          <t>audittrail</t>
        </is>
      </c>
      <c r="Y43" s="515" t="n"/>
      <c r="Z43" s="182">
        <f>IF(_epmOfflineCondition_,"DALL",EPMOlapMemberO($Z$29,"[C_AUDITTRAIL].[PARENTH1].[DALL]","DALL - 合并后","","000"))</f>
        <v/>
      </c>
      <c r="AA43" s="182">
        <f>IF(_epmOfflineCondition_,"DALL",EPMOlapMemberO($Z$29,"[C_AUDITTRAIL].[PARENTH1].[DALL]","DALL - 合并后","","000"))</f>
        <v/>
      </c>
      <c r="AB43" s="182">
        <f>IF(_epmOfflineCondition_,"DALL",EPMOlapMemberO($Z$29,"[C_AUDITTRAIL].[PARENTH1].[DALL]","DALL - 合并后","","000"))</f>
        <v/>
      </c>
      <c r="AC43" s="182" t="n"/>
      <c r="AD43" s="182">
        <f>IF(_epmOfflineCondition_,"DALL",EPMOlapMemberO($Z$29,"[C_AUDITTRAIL].[PARENTH1].[DALL]","DALL - 合并后","","000"))</f>
        <v/>
      </c>
      <c r="AE43" s="182">
        <f>IF(_epmOfflineCondition_,"DALL",EPMOlapMemberO($Z$29,"[C_AUDITTRAIL].[PARENTH1].[DALL]","DALL - 合并后","","000"))</f>
        <v/>
      </c>
      <c r="AF43" s="182">
        <f>IF(_epmOfflineCondition_,"DALL",EPMOlapMemberO($Z$29,"[C_AUDITTRAIL].[PARENTH1].[DALL]","DALL - 合并后","","000"))</f>
        <v/>
      </c>
      <c r="AG43" s="182" t="n"/>
      <c r="AH43" s="182">
        <f>IF(_epmOfflineCondition_,"DALL",EPMOlapMemberO($Z$29,"[C_AUDITTRAIL].[PARENTH1].[DALL]","DALL - 合并后","","000"))</f>
        <v/>
      </c>
      <c r="AI43" s="182">
        <f>IF(_epmOfflineCondition_,"DALL",EPMOlapMemberO($Z$29,"[C_AUDITTRAIL].[PARENTH1].[DALL]","DALL - 合并后","","000"))</f>
        <v/>
      </c>
      <c r="AJ43" s="182">
        <f>IF(_epmOfflineCondition_,"DALL",EPMOlapMemberO($Z$29,"[C_AUDITTRAIL].[PARENTH1].[DALL]","DALL - 合并后","","000"))</f>
        <v/>
      </c>
      <c r="AK43" s="716" t="n"/>
    </row>
    <row r="44" hidden="1" ht="13.5" customFormat="1" customHeight="1" s="716">
      <c r="A44" s="716" t="n"/>
      <c r="B44" s="716" t="n"/>
      <c r="C44" s="716" t="n"/>
      <c r="D44" s="716" t="n"/>
      <c r="E44" s="716" t="n"/>
      <c r="F44" s="716" t="n"/>
      <c r="G44" s="716" t="n"/>
      <c r="H44" s="716" t="n"/>
      <c r="I44" s="716" t="n"/>
      <c r="J44" s="716" t="n"/>
      <c r="K44" s="716" t="n"/>
      <c r="L44" s="716" t="n"/>
      <c r="M44" s="716" t="n"/>
      <c r="N44" s="716" t="n"/>
      <c r="O44" s="716" t="n"/>
      <c r="P44" s="716" t="n"/>
      <c r="Q44" s="716" t="n"/>
      <c r="R44" s="716" t="n"/>
      <c r="S44" s="716" t="n"/>
      <c r="T44" s="716" t="n"/>
      <c r="U44" s="716" t="n"/>
      <c r="V44" s="716" t="n"/>
      <c r="W44" s="716" t="n"/>
      <c r="X44" s="515" t="inlineStr">
        <is>
          <t>flow</t>
        </is>
      </c>
      <c r="Y44" s="515" t="n"/>
      <c r="Z44" s="182">
        <f>IF(_epmOfflineCondition_,"F20",EPMOlapMemberO(Z28,"[C_FLOW].[PARENTH1].[F20]","F20 - 本期增加","","000"))</f>
        <v/>
      </c>
      <c r="AA44" s="182">
        <f>IF(_epmOfflineCondition_,"F20",EPMOlapMemberO(AA28,"[C_FLOW].[PARENTH1].[F20]","F20 - 本期增加","","000"))</f>
        <v/>
      </c>
      <c r="AB44" s="182">
        <f>IF(_epmOfflineCondition_,"F20",EPMOlapMemberO(AB28,"[C_FLOW].[PARENTH1].[F20]","F20 - 本期增加","","000"))</f>
        <v/>
      </c>
      <c r="AC44" s="182" t="n"/>
      <c r="AD44" s="182">
        <f>IF(_epmOfflineCondition_,"F30",EPMOlapMemberO(AD28,"[C_FLOW].[PARENTH1].[F30]","F30 - 本期减少","","000"))</f>
        <v/>
      </c>
      <c r="AE44" s="182">
        <f>IF(_epmOfflineCondition_,"F30",EPMOlapMemberO(AE28,"[C_FLOW].[PARENTH1].[F30]","F30 - 本期减少","","000"))</f>
        <v/>
      </c>
      <c r="AF44" s="182">
        <f>IF(_epmOfflineCondition_,"F30",EPMOlapMemberO(AF28,"[C_FLOW].[PARENTH1].[F30]","F30 - 本期减少","","000"))</f>
        <v/>
      </c>
      <c r="AG44" s="182" t="n"/>
      <c r="AH44" s="182">
        <f>IF(_epmOfflineCondition_,"F30",EPMOlapMemberO(AH28,"[C_FLOW].[PARENTH1].[F30]","F30 - 本期减少","","000"))</f>
        <v/>
      </c>
      <c r="AI44" s="182">
        <f>IF(_epmOfflineCondition_,"F30",EPMOlapMemberO(AI28,"[C_FLOW].[PARENTH1].[F30]","F30 - 本期减少","","000"))</f>
        <v/>
      </c>
      <c r="AJ44" s="182">
        <f>IF(_epmOfflineCondition_,"F30",EPMOlapMemberO(AJ28,"[C_FLOW].[PARENTH1].[F30]","F30 - 本期减少","","000"))</f>
        <v/>
      </c>
      <c r="AK44" s="716" t="n"/>
    </row>
    <row r="45" hidden="1" ht="13.5" customFormat="1" customHeight="1" s="716">
      <c r="A45" s="716" t="n"/>
      <c r="B45" s="716" t="n"/>
      <c r="C45" s="716" t="n"/>
      <c r="D45" s="716" t="n"/>
      <c r="E45" s="716" t="n"/>
      <c r="F45" s="716" t="n"/>
      <c r="G45" s="716" t="n"/>
      <c r="H45" s="716" t="n"/>
      <c r="I45" s="716" t="n"/>
      <c r="J45" s="716" t="n"/>
      <c r="K45" s="716" t="n"/>
      <c r="L45" s="716" t="n"/>
      <c r="M45" s="716" t="n"/>
      <c r="N45" s="716" t="n"/>
      <c r="O45" s="716" t="n"/>
      <c r="P45" s="716" t="n"/>
      <c r="Q45" s="716" t="n"/>
      <c r="R45" s="716" t="n"/>
      <c r="S45" s="716" t="n"/>
      <c r="T45" s="716" t="n"/>
      <c r="U45" s="716" t="n"/>
      <c r="V45" s="716" t="n"/>
      <c r="W45" s="716" t="n"/>
      <c r="X45" s="515" t="inlineStr">
        <is>
          <t>measures</t>
        </is>
      </c>
      <c r="Y45" s="515" t="n"/>
      <c r="Z45" s="182">
        <f>IF(_epmOfflineCondition_,"Periodic",EPMOlapMemberO(Z27,"[MEASURES].[].[PERIODIC]","PERIODIC - Periodic","","000"))</f>
        <v/>
      </c>
      <c r="AA45" s="182">
        <f>IF(_epmOfflineCondition_,"YTD",EPMOlapMemberO(AA27,"[MEASURES].[].[YTD]","YTD - Year To Date","","000"))</f>
        <v/>
      </c>
      <c r="AB45" s="182">
        <f>IF(_epmOfflineCondition_,"YTD",EPMOlapMemberO(AB27,"[MEASURES].[].[YTD]","YTD - Year To Date","","000"))</f>
        <v/>
      </c>
      <c r="AC45" s="182" t="n"/>
      <c r="AD45" s="182">
        <f>IF(_epmOfflineCondition_,"Periodic",EPMOlapMemberO(AD27,"[MEASURES].[].[PERIODIC]","PERIODIC - Periodic","","000"))</f>
        <v/>
      </c>
      <c r="AE45" s="182">
        <f>IF(_epmOfflineCondition_,"YTD",EPMOlapMemberO(AE27,"[MEASURES].[].[YTD]","YTD - Year To Date","","000"))</f>
        <v/>
      </c>
      <c r="AF45" s="182">
        <f>IF(_epmOfflineCondition_,"YTD",EPMOlapMemberO(AF27,"[MEASURES].[].[YTD]","YTD - Year To Date","","000"))</f>
        <v/>
      </c>
      <c r="AG45" s="182" t="n"/>
      <c r="AH45" s="182">
        <f>IF(_epmOfflineCondition_,"Periodic",EPMOlapMemberO(AH27,"[MEASURES].[].[PERIODIC]","PERIODIC - Periodic","","000"))</f>
        <v/>
      </c>
      <c r="AI45" s="182">
        <f>IF(_epmOfflineCondition_,"YTD",EPMOlapMemberO(AI27,"[MEASURES].[].[YTD]","YTD - Year To Date","","000"))</f>
        <v/>
      </c>
      <c r="AJ45" s="182">
        <f>IF(_epmOfflineCondition_,"YTD",EPMOlapMemberO(AJ27,"[MEASURES].[].[YTD]","YTD - Year To Date","","000"))</f>
        <v/>
      </c>
      <c r="AK45" s="716" t="n"/>
    </row>
    <row r="46" hidden="1" ht="13.5" customFormat="1" customHeight="1" s="716">
      <c r="A46" s="716" t="n"/>
      <c r="B46" s="716" t="n"/>
      <c r="C46" s="716" t="n"/>
      <c r="D46" s="716" t="n"/>
      <c r="E46" s="716" t="n"/>
      <c r="F46" s="716" t="n"/>
      <c r="G46" s="716" t="n"/>
      <c r="H46" s="716" t="n"/>
      <c r="I46" s="716" t="n"/>
      <c r="J46" s="716" t="n"/>
      <c r="K46" s="716" t="n"/>
      <c r="L46" s="716" t="n"/>
      <c r="M46" s="716" t="n"/>
      <c r="N46" s="716" t="n"/>
      <c r="O46" s="716" t="n"/>
      <c r="P46" s="716" t="n"/>
      <c r="Q46" s="716" t="n"/>
      <c r="R46" s="716" t="n"/>
      <c r="S46" s="462" t="n"/>
      <c r="T46" s="716" t="n"/>
      <c r="U46" s="716" t="n"/>
      <c r="V46" s="716" t="n"/>
      <c r="W46" s="716" t="n"/>
      <c r="X46" s="515" t="inlineStr">
        <is>
          <t>misc</t>
        </is>
      </c>
      <c r="Y46" s="515" t="n"/>
      <c r="Z46" s="182">
        <f>IF(_epmOfflineCondition_,"ZM_DUMMY",EPMOlapMemberO(Z30,"[C_MISK].[PARENTH1].[ZM_DUMMY]","ZM_DUMMY","","000"))</f>
        <v/>
      </c>
      <c r="AA46" s="182">
        <f>IF(_epmOfflineCondition_,"ZM_DUMMY",EPMOlapMemberO(AA30,"[C_MISK].[PARENTH1].[ZM_DUMMY]","ZM_DUMMY","","000"))</f>
        <v/>
      </c>
      <c r="AB46" s="182">
        <f>IF(_epmOfflineCondition_,"ZM_DUMMY",EPMOlapMemberO(AB30,"[C_MISK].[PARENTH1].[ZM_DUMMY]","ZM_DUMMY","","000"))</f>
        <v/>
      </c>
      <c r="AC46" s="182" t="n"/>
      <c r="AD46" s="182">
        <f>IF(_epmOfflineCondition_,"ZM_DUMMY",EPMOlapMemberO(AD30,"[C_MISK].[PARENTH1].[ZM_DUMMY]","ZM_DUMMY","","000"))</f>
        <v/>
      </c>
      <c r="AE46" s="182">
        <f>IF(_epmOfflineCondition_,"ZM_DUMMY",EPMOlapMemberO(AE30,"[C_MISK].[PARENTH1].[ZM_DUMMY]","ZM_DUMMY","","000"))</f>
        <v/>
      </c>
      <c r="AF46" s="182">
        <f>IF(_epmOfflineCondition_,"ZM_DUMMY",EPMOlapMemberO(AF30,"[C_MISK].[PARENTH1].[ZM_DUMMY]","ZM_DUMMY","","000"))</f>
        <v/>
      </c>
      <c r="AG46" s="182" t="n"/>
      <c r="AH46" s="182">
        <f>IF(_epmOfflineCondition_,"ZM_DUMMY",EPMOlapMemberO(AH30,"[C_MISK].[PARENTH1].[ZM_DUMMY]","ZM_DUMMY","","000"))</f>
        <v/>
      </c>
      <c r="AI46" s="182">
        <f>IF(_epmOfflineCondition_,"ZM_DUMMY",EPMOlapMemberO(AI30,"[C_MISK].[PARENTH1].[ZM_DUMMY]","ZM_DUMMY","","000"))</f>
        <v/>
      </c>
      <c r="AJ46" s="182">
        <f>IF(_epmOfflineCondition_,"ZM_DUMMY",EPMOlapMemberO(AJ30,"[C_MISK].[PARENTH1].[ZM_DUMMY]","ZM_DUMMY","","000"))</f>
        <v/>
      </c>
      <c r="AK46" s="716" t="n"/>
    </row>
    <row r="47" hidden="1" ht="13.5" customFormat="1" customHeight="1" s="716">
      <c r="A47" s="716" t="n"/>
      <c r="B47" s="716" t="n"/>
      <c r="C47" s="716" t="n"/>
      <c r="D47" s="716" t="n"/>
      <c r="E47" s="716" t="n"/>
      <c r="F47" s="716" t="n"/>
      <c r="G47" s="716" t="n"/>
      <c r="H47" s="716" t="n"/>
      <c r="I47" s="716" t="n"/>
      <c r="J47" s="716" t="n"/>
      <c r="K47" s="716" t="n"/>
      <c r="L47" s="716" t="n"/>
      <c r="M47" s="716" t="n"/>
      <c r="N47" s="716" t="n"/>
      <c r="O47" s="716" t="n"/>
      <c r="P47" s="716" t="n"/>
      <c r="Q47" s="716" t="n"/>
      <c r="R47" s="716" t="n"/>
      <c r="S47" s="462" t="n"/>
      <c r="T47" s="716" t="n"/>
      <c r="U47" s="716" t="n"/>
      <c r="V47" s="716" t="n"/>
      <c r="W47" s="716" t="n"/>
      <c r="X47" s="515" t="n"/>
      <c r="Y47" s="515" t="n"/>
      <c r="Z47" s="182" t="n"/>
      <c r="AA47" s="182" t="n"/>
      <c r="AB47" s="182" t="n"/>
      <c r="AC47" s="182" t="n"/>
      <c r="AD47" s="182" t="n"/>
      <c r="AE47" s="182" t="n"/>
      <c r="AF47" s="182" t="n"/>
      <c r="AG47" s="182" t="n"/>
      <c r="AH47" s="716" t="n"/>
      <c r="AI47" s="716" t="n"/>
      <c r="AJ47" s="716" t="n"/>
      <c r="AK47" s="716" t="n"/>
    </row>
    <row r="48" ht="15.95" customFormat="1" customHeight="1" s="716">
      <c r="A48" s="716" t="n"/>
      <c r="B48" s="716" t="n"/>
      <c r="C48" s="716" t="n"/>
      <c r="D48" s="716" t="n"/>
      <c r="E48" s="716" t="n"/>
      <c r="F48" s="716" t="n"/>
      <c r="G48" s="716" t="n"/>
      <c r="H48" s="716" t="n"/>
      <c r="I48" s="716" t="n"/>
      <c r="J48" s="716" t="n"/>
      <c r="K48" s="716" t="n"/>
      <c r="L48" s="716" t="n"/>
      <c r="M48" s="716" t="n"/>
      <c r="N48" s="716" t="n"/>
      <c r="O48" s="716" t="n"/>
      <c r="P48" s="716" t="n"/>
      <c r="Q48" s="716" t="n"/>
      <c r="R48" s="716" t="n"/>
      <c r="S48" s="462" t="n"/>
      <c r="T48" s="716" t="n"/>
      <c r="U48" s="716" t="n"/>
      <c r="V48" s="462" t="n"/>
      <c r="W48" s="462" t="n"/>
      <c r="X48" s="824" t="inlineStr">
        <is>
          <t>合计</t>
        </is>
      </c>
      <c r="Y48" s="1304">
        <f>ROW()-47</f>
        <v/>
      </c>
      <c r="Z48" s="1305">
        <f>Z49+Z69+Z70+Z78</f>
        <v/>
      </c>
      <c r="AA48" s="1305">
        <f>AA49+AA69+AA70+AA78</f>
        <v/>
      </c>
      <c r="AB48" s="1305">
        <f>AB49+AB69+AB70+AB78</f>
        <v/>
      </c>
      <c r="AC48" s="1305">
        <f>IF(AB48=0,0,(AA48-AB48)/AB48*100)</f>
        <v/>
      </c>
      <c r="AD48" s="1305">
        <f>AD49+AD69+AD70+AD78</f>
        <v/>
      </c>
      <c r="AE48" s="1305">
        <f>AE49+AE69+AE70+AE78</f>
        <v/>
      </c>
      <c r="AF48" s="1305">
        <f>AF49+AF69+AF70+AF78</f>
        <v/>
      </c>
      <c r="AG48" s="1305">
        <f>IF(AF48=0,0,(AE48-AF48)/AF48*100)</f>
        <v/>
      </c>
      <c r="AH48" s="1192" t="n"/>
      <c r="AI48" s="1192" t="n"/>
      <c r="AJ48" s="1192" t="n"/>
      <c r="AK48" s="716" t="n"/>
    </row>
    <row r="49" ht="16" customFormat="1" customHeight="1" s="716">
      <c r="A49" s="716" t="n"/>
      <c r="B49" s="716" t="n"/>
      <c r="C49" s="716" t="n"/>
      <c r="D49" s="716" t="n"/>
      <c r="E49" s="716" t="n"/>
      <c r="F49" s="716" t="n"/>
      <c r="G49" s="716" t="n"/>
      <c r="H49" s="716" t="n"/>
      <c r="I49" s="716" t="n"/>
      <c r="J49" s="716" t="n"/>
      <c r="K49" s="716" t="n"/>
      <c r="L49" s="716" t="n"/>
      <c r="M49" s="716" t="n"/>
      <c r="N49" s="716" t="n"/>
      <c r="O49" s="716" t="n"/>
      <c r="P49" s="716" t="n"/>
      <c r="Q49" s="716" t="n"/>
      <c r="R49" s="716" t="n"/>
      <c r="S49" s="462">
        <f>IF(_epmOfflineCondition_,"应交款项明细-应交税费",EPMMemberDesc(U49))</f>
        <v/>
      </c>
      <c r="T49" s="716" t="n"/>
      <c r="U49" s="825" t="inlineStr">
        <is>
          <t>A08401</t>
        </is>
      </c>
      <c r="V49" s="462">
        <f>IF(_epmOfflineCondition_,"A08401",EPMOlapMemberO(U49,"[C_ACCOUNT].[PARENTH1].[A08401]","A08401 - 应交款项明细-应交税费","","000"))</f>
        <v/>
      </c>
      <c r="W49" s="462" t="n"/>
      <c r="X49" s="826" t="inlineStr">
        <is>
          <t>一、应交税费</t>
        </is>
      </c>
      <c r="Y49" s="1306">
        <f>ROW()-47</f>
        <v/>
      </c>
      <c r="Z49" s="1307">
        <f>SUM(Z50:Z68)</f>
        <v/>
      </c>
      <c r="AA49" s="1307">
        <f>SUM(AA50:AA68)</f>
        <v/>
      </c>
      <c r="AB49" s="1307">
        <f>SUM(AB50:AB68)</f>
        <v/>
      </c>
      <c r="AC49" s="1307">
        <f>IF(AB49=0,0,(AA49-AB49)/AB49*100)</f>
        <v/>
      </c>
      <c r="AD49" s="1307">
        <f>SUM(AD50:AD68)</f>
        <v/>
      </c>
      <c r="AE49" s="1307">
        <f>SUM(AE50:AE68)</f>
        <v/>
      </c>
      <c r="AF49" s="1307">
        <f>SUM(AF50:AF68)</f>
        <v/>
      </c>
      <c r="AG49" s="1307">
        <f>IF(AF49=0,0,(AE49-AF49)/AF49*100)</f>
        <v/>
      </c>
      <c r="AH49" s="1308" t="inlineStr"/>
      <c r="AI49" s="1308" t="inlineStr"/>
      <c r="AJ49" s="1308" t="inlineStr"/>
      <c r="AK49" s="716" t="n"/>
    </row>
    <row r="50" ht="15.95" customFormat="1" customHeight="1" s="716">
      <c r="A50" s="716" t="n"/>
      <c r="B50" s="716" t="n"/>
      <c r="C50" s="716" t="n"/>
      <c r="D50" s="716" t="n"/>
      <c r="E50" s="716" t="n"/>
      <c r="F50" s="716" t="n"/>
      <c r="G50" s="716" t="n"/>
      <c r="H50" s="716" t="n"/>
      <c r="I50" s="716" t="n"/>
      <c r="J50" s="716" t="n"/>
      <c r="K50" s="716" t="n"/>
      <c r="L50" s="716" t="n"/>
      <c r="M50" s="716" t="n"/>
      <c r="N50" s="716" t="n"/>
      <c r="O50" s="716" t="n"/>
      <c r="P50" s="716" t="n"/>
      <c r="Q50" s="716" t="n"/>
      <c r="R50" s="716" t="n"/>
      <c r="S50" s="462">
        <f>IF(_epmOfflineCondition_,"应交款项明细-增值税",EPMMemberDesc(U50))</f>
        <v/>
      </c>
      <c r="T50" s="716" t="n"/>
      <c r="U50" s="825" t="inlineStr">
        <is>
          <t>A0840101</t>
        </is>
      </c>
      <c r="V50" s="455">
        <f>IF(_epmOfflineCondition_,"A0840101",EPMOlapMemberO(U50,"[C_ACCOUNT].[PARENTH1].[A0840101]","A0840101 - 应交款项明细-增值税","","000"))</f>
        <v/>
      </c>
      <c r="W50" s="462" t="n"/>
      <c r="X50" s="821" t="inlineStr">
        <is>
          <t>增值税</t>
        </is>
      </c>
      <c r="Y50" s="1306">
        <f>ROW()-47</f>
        <v/>
      </c>
      <c r="Z50" s="1307" t="n"/>
      <c r="AA50" s="1307" t="inlineStr"/>
      <c r="AB50" s="1307" t="inlineStr"/>
      <c r="AC50" s="1307">
        <f>IF(AB50=0,0,(AA50-AB50)/AB50*100)</f>
        <v/>
      </c>
      <c r="AD50" s="1307">
        <f>IF(I8="01",AE50,Q3-S3)</f>
        <v/>
      </c>
      <c r="AE50" s="1307" t="inlineStr"/>
      <c r="AF50" s="1307" t="inlineStr"/>
      <c r="AG50" s="1307">
        <f>IF(AF50=0,0,(AE50-AF50)/AF50*100)</f>
        <v/>
      </c>
      <c r="AH50" s="1308" t="n"/>
      <c r="AI50" s="1308" t="n"/>
      <c r="AJ50" s="1308" t="n"/>
      <c r="AK50" s="716" t="n"/>
    </row>
    <row r="51" ht="15.95" customFormat="1" customHeight="1" s="716">
      <c r="A51" s="716" t="n"/>
      <c r="B51" s="716" t="n"/>
      <c r="C51" s="716" t="n"/>
      <c r="D51" s="716" t="n"/>
      <c r="E51" s="716" t="n"/>
      <c r="F51" s="716" t="n"/>
      <c r="G51" s="716" t="n"/>
      <c r="H51" s="716" t="n"/>
      <c r="I51" s="716" t="n"/>
      <c r="J51" s="716" t="n"/>
      <c r="K51" s="716" t="n"/>
      <c r="L51" s="716" t="n"/>
      <c r="M51" s="716" t="n"/>
      <c r="N51" s="716" t="n"/>
      <c r="O51" s="716" t="n"/>
      <c r="P51" s="716" t="n"/>
      <c r="Q51" s="716" t="n"/>
      <c r="R51" s="716" t="n"/>
      <c r="S51" s="462">
        <f>IF(_epmOfflineCondition_,"应交款项明细-消费税",EPMMemberDesc(U51))</f>
        <v/>
      </c>
      <c r="T51" s="716" t="n"/>
      <c r="U51" s="825" t="inlineStr">
        <is>
          <t>A0840102</t>
        </is>
      </c>
      <c r="V51" s="455">
        <f>IF(_epmOfflineCondition_,"A0840102",EPMOlapMemberO(U51,"[C_ACCOUNT].[PARENTH1].[A0840102]","A0840102 - 应交款项明细-消费税","","000"))</f>
        <v/>
      </c>
      <c r="W51" s="462" t="n"/>
      <c r="X51" s="821" t="inlineStr">
        <is>
          <t>消费税</t>
        </is>
      </c>
      <c r="Y51" s="1306">
        <f>ROW()-47</f>
        <v/>
      </c>
      <c r="Z51" s="1307" t="n"/>
      <c r="AA51" s="1307" t="n"/>
      <c r="AB51" s="1307" t="n"/>
      <c r="AC51" s="1307">
        <f>IF(AB51=0,0,(AA51-AB51)/AB51*100)</f>
        <v/>
      </c>
      <c r="AD51" s="1307">
        <f>AH51*-1</f>
        <v/>
      </c>
      <c r="AE51" s="1307">
        <f>AI51*-1</f>
        <v/>
      </c>
      <c r="AF51" s="1307">
        <f>AJ51*-1</f>
        <v/>
      </c>
      <c r="AG51" s="1307">
        <f>IF(AF51=0,0,(AE51-AF51)/AF51*100)</f>
        <v/>
      </c>
      <c r="AH51" s="1308" t="n"/>
      <c r="AI51" s="1308" t="n"/>
      <c r="AJ51" s="1308" t="n"/>
      <c r="AK51" s="716" t="n"/>
    </row>
    <row r="52" ht="15.95" customFormat="1" customHeight="1" s="716">
      <c r="A52" s="716" t="n"/>
      <c r="B52" s="716" t="n"/>
      <c r="C52" s="716" t="n"/>
      <c r="D52" s="716" t="n"/>
      <c r="E52" s="716" t="n"/>
      <c r="F52" s="716" t="n"/>
      <c r="G52" s="716" t="n"/>
      <c r="H52" s="716" t="n"/>
      <c r="I52" s="716" t="n"/>
      <c r="J52" s="716" t="n"/>
      <c r="K52" s="716" t="n"/>
      <c r="L52" s="716" t="n"/>
      <c r="M52" s="716" t="n"/>
      <c r="N52" s="716" t="n"/>
      <c r="O52" s="716" t="n"/>
      <c r="P52" s="716" t="n"/>
      <c r="Q52" s="716" t="n"/>
      <c r="R52" s="716" t="n"/>
      <c r="S52" s="462">
        <f>IF(_epmOfflineCondition_,"应交款项明细-资源税",EPMMemberDesc(U52))</f>
        <v/>
      </c>
      <c r="T52" s="716" t="n"/>
      <c r="U52" s="825" t="inlineStr">
        <is>
          <t>A0840103</t>
        </is>
      </c>
      <c r="V52" s="455">
        <f>IF(_epmOfflineCondition_,"A0840103",EPMOlapMemberO(U52,"[C_ACCOUNT].[PARENTH1].[A0840103]","A0840103 - 应交款项明细-资源税","","000"))</f>
        <v/>
      </c>
      <c r="W52" s="462" t="n"/>
      <c r="X52" s="821" t="inlineStr">
        <is>
          <t>资源税</t>
        </is>
      </c>
      <c r="Y52" s="1306">
        <f>ROW()-47</f>
        <v/>
      </c>
      <c r="Z52" s="1307" t="inlineStr"/>
      <c r="AA52" s="1307" t="inlineStr"/>
      <c r="AB52" s="1307" t="inlineStr"/>
      <c r="AC52" s="1307">
        <f>IF(AB52=0,0,(AA52-AB52)/AB52*100)</f>
        <v/>
      </c>
      <c r="AD52" s="1307">
        <f>AH52*-1</f>
        <v/>
      </c>
      <c r="AE52" s="1307">
        <f>AI52*-1</f>
        <v/>
      </c>
      <c r="AF52" s="1307">
        <f>AJ52*-1</f>
        <v/>
      </c>
      <c r="AG52" s="1307">
        <f>IF(AF52=0,0,(AE52-AF52)/AF52*100)</f>
        <v/>
      </c>
      <c r="AH52" s="1308" t="inlineStr"/>
      <c r="AI52" s="1308" t="inlineStr"/>
      <c r="AJ52" s="1308" t="inlineStr"/>
      <c r="AK52" s="716" t="n"/>
    </row>
    <row r="53" ht="15.95" customFormat="1" customHeight="1" s="716">
      <c r="A53" s="716" t="n"/>
      <c r="B53" s="716" t="n"/>
      <c r="C53" s="716" t="n"/>
      <c r="D53" s="716" t="n"/>
      <c r="E53" s="716" t="n"/>
      <c r="F53" s="716" t="n"/>
      <c r="G53" s="716" t="n"/>
      <c r="H53" s="716" t="n"/>
      <c r="I53" s="716" t="n"/>
      <c r="J53" s="716" t="n"/>
      <c r="K53" s="716" t="n"/>
      <c r="L53" s="716" t="n"/>
      <c r="M53" s="716" t="n"/>
      <c r="N53" s="716" t="n"/>
      <c r="O53" s="716" t="n"/>
      <c r="P53" s="716" t="n"/>
      <c r="Q53" s="716" t="n"/>
      <c r="R53" s="716" t="n"/>
      <c r="S53" s="462">
        <f>IF(_epmOfflineCondition_,"应交款项明细-土地增值税",EPMMemberDesc(U53))</f>
        <v/>
      </c>
      <c r="T53" s="716" t="n"/>
      <c r="U53" s="825" t="inlineStr">
        <is>
          <t>A0840104</t>
        </is>
      </c>
      <c r="V53" s="455">
        <f>IF(_epmOfflineCondition_,"A0840104",EPMOlapMemberO(U53,"[C_ACCOUNT].[PARENTH1].[A0840104]","A0840104 - 应交款项明细-土地增值税","","000"))</f>
        <v/>
      </c>
      <c r="W53" s="462" t="n"/>
      <c r="X53" s="821" t="inlineStr">
        <is>
          <t>土地增值税</t>
        </is>
      </c>
      <c r="Y53" s="1306">
        <f>ROW()-47</f>
        <v/>
      </c>
      <c r="Z53" s="1307" t="n"/>
      <c r="AA53" s="1307" t="n"/>
      <c r="AB53" s="1307" t="n"/>
      <c r="AC53" s="1307">
        <f>IF(AB53=0,0,(AA53-AB53)/AB53*100)</f>
        <v/>
      </c>
      <c r="AD53" s="1307">
        <f>AH53*-1</f>
        <v/>
      </c>
      <c r="AE53" s="1307">
        <f>AI53*-1</f>
        <v/>
      </c>
      <c r="AF53" s="1307">
        <f>AJ53*-1</f>
        <v/>
      </c>
      <c r="AG53" s="1307">
        <f>IF(AF53=0,0,(AE53-AF53)/AF53*100)</f>
        <v/>
      </c>
      <c r="AH53" s="1308" t="n"/>
      <c r="AI53" s="1308" t="n"/>
      <c r="AJ53" s="1308" t="n"/>
      <c r="AK53" s="716" t="n"/>
    </row>
    <row r="54" ht="15.95" customFormat="1" customHeight="1" s="716">
      <c r="A54" s="716" t="n"/>
      <c r="B54" s="716" t="n"/>
      <c r="C54" s="716" t="n"/>
      <c r="D54" s="716" t="n"/>
      <c r="E54" s="716" t="n"/>
      <c r="F54" s="716" t="n"/>
      <c r="G54" s="716" t="n"/>
      <c r="H54" s="716" t="n"/>
      <c r="I54" s="716" t="n"/>
      <c r="J54" s="716" t="n"/>
      <c r="K54" s="716" t="n"/>
      <c r="L54" s="716" t="n"/>
      <c r="M54" s="716" t="n"/>
      <c r="N54" s="716" t="n"/>
      <c r="O54" s="716" t="n"/>
      <c r="P54" s="716" t="n"/>
      <c r="Q54" s="716" t="n"/>
      <c r="R54" s="716" t="n"/>
      <c r="S54" s="462">
        <f>IF(_epmOfflineCondition_,"应交款项明细-城市维护建设税",EPMMemberDesc(U54))</f>
        <v/>
      </c>
      <c r="T54" s="716" t="n"/>
      <c r="U54" s="825" t="inlineStr">
        <is>
          <t>A0840105</t>
        </is>
      </c>
      <c r="V54" s="455">
        <f>IF(_epmOfflineCondition_,"A0840105",EPMOlapMemberO(U54,"[C_ACCOUNT].[PARENTH1].[A0840105]","A0840105 - 应交款项明细-城市维护建设税","","000"))</f>
        <v/>
      </c>
      <c r="W54" s="462" t="n"/>
      <c r="X54" s="821" t="inlineStr">
        <is>
          <t>城市维护建设税</t>
        </is>
      </c>
      <c r="Y54" s="1306">
        <f>ROW()-47</f>
        <v/>
      </c>
      <c r="Z54" s="1307" t="n"/>
      <c r="AA54" s="1307" t="n"/>
      <c r="AB54" s="1307" t="n"/>
      <c r="AC54" s="1307">
        <f>IF(AB54=0,0,(AA54-AB54)/AB54*100)</f>
        <v/>
      </c>
      <c r="AD54" s="1307">
        <f>AH54*-1</f>
        <v/>
      </c>
      <c r="AE54" s="1307">
        <f>AI54*-1</f>
        <v/>
      </c>
      <c r="AF54" s="1307">
        <f>AJ54*-1</f>
        <v/>
      </c>
      <c r="AG54" s="1307">
        <f>IF(AF54=0,0,(AE54-AF54)/AF54*100)</f>
        <v/>
      </c>
      <c r="AH54" s="1308" t="n"/>
      <c r="AI54" s="1308" t="n"/>
      <c r="AJ54" s="1308" t="n"/>
      <c r="AK54" s="716" t="n"/>
    </row>
    <row r="55" ht="15.95" customFormat="1" customHeight="1" s="716">
      <c r="A55" s="716" t="n"/>
      <c r="B55" s="716" t="n"/>
      <c r="C55" s="716" t="n"/>
      <c r="D55" s="716" t="n"/>
      <c r="E55" s="716" t="n"/>
      <c r="F55" s="716" t="n"/>
      <c r="G55" s="716" t="n"/>
      <c r="H55" s="716" t="n"/>
      <c r="I55" s="716" t="n"/>
      <c r="J55" s="716" t="n"/>
      <c r="K55" s="716" t="n"/>
      <c r="L55" s="716" t="n"/>
      <c r="M55" s="716" t="n"/>
      <c r="N55" s="716" t="n"/>
      <c r="O55" s="716" t="n"/>
      <c r="P55" s="716" t="n"/>
      <c r="Q55" s="716" t="n"/>
      <c r="R55" s="716" t="n"/>
      <c r="S55" s="462">
        <f>IF(_epmOfflineCondition_,"应交款项明细-教育费附加",EPMMemberDesc(U55))</f>
        <v/>
      </c>
      <c r="T55" s="716" t="n"/>
      <c r="U55" s="825" t="inlineStr">
        <is>
          <t>A0840106</t>
        </is>
      </c>
      <c r="V55" s="455">
        <f>IF(_epmOfflineCondition_,"A0840106",EPMOlapMemberO(U55,"[C_ACCOUNT].[PARENTH1].[A0840106]","A0840106 - 应交款项明细-教育费附加","","000"))</f>
        <v/>
      </c>
      <c r="W55" s="462" t="n"/>
      <c r="X55" s="821" t="inlineStr">
        <is>
          <t>教育费附加</t>
        </is>
      </c>
      <c r="Y55" s="1306">
        <f>ROW()-47</f>
        <v/>
      </c>
      <c r="Z55" s="1307" t="n"/>
      <c r="AA55" s="1307" t="n"/>
      <c r="AB55" s="1307" t="n"/>
      <c r="AC55" s="1307">
        <f>IF(AB55=0,0,(AA55-AB55)/AB55*100)</f>
        <v/>
      </c>
      <c r="AD55" s="1307">
        <f>AH55*-1</f>
        <v/>
      </c>
      <c r="AE55" s="1307">
        <f>AI55*-1</f>
        <v/>
      </c>
      <c r="AF55" s="1307">
        <f>AJ55*-1</f>
        <v/>
      </c>
      <c r="AG55" s="1307">
        <f>IF(AF55=0,0,(AE55-AF55)/AF55*100)</f>
        <v/>
      </c>
      <c r="AH55" s="1308" t="n"/>
      <c r="AI55" s="1308" t="n"/>
      <c r="AJ55" s="1308" t="n"/>
      <c r="AK55" s="716" t="n"/>
    </row>
    <row r="56" ht="15.95" customFormat="1" customHeight="1" s="716">
      <c r="A56" s="716" t="n"/>
      <c r="B56" s="716" t="n"/>
      <c r="C56" s="716" t="n"/>
      <c r="D56" s="716" t="n"/>
      <c r="E56" s="716" t="n"/>
      <c r="F56" s="716" t="n"/>
      <c r="G56" s="716" t="n"/>
      <c r="H56" s="716" t="n"/>
      <c r="I56" s="716" t="n"/>
      <c r="J56" s="716" t="n"/>
      <c r="K56" s="716" t="n"/>
      <c r="L56" s="716" t="n"/>
      <c r="M56" s="716" t="n"/>
      <c r="N56" s="716" t="n"/>
      <c r="O56" s="716" t="n"/>
      <c r="P56" s="716" t="n"/>
      <c r="Q56" s="716" t="n"/>
      <c r="R56" s="716" t="n"/>
      <c r="S56" s="462">
        <f>IF(_epmOfflineCondition_,"应交款项明细-关税",EPMMemberDesc(U56))</f>
        <v/>
      </c>
      <c r="T56" s="716" t="n"/>
      <c r="U56" s="825" t="inlineStr">
        <is>
          <t>A0840108</t>
        </is>
      </c>
      <c r="V56" s="455">
        <f>IF(_epmOfflineCondition_,"A0840108",EPMOlapMemberO(U56,"[C_ACCOUNT].[PARENTH1].[A0840108]","A0840108 - 应交款项明细-关税","","000"))</f>
        <v/>
      </c>
      <c r="W56" s="462" t="n"/>
      <c r="X56" s="821" t="inlineStr">
        <is>
          <t>关税</t>
        </is>
      </c>
      <c r="Y56" s="1306">
        <f>ROW()-47</f>
        <v/>
      </c>
      <c r="Z56" s="1307" t="n"/>
      <c r="AA56" s="1307" t="n"/>
      <c r="AB56" s="1307" t="n"/>
      <c r="AC56" s="1307">
        <f>IF(AB56=0,0,(AA56-AB56)/AB56*100)</f>
        <v/>
      </c>
      <c r="AD56" s="1307">
        <f>AH56*-1</f>
        <v/>
      </c>
      <c r="AE56" s="1307">
        <f>AI56*-1</f>
        <v/>
      </c>
      <c r="AF56" s="1307">
        <f>AJ56*-1</f>
        <v/>
      </c>
      <c r="AG56" s="1307">
        <f>IF(AF56=0,0,(AE56-AF56)/AF56*100)</f>
        <v/>
      </c>
      <c r="AH56" s="1308" t="n"/>
      <c r="AI56" s="1308" t="n"/>
      <c r="AJ56" s="1308" t="n"/>
      <c r="AK56" s="716" t="n"/>
    </row>
    <row r="57" ht="15.95" customFormat="1" customHeight="1" s="716">
      <c r="A57" s="716" t="n"/>
      <c r="B57" s="716" t="n"/>
      <c r="C57" s="716" t="n"/>
      <c r="D57" s="716" t="n"/>
      <c r="E57" s="716" t="n"/>
      <c r="F57" s="716" t="n"/>
      <c r="G57" s="716" t="n"/>
      <c r="H57" s="716" t="n"/>
      <c r="I57" s="716" t="n"/>
      <c r="J57" s="716" t="n"/>
      <c r="K57" s="716" t="n"/>
      <c r="L57" s="716" t="n"/>
      <c r="M57" s="716" t="n"/>
      <c r="N57" s="716" t="n"/>
      <c r="O57" s="716" t="n"/>
      <c r="P57" s="716" t="n"/>
      <c r="Q57" s="716" t="n"/>
      <c r="R57" s="716" t="n"/>
      <c r="S57" s="462">
        <f>IF(_epmOfflineCondition_,"应交款项明细-企业所得税",EPMMemberDesc(U57))</f>
        <v/>
      </c>
      <c r="T57" s="716" t="n"/>
      <c r="U57" s="825" t="inlineStr">
        <is>
          <t>A0840109</t>
        </is>
      </c>
      <c r="V57" s="455">
        <f>IF(_epmOfflineCondition_,"A0840109",EPMOlapMemberO(U57,"[C_ACCOUNT].[PARENTH1].[A0840109]","A0840109 - 应交款项明细-企业所得税","","000"))</f>
        <v/>
      </c>
      <c r="W57" s="462" t="n"/>
      <c r="X57" s="821" t="inlineStr">
        <is>
          <t>企业所得税</t>
        </is>
      </c>
      <c r="Y57" s="1306">
        <f>ROW()-47</f>
        <v/>
      </c>
      <c r="Z57" s="1307" t="n"/>
      <c r="AA57" s="1307" t="n"/>
      <c r="AB57" s="1307" t="n"/>
      <c r="AC57" s="1307">
        <f>IF(AB57=0,0,(AA57-AB57)/AB57*100)</f>
        <v/>
      </c>
      <c r="AD57" s="1307">
        <f>AH57*-1</f>
        <v/>
      </c>
      <c r="AE57" s="1307">
        <f>AI57*-1</f>
        <v/>
      </c>
      <c r="AF57" s="1307">
        <f>AJ57*-1</f>
        <v/>
      </c>
      <c r="AG57" s="1307">
        <f>IF(AF57=0,0,(AE57-AF57)/AF57*100)</f>
        <v/>
      </c>
      <c r="AH57" s="1308" t="n"/>
      <c r="AI57" s="1308" t="n"/>
      <c r="AJ57" s="1308" t="n"/>
      <c r="AK57" s="716" t="n"/>
    </row>
    <row r="58" ht="15.95" customFormat="1" customHeight="1" s="716">
      <c r="A58" s="716" t="n"/>
      <c r="B58" s="716" t="n"/>
      <c r="C58" s="716" t="n"/>
      <c r="D58" s="716" t="n"/>
      <c r="E58" s="716" t="n"/>
      <c r="F58" s="716" t="n"/>
      <c r="G58" s="716" t="n"/>
      <c r="H58" s="716" t="n"/>
      <c r="I58" s="716" t="n"/>
      <c r="J58" s="716" t="n"/>
      <c r="K58" s="716" t="n"/>
      <c r="L58" s="716" t="n"/>
      <c r="M58" s="716" t="n"/>
      <c r="N58" s="716" t="n"/>
      <c r="O58" s="716" t="n"/>
      <c r="P58" s="716" t="n"/>
      <c r="Q58" s="716" t="n"/>
      <c r="R58" s="716" t="n"/>
      <c r="S58" s="462">
        <f>IF(_epmOfflineCondition_,"应交款项明细-房产税",EPMMemberDesc(U58))</f>
        <v/>
      </c>
      <c r="T58" s="716" t="n"/>
      <c r="U58" s="825" t="inlineStr">
        <is>
          <t>A0840110</t>
        </is>
      </c>
      <c r="V58" s="455">
        <f>IF(_epmOfflineCondition_,"A0840110",EPMOlapMemberO(U58,"[C_ACCOUNT].[PARENTH1].[A0840110]","A0840110 - 应交款项明细-房产税","","000"))</f>
        <v/>
      </c>
      <c r="W58" s="462" t="n"/>
      <c r="X58" s="821" t="inlineStr">
        <is>
          <t>房产税</t>
        </is>
      </c>
      <c r="Y58" s="1306">
        <f>ROW()-47</f>
        <v/>
      </c>
      <c r="Z58" s="1307" t="inlineStr"/>
      <c r="AA58" s="1307" t="inlineStr"/>
      <c r="AB58" s="1307" t="n"/>
      <c r="AC58" s="1307">
        <f>IF(AB58=0,0,(AA58-AB58)/AB58*100)</f>
        <v/>
      </c>
      <c r="AD58" s="1307">
        <f>AH58*-1</f>
        <v/>
      </c>
      <c r="AE58" s="1307">
        <f>AI58*-1</f>
        <v/>
      </c>
      <c r="AF58" s="1307">
        <f>AJ58*-1</f>
        <v/>
      </c>
      <c r="AG58" s="1307">
        <f>IF(AF58=0,0,(AE58-AF58)/AF58*100)</f>
        <v/>
      </c>
      <c r="AH58" s="1308" t="n"/>
      <c r="AI58" s="1308" t="n"/>
      <c r="AJ58" s="1308" t="n"/>
      <c r="AK58" s="716" t="n"/>
    </row>
    <row r="59" ht="15.95" customFormat="1" customHeight="1" s="716">
      <c r="A59" s="716" t="n"/>
      <c r="B59" s="716" t="n"/>
      <c r="C59" s="716" t="n"/>
      <c r="D59" s="716" t="n"/>
      <c r="E59" s="716" t="n"/>
      <c r="F59" s="716" t="n"/>
      <c r="G59" s="716" t="n"/>
      <c r="H59" s="716" t="n"/>
      <c r="I59" s="716" t="n"/>
      <c r="J59" s="716" t="n"/>
      <c r="K59" s="716" t="n"/>
      <c r="L59" s="716" t="n"/>
      <c r="M59" s="716" t="n"/>
      <c r="N59" s="716" t="n"/>
      <c r="O59" s="716" t="n"/>
      <c r="P59" s="716" t="n"/>
      <c r="Q59" s="716" t="n"/>
      <c r="R59" s="716" t="n"/>
      <c r="S59" s="462">
        <f>IF(_epmOfflineCondition_,"应交款项明细-车船使用税",EPMMemberDesc(U59))</f>
        <v/>
      </c>
      <c r="T59" s="716" t="n"/>
      <c r="U59" s="825" t="inlineStr">
        <is>
          <t>A0840111</t>
        </is>
      </c>
      <c r="V59" s="455">
        <f>IF(_epmOfflineCondition_,"A0840111",EPMOlapMemberO(U59,"[C_ACCOUNT].[PARENTH1].[A0840111]","A0840111 - 应交款项明细-车船使用税","","000"))</f>
        <v/>
      </c>
      <c r="W59" s="462" t="n"/>
      <c r="X59" s="821" t="inlineStr">
        <is>
          <t>车船使用税</t>
        </is>
      </c>
      <c r="Y59" s="1306">
        <f>ROW()-47</f>
        <v/>
      </c>
      <c r="Z59" s="1307" t="n"/>
      <c r="AA59" s="1307" t="n"/>
      <c r="AB59" s="1307" t="n"/>
      <c r="AC59" s="1307">
        <f>IF(AB59=0,0,(AA59-AB59)/AB59*100)</f>
        <v/>
      </c>
      <c r="AD59" s="1307">
        <f>AH59*-1</f>
        <v/>
      </c>
      <c r="AE59" s="1307">
        <f>AI59*-1</f>
        <v/>
      </c>
      <c r="AF59" s="1307">
        <f>AJ59*-1</f>
        <v/>
      </c>
      <c r="AG59" s="1307">
        <f>IF(AF59=0,0,(AE59-AF59)/AF59*100)</f>
        <v/>
      </c>
      <c r="AH59" s="1308" t="n"/>
      <c r="AI59" s="1308" t="n"/>
      <c r="AJ59" s="1308" t="n"/>
      <c r="AK59" s="716" t="n"/>
    </row>
    <row r="60" ht="15.95" customFormat="1" customHeight="1" s="716">
      <c r="A60" s="716" t="n"/>
      <c r="B60" s="716" t="n"/>
      <c r="C60" s="716" t="n"/>
      <c r="D60" s="716" t="n"/>
      <c r="E60" s="716" t="n"/>
      <c r="F60" s="716" t="n"/>
      <c r="G60" s="716" t="n"/>
      <c r="H60" s="716" t="n"/>
      <c r="I60" s="716" t="n"/>
      <c r="J60" s="716" t="n"/>
      <c r="K60" s="716" t="n"/>
      <c r="L60" s="716" t="n"/>
      <c r="M60" s="716" t="n"/>
      <c r="N60" s="716" t="n"/>
      <c r="O60" s="716" t="n"/>
      <c r="P60" s="716" t="n"/>
      <c r="Q60" s="716" t="n"/>
      <c r="R60" s="716" t="n"/>
      <c r="S60" s="462">
        <f>IF(_epmOfflineCondition_,"应交款项明细-土地使用税",EPMMemberDesc(U60))</f>
        <v/>
      </c>
      <c r="T60" s="716" t="n"/>
      <c r="U60" s="825" t="inlineStr">
        <is>
          <t>A0840112</t>
        </is>
      </c>
      <c r="V60" s="455">
        <f>IF(_epmOfflineCondition_,"A0840112",EPMOlapMemberO(U60,"[C_ACCOUNT].[PARENTH1].[A0840112]","A0840112 - 应交款项明细-土地使用税","","000"))</f>
        <v/>
      </c>
      <c r="W60" s="462" t="n"/>
      <c r="X60" s="821" t="inlineStr">
        <is>
          <t>土地使用税</t>
        </is>
      </c>
      <c r="Y60" s="1306">
        <f>ROW()-47</f>
        <v/>
      </c>
      <c r="Z60" s="1307" t="inlineStr"/>
      <c r="AA60" s="1307" t="inlineStr"/>
      <c r="AB60" s="1307" t="n"/>
      <c r="AC60" s="1307">
        <f>IF(AB60=0,0,(AA60-AB60)/AB60*100)</f>
        <v/>
      </c>
      <c r="AD60" s="1307">
        <f>AH60*-1</f>
        <v/>
      </c>
      <c r="AE60" s="1307">
        <f>AI60*-1</f>
        <v/>
      </c>
      <c r="AF60" s="1307">
        <f>AJ60*-1</f>
        <v/>
      </c>
      <c r="AG60" s="1307">
        <f>IF(AF60=0,0,(AE60-AF60)/AF60*100)</f>
        <v/>
      </c>
      <c r="AH60" s="1308" t="n"/>
      <c r="AI60" s="1308" t="n"/>
      <c r="AJ60" s="1308" t="n"/>
      <c r="AK60" s="716" t="n"/>
    </row>
    <row r="61" ht="15.95" customFormat="1" customHeight="1" s="716">
      <c r="A61" s="716" t="n"/>
      <c r="B61" s="716" t="n"/>
      <c r="C61" s="716" t="n"/>
      <c r="D61" s="716" t="n"/>
      <c r="E61" s="716" t="n"/>
      <c r="F61" s="716" t="n"/>
      <c r="G61" s="716" t="n"/>
      <c r="H61" s="716" t="n"/>
      <c r="I61" s="716" t="n"/>
      <c r="J61" s="716" t="n"/>
      <c r="K61" s="716" t="n"/>
      <c r="L61" s="716" t="n"/>
      <c r="M61" s="716" t="n"/>
      <c r="N61" s="716" t="n"/>
      <c r="O61" s="716" t="n"/>
      <c r="P61" s="716" t="n"/>
      <c r="Q61" s="716" t="n"/>
      <c r="R61" s="716" t="n"/>
      <c r="S61" s="462">
        <f>IF(_epmOfflineCondition_,"应交款项明细-契税",EPMMemberDesc(U61))</f>
        <v/>
      </c>
      <c r="T61" s="716" t="n"/>
      <c r="U61" s="825" t="inlineStr">
        <is>
          <t>A0840114</t>
        </is>
      </c>
      <c r="V61" s="455">
        <f>IF(_epmOfflineCondition_,"A0840114",EPMOlapMemberO(U61,"[C_ACCOUNT].[PARENTH1].[A0840114]","A0840114 - 应交款项明细-契税","","000"))</f>
        <v/>
      </c>
      <c r="W61" s="462" t="n"/>
      <c r="X61" s="821" t="inlineStr">
        <is>
          <t>契税</t>
        </is>
      </c>
      <c r="Y61" s="1306">
        <f>ROW()-47</f>
        <v/>
      </c>
      <c r="Z61" s="1307" t="n"/>
      <c r="AA61" s="1307" t="n"/>
      <c r="AB61" s="1307" t="n"/>
      <c r="AC61" s="1307">
        <f>IF(AB61=0,0,(AA61-AB61)/AB61*100)</f>
        <v/>
      </c>
      <c r="AD61" s="1307">
        <f>AH61*-1</f>
        <v/>
      </c>
      <c r="AE61" s="1307">
        <f>AI61*-1</f>
        <v/>
      </c>
      <c r="AF61" s="1307">
        <f>AJ61*-1</f>
        <v/>
      </c>
      <c r="AG61" s="1307">
        <f>IF(AF61=0,0,(AE61-AF61)/AF61*100)</f>
        <v/>
      </c>
      <c r="AH61" s="1308" t="n"/>
      <c r="AI61" s="1308" t="n"/>
      <c r="AJ61" s="1308" t="n"/>
      <c r="AK61" s="716" t="n"/>
    </row>
    <row r="62" ht="15.95" customFormat="1" customHeight="1" s="716">
      <c r="A62" s="716" t="n"/>
      <c r="B62" s="716" t="n"/>
      <c r="C62" s="716" t="n"/>
      <c r="D62" s="716" t="n"/>
      <c r="E62" s="716" t="n"/>
      <c r="F62" s="716" t="n"/>
      <c r="G62" s="716" t="n"/>
      <c r="H62" s="716" t="n"/>
      <c r="I62" s="716" t="n"/>
      <c r="J62" s="716" t="n"/>
      <c r="K62" s="716" t="n"/>
      <c r="L62" s="716" t="n"/>
      <c r="M62" s="716" t="n"/>
      <c r="N62" s="716" t="n"/>
      <c r="O62" s="716" t="n"/>
      <c r="P62" s="716" t="n"/>
      <c r="Q62" s="716" t="n"/>
      <c r="R62" s="716" t="n"/>
      <c r="S62" s="462">
        <f>IF(_epmOfflineCondition_,"应交款项明细-印花税",EPMMemberDesc(U62))</f>
        <v/>
      </c>
      <c r="T62" s="716" t="n"/>
      <c r="U62" s="825" t="inlineStr">
        <is>
          <t>A0840115</t>
        </is>
      </c>
      <c r="V62" s="455">
        <f>IF(_epmOfflineCondition_,"A0840115",EPMOlapMemberO(U62,"[C_ACCOUNT].[PARENTH1].[A0840115]","A0840115 - 应交款项明细-印花税","","000"))</f>
        <v/>
      </c>
      <c r="W62" s="462" t="n"/>
      <c r="X62" s="821" t="inlineStr">
        <is>
          <t>印花税</t>
        </is>
      </c>
      <c r="Y62" s="1306">
        <f>ROW()-47</f>
        <v/>
      </c>
      <c r="Z62" s="1307" t="inlineStr"/>
      <c r="AA62" s="1307" t="inlineStr"/>
      <c r="AB62" s="1307" t="inlineStr"/>
      <c r="AC62" s="1307">
        <f>IF(AB62=0,0,(AA62-AB62)/AB62*100)</f>
        <v/>
      </c>
      <c r="AD62" s="1307">
        <f>AH62*-1</f>
        <v/>
      </c>
      <c r="AE62" s="1307">
        <f>AI62*-1</f>
        <v/>
      </c>
      <c r="AF62" s="1307">
        <f>AJ62*-1</f>
        <v/>
      </c>
      <c r="AG62" s="1307">
        <f>IF(AF62=0,0,(AE62-AF62)/AF62*100)</f>
        <v/>
      </c>
      <c r="AH62" s="1308" t="inlineStr"/>
      <c r="AI62" s="1308" t="inlineStr"/>
      <c r="AJ62" s="1308" t="inlineStr"/>
      <c r="AK62" s="716" t="n"/>
    </row>
    <row r="63" ht="15.95" customFormat="1" customHeight="1" s="716">
      <c r="A63" s="716" t="n"/>
      <c r="B63" s="716" t="n"/>
      <c r="C63" s="716" t="n"/>
      <c r="D63" s="716" t="n"/>
      <c r="E63" s="716" t="n"/>
      <c r="F63" s="716" t="n"/>
      <c r="G63" s="716" t="n"/>
      <c r="H63" s="716" t="n"/>
      <c r="I63" s="716" t="n"/>
      <c r="J63" s="716" t="n"/>
      <c r="K63" s="716" t="n"/>
      <c r="L63" s="716" t="n"/>
      <c r="M63" s="716" t="n"/>
      <c r="N63" s="716" t="n"/>
      <c r="O63" s="716" t="n"/>
      <c r="P63" s="716" t="n"/>
      <c r="Q63" s="716" t="n"/>
      <c r="R63" s="716" t="n"/>
      <c r="S63" s="462">
        <f>IF(_epmOfflineCondition_,"应交款项明细-地方教育费附加",EPMMemberDesc(U63))</f>
        <v/>
      </c>
      <c r="T63" s="716" t="n"/>
      <c r="U63" s="825" t="inlineStr">
        <is>
          <t>A0840107</t>
        </is>
      </c>
      <c r="V63" s="455">
        <f>IF(_epmOfflineCondition_,"A0840107",EPMOlapMemberO(U63,"[C_ACCOUNT].[PARENTH1].[A0840107]","A0840107 - 应交款项明细-地方教育费附加","","000"))</f>
        <v/>
      </c>
      <c r="W63" s="462" t="n"/>
      <c r="X63" s="821" t="inlineStr">
        <is>
          <t>地方教育费附加</t>
        </is>
      </c>
      <c r="Y63" s="1306">
        <f>ROW()-47</f>
        <v/>
      </c>
      <c r="Z63" s="1307" t="n"/>
      <c r="AA63" s="1307" t="n"/>
      <c r="AB63" s="1307" t="n"/>
      <c r="AC63" s="1307">
        <f>IF(AB63=0,0,(AA63-AB63)/AB63*100)</f>
        <v/>
      </c>
      <c r="AD63" s="1307">
        <f>AH63*-1</f>
        <v/>
      </c>
      <c r="AE63" s="1307">
        <f>AI63*-1</f>
        <v/>
      </c>
      <c r="AF63" s="1307">
        <f>AJ63*-1</f>
        <v/>
      </c>
      <c r="AG63" s="1307">
        <f>IF(AF63=0,0,(AE63-AF63)/AF63*100)</f>
        <v/>
      </c>
      <c r="AH63" s="1308" t="n"/>
      <c r="AI63" s="1308" t="n"/>
      <c r="AJ63" s="1308" t="n"/>
      <c r="AK63" s="716" t="n"/>
    </row>
    <row r="64" ht="15.95" customFormat="1" customHeight="1" s="716">
      <c r="A64" s="716" t="n"/>
      <c r="B64" s="716" t="n"/>
      <c r="C64" s="716" t="n"/>
      <c r="D64" s="716" t="n"/>
      <c r="E64" s="716" t="n"/>
      <c r="F64" s="716" t="n"/>
      <c r="G64" s="716" t="n"/>
      <c r="H64" s="716" t="n"/>
      <c r="I64" s="716" t="n"/>
      <c r="J64" s="716" t="n"/>
      <c r="K64" s="716" t="n"/>
      <c r="L64" s="716" t="n"/>
      <c r="M64" s="716" t="n"/>
      <c r="N64" s="716" t="n"/>
      <c r="O64" s="716" t="n"/>
      <c r="P64" s="716" t="n"/>
      <c r="Q64" s="716" t="n"/>
      <c r="R64" s="716" t="n"/>
      <c r="S64" s="462">
        <f>IF(_epmOfflineCondition_,"应交款项明细-环境保护税",EPMMemberDesc(U64))</f>
        <v/>
      </c>
      <c r="T64" s="716" t="n"/>
      <c r="U64" s="825" t="inlineStr">
        <is>
          <t>A0840117</t>
        </is>
      </c>
      <c r="V64" s="455">
        <f>IF(_epmOfflineCondition_,"A0840117",EPMOlapMemberO(U64,"[C_ACCOUNT].[PARENTH1].[A0840117]","A0840117 - 应交款项明细-环境保护税","","000"))</f>
        <v/>
      </c>
      <c r="W64" s="462" t="n"/>
      <c r="X64" s="821" t="inlineStr">
        <is>
          <t>环境保护税</t>
        </is>
      </c>
      <c r="Y64" s="1306">
        <f>ROW()-47</f>
        <v/>
      </c>
      <c r="Z64" s="1307" t="n"/>
      <c r="AA64" s="1307" t="n"/>
      <c r="AB64" s="1307" t="n"/>
      <c r="AC64" s="1307">
        <f>IF(AB64=0,0,(AA64-AB64)/AB64*100)</f>
        <v/>
      </c>
      <c r="AD64" s="1307">
        <f>AH64*-1</f>
        <v/>
      </c>
      <c r="AE64" s="1307">
        <f>AI64*-1</f>
        <v/>
      </c>
      <c r="AF64" s="1307">
        <f>AJ64*-1</f>
        <v/>
      </c>
      <c r="AG64" s="1307">
        <f>IF(AF64=0,0,(AE64-AF64)/AF64*100)</f>
        <v/>
      </c>
      <c r="AH64" s="1308" t="n"/>
      <c r="AI64" s="1308" t="n"/>
      <c r="AJ64" s="1308" t="n"/>
      <c r="AK64" s="716" t="n"/>
    </row>
    <row r="65" ht="15.95" customFormat="1" customHeight="1" s="716">
      <c r="A65" s="716" t="n"/>
      <c r="B65" s="716" t="n"/>
      <c r="C65" s="716" t="n"/>
      <c r="D65" s="716" t="n"/>
      <c r="E65" s="716" t="n"/>
      <c r="F65" s="716" t="n"/>
      <c r="G65" s="716" t="n"/>
      <c r="H65" s="716" t="n"/>
      <c r="I65" s="716" t="n"/>
      <c r="J65" s="716" t="n"/>
      <c r="K65" s="716" t="n"/>
      <c r="L65" s="716" t="n"/>
      <c r="M65" s="716" t="n"/>
      <c r="N65" s="716" t="n"/>
      <c r="O65" s="716" t="n"/>
      <c r="P65" s="716" t="n"/>
      <c r="Q65" s="716" t="n"/>
      <c r="R65" s="716" t="n"/>
      <c r="S65" s="462">
        <f>IF(_epmOfflineCondition_,"应交款项明细-文化事业建设费",EPMMemberDesc(U65))</f>
        <v/>
      </c>
      <c r="T65" s="716" t="n"/>
      <c r="U65" s="825" t="inlineStr">
        <is>
          <t>A0840118</t>
        </is>
      </c>
      <c r="V65" s="455">
        <f>IF(_epmOfflineCondition_,"A0840118",EPMOlapMemberO(U65,"[C_ACCOUNT].[PARENTH1].[A0840118]","A0840118 - 应交款项明细-文化事业建设费","","000"))</f>
        <v/>
      </c>
      <c r="W65" s="462" t="n"/>
      <c r="X65" s="821" t="inlineStr">
        <is>
          <t>文化事业建设费</t>
        </is>
      </c>
      <c r="Y65" s="1306">
        <f>ROW()-47</f>
        <v/>
      </c>
      <c r="Z65" s="1307" t="n"/>
      <c r="AA65" s="1307" t="n"/>
      <c r="AB65" s="1307" t="n"/>
      <c r="AC65" s="1307">
        <f>IF(AB65=0,0,(AA65-AB65)/AB65*100)</f>
        <v/>
      </c>
      <c r="AD65" s="1307">
        <f>AH65*-1</f>
        <v/>
      </c>
      <c r="AE65" s="1307">
        <f>AI65*-1</f>
        <v/>
      </c>
      <c r="AF65" s="1307">
        <f>AJ65*-1</f>
        <v/>
      </c>
      <c r="AG65" s="1307">
        <f>IF(AF65=0,0,(AE65-AF65)/AF65*100)</f>
        <v/>
      </c>
      <c r="AH65" s="1308" t="n"/>
      <c r="AI65" s="1308" t="n"/>
      <c r="AJ65" s="1308" t="n"/>
      <c r="AK65" s="716" t="n"/>
    </row>
    <row r="66" ht="15.95" customFormat="1" customHeight="1" s="716">
      <c r="A66" s="716" t="n"/>
      <c r="B66" s="716" t="n"/>
      <c r="C66" s="716" t="n"/>
      <c r="D66" s="716" t="n"/>
      <c r="E66" s="716" t="n"/>
      <c r="F66" s="716" t="n"/>
      <c r="G66" s="716" t="n"/>
      <c r="H66" s="716" t="n"/>
      <c r="I66" s="716" t="n"/>
      <c r="J66" s="716" t="n"/>
      <c r="K66" s="716" t="n"/>
      <c r="L66" s="716" t="n"/>
      <c r="M66" s="716" t="n"/>
      <c r="N66" s="716" t="n"/>
      <c r="O66" s="716" t="n"/>
      <c r="P66" s="716" t="n"/>
      <c r="Q66" s="716" t="n"/>
      <c r="R66" s="716" t="n"/>
      <c r="S66" s="462">
        <f>IF(_epmOfflineCondition_,"应交款项明细-价格调控基金",EPMMemberDesc(U66))</f>
        <v/>
      </c>
      <c r="T66" s="716" t="n"/>
      <c r="U66" s="825" t="inlineStr">
        <is>
          <t>A0840119</t>
        </is>
      </c>
      <c r="V66" s="455">
        <f>IF(_epmOfflineCondition_,"A0840119",EPMOlapMemberO(U66,"[C_ACCOUNT].[PARENTH1].[A0840119]","A0840119 - 应交款项明细-价格调控基金","","000"))</f>
        <v/>
      </c>
      <c r="W66" s="462" t="n"/>
      <c r="X66" s="821" t="inlineStr">
        <is>
          <t>价格调控基金</t>
        </is>
      </c>
      <c r="Y66" s="1306">
        <f>ROW()-47</f>
        <v/>
      </c>
      <c r="Z66" s="1307" t="n"/>
      <c r="AA66" s="1307" t="n"/>
      <c r="AB66" s="1307" t="n"/>
      <c r="AC66" s="1307">
        <f>IF(AB66=0,0,(AA66-AB66)/AB66*100)</f>
        <v/>
      </c>
      <c r="AD66" s="1307">
        <f>AH66*-1</f>
        <v/>
      </c>
      <c r="AE66" s="1307">
        <f>AI66*-1</f>
        <v/>
      </c>
      <c r="AF66" s="1307">
        <f>AJ66*-1</f>
        <v/>
      </c>
      <c r="AG66" s="1307">
        <f>IF(AF66=0,0,(AE66-AF66)/AF66*100)</f>
        <v/>
      </c>
      <c r="AH66" s="1308" t="n"/>
      <c r="AI66" s="1308" t="n"/>
      <c r="AJ66" s="1308" t="n"/>
      <c r="AK66" s="716" t="n"/>
    </row>
    <row r="67" ht="15.95" customFormat="1" customHeight="1" s="716">
      <c r="A67" s="716" t="n"/>
      <c r="B67" s="716" t="n"/>
      <c r="C67" s="716" t="n"/>
      <c r="D67" s="716" t="n"/>
      <c r="E67" s="716" t="n"/>
      <c r="F67" s="716" t="n"/>
      <c r="G67" s="716" t="n"/>
      <c r="H67" s="716" t="n"/>
      <c r="I67" s="716" t="n"/>
      <c r="J67" s="716" t="n"/>
      <c r="K67" s="716" t="n"/>
      <c r="L67" s="716" t="n"/>
      <c r="M67" s="716" t="n"/>
      <c r="N67" s="716" t="n"/>
      <c r="O67" s="716" t="n"/>
      <c r="P67" s="716" t="n"/>
      <c r="Q67" s="716" t="n"/>
      <c r="R67" s="716" t="n"/>
      <c r="S67" s="462">
        <f>IF(_epmOfflineCondition_,"应交款项明细-水利建设基金",EPMMemberDesc(U67))</f>
        <v/>
      </c>
      <c r="T67" s="716" t="n"/>
      <c r="U67" s="825" t="inlineStr">
        <is>
          <t>A0840120</t>
        </is>
      </c>
      <c r="V67" s="455">
        <f>IF(_epmOfflineCondition_,"A0840120",EPMOlapMemberO(U67,"[C_ACCOUNT].[PARENTH1].[A0840120]","A0840120 - 应交款项明细-水利建设基金","","000"))</f>
        <v/>
      </c>
      <c r="W67" s="462" t="n"/>
      <c r="X67" s="821" t="inlineStr">
        <is>
          <t>水利建设基金</t>
        </is>
      </c>
      <c r="Y67" s="1306">
        <f>ROW()-47</f>
        <v/>
      </c>
      <c r="Z67" s="1307" t="n"/>
      <c r="AA67" s="1307" t="n"/>
      <c r="AB67" s="1307" t="n"/>
      <c r="AC67" s="1307">
        <f>IF(AB67=0,0,(AA67-AB67)/AB67*100)</f>
        <v/>
      </c>
      <c r="AD67" s="1307">
        <f>AH67*-1</f>
        <v/>
      </c>
      <c r="AE67" s="1307">
        <f>AI67*-1</f>
        <v/>
      </c>
      <c r="AF67" s="1307">
        <f>AJ67*-1</f>
        <v/>
      </c>
      <c r="AG67" s="1307">
        <f>IF(AF67=0,0,(AE67-AF67)/AF67*100)</f>
        <v/>
      </c>
      <c r="AH67" s="1308" t="n"/>
      <c r="AI67" s="1308" t="n"/>
      <c r="AJ67" s="1308" t="n"/>
      <c r="AK67" s="716" t="n"/>
    </row>
    <row r="68" ht="15.95" customFormat="1" customHeight="1" s="716">
      <c r="A68" s="716" t="n"/>
      <c r="B68" s="716" t="n"/>
      <c r="C68" s="716" t="n"/>
      <c r="D68" s="716" t="n"/>
      <c r="E68" s="716" t="n"/>
      <c r="F68" s="716" t="n"/>
      <c r="G68" s="716" t="n"/>
      <c r="H68" s="716" t="n"/>
      <c r="I68" s="716" t="n"/>
      <c r="J68" s="716" t="n"/>
      <c r="K68" s="716" t="n"/>
      <c r="L68" s="716" t="n"/>
      <c r="M68" s="716" t="n"/>
      <c r="N68" s="716" t="n"/>
      <c r="O68" s="716" t="n"/>
      <c r="P68" s="716" t="n"/>
      <c r="Q68" s="716" t="n"/>
      <c r="R68" s="716" t="n"/>
      <c r="S68" s="462">
        <f>IF(_epmOfflineCondition_,"应交款项明细-其他税费",EPMMemberDesc(U68))</f>
        <v/>
      </c>
      <c r="T68" s="716" t="n"/>
      <c r="U68" s="825" t="inlineStr">
        <is>
          <t>A0840199</t>
        </is>
      </c>
      <c r="V68" s="455">
        <f>IF(_epmOfflineCondition_,"A0840199",EPMOlapMemberO(U68,"[C_ACCOUNT].[PARENTH1].[A0840199]","A0840199 - 应交款项明细-其他税费","","000"))</f>
        <v/>
      </c>
      <c r="W68" s="462" t="n"/>
      <c r="X68" s="821" t="inlineStr">
        <is>
          <t>其他税费</t>
        </is>
      </c>
      <c r="Y68" s="1306">
        <f>ROW()-47</f>
        <v/>
      </c>
      <c r="Z68" s="1307" t="n"/>
      <c r="AA68" s="1307" t="n"/>
      <c r="AB68" s="1307" t="n"/>
      <c r="AC68" s="1307">
        <f>IF(AB68=0,0,(AA68-AB68)/AB68*100)</f>
        <v/>
      </c>
      <c r="AD68" s="1307">
        <f>AH68*-1</f>
        <v/>
      </c>
      <c r="AE68" s="1307">
        <f>AI68*-1</f>
        <v/>
      </c>
      <c r="AF68" s="1307">
        <f>AJ68*-1</f>
        <v/>
      </c>
      <c r="AG68" s="1307">
        <f>IF(AF68=0,0,(AE68-AF68)/AF68*100)</f>
        <v/>
      </c>
      <c r="AH68" s="1308" t="n"/>
      <c r="AI68" s="1308" t="n"/>
      <c r="AJ68" s="1308" t="n"/>
      <c r="AK68" s="716" t="n"/>
    </row>
    <row r="69" ht="15.95" customFormat="1" customHeight="1" s="716">
      <c r="A69" s="716" t="n"/>
      <c r="B69" s="716" t="n"/>
      <c r="C69" s="716" t="n"/>
      <c r="D69" s="716" t="n"/>
      <c r="E69" s="716" t="n"/>
      <c r="F69" s="716" t="n"/>
      <c r="G69" s="716" t="n"/>
      <c r="H69" s="716" t="n"/>
      <c r="I69" s="716" t="n"/>
      <c r="J69" s="716" t="n"/>
      <c r="K69" s="716" t="n"/>
      <c r="L69" s="716" t="n"/>
      <c r="M69" s="716" t="n"/>
      <c r="N69" s="716" t="n"/>
      <c r="O69" s="716" t="n"/>
      <c r="P69" s="716" t="n"/>
      <c r="Q69" s="716" t="n"/>
      <c r="R69" s="716" t="n"/>
      <c r="S69" s="462">
        <f>IF(_epmOfflineCondition_,"应交款项明细-个人所得税",EPMMemberDesc(U69))</f>
        <v/>
      </c>
      <c r="T69" s="716" t="n"/>
      <c r="U69" s="825" t="inlineStr">
        <is>
          <t>A0840113</t>
        </is>
      </c>
      <c r="V69" s="462">
        <f>IF(_epmOfflineCondition_,"A0840113",EPMOlapMemberO(U69,"[C_ACCOUNT].[PARENTH1].[A0840113]","A0840113 - 应交款项明细-个人所得税","","000"))</f>
        <v/>
      </c>
      <c r="W69" s="462" t="n"/>
      <c r="X69" s="826" t="inlineStr">
        <is>
          <t>二、应交个人所得税</t>
        </is>
      </c>
      <c r="Y69" s="1306">
        <f>ROW()-47</f>
        <v/>
      </c>
      <c r="Z69" s="1307" t="inlineStr"/>
      <c r="AA69" s="1307" t="inlineStr"/>
      <c r="AB69" s="1307" t="inlineStr"/>
      <c r="AC69" s="1307">
        <f>IF(AB69=0,0,(AA69-AB69)/AB69*100)</f>
        <v/>
      </c>
      <c r="AD69" s="1307">
        <f>AH69*-1</f>
        <v/>
      </c>
      <c r="AE69" s="1307">
        <f>AI69*-1</f>
        <v/>
      </c>
      <c r="AF69" s="1307">
        <f>AJ69*-1</f>
        <v/>
      </c>
      <c r="AG69" s="1307">
        <f>IF(AF69=0,0,(AE69-AF69)/AF69*100)</f>
        <v/>
      </c>
      <c r="AH69" s="1308" t="inlineStr"/>
      <c r="AI69" s="1308" t="inlineStr"/>
      <c r="AJ69" s="1308" t="inlineStr"/>
      <c r="AK69" s="716" t="n"/>
    </row>
    <row r="70" ht="15.95" customFormat="1" customHeight="1" s="716">
      <c r="A70" s="716" t="n"/>
      <c r="B70" s="716" t="n"/>
      <c r="C70" s="716" t="n"/>
      <c r="D70" s="716" t="n"/>
      <c r="E70" s="716" t="n"/>
      <c r="F70" s="716" t="n"/>
      <c r="G70" s="716" t="n"/>
      <c r="H70" s="716" t="n"/>
      <c r="I70" s="716" t="n"/>
      <c r="J70" s="716" t="n"/>
      <c r="K70" s="716" t="n"/>
      <c r="L70" s="716" t="n"/>
      <c r="M70" s="716" t="n"/>
      <c r="N70" s="716" t="n"/>
      <c r="O70" s="716" t="n"/>
      <c r="P70" s="716" t="n"/>
      <c r="Q70" s="716" t="n"/>
      <c r="R70" s="716" t="n"/>
      <c r="S70" s="462">
        <f>IF(_epmOfflineCondition_,"应交款项明细-企业负担的社会保险",EPMMemberDesc(U70))</f>
        <v/>
      </c>
      <c r="T70" s="716" t="n"/>
      <c r="U70" s="825" t="inlineStr">
        <is>
          <t>A08402</t>
        </is>
      </c>
      <c r="V70" s="462">
        <f>IF(_epmOfflineCondition_,"A08402",EPMOlapMemberO(U70,"[C_ACCOUNT].[PARENTH1].[A08402]","A08402 - 应交款项明细-企业负担的社会保险","","000"))</f>
        <v/>
      </c>
      <c r="W70" s="462" t="n"/>
      <c r="X70" s="826" t="inlineStr">
        <is>
          <t>三、企业负担的社会保险</t>
        </is>
      </c>
      <c r="Y70" s="1306">
        <f>ROW()-47</f>
        <v/>
      </c>
      <c r="Z70" s="1307">
        <f>SUM(Z71:Z77)</f>
        <v/>
      </c>
      <c r="AA70" s="1307">
        <f>SUM(AA71:AA77)</f>
        <v/>
      </c>
      <c r="AB70" s="1307">
        <f>SUM(AB71:AB77)</f>
        <v/>
      </c>
      <c r="AC70" s="1307">
        <f>IF(AB70=0,0,(AA70-AB70)/AB70*100)</f>
        <v/>
      </c>
      <c r="AD70" s="1307">
        <f>AH70*-1</f>
        <v/>
      </c>
      <c r="AE70" s="1307">
        <f>AI70*-1</f>
        <v/>
      </c>
      <c r="AF70" s="1307">
        <f>SUM(AF71:AF77)</f>
        <v/>
      </c>
      <c r="AG70" s="1307">
        <f>IF(AF70=0,0,(AE70-AF70)/AF70*100)</f>
        <v/>
      </c>
      <c r="AH70" s="1308" t="inlineStr"/>
      <c r="AI70" s="1308" t="inlineStr"/>
      <c r="AJ70" s="1308" t="inlineStr"/>
      <c r="AK70" s="716" t="n"/>
    </row>
    <row r="71" ht="15.95" customFormat="1" customHeight="1" s="716">
      <c r="A71" s="716" t="n"/>
      <c r="B71" s="716" t="n"/>
      <c r="C71" s="716" t="n"/>
      <c r="D71" s="716" t="n"/>
      <c r="E71" s="716" t="n"/>
      <c r="F71" s="716" t="n"/>
      <c r="G71" s="716" t="n"/>
      <c r="H71" s="716" t="n"/>
      <c r="I71" s="716" t="n"/>
      <c r="J71" s="716" t="n"/>
      <c r="K71" s="716" t="n"/>
      <c r="L71" s="716" t="n"/>
      <c r="M71" s="716" t="n"/>
      <c r="N71" s="716" t="n"/>
      <c r="O71" s="716" t="n"/>
      <c r="P71" s="716" t="n"/>
      <c r="Q71" s="716" t="n"/>
      <c r="R71" s="716" t="n"/>
      <c r="S71" s="462">
        <f>IF(_epmOfflineCondition_,"应交款项明细-基本养老保险（汇总）",EPMMemberDesc(U71))</f>
        <v/>
      </c>
      <c r="T71" s="716" t="n"/>
      <c r="U71" s="825" t="inlineStr">
        <is>
          <t>A08402012</t>
        </is>
      </c>
      <c r="V71" s="455">
        <f>IF(_epmOfflineCondition_,"A08402012",EPMOlapMemberO(U71,"[C_ACCOUNT].[PARENTH1].[A08402012]","A08402012 - 应交款项明细-基本养老保险（汇总）","","000"))</f>
        <v/>
      </c>
      <c r="W71" s="462" t="n"/>
      <c r="X71" s="821" t="inlineStr">
        <is>
          <t>基本养老保险</t>
        </is>
      </c>
      <c r="Y71" s="1306">
        <f>ROW()-47</f>
        <v/>
      </c>
      <c r="Z71" s="1307" t="inlineStr"/>
      <c r="AA71" s="1307" t="inlineStr"/>
      <c r="AB71" s="1307" t="inlineStr"/>
      <c r="AC71" s="1307">
        <f>IF(AB71=0,0,(AA71-AB71)/AB71*100)</f>
        <v/>
      </c>
      <c r="AD71" s="1307">
        <f>AH71*-1</f>
        <v/>
      </c>
      <c r="AE71" s="1307">
        <f>AI71*-1</f>
        <v/>
      </c>
      <c r="AF71" s="1307">
        <f>AJ71*-1</f>
        <v/>
      </c>
      <c r="AG71" s="1307">
        <f>IF(AF71=0,0,(AE71-AF71)/AF71*100)</f>
        <v/>
      </c>
      <c r="AH71" s="1308" t="inlineStr"/>
      <c r="AI71" s="1308" t="inlineStr"/>
      <c r="AJ71" s="1308" t="inlineStr"/>
      <c r="AK71" s="716" t="n"/>
    </row>
    <row r="72" ht="15.95" customFormat="1" customHeight="1" s="716">
      <c r="A72" s="716" t="n"/>
      <c r="B72" s="716" t="n"/>
      <c r="C72" s="716" t="n"/>
      <c r="D72" s="716" t="n"/>
      <c r="E72" s="716" t="n"/>
      <c r="F72" s="716" t="n"/>
      <c r="G72" s="716" t="n"/>
      <c r="H72" s="716" t="n"/>
      <c r="I72" s="716" t="n"/>
      <c r="J72" s="716" t="n"/>
      <c r="K72" s="716" t="n"/>
      <c r="L72" s="716" t="n"/>
      <c r="M72" s="716" t="n"/>
      <c r="N72" s="716" t="n"/>
      <c r="O72" s="716" t="n"/>
      <c r="P72" s="716" t="n"/>
      <c r="Q72" s="716" t="n"/>
      <c r="R72" s="716" t="n"/>
      <c r="S72" s="462">
        <f>IF(_epmOfflineCondition_,"应交款项明细-补充养老保险（汇总）",EPMMemberDesc(U72))</f>
        <v/>
      </c>
      <c r="T72" s="716" t="n"/>
      <c r="U72" s="825" t="inlineStr">
        <is>
          <t>A08402022</t>
        </is>
      </c>
      <c r="V72" s="455">
        <f>IF(_epmOfflineCondition_,"A08402022",EPMOlapMemberO(U72,"[C_ACCOUNT].[PARENTH1].[A08402022]","A08402022 - 应交款项明细-补充养老保险（汇总）","","000"))</f>
        <v/>
      </c>
      <c r="W72" s="462" t="n"/>
      <c r="X72" s="821" t="inlineStr">
        <is>
          <t>补充养老保险</t>
        </is>
      </c>
      <c r="Y72" s="1306">
        <f>ROW()-47</f>
        <v/>
      </c>
      <c r="Z72" s="1307" t="inlineStr"/>
      <c r="AA72" s="1307" t="inlineStr"/>
      <c r="AB72" s="1307" t="inlineStr"/>
      <c r="AC72" s="1307">
        <f>IF(AB72=0,0,(AA72-AB72)/AB72*100)</f>
        <v/>
      </c>
      <c r="AD72" s="1307">
        <f>AH72*-1</f>
        <v/>
      </c>
      <c r="AE72" s="1307">
        <f>AI72*-1</f>
        <v/>
      </c>
      <c r="AF72" s="1307">
        <f>AJ72*-1</f>
        <v/>
      </c>
      <c r="AG72" s="1307">
        <f>IF(AF72=0,0,(AE72-AF72)/AF72*100)</f>
        <v/>
      </c>
      <c r="AH72" s="1308" t="inlineStr"/>
      <c r="AI72" s="1308" t="inlineStr"/>
      <c r="AJ72" s="1308" t="inlineStr"/>
      <c r="AK72" s="716" t="n"/>
    </row>
    <row r="73" ht="15.95" customFormat="1" customHeight="1" s="716">
      <c r="A73" s="716" t="n"/>
      <c r="B73" s="716" t="n"/>
      <c r="C73" s="716" t="n"/>
      <c r="D73" s="716" t="n"/>
      <c r="E73" s="716" t="n"/>
      <c r="F73" s="716" t="n"/>
      <c r="G73" s="716" t="n"/>
      <c r="H73" s="716" t="n"/>
      <c r="I73" s="716" t="n"/>
      <c r="J73" s="716" t="n"/>
      <c r="K73" s="716" t="n"/>
      <c r="L73" s="716" t="n"/>
      <c r="M73" s="716" t="n"/>
      <c r="N73" s="716" t="n"/>
      <c r="O73" s="716" t="n"/>
      <c r="P73" s="716" t="n"/>
      <c r="Q73" s="716" t="n"/>
      <c r="R73" s="716" t="n"/>
      <c r="S73" s="462">
        <f>IF(_epmOfflineCondition_,"应交款项明细-基本医疗保险（汇总）",EPMMemberDesc(U73))</f>
        <v/>
      </c>
      <c r="T73" s="716" t="n"/>
      <c r="U73" s="825" t="inlineStr">
        <is>
          <t>A08402032</t>
        </is>
      </c>
      <c r="V73" s="455">
        <f>IF(_epmOfflineCondition_,"A08402032",EPMOlapMemberO(U73,"[C_ACCOUNT].[PARENTH1].[A08402032]","A08402032 - 应交款项明细-基本医疗保险（汇总）","","000"))</f>
        <v/>
      </c>
      <c r="W73" s="462" t="n"/>
      <c r="X73" s="821" t="inlineStr">
        <is>
          <t>基本医疗保险</t>
        </is>
      </c>
      <c r="Y73" s="1306">
        <f>ROW()-47</f>
        <v/>
      </c>
      <c r="Z73" s="1307" t="inlineStr"/>
      <c r="AA73" s="1307" t="inlineStr"/>
      <c r="AB73" s="1307" t="inlineStr"/>
      <c r="AC73" s="1307">
        <f>IF(AB73=0,0,(AA73-AB73)/AB73*100)</f>
        <v/>
      </c>
      <c r="AD73" s="1307">
        <f>AH73*-1</f>
        <v/>
      </c>
      <c r="AE73" s="1307">
        <f>AI73*-1</f>
        <v/>
      </c>
      <c r="AF73" s="1307">
        <f>AJ73*-1</f>
        <v/>
      </c>
      <c r="AG73" s="1307">
        <f>IF(AF73=0,0,(AE73-AF73)/AF73*100)</f>
        <v/>
      </c>
      <c r="AH73" s="1308" t="inlineStr"/>
      <c r="AI73" s="1308" t="inlineStr"/>
      <c r="AJ73" s="1308" t="inlineStr"/>
      <c r="AK73" s="716" t="n"/>
    </row>
    <row r="74" ht="15.95" customFormat="1" customHeight="1" s="716">
      <c r="A74" s="716" t="n"/>
      <c r="B74" s="716" t="n"/>
      <c r="C74" s="716" t="n"/>
      <c r="D74" s="716" t="n"/>
      <c r="E74" s="716" t="n"/>
      <c r="F74" s="716" t="n"/>
      <c r="G74" s="716" t="n"/>
      <c r="H74" s="716" t="n"/>
      <c r="I74" s="716" t="n"/>
      <c r="J74" s="716" t="n"/>
      <c r="K74" s="716" t="n"/>
      <c r="L74" s="716" t="n"/>
      <c r="M74" s="716" t="n"/>
      <c r="N74" s="716" t="n"/>
      <c r="O74" s="716" t="n"/>
      <c r="P74" s="716" t="n"/>
      <c r="Q74" s="716" t="n"/>
      <c r="R74" s="716" t="n"/>
      <c r="S74" s="462">
        <f>IF(_epmOfflineCondition_,"应交款项明细-补充医疗保险（汇总）",EPMMemberDesc(U74))</f>
        <v/>
      </c>
      <c r="T74" s="716" t="n"/>
      <c r="U74" s="825" t="inlineStr">
        <is>
          <t>A08402042</t>
        </is>
      </c>
      <c r="V74" s="455">
        <f>IF(_epmOfflineCondition_,"A08402042",EPMOlapMemberO(U74,"[C_ACCOUNT].[PARENTH1].[A08402042]","A08402042 - 应交款项明细-补充医疗保险（汇总）","","000"))</f>
        <v/>
      </c>
      <c r="W74" s="462" t="n"/>
      <c r="X74" s="821" t="inlineStr">
        <is>
          <t>补充医疗保险</t>
        </is>
      </c>
      <c r="Y74" s="1306">
        <f>ROW()-47</f>
        <v/>
      </c>
      <c r="Z74" s="1307" t="inlineStr"/>
      <c r="AA74" s="1307" t="inlineStr"/>
      <c r="AB74" s="1307" t="n"/>
      <c r="AC74" s="1307">
        <f>IF(AB74=0,0,(AA74-AB74)/AB74*100)</f>
        <v/>
      </c>
      <c r="AD74" s="1307">
        <f>AH74*-1</f>
        <v/>
      </c>
      <c r="AE74" s="1307">
        <f>AI74*-1</f>
        <v/>
      </c>
      <c r="AF74" s="1307">
        <f>AJ74*-1</f>
        <v/>
      </c>
      <c r="AG74" s="1307">
        <f>IF(AF74=0,0,(AE74-AF74)/AF74*100)</f>
        <v/>
      </c>
      <c r="AH74" s="1308" t="inlineStr"/>
      <c r="AI74" s="1308" t="inlineStr"/>
      <c r="AJ74" s="1308" t="n"/>
      <c r="AK74" s="716" t="n"/>
    </row>
    <row r="75" ht="15.95" customFormat="1" customHeight="1" s="716">
      <c r="A75" s="716" t="n"/>
      <c r="B75" s="716" t="n"/>
      <c r="C75" s="716" t="n"/>
      <c r="D75" s="716" t="n"/>
      <c r="E75" s="716" t="n"/>
      <c r="F75" s="716" t="n"/>
      <c r="G75" s="716" t="n"/>
      <c r="H75" s="716" t="n"/>
      <c r="I75" s="716" t="n"/>
      <c r="J75" s="716" t="n"/>
      <c r="K75" s="716" t="n"/>
      <c r="L75" s="716" t="n"/>
      <c r="M75" s="716" t="n"/>
      <c r="N75" s="716" t="n"/>
      <c r="O75" s="716" t="n"/>
      <c r="P75" s="716" t="n"/>
      <c r="Q75" s="716" t="n"/>
      <c r="R75" s="716" t="n"/>
      <c r="S75" s="462">
        <f>IF(_epmOfflineCondition_,"应交款项明细-失业保险（汇总）",EPMMemberDesc(U75))</f>
        <v/>
      </c>
      <c r="T75" s="716" t="n"/>
      <c r="U75" s="825" t="inlineStr">
        <is>
          <t>A08402052</t>
        </is>
      </c>
      <c r="V75" s="455">
        <f>IF(_epmOfflineCondition_,"A08402052",EPMOlapMemberO(U75,"[C_ACCOUNT].[PARENTH1].[A08402052]","A08402052 - 应交款项明细-失业保险（汇总）","","000"))</f>
        <v/>
      </c>
      <c r="W75" s="462" t="n"/>
      <c r="X75" s="821" t="inlineStr">
        <is>
          <t>失业保险</t>
        </is>
      </c>
      <c r="Y75" s="1306">
        <f>ROW()-47</f>
        <v/>
      </c>
      <c r="Z75" s="1307" t="inlineStr"/>
      <c r="AA75" s="1307" t="inlineStr"/>
      <c r="AB75" s="1307" t="inlineStr"/>
      <c r="AC75" s="1307">
        <f>IF(AB75=0,0,(AA75-AB75)/AB75*100)</f>
        <v/>
      </c>
      <c r="AD75" s="1307">
        <f>AH75*-1</f>
        <v/>
      </c>
      <c r="AE75" s="1307">
        <f>AI75*-1</f>
        <v/>
      </c>
      <c r="AF75" s="1307">
        <f>AJ75*-1</f>
        <v/>
      </c>
      <c r="AG75" s="1307">
        <f>IF(AF75=0,0,(AE75-AF75)/AF75*100)</f>
        <v/>
      </c>
      <c r="AH75" s="1308" t="inlineStr"/>
      <c r="AI75" s="1308" t="inlineStr"/>
      <c r="AJ75" s="1308" t="inlineStr"/>
      <c r="AK75" s="716" t="n"/>
    </row>
    <row r="76" ht="15.95" customFormat="1" customHeight="1" s="716">
      <c r="A76" s="716" t="n"/>
      <c r="B76" s="716" t="n"/>
      <c r="C76" s="716" t="n"/>
      <c r="D76" s="716" t="n"/>
      <c r="E76" s="716" t="n"/>
      <c r="F76" s="716" t="n"/>
      <c r="G76" s="716" t="n"/>
      <c r="H76" s="716" t="n"/>
      <c r="I76" s="716" t="n"/>
      <c r="J76" s="716" t="n"/>
      <c r="K76" s="716" t="n"/>
      <c r="L76" s="716" t="n"/>
      <c r="M76" s="716" t="n"/>
      <c r="N76" s="716" t="n"/>
      <c r="O76" s="716" t="n"/>
      <c r="P76" s="716" t="n"/>
      <c r="Q76" s="716" t="n"/>
      <c r="R76" s="716" t="n"/>
      <c r="S76" s="462">
        <f>IF(_epmOfflineCondition_,"应交款项明细-工伤保险（汇总）",EPMMemberDesc(U76))</f>
        <v/>
      </c>
      <c r="T76" s="716" t="n"/>
      <c r="U76" s="825" t="inlineStr">
        <is>
          <t>A08402062</t>
        </is>
      </c>
      <c r="V76" s="455">
        <f>IF(_epmOfflineCondition_,"A08402062",EPMOlapMemberO(U76,"[C_ACCOUNT].[PARENTH1].[A08402062]","A08402062 - 应交款项明细-工伤保险（汇总）","","000"))</f>
        <v/>
      </c>
      <c r="W76" s="462" t="n"/>
      <c r="X76" s="821" t="inlineStr">
        <is>
          <t>工伤保险</t>
        </is>
      </c>
      <c r="Y76" s="1306">
        <f>ROW()-47</f>
        <v/>
      </c>
      <c r="Z76" s="1307" t="inlineStr"/>
      <c r="AA76" s="1307" t="inlineStr"/>
      <c r="AB76" s="1307" t="inlineStr"/>
      <c r="AC76" s="1307">
        <f>IF(AB76=0,0,(AA76-AB76)/AB76*100)</f>
        <v/>
      </c>
      <c r="AD76" s="1307">
        <f>AH76*-1</f>
        <v/>
      </c>
      <c r="AE76" s="1307">
        <f>AI76*-1</f>
        <v/>
      </c>
      <c r="AF76" s="1307">
        <f>AJ76*-1</f>
        <v/>
      </c>
      <c r="AG76" s="1307">
        <f>IF(AF76=0,0,(AE76-AF76)/AF76*100)</f>
        <v/>
      </c>
      <c r="AH76" s="1308" t="inlineStr"/>
      <c r="AI76" s="1308" t="inlineStr"/>
      <c r="AJ76" s="1308" t="inlineStr"/>
      <c r="AK76" s="716" t="n"/>
    </row>
    <row r="77" ht="15.95" customFormat="1" customHeight="1" s="716">
      <c r="A77" s="716" t="n"/>
      <c r="B77" s="716" t="n"/>
      <c r="C77" s="716" t="n"/>
      <c r="D77" s="716" t="n"/>
      <c r="E77" s="716" t="n"/>
      <c r="F77" s="716" t="n"/>
      <c r="G77" s="716" t="n"/>
      <c r="H77" s="716" t="n"/>
      <c r="I77" s="716" t="n"/>
      <c r="J77" s="716" t="n"/>
      <c r="K77" s="716" t="n"/>
      <c r="L77" s="716" t="n"/>
      <c r="M77" s="716" t="n"/>
      <c r="N77" s="716" t="n"/>
      <c r="O77" s="716" t="n"/>
      <c r="P77" s="716" t="n"/>
      <c r="Q77" s="716" t="n"/>
      <c r="R77" s="716" t="n"/>
      <c r="S77" s="462">
        <f>IF(_epmOfflineCondition_,"应交款项明细-其他社会保险",EPMMemberDesc(U77))</f>
        <v/>
      </c>
      <c r="T77" s="716" t="n"/>
      <c r="U77" s="825" t="inlineStr">
        <is>
          <t>A0840299</t>
        </is>
      </c>
      <c r="V77" s="455">
        <f>IF(_epmOfflineCondition_,"A0840299",EPMOlapMemberO(U77,"[C_ACCOUNT].[PARENTH1].[A0840299]","A0840299 - 应交款项明细-其他社会保险","","000"))</f>
        <v/>
      </c>
      <c r="W77" s="462" t="n"/>
      <c r="X77" s="821" t="inlineStr">
        <is>
          <t>其他社会保险</t>
        </is>
      </c>
      <c r="Y77" s="1306">
        <f>ROW()-47</f>
        <v/>
      </c>
      <c r="Z77" s="1307" t="n"/>
      <c r="AA77" s="1307" t="n"/>
      <c r="AB77" s="1307" t="n"/>
      <c r="AC77" s="1307">
        <f>IF(AB77=0,0,(AA77-AB77)/AB77*100)</f>
        <v/>
      </c>
      <c r="AD77" s="1307">
        <f>AH77*-1</f>
        <v/>
      </c>
      <c r="AE77" s="1307">
        <f>AI77*-1</f>
        <v/>
      </c>
      <c r="AF77" s="1307" t="n"/>
      <c r="AG77" s="1307">
        <f>IF(AF77=0,0,(AE77-AF77)/AF77*100)</f>
        <v/>
      </c>
      <c r="AH77" s="1308" t="n"/>
      <c r="AI77" s="1308" t="n"/>
      <c r="AJ77" s="1308" t="n"/>
      <c r="AK77" s="716" t="n"/>
    </row>
    <row r="78" ht="15.95" customFormat="1" customHeight="1" s="716">
      <c r="A78" s="716" t="n"/>
      <c r="B78" s="716" t="n"/>
      <c r="C78" s="716" t="n"/>
      <c r="D78" s="716" t="n"/>
      <c r="E78" s="716" t="n"/>
      <c r="F78" s="716" t="n"/>
      <c r="G78" s="716" t="n"/>
      <c r="H78" s="716" t="n"/>
      <c r="I78" s="716" t="n"/>
      <c r="J78" s="716" t="n"/>
      <c r="K78" s="716" t="n"/>
      <c r="L78" s="716" t="n"/>
      <c r="M78" s="716" t="n"/>
      <c r="N78" s="716" t="n"/>
      <c r="O78" s="716" t="n"/>
      <c r="P78" s="716" t="n"/>
      <c r="Q78" s="716" t="n"/>
      <c r="R78" s="716" t="n"/>
      <c r="S78" s="462">
        <f>IF(_epmOfflineCondition_,"应交款项明细-住房公积金（汇总）",EPMMemberDesc(U78))</f>
        <v/>
      </c>
      <c r="T78" s="716" t="n"/>
      <c r="U78" s="825" t="inlineStr">
        <is>
          <t>A084032</t>
        </is>
      </c>
      <c r="V78" s="462">
        <f>IF(_epmOfflineCondition_,"A084032",EPMOlapMemberO(U78,"[C_ACCOUNT].[PARENTH1].[A084032]","A084032 - 应交款项明细-住房公积金（汇总）","","000"))</f>
        <v/>
      </c>
      <c r="W78" s="462" t="n"/>
      <c r="X78" s="826" t="inlineStr">
        <is>
          <t>四、住房公积金</t>
        </is>
      </c>
      <c r="Y78" s="1306">
        <f>ROW()-47</f>
        <v/>
      </c>
      <c r="Z78" s="1307" t="inlineStr"/>
      <c r="AA78" s="1307" t="inlineStr"/>
      <c r="AB78" s="1307" t="inlineStr"/>
      <c r="AC78" s="1307">
        <f>IF(AB78=0,0,(AA78-AB78)/AB78*100)</f>
        <v/>
      </c>
      <c r="AD78" s="1307">
        <f>AH78*-1</f>
        <v/>
      </c>
      <c r="AE78" s="1307">
        <f>AI78*-1</f>
        <v/>
      </c>
      <c r="AF78" s="1307">
        <f>AJ78*-1</f>
        <v/>
      </c>
      <c r="AG78" s="1307">
        <f>IF(AF78=0,0,(AE78-AF78)/AF78*100)</f>
        <v/>
      </c>
      <c r="AH78" s="1308" t="inlineStr"/>
      <c r="AI78" s="1308" t="inlineStr"/>
      <c r="AJ78" s="1308" t="inlineStr"/>
      <c r="AK78" s="716" t="n"/>
    </row>
  </sheetData>
  <sheetProtection selectLockedCells="0" selectUnlockedCells="0" algorithmName="SHA-512" sheet="1" objects="0" insertRows="1" insertHyperlinks="1" autoFilter="1" scenarios="1" formatColumns="1" deleteColumns="1" insertColumns="1" pivotTables="1" deleteRows="1" formatCells="1" saltValue="pIwlohtzv8Rf7MdlSQNkkw==" formatRows="1" sort="1" spinCount="100000" hashValue="an9/bVOlIp9lLxjrXx0aT6ggYmQb4DuFm+n2Zq1ZMCWlFjDjyZCXgwoMqaJ05NsmRNZkH4Az1VolMmTCCmoBFw=="/>
  <mergeCells count="9">
    <mergeCell ref="M1:O1"/>
    <mergeCell ref="P1:R1"/>
    <mergeCell ref="H2:J2"/>
    <mergeCell ref="D16:E16"/>
    <mergeCell ref="Z39:AC39"/>
    <mergeCell ref="AD39:AG39"/>
    <mergeCell ref="AH39:AJ39"/>
    <mergeCell ref="X39:X40"/>
    <mergeCell ref="Y39:Y40"/>
  </mergeCells>
  <dataValidations count="1">
    <dataValidation sqref="AA37" showErrorMessage="1" showInputMessage="1" allowBlank="1" type="list">
      <formula1>"LC,CNY"</formula1>
    </dataValidation>
  </dataValidations>
  <pageMargins left="0.7086614173228351" right="0.7086614173228351" top="0.748031496062992" bottom="0.748031496062992" header="0.31496062992126" footer="0.31496062992126"/>
  <pageSetup orientation="portrait" paperSize="9" scale="45"/>
  <drawing xmlns:r="http://schemas.openxmlformats.org/officeDocument/2006/relationships" r:id="rId1"/>
</worksheet>
</file>

<file path=xl/worksheets/sheet15.xml><?xml version="1.0" encoding="utf-8"?>
<worksheet xmlns="http://schemas.openxmlformats.org/spreadsheetml/2006/main">
  <sheetPr codeName="Sheet6">
    <outlinePr showOutlineSymbols="0"/>
    <pageSetUpPr/>
  </sheetPr>
  <dimension ref="A1:AV100"/>
  <sheetViews>
    <sheetView showOutlineSymbols="0" topLeftCell="X34" zoomScale="90" zoomScaleNormal="90" workbookViewId="0">
      <selection activeCell="AD73" sqref="AD73"/>
    </sheetView>
  </sheetViews>
  <sheetFormatPr baseColWidth="8" defaultColWidth="8.375" defaultRowHeight="16.8"/>
  <cols>
    <col hidden="1" outlineLevel="1" width="8" customWidth="1" style="1181" min="1" max="1"/>
    <col hidden="1" outlineLevel="1" width="15.375" customWidth="1" style="1181" min="2" max="2"/>
    <col hidden="1" outlineLevel="1" width="11.375" customWidth="1" style="1181" min="3" max="3"/>
    <col hidden="1" outlineLevel="1" width="23.125" customWidth="1" style="1181" min="4" max="4"/>
    <col hidden="1" outlineLevel="1" width="7.375" customWidth="1" style="1181" min="5" max="5"/>
    <col hidden="1" outlineLevel="1" width="7.75" customWidth="1" style="1181" min="6" max="7"/>
    <col hidden="1" outlineLevel="1" width="8.375" customWidth="1" style="1181" min="8" max="8"/>
    <col hidden="1" outlineLevel="1" width="15.75" customWidth="1" style="1181" min="9" max="9"/>
    <col hidden="1" outlineLevel="1" width="11.125" customWidth="1" style="1181" min="10" max="10"/>
    <col hidden="1" outlineLevel="1" width="7.75" customWidth="1" style="1181" min="11" max="16"/>
    <col hidden="1" outlineLevel="1" width="12.375" customWidth="1" style="1181" min="17" max="17"/>
    <col hidden="1" outlineLevel="1" width="7.75" customWidth="1" style="1181" min="18" max="18"/>
    <col hidden="1" outlineLevel="1" width="16.75" customWidth="1" style="32" min="19" max="19"/>
    <col hidden="1" outlineLevel="1" width="2.375" customWidth="1" style="1181" min="20" max="20"/>
    <col hidden="1" outlineLevel="1" width="12.75" customWidth="1" style="1181" min="21" max="22"/>
    <col hidden="1" outlineLevel="1" width="21.25" customWidth="1" style="1181" min="23" max="23"/>
    <col collapsed="1" width="1.375" customWidth="1" style="1181" min="24" max="24"/>
    <col width="18.25" customWidth="1" style="38" min="25" max="25"/>
    <col width="5.375" customWidth="1" style="38" min="26" max="26"/>
    <col width="51.75" customWidth="1" style="779" min="27" max="27"/>
    <col width="20.375" customWidth="1" style="32" min="28" max="28"/>
    <col width="20.375" customWidth="1" style="1181" min="29" max="33"/>
    <col hidden="1" width="23.375" customWidth="1" style="1181" min="34" max="34"/>
    <col hidden="1" width="25.75" customWidth="1" style="1181" min="35" max="35"/>
    <col width="20.375" customWidth="1" style="1181" min="36" max="36"/>
    <col hidden="1" outlineLevel="1" width="20.375" customWidth="1" style="1181" min="37" max="37"/>
    <col hidden="1" outlineLevel="1" width="16.75" customWidth="1" style="1181" min="38" max="38"/>
    <col hidden="1" outlineLevel="1" width="17.375" customWidth="1" style="1181" min="39" max="40"/>
    <col hidden="1" outlineLevel="1" width="6.375" customWidth="1" style="1181" min="41" max="41"/>
    <col hidden="1" outlineLevel="1" width="8.375" customWidth="1" style="1181" min="42" max="42"/>
    <col hidden="1" outlineLevel="1" width="21.25" customWidth="1" style="1181" min="43" max="43"/>
    <col hidden="1" outlineLevel="1" width="11.75" customWidth="1" style="1181" min="44" max="44"/>
    <col hidden="1" outlineLevel="1" width="16.375" customWidth="1" style="1181" min="45" max="45"/>
    <col hidden="1" outlineLevel="1" width="16.75" customWidth="1" style="1181" min="46" max="47"/>
    <col collapsed="1" width="16.75" customWidth="1" style="1181" min="48" max="48"/>
    <col width="17.375" customWidth="1" style="1181" min="49" max="50"/>
    <col width="16.75" customWidth="1" style="1181" min="51" max="53"/>
    <col width="17.375" customWidth="1" style="1181" min="54" max="55"/>
    <col width="16.75" customWidth="1" style="1181" min="56" max="58"/>
    <col width="17.375" customWidth="1" style="1181" min="59" max="60"/>
    <col width="16.75" customWidth="1" style="1181" min="61" max="61"/>
  </cols>
  <sheetData>
    <row r="1" hidden="1" outlineLevel="1" customFormat="1" s="13">
      <c r="A1" s="172" t="inlineStr">
        <is>
          <t>维度清单</t>
        </is>
      </c>
      <c r="B1" s="462" t="n"/>
      <c r="C1" s="173" t="n"/>
      <c r="D1" s="173" t="n"/>
      <c r="E1" s="716" t="n"/>
      <c r="F1" s="13" t="n"/>
      <c r="G1" s="13" t="n"/>
      <c r="H1" s="13" t="n"/>
      <c r="I1" s="13" t="n"/>
      <c r="J1" s="13" t="n"/>
      <c r="K1" s="13" t="n"/>
      <c r="L1" s="13" t="n"/>
      <c r="M1" s="13" t="n"/>
      <c r="N1" s="13" t="n"/>
      <c r="O1" s="13" t="n"/>
      <c r="P1" s="13" t="n"/>
      <c r="Q1" s="13" t="n"/>
      <c r="R1" s="13" t="n"/>
      <c r="S1" s="1103" t="n"/>
      <c r="T1" s="13" t="n"/>
      <c r="U1" s="13" t="n"/>
      <c r="V1" s="13" t="n"/>
      <c r="W1" s="13" t="n"/>
      <c r="X1" s="13" t="n"/>
      <c r="Y1" s="171" t="n"/>
      <c r="Z1" s="171" t="n"/>
      <c r="AA1" s="778" t="n"/>
      <c r="AB1" s="1103" t="n"/>
      <c r="AC1" s="13" t="n"/>
      <c r="AD1" s="13" t="n"/>
      <c r="AE1" s="13" t="n"/>
      <c r="AF1" s="13" t="n"/>
      <c r="AG1" s="13" t="n"/>
      <c r="AH1" s="13" t="n"/>
      <c r="AI1" s="13" t="n"/>
      <c r="AJ1" s="13" t="n"/>
      <c r="AK1" s="13" t="n"/>
      <c r="AL1" s="13" t="n"/>
      <c r="AM1" s="13" t="n"/>
      <c r="AN1" s="13" t="n"/>
      <c r="AO1" s="13" t="n"/>
      <c r="AP1" s="13" t="n"/>
      <c r="AQ1" s="220" t="n"/>
      <c r="AR1" s="13" t="n"/>
      <c r="AS1" s="13" t="n"/>
      <c r="AT1" s="13" t="n"/>
      <c r="AU1" s="13" t="n"/>
      <c r="AV1" s="13" t="n"/>
    </row>
    <row r="2" hidden="1" outlineLevel="1" customFormat="1" s="13">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103" t="n"/>
      <c r="T2" s="13" t="n"/>
      <c r="U2" s="13" t="n"/>
      <c r="V2" s="13" t="n"/>
      <c r="W2" s="13" t="n"/>
      <c r="X2" s="13" t="n"/>
      <c r="Y2" s="171" t="n"/>
      <c r="Z2" s="171" t="n"/>
      <c r="AA2" s="778" t="n"/>
      <c r="AB2" s="1103" t="n"/>
      <c r="AC2" s="13" t="n"/>
      <c r="AD2" s="13" t="n"/>
      <c r="AE2" s="13" t="n"/>
      <c r="AF2" s="13" t="n"/>
      <c r="AG2" s="13" t="n"/>
      <c r="AH2" s="13" t="n"/>
      <c r="AI2" s="13" t="n"/>
      <c r="AJ2" s="13" t="n"/>
      <c r="AK2" s="13" t="n"/>
      <c r="AL2" s="13" t="n"/>
      <c r="AM2" s="13" t="n"/>
      <c r="AN2" s="13" t="n"/>
      <c r="AO2" s="13" t="n"/>
      <c r="AP2" s="13" t="n"/>
      <c r="AQ2" s="220" t="n"/>
      <c r="AR2" s="13" t="n"/>
      <c r="AS2" s="13" t="n"/>
      <c r="AT2" s="13" t="n"/>
      <c r="AU2" s="13" t="n"/>
      <c r="AV2" s="13" t="n"/>
    </row>
    <row r="3" hidden="1" outlineLevel="1" customFormat="1" s="13">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103" t="n"/>
      <c r="T3" s="13" t="n"/>
      <c r="U3" s="13" t="n"/>
      <c r="V3" s="13" t="n"/>
      <c r="W3" s="13" t="n"/>
      <c r="X3" s="13" t="n"/>
      <c r="Y3" s="171" t="n"/>
      <c r="Z3" s="171" t="n"/>
      <c r="AA3" s="778" t="n"/>
      <c r="AB3" s="1103" t="n"/>
      <c r="AC3" s="13" t="n"/>
      <c r="AD3" s="13" t="n"/>
      <c r="AE3" s="13" t="n"/>
      <c r="AF3" s="13" t="n"/>
      <c r="AG3" s="13" t="n"/>
      <c r="AH3" s="13" t="n"/>
      <c r="AI3" s="13" t="n"/>
      <c r="AJ3" s="13" t="n"/>
      <c r="AK3" s="13" t="n"/>
      <c r="AL3" s="13" t="n"/>
      <c r="AM3" s="13" t="n"/>
      <c r="AN3" s="13" t="n"/>
      <c r="AO3" s="13" t="n"/>
      <c r="AP3" s="13" t="n"/>
      <c r="AQ3" s="220" t="n"/>
      <c r="AR3" s="13" t="n"/>
      <c r="AS3" s="13" t="n"/>
      <c r="AT3" s="13" t="n"/>
      <c r="AU3" s="13" t="n"/>
      <c r="AV3" s="13" t="n"/>
    </row>
    <row r="4" hidden="1" outlineLevel="1" customFormat="1" s="13">
      <c r="A4" s="175" t="inlineStr">
        <is>
          <t>C</t>
        </is>
      </c>
      <c r="B4" s="176">
        <f>IF(_epmOfflineCondition_,"C_CATEGORY",EPMDimensionType(,A4))</f>
        <v/>
      </c>
      <c r="C4" s="176">
        <f>IF(_epmOfflineCondition_,"C1001",IF(B4="","",EPMContextMember(,B4)))</f>
        <v/>
      </c>
      <c r="D4" s="176">
        <f>IF(_epmOfflineCondition_,"实际数/决算数",EPMMemberDesc(C4))</f>
        <v/>
      </c>
      <c r="E4" s="176" t="n"/>
      <c r="F4" s="13" t="n"/>
      <c r="G4" s="13" t="n"/>
      <c r="H4" s="184" t="inlineStr">
        <is>
          <t>预算年</t>
        </is>
      </c>
      <c r="I4" s="184">
        <f>"V_"&amp;$I$3</f>
        <v/>
      </c>
      <c r="J4" s="184">
        <f>$I$3&amp;".TOTAL"</f>
        <v/>
      </c>
      <c r="K4" s="13" t="n"/>
      <c r="L4" s="13" t="n"/>
      <c r="M4" s="13" t="n"/>
      <c r="N4" s="13" t="n"/>
      <c r="O4" s="13" t="n"/>
      <c r="P4" s="13" t="n"/>
      <c r="Q4" s="13" t="n"/>
      <c r="R4" s="13" t="n"/>
      <c r="S4" s="1103" t="n"/>
      <c r="T4" s="13" t="n"/>
      <c r="U4" s="13" t="n"/>
      <c r="V4" s="13" t="n"/>
      <c r="W4" s="13" t="n"/>
      <c r="X4" s="13" t="n"/>
      <c r="Y4" s="171" t="n"/>
      <c r="Z4" s="171" t="n"/>
      <c r="AA4" s="778" t="n"/>
      <c r="AB4" s="1103" t="n"/>
      <c r="AC4" s="13" t="n"/>
      <c r="AD4" s="13" t="n"/>
      <c r="AE4" s="13" t="n"/>
      <c r="AF4" s="13" t="n"/>
      <c r="AG4" s="13" t="n"/>
      <c r="AH4" s="13" t="n"/>
      <c r="AI4" s="13" t="n"/>
      <c r="AJ4" s="13" t="n"/>
      <c r="AK4" s="13" t="n"/>
      <c r="AL4" s="13" t="n"/>
      <c r="AM4" s="13" t="n"/>
      <c r="AN4" s="13" t="n"/>
      <c r="AO4" s="13" t="n"/>
      <c r="AP4" s="13" t="n"/>
      <c r="AQ4" s="220" t="n"/>
      <c r="AR4" s="13" t="n"/>
      <c r="AS4" s="13" t="n"/>
      <c r="AT4" s="13" t="n"/>
      <c r="AU4" s="13" t="n"/>
      <c r="AV4" s="13" t="n"/>
    </row>
    <row r="5" hidden="1" outlineLevel="1" customFormat="1" s="13">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13" t="n"/>
      <c r="V5" s="13" t="n"/>
      <c r="W5" s="13" t="n"/>
      <c r="X5" s="13" t="n"/>
      <c r="Y5" s="171" t="n"/>
      <c r="Z5" s="171" t="n"/>
      <c r="AA5" s="778" t="n"/>
      <c r="AB5" s="1103" t="n"/>
      <c r="AC5" s="13" t="n"/>
      <c r="AD5" s="13" t="n"/>
      <c r="AE5" s="13" t="n"/>
      <c r="AF5" s="13" t="n"/>
      <c r="AG5" s="13" t="n"/>
      <c r="AH5" s="13" t="n"/>
      <c r="AI5" s="13" t="n"/>
      <c r="AJ5" s="13" t="n"/>
      <c r="AK5" s="13" t="n"/>
      <c r="AL5" s="13" t="n"/>
      <c r="AM5" s="13" t="n"/>
      <c r="AN5" s="13" t="n"/>
      <c r="AO5" s="13" t="n"/>
      <c r="AP5" s="13" t="n"/>
      <c r="AQ5" s="220" t="n"/>
      <c r="AR5" s="13" t="n"/>
      <c r="AS5" s="13" t="n"/>
      <c r="AT5" s="13" t="n"/>
      <c r="AU5" s="13" t="n"/>
      <c r="AV5" s="13" t="n"/>
    </row>
    <row r="6" hidden="1" outlineLevel="1" customFormat="1" s="13">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774" t="n"/>
      <c r="F6" s="13" t="n"/>
      <c r="G6" s="13" t="n"/>
      <c r="H6" s="184" t="inlineStr">
        <is>
          <t>前两年</t>
        </is>
      </c>
      <c r="I6" s="184">
        <f>"V_"&amp;$I$3-2</f>
        <v/>
      </c>
      <c r="J6" s="184">
        <f>$I$3-2&amp;".TOTAL"</f>
        <v/>
      </c>
      <c r="K6" s="13" t="n"/>
      <c r="L6" s="13" t="n"/>
      <c r="M6" s="13" t="n"/>
      <c r="N6" s="13" t="n"/>
      <c r="O6" s="13" t="n"/>
      <c r="P6" s="13" t="n"/>
      <c r="Q6" s="13" t="n"/>
      <c r="R6" s="13" t="n"/>
      <c r="S6" s="1103" t="n"/>
      <c r="T6" s="13" t="n"/>
      <c r="U6" s="13" t="n"/>
      <c r="V6" s="13" t="n"/>
      <c r="W6" s="13" t="n"/>
      <c r="X6" s="13" t="n"/>
      <c r="Y6" s="171" t="n"/>
      <c r="Z6" s="171" t="n"/>
      <c r="AA6" s="778" t="n"/>
      <c r="AB6" s="1103" t="n"/>
      <c r="AC6" s="13" t="n"/>
      <c r="AD6" s="13" t="n"/>
      <c r="AE6" s="13" t="n"/>
      <c r="AF6" s="13" t="n"/>
      <c r="AG6" s="13" t="n"/>
      <c r="AH6" s="13" t="n"/>
      <c r="AI6" s="13" t="n"/>
      <c r="AJ6" s="13" t="n"/>
      <c r="AK6" s="13" t="n"/>
      <c r="AL6" s="13" t="n"/>
      <c r="AM6" s="13" t="n"/>
      <c r="AN6" s="13" t="n"/>
      <c r="AO6" s="13" t="n"/>
      <c r="AP6" s="13" t="n"/>
      <c r="AQ6" s="220" t="n"/>
      <c r="AR6" s="13" t="n"/>
      <c r="AS6" s="13" t="n"/>
      <c r="AT6" s="13" t="n"/>
      <c r="AU6" s="13" t="n"/>
      <c r="AV6" s="13" t="n"/>
    </row>
    <row r="7" hidden="1" outlineLevel="1" customFormat="1" s="13">
      <c r="A7" s="175" t="inlineStr">
        <is>
          <t>R</t>
        </is>
      </c>
      <c r="B7" s="176">
        <f>IF(_epmOfflineCondition_,"C_RPTCURRENCY",EPMDimensionType(,A7))</f>
        <v/>
      </c>
      <c r="C7" s="176">
        <f>IF(_epmOfflineCondition_,"AUD",IF(B7="","",EPMContextMember(,B7)))</f>
        <v/>
      </c>
      <c r="D7" s="176">
        <f>IF(_epmOfflineCondition_,"澳元",EPMMemberDesc(C7))</f>
        <v/>
      </c>
      <c r="E7" s="176" t="n"/>
      <c r="F7" s="13" t="n"/>
      <c r="G7" s="13" t="n"/>
      <c r="H7" s="184" t="inlineStr">
        <is>
          <t>年末</t>
        </is>
      </c>
      <c r="I7" s="188" t="inlineStr"/>
      <c r="J7" s="13" t="n"/>
      <c r="K7" s="13" t="n"/>
      <c r="L7" s="13" t="n"/>
      <c r="M7" s="13" t="n"/>
      <c r="N7" s="13" t="n"/>
      <c r="O7" s="13" t="n"/>
      <c r="P7" s="13" t="n"/>
      <c r="Q7" s="13" t="n"/>
      <c r="R7" s="13" t="n"/>
      <c r="S7" s="1103" t="n"/>
      <c r="T7" s="13" t="n"/>
      <c r="U7" s="13" t="n"/>
      <c r="V7" s="13" t="n"/>
      <c r="W7" s="13" t="n"/>
      <c r="X7" s="13" t="n"/>
      <c r="Y7" s="171" t="n"/>
      <c r="Z7" s="171" t="n"/>
      <c r="AA7" s="778" t="n"/>
      <c r="AB7" s="1103" t="n"/>
      <c r="AC7" s="13" t="n"/>
      <c r="AD7" s="13" t="n"/>
      <c r="AE7" s="13" t="n"/>
      <c r="AF7" s="13" t="n"/>
      <c r="AG7" s="13" t="n"/>
      <c r="AH7" s="13" t="n"/>
      <c r="AI7" s="13" t="n"/>
      <c r="AJ7" s="13" t="n"/>
      <c r="AK7" s="13" t="n"/>
      <c r="AL7" s="13" t="n"/>
      <c r="AM7" s="13" t="n"/>
      <c r="AN7" s="13" t="n"/>
      <c r="AO7" s="13" t="n"/>
      <c r="AP7" s="13" t="n"/>
      <c r="AQ7" s="220" t="n"/>
      <c r="AR7" s="13" t="n"/>
      <c r="AS7" s="13" t="n"/>
      <c r="AT7" s="13" t="n"/>
      <c r="AU7" s="13" t="n"/>
      <c r="AV7" s="13" t="n"/>
    </row>
    <row r="8" hidden="1" outlineLevel="1" customFormat="1" s="13">
      <c r="A8" s="175" t="inlineStr">
        <is>
          <t>D</t>
        </is>
      </c>
      <c r="B8" s="176">
        <f>IF(_epmOfflineCondition_,"C_AUDITTRAIL",EPMDimensionType(,A8))</f>
        <v/>
      </c>
      <c r="C8" s="176">
        <f>IF(_epmOfflineCondition_,"DTOTAL",IF(B8="","",EPMContextMember(,B8)))</f>
        <v/>
      </c>
      <c r="D8" s="176">
        <f>IF(_epmOfflineCondition_,"全部审计线索",EPMMemberDesc(C8))</f>
        <v/>
      </c>
      <c r="E8" s="176" t="n"/>
      <c r="F8" s="13" t="n"/>
      <c r="G8" s="13" t="n"/>
      <c r="H8" s="184" t="inlineStr">
        <is>
          <t>本月</t>
        </is>
      </c>
      <c r="I8" s="184">
        <f>IF(_epmOfflineCondition_,"03",RIGHT("0"&amp;EPMMemberProperty(,EPMContextMember(,"C_TIME"),"MONTHNUM"),2))</f>
        <v/>
      </c>
      <c r="J8" s="13" t="n"/>
      <c r="K8" s="13" t="n"/>
      <c r="L8" s="13" t="n"/>
      <c r="M8" s="13" t="n"/>
      <c r="N8" s="13" t="n"/>
      <c r="O8" s="13" t="n"/>
      <c r="P8" s="13" t="n"/>
      <c r="Q8" s="13" t="n"/>
      <c r="R8" s="13" t="n"/>
      <c r="S8" s="1103" t="n"/>
      <c r="T8" s="13" t="n"/>
      <c r="U8" s="13" t="n"/>
      <c r="V8" s="13" t="n"/>
      <c r="W8" s="13" t="n"/>
      <c r="X8" s="13" t="n"/>
      <c r="Y8" s="171" t="n"/>
      <c r="Z8" s="171" t="n"/>
      <c r="AA8" s="778" t="n"/>
      <c r="AB8" s="1103" t="n"/>
      <c r="AC8" s="13" t="n"/>
      <c r="AD8" s="13" t="n"/>
      <c r="AE8" s="13" t="n"/>
      <c r="AF8" s="13" t="n"/>
      <c r="AG8" s="13" t="n"/>
      <c r="AH8" s="13" t="n"/>
      <c r="AI8" s="13" t="n"/>
      <c r="AJ8" s="13" t="n"/>
      <c r="AK8" s="13" t="n"/>
      <c r="AL8" s="13" t="n"/>
      <c r="AM8" s="13" t="n"/>
      <c r="AN8" s="13" t="n"/>
      <c r="AO8" s="13" t="n"/>
      <c r="AP8" s="13" t="n"/>
      <c r="AQ8" s="220" t="n"/>
      <c r="AR8" s="13" t="n"/>
      <c r="AS8" s="13" t="n"/>
      <c r="AT8" s="13" t="n"/>
      <c r="AU8" s="13" t="n"/>
      <c r="AV8" s="13" t="n"/>
    </row>
    <row r="9" hidden="1" outlineLevel="1" customFormat="1" s="13">
      <c r="A9" s="175" t="inlineStr">
        <is>
          <t>S</t>
        </is>
      </c>
      <c r="B9" s="176">
        <f>IF(_epmOfflineCondition_,"C_FLOW",EPMDimensionType(,A9))</f>
        <v/>
      </c>
      <c r="C9" s="176">
        <f>IF(_epmOfflineCondition_,"FTOTAL",IF(B9="","",EPMContextMember(,B9)))</f>
        <v/>
      </c>
      <c r="D9" s="176">
        <f>IF(_epmOfflineCondition_,"全部变动",EPMMemberDesc(C9))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13" t="n"/>
      <c r="V9" s="13" t="n"/>
      <c r="W9" s="13" t="n"/>
      <c r="X9" s="13" t="n"/>
      <c r="Y9" s="171" t="n"/>
      <c r="Z9" s="171" t="n"/>
      <c r="AA9" s="778" t="n"/>
      <c r="AB9" s="1103" t="n"/>
      <c r="AC9" s="13" t="n"/>
      <c r="AD9" s="13" t="n"/>
      <c r="AE9" s="13" t="n"/>
      <c r="AF9" s="13" t="n"/>
      <c r="AG9" s="13" t="n"/>
      <c r="AH9" s="13" t="n"/>
      <c r="AI9" s="13" t="n"/>
      <c r="AJ9" s="13" t="n"/>
      <c r="AK9" s="13" t="n"/>
      <c r="AL9" s="13" t="n"/>
      <c r="AM9" s="13" t="n"/>
      <c r="AN9" s="13" t="n"/>
      <c r="AO9" s="13" t="n"/>
      <c r="AP9" s="13" t="n"/>
      <c r="AQ9" s="220" t="n"/>
      <c r="AR9" s="13" t="n"/>
      <c r="AS9" s="13" t="n"/>
      <c r="AT9" s="13" t="n"/>
      <c r="AU9" s="13" t="n"/>
      <c r="AV9" s="13" t="n"/>
    </row>
    <row r="10" hidden="1" outlineLevel="1" customFormat="1" s="13">
      <c r="A10" s="175" t="inlineStr">
        <is>
          <t>I</t>
        </is>
      </c>
      <c r="B10" s="176">
        <f>IF(_epmOfflineCondition_,"C_INTERCO",EPMDimensionType(,A10))</f>
        <v/>
      </c>
      <c r="C10" s="176">
        <f>IF(_epmOfflineCondition_,"I_ALL",IF(B10="","",EPMContextMember(,B10)))</f>
        <v/>
      </c>
      <c r="D10" s="176">
        <f>IF(_epmOfflineCondition_,"全部贸易伙伴",EPMMemberDesc(C10))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13" t="n"/>
      <c r="V10" s="13" t="n"/>
      <c r="W10" s="13" t="n"/>
      <c r="X10" s="13" t="n"/>
      <c r="Y10" s="171" t="n"/>
      <c r="Z10" s="171" t="n"/>
      <c r="AA10" s="778" t="n"/>
      <c r="AB10" s="1103" t="n"/>
      <c r="AC10" s="13" t="n"/>
      <c r="AD10" s="13" t="n"/>
      <c r="AE10" s="13" t="n"/>
      <c r="AF10" s="13" t="n"/>
      <c r="AG10" s="13" t="n"/>
      <c r="AH10" s="13" t="n"/>
      <c r="AI10" s="13" t="n"/>
      <c r="AJ10" s="13" t="n"/>
      <c r="AK10" s="13" t="n"/>
      <c r="AL10" s="13" t="n"/>
      <c r="AM10" s="13" t="n"/>
      <c r="AN10" s="13" t="n"/>
      <c r="AO10" s="13" t="n"/>
      <c r="AP10" s="13" t="n"/>
      <c r="AQ10" s="220" t="n"/>
      <c r="AR10" s="13" t="n"/>
      <c r="AS10" s="13" t="n"/>
      <c r="AT10" s="13" t="n"/>
      <c r="AU10" s="13" t="n"/>
      <c r="AV10" s="13" t="n"/>
    </row>
    <row r="11" hidden="1" outlineLevel="1" customFormat="1" s="13">
      <c r="A11" s="175" t="inlineStr">
        <is>
          <t>G</t>
        </is>
      </c>
      <c r="B11" s="176">
        <f>IF(_epmOfflineCondition_,"C_SCOPE",EPMDimensionType(,A11))</f>
        <v/>
      </c>
      <c r="C11" s="176">
        <f>IF(_epmOfflineCondition_,"G_DUMMY",IF(B11="","",EPMContextMember(,B11)))</f>
        <v/>
      </c>
      <c r="D11" s="176">
        <f>IF(_epmOfflineCondition_,"合并范围无关",EPMMemberDesc(C11))</f>
        <v/>
      </c>
      <c r="E11" s="176" t="n"/>
      <c r="F11" s="13" t="n"/>
      <c r="G11" s="13" t="n"/>
      <c r="H11" s="184" t="inlineStr">
        <is>
          <t xml:space="preserve">本年月 </t>
        </is>
      </c>
      <c r="I11" s="184">
        <f>I3&amp;"."&amp;I8</f>
        <v/>
      </c>
      <c r="J11" s="13" t="n"/>
      <c r="K11" s="13" t="n"/>
      <c r="L11" s="13" t="n"/>
      <c r="M11" s="13" t="n"/>
      <c r="N11" s="13" t="n"/>
      <c r="O11" s="13" t="n"/>
      <c r="P11" s="13" t="n"/>
      <c r="Q11" s="13" t="n"/>
      <c r="R11" s="13" t="n"/>
      <c r="S11" s="1103" t="n"/>
      <c r="T11" s="13" t="n"/>
      <c r="U11" s="13" t="n"/>
      <c r="V11" s="13" t="n"/>
      <c r="W11" s="13" t="n"/>
      <c r="X11" s="13" t="n"/>
      <c r="Y11" s="171" t="n"/>
      <c r="Z11" s="171" t="n"/>
      <c r="AA11" s="778" t="n"/>
      <c r="AB11" s="1103" t="n"/>
      <c r="AC11" s="13" t="n"/>
      <c r="AD11" s="13" t="n"/>
      <c r="AE11" s="13" t="n"/>
      <c r="AF11" s="13" t="n"/>
      <c r="AG11" s="13" t="n"/>
      <c r="AH11" s="13" t="n"/>
      <c r="AI11" s="13" t="n"/>
      <c r="AJ11" s="13" t="n"/>
      <c r="AK11" s="13" t="n"/>
      <c r="AL11" s="13" t="n"/>
      <c r="AM11" s="13" t="n"/>
      <c r="AN11" s="13" t="n"/>
      <c r="AO11" s="13" t="n"/>
      <c r="AP11" s="13" t="n"/>
      <c r="AQ11" s="220" t="n"/>
      <c r="AR11" s="13" t="n"/>
      <c r="AS11" s="13" t="n"/>
      <c r="AT11" s="13" t="n"/>
      <c r="AU11" s="13" t="n"/>
      <c r="AV11" s="13" t="n"/>
    </row>
    <row r="12" hidden="1" outlineLevel="1" customFormat="1" s="13">
      <c r="A12" s="175" t="inlineStr">
        <is>
          <t>U8</t>
        </is>
      </c>
      <c r="B12" s="176">
        <f>IF(_epmOfflineCondition_,"C_PROJECT",EPMDimensionType(,A12))</f>
        <v/>
      </c>
      <c r="C12" s="176">
        <f>IF(_epmOfflineCondition_,"ZP_ALL",IF(B12="","",EPMContextMember(,B12)))</f>
        <v/>
      </c>
      <c r="D12" s="176">
        <f>IF(_epmOfflineCondition_,"项目合计",EPMMemberDesc(C12))</f>
        <v/>
      </c>
      <c r="E12" s="176" t="n"/>
      <c r="F12" s="13" t="n"/>
      <c r="G12" s="13" t="n"/>
      <c r="H12" s="184" t="inlineStr">
        <is>
          <t>上年月</t>
        </is>
      </c>
      <c r="I12" s="184">
        <f>IF(I8="01",I10&amp;"."&amp;I9,I3&amp;"."&amp;I9)</f>
        <v/>
      </c>
      <c r="J12" s="13" t="n"/>
      <c r="K12" s="13" t="n"/>
      <c r="L12" s="13" t="n"/>
      <c r="M12" s="13" t="n"/>
      <c r="N12" s="13" t="n"/>
      <c r="O12" s="13" t="n"/>
      <c r="P12" s="13" t="n"/>
      <c r="Q12" s="13" t="n"/>
      <c r="R12" s="13" t="n"/>
      <c r="S12" s="1103" t="n"/>
      <c r="T12" s="13" t="n"/>
      <c r="U12" s="13" t="n"/>
      <c r="V12" s="13" t="n"/>
      <c r="W12" s="13" t="n"/>
      <c r="X12" s="13" t="n"/>
      <c r="Y12" s="171" t="n"/>
      <c r="Z12" s="171" t="n"/>
      <c r="AA12" s="778" t="n"/>
      <c r="AB12" s="1103" t="n"/>
      <c r="AC12" s="13" t="n"/>
      <c r="AD12" s="13" t="n"/>
      <c r="AE12" s="13" t="n"/>
      <c r="AF12" s="13" t="n"/>
      <c r="AG12" s="13" t="n"/>
      <c r="AH12" s="13" t="n"/>
      <c r="AI12" s="13" t="n"/>
      <c r="AJ12" s="13" t="n"/>
      <c r="AK12" s="13" t="n"/>
      <c r="AL12" s="13" t="n"/>
      <c r="AM12" s="13" t="n"/>
      <c r="AN12" s="13" t="n"/>
      <c r="AO12" s="13" t="n"/>
      <c r="AP12" s="13" t="n"/>
      <c r="AQ12" s="220" t="n"/>
      <c r="AR12" s="13" t="n"/>
      <c r="AS12" s="13" t="n"/>
      <c r="AT12" s="13" t="n"/>
      <c r="AU12" s="13" t="n"/>
      <c r="AV12" s="13" t="n"/>
    </row>
    <row r="13" hidden="1" outlineLevel="1" customFormat="1" s="13">
      <c r="A13" s="175" t="inlineStr">
        <is>
          <t>U9</t>
        </is>
      </c>
      <c r="B13" s="176">
        <f>IF(_epmOfflineCondition_,"C_ITEM",EPMDimensionType(,A13))</f>
        <v/>
      </c>
      <c r="C13" s="176">
        <f>IF(_epmOfflineCondition_,"ZI_ALL",IF(B13="","",EPMContextMember(,B13)))</f>
        <v/>
      </c>
      <c r="D13" s="176">
        <f>IF(_epmOfflineCondition_,"全部ITEM",EPMMemberDesc(C13))</f>
        <v/>
      </c>
      <c r="E13" s="176" t="n"/>
      <c r="F13" s="13" t="n"/>
      <c r="G13" s="13" t="n"/>
      <c r="H13" s="184" t="inlineStr">
        <is>
          <t xml:space="preserve">上年同期 </t>
        </is>
      </c>
      <c r="I13" s="184">
        <f>I10&amp;"."&amp;I8</f>
        <v/>
      </c>
      <c r="J13" s="13" t="n"/>
      <c r="K13" s="13" t="n"/>
      <c r="L13" s="13" t="n"/>
      <c r="M13" s="13" t="n"/>
      <c r="N13" s="13" t="n"/>
      <c r="O13" s="13" t="n"/>
      <c r="P13" s="13" t="n"/>
      <c r="Q13" s="13" t="n"/>
      <c r="R13" s="13" t="n"/>
      <c r="S13" s="1103" t="n"/>
      <c r="T13" s="13" t="n"/>
      <c r="U13" s="13" t="n"/>
      <c r="V13" s="13" t="n"/>
      <c r="W13" s="13" t="n"/>
      <c r="X13" s="13" t="n"/>
      <c r="Y13" s="171" t="n"/>
      <c r="Z13" s="171" t="n"/>
      <c r="AA13" s="778" t="n"/>
      <c r="AB13" s="1103" t="n"/>
      <c r="AC13" s="13" t="n"/>
      <c r="AD13" s="13" t="n"/>
      <c r="AE13" s="13" t="n"/>
      <c r="AF13" s="13" t="n"/>
      <c r="AG13" s="13" t="n"/>
      <c r="AH13" s="13" t="n"/>
      <c r="AI13" s="13" t="n"/>
      <c r="AJ13" s="13" t="n"/>
      <c r="AK13" s="13" t="n"/>
      <c r="AL13" s="13" t="n"/>
      <c r="AM13" s="13" t="n"/>
      <c r="AN13" s="13" t="n"/>
      <c r="AO13" s="13" t="n"/>
      <c r="AP13" s="13" t="n"/>
      <c r="AQ13" s="220" t="n"/>
      <c r="AR13" s="13" t="n"/>
      <c r="AS13" s="13" t="n"/>
      <c r="AT13" s="13" t="n"/>
      <c r="AU13" s="13" t="n"/>
      <c r="AV13" s="13" t="n"/>
    </row>
    <row r="14" hidden="1" outlineLevel="1" customFormat="1" s="13">
      <c r="A14" s="175" t="inlineStr">
        <is>
          <t>U10</t>
        </is>
      </c>
      <c r="B14" s="176">
        <f>IF(_epmOfflineCondition_,"C_MISK",EPMDimensionType(,A14))</f>
        <v/>
      </c>
      <c r="C14" s="176">
        <f>IF(_epmOfflineCondition_,"ZM_ALL",IF(B14="","",EPMContextMember(,B14)))</f>
        <v/>
      </c>
      <c r="D14" s="176">
        <f>IF(_epmOfflineCondition_,"ALL",EPMMemberDesc(C14))</f>
        <v/>
      </c>
      <c r="E14" s="176" t="n"/>
      <c r="F14" s="13" t="n"/>
      <c r="G14" s="13" t="n"/>
      <c r="H14" s="184" t="inlineStr">
        <is>
          <t>上年末</t>
        </is>
      </c>
      <c r="I14" s="184">
        <f>I10&amp;"."&amp;I7</f>
        <v/>
      </c>
      <c r="J14" s="13" t="n"/>
      <c r="K14" s="13" t="n"/>
      <c r="L14" s="13" t="n"/>
      <c r="M14" s="13" t="n"/>
      <c r="N14" s="13" t="n"/>
      <c r="O14" s="13" t="n"/>
      <c r="P14" s="13" t="n"/>
      <c r="Q14" s="13" t="n"/>
      <c r="R14" s="13" t="n"/>
      <c r="S14" s="1103" t="n"/>
      <c r="T14" s="13" t="n"/>
      <c r="U14" s="13" t="n"/>
      <c r="V14" s="13" t="n"/>
      <c r="W14" s="13" t="n"/>
      <c r="X14" s="13" t="n"/>
      <c r="Y14" s="171" t="n"/>
      <c r="Z14" s="171" t="n"/>
      <c r="AA14" s="778" t="n"/>
      <c r="AB14" s="1103" t="n"/>
      <c r="AC14" s="13" t="n"/>
      <c r="AD14" s="13" t="n"/>
      <c r="AE14" s="13" t="n"/>
      <c r="AF14" s="13" t="n"/>
      <c r="AG14" s="13" t="n"/>
      <c r="AH14" s="13" t="n"/>
      <c r="AI14" s="13" t="n"/>
      <c r="AJ14" s="13" t="n"/>
      <c r="AK14" s="13" t="n"/>
      <c r="AL14" s="13" t="n"/>
      <c r="AM14" s="13" t="n"/>
      <c r="AN14" s="13" t="n"/>
      <c r="AO14" s="13" t="n"/>
      <c r="AP14" s="13" t="n"/>
      <c r="AQ14" s="220" t="n"/>
      <c r="AR14" s="13" t="n"/>
      <c r="AS14" s="13" t="n"/>
      <c r="AT14" s="13" t="n"/>
      <c r="AU14" s="13" t="n"/>
      <c r="AV14" s="13" t="n"/>
    </row>
    <row r="15" hidden="1" outlineLevel="1" customFormat="1" s="13">
      <c r="A15" s="13" t="n"/>
      <c r="B15" s="1103" t="n"/>
      <c r="C15" s="1103" t="n"/>
      <c r="D15" s="1103" t="n"/>
      <c r="E15" s="13" t="n"/>
      <c r="F15" s="13" t="n"/>
      <c r="G15" s="13" t="n"/>
      <c r="H15" s="13" t="n"/>
      <c r="I15" s="13" t="n"/>
      <c r="J15" s="13" t="n"/>
      <c r="K15" s="13" t="n"/>
      <c r="L15" s="13" t="n"/>
      <c r="M15" s="13" t="n"/>
      <c r="N15" s="13" t="n"/>
      <c r="O15" s="13" t="n"/>
      <c r="P15" s="13" t="n"/>
      <c r="Q15" s="13" t="n"/>
      <c r="R15" s="13" t="n"/>
      <c r="S15" s="1103" t="n"/>
      <c r="T15" s="13" t="n"/>
      <c r="U15" s="13" t="n"/>
      <c r="V15" s="13" t="n"/>
      <c r="W15" s="13" t="n"/>
      <c r="X15" s="13" t="n"/>
      <c r="Y15" s="171" t="n"/>
      <c r="Z15" s="171" t="n"/>
      <c r="AA15" s="778" t="n"/>
      <c r="AB15" s="1103" t="n"/>
      <c r="AC15" s="13" t="n"/>
      <c r="AD15" s="13" t="n"/>
      <c r="AE15" s="13" t="n"/>
      <c r="AF15" s="13" t="n"/>
      <c r="AG15" s="13" t="n"/>
      <c r="AH15" s="13" t="n"/>
      <c r="AI15" s="13" t="n"/>
      <c r="AJ15" s="13" t="n"/>
      <c r="AK15" s="13" t="n"/>
      <c r="AL15" s="13" t="n"/>
      <c r="AM15" s="13" t="n"/>
      <c r="AN15" s="13" t="n"/>
      <c r="AO15" s="13" t="n"/>
      <c r="AP15" s="13" t="n"/>
      <c r="AQ15" s="220" t="n"/>
      <c r="AR15" s="13" t="n"/>
      <c r="AS15" s="13" t="n"/>
      <c r="AT15" s="13" t="n"/>
      <c r="AU15" s="13" t="n"/>
      <c r="AV15" s="13" t="n"/>
    </row>
    <row r="16" hidden="1" outlineLevel="1" customFormat="1" s="13">
      <c r="A16" s="13" t="n"/>
      <c r="B16" s="13" t="n"/>
      <c r="C16" s="13" t="n"/>
      <c r="D16" s="174" t="inlineStr">
        <is>
          <t>页轴</t>
        </is>
      </c>
      <c r="E16" s="1183" t="n"/>
      <c r="F16" s="13" t="n"/>
      <c r="G16" s="13" t="n"/>
      <c r="H16" s="13" t="n"/>
      <c r="I16" s="13" t="n"/>
      <c r="J16" s="13" t="n"/>
      <c r="K16" s="13" t="n"/>
      <c r="L16" s="13" t="n"/>
      <c r="M16" s="13" t="n"/>
      <c r="N16" s="13" t="n"/>
      <c r="O16" s="13" t="n"/>
      <c r="P16" s="13" t="n"/>
      <c r="Q16" s="13" t="n"/>
      <c r="R16" s="13" t="n"/>
      <c r="S16" s="1103" t="n"/>
      <c r="T16" s="13" t="n"/>
      <c r="U16" s="13" t="n"/>
      <c r="V16" s="13" t="n"/>
      <c r="W16" s="13" t="n"/>
      <c r="X16" s="13" t="n"/>
      <c r="Y16" s="171" t="n"/>
      <c r="Z16" s="171" t="n"/>
      <c r="AA16" s="778" t="n"/>
      <c r="AB16" s="1103" t="n"/>
      <c r="AC16" s="13" t="n"/>
      <c r="AD16" s="13" t="n"/>
      <c r="AE16" s="13" t="n"/>
      <c r="AF16" s="13" t="n"/>
      <c r="AG16" s="13" t="n"/>
      <c r="AH16" s="13" t="n"/>
      <c r="AI16" s="13" t="n"/>
      <c r="AJ16" s="13" t="n"/>
      <c r="AK16" s="13" t="n"/>
      <c r="AL16" s="13" t="n"/>
      <c r="AM16" s="13" t="n"/>
      <c r="AN16" s="13" t="n"/>
      <c r="AO16" s="13" t="n"/>
      <c r="AP16" s="13" t="n"/>
      <c r="AQ16" s="220" t="n"/>
      <c r="AR16" s="13" t="n"/>
      <c r="AS16" s="13" t="n"/>
      <c r="AT16" s="13" t="n"/>
      <c r="AU16" s="13" t="n"/>
      <c r="AV16" s="13" t="n"/>
    </row>
    <row r="17" hidden="1" outlineLevel="1" customFormat="1" s="13">
      <c r="A17" s="174" t="inlineStr">
        <is>
          <t>维度类型</t>
        </is>
      </c>
      <c r="B17" s="174" t="inlineStr">
        <is>
          <t>维度</t>
        </is>
      </c>
      <c r="C17" s="178" t="inlineStr">
        <is>
          <t>页轴替换</t>
        </is>
      </c>
      <c r="D17" s="174" t="inlineStr">
        <is>
          <t>报表001</t>
        </is>
      </c>
      <c r="E17" s="174" t="inlineStr">
        <is>
          <t>报表002</t>
        </is>
      </c>
      <c r="F17" s="13" t="n"/>
      <c r="G17" s="13" t="n"/>
      <c r="H17" s="13" t="n"/>
      <c r="I17" s="13" t="n"/>
      <c r="J17" s="13" t="n"/>
      <c r="K17" s="13" t="n"/>
      <c r="L17" s="13" t="n"/>
      <c r="M17" s="13" t="n"/>
      <c r="N17" s="13" t="n"/>
      <c r="O17" s="13" t="n"/>
      <c r="P17" s="13" t="n"/>
      <c r="Q17" s="13" t="n"/>
      <c r="R17" s="13" t="n"/>
      <c r="S17" s="1103" t="n"/>
      <c r="T17" s="13" t="n"/>
      <c r="U17" s="13" t="n"/>
      <c r="V17" s="13" t="n"/>
      <c r="W17" s="13" t="n"/>
      <c r="X17" s="13" t="n"/>
      <c r="Y17" s="171" t="n"/>
      <c r="Z17" s="171" t="n"/>
      <c r="AA17" s="778" t="n"/>
      <c r="AB17" s="1103" t="n"/>
      <c r="AC17" s="13" t="n"/>
      <c r="AD17" s="13" t="n"/>
      <c r="AE17" s="13" t="n"/>
      <c r="AF17" s="13" t="n"/>
      <c r="AG17" s="13" t="n"/>
      <c r="AH17" s="13" t="n"/>
      <c r="AI17" s="13" t="n"/>
      <c r="AJ17" s="13" t="n"/>
      <c r="AK17" s="13" t="n"/>
      <c r="AL17" s="13" t="n"/>
      <c r="AM17" s="13" t="n"/>
      <c r="AN17" s="13" t="n"/>
      <c r="AO17" s="13" t="n"/>
      <c r="AP17" s="13" t="n"/>
      <c r="AQ17" s="220" t="n"/>
      <c r="AR17" s="13" t="n"/>
      <c r="AS17" s="13" t="n"/>
      <c r="AT17" s="13" t="n"/>
      <c r="AU17" s="13" t="n"/>
      <c r="AV17" s="13" t="n"/>
    </row>
    <row r="18" hidden="1" outlineLevel="1" customFormat="1" s="13">
      <c r="A18" s="175" t="inlineStr">
        <is>
          <t>A</t>
        </is>
      </c>
      <c r="B18" s="176">
        <f>IF(_epmOfflineCondition_,"C_ACCOUNT",EPMDimensionType(,A18))</f>
        <v/>
      </c>
      <c r="C18" s="182" t="inlineStr">
        <is>
          <t>A075</t>
        </is>
      </c>
      <c r="D18" s="384">
        <f>IF(_epmOfflineCondition_,"A075",EPMOlapMemberO(C18,"[C_ACCOUNT].[PARENTH1].[A075]","A075 -   实收资本表","","000"))</f>
        <v/>
      </c>
      <c r="E18" s="13" t="n"/>
      <c r="F18" s="13" t="n"/>
      <c r="G18" s="13" t="n"/>
      <c r="H18" s="13" t="n"/>
      <c r="I18" s="13" t="n"/>
      <c r="J18" s="13" t="n"/>
      <c r="K18" s="13" t="n"/>
      <c r="L18" s="13" t="n"/>
      <c r="M18" s="13" t="n"/>
      <c r="N18" s="13" t="n"/>
      <c r="O18" s="13" t="n"/>
      <c r="P18" s="13" t="n"/>
      <c r="Q18" s="13" t="n"/>
      <c r="R18" s="13" t="n"/>
      <c r="S18" s="1103" t="n"/>
      <c r="T18" s="13" t="n"/>
      <c r="U18" s="13" t="n"/>
      <c r="V18" s="13" t="n"/>
      <c r="W18" s="13" t="n"/>
      <c r="X18" s="13" t="n"/>
      <c r="Y18" s="171" t="n"/>
      <c r="Z18" s="171" t="n"/>
      <c r="AA18" s="778" t="n"/>
      <c r="AB18" s="1103" t="n"/>
      <c r="AC18" s="13" t="n"/>
      <c r="AD18" s="13" t="n"/>
      <c r="AE18" s="13" t="n"/>
      <c r="AF18" s="13" t="n"/>
      <c r="AG18" s="13" t="n"/>
      <c r="AH18" s="13" t="n"/>
      <c r="AI18" s="13" t="n"/>
      <c r="AJ18" s="13" t="n"/>
      <c r="AK18" s="13" t="n"/>
      <c r="AL18" s="13" t="n"/>
      <c r="AM18" s="13" t="n"/>
      <c r="AN18" s="13" t="n"/>
      <c r="AO18" s="13" t="n"/>
      <c r="AP18" s="13" t="n"/>
      <c r="AQ18" s="220" t="n"/>
      <c r="AR18" s="13" t="n"/>
      <c r="AS18" s="13" t="n"/>
      <c r="AT18" s="13" t="n"/>
      <c r="AU18" s="13" t="n"/>
      <c r="AV18" s="13" t="n"/>
    </row>
    <row r="19" hidden="1" outlineLevel="1" customFormat="1" s="13">
      <c r="A19" s="175" t="inlineStr">
        <is>
          <t>C</t>
        </is>
      </c>
      <c r="B19" s="176">
        <f>IF(_epmOfflineCondition_,"C_CATEGORY",EPMDimensionType(,A19))</f>
        <v/>
      </c>
      <c r="C19" s="182" t="inlineStr">
        <is>
          <t>C_DUMMY</t>
        </is>
      </c>
      <c r="D19" s="180" t="n"/>
      <c r="E19" s="13" t="n"/>
      <c r="F19" s="13" t="n"/>
      <c r="G19" s="13" t="n"/>
      <c r="H19" s="13" t="n"/>
      <c r="I19" s="13" t="n"/>
      <c r="J19" s="13" t="n"/>
      <c r="K19" s="13" t="n"/>
      <c r="L19" s="13" t="n"/>
      <c r="M19" s="13" t="n"/>
      <c r="N19" s="13" t="n"/>
      <c r="O19" s="13" t="n"/>
      <c r="P19" s="13" t="n"/>
      <c r="Q19" s="13" t="n"/>
      <c r="R19" s="13" t="n"/>
      <c r="S19" s="1103" t="n"/>
      <c r="T19" s="13" t="n"/>
      <c r="U19" s="13" t="n"/>
      <c r="V19" s="13" t="n"/>
      <c r="W19" s="13" t="n"/>
      <c r="X19" s="13" t="n"/>
      <c r="Y19" s="171" t="n"/>
      <c r="Z19" s="171" t="n"/>
      <c r="AA19" s="778" t="n"/>
      <c r="AB19" s="1103" t="n"/>
      <c r="AC19" s="13" t="n"/>
      <c r="AD19" s="13" t="n"/>
      <c r="AE19" s="13" t="n"/>
      <c r="AF19" s="13" t="n"/>
      <c r="AG19" s="13" t="n"/>
      <c r="AH19" s="13" t="n"/>
      <c r="AI19" s="13" t="n"/>
      <c r="AJ19" s="13" t="n"/>
      <c r="AK19" s="13" t="n"/>
      <c r="AL19" s="13" t="n"/>
      <c r="AM19" s="13" t="n"/>
      <c r="AN19" s="13" t="n"/>
      <c r="AO19" s="13" t="n"/>
      <c r="AP19" s="13" t="n"/>
      <c r="AQ19" s="220" t="n"/>
      <c r="AR19" s="13" t="n"/>
      <c r="AS19" s="13" t="n"/>
      <c r="AT19" s="13" t="n"/>
      <c r="AU19" s="13" t="n"/>
      <c r="AV19" s="13" t="n"/>
    </row>
    <row r="20" hidden="1" outlineLevel="1" customFormat="1" s="13">
      <c r="A20" s="175" t="inlineStr">
        <is>
          <t>T</t>
        </is>
      </c>
      <c r="B20" s="176">
        <f>IF(_epmOfflineCondition_,"C_TIME",EPMDimensionType(,A20))</f>
        <v/>
      </c>
      <c r="C20" s="672" t="inlineStr">
        <is>
          <t>T_DUMMY</t>
        </is>
      </c>
      <c r="D20" s="180" t="n"/>
      <c r="E20" s="13" t="n"/>
      <c r="F20" s="384" t="n"/>
      <c r="G20" s="384" t="n"/>
      <c r="H20" s="13" t="n"/>
      <c r="I20" s="13" t="n"/>
      <c r="J20" s="13" t="n"/>
      <c r="K20" s="13" t="n"/>
      <c r="L20" s="13" t="n"/>
      <c r="M20" s="13" t="n"/>
      <c r="N20" s="13" t="n"/>
      <c r="O20" s="13" t="n"/>
      <c r="P20" s="13" t="n"/>
      <c r="Q20" s="13" t="n"/>
      <c r="R20" s="13" t="n"/>
      <c r="S20" s="1103" t="n"/>
      <c r="T20" s="13" t="n"/>
      <c r="U20" s="13" t="n"/>
      <c r="V20" s="13" t="n"/>
      <c r="W20" s="13" t="n"/>
      <c r="X20" s="13" t="n"/>
      <c r="Y20" s="171" t="n"/>
      <c r="Z20" s="171" t="n"/>
      <c r="AA20" s="779" t="n"/>
      <c r="AB20" s="32" t="n"/>
      <c r="AC20" s="13" t="n"/>
      <c r="AD20" s="13" t="n"/>
      <c r="AE20" s="13" t="n"/>
      <c r="AF20" s="13" t="n"/>
      <c r="AG20" s="13" t="n"/>
      <c r="AH20" s="13" t="n"/>
      <c r="AI20" s="13" t="n"/>
      <c r="AJ20" s="13" t="n"/>
      <c r="AK20" s="13" t="n"/>
      <c r="AL20" s="13" t="n"/>
      <c r="AM20" s="13" t="n"/>
      <c r="AN20" s="13" t="n"/>
      <c r="AO20" s="13" t="n"/>
      <c r="AP20" s="13" t="n"/>
      <c r="AQ20" s="220" t="n"/>
      <c r="AR20" s="13" t="n"/>
      <c r="AS20" s="13" t="n"/>
      <c r="AT20" s="13" t="n"/>
      <c r="AU20" s="13" t="n"/>
      <c r="AV20" s="13" t="n"/>
    </row>
    <row r="21" hidden="1" outlineLevel="1" customFormat="1" s="13">
      <c r="A21" s="175" t="inlineStr">
        <is>
          <t>E</t>
        </is>
      </c>
      <c r="B21" s="176">
        <f>IF(_epmOfflineCondition_,"C_ENTITY",EPMDimensionType(,A21))</f>
        <v/>
      </c>
      <c r="C21" s="447">
        <f>IF(_epmOfflineCondition_,"E100787",IF(B21="","",EPMContextMember(,B21)))</f>
        <v/>
      </c>
      <c r="D21" s="384">
        <f>IF(_epmOfflineCondition_,"E100787",EPMOlapMemberO(C21,"[C_ENTITY].[PARENTH1].[E100787]","E100787","","000"))</f>
        <v/>
      </c>
      <c r="E21" s="13" t="n"/>
      <c r="F21" s="384" t="n"/>
      <c r="G21" s="384" t="n"/>
      <c r="H21" s="13" t="n"/>
      <c r="I21" s="13" t="n"/>
      <c r="J21" s="13" t="n"/>
      <c r="K21" s="13" t="n"/>
      <c r="L21" s="13" t="n"/>
      <c r="M21" s="13" t="n"/>
      <c r="N21" s="13" t="n"/>
      <c r="O21" s="13" t="n"/>
      <c r="P21" s="13" t="n"/>
      <c r="Q21" s="13" t="n"/>
      <c r="R21" s="13" t="n"/>
      <c r="S21" s="1103" t="n"/>
      <c r="T21" s="13" t="n"/>
      <c r="U21" s="13" t="n"/>
      <c r="V21" s="13" t="n"/>
      <c r="W21" s="13" t="n"/>
      <c r="X21" s="13" t="n"/>
      <c r="Y21" s="171" t="n"/>
      <c r="Z21" s="171" t="n"/>
      <c r="AA21" s="779" t="n"/>
      <c r="AB21" s="32" t="n"/>
      <c r="AC21" s="13" t="n"/>
      <c r="AD21" s="13" t="n"/>
      <c r="AE21" s="13" t="n"/>
      <c r="AF21" s="13" t="n"/>
      <c r="AG21" s="13" t="n"/>
      <c r="AH21" s="13" t="n"/>
      <c r="AI21" s="13" t="n"/>
      <c r="AJ21" s="13" t="n"/>
      <c r="AK21" s="13" t="n"/>
      <c r="AL21" s="13" t="n"/>
      <c r="AM21" s="13" t="n"/>
      <c r="AN21" s="13" t="n"/>
      <c r="AO21" s="13" t="n"/>
      <c r="AP21" s="13" t="n"/>
      <c r="AQ21" s="220" t="n"/>
      <c r="AR21" s="13" t="n"/>
      <c r="AS21" s="13" t="n"/>
      <c r="AT21" s="13" t="n"/>
      <c r="AU21" s="13" t="n"/>
      <c r="AV21" s="13" t="n"/>
    </row>
    <row r="22" hidden="1" outlineLevel="1" customFormat="1" s="13">
      <c r="A22" s="175" t="inlineStr">
        <is>
          <t>R</t>
        </is>
      </c>
      <c r="B22" s="176">
        <f>IF(_epmOfflineCondition_,"C_RPTCURRENCY",EPMDimensionType(,A22))</f>
        <v/>
      </c>
      <c r="C22" s="176">
        <f>$AA$37</f>
        <v/>
      </c>
      <c r="D22" s="384">
        <f>IF(_epmOfflineCondition_,"LC",EPMOlapMemberO(C22,"[C_RPTCURRENCY].[].[LC]","LC - 本位币","","000"))</f>
        <v/>
      </c>
      <c r="E22" s="13" t="n"/>
      <c r="F22" s="384" t="n"/>
      <c r="G22" s="384" t="n"/>
      <c r="H22" s="13" t="n"/>
      <c r="I22" s="13" t="n"/>
      <c r="J22" s="13" t="n"/>
      <c r="K22" s="13" t="n"/>
      <c r="L22" s="13" t="n"/>
      <c r="M22" s="13" t="n"/>
      <c r="N22" s="13" t="n"/>
      <c r="O22" s="13" t="n"/>
      <c r="P22" s="13" t="n"/>
      <c r="Q22" s="13" t="n"/>
      <c r="R22" s="13" t="n"/>
      <c r="S22" s="1103" t="n"/>
      <c r="T22" s="13" t="n"/>
      <c r="U22" s="13" t="n"/>
      <c r="V22" s="13" t="n"/>
      <c r="W22" s="13" t="n"/>
      <c r="X22" s="13" t="n"/>
      <c r="Y22" s="171" t="n"/>
      <c r="Z22" s="171" t="n"/>
      <c r="AA22" s="779" t="n"/>
      <c r="AB22" s="32" t="n"/>
      <c r="AC22" s="13" t="n"/>
      <c r="AD22" s="13" t="n"/>
      <c r="AE22" s="13" t="n"/>
      <c r="AF22" s="13" t="n"/>
      <c r="AG22" s="13" t="n"/>
      <c r="AH22" s="13" t="n"/>
      <c r="AI22" s="13" t="n"/>
      <c r="AJ22" s="13" t="n"/>
      <c r="AK22" s="13" t="n"/>
      <c r="AL22" s="13" t="n"/>
      <c r="AM22" s="13" t="n"/>
      <c r="AN22" s="13" t="n"/>
      <c r="AO22" s="13" t="n"/>
      <c r="AP22" s="13" t="n"/>
      <c r="AQ22" s="220" t="n"/>
      <c r="AR22" s="13" t="n"/>
      <c r="AS22" s="13" t="n"/>
      <c r="AT22" s="13" t="n"/>
      <c r="AU22" s="13" t="n"/>
      <c r="AV22" s="13" t="n"/>
    </row>
    <row r="23" hidden="1" outlineLevel="1" customFormat="1" s="13">
      <c r="A23" s="175" t="inlineStr">
        <is>
          <t>D</t>
        </is>
      </c>
      <c r="B23" s="176">
        <f>IF(_epmOfflineCondition_,"C_AUDITTRAIL",EPMDimensionType(,A23))</f>
        <v/>
      </c>
      <c r="C23" s="447">
        <f>IF(_epmOfflineCondition_,"DTOTAL",IF(B23="","",EPMContextMember(,B23)))</f>
        <v/>
      </c>
      <c r="D23" s="390" t="n"/>
      <c r="E23" s="13" t="n"/>
      <c r="F23" s="384" t="n"/>
      <c r="G23" s="384" t="n"/>
      <c r="H23" s="13" t="n"/>
      <c r="I23" s="13" t="n"/>
      <c r="J23" s="13" t="n"/>
      <c r="K23" s="13" t="n"/>
      <c r="L23" s="13" t="n"/>
      <c r="M23" s="13" t="n"/>
      <c r="N23" s="13" t="n"/>
      <c r="O23" s="13" t="n"/>
      <c r="P23" s="13" t="n"/>
      <c r="Q23" s="13" t="n"/>
      <c r="R23" s="13" t="n"/>
      <c r="S23" s="1103" t="n"/>
      <c r="T23" s="13" t="n"/>
      <c r="U23" s="13" t="n"/>
      <c r="V23" s="13" t="n"/>
      <c r="W23" s="13" t="n"/>
      <c r="X23" s="13" t="n"/>
      <c r="Y23" s="171" t="n"/>
      <c r="Z23" s="171" t="n"/>
      <c r="AA23" s="779" t="n"/>
      <c r="AB23" s="32" t="n"/>
      <c r="AC23" s="13" t="n"/>
      <c r="AD23" s="13" t="n"/>
      <c r="AE23" s="13" t="n"/>
      <c r="AF23" s="13" t="n"/>
      <c r="AG23" s="13" t="n"/>
      <c r="AH23" s="13" t="n"/>
      <c r="AI23" s="13" t="n"/>
      <c r="AJ23" s="13" t="n"/>
      <c r="AK23" s="13" t="n"/>
      <c r="AL23" s="13" t="n"/>
      <c r="AM23" s="13" t="n"/>
      <c r="AN23" s="13" t="n"/>
      <c r="AO23" s="13" t="n"/>
      <c r="AP23" s="13" t="n"/>
      <c r="AQ23" s="220" t="n"/>
      <c r="AR23" s="13" t="n"/>
      <c r="AS23" s="13" t="n"/>
      <c r="AT23" s="13" t="n"/>
      <c r="AU23" s="13" t="n"/>
      <c r="AV23" s="13" t="n"/>
    </row>
    <row r="24" hidden="1" outlineLevel="1" customFormat="1" s="13">
      <c r="A24" s="175" t="inlineStr">
        <is>
          <t>S</t>
        </is>
      </c>
      <c r="B24" s="176">
        <f>IF(_epmOfflineCondition_,"C_FLOW",EPMDimensionType(,A24))</f>
        <v/>
      </c>
      <c r="C24" s="176">
        <f>IF(_epmOfflineCondition_,"FTOTAL",IF(B24="","",EPMContextMember(,B24)))</f>
        <v/>
      </c>
      <c r="D24" s="390" t="n"/>
      <c r="E24" s="13" t="n"/>
      <c r="F24" s="384" t="n"/>
      <c r="G24" s="384" t="n"/>
      <c r="H24" s="13" t="n"/>
      <c r="I24" s="13" t="n"/>
      <c r="J24" s="13" t="n"/>
      <c r="K24" s="13" t="n"/>
      <c r="L24" s="13" t="n"/>
      <c r="M24" s="13" t="n"/>
      <c r="N24" s="13" t="n"/>
      <c r="O24" s="13" t="n"/>
      <c r="P24" s="13" t="n"/>
      <c r="Q24" s="13" t="n"/>
      <c r="R24" s="13" t="n"/>
      <c r="S24" s="1103" t="n"/>
      <c r="T24" s="13" t="n"/>
      <c r="U24" s="13" t="n"/>
      <c r="V24" s="13" t="n"/>
      <c r="W24" s="13" t="n"/>
      <c r="X24" s="13" t="n"/>
      <c r="Y24" s="171" t="n"/>
      <c r="Z24" s="171" t="n"/>
      <c r="AA24" s="779" t="n"/>
      <c r="AB24" s="32" t="n"/>
      <c r="AC24" s="185" t="inlineStr">
        <is>
          <t>D1152</t>
        </is>
      </c>
      <c r="AD24" s="13" t="n"/>
      <c r="AE24" s="13" t="n"/>
      <c r="AF24" s="13" t="n"/>
      <c r="AG24" s="13" t="n"/>
      <c r="AH24" s="13" t="n"/>
      <c r="AI24" s="13" t="n"/>
      <c r="AJ24" s="13" t="n"/>
      <c r="AK24" s="13" t="n"/>
      <c r="AL24" s="13" t="n"/>
      <c r="AM24" s="13" t="n"/>
      <c r="AN24" s="13" t="n"/>
      <c r="AO24" s="13" t="n"/>
      <c r="AP24" s="13" t="n"/>
      <c r="AQ24" s="220" t="n"/>
      <c r="AR24" s="13" t="n"/>
      <c r="AS24" s="13" t="n"/>
      <c r="AT24" s="13" t="n"/>
      <c r="AU24" s="13" t="n"/>
      <c r="AV24" s="13" t="n"/>
    </row>
    <row r="25" hidden="1" outlineLevel="1" customFormat="1" s="13">
      <c r="A25" s="175" t="inlineStr">
        <is>
          <t>I</t>
        </is>
      </c>
      <c r="B25" s="176">
        <f>IF(_epmOfflineCondition_,"C_INTERCO",EPMDimensionType(,A25))</f>
        <v/>
      </c>
      <c r="C25" s="176" t="inlineStr">
        <is>
          <t>I_DUMMY</t>
        </is>
      </c>
      <c r="D25" s="384">
        <f>IF(_epmOfflineCondition_,"I_DUMMY",EPMOlapMemberO(C25,"[C_INTERCO].[PARENTH1].[I_DUMMY]","I_DUMMY","","000"))</f>
        <v/>
      </c>
      <c r="E25" s="13" t="n"/>
      <c r="F25" s="384" t="n"/>
      <c r="G25" s="384" t="n"/>
      <c r="H25" s="13" t="n"/>
      <c r="I25" s="13" t="n"/>
      <c r="J25" s="13" t="n"/>
      <c r="K25" s="13" t="n"/>
      <c r="L25" s="13" t="n"/>
      <c r="M25" s="13" t="n"/>
      <c r="N25" s="13" t="n"/>
      <c r="O25" s="13" t="n"/>
      <c r="P25" s="13" t="n"/>
      <c r="Q25" s="13" t="n"/>
      <c r="R25" s="13" t="n"/>
      <c r="S25" s="1103" t="n"/>
      <c r="T25" s="13" t="n"/>
      <c r="U25" s="13" t="n"/>
      <c r="V25" s="13" t="n"/>
      <c r="W25" s="13" t="n"/>
      <c r="X25" s="13" t="n"/>
      <c r="Y25" s="178" t="inlineStr">
        <is>
          <t>CATEGORY</t>
        </is>
      </c>
      <c r="Z25" s="13" t="n"/>
      <c r="AA25" s="780" t="inlineStr">
        <is>
          <t>C1001</t>
        </is>
      </c>
      <c r="AB25" s="27" t="inlineStr">
        <is>
          <t>C1001</t>
        </is>
      </c>
      <c r="AC25" s="178">
        <f>$C$4</f>
        <v/>
      </c>
      <c r="AD25" s="178">
        <f>$C$4</f>
        <v/>
      </c>
      <c r="AE25" s="178">
        <f>$C$4</f>
        <v/>
      </c>
      <c r="AF25" s="13" t="n"/>
      <c r="AG25" s="384" t="n"/>
      <c r="AH25" s="13" t="n"/>
      <c r="AI25" s="13" t="n"/>
      <c r="AJ25" s="13" t="n"/>
      <c r="AK25" s="13" t="n"/>
      <c r="AL25" s="13" t="n"/>
      <c r="AM25" s="13" t="n"/>
      <c r="AN25" s="13" t="n"/>
      <c r="AO25" s="220" t="n"/>
      <c r="AP25" s="220" t="n"/>
      <c r="AQ25" s="220" t="n"/>
      <c r="AR25" s="220" t="n"/>
      <c r="AS25" s="220" t="n"/>
      <c r="AT25" s="13" t="n"/>
      <c r="AU25" s="13" t="n"/>
      <c r="AV25" s="13" t="n"/>
    </row>
    <row r="26" hidden="1" outlineLevel="1" customFormat="1" s="13">
      <c r="A26" s="175" t="inlineStr">
        <is>
          <t>G</t>
        </is>
      </c>
      <c r="B26" s="176">
        <f>IF(_epmOfflineCondition_,"C_SCOPE",EPMDimensionType(,A26))</f>
        <v/>
      </c>
      <c r="C26" s="447" t="inlineStr">
        <is>
          <t>G_DUMMY</t>
        </is>
      </c>
      <c r="D26" s="384">
        <f>IF(_epmOfflineCondition_,"G_DUMMY",EPMOlapMemberO(C26,"[C_SCOPE].[PARENTH1].[G_DUMMY]","G_DUMMY - 合并范围无关","","000"))</f>
        <v/>
      </c>
      <c r="E26" s="13" t="n"/>
      <c r="F26" s="384" t="n"/>
      <c r="G26" s="384" t="n"/>
      <c r="H26" s="13" t="n"/>
      <c r="I26" s="13" t="n"/>
      <c r="J26" s="13" t="n"/>
      <c r="K26" s="13" t="n"/>
      <c r="L26" s="13" t="n"/>
      <c r="M26" s="13" t="n"/>
      <c r="N26" s="13" t="n"/>
      <c r="O26" s="13" t="n"/>
      <c r="P26" s="13" t="n"/>
      <c r="Q26" s="13" t="n"/>
      <c r="R26" s="13" t="n"/>
      <c r="S26" s="1103" t="n"/>
      <c r="T26" s="13" t="n"/>
      <c r="U26" s="13" t="n"/>
      <c r="V26" s="13" t="n"/>
      <c r="W26" s="13" t="n"/>
      <c r="X26" s="13" t="n"/>
      <c r="Y26" s="464" t="inlineStr">
        <is>
          <t>TIME</t>
        </is>
      </c>
      <c r="Z26" s="13" t="n"/>
      <c r="AA26" s="781">
        <f>$I$11</f>
        <v/>
      </c>
      <c r="AB26" s="782">
        <f>$I$11</f>
        <v/>
      </c>
      <c r="AC26" s="464">
        <f>$I$11</f>
        <v/>
      </c>
      <c r="AD26" s="178">
        <f>$J$4</f>
        <v/>
      </c>
      <c r="AE26" s="200">
        <f>$I$13</f>
        <v/>
      </c>
      <c r="AF26" s="200">
        <f>$I$14</f>
        <v/>
      </c>
      <c r="AG26" s="384" t="n"/>
      <c r="AH26" s="13" t="n"/>
      <c r="AI26" s="13" t="n"/>
      <c r="AJ26" s="13" t="n"/>
      <c r="AK26" s="13" t="n"/>
      <c r="AL26" s="13" t="n"/>
      <c r="AM26" s="13" t="n"/>
      <c r="AN26" s="13" t="n"/>
      <c r="AO26" s="220" t="n"/>
      <c r="AP26" s="220" t="n"/>
      <c r="AQ26" s="220" t="n"/>
      <c r="AR26" s="220" t="n"/>
      <c r="AS26" s="220" t="n"/>
      <c r="AT26" s="13" t="n"/>
      <c r="AU26" s="13" t="n"/>
      <c r="AV26" s="13" t="n"/>
    </row>
    <row r="27" hidden="1" outlineLevel="1" customFormat="1" s="13">
      <c r="A27" s="175" t="inlineStr">
        <is>
          <t>U8</t>
        </is>
      </c>
      <c r="B27" s="176">
        <f>IF(_epmOfflineCondition_,"C_PROJECT",EPMDimensionType(,A27))</f>
        <v/>
      </c>
      <c r="C27" s="180" t="inlineStr">
        <is>
          <t>ZP_DUMMY</t>
        </is>
      </c>
      <c r="D27" s="384">
        <f>IF(_epmOfflineCondition_,"ZP_DUMMY",EPMOlapMemberO(C27,"[C_PROJECT].[PARENTH1].[ZP_DUMMY]","ZP_DUMMY - 项目无关","","000"))</f>
        <v/>
      </c>
      <c r="E27" s="13" t="n"/>
      <c r="F27" s="384" t="n"/>
      <c r="G27" s="384" t="n"/>
      <c r="H27" s="13" t="n"/>
      <c r="I27" s="13" t="n"/>
      <c r="J27" s="13" t="n"/>
      <c r="K27" s="13" t="n"/>
      <c r="L27" s="13" t="n"/>
      <c r="M27" s="13" t="n"/>
      <c r="N27" s="13" t="n"/>
      <c r="O27" s="13" t="n"/>
      <c r="P27" s="13" t="n"/>
      <c r="Q27" s="13" t="n"/>
      <c r="R27" s="13" t="n"/>
      <c r="S27" s="1103" t="n"/>
      <c r="T27" s="13" t="n"/>
      <c r="U27" s="13" t="n"/>
      <c r="V27" s="13" t="n"/>
      <c r="W27" s="13" t="n"/>
      <c r="X27" s="13" t="n"/>
      <c r="Y27" s="200" t="inlineStr">
        <is>
          <t>MEASURES</t>
        </is>
      </c>
      <c r="Z27" s="13" t="n"/>
      <c r="AA27" s="783" t="inlineStr">
        <is>
          <t>YTD</t>
        </is>
      </c>
      <c r="AB27" s="784" t="inlineStr">
        <is>
          <t>YTD</t>
        </is>
      </c>
      <c r="AC27" s="200" t="inlineStr">
        <is>
          <t>Periodic</t>
        </is>
      </c>
      <c r="AD27" s="200" t="inlineStr">
        <is>
          <t>Periodic</t>
        </is>
      </c>
      <c r="AE27" s="200" t="inlineStr">
        <is>
          <t>Periodic</t>
        </is>
      </c>
      <c r="AF27" s="200" t="n"/>
      <c r="AG27" s="200" t="n"/>
      <c r="AH27" s="13" t="n"/>
      <c r="AI27" s="13" t="n"/>
      <c r="AJ27" s="13" t="n"/>
      <c r="AK27" s="13" t="n"/>
      <c r="AL27" s="13" t="n"/>
      <c r="AM27" s="13" t="n"/>
      <c r="AN27" s="13" t="n"/>
      <c r="AO27" s="220" t="n"/>
      <c r="AP27" s="220" t="n"/>
      <c r="AQ27" s="220" t="n"/>
      <c r="AR27" s="220" t="n"/>
      <c r="AS27" s="220" t="n"/>
      <c r="AT27" s="13" t="n"/>
      <c r="AU27" s="13" t="n"/>
      <c r="AV27" s="13" t="n"/>
    </row>
    <row r="28" hidden="1" outlineLevel="1" customFormat="1" s="13">
      <c r="A28" s="175" t="inlineStr">
        <is>
          <t>U9</t>
        </is>
      </c>
      <c r="B28" s="176">
        <f>IF(_epmOfflineCondition_,"C_ITEM",EPMDimensionType(,A28))</f>
        <v/>
      </c>
      <c r="C28" s="180" t="inlineStr">
        <is>
          <t>ZI_DUMMY</t>
        </is>
      </c>
      <c r="D28" s="13" t="n"/>
      <c r="E28" s="13" t="n"/>
      <c r="F28" s="384" t="n"/>
      <c r="G28" s="384" t="n"/>
      <c r="H28" s="13" t="n"/>
      <c r="I28" s="13" t="n"/>
      <c r="J28" s="13" t="n"/>
      <c r="K28" s="13" t="n"/>
      <c r="L28" s="13" t="n"/>
      <c r="M28" s="13" t="n"/>
      <c r="N28" s="13" t="n"/>
      <c r="O28" s="13" t="n"/>
      <c r="P28" s="13" t="n"/>
      <c r="Q28" s="13" t="n"/>
      <c r="R28" s="13" t="n"/>
      <c r="S28" s="1103" t="n"/>
      <c r="T28" s="13" t="n"/>
      <c r="U28" s="13" t="n"/>
      <c r="V28" s="13" t="n"/>
      <c r="W28" s="13" t="n"/>
      <c r="X28" s="13" t="n"/>
      <c r="Y28" s="200" t="inlineStr">
        <is>
          <t>FLOW</t>
        </is>
      </c>
      <c r="Z28" s="13" t="n"/>
      <c r="AA28" s="783" t="inlineStr">
        <is>
          <t>ZF_DUMMY</t>
        </is>
      </c>
      <c r="AB28" s="784" t="inlineStr">
        <is>
          <t>F00</t>
        </is>
      </c>
      <c r="AC28" s="200" t="inlineStr">
        <is>
          <t>F20</t>
        </is>
      </c>
      <c r="AD28" s="200" t="inlineStr">
        <is>
          <t>F99</t>
        </is>
      </c>
      <c r="AE28" s="200" t="inlineStr">
        <is>
          <t>FEND</t>
        </is>
      </c>
      <c r="AF28" s="200" t="inlineStr">
        <is>
          <t>FMOV</t>
        </is>
      </c>
      <c r="AG28" s="200" t="inlineStr">
        <is>
          <t>F30</t>
        </is>
      </c>
      <c r="AH28" s="13" t="n"/>
      <c r="AI28" s="13" t="n"/>
      <c r="AJ28" s="13" t="n"/>
      <c r="AK28" s="13" t="n"/>
      <c r="AL28" s="13" t="n"/>
      <c r="AM28" s="13" t="n"/>
      <c r="AN28" s="13" t="n"/>
      <c r="AO28" s="13" t="n"/>
      <c r="AP28" s="13" t="n"/>
      <c r="AQ28" s="220" t="n"/>
      <c r="AR28" s="220" t="n"/>
      <c r="AS28" s="13" t="n"/>
      <c r="AT28" s="13" t="n"/>
      <c r="AU28" s="13" t="n"/>
      <c r="AV28" s="13" t="n"/>
    </row>
    <row r="29" hidden="1" outlineLevel="1" customFormat="1" s="13">
      <c r="A29" s="175" t="inlineStr">
        <is>
          <t>U10</t>
        </is>
      </c>
      <c r="B29" s="176">
        <f>IF(_epmOfflineCondition_,"C_MISK",EPMDimensionType(,A29))</f>
        <v/>
      </c>
      <c r="C29" s="449" t="inlineStr">
        <is>
          <t>ZM_DUMMY</t>
        </is>
      </c>
      <c r="D29" s="13" t="n"/>
      <c r="E29" s="13" t="n"/>
      <c r="F29" s="384" t="n"/>
      <c r="G29" s="384" t="n"/>
      <c r="H29" s="13" t="n"/>
      <c r="I29" s="13" t="n"/>
      <c r="J29" s="13" t="n"/>
      <c r="K29" s="13" t="n"/>
      <c r="L29" s="13" t="n"/>
      <c r="M29" s="13" t="n"/>
      <c r="N29" s="13" t="n"/>
      <c r="O29" s="13" t="n"/>
      <c r="P29" s="13" t="n"/>
      <c r="Q29" s="13" t="n"/>
      <c r="R29" s="13" t="n"/>
      <c r="S29" s="1103" t="n"/>
      <c r="T29" s="13" t="n"/>
      <c r="U29" s="13" t="n"/>
      <c r="V29" s="13" t="n"/>
      <c r="W29" s="13" t="n"/>
      <c r="X29" s="13" t="n"/>
      <c r="Y29" s="200" t="inlineStr">
        <is>
          <t>AUDITTRAIL</t>
        </is>
      </c>
      <c r="Z29" s="13" t="n"/>
      <c r="AA29" s="783" t="inlineStr">
        <is>
          <t>D1151</t>
        </is>
      </c>
      <c r="AB29" s="784" t="inlineStr">
        <is>
          <t>DALL</t>
        </is>
      </c>
      <c r="AC29" s="200" t="inlineStr">
        <is>
          <t>D1003</t>
        </is>
      </c>
      <c r="AD29" s="200" t="inlineStr">
        <is>
          <t>DLC</t>
        </is>
      </c>
      <c r="AE29" s="200" t="inlineStr">
        <is>
          <t>DLC</t>
        </is>
      </c>
      <c r="AF29" s="200" t="inlineStr">
        <is>
          <t>DLC_ADJ</t>
        </is>
      </c>
      <c r="AG29" s="384" t="n"/>
      <c r="AH29" s="13" t="n"/>
      <c r="AI29" s="13" t="n"/>
      <c r="AJ29" s="13" t="n"/>
      <c r="AK29" s="13" t="n"/>
      <c r="AL29" s="13" t="n"/>
      <c r="AM29" s="13" t="n"/>
      <c r="AN29" s="13" t="n"/>
      <c r="AO29" s="13" t="n"/>
      <c r="AP29" s="13" t="n"/>
      <c r="AQ29" s="220" t="n"/>
      <c r="AR29" s="13" t="n"/>
      <c r="AS29" s="13" t="n"/>
      <c r="AT29" s="13" t="n"/>
      <c r="AU29" s="13" t="n"/>
      <c r="AV29" s="13" t="n"/>
    </row>
    <row r="30" hidden="1" outlineLevel="1" customFormat="1" s="13">
      <c r="A30" s="175" t="n"/>
      <c r="B30" s="175">
        <f>IF(_epmOfflineCondition_,"",EPMDimensionType(,A30))</f>
        <v/>
      </c>
      <c r="C30" s="182" t="inlineStr">
        <is>
          <t>YTD</t>
        </is>
      </c>
      <c r="D30" s="13" t="n"/>
      <c r="E30" s="13" t="n"/>
      <c r="F30" s="384" t="n"/>
      <c r="G30" s="384" t="n"/>
      <c r="H30" s="13" t="n"/>
      <c r="I30" s="13" t="n"/>
      <c r="J30" s="13" t="n"/>
      <c r="K30" s="13" t="n"/>
      <c r="L30" s="13" t="n"/>
      <c r="M30" s="13" t="n"/>
      <c r="N30" s="13" t="n"/>
      <c r="O30" s="13" t="n"/>
      <c r="P30" s="13" t="n"/>
      <c r="Q30" s="13" t="n"/>
      <c r="R30" s="13" t="n"/>
      <c r="S30" s="1103" t="n"/>
      <c r="T30" s="13" t="n"/>
      <c r="U30" s="13" t="n"/>
      <c r="V30" s="13" t="n"/>
      <c r="W30" s="13" t="n"/>
      <c r="X30" s="13" t="n"/>
      <c r="Y30" s="171" t="n"/>
      <c r="Z30" s="13" t="n"/>
      <c r="AA30" s="778">
        <f>IF(_epmOfflineCondition_,"LC/CNY分别手工录入",EPMMemberDesc(AA29))</f>
        <v/>
      </c>
      <c r="AB30" s="1103">
        <f>IF(_epmOfflineCondition_,"合并后",EPMMemberDesc(AB29))</f>
        <v/>
      </c>
      <c r="AC30" s="13">
        <f>IF(_epmOfflineCondition_,"手工报表导入_正常期间",EPMMemberDesc(AC29))</f>
        <v/>
      </c>
      <c r="AD30" s="13">
        <f>IF(_epmOfflineCondition_,"单体报表",EPMMemberDesc(AD29))</f>
        <v/>
      </c>
      <c r="AE30" s="13">
        <f>IF(_epmOfflineCondition_,"单体报表",EPMMemberDesc(AE29))</f>
        <v/>
      </c>
      <c r="AF30" s="13">
        <f>IF(_epmOfflineCondition_,"单体调整",EPMMemberDesc(AF29))</f>
        <v/>
      </c>
      <c r="AG30" s="384" t="n"/>
      <c r="AH30" s="786" t="inlineStr"/>
      <c r="AI30" s="786" t="inlineStr"/>
      <c r="AJ30" s="13" t="n"/>
      <c r="AK30" s="13" t="n"/>
      <c r="AL30" s="13" t="n"/>
      <c r="AM30" s="13" t="n"/>
      <c r="AN30" s="13" t="n"/>
      <c r="AO30" s="13" t="n"/>
      <c r="AP30" s="13" t="n"/>
      <c r="AQ30" s="220" t="n"/>
      <c r="AR30" s="13" t="n"/>
      <c r="AS30" s="13" t="n"/>
      <c r="AT30" s="13" t="n"/>
      <c r="AU30" s="13" t="n"/>
      <c r="AV30" s="13" t="n"/>
    </row>
    <row r="31" hidden="1" outlineLevel="1" customFormat="1" s="13">
      <c r="A31" s="13" t="n"/>
      <c r="B31" s="1103" t="n"/>
      <c r="C31" s="1103" t="n"/>
      <c r="D31" s="1103" t="n"/>
      <c r="E31" s="13" t="n"/>
      <c r="F31" s="13" t="n"/>
      <c r="G31" s="13" t="n"/>
      <c r="H31" s="13" t="n"/>
      <c r="I31" s="13" t="n"/>
      <c r="J31" s="13" t="n"/>
      <c r="K31" s="13" t="n"/>
      <c r="L31" s="13" t="n"/>
      <c r="M31" s="13" t="n"/>
      <c r="N31" s="13" t="n"/>
      <c r="O31" s="13" t="n"/>
      <c r="P31" s="13" t="n"/>
      <c r="Q31" s="13" t="n"/>
      <c r="R31" s="13" t="n"/>
      <c r="S31" s="1103" t="n"/>
      <c r="T31" s="13" t="n"/>
      <c r="U31" s="13" t="n"/>
      <c r="V31" s="13" t="n"/>
      <c r="W31" s="13" t="n"/>
      <c r="X31" s="13" t="n"/>
      <c r="Y31" s="171" t="inlineStr">
        <is>
          <t>MISC</t>
        </is>
      </c>
      <c r="Z31" s="13" t="n"/>
      <c r="AA31" s="785" t="inlineStr">
        <is>
          <t>ZM03501</t>
        </is>
      </c>
      <c r="AB31" s="786" t="inlineStr">
        <is>
          <t>ZM03502</t>
        </is>
      </c>
      <c r="AC31" s="786" t="inlineStr">
        <is>
          <t>ZM03503</t>
        </is>
      </c>
      <c r="AD31" s="786" t="inlineStr">
        <is>
          <t>ZM_DUMMY</t>
        </is>
      </c>
      <c r="AE31" s="805" t="n"/>
      <c r="AF31" s="805" t="n"/>
      <c r="AG31" s="805" t="n"/>
      <c r="AH31" s="786" t="inlineStr">
        <is>
          <t>ZM_DUMMY</t>
        </is>
      </c>
      <c r="AI31" s="786" t="inlineStr">
        <is>
          <t>ZM03503</t>
        </is>
      </c>
      <c r="AJ31" s="786">
        <f>IF($I$13&lt;&gt;"2021.12","ZM_ALL","ZM_DUMMY")</f>
        <v/>
      </c>
      <c r="AK31" s="13" t="n"/>
      <c r="AL31" s="13" t="n"/>
      <c r="AM31" s="13" t="n"/>
      <c r="AN31" s="13" t="n"/>
      <c r="AO31" s="13" t="n"/>
      <c r="AP31" s="13" t="n"/>
      <c r="AQ31" s="220" t="n"/>
      <c r="AR31" s="13" t="n"/>
      <c r="AS31" s="13" t="n"/>
      <c r="AT31" s="13" t="n"/>
      <c r="AU31" s="13" t="n"/>
      <c r="AV31" s="13" t="n"/>
    </row>
    <row r="32" hidden="1" outlineLevel="1" customFormat="1" s="13">
      <c r="A32" s="13" t="n"/>
      <c r="B32" s="1103" t="n"/>
      <c r="C32" s="1103" t="n"/>
      <c r="D32" s="1103" t="n"/>
      <c r="E32" s="13" t="n"/>
      <c r="F32" s="13" t="n"/>
      <c r="G32" s="13" t="n"/>
      <c r="H32" s="13" t="n"/>
      <c r="I32" s="13" t="n"/>
      <c r="J32" s="13" t="n"/>
      <c r="K32" s="13" t="n"/>
      <c r="L32" s="13" t="n"/>
      <c r="M32" s="13" t="n"/>
      <c r="N32" s="13" t="n"/>
      <c r="O32" s="13" t="n"/>
      <c r="P32" s="13" t="n"/>
      <c r="Q32" s="13" t="n"/>
      <c r="R32" s="13" t="n"/>
      <c r="S32" s="1103" t="n"/>
      <c r="T32" s="13" t="n"/>
      <c r="U32" s="13" t="n"/>
      <c r="V32" s="13" t="n"/>
      <c r="W32" s="13" t="n"/>
      <c r="X32" s="13" t="n"/>
      <c r="Y32" s="171" t="n"/>
      <c r="Z32" s="171" t="n"/>
      <c r="AA32" s="778">
        <f>IF(_epmOfflineCondition_,"实收资本表-出资方代码",EPMMemberDesc(AA31))</f>
        <v/>
      </c>
      <c r="AB32" s="1103">
        <f>IF(_epmOfflineCondition_,"实收资本表-出资方",EPMMemberDesc(AB31))</f>
        <v/>
      </c>
      <c r="AC32" s="13">
        <f>IF(_epmOfflineCondition_,"实收资本表-持股比%",EPMMemberDesc(AC31))</f>
        <v/>
      </c>
      <c r="AD32" s="13">
        <f>IF(_epmOfflineCondition_,"综合无关",EPMMemberDesc(AD31))</f>
        <v/>
      </c>
      <c r="AE32" s="185" t="n"/>
      <c r="AF32" s="185" t="n"/>
      <c r="AG32" s="185" t="n"/>
      <c r="AH32" s="13" t="n"/>
      <c r="AI32" s="13" t="n"/>
      <c r="AJ32" s="13" t="n"/>
      <c r="AK32" s="13" t="n"/>
      <c r="AL32" s="13" t="n"/>
      <c r="AM32" s="13" t="n"/>
      <c r="AN32" s="13" t="n"/>
      <c r="AO32" s="13" t="n"/>
      <c r="AP32" s="13" t="n"/>
      <c r="AQ32" s="220" t="n"/>
      <c r="AR32" s="13" t="n"/>
      <c r="AS32" s="13" t="n"/>
      <c r="AT32" s="13" t="n"/>
      <c r="AU32" s="13" t="n"/>
      <c r="AV32" s="13" t="n"/>
    </row>
    <row r="33" hidden="1" outlineLevel="1" customFormat="1" s="13">
      <c r="A33" s="13" t="n"/>
      <c r="B33" s="1103" t="n"/>
      <c r="C33" s="1103" t="n"/>
      <c r="D33" s="1103" t="n"/>
      <c r="E33" s="13" t="n"/>
      <c r="F33" s="13" t="n"/>
      <c r="G33" s="13" t="n"/>
      <c r="H33" s="13" t="n"/>
      <c r="I33" s="13" t="n"/>
      <c r="J33" s="13" t="n"/>
      <c r="K33" s="13" t="n"/>
      <c r="L33" s="13" t="n"/>
      <c r="M33" s="13" t="n"/>
      <c r="N33" s="13" t="n"/>
      <c r="O33" s="13" t="n"/>
      <c r="P33" s="13" t="n"/>
      <c r="Q33" s="13" t="n"/>
      <c r="R33" s="13" t="n"/>
      <c r="S33" s="1103" t="n"/>
      <c r="T33" s="13" t="n"/>
      <c r="U33" s="13" t="n"/>
      <c r="V33" s="13" t="n"/>
      <c r="W33" s="13" t="n"/>
      <c r="X33" s="13" t="n"/>
      <c r="Y33" s="171" t="n"/>
      <c r="Z33" s="171" t="n"/>
      <c r="AA33" s="778" t="n"/>
      <c r="AB33" s="1103" t="n"/>
      <c r="AC33" s="13" t="n"/>
      <c r="AD33" s="13" t="n"/>
      <c r="AE33" s="805" t="n"/>
      <c r="AF33" s="805" t="n"/>
      <c r="AG33" s="805" t="n"/>
      <c r="AH33" s="13" t="n"/>
      <c r="AI33" s="13" t="n"/>
      <c r="AJ33" s="13" t="n"/>
      <c r="AK33" s="13" t="n"/>
      <c r="AL33" s="13" t="n"/>
      <c r="AM33" s="13" t="n"/>
      <c r="AN33" s="13" t="n"/>
      <c r="AO33" s="13" t="n"/>
      <c r="AP33" s="13" t="n"/>
      <c r="AQ33" s="220" t="n"/>
      <c r="AR33" s="13" t="n"/>
      <c r="AS33" s="13" t="n"/>
      <c r="AT33" s="13" t="n"/>
      <c r="AU33" s="13" t="n"/>
      <c r="AV33" s="13" t="n"/>
    </row>
    <row r="34" collapsed="1" ht="10.5" customFormat="1" customHeight="1" s="13">
      <c r="A34" s="13" t="n"/>
      <c r="B34" s="1103" t="n"/>
      <c r="C34" s="1103" t="n"/>
      <c r="D34" s="1103" t="n"/>
      <c r="E34" s="13" t="n"/>
      <c r="F34" s="13" t="n"/>
      <c r="G34" s="13" t="n"/>
      <c r="H34" s="13" t="n"/>
      <c r="I34" s="13" t="n"/>
      <c r="J34" s="13" t="n"/>
      <c r="K34" s="13" t="n"/>
      <c r="L34" s="13" t="n"/>
      <c r="M34" s="13" t="n"/>
      <c r="N34" s="13" t="n"/>
      <c r="O34" s="13" t="n"/>
      <c r="P34" s="13" t="n"/>
      <c r="Q34" s="13" t="n"/>
      <c r="R34" s="13" t="n"/>
      <c r="S34" s="1103" t="n"/>
      <c r="T34" s="13" t="n"/>
      <c r="U34" s="13" t="n"/>
      <c r="V34" s="13" t="n"/>
      <c r="W34" s="13" t="n"/>
      <c r="X34" s="13" t="n"/>
      <c r="Y34" s="171" t="n"/>
      <c r="Z34" s="171" t="n"/>
      <c r="AA34" s="778" t="n"/>
      <c r="AB34" s="1103" t="n"/>
      <c r="AC34" s="13" t="n"/>
      <c r="AD34" s="13" t="n"/>
      <c r="AE34" s="13" t="n"/>
      <c r="AF34" s="13" t="n"/>
      <c r="AG34" s="13" t="n"/>
      <c r="AH34" s="13" t="n"/>
      <c r="AI34" s="13" t="n"/>
      <c r="AJ34" s="13" t="n"/>
      <c r="AK34" s="13" t="n"/>
      <c r="AL34" s="13" t="n"/>
      <c r="AM34" s="716" t="n"/>
      <c r="AN34" s="13" t="n"/>
      <c r="AO34" s="13" t="n"/>
      <c r="AP34" s="13" t="n"/>
      <c r="AQ34" s="220" t="n"/>
      <c r="AR34" s="13" t="n"/>
      <c r="AS34" s="13" t="n"/>
      <c r="AT34" s="13" t="n"/>
      <c r="AU34" s="13" t="n"/>
      <c r="AV34" s="13" t="n"/>
    </row>
    <row r="35" ht="36" customHeight="1" s="1181">
      <c r="A35" s="384" t="n"/>
      <c r="B35" s="384" t="n"/>
      <c r="C35" s="384" t="n"/>
      <c r="D35" s="384" t="n"/>
      <c r="E35" s="384" t="n"/>
      <c r="F35" s="384" t="n"/>
      <c r="G35" s="384" t="n"/>
      <c r="H35" s="384" t="n"/>
      <c r="I35" s="384" t="n"/>
      <c r="J35" s="384" t="n"/>
      <c r="K35" s="384" t="n"/>
      <c r="L35" s="384" t="n"/>
      <c r="M35" s="384" t="n"/>
      <c r="N35" s="384" t="n"/>
      <c r="O35" s="384" t="n"/>
      <c r="P35" s="384" t="n"/>
      <c r="Q35" s="384" t="n"/>
      <c r="R35" s="384" t="n"/>
      <c r="S35" s="32" t="n"/>
      <c r="T35" s="384" t="n"/>
      <c r="U35" s="384" t="n"/>
      <c r="V35" s="384" t="n"/>
      <c r="W35" s="384" t="n"/>
      <c r="X35" s="384" t="n"/>
      <c r="Y35" s="38" t="n"/>
      <c r="Z35" s="38" t="n"/>
      <c r="AA35" s="787" t="n"/>
      <c r="AC35" s="520" t="n"/>
      <c r="AD35" s="520" t="inlineStr">
        <is>
          <t>实收资本表</t>
        </is>
      </c>
      <c r="AE35" s="520" t="n"/>
      <c r="AF35" s="465" t="n"/>
      <c r="AG35" s="384" t="n"/>
      <c r="AH35" s="384" t="n"/>
      <c r="AI35" s="384" t="n"/>
      <c r="AJ35" s="384" t="n"/>
      <c r="AK35" s="384" t="n"/>
      <c r="AL35" s="384" t="n"/>
      <c r="AM35" s="384" t="n"/>
      <c r="AN35" s="384" t="n"/>
      <c r="AO35" s="384" t="n"/>
      <c r="AP35" s="384" t="n"/>
      <c r="AQ35" s="384" t="n"/>
      <c r="AR35" s="384" t="n"/>
      <c r="AS35" s="384" t="n"/>
      <c r="AT35" s="384" t="n"/>
      <c r="AU35" s="384" t="n"/>
      <c r="AV35" s="384" t="n"/>
    </row>
    <row r="36" customFormat="1" s="716">
      <c r="A36" s="716" t="n"/>
      <c r="B36" s="716" t="n"/>
      <c r="C36" s="716" t="n"/>
      <c r="D36" s="716" t="n"/>
      <c r="E36" s="716" t="n"/>
      <c r="F36" s="716" t="n"/>
      <c r="G36" s="716" t="n"/>
      <c r="H36" s="716" t="n"/>
      <c r="I36" s="716" t="n"/>
      <c r="J36" s="716" t="n"/>
      <c r="K36" s="716" t="n"/>
      <c r="L36" s="716" t="n"/>
      <c r="M36" s="716" t="n"/>
      <c r="N36" s="716" t="n"/>
      <c r="O36" s="716" t="n"/>
      <c r="P36" s="716" t="n"/>
      <c r="Q36" s="716" t="n"/>
      <c r="R36" s="716" t="n"/>
      <c r="S36" s="462" t="n"/>
      <c r="T36" s="716" t="n"/>
      <c r="U36" s="716" t="n"/>
      <c r="V36" s="716" t="n"/>
      <c r="W36" s="716" t="n"/>
      <c r="X36" s="716" t="n"/>
      <c r="Y36" s="190">
        <f>IF(_epmOfflineCondition_,"编制单位：内蒙古京能苏尼特风力发电有限公司（内蒙古分公司）","编制单位："&amp;EPMMemberDesc($D$6))</f>
        <v/>
      </c>
      <c r="Z36" s="190" t="n"/>
      <c r="AA36" s="788" t="n"/>
      <c r="AB36" s="462" t="n"/>
      <c r="AC36" s="203" t="n"/>
      <c r="AD36" s="716" t="n"/>
      <c r="AE36" s="716" t="n"/>
      <c r="AF36" s="716" t="n"/>
      <c r="AG36" s="716" t="n"/>
      <c r="AH36" s="808" t="n"/>
      <c r="AI36" s="716" t="n"/>
      <c r="AJ36" s="716" t="n"/>
      <c r="AK36" s="716" t="n"/>
      <c r="AL36" s="716" t="n"/>
      <c r="AM36" s="716" t="n"/>
      <c r="AN36" s="716" t="n"/>
      <c r="AO36" s="716" t="n"/>
      <c r="AP36" s="716" t="n"/>
      <c r="AQ36" s="716" t="n"/>
      <c r="AR36" s="716" t="n"/>
      <c r="AS36" s="716" t="n"/>
      <c r="AT36" s="716" t="n"/>
      <c r="AU36" s="716" t="n"/>
      <c r="AV36" s="716" t="n"/>
    </row>
    <row r="37" ht="15.2" customFormat="1" customHeight="1" s="716">
      <c r="A37" s="716" t="n"/>
      <c r="B37" s="716" t="n"/>
      <c r="C37" s="716" t="n"/>
      <c r="D37" s="716" t="n"/>
      <c r="E37" s="716" t="n"/>
      <c r="F37" s="716" t="n"/>
      <c r="G37" s="716" t="n"/>
      <c r="H37" s="716" t="n"/>
      <c r="I37" s="716" t="n"/>
      <c r="J37" s="716" t="n"/>
      <c r="K37" s="716" t="n"/>
      <c r="L37" s="716" t="n"/>
      <c r="M37" s="716" t="n"/>
      <c r="N37" s="716" t="n"/>
      <c r="O37" s="716" t="n"/>
      <c r="P37" s="716" t="n"/>
      <c r="Q37" s="716" t="n"/>
      <c r="R37" s="716" t="n"/>
      <c r="S37" s="462" t="n"/>
      <c r="T37" s="716" t="n"/>
      <c r="U37" s="716" t="n"/>
      <c r="V37" s="716" t="n"/>
      <c r="W37" s="716" t="n"/>
      <c r="X37" s="716" t="n"/>
      <c r="Y37" s="190">
        <f>"编制月份："&amp;$I$3&amp;"年"&amp;$I$8&amp;"月"</f>
        <v/>
      </c>
      <c r="Z37" s="190" t="n"/>
      <c r="AA37" s="789" t="inlineStr">
        <is>
          <t>LC</t>
        </is>
      </c>
      <c r="AB37" s="735" t="inlineStr">
        <is>
          <t>操作提示：表单默认币种LC（本位币），外币记账单位，可点击左侧，更换币种，更换后点击EPM选项卡中的“刷新”按钮</t>
        </is>
      </c>
      <c r="AC37" s="735" t="n"/>
      <c r="AD37" s="735" t="n"/>
      <c r="AE37" s="735" t="n"/>
      <c r="AF37" s="735" t="n"/>
      <c r="AG37" s="223" t="inlineStr">
        <is>
          <t>金额单位：元</t>
        </is>
      </c>
      <c r="AH37" s="203" t="n"/>
      <c r="AI37" s="716" t="n"/>
      <c r="AJ37" s="716" t="n"/>
      <c r="AK37" s="434" t="inlineStr">
        <is>
          <t>存数逻辑</t>
        </is>
      </c>
      <c r="AL37" s="716" t="n"/>
      <c r="AM37" s="716" t="n"/>
      <c r="AN37" s="716" t="n"/>
      <c r="AO37" s="716" t="n"/>
      <c r="AP37" s="716" t="n"/>
      <c r="AQ37" s="716" t="n"/>
      <c r="AR37" s="716" t="n"/>
      <c r="AS37" s="716" t="n"/>
      <c r="AT37" s="716" t="n"/>
      <c r="AU37" s="716" t="n"/>
      <c r="AV37" s="716" t="n"/>
    </row>
    <row r="38" ht="10.5" customFormat="1" customHeight="1" s="716">
      <c r="A38" s="716" t="n"/>
      <c r="B38" s="716" t="n"/>
      <c r="C38" s="716" t="n"/>
      <c r="D38" s="716" t="n"/>
      <c r="E38" s="716" t="n"/>
      <c r="F38" s="716" t="n"/>
      <c r="G38" s="716" t="n"/>
      <c r="H38" s="716" t="n"/>
      <c r="I38" s="716" t="n"/>
      <c r="J38" s="716" t="n"/>
      <c r="K38" s="716" t="n"/>
      <c r="L38" s="716" t="n"/>
      <c r="M38" s="716" t="n"/>
      <c r="N38" s="716" t="n"/>
      <c r="O38" s="716" t="n"/>
      <c r="P38" s="716" t="n"/>
      <c r="Q38" s="716" t="n"/>
      <c r="R38" s="716" t="n"/>
      <c r="S38" s="462" t="n"/>
      <c r="T38" s="716" t="n"/>
      <c r="U38" s="716" t="n"/>
      <c r="V38" s="716" t="n"/>
      <c r="W38" s="716" t="n"/>
      <c r="X38" s="716" t="n"/>
      <c r="Y38" s="190" t="n"/>
      <c r="Z38" s="190" t="n"/>
      <c r="AA38" s="790" t="n"/>
      <c r="AB38" s="462" t="n"/>
      <c r="AC38" s="203" t="n"/>
      <c r="AD38" s="716" t="n"/>
      <c r="AE38" s="223" t="n"/>
      <c r="AF38" s="716" t="n"/>
      <c r="AG38" s="716" t="n"/>
      <c r="AH38" s="716" t="n"/>
      <c r="AI38" s="716" t="n"/>
      <c r="AJ38" s="716" t="n"/>
      <c r="AK38" s="716" t="n"/>
      <c r="AL38" s="716" t="n"/>
      <c r="AM38" s="716" t="n"/>
      <c r="AN38" s="716" t="n"/>
      <c r="AO38" s="716" t="n"/>
      <c r="AP38" s="716" t="n"/>
      <c r="AQ38" s="716" t="n"/>
      <c r="AR38" s="716" t="n"/>
      <c r="AS38" s="716" t="n"/>
      <c r="AT38" s="716" t="n"/>
      <c r="AU38" s="716" t="n"/>
      <c r="AV38" s="716" t="n"/>
    </row>
    <row r="39" ht="16.5" customFormat="1" customHeight="1" s="716">
      <c r="A39" s="716" t="n"/>
      <c r="B39" s="716" t="n"/>
      <c r="C39" s="716" t="n"/>
      <c r="D39" s="716" t="n"/>
      <c r="E39" s="716" t="n"/>
      <c r="F39" s="716" t="n"/>
      <c r="G39" s="716" t="n"/>
      <c r="H39" s="716" t="n"/>
      <c r="I39" s="716" t="n"/>
      <c r="J39" s="716" t="n"/>
      <c r="K39" s="716" t="n"/>
      <c r="L39" s="716" t="n"/>
      <c r="M39" s="716" t="n"/>
      <c r="N39" s="716" t="n"/>
      <c r="O39" s="716" t="n"/>
      <c r="P39" s="716" t="n"/>
      <c r="Q39" s="716" t="n"/>
      <c r="R39" s="716" t="n"/>
      <c r="S39" s="462" t="n"/>
      <c r="T39" s="716" t="n"/>
      <c r="U39" s="716" t="n"/>
      <c r="V39" s="716" t="n"/>
      <c r="W39" s="716" t="n"/>
      <c r="X39" s="716" t="n"/>
      <c r="Y39" s="791" t="inlineStr">
        <is>
          <t>项     目</t>
        </is>
      </c>
      <c r="Z39" s="454" t="inlineStr">
        <is>
          <t>行次</t>
        </is>
      </c>
      <c r="AA39" s="792" t="inlineStr">
        <is>
          <t>出资方</t>
        </is>
      </c>
      <c r="AB39" s="793" t="inlineStr">
        <is>
          <t>年初持股比（%）</t>
        </is>
      </c>
      <c r="AC39" s="793" t="inlineStr">
        <is>
          <t>年初余额</t>
        </is>
      </c>
      <c r="AD39" s="793" t="inlineStr">
        <is>
          <t>本年增加</t>
        </is>
      </c>
      <c r="AE39" s="793" t="inlineStr">
        <is>
          <t>本年减少</t>
        </is>
      </c>
      <c r="AF39" s="793" t="inlineStr">
        <is>
          <t>期末余额</t>
        </is>
      </c>
      <c r="AG39" s="793" t="inlineStr">
        <is>
          <t>期末持股比（%）</t>
        </is>
      </c>
      <c r="AH39" s="809" t="inlineStr">
        <is>
          <t>2022年初余额（初始化）</t>
        </is>
      </c>
      <c r="AI39" s="809" t="inlineStr">
        <is>
          <t>2022年初持股比%(初始化）</t>
        </is>
      </c>
      <c r="AJ39" s="810" t="n"/>
      <c r="AK39" s="793" t="inlineStr">
        <is>
          <t>年初持股比（%）</t>
        </is>
      </c>
      <c r="AL39" s="793" t="inlineStr">
        <is>
          <t>年初余额</t>
        </is>
      </c>
      <c r="AM39" s="793" t="inlineStr">
        <is>
          <t>本年增加</t>
        </is>
      </c>
      <c r="AN39" s="793" t="inlineStr">
        <is>
          <t>本年减少</t>
        </is>
      </c>
      <c r="AO39" s="793" t="inlineStr">
        <is>
          <t>期末余额</t>
        </is>
      </c>
      <c r="AP39" s="793" t="inlineStr">
        <is>
          <t>期末持股比（%）</t>
        </is>
      </c>
      <c r="AQ39" s="809" t="inlineStr">
        <is>
          <t>上年期末余额（初始化）</t>
        </is>
      </c>
      <c r="AR39" s="816" t="inlineStr">
        <is>
          <t>上年期末持股比%(初始化）</t>
        </is>
      </c>
      <c r="AS39" s="793" t="inlineStr">
        <is>
          <t>本年减少(正负数）</t>
        </is>
      </c>
      <c r="AT39" s="793" t="inlineStr">
        <is>
          <t>期末余额</t>
        </is>
      </c>
      <c r="AU39" s="793" t="inlineStr">
        <is>
          <t>期末持股比（%）</t>
        </is>
      </c>
      <c r="AV39" s="716" t="n"/>
    </row>
    <row r="40" hidden="1" outlineLevel="1" ht="15" customFormat="1" customHeight="1" s="462">
      <c r="A40" s="462" t="n"/>
      <c r="B40" s="462" t="n"/>
      <c r="C40" s="462" t="n"/>
      <c r="D40" s="462" t="n"/>
      <c r="E40" s="462" t="n"/>
      <c r="F40" s="462" t="n"/>
      <c r="G40" s="462" t="n"/>
      <c r="H40" s="462" t="n"/>
      <c r="I40" s="462" t="n"/>
      <c r="J40" s="462" t="n"/>
      <c r="K40" s="462" t="n"/>
      <c r="L40" s="462" t="n"/>
      <c r="M40" s="462" t="n"/>
      <c r="N40" s="462" t="n"/>
      <c r="O40" s="462" t="n"/>
      <c r="P40" s="462" t="n"/>
      <c r="Q40" s="462" t="n"/>
      <c r="R40" s="462" t="n"/>
      <c r="S40" s="462" t="n"/>
      <c r="T40" s="462" t="n"/>
      <c r="U40" s="462" t="n"/>
      <c r="V40" s="462" t="n"/>
      <c r="W40" s="462" t="n"/>
      <c r="X40" s="462" t="n"/>
      <c r="Y40" s="716" t="inlineStr">
        <is>
          <t>time</t>
        </is>
      </c>
      <c r="Z40" s="777" t="n"/>
      <c r="AA40" s="794">
        <f>IF(_epmOfflineCondition_,"2025.03",EPMOlapMemberO($AB$26,"[C_TIME].[PARENTH1].[2025.03]","2025.03 - 2025.03","","000"))</f>
        <v/>
      </c>
      <c r="AB40" s="777">
        <f>IF(_epmOfflineCondition_,"2025.03",EPMOlapMemberO($AB$26,"[C_TIME].[PARENTH1].[2025.03]","2025.03 - 2025.03","","000"))</f>
        <v/>
      </c>
      <c r="AC40" s="777">
        <f>IF(_epmOfflineCondition_,"2025.03",EPMOlapMemberO($AB$26,"[C_TIME].[PARENTH1].[2025.03]","2025.03 - 2025.03","","000"))</f>
        <v/>
      </c>
      <c r="AD40" s="777">
        <f>IF(_epmOfflineCondition_,"2025.03",EPMOlapMemberO($AB$26,"[C_TIME].[PARENTH1].[2025.03]","2025.03 - 2025.03","","000"))</f>
        <v/>
      </c>
      <c r="AE40" s="777">
        <f>IF(_epmOfflineCondition_,"2025.03",EPMOlapMemberO($AB$26,"[C_TIME].[PARENTH1].[2025.03]","2025.03 - 2025.03","","000"))</f>
        <v/>
      </c>
      <c r="AF40" s="777">
        <f>IF(_epmOfflineCondition_,"2025.03",EPMOlapMemberO($AB$26,"[C_TIME].[PARENTH1].[2025.03]","2025.03 - 2025.03","","000"))</f>
        <v/>
      </c>
      <c r="AG40" s="777">
        <f>IF(_epmOfflineCondition_,"2025.03",EPMOlapMemberO($AB$26,"[C_TIME].[PARENTH1].[2025.03]","2025.03 - 2025.03","","000"))</f>
        <v/>
      </c>
      <c r="AH40" s="777">
        <f>IF(_epmOfflineCondition_,"2021.12",EPMOlapMemberO($AH$30,"[C_TIME].[PARENTH1].[2021.12]","2021.12 - 2021.12","","000"))</f>
        <v/>
      </c>
      <c r="AI40" s="777">
        <f>IF(_epmOfflineCondition_,"2021.12",EPMOlapMemberO($AI$30,"[C_TIME].[PARENTH1].[2021.12]","2021.12 - 2021.12","","000"))</f>
        <v/>
      </c>
      <c r="AJ40" s="810" t="inlineStr">
        <is>
          <t>“年初余额（初始化）”、“年初持股比%（初始化）”，第一次上线初始化信息填写即可。</t>
        </is>
      </c>
      <c r="AK40" s="384" t="n"/>
      <c r="AL40" s="716" t="n"/>
      <c r="AM40" s="716" t="n"/>
      <c r="AN40" s="462" t="n"/>
      <c r="AO40" s="462" t="n"/>
      <c r="AP40" s="462" t="n"/>
      <c r="AQ40" s="462" t="n"/>
      <c r="AR40" s="462" t="n"/>
      <c r="AS40" s="384" t="n"/>
      <c r="AT40" s="777">
        <f>IF(_epmOfflineCondition_,"2024.12",EPMOlapMemberO($AF$26,"[C_TIME].[PARENTH1].[2024.12]","2024.12 - 2024.12","","000"))</f>
        <v/>
      </c>
      <c r="AU40" s="777">
        <f>IF(_epmOfflineCondition_,"2024.12",EPMOlapMemberO($AF$26,"[C_TIME].[PARENTH1].[2024.12]","2024.12 - 2024.12","","000"))</f>
        <v/>
      </c>
      <c r="AV40" s="462" t="n"/>
    </row>
    <row r="41" hidden="1" outlineLevel="1" ht="14.25" customFormat="1" customHeight="1" s="24">
      <c r="A41" s="24" t="n"/>
      <c r="B41" s="24" t="n"/>
      <c r="C41" s="24" t="n"/>
      <c r="D41" s="24" t="n"/>
      <c r="E41" s="24" t="n"/>
      <c r="F41" s="24" t="n"/>
      <c r="G41" s="24" t="n"/>
      <c r="H41" s="24" t="n"/>
      <c r="I41" s="24" t="n"/>
      <c r="J41" s="24" t="n"/>
      <c r="K41" s="24" t="n"/>
      <c r="L41" s="24" t="n"/>
      <c r="M41" s="24" t="n"/>
      <c r="N41" s="24" t="n"/>
      <c r="O41" s="24" t="n"/>
      <c r="P41" s="24" t="n"/>
      <c r="Q41" s="24" t="n"/>
      <c r="R41" s="24" t="n"/>
      <c r="S41" s="24" t="n"/>
      <c r="T41" s="24" t="n"/>
      <c r="U41" s="24" t="n"/>
      <c r="V41" s="24" t="n"/>
      <c r="W41" s="24" t="n"/>
      <c r="X41" s="24" t="n"/>
      <c r="Y41" s="716" t="inlineStr">
        <is>
          <t>category</t>
        </is>
      </c>
      <c r="Z41" s="777" t="n"/>
      <c r="AA41" s="794">
        <f>IF(_epmOfflineCondition_,"C1001",EPMOlapMemberO($AA$25,"[C_CATEGORY].[PARENTH1].[C1001]","C1001 - 实际数/决算数","","000"))</f>
        <v/>
      </c>
      <c r="AB41" s="777">
        <f>IF(_epmOfflineCondition_,"C1001",EPMOlapMemberO($AA$25,"[C_CATEGORY].[PARENTH1].[C1001]","C1001 - 实际数/决算数","","000"))</f>
        <v/>
      </c>
      <c r="AC41" s="777">
        <f>IF(_epmOfflineCondition_,"C1001",EPMOlapMemberO($AA$25,"[C_CATEGORY].[PARENTH1].[C1001]","C1001 - 实际数/决算数","","000"))</f>
        <v/>
      </c>
      <c r="AD41" s="777">
        <f>IF(_epmOfflineCondition_,"C1001",EPMOlapMemberO($AA$25,"[C_CATEGORY].[PARENTH1].[C1001]","C1001 - 实际数/决算数","","000"))</f>
        <v/>
      </c>
      <c r="AE41" s="777">
        <f>IF(_epmOfflineCondition_,"C1001",EPMOlapMemberO($AA$25,"[C_CATEGORY].[PARENTH1].[C1001]","C1001 - 实际数/决算数","","000"))</f>
        <v/>
      </c>
      <c r="AF41" s="777">
        <f>IF(_epmOfflineCondition_,"C1001",EPMOlapMemberO($AA$25,"[C_CATEGORY].[PARENTH1].[C1001]","C1001 - 实际数/决算数","","000"))</f>
        <v/>
      </c>
      <c r="AG41" s="777">
        <f>IF(_epmOfflineCondition_,"C1001",EPMOlapMemberO($AA$25,"[C_CATEGORY].[PARENTH1].[C1001]","C1001 - 实际数/决算数","","000"))</f>
        <v/>
      </c>
      <c r="AH41" s="777">
        <f>IF(_epmOfflineCondition_,"C1001",EPMOlapMemberO($AA$25,"[C_CATEGORY].[PARENTH1].[C1001]","C1001 - 实际数/决算数","","000"))</f>
        <v/>
      </c>
      <c r="AI41" s="777">
        <f>IF(_epmOfflineCondition_,"C1001",EPMOlapMemberO($AA$25,"[C_CATEGORY].[PARENTH1].[C1001]","C1001 - 实际数/决算数","","000"))</f>
        <v/>
      </c>
      <c r="AJ41" s="811" t="n"/>
      <c r="AK41" s="384" t="n"/>
      <c r="AL41" s="716" t="n"/>
      <c r="AM41" s="716" t="n"/>
      <c r="AN41" s="24" t="n"/>
      <c r="AO41" s="24" t="n"/>
      <c r="AP41" s="24" t="n"/>
      <c r="AQ41" s="24" t="n"/>
      <c r="AR41" s="462" t="n"/>
      <c r="AS41" s="384" t="n"/>
      <c r="AT41" s="777">
        <f>IF(_epmOfflineCondition_,"C1001",EPMOlapMemberO($AA$25,"[C_CATEGORY].[PARENTH1].[C1001]","C1001 - 实际数/决算数","","000"))</f>
        <v/>
      </c>
      <c r="AU41" s="777">
        <f>IF(_epmOfflineCondition_,"C1001",EPMOlapMemberO($AA$25,"[C_CATEGORY].[PARENTH1].[C1001]","C1001 - 实际数/决算数","","000"))</f>
        <v/>
      </c>
      <c r="AV41" s="24" t="n"/>
    </row>
    <row r="42" hidden="1" outlineLevel="1" ht="14.25" customFormat="1" customHeight="1" s="716">
      <c r="A42" s="716" t="n"/>
      <c r="B42" s="716" t="n"/>
      <c r="C42" s="716" t="n"/>
      <c r="D42" s="716" t="n"/>
      <c r="E42" s="716" t="n"/>
      <c r="F42" s="716" t="n"/>
      <c r="G42" s="716" t="n"/>
      <c r="H42" s="716" t="n"/>
      <c r="I42" s="716" t="n"/>
      <c r="J42" s="716" t="n"/>
      <c r="K42" s="716" t="n"/>
      <c r="L42" s="716" t="n"/>
      <c r="M42" s="716" t="n"/>
      <c r="N42" s="716" t="n"/>
      <c r="O42" s="716" t="n"/>
      <c r="P42" s="716" t="n"/>
      <c r="Q42" s="716" t="n"/>
      <c r="R42" s="716" t="n"/>
      <c r="S42" s="462" t="n"/>
      <c r="T42" s="716" t="n"/>
      <c r="U42" s="716" t="n"/>
      <c r="V42" s="716" t="n"/>
      <c r="W42" s="716" t="n"/>
      <c r="X42" s="716" t="n"/>
      <c r="Y42" s="716" t="inlineStr">
        <is>
          <t>audittrail</t>
        </is>
      </c>
      <c r="Z42" s="777" t="n"/>
      <c r="AA42" s="794">
        <f>IF(_epmOfflineCondition_,"D1151",EPMOlapMemberO($AA$29,"[C_AUDITTRAIL].[PARENTH1].[D1151]","D1151 - LC/CNY分别手工录入","","000"))</f>
        <v/>
      </c>
      <c r="AB42" s="777">
        <f>IF(_epmOfflineCondition_,"DALL",EPMOlapMemberO($AB$29,"[C_AUDITTRAIL].[PARENTH1].[DALL]","DALL - 合并后","","000"))</f>
        <v/>
      </c>
      <c r="AC42" s="777">
        <f>IF(_epmOfflineCondition_,"DALL",EPMOlapMemberO($AB$29,"[C_AUDITTRAIL].[PARENTH1].[DALL]","DALL - 合并后","","000"))</f>
        <v/>
      </c>
      <c r="AD42" s="777">
        <f>IF(_epmOfflineCondition_,"DALL",EPMOlapMemberO($AB$29,"[C_AUDITTRAIL].[PARENTH1].[DALL]","DALL - 合并后","","000"))</f>
        <v/>
      </c>
      <c r="AE42" s="777">
        <f>IF(_epmOfflineCondition_,"D1151",EPMOlapMemberO($AA$29,"[C_AUDITTRAIL].[PARENTH1].[D1151]","D1151 - LC/CNY分别手工录入","","000"))</f>
        <v/>
      </c>
      <c r="AF42" s="777">
        <f>IF(_epmOfflineCondition_,"DALL",EPMOlapMemberO($AB$29,"[C_AUDITTRAIL].[PARENTH1].[DALL]","DALL - 合并后","","000"))</f>
        <v/>
      </c>
      <c r="AG42" s="777">
        <f>IF(_epmOfflineCondition_,"DALL",EPMOlapMemberO($AB$29,"[C_AUDITTRAIL].[PARENTH1].[DALL]","DALL - 合并后","","000"))</f>
        <v/>
      </c>
      <c r="AH42" s="777">
        <f>IF(_epmOfflineCondition_,"DALL",EPMOlapMemberO($AB$29,"[C_AUDITTRAIL].[PARENTH1].[DALL]","DALL - 合并后","","000"))</f>
        <v/>
      </c>
      <c r="AI42" s="777">
        <f>IF(_epmOfflineCondition_,"DALL",EPMOlapMemberO($AB$29,"[C_AUDITTRAIL].[PARENTH1].[DALL]","DALL - 合并后","","000"))</f>
        <v/>
      </c>
      <c r="AJ42" s="811" t="n"/>
      <c r="AK42" s="384" t="n"/>
      <c r="AL42" s="716" t="n"/>
      <c r="AM42" s="716" t="n"/>
      <c r="AN42" s="716" t="n"/>
      <c r="AO42" s="716" t="n"/>
      <c r="AP42" s="716" t="n"/>
      <c r="AQ42" s="716" t="n"/>
      <c r="AR42" s="716" t="n"/>
      <c r="AS42" s="384" t="n"/>
      <c r="AT42" s="777">
        <f>IF(_epmOfflineCondition_,"DALL",EPMOlapMemberO($AB$29,"[C_AUDITTRAIL].[PARENTH1].[DALL]","DALL - 合并后","","000"))</f>
        <v/>
      </c>
      <c r="AU42" s="777">
        <f>IF(_epmOfflineCondition_,"DALL",EPMOlapMemberO($AB$29,"[C_AUDITTRAIL].[PARENTH1].[DALL]","DALL - 合并后","","000"))</f>
        <v/>
      </c>
      <c r="AV42" s="716" t="n"/>
    </row>
    <row r="43" hidden="1" outlineLevel="1" ht="13.5" customFormat="1" customHeight="1" s="716">
      <c r="A43" s="716" t="n"/>
      <c r="B43" s="716" t="n"/>
      <c r="C43" s="716" t="n"/>
      <c r="D43" s="716" t="n"/>
      <c r="E43" s="716" t="n"/>
      <c r="F43" s="716" t="n"/>
      <c r="G43" s="716" t="n"/>
      <c r="H43" s="716" t="n"/>
      <c r="I43" s="716" t="n"/>
      <c r="J43" s="716" t="n"/>
      <c r="K43" s="716" t="n"/>
      <c r="L43" s="716" t="n"/>
      <c r="M43" s="716" t="n"/>
      <c r="N43" s="716" t="n"/>
      <c r="O43" s="716" t="n"/>
      <c r="P43" s="716" t="n"/>
      <c r="Q43" s="716" t="n"/>
      <c r="R43" s="716" t="n"/>
      <c r="S43" s="462" t="n"/>
      <c r="T43" s="716" t="n"/>
      <c r="U43" s="716" t="n"/>
      <c r="V43" s="716" t="n"/>
      <c r="W43" s="716" t="n"/>
      <c r="X43" s="716" t="n"/>
      <c r="Y43" s="716" t="inlineStr">
        <is>
          <t>flow</t>
        </is>
      </c>
      <c r="Z43" s="777" t="n"/>
      <c r="AA43" s="794">
        <f>IF(_epmOfflineCondition_,"ZF_DUMMY",EPMOlapMemberO($AA$28,"[C_FLOW].[PARENTH1].[ZF_DUMMY]","ZF_DUMMY - 变动无关","","000"))</f>
        <v/>
      </c>
      <c r="AB43" s="777">
        <f>IF(_epmOfflineCondition_,"F00",EPMOlapMemberO($AB$28,"[C_FLOW].[PARENTH1].[F00]","F00 - 期初金额","","000"))</f>
        <v/>
      </c>
      <c r="AC43" s="777">
        <f>IF(_epmOfflineCondition_,"F00",EPMOlapMemberO($AB$28,"[C_FLOW].[PARENTH1].[F00]","F00 - 期初金额","","000"))</f>
        <v/>
      </c>
      <c r="AD43" s="777">
        <f>IF(_epmOfflineCondition_,"F20",EPMOlapMemberO(AC28,"[C_FLOW].[PARENTH1].[F20]","F20 - 本期增加","","000"))</f>
        <v/>
      </c>
      <c r="AE43" s="777">
        <f>IF(_epmOfflineCondition_,"F30",EPMOlapMemberO(AG28,"[C_FLOW].[PARENTH1].[F30]","F30 - 本期减少","","000"))</f>
        <v/>
      </c>
      <c r="AF43" s="777">
        <f>IF(_epmOfflineCondition_,"FEND",EPMOlapMemberO($AE$28,"[C_FLOW].[PARENTH1].[FEND]","FEND - 期末金额","","000"))</f>
        <v/>
      </c>
      <c r="AG43" s="777">
        <f>IF(_epmOfflineCondition_,"FEND",EPMOlapMemberO($AE$28,"[C_FLOW].[PARENTH1].[FEND]","FEND - 期末金额","","000"))</f>
        <v/>
      </c>
      <c r="AH43" s="777">
        <f>IF(_epmOfflineCondition_,"FEND",EPMOlapMemberO($AE$28,"[C_FLOW].[PARENTH1].[FEND]","FEND - 期末金额","","000"))</f>
        <v/>
      </c>
      <c r="AI43" s="777">
        <f>IF(_epmOfflineCondition_,"FEND",EPMOlapMemberO($AE$28,"[C_FLOW].[PARENTH1].[FEND]","FEND - 期末金额","","000"))</f>
        <v/>
      </c>
      <c r="AJ43" s="811" t="n"/>
      <c r="AK43" s="384" t="n"/>
      <c r="AL43" s="716" t="n"/>
      <c r="AM43" s="716" t="n"/>
      <c r="AN43" s="716" t="n"/>
      <c r="AO43" s="716" t="n"/>
      <c r="AP43" s="716" t="n"/>
      <c r="AQ43" s="716" t="n"/>
      <c r="AR43" s="716" t="n"/>
      <c r="AS43" s="384" t="n"/>
      <c r="AT43" s="777">
        <f>IF(_epmOfflineCondition_,"FEND",EPMOlapMemberO($AE$28,"[C_FLOW].[PARENTH1].[FEND]","FEND - 期末金额","","000"))</f>
        <v/>
      </c>
      <c r="AU43" s="777">
        <f>IF(_epmOfflineCondition_,"F20",EPMOlapMemberO(AC28,"[C_FLOW].[PARENTH1].[F20]","F20 - 本期增加","","000"))</f>
        <v/>
      </c>
      <c r="AV43" s="716" t="n"/>
    </row>
    <row r="44" hidden="1" outlineLevel="1" ht="13.5" customFormat="1" customHeight="1" s="716">
      <c r="A44" s="716" t="n"/>
      <c r="B44" s="716" t="n"/>
      <c r="C44" s="716" t="n"/>
      <c r="D44" s="716" t="n"/>
      <c r="E44" s="716" t="n"/>
      <c r="F44" s="716" t="n"/>
      <c r="G44" s="716" t="n"/>
      <c r="H44" s="716" t="n"/>
      <c r="I44" s="716" t="n"/>
      <c r="J44" s="716" t="n"/>
      <c r="K44" s="716" t="n"/>
      <c r="L44" s="716" t="n"/>
      <c r="M44" s="716" t="n"/>
      <c r="N44" s="716" t="n"/>
      <c r="O44" s="716" t="n"/>
      <c r="P44" s="716" t="n"/>
      <c r="Q44" s="716" t="n"/>
      <c r="R44" s="716" t="n"/>
      <c r="S44" s="462" t="n"/>
      <c r="T44" s="716" t="n"/>
      <c r="U44" s="716" t="n"/>
      <c r="V44" s="716" t="n"/>
      <c r="W44" s="452" t="n"/>
      <c r="X44" s="716" t="n"/>
      <c r="Y44" s="716" t="inlineStr">
        <is>
          <t>measures</t>
        </is>
      </c>
      <c r="Z44" s="777" t="n"/>
      <c r="AA44" s="794">
        <f>IF(_epmOfflineCondition_,"YTD",EPMOlapMemberO($AA$27,"[MEASURES].[].[YTD]","YTD - Year To Date","","000"))</f>
        <v/>
      </c>
      <c r="AB44" s="777">
        <f>IF(_epmOfflineCondition_,"YTD",EPMOlapMemberO($AA$27,"[MEASURES].[].[YTD]","YTD - Year To Date","","000"))</f>
        <v/>
      </c>
      <c r="AC44" s="777">
        <f>IF(_epmOfflineCondition_,"YTD",EPMOlapMemberO($AA$27,"[MEASURES].[].[YTD]","YTD - Year To Date","","000"))</f>
        <v/>
      </c>
      <c r="AD44" s="777">
        <f>IF(_epmOfflineCondition_,"YTD",EPMOlapMemberO($AA$27,"[MEASURES].[].[YTD]","YTD - Year To Date","","000"))</f>
        <v/>
      </c>
      <c r="AE44" s="777">
        <f>IF(_epmOfflineCondition_,"YTD",EPMOlapMemberO($AA$27,"[MEASURES].[].[YTD]","YTD - Year To Date","","000"))</f>
        <v/>
      </c>
      <c r="AF44" s="777">
        <f>IF(_epmOfflineCondition_,"YTD",EPMOlapMemberO($AA$27,"[MEASURES].[].[YTD]","YTD - Year To Date","","000"))</f>
        <v/>
      </c>
      <c r="AG44" s="777">
        <f>IF(_epmOfflineCondition_,"YTD",EPMOlapMemberO($AA$27,"[MEASURES].[].[YTD]","YTD - Year To Date","","000"))</f>
        <v/>
      </c>
      <c r="AH44" s="777">
        <f>IF(_epmOfflineCondition_,"YTD",EPMOlapMemberO($AA$27,"[MEASURES].[].[YTD]","YTD - Year To Date","","000"))</f>
        <v/>
      </c>
      <c r="AI44" s="777">
        <f>IF(_epmOfflineCondition_,"YTD",EPMOlapMemberO($AA$27,"[MEASURES].[].[YTD]","YTD - Year To Date","","000"))</f>
        <v/>
      </c>
      <c r="AJ44" s="811" t="n"/>
      <c r="AK44" s="384" t="n"/>
      <c r="AL44" s="716" t="n"/>
      <c r="AM44" s="716" t="n"/>
      <c r="AN44" s="716" t="n"/>
      <c r="AO44" s="716" t="n"/>
      <c r="AP44" s="716" t="n"/>
      <c r="AQ44" s="716" t="n"/>
      <c r="AR44" s="716" t="n"/>
      <c r="AS44" s="384" t="n"/>
      <c r="AT44" s="777">
        <f>IF(_epmOfflineCondition_,"YTD",EPMOlapMemberO($AA$27,"[MEASURES].[].[YTD]","YTD - Year To Date","","000"))</f>
        <v/>
      </c>
      <c r="AU44" s="777">
        <f>IF(_epmOfflineCondition_,"YTD",EPMOlapMemberO($AA$27,"[MEASURES].[].[YTD]","YTD - Year To Date","","000"))</f>
        <v/>
      </c>
      <c r="AV44" s="716" t="n"/>
    </row>
    <row r="45" hidden="1" outlineLevel="1" ht="13.5" customFormat="1" customHeight="1" s="716">
      <c r="A45" s="716" t="n"/>
      <c r="B45" s="716" t="n"/>
      <c r="C45" s="716" t="n"/>
      <c r="D45" s="716" t="n"/>
      <c r="E45" s="716" t="n"/>
      <c r="F45" s="716" t="n"/>
      <c r="G45" s="716" t="n"/>
      <c r="H45" s="716" t="n"/>
      <c r="I45" s="716" t="n"/>
      <c r="J45" s="716" t="n"/>
      <c r="K45" s="716" t="n"/>
      <c r="L45" s="716" t="n"/>
      <c r="M45" s="716" t="n"/>
      <c r="N45" s="716" t="n"/>
      <c r="O45" s="716" t="n"/>
      <c r="P45" s="716" t="n"/>
      <c r="Q45" s="716" t="n"/>
      <c r="R45" s="716" t="n"/>
      <c r="S45" s="462" t="n"/>
      <c r="T45" s="716" t="n"/>
      <c r="U45" s="716" t="n"/>
      <c r="V45" s="716" t="n"/>
      <c r="W45" s="716" t="n"/>
      <c r="X45" s="716" t="n"/>
      <c r="Y45" s="716" t="inlineStr">
        <is>
          <t>misc</t>
        </is>
      </c>
      <c r="Z45" s="777" t="n"/>
      <c r="AA45" s="794">
        <f>IF(_epmOfflineCondition_,"ZM03502",EPMOlapMemberO(AB31,"[C_MISK].[PARENTH1].[ZM03502]","ZM03502","","000"))</f>
        <v/>
      </c>
      <c r="AB45" s="777">
        <f>IF(_epmOfflineCondition_,"ZM03503",EPMOlapMemberO($AC$31,"[C_MISK].[PARENTH1].[ZM03503]","ZM03503","","000"))</f>
        <v/>
      </c>
      <c r="AC45" s="777">
        <f>IF(_epmOfflineCondition_,"ZM_DUMMY",EPMOlapMemberO($AD$31,"[C_MISK].[PARENTH1].[ZM_DUMMY]","ZM_DUMMY","","000"))</f>
        <v/>
      </c>
      <c r="AD45" s="777">
        <f>IF(_epmOfflineCondition_,"ZM_DUMMY",EPMOlapMemberO($AD$31,"[C_MISK].[PARENTH1].[ZM_DUMMY]","ZM_DUMMY","","000"))</f>
        <v/>
      </c>
      <c r="AE45" s="777">
        <f>IF(_epmOfflineCondition_,"ZM_DUMMY",EPMOlapMemberO($AD$31,"[C_MISK].[PARENTH1].[ZM_DUMMY]","ZM_DUMMY","","000"))</f>
        <v/>
      </c>
      <c r="AF45" s="777">
        <f>IF(_epmOfflineCondition_,"ZM_DUMMY",EPMOlapMemberO($AD$31,"[C_MISK].[PARENTH1].[ZM_DUMMY]","ZM_DUMMY","","000"))</f>
        <v/>
      </c>
      <c r="AG45" s="777">
        <f>IF(_epmOfflineCondition_,"ZM03503",EPMOlapMemberO($AC$31,"[C_MISK].[PARENTH1].[ZM03503]","ZM03503","","000"))</f>
        <v/>
      </c>
      <c r="AH45" s="777">
        <f>IF(_epmOfflineCondition_,"ZM_DUMMY",EPMOlapMemberO($AH$31,"[C_MISK].[PARENTH1].[ZM_DUMMY]","ZM_DUMMY","","000"))</f>
        <v/>
      </c>
      <c r="AI45" s="777">
        <f>IF(_epmOfflineCondition_,"ZM03503",EPMOlapMemberO($AI$31,"[C_MISK].[PARENTH1].[ZM03503]","ZM03503","","000"))</f>
        <v/>
      </c>
      <c r="AJ45" s="811" t="n"/>
      <c r="AK45" s="384" t="n"/>
      <c r="AL45" s="716" t="n"/>
      <c r="AM45" s="716" t="n"/>
      <c r="AN45" s="716" t="n"/>
      <c r="AO45" s="716" t="n"/>
      <c r="AP45" s="716" t="n"/>
      <c r="AQ45" s="716" t="n"/>
      <c r="AR45" s="716" t="n"/>
      <c r="AS45" s="384" t="n"/>
      <c r="AT45" s="777">
        <f>IF(_epmOfflineCondition_,"ZM_DUMMY",EPMOlapMemberO($AD$31,"[C_MISK].[PARENTH1].[ZM_DUMMY]","ZM_DUMMY","","000"))</f>
        <v/>
      </c>
      <c r="AU45" s="777">
        <f>IF(_epmOfflineCondition_,"ZM03503",EPMOlapMemberO($AC$31,"[C_MISK].[PARENTH1].[ZM03503]","ZM03503","","000"))</f>
        <v/>
      </c>
      <c r="AV45" s="716" t="n"/>
    </row>
    <row r="46" collapsed="1" ht="13.5" customFormat="1" customHeight="1" s="716">
      <c r="A46" s="716" t="n"/>
      <c r="B46" s="716" t="n"/>
      <c r="C46" s="716" t="n"/>
      <c r="D46" s="716" t="n"/>
      <c r="E46" s="716" t="n"/>
      <c r="F46" s="716" t="n"/>
      <c r="G46" s="716" t="n"/>
      <c r="H46" s="716" t="n"/>
      <c r="I46" s="716" t="n"/>
      <c r="J46" s="716" t="n"/>
      <c r="K46" s="716" t="n"/>
      <c r="L46" s="716" t="n"/>
      <c r="M46" s="716" t="n"/>
      <c r="N46" s="716" t="n"/>
      <c r="O46" s="716" t="n"/>
      <c r="P46" s="716" t="n"/>
      <c r="Q46" s="716" t="n"/>
      <c r="R46" s="716" t="n"/>
      <c r="S46" s="462" t="n"/>
      <c r="T46" s="716" t="n"/>
      <c r="U46" s="610" t="n"/>
      <c r="V46" s="636" t="inlineStr">
        <is>
          <t xml:space="preserve">
</t>
        </is>
      </c>
      <c r="W46" s="716" t="n"/>
      <c r="X46" s="716" t="n"/>
      <c r="Y46" s="795" t="inlineStr">
        <is>
          <t>合计</t>
        </is>
      </c>
      <c r="Z46" s="796">
        <f>ROW()-45</f>
        <v/>
      </c>
      <c r="AA46" s="797">
        <f>"— —"</f>
        <v/>
      </c>
      <c r="AB46" s="798">
        <f>"— —"</f>
        <v/>
      </c>
      <c r="AC46" s="1309">
        <f>AC47+AC54</f>
        <v/>
      </c>
      <c r="AD46" s="1309">
        <f>AD47+AD54</f>
        <v/>
      </c>
      <c r="AE46" s="1309">
        <f>AE47+AE54</f>
        <v/>
      </c>
      <c r="AF46" s="1309">
        <f>IF(AE46&gt;0,(AC46+AD46-AE46),(AC46+AD46+AE46))</f>
        <v/>
      </c>
      <c r="AG46" s="798">
        <f>"— —"</f>
        <v/>
      </c>
      <c r="AH46" s="1309">
        <f>AH47+AH54</f>
        <v/>
      </c>
      <c r="AI46" s="798">
        <f>"— —"</f>
        <v/>
      </c>
      <c r="AJ46" s="811" t="n"/>
      <c r="AK46" s="384" t="n"/>
      <c r="AL46" s="716" t="n"/>
      <c r="AM46" s="716" t="n"/>
      <c r="AN46" s="716" t="n"/>
      <c r="AO46" s="716" t="n"/>
      <c r="AP46" s="716" t="n"/>
      <c r="AQ46" s="716" t="n"/>
      <c r="AR46" s="716" t="n"/>
      <c r="AS46" s="384" t="n"/>
      <c r="AT46" s="716" t="n"/>
      <c r="AU46" s="716" t="n"/>
      <c r="AV46" s="716" t="n"/>
    </row>
    <row r="47" ht="15" customFormat="1" customHeight="1" s="716">
      <c r="A47" s="716" t="n"/>
      <c r="B47" s="716" t="n"/>
      <c r="C47" s="716" t="n"/>
      <c r="D47" s="716" t="n"/>
      <c r="E47" s="716" t="n"/>
      <c r="F47" s="716" t="n"/>
      <c r="G47" s="716" t="n"/>
      <c r="H47" s="716" t="n"/>
      <c r="I47" s="716" t="n"/>
      <c r="J47" s="716" t="n"/>
      <c r="K47" s="716" t="n"/>
      <c r="L47" s="716" t="n"/>
      <c r="M47" s="716" t="n"/>
      <c r="N47" s="716" t="n"/>
      <c r="O47" s="716" t="n"/>
      <c r="P47" s="716" t="n"/>
      <c r="Q47" s="716" t="n"/>
      <c r="R47" s="716" t="n"/>
      <c r="S47" s="462" t="n"/>
      <c r="T47" s="716" t="n"/>
      <c r="U47" s="610" t="n"/>
      <c r="V47" s="462" t="n"/>
      <c r="W47" s="777" t="n"/>
      <c r="X47" s="462" t="n"/>
      <c r="Y47" s="795" t="inlineStr">
        <is>
          <t>1.集团内公司</t>
        </is>
      </c>
      <c r="Z47" s="796">
        <f>ROW()-45</f>
        <v/>
      </c>
      <c r="AA47" s="797">
        <f>"— —"</f>
        <v/>
      </c>
      <c r="AB47" s="798">
        <f>"— —"</f>
        <v/>
      </c>
      <c r="AC47" s="1309">
        <f>SUM(AC48:AC53)</f>
        <v/>
      </c>
      <c r="AD47" s="1309">
        <f>SUM(AD48:AD53)</f>
        <v/>
      </c>
      <c r="AE47" s="1309">
        <f>SUM(AE48:AE53)</f>
        <v/>
      </c>
      <c r="AF47" s="1309">
        <f>IF(AE47&gt;0,(AC47+AD47-AE47),(AC47+AD47+AE47))</f>
        <v/>
      </c>
      <c r="AG47" s="798">
        <f>"— —"</f>
        <v/>
      </c>
      <c r="AH47" s="1309">
        <f>SUM(AH48:AH53)</f>
        <v/>
      </c>
      <c r="AI47" s="798">
        <f>"— —"</f>
        <v/>
      </c>
      <c r="AJ47" s="811" t="n"/>
      <c r="AK47" s="384" t="n"/>
      <c r="AL47" s="716" t="n"/>
      <c r="AM47" s="716" t="n"/>
      <c r="AN47" s="716" t="n"/>
      <c r="AO47" s="716" t="n"/>
      <c r="AP47" s="716" t="n"/>
      <c r="AQ47" s="716" t="n"/>
      <c r="AR47" s="716" t="n"/>
      <c r="AS47" s="384" t="n"/>
      <c r="AT47" s="716" t="n"/>
      <c r="AU47" s="716" t="n"/>
      <c r="AV47" s="716" t="n"/>
    </row>
    <row r="48" ht="15" customFormat="1" customHeight="1" s="716">
      <c r="A48" s="716" t="n"/>
      <c r="B48" s="716" t="n"/>
      <c r="C48" s="716" t="n"/>
      <c r="D48" s="716" t="n"/>
      <c r="E48" s="716" t="n"/>
      <c r="F48" s="716" t="n"/>
      <c r="G48" s="716" t="n"/>
      <c r="H48" s="716" t="n"/>
      <c r="I48" s="716" t="n"/>
      <c r="J48" s="716" t="n"/>
      <c r="K48" s="716" t="n"/>
      <c r="L48" s="716" t="n"/>
      <c r="M48" s="716" t="n"/>
      <c r="N48" s="716" t="n"/>
      <c r="O48" s="716" t="n"/>
      <c r="P48" s="716" t="n"/>
      <c r="Q48" s="716" t="n"/>
      <c r="R48" s="716" t="n"/>
      <c r="S48" s="462">
        <f>IF(U48&lt;&gt;"",U48,"ZI_DUMMY")</f>
        <v/>
      </c>
      <c r="T48" s="716" t="n"/>
      <c r="U48" s="610">
        <f>IFERROR(VLOOKUP('枚举值 (3)'!$H$2,OFFSET('枚举值 (3)'!$A:$E,'枚举值 (3)'!$H$6-1,0,1),4,FALSE),"")</f>
        <v/>
      </c>
      <c r="V48" s="777" t="n"/>
      <c r="W48" s="776">
        <f>IF(_epmOfflineCondition_,"ZI029E100001",EPMOlapMemberO(S48,"[C_ITEM].[PARENTH1].[ZI029E100001]","ZI029E100001","","000"))</f>
        <v/>
      </c>
      <c r="X48" s="462" t="n"/>
      <c r="Y48" s="795" t="n"/>
      <c r="Z48" s="796">
        <f>ROW()-45</f>
        <v/>
      </c>
      <c r="AA48" s="799">
        <f>IF(W48="ZI_DUMMY","",VLOOKUP(W48,'枚举值 (3)'!D:E,2,0))</f>
        <v/>
      </c>
      <c r="AB48" s="800">
        <f>IF($I$11="2022.12",AI48,AU48)</f>
        <v/>
      </c>
      <c r="AC48" s="1307">
        <f>IF($I$11="2022.12",AH48,AT48)</f>
        <v/>
      </c>
      <c r="AD48" s="1310" t="inlineStr"/>
      <c r="AE48" s="1310" t="inlineStr"/>
      <c r="AF48" s="1307">
        <f>IF(AE48&gt;0,(AC48+AD48-AE48),(AC48+AD48+AE48))</f>
        <v/>
      </c>
      <c r="AG48" s="800">
        <f>IF($AF$46=0,0,AF48/$AF$46)</f>
        <v/>
      </c>
      <c r="AH48" s="1310" t="inlineStr"/>
      <c r="AI48" s="812" t="inlineStr"/>
      <c r="AJ48" s="813" t="n"/>
      <c r="AK48" s="155" t="n"/>
      <c r="AL48" s="489" t="n"/>
      <c r="AM48" s="489">
        <f>IF(_epmOfflineCondition_,0,IF(W48="ZI_DUMMY","",EPMSaveData(AD48,,$D$18,$D$21,$D$22,$D$26,$D$27,$D$25,$AD$40,$AD$41,$AA$29,$AD$43,$AD$44,$AD$45,W48)))</f>
        <v/>
      </c>
      <c r="AN48" s="489">
        <f>IF(_epmOfflineCondition_,0,IF(W48="ZI_DUMMY","",EPMSaveData(AE48,,$D$18,$D$21,$D$22,$D$26,$D$27,$D$25,$AE$40,$AE$41,$AA$29,$AE$43,$AE$44,$AE$45,W48)))</f>
        <v/>
      </c>
      <c r="AO48" s="489" t="n"/>
      <c r="AP48" s="489">
        <f>IF(_epmOfflineCondition_,0,IF(W48="ZI_DUMMY","",EPMSaveData(AG48,,$D$18,$D$21,$D$22,$D$26,$D$27,$D$25,$AG$40,$AG$41,$AA$29,$AC$28,$AG$44,$AG$45,W48)))</f>
        <v/>
      </c>
      <c r="AQ48" s="489" t="n"/>
      <c r="AR48" s="489" t="n"/>
      <c r="AS48" s="489">
        <f>IF(_epmOfflineCondition_,0,IF(W48="ZI_DUMMY","",EPMSaveData(AE48*-2,,$D$18,$D$21,$D$22,$D$26,$D$27,$D$25,$AE$40,$AE$41,$AC$24,$AE$43,$AE$44,$AE$45,W48)))</f>
        <v/>
      </c>
      <c r="AT48" s="489" t="inlineStr"/>
      <c r="AU48" s="817" t="n"/>
      <c r="AV48" s="716" t="n"/>
    </row>
    <row r="49" ht="15" customFormat="1" customHeight="1" s="716">
      <c r="A49" s="716" t="n"/>
      <c r="B49" s="716" t="n"/>
      <c r="C49" s="716" t="n"/>
      <c r="D49" s="716" t="n"/>
      <c r="E49" s="716" t="n"/>
      <c r="F49" s="716" t="n"/>
      <c r="G49" s="716" t="n"/>
      <c r="H49" s="716" t="n"/>
      <c r="I49" s="716" t="n"/>
      <c r="J49" s="716" t="n"/>
      <c r="K49" s="716" t="n"/>
      <c r="L49" s="716" t="n"/>
      <c r="M49" s="716" t="n"/>
      <c r="N49" s="716" t="n"/>
      <c r="O49" s="716" t="n"/>
      <c r="P49" s="716" t="n"/>
      <c r="Q49" s="716" t="n"/>
      <c r="R49" s="716" t="n"/>
      <c r="S49" s="462">
        <f>IF(U49&lt;&gt;"",U49,"ZI_DUMMY")</f>
        <v/>
      </c>
      <c r="T49" s="716" t="n"/>
      <c r="U49" s="610">
        <f>IFERROR(VLOOKUP('枚举值 (3)'!$H$2,OFFSET('枚举值 (3)'!$A:$E,'枚举值 (3)'!$H$6,0,1),4,FALSE),"")</f>
        <v/>
      </c>
      <c r="V49" s="777" t="n"/>
      <c r="W49" s="777">
        <f>IF(_epmOfflineCondition_,"ZI_DUMMY",EPMOlapMemberO(S49,"[C_ITEM].[PARENTH1].[ZI_DUMMY]","ZI_DUMMY","","000"))</f>
        <v/>
      </c>
      <c r="X49" s="462" t="n"/>
      <c r="Y49" s="795" t="n"/>
      <c r="Z49" s="796">
        <f>ROW()-45</f>
        <v/>
      </c>
      <c r="AA49" s="799">
        <f>IF(W49="ZI_DUMMY","",VLOOKUP(W49,'枚举值 (3)'!D:E,2,0))</f>
        <v/>
      </c>
      <c r="AB49" s="800">
        <f>IF($I$11="2022.12",AI49,AU49)</f>
        <v/>
      </c>
      <c r="AC49" s="1307">
        <f>IF($I$11="2022.12",AH49,AT49)</f>
        <v/>
      </c>
      <c r="AD49" s="1310" t="n"/>
      <c r="AE49" s="1310" t="n"/>
      <c r="AF49" s="1307">
        <f>IF(AE49&gt;0,(AC49+AD49-AE49),(AC49+AD49+AE49))</f>
        <v/>
      </c>
      <c r="AG49" s="800">
        <f>IF($AF$46=0,0,AF49/$AF$46)</f>
        <v/>
      </c>
      <c r="AH49" s="1310" t="n"/>
      <c r="AI49" s="812" t="n"/>
      <c r="AJ49" s="813" t="n"/>
      <c r="AK49" s="155" t="n"/>
      <c r="AL49" s="489" t="n"/>
      <c r="AM49" s="489">
        <f>IF(_epmOfflineCondition_,"",IF(W49="ZI_DUMMY","",EPMSaveData(AD49,,$D$18,$D$21,$D$22,$D$26,$D$27,$D$25,$AD$40,$AD$41,$AA$29,$AD$43,$AD$44,$AD$45,W49)))</f>
        <v/>
      </c>
      <c r="AN49" s="489">
        <f>IF(_epmOfflineCondition_,"",IF(W49="ZI_DUMMY","",EPMSaveData(AE49,,$D$18,$D$21,$D$22,$D$26,$D$27,$D$25,$AE$40,$AE$41,$AA$29,$AE$43,$AE$44,$AE$45,W49)))</f>
        <v/>
      </c>
      <c r="AO49" s="489" t="n"/>
      <c r="AP49" s="489">
        <f>IF(_epmOfflineCondition_,"",IF(W49="ZI_DUMMY","",EPMSaveData(AG49,,$D$18,$D$21,$D$22,$D$26,$D$27,$D$25,$AG$40,$AG$41,$AA$29,$AC$28,$AG$44,$AG$45,W49)))</f>
        <v/>
      </c>
      <c r="AQ49" s="489" t="n"/>
      <c r="AR49" s="489" t="n"/>
      <c r="AS49" s="489">
        <f>IF(_epmOfflineCondition_,"",IF(W49="ZI_DUMMY","",EPMSaveData(AE49*-2,,$D$18,$D$21,$D$22,$D$26,$D$27,$D$25,$AE$40,$AE$41,$AC$24,$AE$43,$AE$44,$AE$45,W49)))</f>
        <v/>
      </c>
      <c r="AT49" s="489" t="n"/>
      <c r="AU49" s="817" t="n"/>
      <c r="AV49" s="716" t="n"/>
    </row>
    <row r="50" ht="15" customFormat="1" customHeight="1" s="716">
      <c r="A50" s="716" t="n"/>
      <c r="B50" s="716" t="n"/>
      <c r="C50" s="716" t="n"/>
      <c r="D50" s="716" t="n"/>
      <c r="E50" s="716" t="n"/>
      <c r="F50" s="716" t="n"/>
      <c r="G50" s="716" t="n"/>
      <c r="H50" s="716" t="n"/>
      <c r="I50" s="716" t="n"/>
      <c r="J50" s="716" t="n"/>
      <c r="K50" s="716" t="n"/>
      <c r="L50" s="716" t="n"/>
      <c r="M50" s="716" t="n"/>
      <c r="N50" s="716" t="n"/>
      <c r="O50" s="716" t="n"/>
      <c r="P50" s="716" t="n"/>
      <c r="Q50" s="716" t="n"/>
      <c r="R50" s="716" t="n"/>
      <c r="S50" s="462">
        <f>IF(U50&lt;&gt;"",U50,"ZI_DUMMY")</f>
        <v/>
      </c>
      <c r="T50" s="716" t="n"/>
      <c r="U50" s="610">
        <f>IFERROR(VLOOKUP('枚举值 (3)'!$H$2,OFFSET('枚举值 (3)'!$A:$E,'枚举值 (3)'!$H$6+1,0,1),4,FALSE),"")</f>
        <v/>
      </c>
      <c r="V50" s="777" t="n"/>
      <c r="W50" s="777">
        <f>IF(_epmOfflineCondition_,"ZI_DUMMY",EPMOlapMemberO(S50,"[C_ITEM].[PARENTH1].[ZI_DUMMY]","ZI_DUMMY","","000"))</f>
        <v/>
      </c>
      <c r="X50" s="462" t="n"/>
      <c r="Y50" s="795" t="n"/>
      <c r="Z50" s="796">
        <f>ROW()-45</f>
        <v/>
      </c>
      <c r="AA50" s="799">
        <f>IF(W50="ZI_DUMMY","",VLOOKUP(W50,'枚举值 (3)'!D:E,2,0))</f>
        <v/>
      </c>
      <c r="AB50" s="800">
        <f>IF($I$11="2022.12",AI50,AU50)</f>
        <v/>
      </c>
      <c r="AC50" s="1307">
        <f>IF($I$11="2022.12",AH50,AT50)</f>
        <v/>
      </c>
      <c r="AD50" s="1310" t="n"/>
      <c r="AE50" s="1310" t="n"/>
      <c r="AF50" s="1307">
        <f>IF(AE50&gt;0,(AC50+AD50-AE50),(AC50+AD50+AE50))</f>
        <v/>
      </c>
      <c r="AG50" s="800">
        <f>IF($AF$46=0,0,AF50/$AF$46)</f>
        <v/>
      </c>
      <c r="AH50" s="1310" t="n"/>
      <c r="AI50" s="812" t="n"/>
      <c r="AJ50" s="813" t="n"/>
      <c r="AK50" s="155" t="n"/>
      <c r="AL50" s="489" t="n"/>
      <c r="AM50" s="489">
        <f>IF(_epmOfflineCondition_,"",IF(W50="ZI_DUMMY","",EPMSaveData(AD50,,$D$18,$D$21,$D$22,$D$26,$D$27,$D$25,$AD$40,$AD$41,$AA$29,$AD$43,$AD$44,$AD$45,W50)))</f>
        <v/>
      </c>
      <c r="AN50" s="489">
        <f>IF(_epmOfflineCondition_,"",IF(W50="ZI_DUMMY","",EPMSaveData(AE50,,$D$18,$D$21,$D$22,$D$26,$D$27,$D$25,$AE$40,$AE$41,$AA$29,$AE$43,$AE$44,$AE$45,W50)))</f>
        <v/>
      </c>
      <c r="AO50" s="489" t="n"/>
      <c r="AP50" s="489">
        <f>IF(_epmOfflineCondition_,"",IF(W50="ZI_DUMMY","",EPMSaveData(AG50,,$D$18,$D$21,$D$22,$D$26,$D$27,$D$25,$AG$40,$AG$41,$AA$29,$AC$28,$AG$44,$AG$45,W50)))</f>
        <v/>
      </c>
      <c r="AQ50" s="489" t="n"/>
      <c r="AR50" s="489" t="n"/>
      <c r="AS50" s="489">
        <f>IF(_epmOfflineCondition_,"",IF(W50="ZI_DUMMY","",EPMSaveData(AE50*-2,,$D$18,$D$21,$D$22,$D$26,$D$27,$D$25,$AE$40,$AE$41,$AC$24,$AE$43,$AE$44,$AE$45,W50)))</f>
        <v/>
      </c>
      <c r="AT50" s="489" t="n"/>
      <c r="AU50" s="817" t="n"/>
      <c r="AV50" s="716" t="n"/>
    </row>
    <row r="51" ht="15" customFormat="1" customHeight="1" s="716">
      <c r="A51" s="716" t="n"/>
      <c r="B51" s="716" t="n"/>
      <c r="C51" s="716" t="n"/>
      <c r="D51" s="716" t="n"/>
      <c r="E51" s="716" t="n"/>
      <c r="F51" s="716" t="n"/>
      <c r="G51" s="716" t="n"/>
      <c r="H51" s="716" t="n"/>
      <c r="I51" s="716" t="n"/>
      <c r="J51" s="716" t="n"/>
      <c r="K51" s="716" t="n"/>
      <c r="L51" s="716" t="n"/>
      <c r="M51" s="716" t="n"/>
      <c r="N51" s="716" t="n"/>
      <c r="O51" s="716" t="n"/>
      <c r="P51" s="716" t="n"/>
      <c r="Q51" s="716" t="n"/>
      <c r="R51" s="716" t="n"/>
      <c r="S51" s="462">
        <f>IF(U51&lt;&gt;"",U51,"ZI_DUMMY")</f>
        <v/>
      </c>
      <c r="T51" s="716" t="n"/>
      <c r="U51" s="610">
        <f>IFERROR(VLOOKUP('枚举值 (3)'!$H$2,OFFSET('枚举值 (3)'!$A:$E,'枚举值 (3)'!$H$6+2,0,1),4,FALSE),"")</f>
        <v/>
      </c>
      <c r="V51" s="777" t="n"/>
      <c r="W51" s="777">
        <f>IF(_epmOfflineCondition_,"ZI_DUMMY",EPMOlapMemberO(S51,"[C_ITEM].[PARENTH1].[ZI_DUMMY]","ZI_DUMMY","","000"))</f>
        <v/>
      </c>
      <c r="X51" s="462" t="n"/>
      <c r="Y51" s="795" t="n"/>
      <c r="Z51" s="796">
        <f>ROW()-45</f>
        <v/>
      </c>
      <c r="AA51" s="799">
        <f>IF(W51="ZI_DUMMY","",VLOOKUP(W51,'枚举值 (3)'!D:E,2,0))</f>
        <v/>
      </c>
      <c r="AB51" s="800">
        <f>IF($I$11="2022.12",AI51,AU51)</f>
        <v/>
      </c>
      <c r="AC51" s="1307">
        <f>IF($I$11="2022.12",AH51,AT51)</f>
        <v/>
      </c>
      <c r="AD51" s="1310" t="n"/>
      <c r="AE51" s="1310" t="n"/>
      <c r="AF51" s="1307">
        <f>IF(AE51&gt;0,(AC51+AD51-AE51),(AC51+AD51+AE51))</f>
        <v/>
      </c>
      <c r="AG51" s="800">
        <f>IF($AF$46=0,0,AF51/$AF$46)</f>
        <v/>
      </c>
      <c r="AH51" s="1310" t="n"/>
      <c r="AI51" s="812" t="n"/>
      <c r="AJ51" s="814" t="n"/>
      <c r="AK51" s="155" t="n"/>
      <c r="AL51" s="489" t="n"/>
      <c r="AM51" s="489">
        <f>IF(_epmOfflineCondition_,"",IF(W51="ZI_DUMMY","",EPMSaveData(AD51,,$D$18,$D$21,$D$22,$D$26,$D$27,$D$25,$AD$40,$AD$41,$AA$29,$AD$43,$AD$44,$AD$45,W51)))</f>
        <v/>
      </c>
      <c r="AN51" s="489">
        <f>IF(_epmOfflineCondition_,"",IF(W51="ZI_DUMMY","",EPMSaveData(AE51,,$D$18,$D$21,$D$22,$D$26,$D$27,$D$25,$AE$40,$AE$41,$AA$29,$AE$43,$AE$44,$AE$45,W51)))</f>
        <v/>
      </c>
      <c r="AO51" s="489" t="n"/>
      <c r="AP51" s="489">
        <f>IF(_epmOfflineCondition_,"",IF(W51="ZI_DUMMY","",EPMSaveData(AG51,,$D$18,$D$21,$D$22,$D$26,$D$27,$D$25,$AG$40,$AG$41,$AA$29,$AC$28,$AG$44,$AG$45,W51)))</f>
        <v/>
      </c>
      <c r="AQ51" s="489" t="n"/>
      <c r="AR51" s="489" t="n"/>
      <c r="AS51" s="489">
        <f>IF(_epmOfflineCondition_,"",IF(W51="ZI_DUMMY","",EPMSaveData(AE51*-2,,$D$18,$D$21,$D$22,$D$26,$D$27,$D$25,$AE$40,$AE$41,$AC$24,$AE$43,$AE$44,$AE$45,W51)))</f>
        <v/>
      </c>
      <c r="AT51" s="489" t="n"/>
      <c r="AU51" s="817" t="n"/>
      <c r="AV51" s="716" t="n"/>
    </row>
    <row r="52" ht="15" customFormat="1" customHeight="1" s="716">
      <c r="A52" s="716" t="n"/>
      <c r="B52" s="716" t="n"/>
      <c r="C52" s="716" t="n"/>
      <c r="D52" s="716" t="n"/>
      <c r="E52" s="716" t="n"/>
      <c r="F52" s="716" t="n"/>
      <c r="G52" s="716" t="n"/>
      <c r="H52" s="716" t="n"/>
      <c r="I52" s="716" t="n"/>
      <c r="J52" s="716" t="n"/>
      <c r="K52" s="716" t="n"/>
      <c r="L52" s="716" t="n"/>
      <c r="M52" s="716" t="n"/>
      <c r="N52" s="716" t="n"/>
      <c r="O52" s="716" t="n"/>
      <c r="P52" s="716" t="n"/>
      <c r="Q52" s="716" t="n"/>
      <c r="R52" s="716" t="n"/>
      <c r="S52" s="462">
        <f>IF(U52&lt;&gt;"",U52,"ZI_DUMMY")</f>
        <v/>
      </c>
      <c r="T52" s="716" t="n"/>
      <c r="U52" s="610">
        <f>IFERROR(VLOOKUP('枚举值 (3)'!$H$2,OFFSET('枚举值 (3)'!$A:$E,'枚举值 (3)'!$H$6+3,0,1),4,FALSE),"")</f>
        <v/>
      </c>
      <c r="V52" s="777" t="n"/>
      <c r="W52" s="777">
        <f>IF(_epmOfflineCondition_,"ZI_DUMMY",EPMOlapMemberO(S52,"[C_ITEM].[PARENTH1].[ZI_DUMMY]","ZI_DUMMY","","000"))</f>
        <v/>
      </c>
      <c r="X52" s="462" t="n"/>
      <c r="Y52" s="795" t="n"/>
      <c r="Z52" s="796">
        <f>ROW()-45</f>
        <v/>
      </c>
      <c r="AA52" s="799">
        <f>IF(W52="ZI_DUMMY","",VLOOKUP(W52,'枚举值 (3)'!D:E,2,0))</f>
        <v/>
      </c>
      <c r="AB52" s="800">
        <f>IF($I$11="2022.12",AI52,AU52)</f>
        <v/>
      </c>
      <c r="AC52" s="1307">
        <f>IF($I$11="2022.12",AH52,AT52)</f>
        <v/>
      </c>
      <c r="AD52" s="1310" t="n"/>
      <c r="AE52" s="1310" t="n"/>
      <c r="AF52" s="1307">
        <f>IF(AE52&gt;0,(AC52+AD52-AE52),(AC52+AD52+AE52))</f>
        <v/>
      </c>
      <c r="AG52" s="800">
        <f>IF($AF$46=0,0,AF52/$AF$46)</f>
        <v/>
      </c>
      <c r="AH52" s="1310" t="n"/>
      <c r="AI52" s="812" t="n"/>
      <c r="AJ52" s="155" t="n"/>
      <c r="AK52" s="155" t="n"/>
      <c r="AL52" s="489" t="n"/>
      <c r="AM52" s="489">
        <f>IF(_epmOfflineCondition_,"",IF(W52="ZI_DUMMY","",EPMSaveData(AD52,,$D$18,$D$21,$D$22,$D$26,$D$27,$D$25,$AD$40,$AD$41,$AA$29,$AD$43,$AD$44,$AD$45,W52)))</f>
        <v/>
      </c>
      <c r="AN52" s="489">
        <f>IF(_epmOfflineCondition_,"",IF(W52="ZI_DUMMY","",EPMSaveData(AE52,,$D$18,$D$21,$D$22,$D$26,$D$27,$D$25,$AE$40,$AE$41,$AA$29,$AE$43,$AE$44,$AE$45,W52)))</f>
        <v/>
      </c>
      <c r="AO52" s="489" t="n"/>
      <c r="AP52" s="489">
        <f>IF(_epmOfflineCondition_,"",IF(W52="ZI_DUMMY","",EPMSaveData(AG52,,$D$18,$D$21,$D$22,$D$26,$D$27,$D$25,$AG$40,$AG$41,$AA$29,$AC$28,$AG$44,$AG$45,W52)))</f>
        <v/>
      </c>
      <c r="AQ52" s="489" t="n"/>
      <c r="AR52" s="489" t="n"/>
      <c r="AS52" s="489">
        <f>IF(_epmOfflineCondition_,"",IF(W52="ZI_DUMMY","",EPMSaveData(AE52*-2,,$D$18,$D$21,$D$22,$D$26,$D$27,$D$25,$AE$40,$AE$41,$AC$24,$AE$43,$AE$44,$AE$45,W52)))</f>
        <v/>
      </c>
      <c r="AT52" s="489" t="n"/>
      <c r="AU52" s="817" t="n"/>
      <c r="AV52" s="716" t="n"/>
    </row>
    <row r="53" ht="15" customFormat="1" customHeight="1" s="716">
      <c r="A53" s="716" t="n"/>
      <c r="B53" s="716" t="n"/>
      <c r="C53" s="716" t="n"/>
      <c r="D53" s="716" t="n"/>
      <c r="E53" s="716" t="n"/>
      <c r="F53" s="716" t="n"/>
      <c r="G53" s="716" t="n"/>
      <c r="H53" s="716" t="n"/>
      <c r="I53" s="716" t="n"/>
      <c r="J53" s="716" t="n"/>
      <c r="K53" s="716" t="n"/>
      <c r="L53" s="716" t="n"/>
      <c r="M53" s="716" t="n"/>
      <c r="N53" s="716" t="n"/>
      <c r="O53" s="716" t="n"/>
      <c r="P53" s="716" t="n"/>
      <c r="Q53" s="716" t="n"/>
      <c r="R53" s="716" t="n"/>
      <c r="S53" s="462">
        <f>IF(U53&lt;&gt;"",U53,"ZI_DUMMY")</f>
        <v/>
      </c>
      <c r="T53" s="716" t="n"/>
      <c r="U53" s="610">
        <f>IFERROR(VLOOKUP('枚举值 (3)'!$H$2,OFFSET('枚举值 (3)'!$A:$E,'枚举值 (3)'!$H$6+4,0,1),4,FALSE),"")</f>
        <v/>
      </c>
      <c r="V53" s="777" t="n"/>
      <c r="W53" s="777">
        <f>IF(_epmOfflineCondition_,"ZI_DUMMY",EPMOlapMemberO(S53,"[C_ITEM].[PARENTH1].[ZI_DUMMY]","ZI_DUMMY","","000"))</f>
        <v/>
      </c>
      <c r="X53" s="462" t="n"/>
      <c r="Y53" s="795" t="n"/>
      <c r="Z53" s="796">
        <f>ROW()-45</f>
        <v/>
      </c>
      <c r="AA53" s="799">
        <f>IF(W53="ZI_DUMMY","",VLOOKUP(W53,'枚举值 (3)'!D:E,2,0))</f>
        <v/>
      </c>
      <c r="AB53" s="800">
        <f>IF($I$11="2022.12",AI53,AU53)</f>
        <v/>
      </c>
      <c r="AC53" s="1307">
        <f>IF($I$11="2022.12",AH53,AT53)</f>
        <v/>
      </c>
      <c r="AD53" s="1310" t="n"/>
      <c r="AE53" s="1310" t="n"/>
      <c r="AF53" s="1307">
        <f>IF(AE53&gt;0,(AC53+AD53-AE53),(AC53+AD53+AE53))</f>
        <v/>
      </c>
      <c r="AG53" s="800">
        <f>IF($AF$46=0,0,AF53/$AF$46)</f>
        <v/>
      </c>
      <c r="AH53" s="1310" t="n"/>
      <c r="AI53" s="812" t="n"/>
      <c r="AJ53" s="155" t="n"/>
      <c r="AK53" s="155" t="n"/>
      <c r="AL53" s="489" t="n"/>
      <c r="AM53" s="489">
        <f>IF(_epmOfflineCondition_,"",IF(W53="ZI_DUMMY","",EPMSaveData(AD53,,$D$18,$D$21,$D$22,$D$26,$D$27,$D$25,$AD$40,$AD$41,$AA$29,$AD$43,$AD$44,$AD$45,W53)))</f>
        <v/>
      </c>
      <c r="AN53" s="489">
        <f>IF(_epmOfflineCondition_,"",IF(W53="ZI_DUMMY","",EPMSaveData(AE53,,$D$18,$D$21,$D$22,$D$26,$D$27,$D$25,$AE$40,$AE$41,$AA$29,$AE$43,$AE$44,$AE$45,W53)))</f>
        <v/>
      </c>
      <c r="AO53" s="489" t="n"/>
      <c r="AP53" s="489">
        <f>IF(_epmOfflineCondition_,"",IF(W53="ZI_DUMMY","",EPMSaveData(AG53,,$D$18,$D$21,$D$22,$D$26,$D$27,$D$25,$AG$40,$AG$41,$AA$29,$AC$28,$AG$44,$AG$45,W53)))</f>
        <v/>
      </c>
      <c r="AQ53" s="489" t="n"/>
      <c r="AR53" s="489" t="n"/>
      <c r="AS53" s="489">
        <f>IF(_epmOfflineCondition_,"",IF(W53="ZI_DUMMY","",EPMSaveData(AE53*-2,,$D$18,$D$21,$D$22,$D$26,$D$27,$D$25,$AE$40,$AE$41,$AC$24,$AE$43,$AE$44,$AE$45,W53)))</f>
        <v/>
      </c>
      <c r="AT53" s="489" t="n"/>
      <c r="AU53" s="817" t="n"/>
      <c r="AV53" s="716" t="n"/>
    </row>
    <row r="54" ht="15" customFormat="1" customHeight="1" s="716">
      <c r="A54" s="716" t="n"/>
      <c r="B54" s="716" t="n"/>
      <c r="C54" s="716" t="n"/>
      <c r="D54" s="716" t="n"/>
      <c r="E54" s="716" t="n"/>
      <c r="F54" s="716" t="n"/>
      <c r="G54" s="716" t="n"/>
      <c r="H54" s="716" t="n"/>
      <c r="I54" s="716" t="n"/>
      <c r="J54" s="716" t="n"/>
      <c r="K54" s="716" t="n"/>
      <c r="L54" s="716" t="n"/>
      <c r="M54" s="716" t="n"/>
      <c r="N54" s="716" t="n"/>
      <c r="O54" s="716" t="n"/>
      <c r="P54" s="716" t="n"/>
      <c r="Q54" s="716" t="n"/>
      <c r="R54" s="716" t="n"/>
      <c r="S54" s="462" t="n"/>
      <c r="T54" s="716" t="n"/>
      <c r="U54" s="610" t="n"/>
      <c r="V54" s="777" t="n"/>
      <c r="W54" s="777" t="n"/>
      <c r="X54" s="462" t="n"/>
      <c r="Y54" s="795" t="inlineStr">
        <is>
          <t>2.集团外公司或个人</t>
        </is>
      </c>
      <c r="Z54" s="796">
        <f>ROW()-45</f>
        <v/>
      </c>
      <c r="AA54" s="801">
        <f>"— —"</f>
        <v/>
      </c>
      <c r="AB54" s="1186">
        <f>"— —"</f>
        <v/>
      </c>
      <c r="AC54" s="1307">
        <f>AC55+AC76+AC82</f>
        <v/>
      </c>
      <c r="AD54" s="1307">
        <f>AD55+AD76+AD82</f>
        <v/>
      </c>
      <c r="AE54" s="1307">
        <f>AE55+AE76+AE82</f>
        <v/>
      </c>
      <c r="AF54" s="1307">
        <f>IF(AE54&gt;0,(AC54+AD54-AE54),(AC54+AD54+AE54))</f>
        <v/>
      </c>
      <c r="AG54" s="815">
        <f>"— —"</f>
        <v/>
      </c>
      <c r="AH54" s="1307">
        <f>AH55+AH76+AH82</f>
        <v/>
      </c>
      <c r="AI54" s="1186">
        <f>"— —"</f>
        <v/>
      </c>
      <c r="AJ54" s="155" t="n"/>
      <c r="AK54" s="155" t="n"/>
      <c r="AL54" s="489" t="n"/>
      <c r="AM54" s="489" t="n"/>
      <c r="AN54" s="489" t="n"/>
      <c r="AO54" s="489" t="n"/>
      <c r="AP54" s="489" t="n"/>
      <c r="AQ54" s="489" t="n"/>
      <c r="AR54" s="489" t="n"/>
      <c r="AS54" s="489" t="n"/>
      <c r="AT54" s="489" t="n"/>
      <c r="AU54" s="817" t="n"/>
      <c r="AV54" s="716" t="n"/>
    </row>
    <row r="55" ht="15" customFormat="1" customHeight="1" s="716">
      <c r="A55" s="716" t="n"/>
      <c r="B55" s="716" t="n"/>
      <c r="C55" s="716" t="n"/>
      <c r="D55" s="716" t="n"/>
      <c r="E55" s="716" t="n"/>
      <c r="F55" s="716" t="n"/>
      <c r="G55" s="716" t="n"/>
      <c r="H55" s="716" t="n"/>
      <c r="I55" s="716" t="n"/>
      <c r="J55" s="716" t="n"/>
      <c r="K55" s="716" t="n"/>
      <c r="L55" s="716" t="n"/>
      <c r="M55" s="716" t="n"/>
      <c r="N55" s="716" t="n"/>
      <c r="O55" s="716" t="n"/>
      <c r="P55" s="716" t="n"/>
      <c r="Q55" s="716" t="n"/>
      <c r="R55" s="716" t="n"/>
      <c r="S55" s="462" t="n"/>
      <c r="T55" s="716" t="n"/>
      <c r="U55" s="610" t="n"/>
      <c r="V55" s="462" t="n"/>
      <c r="W55" s="777" t="n"/>
      <c r="X55" s="462" t="n"/>
      <c r="Y55" s="803" t="inlineStr">
        <is>
          <t>（1）集团外公司</t>
        </is>
      </c>
      <c r="Z55" s="796">
        <f>ROW()-45</f>
        <v/>
      </c>
      <c r="AA55" s="801">
        <f>"— —"</f>
        <v/>
      </c>
      <c r="AB55" s="1186">
        <f>"— —"</f>
        <v/>
      </c>
      <c r="AC55" s="1307">
        <f>SUM(AC56:AC75)</f>
        <v/>
      </c>
      <c r="AD55" s="1307">
        <f>SUM(AD56:AD75)</f>
        <v/>
      </c>
      <c r="AE55" s="1307">
        <f>SUM(AE56:AE75)</f>
        <v/>
      </c>
      <c r="AF55" s="1307">
        <f>IF(AE55&gt;0,(AC55+AD55-AE55),(AC55+AD55+AE55))</f>
        <v/>
      </c>
      <c r="AG55" s="815">
        <f>"— —"</f>
        <v/>
      </c>
      <c r="AH55" s="1307">
        <f>SUM(AH56:AH75)</f>
        <v/>
      </c>
      <c r="AI55" s="1186">
        <f>"— —"</f>
        <v/>
      </c>
      <c r="AJ55" s="155" t="n"/>
      <c r="AK55" s="155" t="n"/>
      <c r="AL55" s="489" t="n"/>
      <c r="AM55" s="489" t="n"/>
      <c r="AN55" s="489" t="n"/>
      <c r="AO55" s="489" t="n"/>
      <c r="AP55" s="489" t="n"/>
      <c r="AQ55" s="489" t="n"/>
      <c r="AR55" s="489" t="n"/>
      <c r="AS55" s="489" t="n"/>
      <c r="AT55" s="489" t="n"/>
      <c r="AU55" s="817" t="n"/>
      <c r="AV55" s="716" t="n"/>
    </row>
    <row r="56" ht="15" customFormat="1" customHeight="1" s="716">
      <c r="A56" s="716" t="n"/>
      <c r="B56" s="716" t="n"/>
      <c r="C56" s="716" t="n"/>
      <c r="D56" s="716" t="n"/>
      <c r="E56" s="716" t="n"/>
      <c r="F56" s="716" t="n"/>
      <c r="G56" s="716" t="n"/>
      <c r="H56" s="716" t="n"/>
      <c r="I56" s="716" t="n"/>
      <c r="J56" s="716" t="n"/>
      <c r="K56" s="716" t="n"/>
      <c r="L56" s="716" t="n"/>
      <c r="M56" s="716" t="n"/>
      <c r="N56" s="716" t="n"/>
      <c r="O56" s="716" t="n"/>
      <c r="P56" s="716" t="n"/>
      <c r="Q56" s="716" t="n"/>
      <c r="R56" s="716" t="n"/>
      <c r="S56" s="462">
        <f>IF(U56&lt;&gt;"",U56,"ZI_DUMMY")</f>
        <v/>
      </c>
      <c r="T56" s="716" t="n"/>
      <c r="U56" s="610">
        <f>IFERROR(VLOOKUP('枚举值 (3)'!$H$2,OFFSET('枚举值 (3)'!$A:$E,'枚举值 (3)'!$H$3-1,0,1),4,FALSE),"")</f>
        <v/>
      </c>
      <c r="V56" s="777" t="n"/>
      <c r="W56" s="777">
        <f>IF(_epmOfflineCondition_,"ZI_DUMMY",EPMOlapMemberO(S56,"[C_ITEM].[PARENTH1].[ZI_DUMMY]","ZI_DUMMY","","000"))</f>
        <v/>
      </c>
      <c r="X56" s="462" t="n"/>
      <c r="Y56" s="804" t="n"/>
      <c r="Z56" s="796">
        <f>ROW()-45</f>
        <v/>
      </c>
      <c r="AA56" s="799">
        <f>IF(W56="ZI_DUMMY","",VLOOKUP(W56,'枚举值 (3)'!D:E,2,0))</f>
        <v/>
      </c>
      <c r="AB56" s="800">
        <f>IF($I$11="2022.12",AI56,AU56)</f>
        <v/>
      </c>
      <c r="AC56" s="1307">
        <f>IF($I$11="2022.12",AH56,AT56)</f>
        <v/>
      </c>
      <c r="AD56" s="1310" t="n"/>
      <c r="AE56" s="1310" t="n"/>
      <c r="AF56" s="1307">
        <f>IF(AE56&gt;0,(AC56+AD56-AE56),(AC56+AD56+AE56))</f>
        <v/>
      </c>
      <c r="AG56" s="800">
        <f>IF($AF$46=0,0,AF56/$AF$46)</f>
        <v/>
      </c>
      <c r="AH56" s="1310" t="n"/>
      <c r="AI56" s="812" t="n"/>
      <c r="AJ56" s="155" t="n"/>
      <c r="AK56" s="155" t="n"/>
      <c r="AL56" s="489" t="n"/>
      <c r="AM56" s="489">
        <f>IF(_epmOfflineCondition_,"",IF(W56="ZI_DUMMY","",EPMSaveData(AD56,,$D$18,$D$21,$D$22,$D$26,$D$27,$D$25,$AD$40,$AD$41,$AA$29,$AD$43,$AD$44,$AD$45,W56)))</f>
        <v/>
      </c>
      <c r="AN56" s="489">
        <f>IF(_epmOfflineCondition_,"",IF(W56="ZI_DUMMY","",EPMSaveData(AE56,,$D$18,$D$21,$D$22,$D$26,$D$27,$D$25,$AE$40,$AE$41,$AA$29,$AE$43,$AE$44,$AE$45,W56)))</f>
        <v/>
      </c>
      <c r="AO56" s="489" t="n"/>
      <c r="AP56" s="489">
        <f>IF(_epmOfflineCondition_,"",IF(W56="ZI_DUMMY","",EPMSaveData(AG56,,$D$18,$D$21,$D$22,$D$26,$D$27,$D$25,$AG$40,$AG$41,$AA$29,$AC$28,$AG$44,$AG$45,W56)))</f>
        <v/>
      </c>
      <c r="AQ56" s="489" t="n"/>
      <c r="AR56" s="489" t="n"/>
      <c r="AS56" s="489">
        <f>IF(_epmOfflineCondition_,"",IF(W56="ZI_DUMMY","",EPMSaveData(AE56*-2,,$D$18,$D$21,$D$22,$D$26,$D$27,$D$25,$AE$40,$AE$41,$AC$24,$AE$43,$AE$44,$AE$45,W56)))</f>
        <v/>
      </c>
      <c r="AT56" s="489" t="n"/>
      <c r="AU56" s="817" t="n"/>
      <c r="AV56" s="716" t="n"/>
    </row>
    <row r="57" ht="15" customFormat="1" customHeight="1" s="716">
      <c r="A57" s="716" t="n"/>
      <c r="B57" s="716" t="n"/>
      <c r="C57" s="716" t="n"/>
      <c r="D57" s="716" t="n"/>
      <c r="E57" s="716" t="n"/>
      <c r="F57" s="716" t="n"/>
      <c r="G57" s="716" t="n"/>
      <c r="H57" s="716" t="n"/>
      <c r="I57" s="716" t="n"/>
      <c r="J57" s="716" t="n"/>
      <c r="K57" s="716" t="n"/>
      <c r="L57" s="716" t="n"/>
      <c r="M57" s="716" t="n"/>
      <c r="N57" s="716" t="n"/>
      <c r="O57" s="716" t="n"/>
      <c r="P57" s="716" t="n"/>
      <c r="Q57" s="716" t="n"/>
      <c r="R57" s="716" t="n"/>
      <c r="S57" s="462">
        <f>IF(U57&lt;&gt;"",U57,"ZI_DUMMY")</f>
        <v/>
      </c>
      <c r="T57" s="716" t="n"/>
      <c r="U57" s="610">
        <f>IFERROR(VLOOKUP('枚举值 (3)'!$H$2,OFFSET('枚举值 (3)'!$A:$E,'枚举值 (3)'!$H$3,0,1),4,FALSE),"")</f>
        <v/>
      </c>
      <c r="V57" s="777" t="n"/>
      <c r="W57" s="777">
        <f>IF(_epmOfflineCondition_,"ZI_DUMMY",EPMOlapMemberO(S57,"[C_ITEM].[PARENTH1].[ZI_DUMMY]","ZI_DUMMY","","000"))</f>
        <v/>
      </c>
      <c r="X57" s="462" t="n"/>
      <c r="Y57" s="804" t="n"/>
      <c r="Z57" s="796">
        <f>ROW()-45</f>
        <v/>
      </c>
      <c r="AA57" s="799">
        <f>IF(W57="ZI_DUMMY","",VLOOKUP(W57,'枚举值 (3)'!D:E,2,0))</f>
        <v/>
      </c>
      <c r="AB57" s="800">
        <f>IF($I$11="2022.12",AI57,AU57)</f>
        <v/>
      </c>
      <c r="AC57" s="1307">
        <f>IF($I$11="2022.12",AH57,AT57)</f>
        <v/>
      </c>
      <c r="AD57" s="1310" t="n"/>
      <c r="AE57" s="1310" t="n"/>
      <c r="AF57" s="1307">
        <f>IF(AE57&gt;0,(AC57+AD57-AE57),(AC57+AD57+AE57))</f>
        <v/>
      </c>
      <c r="AG57" s="800">
        <f>IF($AF$46=0,0,AF57/$AF$46)</f>
        <v/>
      </c>
      <c r="AH57" s="1310" t="n"/>
      <c r="AI57" s="812" t="n"/>
      <c r="AJ57" s="155" t="n"/>
      <c r="AK57" s="155" t="n"/>
      <c r="AL57" s="489" t="n"/>
      <c r="AM57" s="489">
        <f>IF(_epmOfflineCondition_,"",IF(W57="ZI_DUMMY","",EPMSaveData(AD57,,$D$18,$D$21,$D$22,$D$26,$D$27,$D$25,$AD$40,$AD$41,$AA$29,$AD$43,$AD$44,$AD$45,W57)))</f>
        <v/>
      </c>
      <c r="AN57" s="489">
        <f>IF(_epmOfflineCondition_,"",IF(W57="ZI_DUMMY","",EPMSaveData(AE57,,$D$18,$D$21,$D$22,$D$26,$D$27,$D$25,$AE$40,$AE$41,$AA$29,$AE$43,$AE$44,$AE$45,W57)))</f>
        <v/>
      </c>
      <c r="AO57" s="489" t="n"/>
      <c r="AP57" s="489">
        <f>IF(_epmOfflineCondition_,"",IF(W57="ZI_DUMMY","",EPMSaveData(AG57,,$D$18,$D$21,$D$22,$D$26,$D$27,$D$25,$AG$40,$AG$41,$AA$29,$AC$28,$AG$44,$AG$45,W57)))</f>
        <v/>
      </c>
      <c r="AQ57" s="489" t="n"/>
      <c r="AR57" s="489" t="n"/>
      <c r="AS57" s="489">
        <f>IF(_epmOfflineCondition_,"",IF(W57="ZI_DUMMY","",EPMSaveData(AE57*-2,,$D$18,$D$21,$D$22,$D$26,$D$27,$D$25,$AE$40,$AE$41,$AC$24,$AE$43,$AE$44,$AE$45,W57)))</f>
        <v/>
      </c>
      <c r="AT57" s="489" t="n"/>
      <c r="AU57" s="817" t="n"/>
      <c r="AV57" s="716" t="n"/>
    </row>
    <row r="58" ht="15" customFormat="1" customHeight="1" s="716">
      <c r="A58" s="716" t="n"/>
      <c r="B58" s="716" t="n"/>
      <c r="C58" s="716" t="n"/>
      <c r="D58" s="716" t="n"/>
      <c r="E58" s="716" t="n"/>
      <c r="F58" s="716" t="n"/>
      <c r="G58" s="716" t="n"/>
      <c r="H58" s="716" t="n"/>
      <c r="I58" s="716" t="n"/>
      <c r="J58" s="716" t="n"/>
      <c r="K58" s="716" t="n"/>
      <c r="L58" s="716" t="n"/>
      <c r="M58" s="716" t="n"/>
      <c r="N58" s="716" t="n"/>
      <c r="O58" s="716" t="n"/>
      <c r="P58" s="716" t="n"/>
      <c r="Q58" s="716" t="n"/>
      <c r="R58" s="716" t="n"/>
      <c r="S58" s="462">
        <f>IF(U58&lt;&gt;"",U58,"ZI_DUMMY")</f>
        <v/>
      </c>
      <c r="T58" s="716" t="n"/>
      <c r="U58" s="610">
        <f>IFERROR(VLOOKUP('枚举值 (3)'!$H$2,OFFSET('枚举值 (3)'!$A:$E,'枚举值 (3)'!$H$3+1,0,1),4,FALSE),"")</f>
        <v/>
      </c>
      <c r="V58" s="777" t="n"/>
      <c r="W58" s="777">
        <f>IF(_epmOfflineCondition_,"ZI_DUMMY",EPMOlapMemberO(S58,"[C_ITEM].[PARENTH1].[ZI_DUMMY]","ZI_DUMMY","","000"))</f>
        <v/>
      </c>
      <c r="X58" s="462" t="n"/>
      <c r="Y58" s="804" t="n"/>
      <c r="Z58" s="796">
        <f>ROW()-45</f>
        <v/>
      </c>
      <c r="AA58" s="799">
        <f>IF(W58="ZI_DUMMY","",VLOOKUP(W58,'枚举值 (3)'!D:E,2,0))</f>
        <v/>
      </c>
      <c r="AB58" s="800">
        <f>IF($I$11="2022.12",AI58,AU58)</f>
        <v/>
      </c>
      <c r="AC58" s="1307">
        <f>IF($I$11="2022.12",AH58,AT58)</f>
        <v/>
      </c>
      <c r="AD58" s="1310" t="n"/>
      <c r="AE58" s="1310" t="n"/>
      <c r="AF58" s="1307">
        <f>IF(AE58&gt;0,(AC58+AD58-AE58),(AC58+AD58+AE58))</f>
        <v/>
      </c>
      <c r="AG58" s="800">
        <f>IF($AF$46=0,0,AF58/$AF$46)</f>
        <v/>
      </c>
      <c r="AH58" s="1310" t="n"/>
      <c r="AI58" s="812" t="n"/>
      <c r="AJ58" s="155" t="n"/>
      <c r="AK58" s="155" t="n"/>
      <c r="AL58" s="489" t="n"/>
      <c r="AM58" s="489">
        <f>IF(_epmOfflineCondition_,"",IF(W58="ZI_DUMMY","",EPMSaveData(AD58,,$D$18,$D$21,$D$22,$D$26,$D$27,$D$25,$AD$40,$AD$41,$AA$29,$AD$43,$AD$44,$AD$45,W58)))</f>
        <v/>
      </c>
      <c r="AN58" s="489">
        <f>IF(_epmOfflineCondition_,"",IF(W58="ZI_DUMMY","",EPMSaveData(AE58,,$D$18,$D$21,$D$22,$D$26,$D$27,$D$25,$AE$40,$AE$41,$AA$29,$AE$43,$AE$44,$AE$45,W58)))</f>
        <v/>
      </c>
      <c r="AO58" s="489" t="n"/>
      <c r="AP58" s="489">
        <f>IF(_epmOfflineCondition_,"",IF(W58="ZI_DUMMY","",EPMSaveData(AG58,,$D$18,$D$21,$D$22,$D$26,$D$27,$D$25,$AG$40,$AG$41,$AA$29,$AC$28,$AG$44,$AG$45,W58)))</f>
        <v/>
      </c>
      <c r="AQ58" s="489" t="n"/>
      <c r="AR58" s="489" t="n"/>
      <c r="AS58" s="489">
        <f>IF(_epmOfflineCondition_,"",IF(W58="ZI_DUMMY","",EPMSaveData(AE58*-2,,$D$18,$D$21,$D$22,$D$26,$D$27,$D$25,$AE$40,$AE$41,$AC$24,$AE$43,$AE$44,$AE$45,W58)))</f>
        <v/>
      </c>
      <c r="AT58" s="489" t="n"/>
      <c r="AU58" s="817" t="n"/>
      <c r="AV58" s="716" t="n"/>
    </row>
    <row r="59" ht="15" customFormat="1" customHeight="1" s="716">
      <c r="A59" s="716" t="n"/>
      <c r="B59" s="716" t="n"/>
      <c r="C59" s="716" t="n"/>
      <c r="D59" s="716" t="n"/>
      <c r="E59" s="716" t="n"/>
      <c r="F59" s="716" t="n"/>
      <c r="G59" s="716" t="n"/>
      <c r="H59" s="716" t="n"/>
      <c r="I59" s="716" t="n"/>
      <c r="J59" s="716" t="n"/>
      <c r="K59" s="716" t="n"/>
      <c r="L59" s="716" t="n"/>
      <c r="M59" s="716" t="n"/>
      <c r="N59" s="716" t="n"/>
      <c r="O59" s="716" t="n"/>
      <c r="P59" s="716" t="n"/>
      <c r="Q59" s="716" t="n"/>
      <c r="R59" s="716" t="n"/>
      <c r="S59" s="462">
        <f>IF(U59&lt;&gt;"",U59,"ZI_DUMMY")</f>
        <v/>
      </c>
      <c r="T59" s="716" t="n"/>
      <c r="U59" s="610">
        <f>IFERROR(VLOOKUP('枚举值 (3)'!$H$2,OFFSET('枚举值 (3)'!$A:$E,'枚举值 (3)'!$H$3+2,0,1),4,FALSE),"")</f>
        <v/>
      </c>
      <c r="V59" s="777" t="n"/>
      <c r="W59" s="777">
        <f>IF(_epmOfflineCondition_,"ZI_DUMMY",EPMOlapMemberO(S59,"[C_ITEM].[PARENTH1].[ZI_DUMMY]","ZI_DUMMY","","000"))</f>
        <v/>
      </c>
      <c r="X59" s="462" t="n"/>
      <c r="Y59" s="804" t="n"/>
      <c r="Z59" s="796">
        <f>ROW()-45</f>
        <v/>
      </c>
      <c r="AA59" s="799">
        <f>IF(W59="ZI_DUMMY","",VLOOKUP(W59,'枚举值 (3)'!D:E,2,0))</f>
        <v/>
      </c>
      <c r="AB59" s="800">
        <f>IF($I$11="2022.12",AI59,AU59)</f>
        <v/>
      </c>
      <c r="AC59" s="1307">
        <f>IF($I$11="2022.12",AH59,AT59)</f>
        <v/>
      </c>
      <c r="AD59" s="1310" t="n"/>
      <c r="AE59" s="1310" t="n"/>
      <c r="AF59" s="1307">
        <f>IF(AE59&gt;0,(AC59+AD59-AE59),(AC59+AD59+AE59))</f>
        <v/>
      </c>
      <c r="AG59" s="800">
        <f>IF($AF$46=0,0,AF59/$AF$46)</f>
        <v/>
      </c>
      <c r="AH59" s="1310" t="n"/>
      <c r="AI59" s="812" t="n"/>
      <c r="AJ59" s="155" t="n"/>
      <c r="AK59" s="155" t="n"/>
      <c r="AL59" s="489" t="n"/>
      <c r="AM59" s="489">
        <f>IF(_epmOfflineCondition_,"",IF(W59="ZI_DUMMY","",EPMSaveData(AD59,,$D$18,$D$21,$D$22,$D$26,$D$27,$D$25,$AD$40,$AD$41,$AA$29,$AD$43,$AD$44,$AD$45,W59)))</f>
        <v/>
      </c>
      <c r="AN59" s="489">
        <f>IF(_epmOfflineCondition_,"",IF(W59="ZI_DUMMY","",EPMSaveData(AE59,,$D$18,$D$21,$D$22,$D$26,$D$27,$D$25,$AE$40,$AE$41,$AA$29,$AE$43,$AE$44,$AE$45,W59)))</f>
        <v/>
      </c>
      <c r="AO59" s="489" t="n"/>
      <c r="AP59" s="489">
        <f>IF(_epmOfflineCondition_,"",IF(W59="ZI_DUMMY","",EPMSaveData(AG59,,$D$18,$D$21,$D$22,$D$26,$D$27,$D$25,$AG$40,$AG$41,$AA$29,$AC$28,$AG$44,$AG$45,W59)))</f>
        <v/>
      </c>
      <c r="AQ59" s="489" t="n"/>
      <c r="AR59" s="489" t="n"/>
      <c r="AS59" s="489">
        <f>IF(_epmOfflineCondition_,"",IF(W59="ZI_DUMMY","",EPMSaveData(AE59*-2,,$D$18,$D$21,$D$22,$D$26,$D$27,$D$25,$AE$40,$AE$41,$AC$24,$AE$43,$AE$44,$AE$45,W59)))</f>
        <v/>
      </c>
      <c r="AT59" s="489" t="n"/>
      <c r="AU59" s="817" t="n"/>
      <c r="AV59" s="716" t="n"/>
    </row>
    <row r="60" ht="15" customFormat="1" customHeight="1" s="716">
      <c r="A60" s="716" t="n"/>
      <c r="B60" s="716" t="n"/>
      <c r="C60" s="716" t="n"/>
      <c r="D60" s="716" t="n"/>
      <c r="E60" s="716" t="n"/>
      <c r="F60" s="716" t="n"/>
      <c r="G60" s="716" t="n"/>
      <c r="H60" s="716" t="n"/>
      <c r="I60" s="716" t="n"/>
      <c r="J60" s="716" t="n"/>
      <c r="K60" s="716" t="n"/>
      <c r="L60" s="716" t="n"/>
      <c r="M60" s="716" t="n"/>
      <c r="N60" s="716" t="n"/>
      <c r="O60" s="716" t="n"/>
      <c r="P60" s="716" t="n"/>
      <c r="Q60" s="716" t="n"/>
      <c r="R60" s="716" t="n"/>
      <c r="S60" s="462">
        <f>IF(U60&lt;&gt;"",U60,"ZI_DUMMY")</f>
        <v/>
      </c>
      <c r="T60" s="716" t="n"/>
      <c r="U60" s="610">
        <f>IFERROR(VLOOKUP('枚举值 (3)'!$H$2,OFFSET('枚举值 (3)'!$A:$E,'枚举值 (3)'!$H$3+3,0,1),4,FALSE),"")</f>
        <v/>
      </c>
      <c r="V60" s="777" t="n"/>
      <c r="W60" s="777">
        <f>IF(_epmOfflineCondition_,"ZI_DUMMY",EPMOlapMemberO(S60,"[C_ITEM].[PARENTH1].[ZI_DUMMY]","ZI_DUMMY","","000"))</f>
        <v/>
      </c>
      <c r="X60" s="462" t="n"/>
      <c r="Y60" s="804" t="n"/>
      <c r="Z60" s="796">
        <f>ROW()-45</f>
        <v/>
      </c>
      <c r="AA60" s="799">
        <f>IF(W60="ZI_DUMMY","",VLOOKUP(W60,'枚举值 (3)'!D:E,2,0))</f>
        <v/>
      </c>
      <c r="AB60" s="800">
        <f>IF($I$11="2022.12",AI60,AU60)</f>
        <v/>
      </c>
      <c r="AC60" s="1307">
        <f>IF($I$11="2022.12",AH60,AT60)</f>
        <v/>
      </c>
      <c r="AD60" s="1310" t="n"/>
      <c r="AE60" s="1310" t="n"/>
      <c r="AF60" s="1307">
        <f>IF(AE60&gt;0,(AC60+AD60-AE60),(AC60+AD60+AE60))</f>
        <v/>
      </c>
      <c r="AG60" s="800">
        <f>IF($AF$46=0,0,AF60/$AF$46)</f>
        <v/>
      </c>
      <c r="AH60" s="1310" t="n"/>
      <c r="AI60" s="812" t="n"/>
      <c r="AJ60" s="155" t="n"/>
      <c r="AK60" s="155" t="n"/>
      <c r="AL60" s="489" t="n"/>
      <c r="AM60" s="489">
        <f>IF(_epmOfflineCondition_,"",IF(W60="ZI_DUMMY","",EPMSaveData(AD60,,$D$18,$D$21,$D$22,$D$26,$D$27,$D$25,$AD$40,$AD$41,$AA$29,$AD$43,$AD$44,$AD$45,W60)))</f>
        <v/>
      </c>
      <c r="AN60" s="489">
        <f>IF(_epmOfflineCondition_,"",IF(W60="ZI_DUMMY","",EPMSaveData(AE60,,$D$18,$D$21,$D$22,$D$26,$D$27,$D$25,$AE$40,$AE$41,$AA$29,$AE$43,$AE$44,$AE$45,W60)))</f>
        <v/>
      </c>
      <c r="AO60" s="489" t="n"/>
      <c r="AP60" s="489">
        <f>IF(_epmOfflineCondition_,"",IF(W60="ZI_DUMMY","",EPMSaveData(AG60,,$D$18,$D$21,$D$22,$D$26,$D$27,$D$25,$AG$40,$AG$41,$AA$29,$AC$28,$AG$44,$AG$45,W60)))</f>
        <v/>
      </c>
      <c r="AQ60" s="489" t="n"/>
      <c r="AR60" s="489" t="n"/>
      <c r="AS60" s="489">
        <f>IF(_epmOfflineCondition_,"",IF(W60="ZI_DUMMY","",EPMSaveData(AE60*-2,,$D$18,$D$21,$D$22,$D$26,$D$27,$D$25,$AE$40,$AE$41,$AC$24,$AE$43,$AE$44,$AE$45,W60)))</f>
        <v/>
      </c>
      <c r="AT60" s="489" t="n"/>
      <c r="AU60" s="817" t="n"/>
      <c r="AV60" s="716" t="n"/>
    </row>
    <row r="61" ht="15" customFormat="1" customHeight="1" s="716">
      <c r="A61" s="716" t="n"/>
      <c r="B61" s="716" t="n"/>
      <c r="C61" s="716" t="n"/>
      <c r="D61" s="716" t="n"/>
      <c r="E61" s="716" t="n"/>
      <c r="F61" s="716" t="n"/>
      <c r="G61" s="716" t="n"/>
      <c r="H61" s="716" t="n"/>
      <c r="I61" s="716" t="n"/>
      <c r="J61" s="716" t="n"/>
      <c r="K61" s="716" t="n"/>
      <c r="L61" s="716" t="n"/>
      <c r="M61" s="716" t="n"/>
      <c r="N61" s="716" t="n"/>
      <c r="O61" s="716" t="n"/>
      <c r="P61" s="716" t="n"/>
      <c r="Q61" s="716" t="n"/>
      <c r="R61" s="716" t="n"/>
      <c r="S61" s="462">
        <f>IF(U61&lt;&gt;"",U61,"ZI_DUMMY")</f>
        <v/>
      </c>
      <c r="T61" s="716" t="n"/>
      <c r="U61" s="610">
        <f>IFERROR(VLOOKUP('枚举值 (3)'!$H$2,OFFSET('枚举值 (3)'!$A:$E,'枚举值 (3)'!$H$3+4,0,1),4,FALSE),"")</f>
        <v/>
      </c>
      <c r="V61" s="777" t="n"/>
      <c r="W61" s="777">
        <f>IF(_epmOfflineCondition_,"ZI_DUMMY",EPMOlapMemberO(S61,"[C_ITEM].[PARENTH1].[ZI_DUMMY]","ZI_DUMMY","","000"))</f>
        <v/>
      </c>
      <c r="X61" s="462" t="n"/>
      <c r="Y61" s="804" t="n"/>
      <c r="Z61" s="796">
        <f>ROW()-45</f>
        <v/>
      </c>
      <c r="AA61" s="799">
        <f>IF(W61="ZI_DUMMY","",VLOOKUP(W61,'枚举值 (3)'!D:E,2,0))</f>
        <v/>
      </c>
      <c r="AB61" s="800">
        <f>IF($I$11="2022.12",AI61,AU61)</f>
        <v/>
      </c>
      <c r="AC61" s="1307">
        <f>IF($I$11="2022.12",AH61,AT61)</f>
        <v/>
      </c>
      <c r="AD61" s="1310" t="n"/>
      <c r="AE61" s="1310" t="n"/>
      <c r="AF61" s="1307">
        <f>IF(AE61&gt;0,(AC61+AD61-AE61),(AC61+AD61+AE61))</f>
        <v/>
      </c>
      <c r="AG61" s="800">
        <f>IF($AF$46=0,0,AF61/$AF$46)</f>
        <v/>
      </c>
      <c r="AH61" s="1310" t="n"/>
      <c r="AI61" s="812" t="n"/>
      <c r="AJ61" s="155" t="n"/>
      <c r="AK61" s="155" t="n"/>
      <c r="AL61" s="489" t="n"/>
      <c r="AM61" s="489">
        <f>IF(_epmOfflineCondition_,"",IF(W61="ZI_DUMMY","",EPMSaveData(AD61,,$D$18,$D$21,$D$22,$D$26,$D$27,$D$25,$AD$40,$AD$41,$AA$29,$AD$43,$AD$44,$AD$45,W61)))</f>
        <v/>
      </c>
      <c r="AN61" s="489">
        <f>IF(_epmOfflineCondition_,"",IF(W61="ZI_DUMMY","",EPMSaveData(AE61,,$D$18,$D$21,$D$22,$D$26,$D$27,$D$25,$AE$40,$AE$41,$AA$29,$AE$43,$AE$44,$AE$45,W61)))</f>
        <v/>
      </c>
      <c r="AO61" s="489" t="n"/>
      <c r="AP61" s="489">
        <f>IF(_epmOfflineCondition_,"",IF(W61="ZI_DUMMY","",EPMSaveData(AG61,,$D$18,$D$21,$D$22,$D$26,$D$27,$D$25,$AG$40,$AG$41,$AA$29,$AC$28,$AG$44,$AG$45,W61)))</f>
        <v/>
      </c>
      <c r="AQ61" s="489" t="n"/>
      <c r="AR61" s="489" t="n"/>
      <c r="AS61" s="489">
        <f>IF(_epmOfflineCondition_,"",IF(W61="ZI_DUMMY","",EPMSaveData(AE61*-2,,$D$18,$D$21,$D$22,$D$26,$D$27,$D$25,$AE$40,$AE$41,$AC$24,$AE$43,$AE$44,$AE$45,W61)))</f>
        <v/>
      </c>
      <c r="AT61" s="489" t="n"/>
      <c r="AU61" s="817" t="n"/>
      <c r="AV61" s="716" t="n"/>
    </row>
    <row r="62" ht="15" customFormat="1" customHeight="1" s="716">
      <c r="A62" s="716" t="n"/>
      <c r="B62" s="716" t="n"/>
      <c r="C62" s="716" t="n"/>
      <c r="D62" s="716" t="n"/>
      <c r="E62" s="716" t="n"/>
      <c r="F62" s="716" t="n"/>
      <c r="G62" s="716" t="n"/>
      <c r="H62" s="716" t="n"/>
      <c r="I62" s="716" t="n"/>
      <c r="J62" s="716" t="n"/>
      <c r="K62" s="716" t="n"/>
      <c r="L62" s="716" t="n"/>
      <c r="M62" s="716" t="n"/>
      <c r="N62" s="716" t="n"/>
      <c r="O62" s="716" t="n"/>
      <c r="P62" s="716" t="n"/>
      <c r="Q62" s="716" t="n"/>
      <c r="R62" s="716" t="n"/>
      <c r="S62" s="462">
        <f>IF(U62&lt;&gt;"",U62,"ZI_DUMMY")</f>
        <v/>
      </c>
      <c r="T62" s="716" t="n"/>
      <c r="U62" s="610">
        <f>IFERROR(VLOOKUP('枚举值 (3)'!$H$2,OFFSET('枚举值 (3)'!$A:$E,'枚举值 (3)'!$H$3+5,0,1),4,FALSE),"")</f>
        <v/>
      </c>
      <c r="V62" s="777" t="n"/>
      <c r="W62" s="777">
        <f>IF(_epmOfflineCondition_,"ZI_DUMMY",EPMOlapMemberO(S62,"[C_ITEM].[PARENTH1].[ZI_DUMMY]","ZI_DUMMY","","000"))</f>
        <v/>
      </c>
      <c r="X62" s="462" t="n"/>
      <c r="Y62" s="804" t="n"/>
      <c r="Z62" s="796">
        <f>ROW()-45</f>
        <v/>
      </c>
      <c r="AA62" s="799">
        <f>IF(W62="ZI_DUMMY","",VLOOKUP(W62,'枚举值 (3)'!D:E,2,0))</f>
        <v/>
      </c>
      <c r="AB62" s="800">
        <f>IF($I$11="2022.12",AI62,AU62)</f>
        <v/>
      </c>
      <c r="AC62" s="1307">
        <f>IF($I$11="2022.12",AH62,AT62)</f>
        <v/>
      </c>
      <c r="AD62" s="1310" t="n"/>
      <c r="AE62" s="1310" t="n"/>
      <c r="AF62" s="1307">
        <f>IF(AE62&gt;0,(AC62+AD62-AE62),(AC62+AD62+AE62))</f>
        <v/>
      </c>
      <c r="AG62" s="800">
        <f>IF($AF$46=0,0,AF62/$AF$46)</f>
        <v/>
      </c>
      <c r="AH62" s="1310" t="n"/>
      <c r="AI62" s="812" t="n"/>
      <c r="AJ62" s="155" t="n"/>
      <c r="AK62" s="155" t="n"/>
      <c r="AL62" s="489" t="n"/>
      <c r="AM62" s="489">
        <f>IF(_epmOfflineCondition_,"",IF(W62="ZI_DUMMY","",EPMSaveData(AD62,,$D$18,$D$21,$D$22,$D$26,$D$27,$D$25,$AD$40,$AD$41,$AA$29,$AD$43,$AD$44,$AD$45,W62)))</f>
        <v/>
      </c>
      <c r="AN62" s="489">
        <f>IF(_epmOfflineCondition_,"",IF(W62="ZI_DUMMY","",EPMSaveData(AE62,,$D$18,$D$21,$D$22,$D$26,$D$27,$D$25,$AE$40,$AE$41,$AA$29,$AE$43,$AE$44,$AE$45,W62)))</f>
        <v/>
      </c>
      <c r="AO62" s="489" t="n"/>
      <c r="AP62" s="489">
        <f>IF(_epmOfflineCondition_,"",IF(W62="ZI_DUMMY","",EPMSaveData(AG62,,$D$18,$D$21,$D$22,$D$26,$D$27,$D$25,$AG$40,$AG$41,$AA$29,$AC$28,$AG$44,$AG$45,W62)))</f>
        <v/>
      </c>
      <c r="AQ62" s="489" t="n"/>
      <c r="AR62" s="489" t="n"/>
      <c r="AS62" s="489">
        <f>IF(_epmOfflineCondition_,"",IF(W62="ZI_DUMMY","",EPMSaveData(AE62*-2,,$D$18,$D$21,$D$22,$D$26,$D$27,$D$25,$AE$40,$AE$41,$AC$24,$AE$43,$AE$44,$AE$45,W62)))</f>
        <v/>
      </c>
      <c r="AT62" s="489" t="n"/>
      <c r="AU62" s="817" t="n"/>
      <c r="AV62" s="716" t="n"/>
    </row>
    <row r="63" ht="15" customFormat="1" customHeight="1" s="716">
      <c r="A63" s="716" t="n"/>
      <c r="B63" s="716" t="n"/>
      <c r="C63" s="716" t="n"/>
      <c r="D63" s="716" t="n"/>
      <c r="E63" s="716" t="n"/>
      <c r="F63" s="716" t="n"/>
      <c r="G63" s="716" t="n"/>
      <c r="H63" s="716" t="n"/>
      <c r="I63" s="716" t="n"/>
      <c r="J63" s="716" t="n"/>
      <c r="K63" s="716" t="n"/>
      <c r="L63" s="716" t="n"/>
      <c r="M63" s="716" t="n"/>
      <c r="N63" s="716" t="n"/>
      <c r="O63" s="716" t="n"/>
      <c r="P63" s="716" t="n"/>
      <c r="Q63" s="716" t="n"/>
      <c r="R63" s="716" t="n"/>
      <c r="S63" s="462">
        <f>IF(U63&lt;&gt;"",U63,"ZI_DUMMY")</f>
        <v/>
      </c>
      <c r="T63" s="716" t="n"/>
      <c r="U63" s="610">
        <f>IFERROR(VLOOKUP('枚举值 (3)'!$H$2,OFFSET('枚举值 (3)'!$A:$E,'枚举值 (3)'!$H$3+6,0,1),4,FALSE),"")</f>
        <v/>
      </c>
      <c r="V63" s="777" t="n"/>
      <c r="W63" s="777">
        <f>IF(_epmOfflineCondition_,"ZI_DUMMY",EPMOlapMemberO(S63,"[C_ITEM].[PARENTH1].[ZI_DUMMY]","ZI_DUMMY","","000"))</f>
        <v/>
      </c>
      <c r="X63" s="462" t="n"/>
      <c r="Y63" s="804" t="n"/>
      <c r="Z63" s="796">
        <f>ROW()-45</f>
        <v/>
      </c>
      <c r="AA63" s="799">
        <f>IF(W63="ZI_DUMMY","",VLOOKUP(W63,'枚举值 (3)'!D:E,2,0))</f>
        <v/>
      </c>
      <c r="AB63" s="800">
        <f>IF($I$11="2022.12",AI63,AU63)</f>
        <v/>
      </c>
      <c r="AC63" s="1307">
        <f>IF($I$11="2022.12",AH63,AT63)</f>
        <v/>
      </c>
      <c r="AD63" s="1310" t="n"/>
      <c r="AE63" s="1310" t="n"/>
      <c r="AF63" s="1307">
        <f>IF(AE63&gt;0,(AC63+AD63-AE63),(AC63+AD63+AE63))</f>
        <v/>
      </c>
      <c r="AG63" s="800">
        <f>IF($AF$46=0,0,AF63/$AF$46)</f>
        <v/>
      </c>
      <c r="AH63" s="1310" t="n"/>
      <c r="AI63" s="812" t="n"/>
      <c r="AJ63" s="155" t="n"/>
      <c r="AK63" s="155" t="n"/>
      <c r="AL63" s="489" t="n"/>
      <c r="AM63" s="489">
        <f>IF(_epmOfflineCondition_,"",IF(W63="ZI_DUMMY","",EPMSaveData(AD63,,$D$18,$D$21,$D$22,$D$26,$D$27,$D$25,$AD$40,$AD$41,$AA$29,$AD$43,$AD$44,$AD$45,W63)))</f>
        <v/>
      </c>
      <c r="AN63" s="489">
        <f>IF(_epmOfflineCondition_,"",IF(W63="ZI_DUMMY","",EPMSaveData(AE63,,$D$18,$D$21,$D$22,$D$26,$D$27,$D$25,$AE$40,$AE$41,$AA$29,$AE$43,$AE$44,$AE$45,W63)))</f>
        <v/>
      </c>
      <c r="AO63" s="489" t="n"/>
      <c r="AP63" s="489">
        <f>IF(_epmOfflineCondition_,"",IF(W63="ZI_DUMMY","",EPMSaveData(AG63,,$D$18,$D$21,$D$22,$D$26,$D$27,$D$25,$AG$40,$AG$41,$AA$29,$AC$28,$AG$44,$AG$45,W63)))</f>
        <v/>
      </c>
      <c r="AQ63" s="489" t="n"/>
      <c r="AR63" s="489" t="n"/>
      <c r="AS63" s="489">
        <f>IF(_epmOfflineCondition_,"",IF(W63="ZI_DUMMY","",EPMSaveData(AE63*-2,,$D$18,$D$21,$D$22,$D$26,$D$27,$D$25,$AE$40,$AE$41,$AC$24,$AE$43,$AE$44,$AE$45,W63)))</f>
        <v/>
      </c>
      <c r="AT63" s="489" t="n"/>
      <c r="AU63" s="817" t="n"/>
      <c r="AV63" s="716" t="n"/>
    </row>
    <row r="64" ht="15" customFormat="1" customHeight="1" s="716">
      <c r="A64" s="716" t="n"/>
      <c r="B64" s="716" t="n"/>
      <c r="C64" s="716" t="n"/>
      <c r="D64" s="716" t="n"/>
      <c r="E64" s="716" t="n"/>
      <c r="F64" s="716" t="n"/>
      <c r="G64" s="716" t="n"/>
      <c r="H64" s="716" t="n"/>
      <c r="I64" s="716" t="n"/>
      <c r="J64" s="716" t="n"/>
      <c r="K64" s="716" t="n"/>
      <c r="L64" s="716" t="n"/>
      <c r="M64" s="716" t="n"/>
      <c r="N64" s="716" t="n"/>
      <c r="O64" s="716" t="n"/>
      <c r="P64" s="716" t="n"/>
      <c r="Q64" s="716" t="n"/>
      <c r="R64" s="716" t="n"/>
      <c r="S64" s="462">
        <f>IF(U64&lt;&gt;"",U64,"ZI_DUMMY")</f>
        <v/>
      </c>
      <c r="T64" s="716" t="n"/>
      <c r="U64" s="610">
        <f>IFERROR(VLOOKUP('枚举值 (3)'!$H$2,OFFSET('枚举值 (3)'!$A:$E,'枚举值 (3)'!$H$3+7,0,1),4,FALSE),"")</f>
        <v/>
      </c>
      <c r="V64" s="777" t="n"/>
      <c r="W64" s="777">
        <f>IF(_epmOfflineCondition_,"ZI_DUMMY",EPMOlapMemberO(S64,"[C_ITEM].[PARENTH1].[ZI_DUMMY]","ZI_DUMMY","","000"))</f>
        <v/>
      </c>
      <c r="X64" s="462" t="n"/>
      <c r="Y64" s="804" t="n"/>
      <c r="Z64" s="796">
        <f>ROW()-45</f>
        <v/>
      </c>
      <c r="AA64" s="799">
        <f>IF(W64="ZI_DUMMY","",VLOOKUP(W64,'枚举值 (3)'!D:E,2,0))</f>
        <v/>
      </c>
      <c r="AB64" s="800">
        <f>IF($I$11="2022.12",AI64,AU64)</f>
        <v/>
      </c>
      <c r="AC64" s="1307">
        <f>IF($I$11="2022.12",AH64,AT64)</f>
        <v/>
      </c>
      <c r="AD64" s="1310" t="n"/>
      <c r="AE64" s="1310" t="n"/>
      <c r="AF64" s="1307">
        <f>IF(AE64&gt;0,(AC64+AD64-AE64),(AC64+AD64+AE64))</f>
        <v/>
      </c>
      <c r="AG64" s="800">
        <f>IF($AF$46=0,0,AF64/$AF$46)</f>
        <v/>
      </c>
      <c r="AH64" s="1310" t="n"/>
      <c r="AI64" s="812" t="n"/>
      <c r="AJ64" s="155" t="n"/>
      <c r="AK64" s="155" t="n"/>
      <c r="AL64" s="489" t="n"/>
      <c r="AM64" s="489">
        <f>IF(_epmOfflineCondition_,"",IF(W64="ZI_DUMMY","",EPMSaveData(AD64,,$D$18,$D$21,$D$22,$D$26,$D$27,$D$25,$AD$40,$AD$41,$AA$29,$AD$43,$AD$44,$AD$45,W64)))</f>
        <v/>
      </c>
      <c r="AN64" s="489">
        <f>IF(_epmOfflineCondition_,"",IF(W64="ZI_DUMMY","",EPMSaveData(AE64,,$D$18,$D$21,$D$22,$D$26,$D$27,$D$25,$AE$40,$AE$41,$AA$29,$AE$43,$AE$44,$AE$45,W64)))</f>
        <v/>
      </c>
      <c r="AO64" s="489" t="n"/>
      <c r="AP64" s="489">
        <f>IF(_epmOfflineCondition_,"",IF(W64="ZI_DUMMY","",EPMSaveData(AG64,,$D$18,$D$21,$D$22,$D$26,$D$27,$D$25,$AG$40,$AG$41,$AA$29,$AC$28,$AG$44,$AG$45,W64)))</f>
        <v/>
      </c>
      <c r="AQ64" s="489" t="n"/>
      <c r="AR64" s="489" t="n"/>
      <c r="AS64" s="489">
        <f>IF(_epmOfflineCondition_,"",IF(W64="ZI_DUMMY","",EPMSaveData(AE64*-2,,$D$18,$D$21,$D$22,$D$26,$D$27,$D$25,$AE$40,$AE$41,$AC$24,$AE$43,$AE$44,$AE$45,W64)))</f>
        <v/>
      </c>
      <c r="AT64" s="489" t="n"/>
      <c r="AU64" s="817" t="n"/>
      <c r="AV64" s="716" t="n"/>
    </row>
    <row r="65" ht="15" customFormat="1" customHeight="1" s="716">
      <c r="A65" s="716" t="n"/>
      <c r="B65" s="716" t="n"/>
      <c r="C65" s="716" t="n"/>
      <c r="D65" s="716" t="n"/>
      <c r="E65" s="716" t="n"/>
      <c r="F65" s="716" t="n"/>
      <c r="G65" s="716" t="n"/>
      <c r="H65" s="716" t="n"/>
      <c r="I65" s="716" t="n"/>
      <c r="J65" s="716" t="n"/>
      <c r="K65" s="716" t="n"/>
      <c r="L65" s="716" t="n"/>
      <c r="M65" s="716" t="n"/>
      <c r="N65" s="716" t="n"/>
      <c r="O65" s="716" t="n"/>
      <c r="P65" s="716" t="n"/>
      <c r="Q65" s="716" t="n"/>
      <c r="R65" s="716" t="n"/>
      <c r="S65" s="462">
        <f>IF(U65&lt;&gt;"",U65,"ZI_DUMMY")</f>
        <v/>
      </c>
      <c r="T65" s="716" t="n"/>
      <c r="U65" s="610">
        <f>IFERROR(VLOOKUP('枚举值 (3)'!$H$2,OFFSET('枚举值 (3)'!$A:$E,'枚举值 (3)'!$H$3+8,0,1),4,FALSE),"")</f>
        <v/>
      </c>
      <c r="V65" s="777" t="n"/>
      <c r="W65" s="777">
        <f>IF(_epmOfflineCondition_,"ZI_DUMMY",EPMOlapMemberO(S65,"[C_ITEM].[PARENTH1].[ZI_DUMMY]","ZI_DUMMY","","000"))</f>
        <v/>
      </c>
      <c r="X65" s="462" t="n"/>
      <c r="Y65" s="804" t="n"/>
      <c r="Z65" s="796">
        <f>ROW()-45</f>
        <v/>
      </c>
      <c r="AA65" s="799">
        <f>IF(W65="ZI_DUMMY","",VLOOKUP(W65,'枚举值 (3)'!D:E,2,0))</f>
        <v/>
      </c>
      <c r="AB65" s="800">
        <f>IF($I$11="2022.12",AI65,AU65)</f>
        <v/>
      </c>
      <c r="AC65" s="1307">
        <f>IF($I$11="2022.12",AH65,AT65)</f>
        <v/>
      </c>
      <c r="AD65" s="1310" t="n"/>
      <c r="AE65" s="1310" t="n"/>
      <c r="AF65" s="1307">
        <f>IF(AE65&gt;0,(AC65+AD65-AE65),(AC65+AD65+AE65))</f>
        <v/>
      </c>
      <c r="AG65" s="800">
        <f>IF($AF$46=0,0,AF65/$AF$46)</f>
        <v/>
      </c>
      <c r="AH65" s="1310" t="n"/>
      <c r="AI65" s="812" t="n"/>
      <c r="AJ65" s="155" t="n"/>
      <c r="AK65" s="155" t="n"/>
      <c r="AL65" s="489" t="n"/>
      <c r="AM65" s="489">
        <f>IF(_epmOfflineCondition_,"",IF(W65="ZI_DUMMY","",EPMSaveData(AD65,,$D$18,$D$21,$D$22,$D$26,$D$27,$D$25,$AD$40,$AD$41,$AA$29,$AD$43,$AD$44,$AD$45,W65)))</f>
        <v/>
      </c>
      <c r="AN65" s="489">
        <f>IF(_epmOfflineCondition_,"",IF(W65="ZI_DUMMY","",EPMSaveData(AE65,,$D$18,$D$21,$D$22,$D$26,$D$27,$D$25,$AE$40,$AE$41,$AA$29,$AE$43,$AE$44,$AE$45,W65)))</f>
        <v/>
      </c>
      <c r="AO65" s="489" t="n"/>
      <c r="AP65" s="489">
        <f>IF(_epmOfflineCondition_,"",IF(W65="ZI_DUMMY","",EPMSaveData(AG65,,$D$18,$D$21,$D$22,$D$26,$D$27,$D$25,$AG$40,$AG$41,$AA$29,$AC$28,$AG$44,$AG$45,W65)))</f>
        <v/>
      </c>
      <c r="AQ65" s="489" t="n"/>
      <c r="AR65" s="489" t="n"/>
      <c r="AS65" s="489">
        <f>IF(_epmOfflineCondition_,"",IF(W65="ZI_DUMMY","",EPMSaveData(AE65*-2,,$D$18,$D$21,$D$22,$D$26,$D$27,$D$25,$AE$40,$AE$41,$AC$24,$AE$43,$AE$44,$AE$45,W65)))</f>
        <v/>
      </c>
      <c r="AT65" s="489" t="n"/>
      <c r="AU65" s="817" t="n"/>
      <c r="AV65" s="716" t="n"/>
    </row>
    <row r="66" ht="15" customFormat="1" customHeight="1" s="716">
      <c r="A66" s="716" t="n"/>
      <c r="B66" s="716" t="n"/>
      <c r="C66" s="716" t="n"/>
      <c r="D66" s="716" t="n"/>
      <c r="E66" s="716" t="n"/>
      <c r="F66" s="716" t="n"/>
      <c r="G66" s="716" t="n"/>
      <c r="H66" s="716" t="n"/>
      <c r="I66" s="716" t="n"/>
      <c r="J66" s="716" t="n"/>
      <c r="K66" s="716" t="n"/>
      <c r="L66" s="716" t="n"/>
      <c r="M66" s="716" t="n"/>
      <c r="N66" s="716" t="n"/>
      <c r="O66" s="716" t="n"/>
      <c r="P66" s="716" t="n"/>
      <c r="Q66" s="716" t="n"/>
      <c r="R66" s="716" t="n"/>
      <c r="S66" s="462">
        <f>IF(U66&lt;&gt;"",U66,"ZI_DUMMY")</f>
        <v/>
      </c>
      <c r="T66" s="716" t="n"/>
      <c r="U66" s="610">
        <f>IFERROR(VLOOKUP('枚举值 (3)'!$H$2,OFFSET('枚举值 (3)'!$A:$E,'枚举值 (3)'!$H$3+9,0,1),4,FALSE),"")</f>
        <v/>
      </c>
      <c r="V66" s="777" t="n"/>
      <c r="W66" s="777">
        <f>IF(_epmOfflineCondition_,"ZI_DUMMY",EPMOlapMemberO(S66,"[C_ITEM].[PARENTH1].[ZI_DUMMY]","ZI_DUMMY","","000"))</f>
        <v/>
      </c>
      <c r="X66" s="462" t="n"/>
      <c r="Y66" s="804" t="n"/>
      <c r="Z66" s="796">
        <f>ROW()-45</f>
        <v/>
      </c>
      <c r="AA66" s="799">
        <f>IF(W66="ZI_DUMMY","",VLOOKUP(W66,'枚举值 (3)'!D:E,2,0))</f>
        <v/>
      </c>
      <c r="AB66" s="800">
        <f>IF($I$11="2022.12",AI66,AU66)</f>
        <v/>
      </c>
      <c r="AC66" s="1307">
        <f>IF($I$11="2022.12",AH66,AT66)</f>
        <v/>
      </c>
      <c r="AD66" s="1310" t="n"/>
      <c r="AE66" s="1310" t="n"/>
      <c r="AF66" s="1307">
        <f>IF(AE66&gt;0,(AC66+AD66-AE66),(AC66+AD66+AE66))</f>
        <v/>
      </c>
      <c r="AG66" s="800">
        <f>IF($AF$46=0,0,AF66/$AF$46)</f>
        <v/>
      </c>
      <c r="AH66" s="1310" t="n"/>
      <c r="AI66" s="812" t="n"/>
      <c r="AJ66" s="155" t="n"/>
      <c r="AK66" s="155" t="n"/>
      <c r="AL66" s="489" t="n"/>
      <c r="AM66" s="489">
        <f>IF(_epmOfflineCondition_,"",IF(W66="ZI_DUMMY","",EPMSaveData(AD66,,$D$18,$D$21,$D$22,$D$26,$D$27,$D$25,$AD$40,$AD$41,$AA$29,$AD$43,$AD$44,$AD$45,W66)))</f>
        <v/>
      </c>
      <c r="AN66" s="489">
        <f>IF(_epmOfflineCondition_,"",IF(W66="ZI_DUMMY","",EPMSaveData(AE66,,$D$18,$D$21,$D$22,$D$26,$D$27,$D$25,$AE$40,$AE$41,$AA$29,$AE$43,$AE$44,$AE$45,W66)))</f>
        <v/>
      </c>
      <c r="AO66" s="489" t="n"/>
      <c r="AP66" s="489">
        <f>IF(_epmOfflineCondition_,"",IF(W66="ZI_DUMMY","",EPMSaveData(AG66,,$D$18,$D$21,$D$22,$D$26,$D$27,$D$25,$AG$40,$AG$41,$AA$29,$AC$28,$AG$44,$AG$45,W66)))</f>
        <v/>
      </c>
      <c r="AQ66" s="489" t="n"/>
      <c r="AR66" s="489" t="n"/>
      <c r="AS66" s="489">
        <f>IF(_epmOfflineCondition_,"",IF(W66="ZI_DUMMY","",EPMSaveData(AE66*-2,,$D$18,$D$21,$D$22,$D$26,$D$27,$D$25,$AE$40,$AE$41,$AC$24,$AE$43,$AE$44,$AE$45,W66)))</f>
        <v/>
      </c>
      <c r="AT66" s="489" t="n"/>
      <c r="AU66" s="817" t="n"/>
      <c r="AV66" s="716" t="n"/>
    </row>
    <row r="67" ht="15" customFormat="1" customHeight="1" s="716">
      <c r="A67" s="716" t="n"/>
      <c r="B67" s="716" t="n"/>
      <c r="C67" s="716" t="n"/>
      <c r="D67" s="716" t="n"/>
      <c r="E67" s="716" t="n"/>
      <c r="F67" s="716" t="n"/>
      <c r="G67" s="716" t="n"/>
      <c r="H67" s="716" t="n"/>
      <c r="I67" s="716" t="n"/>
      <c r="J67" s="716" t="n"/>
      <c r="K67" s="716" t="n"/>
      <c r="L67" s="716" t="n"/>
      <c r="M67" s="716" t="n"/>
      <c r="N67" s="716" t="n"/>
      <c r="O67" s="716" t="n"/>
      <c r="P67" s="716" t="n"/>
      <c r="Q67" s="716" t="n"/>
      <c r="R67" s="716" t="n"/>
      <c r="S67" s="462">
        <f>IF(U67&lt;&gt;"",U67,"ZI_DUMMY")</f>
        <v/>
      </c>
      <c r="T67" s="716" t="n"/>
      <c r="U67" s="610">
        <f>IFERROR(VLOOKUP('枚举值 (3)'!$H$2,OFFSET('枚举值 (3)'!$A:$E,'枚举值 (3)'!$H$3+10,0,1),4,FALSE),"")</f>
        <v/>
      </c>
      <c r="V67" s="777" t="n"/>
      <c r="W67" s="777">
        <f>IF(_epmOfflineCondition_,"ZI_DUMMY",EPMOlapMemberO(S67,"[C_ITEM].[PARENTH1].[ZI_DUMMY]","ZI_DUMMY","","000"))</f>
        <v/>
      </c>
      <c r="X67" s="462" t="n"/>
      <c r="Y67" s="804" t="n"/>
      <c r="Z67" s="796">
        <f>ROW()-45</f>
        <v/>
      </c>
      <c r="AA67" s="799">
        <f>IF(W67="ZI_DUMMY","",VLOOKUP(W67,'枚举值 (3)'!D:E,2,0))</f>
        <v/>
      </c>
      <c r="AB67" s="800">
        <f>IF($I$11="2022.12",AI67,AU67)</f>
        <v/>
      </c>
      <c r="AC67" s="1307">
        <f>IF($I$11="2022.12",AH67,AT67)</f>
        <v/>
      </c>
      <c r="AD67" s="1310" t="n"/>
      <c r="AE67" s="1310" t="n"/>
      <c r="AF67" s="1307">
        <f>IF(AE67&gt;0,(AC67+AD67-AE67),(AC67+AD67+AE67))</f>
        <v/>
      </c>
      <c r="AG67" s="800">
        <f>IF($AF$46=0,0,AF67/$AF$46)</f>
        <v/>
      </c>
      <c r="AH67" s="1310" t="n"/>
      <c r="AI67" s="812" t="n"/>
      <c r="AJ67" s="155" t="n"/>
      <c r="AK67" s="155" t="n"/>
      <c r="AL67" s="489" t="n"/>
      <c r="AM67" s="489">
        <f>IF(_epmOfflineCondition_,"",IF(W67="ZI_DUMMY","",EPMSaveData(AD67,,$D$18,$D$21,$D$22,$D$26,$D$27,$D$25,$AD$40,$AD$41,$AA$29,$AD$43,$AD$44,$AD$45,W67)))</f>
        <v/>
      </c>
      <c r="AN67" s="489">
        <f>IF(_epmOfflineCondition_,"",IF(W67="ZI_DUMMY","",EPMSaveData(AE67,,$D$18,$D$21,$D$22,$D$26,$D$27,$D$25,$AE$40,$AE$41,$AA$29,$AE$43,$AE$44,$AE$45,W67)))</f>
        <v/>
      </c>
      <c r="AO67" s="489" t="n"/>
      <c r="AP67" s="489">
        <f>IF(_epmOfflineCondition_,"",IF(W67="ZI_DUMMY","",EPMSaveData(AG67,,$D$18,$D$21,$D$22,$D$26,$D$27,$D$25,$AG$40,$AG$41,$AA$29,$AC$28,$AG$44,$AG$45,W67)))</f>
        <v/>
      </c>
      <c r="AQ67" s="489" t="n"/>
      <c r="AR67" s="489" t="n"/>
      <c r="AS67" s="489">
        <f>IF(_epmOfflineCondition_,"",IF(W67="ZI_DUMMY","",EPMSaveData(AE67*-2,,$D$18,$D$21,$D$22,$D$26,$D$27,$D$25,$AE$40,$AE$41,$AC$24,$AE$43,$AE$44,$AE$45,W67)))</f>
        <v/>
      </c>
      <c r="AT67" s="489" t="n"/>
      <c r="AU67" s="817" t="n"/>
      <c r="AV67" s="716" t="n"/>
    </row>
    <row r="68" ht="15" customFormat="1" customHeight="1" s="716">
      <c r="A68" s="716" t="n"/>
      <c r="B68" s="716" t="n"/>
      <c r="C68" s="716" t="n"/>
      <c r="D68" s="716" t="n"/>
      <c r="E68" s="716" t="n"/>
      <c r="F68" s="716" t="n"/>
      <c r="G68" s="716" t="n"/>
      <c r="H68" s="716" t="n"/>
      <c r="I68" s="716" t="n"/>
      <c r="J68" s="716" t="n"/>
      <c r="K68" s="716" t="n"/>
      <c r="L68" s="716" t="n"/>
      <c r="M68" s="716" t="n"/>
      <c r="N68" s="716" t="n"/>
      <c r="O68" s="716" t="n"/>
      <c r="P68" s="716" t="n"/>
      <c r="Q68" s="716" t="n"/>
      <c r="R68" s="716" t="n"/>
      <c r="S68" s="462">
        <f>IF(U68&lt;&gt;"",U68,"ZI_DUMMY")</f>
        <v/>
      </c>
      <c r="T68" s="716" t="n"/>
      <c r="U68" s="610">
        <f>IFERROR(VLOOKUP('枚举值 (3)'!$H$2,OFFSET('枚举值 (3)'!$A:$E,'枚举值 (3)'!$H$3+11,0,1),4,FALSE),"")</f>
        <v/>
      </c>
      <c r="V68" s="777" t="n"/>
      <c r="W68" s="777">
        <f>IF(_epmOfflineCondition_,"ZI_DUMMY",EPMOlapMemberO(S68,"[C_ITEM].[PARENTH1].[ZI_DUMMY]","ZI_DUMMY","","000"))</f>
        <v/>
      </c>
      <c r="X68" s="462" t="n"/>
      <c r="Y68" s="804" t="n"/>
      <c r="Z68" s="796">
        <f>ROW()-45</f>
        <v/>
      </c>
      <c r="AA68" s="799">
        <f>IF(W68="ZI_DUMMY","",VLOOKUP(W68,'枚举值 (3)'!D:E,2,0))</f>
        <v/>
      </c>
      <c r="AB68" s="800">
        <f>IF($I$11="2022.12",AI68,AU68)</f>
        <v/>
      </c>
      <c r="AC68" s="1307">
        <f>IF($I$11="2022.12",AH68,AT68)</f>
        <v/>
      </c>
      <c r="AD68" s="1310" t="n"/>
      <c r="AE68" s="1310" t="n"/>
      <c r="AF68" s="1307">
        <f>IF(AE68&gt;0,(AC68+AD68-AE68),(AC68+AD68+AE68))</f>
        <v/>
      </c>
      <c r="AG68" s="800">
        <f>IF($AF$46=0,0,AF68/$AF$46)</f>
        <v/>
      </c>
      <c r="AH68" s="1310" t="n"/>
      <c r="AI68" s="812" t="n"/>
      <c r="AJ68" s="155" t="n"/>
      <c r="AK68" s="155" t="n"/>
      <c r="AL68" s="489" t="n"/>
      <c r="AM68" s="489">
        <f>IF(_epmOfflineCondition_,"",IF(W68="ZI_DUMMY","",EPMSaveData(AD68,,$D$18,$D$21,$D$22,$D$26,$D$27,$D$25,$AD$40,$AD$41,$AA$29,$AD$43,$AD$44,$AD$45,W68)))</f>
        <v/>
      </c>
      <c r="AN68" s="489">
        <f>IF(_epmOfflineCondition_,"",IF(W68="ZI_DUMMY","",EPMSaveData(AE68,,$D$18,$D$21,$D$22,$D$26,$D$27,$D$25,$AE$40,$AE$41,$AA$29,$AE$43,$AE$44,$AE$45,W68)))</f>
        <v/>
      </c>
      <c r="AO68" s="489" t="n"/>
      <c r="AP68" s="489">
        <f>IF(_epmOfflineCondition_,"",IF(W68="ZI_DUMMY","",EPMSaveData(AG68,,$D$18,$D$21,$D$22,$D$26,$D$27,$D$25,$AG$40,$AG$41,$AA$29,$AC$28,$AG$44,$AG$45,W68)))</f>
        <v/>
      </c>
      <c r="AQ68" s="489" t="n"/>
      <c r="AR68" s="489" t="n"/>
      <c r="AS68" s="489">
        <f>IF(_epmOfflineCondition_,"",IF(W68="ZI_DUMMY","",EPMSaveData(AE68*-2,,$D$18,$D$21,$D$22,$D$26,$D$27,$D$25,$AE$40,$AE$41,$AC$24,$AE$43,$AE$44,$AE$45,W68)))</f>
        <v/>
      </c>
      <c r="AT68" s="489" t="n"/>
      <c r="AU68" s="817" t="n"/>
      <c r="AV68" s="716" t="n"/>
    </row>
    <row r="69" ht="15" customFormat="1" customHeight="1" s="716">
      <c r="A69" s="716" t="n"/>
      <c r="B69" s="716" t="n"/>
      <c r="C69" s="716" t="n"/>
      <c r="D69" s="716" t="n"/>
      <c r="E69" s="716" t="n"/>
      <c r="F69" s="716" t="n"/>
      <c r="G69" s="716" t="n"/>
      <c r="H69" s="716" t="n"/>
      <c r="I69" s="716" t="n"/>
      <c r="J69" s="716" t="n"/>
      <c r="K69" s="716" t="n"/>
      <c r="L69" s="716" t="n"/>
      <c r="M69" s="716" t="n"/>
      <c r="N69" s="716" t="n"/>
      <c r="O69" s="716" t="n"/>
      <c r="P69" s="716" t="n"/>
      <c r="Q69" s="716" t="n"/>
      <c r="R69" s="716" t="n"/>
      <c r="S69" s="462">
        <f>IF(U69&lt;&gt;"",U69,"ZI_DUMMY")</f>
        <v/>
      </c>
      <c r="T69" s="716" t="n"/>
      <c r="U69" s="610">
        <f>IFERROR(VLOOKUP('枚举值 (3)'!$H$2,OFFSET('枚举值 (3)'!$A:$E,'枚举值 (3)'!$H$3+12,0,1),4,FALSE),"")</f>
        <v/>
      </c>
      <c r="V69" s="777" t="n"/>
      <c r="W69" s="777">
        <f>IF(_epmOfflineCondition_,"ZI_DUMMY",EPMOlapMemberO(S69,"[C_ITEM].[PARENTH1].[ZI_DUMMY]","ZI_DUMMY","","000"))</f>
        <v/>
      </c>
      <c r="X69" s="462" t="n"/>
      <c r="Y69" s="804" t="n"/>
      <c r="Z69" s="796">
        <f>ROW()-45</f>
        <v/>
      </c>
      <c r="AA69" s="799">
        <f>IF(W69="ZI_DUMMY","",VLOOKUP(W69,'枚举值 (3)'!D:E,2,0))</f>
        <v/>
      </c>
      <c r="AB69" s="800">
        <f>IF($I$11="2022.12",AI69,AU69)</f>
        <v/>
      </c>
      <c r="AC69" s="1307">
        <f>IF($I$11="2022.12",AH69,AT69)</f>
        <v/>
      </c>
      <c r="AD69" s="1310" t="n"/>
      <c r="AE69" s="1310" t="n"/>
      <c r="AF69" s="1307">
        <f>IF(AE69&gt;0,(AC69+AD69-AE69),(AC69+AD69+AE69))</f>
        <v/>
      </c>
      <c r="AG69" s="800">
        <f>IF($AF$46=0,0,AF69/$AF$46)</f>
        <v/>
      </c>
      <c r="AH69" s="1310" t="n"/>
      <c r="AI69" s="812" t="n"/>
      <c r="AJ69" s="155" t="n"/>
      <c r="AK69" s="155" t="n"/>
      <c r="AL69" s="489" t="n"/>
      <c r="AM69" s="489">
        <f>IF(_epmOfflineCondition_,"",IF(W69="ZI_DUMMY","",EPMSaveData(AD69,,$D$18,$D$21,$D$22,$D$26,$D$27,$D$25,$AD$40,$AD$41,$AA$29,$AD$43,$AD$44,$AD$45,W69)))</f>
        <v/>
      </c>
      <c r="AN69" s="489">
        <f>IF(_epmOfflineCondition_,"",IF(W69="ZI_DUMMY","",EPMSaveData(AE69,,$D$18,$D$21,$D$22,$D$26,$D$27,$D$25,$AE$40,$AE$41,$AA$29,$AE$43,$AE$44,$AE$45,W69)))</f>
        <v/>
      </c>
      <c r="AO69" s="489" t="n"/>
      <c r="AP69" s="489">
        <f>IF(_epmOfflineCondition_,"",IF(W69="ZI_DUMMY","",EPMSaveData(AG69,,$D$18,$D$21,$D$22,$D$26,$D$27,$D$25,$AG$40,$AG$41,$AA$29,$AC$28,$AG$44,$AG$45,W69)))</f>
        <v/>
      </c>
      <c r="AQ69" s="489" t="n"/>
      <c r="AR69" s="489" t="n"/>
      <c r="AS69" s="489">
        <f>IF(_epmOfflineCondition_,"",IF(W69="ZI_DUMMY","",EPMSaveData(AE69*-2,,$D$18,$D$21,$D$22,$D$26,$D$27,$D$25,$AE$40,$AE$41,$AC$24,$AE$43,$AE$44,$AE$45,W69)))</f>
        <v/>
      </c>
      <c r="AT69" s="489" t="n"/>
      <c r="AU69" s="817" t="n"/>
      <c r="AV69" s="716" t="n"/>
    </row>
    <row r="70" ht="15" customFormat="1" customHeight="1" s="716">
      <c r="A70" s="716" t="n"/>
      <c r="B70" s="716" t="n"/>
      <c r="C70" s="716" t="n"/>
      <c r="D70" s="716" t="n"/>
      <c r="E70" s="716" t="n"/>
      <c r="F70" s="716" t="n"/>
      <c r="G70" s="716" t="n"/>
      <c r="H70" s="716" t="n"/>
      <c r="I70" s="716" t="n"/>
      <c r="J70" s="716" t="n"/>
      <c r="K70" s="716" t="n"/>
      <c r="L70" s="716" t="n"/>
      <c r="M70" s="716" t="n"/>
      <c r="N70" s="716" t="n"/>
      <c r="O70" s="716" t="n"/>
      <c r="P70" s="716" t="n"/>
      <c r="Q70" s="716" t="n"/>
      <c r="R70" s="716" t="n"/>
      <c r="S70" s="462">
        <f>IF(U70&lt;&gt;"",U70,"ZI_DUMMY")</f>
        <v/>
      </c>
      <c r="T70" s="716" t="n"/>
      <c r="U70" s="610">
        <f>IFERROR(VLOOKUP('枚举值 (3)'!$H$2,OFFSET('枚举值 (3)'!$A:$E,'枚举值 (3)'!$H$3+13,0,1),4,FALSE),"")</f>
        <v/>
      </c>
      <c r="V70" s="777" t="n"/>
      <c r="W70" s="777">
        <f>IF(_epmOfflineCondition_,"ZI_DUMMY",EPMOlapMemberO(S70,"[C_ITEM].[PARENTH1].[ZI_DUMMY]","ZI_DUMMY","","000"))</f>
        <v/>
      </c>
      <c r="X70" s="462" t="n"/>
      <c r="Y70" s="804" t="n"/>
      <c r="Z70" s="796">
        <f>ROW()-45</f>
        <v/>
      </c>
      <c r="AA70" s="799">
        <f>IF(W70="ZI_DUMMY","",VLOOKUP(W70,'枚举值 (3)'!D:E,2,0))</f>
        <v/>
      </c>
      <c r="AB70" s="800">
        <f>IF($I$11="2022.12",AI70,AU70)</f>
        <v/>
      </c>
      <c r="AC70" s="1307">
        <f>IF($I$11="2022.12",AH70,AT70)</f>
        <v/>
      </c>
      <c r="AD70" s="1310" t="n"/>
      <c r="AE70" s="1310" t="n"/>
      <c r="AF70" s="1307">
        <f>IF(AE70&gt;0,(AC70+AD70-AE70),(AC70+AD70+AE70))</f>
        <v/>
      </c>
      <c r="AG70" s="800">
        <f>IF($AF$46=0,0,AF70/$AF$46)</f>
        <v/>
      </c>
      <c r="AH70" s="1310" t="n"/>
      <c r="AI70" s="812" t="n"/>
      <c r="AJ70" s="155" t="n"/>
      <c r="AK70" s="155" t="n"/>
      <c r="AL70" s="489" t="n"/>
      <c r="AM70" s="489">
        <f>IF(_epmOfflineCondition_,"",IF(W70="ZI_DUMMY","",EPMSaveData(AD70,,$D$18,$D$21,$D$22,$D$26,$D$27,$D$25,$AD$40,$AD$41,$AA$29,$AD$43,$AD$44,$AD$45,W70)))</f>
        <v/>
      </c>
      <c r="AN70" s="489">
        <f>IF(_epmOfflineCondition_,"",IF(W70="ZI_DUMMY","",EPMSaveData(AE70,,$D$18,$D$21,$D$22,$D$26,$D$27,$D$25,$AE$40,$AE$41,$AA$29,$AE$43,$AE$44,$AE$45,W70)))</f>
        <v/>
      </c>
      <c r="AO70" s="489" t="n"/>
      <c r="AP70" s="489">
        <f>IF(_epmOfflineCondition_,"",IF(W70="ZI_DUMMY","",EPMSaveData(AG70,,$D$18,$D$21,$D$22,$D$26,$D$27,$D$25,$AG$40,$AG$41,$AA$29,$AC$28,$AG$44,$AG$45,W70)))</f>
        <v/>
      </c>
      <c r="AQ70" s="489" t="n"/>
      <c r="AR70" s="489" t="n"/>
      <c r="AS70" s="489">
        <f>IF(_epmOfflineCondition_,"",IF(W70="ZI_DUMMY","",EPMSaveData(AE70*-2,,$D$18,$D$21,$D$22,$D$26,$D$27,$D$25,$AE$40,$AE$41,$AC$24,$AE$43,$AE$44,$AE$45,W70)))</f>
        <v/>
      </c>
      <c r="AT70" s="489" t="n"/>
      <c r="AU70" s="817" t="n"/>
      <c r="AV70" s="716" t="n"/>
    </row>
    <row r="71" ht="15" customFormat="1" customHeight="1" s="716">
      <c r="A71" s="716" t="n"/>
      <c r="B71" s="716" t="n"/>
      <c r="C71" s="716" t="n"/>
      <c r="D71" s="716" t="n"/>
      <c r="E71" s="716" t="n"/>
      <c r="F71" s="716" t="n"/>
      <c r="G71" s="716" t="n"/>
      <c r="H71" s="716" t="n"/>
      <c r="I71" s="716" t="n"/>
      <c r="J71" s="716" t="n"/>
      <c r="K71" s="716" t="n"/>
      <c r="L71" s="716" t="n"/>
      <c r="M71" s="716" t="n"/>
      <c r="N71" s="716" t="n"/>
      <c r="O71" s="716" t="n"/>
      <c r="P71" s="716" t="n"/>
      <c r="Q71" s="716" t="n"/>
      <c r="R71" s="716" t="n"/>
      <c r="S71" s="462">
        <f>IF(U71&lt;&gt;"",U71,"ZI_DUMMY")</f>
        <v/>
      </c>
      <c r="T71" s="716" t="n"/>
      <c r="U71" s="610">
        <f>IFERROR(VLOOKUP('枚举值 (3)'!$H$2,OFFSET('枚举值 (3)'!$A:$E,'枚举值 (3)'!$H$3+14,0,1),4,FALSE),"")</f>
        <v/>
      </c>
      <c r="V71" s="777" t="n"/>
      <c r="W71" s="777">
        <f>IF(_epmOfflineCondition_,"ZI_DUMMY",EPMOlapMemberO(S71,"[C_ITEM].[PARENTH1].[ZI_DUMMY]","ZI_DUMMY","","000"))</f>
        <v/>
      </c>
      <c r="X71" s="462" t="n"/>
      <c r="Y71" s="804" t="n"/>
      <c r="Z71" s="796">
        <f>ROW()-45</f>
        <v/>
      </c>
      <c r="AA71" s="799">
        <f>IF(W71="ZI_DUMMY","",VLOOKUP(W71,'枚举值 (3)'!D:E,2,0))</f>
        <v/>
      </c>
      <c r="AB71" s="800">
        <f>IF($I$11="2022.12",AI71,AU71)</f>
        <v/>
      </c>
      <c r="AC71" s="1307">
        <f>IF($I$11="2022.12",AH71,AT71)</f>
        <v/>
      </c>
      <c r="AD71" s="1310" t="n"/>
      <c r="AE71" s="1310" t="n"/>
      <c r="AF71" s="1307">
        <f>IF(AE71&gt;0,(AC71+AD71-AE71),(AC71+AD71+AE71))</f>
        <v/>
      </c>
      <c r="AG71" s="800">
        <f>IF($AF$46=0,0,AF71/$AF$46)</f>
        <v/>
      </c>
      <c r="AH71" s="1310" t="n"/>
      <c r="AI71" s="812" t="n"/>
      <c r="AJ71" s="155" t="n"/>
      <c r="AK71" s="155" t="n"/>
      <c r="AL71" s="489" t="n"/>
      <c r="AM71" s="489">
        <f>IF(_epmOfflineCondition_,"",IF(W71="ZI_DUMMY","",EPMSaveData(AD71,,$D$18,$D$21,$D$22,$D$26,$D$27,$D$25,$AD$40,$AD$41,$AA$29,$AD$43,$AD$44,$AD$45,W71)))</f>
        <v/>
      </c>
      <c r="AN71" s="489">
        <f>IF(_epmOfflineCondition_,"",IF(W71="ZI_DUMMY","",EPMSaveData(AE71,,$D$18,$D$21,$D$22,$D$26,$D$27,$D$25,$AE$40,$AE$41,$AA$29,$AE$43,$AE$44,$AE$45,W71)))</f>
        <v/>
      </c>
      <c r="AO71" s="489" t="n"/>
      <c r="AP71" s="489">
        <f>IF(_epmOfflineCondition_,"",IF(W71="ZI_DUMMY","",EPMSaveData(AG71,,$D$18,$D$21,$D$22,$D$26,$D$27,$D$25,$AG$40,$AG$41,$AA$29,$AC$28,$AG$44,$AG$45,W71)))</f>
        <v/>
      </c>
      <c r="AQ71" s="489" t="n"/>
      <c r="AR71" s="489" t="n"/>
      <c r="AS71" s="489">
        <f>IF(_epmOfflineCondition_,"",IF(W71="ZI_DUMMY","",EPMSaveData(AE71*-2,,$D$18,$D$21,$D$22,$D$26,$D$27,$D$25,$AE$40,$AE$41,$AC$24,$AE$43,$AE$44,$AE$45,W71)))</f>
        <v/>
      </c>
      <c r="AT71" s="489" t="n"/>
      <c r="AU71" s="817" t="n"/>
      <c r="AV71" s="716" t="n"/>
    </row>
    <row r="72" ht="15" customFormat="1" customHeight="1" s="716">
      <c r="A72" s="716" t="n"/>
      <c r="B72" s="716" t="n"/>
      <c r="C72" s="716" t="n"/>
      <c r="D72" s="716" t="n"/>
      <c r="E72" s="716" t="n"/>
      <c r="F72" s="716" t="n"/>
      <c r="G72" s="716" t="n"/>
      <c r="H72" s="716" t="n"/>
      <c r="I72" s="716" t="n"/>
      <c r="J72" s="716" t="n"/>
      <c r="K72" s="716" t="n"/>
      <c r="L72" s="716" t="n"/>
      <c r="M72" s="716" t="n"/>
      <c r="N72" s="716" t="n"/>
      <c r="O72" s="716" t="n"/>
      <c r="P72" s="716" t="n"/>
      <c r="Q72" s="716" t="n"/>
      <c r="R72" s="716" t="n"/>
      <c r="S72" s="462">
        <f>IF(U72&lt;&gt;"",U72,"ZI_DUMMY")</f>
        <v/>
      </c>
      <c r="T72" s="716" t="n"/>
      <c r="U72" s="610">
        <f>IFERROR(VLOOKUP('枚举值 (3)'!$H$2,OFFSET('枚举值 (3)'!$A:$E,'枚举值 (3)'!$H$3+15,0,1),4,FALSE),"")</f>
        <v/>
      </c>
      <c r="V72" s="777" t="n"/>
      <c r="W72" s="777">
        <f>IF(_epmOfflineCondition_,"ZI_DUMMY",EPMOlapMemberO(S72,"[C_ITEM].[PARENTH1].[ZI_DUMMY]","ZI_DUMMY","","000"))</f>
        <v/>
      </c>
      <c r="X72" s="462" t="n"/>
      <c r="Y72" s="804" t="n"/>
      <c r="Z72" s="796">
        <f>ROW()-45</f>
        <v/>
      </c>
      <c r="AA72" s="799">
        <f>IF(W72="ZI_DUMMY","",VLOOKUP(W72,'枚举值 (3)'!D:E,2,0))</f>
        <v/>
      </c>
      <c r="AB72" s="800">
        <f>IF($I$11="2022.12",AI72,AU72)</f>
        <v/>
      </c>
      <c r="AC72" s="1307">
        <f>IF($I$11="2022.12",AH72,AT72)</f>
        <v/>
      </c>
      <c r="AD72" s="1310" t="n"/>
      <c r="AE72" s="1310" t="n"/>
      <c r="AF72" s="1307">
        <f>IF(AE72&gt;0,(AC72+AD72-AE72),(AC72+AD72+AE72))</f>
        <v/>
      </c>
      <c r="AG72" s="800">
        <f>IF($AF$46=0,0,AF72/$AF$46)</f>
        <v/>
      </c>
      <c r="AH72" s="1310" t="n"/>
      <c r="AI72" s="812" t="n"/>
      <c r="AJ72" s="155" t="n"/>
      <c r="AK72" s="155" t="n"/>
      <c r="AL72" s="489" t="n"/>
      <c r="AM72" s="489">
        <f>IF(_epmOfflineCondition_,"",IF(W72="ZI_DUMMY","",EPMSaveData(AD72,,$D$18,$D$21,$D$22,$D$26,$D$27,$D$25,$AD$40,$AD$41,$AA$29,$AD$43,$AD$44,$AD$45,W72)))</f>
        <v/>
      </c>
      <c r="AN72" s="489">
        <f>IF(_epmOfflineCondition_,"",IF(W72="ZI_DUMMY","",EPMSaveData(AE72,,$D$18,$D$21,$D$22,$D$26,$D$27,$D$25,$AE$40,$AE$41,$AA$29,$AE$43,$AE$44,$AE$45,W72)))</f>
        <v/>
      </c>
      <c r="AO72" s="489" t="n"/>
      <c r="AP72" s="489">
        <f>IF(_epmOfflineCondition_,"",IF(W72="ZI_DUMMY","",EPMSaveData(AG72,,$D$18,$D$21,$D$22,$D$26,$D$27,$D$25,$AG$40,$AG$41,$AA$29,$AC$28,$AG$44,$AG$45,W72)))</f>
        <v/>
      </c>
      <c r="AQ72" s="489" t="n"/>
      <c r="AR72" s="489" t="n"/>
      <c r="AS72" s="489">
        <f>IF(_epmOfflineCondition_,"",IF(W72="ZI_DUMMY","",EPMSaveData(AE72*-2,,$D$18,$D$21,$D$22,$D$26,$D$27,$D$25,$AE$40,$AE$41,$AC$24,$AE$43,$AE$44,$AE$45,W72)))</f>
        <v/>
      </c>
      <c r="AT72" s="489" t="n"/>
      <c r="AU72" s="817" t="n"/>
      <c r="AV72" s="716" t="n"/>
    </row>
    <row r="73" ht="15" customFormat="1" customHeight="1" s="716">
      <c r="A73" s="716" t="n"/>
      <c r="B73" s="716" t="n"/>
      <c r="C73" s="716" t="n"/>
      <c r="D73" s="716" t="n"/>
      <c r="E73" s="716" t="n"/>
      <c r="F73" s="716" t="n"/>
      <c r="G73" s="716" t="n"/>
      <c r="H73" s="716" t="n"/>
      <c r="I73" s="716" t="n"/>
      <c r="J73" s="716" t="n"/>
      <c r="K73" s="716" t="n"/>
      <c r="L73" s="716" t="n"/>
      <c r="M73" s="716" t="n"/>
      <c r="N73" s="716" t="n"/>
      <c r="O73" s="716" t="n"/>
      <c r="P73" s="716" t="n"/>
      <c r="Q73" s="716" t="n"/>
      <c r="R73" s="716" t="n"/>
      <c r="S73" s="462">
        <f>IF(U73&lt;&gt;"",U73,"ZI_DUMMY")</f>
        <v/>
      </c>
      <c r="T73" s="716" t="n"/>
      <c r="U73" s="610">
        <f>IFERROR(VLOOKUP('枚举值 (3)'!$H$2,OFFSET('枚举值 (3)'!$A:$E,'枚举值 (3)'!$H$3+16,0,1),4,FALSE),"")</f>
        <v/>
      </c>
      <c r="V73" s="777" t="n"/>
      <c r="W73" s="777">
        <f>IF(_epmOfflineCondition_,"ZI_DUMMY",EPMOlapMemberO(S73,"[C_ITEM].[PARENTH1].[ZI_DUMMY]","ZI_DUMMY","","000"))</f>
        <v/>
      </c>
      <c r="X73" s="462" t="n"/>
      <c r="Y73" s="804" t="n"/>
      <c r="Z73" s="796">
        <f>ROW()-45</f>
        <v/>
      </c>
      <c r="AA73" s="799">
        <f>IF(W73="ZI_DUMMY","",VLOOKUP(W73,'枚举值 (3)'!D:E,2,0))</f>
        <v/>
      </c>
      <c r="AB73" s="800">
        <f>IF($I$11="2022.12",AI73,AU73)</f>
        <v/>
      </c>
      <c r="AC73" s="1307">
        <f>IF($I$11="2022.12",AH73,AT73)</f>
        <v/>
      </c>
      <c r="AD73" s="1310" t="n"/>
      <c r="AE73" s="1310" t="n"/>
      <c r="AF73" s="1307">
        <f>IF(AE73&gt;0,(AC73+AD73-AE73),(AC73+AD73+AE73))</f>
        <v/>
      </c>
      <c r="AG73" s="800">
        <f>IF($AF$46=0,0,AF73/$AF$46)</f>
        <v/>
      </c>
      <c r="AH73" s="1310" t="n"/>
      <c r="AI73" s="812" t="n"/>
      <c r="AJ73" s="155" t="n"/>
      <c r="AK73" s="155" t="n"/>
      <c r="AL73" s="489" t="n"/>
      <c r="AM73" s="489">
        <f>IF(_epmOfflineCondition_,"",IF(W73="ZI_DUMMY","",EPMSaveData(AD73,,$D$18,$D$21,$D$22,$D$26,$D$27,$D$25,$AD$40,$AD$41,$AA$29,$AD$43,$AD$44,$AD$45,W73)))</f>
        <v/>
      </c>
      <c r="AN73" s="489">
        <f>IF(_epmOfflineCondition_,"",IF(W73="ZI_DUMMY","",EPMSaveData(AE73,,$D$18,$D$21,$D$22,$D$26,$D$27,$D$25,$AE$40,$AE$41,$AA$29,$AE$43,$AE$44,$AE$45,W73)))</f>
        <v/>
      </c>
      <c r="AO73" s="489" t="n"/>
      <c r="AP73" s="489">
        <f>IF(_epmOfflineCondition_,"",IF(W73="ZI_DUMMY","",EPMSaveData(AG73,,$D$18,$D$21,$D$22,$D$26,$D$27,$D$25,$AG$40,$AG$41,$AA$29,$AC$28,$AG$44,$AG$45,W73)))</f>
        <v/>
      </c>
      <c r="AQ73" s="489" t="n"/>
      <c r="AR73" s="489" t="n"/>
      <c r="AS73" s="489">
        <f>IF(_epmOfflineCondition_,"",IF(W73="ZI_DUMMY","",EPMSaveData(AE73*-2,,$D$18,$D$21,$D$22,$D$26,$D$27,$D$25,$AE$40,$AE$41,$AC$24,$AE$43,$AE$44,$AE$45,W73)))</f>
        <v/>
      </c>
      <c r="AT73" s="489" t="n"/>
      <c r="AU73" s="817" t="n"/>
      <c r="AV73" s="716" t="n"/>
    </row>
    <row r="74" ht="15" customFormat="1" customHeight="1" s="716">
      <c r="A74" s="716" t="n"/>
      <c r="B74" s="716" t="n"/>
      <c r="C74" s="716" t="n"/>
      <c r="D74" s="716" t="n"/>
      <c r="E74" s="716" t="n"/>
      <c r="F74" s="716" t="n"/>
      <c r="G74" s="716" t="n"/>
      <c r="H74" s="716" t="n"/>
      <c r="I74" s="716" t="n"/>
      <c r="J74" s="716" t="n"/>
      <c r="K74" s="716" t="n"/>
      <c r="L74" s="716" t="n"/>
      <c r="M74" s="716" t="n"/>
      <c r="N74" s="716" t="n"/>
      <c r="O74" s="716" t="n"/>
      <c r="P74" s="716" t="n"/>
      <c r="Q74" s="716" t="n"/>
      <c r="R74" s="716" t="n"/>
      <c r="S74" s="462">
        <f>IF(U74&lt;&gt;"",U74,"ZI_DUMMY")</f>
        <v/>
      </c>
      <c r="T74" s="716" t="n"/>
      <c r="U74" s="610">
        <f>IFERROR(VLOOKUP('枚举值 (3)'!$H$2,OFFSET('枚举值 (3)'!$A:$E,'枚举值 (3)'!$H$3+17,0,1),4,FALSE),"")</f>
        <v/>
      </c>
      <c r="V74" s="777" t="n"/>
      <c r="W74" s="777">
        <f>IF(_epmOfflineCondition_,"ZI_DUMMY",EPMOlapMemberO(S74,"[C_ITEM].[PARENTH1].[ZI_DUMMY]","ZI_DUMMY","","000"))</f>
        <v/>
      </c>
      <c r="X74" s="462" t="n"/>
      <c r="Y74" s="804" t="n"/>
      <c r="Z74" s="796">
        <f>ROW()-45</f>
        <v/>
      </c>
      <c r="AA74" s="799">
        <f>IF(W74="ZI_DUMMY","",VLOOKUP(W74,'枚举值 (3)'!D:E,2,0))</f>
        <v/>
      </c>
      <c r="AB74" s="800">
        <f>IF($I$11="2022.12",AI74,AU74)</f>
        <v/>
      </c>
      <c r="AC74" s="1307">
        <f>IF($I$11="2022.12",AH74,AT74)</f>
        <v/>
      </c>
      <c r="AD74" s="1310" t="n"/>
      <c r="AE74" s="1310" t="n"/>
      <c r="AF74" s="1307">
        <f>IF(AE74&gt;0,(AC74+AD74-AE74),(AC74+AD74+AE74))</f>
        <v/>
      </c>
      <c r="AG74" s="800">
        <f>IF($AF$46=0,0,AF74/$AF$46)</f>
        <v/>
      </c>
      <c r="AH74" s="1310" t="n"/>
      <c r="AI74" s="812" t="n"/>
      <c r="AJ74" s="155" t="n"/>
      <c r="AK74" s="155" t="n"/>
      <c r="AL74" s="489" t="n"/>
      <c r="AM74" s="489">
        <f>IF(_epmOfflineCondition_,"",IF(W74="ZI_DUMMY","",EPMSaveData(AD74,,$D$18,$D$21,$D$22,$D$26,$D$27,$D$25,$AD$40,$AD$41,$AA$29,$AD$43,$AD$44,$AD$45,W74)))</f>
        <v/>
      </c>
      <c r="AN74" s="489">
        <f>IF(_epmOfflineCondition_,"",IF(W74="ZI_DUMMY","",EPMSaveData(AE74,,$D$18,$D$21,$D$22,$D$26,$D$27,$D$25,$AE$40,$AE$41,$AA$29,$AE$43,$AE$44,$AE$45,W74)))</f>
        <v/>
      </c>
      <c r="AO74" s="489" t="n"/>
      <c r="AP74" s="489">
        <f>IF(_epmOfflineCondition_,"",IF(W74="ZI_DUMMY","",EPMSaveData(AG74,,$D$18,$D$21,$D$22,$D$26,$D$27,$D$25,$AG$40,$AG$41,$AA$29,$AC$28,$AG$44,$AG$45,W74)))</f>
        <v/>
      </c>
      <c r="AQ74" s="489" t="n"/>
      <c r="AR74" s="489" t="n"/>
      <c r="AS74" s="489">
        <f>IF(_epmOfflineCondition_,"",IF(W74="ZI_DUMMY","",EPMSaveData(AE74*-2,,$D$18,$D$21,$D$22,$D$26,$D$27,$D$25,$AE$40,$AE$41,$AC$24,$AE$43,$AE$44,$AE$45,W74)))</f>
        <v/>
      </c>
      <c r="AT74" s="489" t="n"/>
      <c r="AU74" s="817" t="n"/>
      <c r="AV74" s="716" t="n"/>
    </row>
    <row r="75" ht="15" customFormat="1" customHeight="1" s="716">
      <c r="A75" s="716" t="n"/>
      <c r="B75" s="716" t="n"/>
      <c r="C75" s="716" t="n"/>
      <c r="D75" s="716" t="n"/>
      <c r="E75" s="716" t="n"/>
      <c r="F75" s="716" t="n"/>
      <c r="G75" s="716" t="n"/>
      <c r="H75" s="716" t="n"/>
      <c r="I75" s="716" t="n"/>
      <c r="J75" s="716" t="n"/>
      <c r="K75" s="716" t="n"/>
      <c r="L75" s="716" t="n"/>
      <c r="M75" s="716" t="n"/>
      <c r="N75" s="716" t="n"/>
      <c r="O75" s="716" t="n"/>
      <c r="P75" s="716" t="n"/>
      <c r="Q75" s="716" t="n"/>
      <c r="R75" s="716" t="n"/>
      <c r="S75" s="462">
        <f>IF(U75&lt;&gt;"",U75,"ZI_DUMMY")</f>
        <v/>
      </c>
      <c r="T75" s="716" t="n"/>
      <c r="U75" s="610">
        <f>IFERROR(VLOOKUP('枚举值 (3)'!$H$2,OFFSET('枚举值 (3)'!$A:$E,'枚举值 (3)'!$H$3+18,0,1),4,FALSE),"")</f>
        <v/>
      </c>
      <c r="V75" s="777" t="n"/>
      <c r="W75" s="777">
        <f>IF(_epmOfflineCondition_,"ZI_DUMMY",EPMOlapMemberO(S75,"[C_ITEM].[PARENTH1].[ZI_DUMMY]","ZI_DUMMY","","000"))</f>
        <v/>
      </c>
      <c r="X75" s="462" t="n"/>
      <c r="Y75" s="804" t="n"/>
      <c r="Z75" s="796">
        <f>ROW()-45</f>
        <v/>
      </c>
      <c r="AA75" s="799">
        <f>IF(W75="ZI_DUMMY","",VLOOKUP(W75,'枚举值 (3)'!D:E,2,0))</f>
        <v/>
      </c>
      <c r="AB75" s="800">
        <f>IF($I$11="2022.12",AI75,AU75)</f>
        <v/>
      </c>
      <c r="AC75" s="1307">
        <f>IF($I$11="2022.12",AH75,AT75)</f>
        <v/>
      </c>
      <c r="AD75" s="1310" t="n"/>
      <c r="AE75" s="1310" t="n"/>
      <c r="AF75" s="1307">
        <f>IF(AE75&gt;0,(AC75+AD75-AE75),(AC75+AD75+AE75))</f>
        <v/>
      </c>
      <c r="AG75" s="800">
        <f>IF($AF$46=0,0,AF75/$AF$46)</f>
        <v/>
      </c>
      <c r="AH75" s="1310" t="n"/>
      <c r="AI75" s="812" t="n"/>
      <c r="AJ75" s="155" t="n"/>
      <c r="AK75" s="155" t="n"/>
      <c r="AL75" s="489" t="n"/>
      <c r="AM75" s="489">
        <f>IF(_epmOfflineCondition_,"",IF(W75="ZI_DUMMY","",EPMSaveData(AD75,,$D$18,$D$21,$D$22,$D$26,$D$27,$D$25,$AD$40,$AD$41,$AA$29,$AD$43,$AD$44,$AD$45,W75)))</f>
        <v/>
      </c>
      <c r="AN75" s="489">
        <f>IF(_epmOfflineCondition_,"",IF(W75="ZI_DUMMY","",EPMSaveData(AE75,,$D$18,$D$21,$D$22,$D$26,$D$27,$D$25,$AE$40,$AE$41,$AA$29,$AE$43,$AE$44,$AE$45,W75)))</f>
        <v/>
      </c>
      <c r="AO75" s="489" t="n"/>
      <c r="AP75" s="489">
        <f>IF(_epmOfflineCondition_,"",IF(W75="ZI_DUMMY","",EPMSaveData(AG75,,$D$18,$D$21,$D$22,$D$26,$D$27,$D$25,$AG$40,$AG$41,$AA$29,$AC$28,$AG$44,$AG$45,W75)))</f>
        <v/>
      </c>
      <c r="AQ75" s="489" t="n"/>
      <c r="AR75" s="489" t="n"/>
      <c r="AS75" s="489">
        <f>IF(_epmOfflineCondition_,"",IF(W75="ZI_DUMMY","",EPMSaveData(AE75*-2,,$D$18,$D$21,$D$22,$D$26,$D$27,$D$25,$AE$40,$AE$41,$AC$24,$AE$43,$AE$44,$AE$45,W75)))</f>
        <v/>
      </c>
      <c r="AT75" s="489" t="n"/>
      <c r="AU75" s="817" t="n"/>
      <c r="AV75" s="716" t="n"/>
    </row>
    <row r="76" ht="15" customFormat="1" customHeight="1" s="716">
      <c r="A76" s="716" t="n"/>
      <c r="B76" s="716" t="n"/>
      <c r="C76" s="716" t="n"/>
      <c r="D76" s="716" t="n"/>
      <c r="E76" s="716" t="n"/>
      <c r="F76" s="716" t="n"/>
      <c r="G76" s="716" t="n"/>
      <c r="H76" s="716" t="n"/>
      <c r="I76" s="716" t="n"/>
      <c r="J76" s="716" t="n"/>
      <c r="K76" s="716" t="n"/>
      <c r="L76" s="716" t="n"/>
      <c r="M76" s="716" t="n"/>
      <c r="N76" s="716" t="n"/>
      <c r="O76" s="716" t="n"/>
      <c r="P76" s="716" t="n"/>
      <c r="Q76" s="716" t="n"/>
      <c r="R76" s="716" t="n"/>
      <c r="S76" s="462" t="n"/>
      <c r="T76" s="716" t="n"/>
      <c r="U76" s="610" t="n"/>
      <c r="V76" s="462" t="n"/>
      <c r="W76" s="777" t="n"/>
      <c r="X76" s="462" t="n"/>
      <c r="Y76" s="795" t="inlineStr">
        <is>
          <t>（2）集团外个人</t>
        </is>
      </c>
      <c r="Z76" s="796">
        <f>ROW()-45</f>
        <v/>
      </c>
      <c r="AA76" s="801">
        <f>"— —"</f>
        <v/>
      </c>
      <c r="AB76" s="1186">
        <f>"— —"</f>
        <v/>
      </c>
      <c r="AC76" s="1307">
        <f>SUM(AC77:AC81)</f>
        <v/>
      </c>
      <c r="AD76" s="1307">
        <f>SUM(AD77:AD81)</f>
        <v/>
      </c>
      <c r="AE76" s="1307">
        <f>SUM(AE77:AE81)</f>
        <v/>
      </c>
      <c r="AF76" s="1307">
        <f>IF(AE76&gt;0,(AC76+AD76-AE76),(AC76+AD76+AE76))</f>
        <v/>
      </c>
      <c r="AG76" s="815">
        <f>"— —"</f>
        <v/>
      </c>
      <c r="AH76" s="1307">
        <f>SUM(AH77:AH81)</f>
        <v/>
      </c>
      <c r="AI76" s="1186">
        <f>"— —"</f>
        <v/>
      </c>
      <c r="AJ76" s="155" t="n"/>
      <c r="AK76" s="155" t="n"/>
      <c r="AL76" s="489" t="n"/>
      <c r="AM76" s="489" t="n"/>
      <c r="AN76" s="489" t="n"/>
      <c r="AO76" s="489" t="n"/>
      <c r="AP76" s="489" t="n"/>
      <c r="AQ76" s="489" t="n"/>
      <c r="AR76" s="489" t="n"/>
      <c r="AS76" s="489" t="n"/>
      <c r="AT76" s="489" t="n"/>
      <c r="AU76" s="817" t="n"/>
      <c r="AV76" s="716" t="n"/>
    </row>
    <row r="77" ht="15" customFormat="1" customHeight="1" s="716">
      <c r="A77" s="716" t="n"/>
      <c r="B77" s="716" t="n"/>
      <c r="C77" s="716" t="n"/>
      <c r="D77" s="716" t="n"/>
      <c r="E77" s="716" t="n"/>
      <c r="F77" s="716" t="n"/>
      <c r="G77" s="716" t="n"/>
      <c r="H77" s="716" t="n"/>
      <c r="I77" s="716" t="n"/>
      <c r="J77" s="716" t="n"/>
      <c r="K77" s="716" t="n"/>
      <c r="L77" s="716" t="n"/>
      <c r="M77" s="716" t="n"/>
      <c r="N77" s="716" t="n"/>
      <c r="O77" s="716" t="n"/>
      <c r="P77" s="716" t="n"/>
      <c r="Q77" s="716" t="n"/>
      <c r="R77" s="716" t="n"/>
      <c r="S77" s="462">
        <f>IF(U77&lt;&gt;"",U77,"ZI_DUMMY")</f>
        <v/>
      </c>
      <c r="T77" s="716" t="n"/>
      <c r="U77" s="610">
        <f>IFERROR(VLOOKUP('枚举值 (3)'!$H$2,OFFSET('枚举值 (3)'!$A:$E,'枚举值 (3)'!$H$4-1,0,1),4,FALSE),"")</f>
        <v/>
      </c>
      <c r="V77" s="777" t="n"/>
      <c r="W77" s="777">
        <f>IF(_epmOfflineCondition_,"ZI_DUMMY",EPMOlapMemberO(S77,"[C_ITEM].[PARENTH1].[ZI_DUMMY]","ZI_DUMMY","","000"))</f>
        <v/>
      </c>
      <c r="X77" s="462" t="n"/>
      <c r="Y77" s="804" t="n"/>
      <c r="Z77" s="796">
        <f>ROW()-45</f>
        <v/>
      </c>
      <c r="AA77" s="799">
        <f>IF(W77="ZI_DUMMY","",VLOOKUP(W77,'枚举值 (3)'!D:E,2,0))</f>
        <v/>
      </c>
      <c r="AB77" s="800">
        <f>IF($I$11="2022.12",AI77,AU77)</f>
        <v/>
      </c>
      <c r="AC77" s="1307">
        <f>IF($I$11="2022.12",AH77,AT77)</f>
        <v/>
      </c>
      <c r="AD77" s="1310" t="n"/>
      <c r="AE77" s="1310" t="n"/>
      <c r="AF77" s="1307">
        <f>IF(AE77&gt;0,(AC77+AD77-AE77),(AC77+AD77+AE77))</f>
        <v/>
      </c>
      <c r="AG77" s="800">
        <f>IF($AF$46=0,0,AF77/$AF$46)</f>
        <v/>
      </c>
      <c r="AH77" s="1310" t="n"/>
      <c r="AI77" s="812" t="n"/>
      <c r="AJ77" s="155" t="n"/>
      <c r="AK77" s="155" t="n"/>
      <c r="AL77" s="489" t="n"/>
      <c r="AM77" s="489">
        <f>IF(_epmOfflineCondition_,"",IF(W77="ZI_DUMMY","",EPMSaveData(AD77,,$D$18,$D$21,$D$22,$D$26,$D$27,$D$25,$AD$40,$AD$41,$AA$29,$AD$43,$AD$44,$AD$45,W77)))</f>
        <v/>
      </c>
      <c r="AN77" s="489">
        <f>IF(_epmOfflineCondition_,"",IF(W77="ZI_DUMMY","",EPMSaveData(AE77,,$D$18,$D$21,$D$22,$D$26,$D$27,$D$25,$AE$40,$AE$41,$AA$29,$AE$43,$AE$44,$AE$45,W77)))</f>
        <v/>
      </c>
      <c r="AO77" s="489" t="n"/>
      <c r="AP77" s="489">
        <f>IF(_epmOfflineCondition_,"",IF(W77="ZI_DUMMY","",EPMSaveData(AG77,,$D$18,$D$21,$D$22,$D$26,$D$27,$D$25,$AG$40,$AG$41,$AA$29,$AC$28,$AG$44,$AG$45,W77)))</f>
        <v/>
      </c>
      <c r="AQ77" s="489" t="n"/>
      <c r="AR77" s="489" t="n"/>
      <c r="AS77" s="489">
        <f>IF(_epmOfflineCondition_,"",IF(W77="ZI_DUMMY","",EPMSaveData(AE77*-2,,$D$18,$D$21,$D$22,$D$26,$D$27,$D$25,$AE$40,$AE$41,$AC$24,$AE$43,$AE$44,$AE$45,W77)))</f>
        <v/>
      </c>
      <c r="AT77" s="489" t="n"/>
      <c r="AU77" s="817" t="n"/>
      <c r="AV77" s="716" t="n"/>
    </row>
    <row r="78" ht="15" customFormat="1" customHeight="1" s="716">
      <c r="A78" s="716" t="n"/>
      <c r="B78" s="716" t="n"/>
      <c r="C78" s="716" t="n"/>
      <c r="D78" s="716" t="n"/>
      <c r="E78" s="716" t="n"/>
      <c r="F78" s="716" t="n"/>
      <c r="G78" s="716" t="n"/>
      <c r="H78" s="716" t="n"/>
      <c r="I78" s="716" t="n"/>
      <c r="J78" s="716" t="n"/>
      <c r="K78" s="716" t="n"/>
      <c r="L78" s="716" t="n"/>
      <c r="M78" s="716" t="n"/>
      <c r="N78" s="716" t="n"/>
      <c r="O78" s="716" t="n"/>
      <c r="P78" s="716" t="n"/>
      <c r="Q78" s="716" t="n"/>
      <c r="R78" s="716" t="n"/>
      <c r="S78" s="462">
        <f>IF(U78&lt;&gt;"",U78,"ZI_DUMMY")</f>
        <v/>
      </c>
      <c r="T78" s="716" t="n"/>
      <c r="U78" s="610">
        <f>IFERROR(VLOOKUP('枚举值 (3)'!$H$2,OFFSET('枚举值 (3)'!$A:$E,'枚举值 (3)'!$H$4,0,1),4,FALSE),"")</f>
        <v/>
      </c>
      <c r="V78" s="777" t="n"/>
      <c r="W78" s="777">
        <f>IF(_epmOfflineCondition_,"ZI_DUMMY",EPMOlapMemberO(S78,"[C_ITEM].[PARENTH1].[ZI_DUMMY]","ZI_DUMMY","","000"))</f>
        <v/>
      </c>
      <c r="X78" s="462" t="n"/>
      <c r="Y78" s="804" t="n"/>
      <c r="Z78" s="796">
        <f>ROW()-45</f>
        <v/>
      </c>
      <c r="AA78" s="799">
        <f>IF(W78="ZI_DUMMY","",VLOOKUP(W78,'枚举值 (3)'!D:E,2,0))</f>
        <v/>
      </c>
      <c r="AB78" s="800">
        <f>IF($I$11="2022.12",AI78,AU78)</f>
        <v/>
      </c>
      <c r="AC78" s="1307">
        <f>IF($I$11="2022.12",AH78,AT78)</f>
        <v/>
      </c>
      <c r="AD78" s="1310" t="n"/>
      <c r="AE78" s="1310" t="n"/>
      <c r="AF78" s="1307">
        <f>IF(AE78&gt;0,(AC78+AD78-AE78),(AC78+AD78+AE78))</f>
        <v/>
      </c>
      <c r="AG78" s="800">
        <f>IF($AF$46=0,0,AF78/$AF$46)</f>
        <v/>
      </c>
      <c r="AH78" s="1310" t="n"/>
      <c r="AI78" s="812" t="n"/>
      <c r="AJ78" s="155" t="n"/>
      <c r="AK78" s="155" t="n"/>
      <c r="AL78" s="489" t="n"/>
      <c r="AM78" s="489">
        <f>IF(_epmOfflineCondition_,"",IF(W78="ZI_DUMMY","",EPMSaveData(AD78,,$D$18,$D$21,$D$22,$D$26,$D$27,$D$25,$AD$40,$AD$41,$AA$29,$AD$43,$AD$44,$AD$45,W78)))</f>
        <v/>
      </c>
      <c r="AN78" s="489">
        <f>IF(_epmOfflineCondition_,"",IF(W78="ZI_DUMMY","",EPMSaveData(AE78,,$D$18,$D$21,$D$22,$D$26,$D$27,$D$25,$AE$40,$AE$41,$AA$29,$AE$43,$AE$44,$AE$45,W78)))</f>
        <v/>
      </c>
      <c r="AO78" s="489" t="n"/>
      <c r="AP78" s="489">
        <f>IF(_epmOfflineCondition_,"",IF(W78="ZI_DUMMY","",EPMSaveData(AG78,,$D$18,$D$21,$D$22,$D$26,$D$27,$D$25,$AG$40,$AG$41,$AA$29,$AC$28,$AG$44,$AG$45,W78)))</f>
        <v/>
      </c>
      <c r="AQ78" s="489" t="n"/>
      <c r="AR78" s="489" t="n"/>
      <c r="AS78" s="489">
        <f>IF(_epmOfflineCondition_,"",IF(W78="ZI_DUMMY","",EPMSaveData(AE78*-2,,$D$18,$D$21,$D$22,$D$26,$D$27,$D$25,$AE$40,$AE$41,$AC$24,$AE$43,$AE$44,$AE$45,W78)))</f>
        <v/>
      </c>
      <c r="AT78" s="489" t="n"/>
      <c r="AU78" s="817" t="n"/>
      <c r="AV78" s="716" t="n"/>
    </row>
    <row r="79" ht="15" customFormat="1" customHeight="1" s="716">
      <c r="A79" s="716" t="n"/>
      <c r="B79" s="716" t="n"/>
      <c r="C79" s="716" t="n"/>
      <c r="D79" s="716" t="n"/>
      <c r="E79" s="716" t="n"/>
      <c r="F79" s="716" t="n"/>
      <c r="G79" s="716" t="n"/>
      <c r="H79" s="716" t="n"/>
      <c r="I79" s="716" t="n"/>
      <c r="J79" s="716" t="n"/>
      <c r="K79" s="716" t="n"/>
      <c r="L79" s="716" t="n"/>
      <c r="M79" s="716" t="n"/>
      <c r="N79" s="716" t="n"/>
      <c r="O79" s="716" t="n"/>
      <c r="P79" s="716" t="n"/>
      <c r="Q79" s="716" t="n"/>
      <c r="R79" s="716" t="n"/>
      <c r="S79" s="462">
        <f>IF(U79&lt;&gt;"",U79,"ZI_DUMMY")</f>
        <v/>
      </c>
      <c r="T79" s="716" t="n"/>
      <c r="U79" s="610">
        <f>IFERROR(VLOOKUP('枚举值 (3)'!$H$2,OFFSET('枚举值 (3)'!$A:$E,'枚举值 (3)'!$H$4+1,0,1),4,FALSE),"")</f>
        <v/>
      </c>
      <c r="V79" s="777" t="n"/>
      <c r="W79" s="777">
        <f>IF(_epmOfflineCondition_,"ZI_DUMMY",EPMOlapMemberO(S79,"[C_ITEM].[PARENTH1].[ZI_DUMMY]","ZI_DUMMY","","000"))</f>
        <v/>
      </c>
      <c r="X79" s="462" t="n"/>
      <c r="Y79" s="804" t="n"/>
      <c r="Z79" s="796">
        <f>ROW()-45</f>
        <v/>
      </c>
      <c r="AA79" s="799">
        <f>IF(W79="ZI_DUMMY","",VLOOKUP(W79,'枚举值 (3)'!D:E,2,0))</f>
        <v/>
      </c>
      <c r="AB79" s="800">
        <f>IF($I$11="2022.12",AI79,AU79)</f>
        <v/>
      </c>
      <c r="AC79" s="1307">
        <f>IF($I$11="2022.12",AH79,AT79)</f>
        <v/>
      </c>
      <c r="AD79" s="1310" t="n"/>
      <c r="AE79" s="1310" t="n"/>
      <c r="AF79" s="1307">
        <f>IF(AE79&gt;0,(AC79+AD79-AE79),(AC79+AD79+AE79))</f>
        <v/>
      </c>
      <c r="AG79" s="800">
        <f>IF($AF$46=0,0,AF79/$AF$46)</f>
        <v/>
      </c>
      <c r="AH79" s="1310" t="n"/>
      <c r="AI79" s="812" t="n"/>
      <c r="AJ79" s="155" t="n"/>
      <c r="AK79" s="155" t="n"/>
      <c r="AL79" s="489" t="n"/>
      <c r="AM79" s="489">
        <f>IF(_epmOfflineCondition_,"",IF(W79="ZI_DUMMY","",EPMSaveData(AD79,,$D$18,$D$21,$D$22,$D$26,$D$27,$D$25,$AD$40,$AD$41,$AA$29,$AD$43,$AD$44,$AD$45,W79)))</f>
        <v/>
      </c>
      <c r="AN79" s="489">
        <f>IF(_epmOfflineCondition_,"",IF(W79="ZI_DUMMY","",EPMSaveData(AE79,,$D$18,$D$21,$D$22,$D$26,$D$27,$D$25,$AE$40,$AE$41,$AA$29,$AE$43,$AE$44,$AE$45,W79)))</f>
        <v/>
      </c>
      <c r="AO79" s="489" t="n"/>
      <c r="AP79" s="489">
        <f>IF(_epmOfflineCondition_,"",IF(W79="ZI_DUMMY","",EPMSaveData(AG79,,$D$18,$D$21,$D$22,$D$26,$D$27,$D$25,$AG$40,$AG$41,$AA$29,$AC$28,$AG$44,$AG$45,W79)))</f>
        <v/>
      </c>
      <c r="AQ79" s="489" t="n"/>
      <c r="AR79" s="489" t="n"/>
      <c r="AS79" s="489">
        <f>IF(_epmOfflineCondition_,"",IF(W79="ZI_DUMMY","",EPMSaveData(AE79*-2,,$D$18,$D$21,$D$22,$D$26,$D$27,$D$25,$AE$40,$AE$41,$AC$24,$AE$43,$AE$44,$AE$45,W79)))</f>
        <v/>
      </c>
      <c r="AT79" s="489" t="n"/>
      <c r="AU79" s="817" t="n"/>
      <c r="AV79" s="716" t="n"/>
    </row>
    <row r="80" ht="15" customFormat="1" customHeight="1" s="716">
      <c r="A80" s="716" t="n"/>
      <c r="B80" s="716" t="n"/>
      <c r="C80" s="716" t="n"/>
      <c r="D80" s="716" t="n"/>
      <c r="E80" s="716" t="n"/>
      <c r="F80" s="716" t="n"/>
      <c r="G80" s="716" t="n"/>
      <c r="H80" s="716" t="n"/>
      <c r="I80" s="716" t="n"/>
      <c r="J80" s="716" t="n"/>
      <c r="K80" s="716" t="n"/>
      <c r="L80" s="716" t="n"/>
      <c r="M80" s="716" t="n"/>
      <c r="N80" s="716" t="n"/>
      <c r="O80" s="716" t="n"/>
      <c r="P80" s="716" t="n"/>
      <c r="Q80" s="716" t="n"/>
      <c r="R80" s="716" t="n"/>
      <c r="S80" s="462">
        <f>IF(U80&lt;&gt;"",U80,"ZI_DUMMY")</f>
        <v/>
      </c>
      <c r="T80" s="716" t="n"/>
      <c r="U80" s="610">
        <f>IFERROR(VLOOKUP('枚举值 (3)'!$H$2,OFFSET('枚举值 (3)'!$A:$E,'枚举值 (3)'!$H$4+2,0,1),4,FALSE),"")</f>
        <v/>
      </c>
      <c r="V80" s="777" t="n"/>
      <c r="W80" s="777">
        <f>IF(_epmOfflineCondition_,"ZI_DUMMY",EPMOlapMemberO(S80,"[C_ITEM].[PARENTH1].[ZI_DUMMY]","ZI_DUMMY","","000"))</f>
        <v/>
      </c>
      <c r="X80" s="462" t="n"/>
      <c r="Y80" s="804" t="n"/>
      <c r="Z80" s="796">
        <f>ROW()-45</f>
        <v/>
      </c>
      <c r="AA80" s="799">
        <f>IF(W80="ZI_DUMMY","",VLOOKUP(W80,'枚举值 (3)'!D:E,2,0))</f>
        <v/>
      </c>
      <c r="AB80" s="800">
        <f>IF($I$11="2022.12",AI80,AU80)</f>
        <v/>
      </c>
      <c r="AC80" s="1307">
        <f>IF($I$11="2022.12",AH80,AT80)</f>
        <v/>
      </c>
      <c r="AD80" s="1310" t="n"/>
      <c r="AE80" s="1310" t="n"/>
      <c r="AF80" s="1307">
        <f>IF(AE80&gt;0,(AC80+AD80-AE80),(AC80+AD80+AE80))</f>
        <v/>
      </c>
      <c r="AG80" s="800">
        <f>IF($AF$46=0,0,AF80/$AF$46)</f>
        <v/>
      </c>
      <c r="AH80" s="1310" t="n"/>
      <c r="AI80" s="812" t="n"/>
      <c r="AJ80" s="155" t="n"/>
      <c r="AK80" s="155" t="n"/>
      <c r="AL80" s="489" t="n"/>
      <c r="AM80" s="489">
        <f>IF(_epmOfflineCondition_,"",IF(W80="ZI_DUMMY","",EPMSaveData(AD80,,$D$18,$D$21,$D$22,$D$26,$D$27,$D$25,$AD$40,$AD$41,$AA$29,$AD$43,$AD$44,$AD$45,W80)))</f>
        <v/>
      </c>
      <c r="AN80" s="489">
        <f>IF(_epmOfflineCondition_,"",IF(W80="ZI_DUMMY","",EPMSaveData(AE80,,$D$18,$D$21,$D$22,$D$26,$D$27,$D$25,$AE$40,$AE$41,$AA$29,$AE$43,$AE$44,$AE$45,W80)))</f>
        <v/>
      </c>
      <c r="AO80" s="489" t="n"/>
      <c r="AP80" s="489">
        <f>IF(_epmOfflineCondition_,"",IF(W80="ZI_DUMMY","",EPMSaveData(AG80,,$D$18,$D$21,$D$22,$D$26,$D$27,$D$25,$AG$40,$AG$41,$AA$29,$AC$28,$AG$44,$AG$45,W80)))</f>
        <v/>
      </c>
      <c r="AQ80" s="489" t="n"/>
      <c r="AR80" s="489" t="n"/>
      <c r="AS80" s="489">
        <f>IF(_epmOfflineCondition_,"",IF(W80="ZI_DUMMY","",EPMSaveData(AE80*-2,,$D$18,$D$21,$D$22,$D$26,$D$27,$D$25,$AE$40,$AE$41,$AC$24,$AE$43,$AE$44,$AE$45,W80)))</f>
        <v/>
      </c>
      <c r="AT80" s="489" t="n"/>
      <c r="AU80" s="817" t="n"/>
      <c r="AV80" s="716" t="n"/>
    </row>
    <row r="81" ht="15" customFormat="1" customHeight="1" s="716">
      <c r="A81" s="716" t="n"/>
      <c r="B81" s="716" t="n"/>
      <c r="C81" s="716" t="n"/>
      <c r="D81" s="716" t="n"/>
      <c r="E81" s="716" t="n"/>
      <c r="F81" s="716" t="n"/>
      <c r="G81" s="716" t="n"/>
      <c r="H81" s="716" t="n"/>
      <c r="I81" s="716" t="n"/>
      <c r="J81" s="716" t="n"/>
      <c r="K81" s="716" t="n"/>
      <c r="L81" s="716" t="n"/>
      <c r="M81" s="716" t="n"/>
      <c r="N81" s="716" t="n"/>
      <c r="O81" s="716" t="n"/>
      <c r="P81" s="716" t="n"/>
      <c r="Q81" s="716" t="n"/>
      <c r="R81" s="716" t="n"/>
      <c r="S81" s="462">
        <f>IF(U81&lt;&gt;"",U81,"ZI_DUMMY")</f>
        <v/>
      </c>
      <c r="T81" s="716" t="n"/>
      <c r="U81" s="610">
        <f>IFERROR(VLOOKUP('枚举值 (3)'!$H$2,OFFSET('枚举值 (3)'!$A:$E,'枚举值 (3)'!$H$4+3,0,1),4,FALSE),"")</f>
        <v/>
      </c>
      <c r="V81" s="777" t="n"/>
      <c r="W81" s="777">
        <f>IF(_epmOfflineCondition_,"ZI_DUMMY",EPMOlapMemberO(S81,"[C_ITEM].[PARENTH1].[ZI_DUMMY]","ZI_DUMMY","","000"))</f>
        <v/>
      </c>
      <c r="X81" s="462" t="n"/>
      <c r="Y81" s="804" t="n"/>
      <c r="Z81" s="796">
        <f>ROW()-45</f>
        <v/>
      </c>
      <c r="AA81" s="799">
        <f>IF(W81="ZI_DUMMY","",VLOOKUP(W81,'枚举值 (3)'!D:E,2,0))</f>
        <v/>
      </c>
      <c r="AB81" s="800">
        <f>IF($I$11="2022.12",AI81,AU81)</f>
        <v/>
      </c>
      <c r="AC81" s="1307">
        <f>IF($I$11="2022.12",AH81,AT81)</f>
        <v/>
      </c>
      <c r="AD81" s="1310" t="n"/>
      <c r="AE81" s="1310" t="n"/>
      <c r="AF81" s="1307">
        <f>IF(AE81&gt;0,(AC81+AD81-AE81),(AC81+AD81+AE81))</f>
        <v/>
      </c>
      <c r="AG81" s="800">
        <f>IF($AF$46=0,0,AF81/$AF$46)</f>
        <v/>
      </c>
      <c r="AH81" s="1310" t="n"/>
      <c r="AI81" s="812" t="n"/>
      <c r="AJ81" s="155" t="n"/>
      <c r="AK81" s="155" t="n"/>
      <c r="AL81" s="489" t="n"/>
      <c r="AM81" s="489">
        <f>IF(_epmOfflineCondition_,"",IF(W81="ZI_DUMMY","",EPMSaveData(AD81,,$D$18,$D$21,$D$22,$D$26,$D$27,$D$25,$AD$40,$AD$41,$AA$29,$AD$43,$AD$44,$AD$45,W81)))</f>
        <v/>
      </c>
      <c r="AN81" s="489">
        <f>IF(_epmOfflineCondition_,"",IF(W81="ZI_DUMMY","",EPMSaveData(AE81,,$D$18,$D$21,$D$22,$D$26,$D$27,$D$25,$AE$40,$AE$41,$AA$29,$AE$43,$AE$44,$AE$45,W81)))</f>
        <v/>
      </c>
      <c r="AO81" s="489" t="n"/>
      <c r="AP81" s="489">
        <f>IF(_epmOfflineCondition_,"",IF(W81="ZI_DUMMY","",EPMSaveData(AG81,,$D$18,$D$21,$D$22,$D$26,$D$27,$D$25,$AG$40,$AG$41,$AA$29,$AC$28,$AG$44,$AG$45,W81)))</f>
        <v/>
      </c>
      <c r="AQ81" s="489" t="n"/>
      <c r="AR81" s="489" t="n"/>
      <c r="AS81" s="489">
        <f>IF(_epmOfflineCondition_,"",IF(W81="ZI_DUMMY","",EPMSaveData(AE81*-2,,$D$18,$D$21,$D$22,$D$26,$D$27,$D$25,$AE$40,$AE$41,$AC$24,$AE$43,$AE$44,$AE$45,W81)))</f>
        <v/>
      </c>
      <c r="AT81" s="489" t="n"/>
      <c r="AU81" s="817" t="n"/>
      <c r="AV81" s="716" t="n"/>
    </row>
    <row r="82" ht="15" customFormat="1" customHeight="1" s="716">
      <c r="A82" s="716" t="n"/>
      <c r="B82" s="716" t="n"/>
      <c r="C82" s="716" t="n"/>
      <c r="D82" s="716" t="n"/>
      <c r="E82" s="716" t="n"/>
      <c r="F82" s="716" t="n"/>
      <c r="G82" s="716" t="n"/>
      <c r="H82" s="716" t="n"/>
      <c r="I82" s="716" t="n"/>
      <c r="J82" s="716" t="n"/>
      <c r="K82" s="716" t="n"/>
      <c r="L82" s="716" t="n"/>
      <c r="M82" s="716" t="n"/>
      <c r="N82" s="716" t="n"/>
      <c r="O82" s="716" t="n"/>
      <c r="P82" s="716" t="n"/>
      <c r="Q82" s="716" t="n"/>
      <c r="R82" s="716" t="n"/>
      <c r="S82" s="462" t="n"/>
      <c r="T82" s="716" t="n"/>
      <c r="U82" s="610" t="n"/>
      <c r="V82" s="462" t="n"/>
      <c r="W82" s="818" t="n"/>
      <c r="X82" s="462" t="n"/>
      <c r="Y82" s="795" t="inlineStr">
        <is>
          <t>（3）集团外其他</t>
        </is>
      </c>
      <c r="Z82" s="796">
        <f>ROW()-45</f>
        <v/>
      </c>
      <c r="AA82" s="801">
        <f>"— —"</f>
        <v/>
      </c>
      <c r="AB82" s="1186">
        <f>"— —"</f>
        <v/>
      </c>
      <c r="AC82" s="1307">
        <f>SUM(AC83:AC87)</f>
        <v/>
      </c>
      <c r="AD82" s="1307">
        <f>SUM(AD83:AD87)</f>
        <v/>
      </c>
      <c r="AE82" s="1307">
        <f>SUM(AE83:AE87)</f>
        <v/>
      </c>
      <c r="AF82" s="1307">
        <f>IF(AE82&gt;0,(AC82+AD82-AE82),(AC82+AD82+AE82))</f>
        <v/>
      </c>
      <c r="AG82" s="815">
        <f>"— —"</f>
        <v/>
      </c>
      <c r="AH82" s="1307">
        <f>SUM(AH83:AH87)</f>
        <v/>
      </c>
      <c r="AI82" s="1186">
        <f>"— —"</f>
        <v/>
      </c>
      <c r="AJ82" s="155" t="n"/>
      <c r="AK82" s="155" t="n"/>
      <c r="AL82" s="489" t="n"/>
      <c r="AM82" s="489" t="n"/>
      <c r="AN82" s="489" t="n"/>
      <c r="AO82" s="489" t="n"/>
      <c r="AP82" s="489" t="n"/>
      <c r="AQ82" s="489" t="n"/>
      <c r="AR82" s="489" t="n"/>
      <c r="AS82" s="489" t="n"/>
      <c r="AT82" s="489" t="n"/>
      <c r="AU82" s="817" t="n"/>
      <c r="AV82" s="716" t="n"/>
    </row>
    <row r="83" ht="15" customFormat="1" customHeight="1" s="716">
      <c r="A83" s="716" t="n"/>
      <c r="B83" s="716" t="n"/>
      <c r="C83" s="716" t="n"/>
      <c r="D83" s="716" t="n"/>
      <c r="E83" s="716" t="n"/>
      <c r="F83" s="716" t="n"/>
      <c r="G83" s="716" t="n"/>
      <c r="H83" s="716" t="n"/>
      <c r="I83" s="716" t="n"/>
      <c r="J83" s="716" t="n"/>
      <c r="K83" s="716" t="n"/>
      <c r="L83" s="716" t="n"/>
      <c r="M83" s="716" t="n"/>
      <c r="N83" s="716" t="n"/>
      <c r="O83" s="716" t="n"/>
      <c r="P83" s="716" t="n"/>
      <c r="Q83" s="716" t="n"/>
      <c r="R83" s="716" t="n"/>
      <c r="S83" s="462">
        <f>IF(U83&lt;&gt;"",U83,"ZI_DUMMY")</f>
        <v/>
      </c>
      <c r="T83" s="716" t="n"/>
      <c r="U83" s="610">
        <f>IFERROR(VLOOKUP('枚举值 (3)'!$H$2,OFFSET('枚举值 (3)'!$A:$E,'枚举值 (3)'!$H$5-1,0,1),4,FALSE),"")</f>
        <v/>
      </c>
      <c r="V83" s="777" t="n"/>
      <c r="W83" s="777">
        <f>IF(_epmOfflineCondition_,"ZI_DUMMY",EPMOlapMemberO(S83,"[C_ITEM].[PARENTH1].[ZI_DUMMY]","ZI_DUMMY","","000"))</f>
        <v/>
      </c>
      <c r="X83" s="462" t="n"/>
      <c r="Y83" s="804" t="n"/>
      <c r="Z83" s="796">
        <f>ROW()-45</f>
        <v/>
      </c>
      <c r="AA83" s="799">
        <f>IF(W83="ZI_DUMMY","",VLOOKUP(W83,'枚举值 (3)'!D:E,2,0))</f>
        <v/>
      </c>
      <c r="AB83" s="800">
        <f>IF($I$11="2022.12",AI83,AU83)</f>
        <v/>
      </c>
      <c r="AC83" s="1307">
        <f>IF($I$11="2022.12",AH83,AT83)</f>
        <v/>
      </c>
      <c r="AD83" s="1310" t="n"/>
      <c r="AE83" s="1310" t="n"/>
      <c r="AF83" s="1307">
        <f>IF(AE83&gt;0,(AC83+AD83-AE83),(AC83+AD83+AE83))</f>
        <v/>
      </c>
      <c r="AG83" s="800">
        <f>IF($AF$46=0,0,AF83/$AF$46)</f>
        <v/>
      </c>
      <c r="AH83" s="1310" t="n"/>
      <c r="AI83" s="812" t="n"/>
      <c r="AJ83" s="155" t="n"/>
      <c r="AK83" s="155" t="n"/>
      <c r="AL83" s="489" t="n"/>
      <c r="AM83" s="489">
        <f>IF(_epmOfflineCondition_,"",IF(W83="ZI_DUMMY","",EPMSaveData(AD83,,$D$18,$D$21,$D$22,$D$26,$D$27,$D$25,$AD$40,$AD$41,$AA$29,$AD$43,$AD$44,$AD$45,W83)))</f>
        <v/>
      </c>
      <c r="AN83" s="489">
        <f>IF(_epmOfflineCondition_,"",IF(W83="ZI_DUMMY","",EPMSaveData(AE83,,$D$18,$D$21,$D$22,$D$26,$D$27,$D$25,$AE$40,$AE$41,$AA$29,$AE$43,$AE$44,$AE$45,W83)))</f>
        <v/>
      </c>
      <c r="AO83" s="489" t="n"/>
      <c r="AP83" s="489">
        <f>IF(_epmOfflineCondition_,"",IF(W83="ZI_DUMMY","",EPMSaveData(AG83,,$D$18,$D$21,$D$22,$D$26,$D$27,$D$25,$AG$40,$AG$41,$AA$29,$AC$28,$AG$44,$AG$45,W83)))</f>
        <v/>
      </c>
      <c r="AQ83" s="489" t="n"/>
      <c r="AR83" s="489" t="n"/>
      <c r="AS83" s="489">
        <f>IF(_epmOfflineCondition_,"",IF(W83="ZI_DUMMY","",EPMSaveData(AE83*-2,,$D$18,$D$21,$D$22,$D$26,$D$27,$D$25,$AE$40,$AE$41,$AC$24,$AE$43,$AE$44,$AE$45,W83)))</f>
        <v/>
      </c>
      <c r="AT83" s="489" t="n"/>
      <c r="AU83" s="817" t="n"/>
      <c r="AV83" s="716" t="n"/>
    </row>
    <row r="84" ht="15" customFormat="1" customHeight="1" s="716">
      <c r="A84" s="716" t="n"/>
      <c r="B84" s="716" t="n"/>
      <c r="C84" s="716" t="n"/>
      <c r="D84" s="716" t="n"/>
      <c r="E84" s="716" t="n"/>
      <c r="F84" s="716" t="n"/>
      <c r="G84" s="716" t="n"/>
      <c r="H84" s="716" t="n"/>
      <c r="I84" s="716" t="n"/>
      <c r="J84" s="716" t="n"/>
      <c r="K84" s="716" t="n"/>
      <c r="L84" s="716" t="n"/>
      <c r="M84" s="716" t="n"/>
      <c r="N84" s="716" t="n"/>
      <c r="O84" s="716" t="n"/>
      <c r="P84" s="716" t="n"/>
      <c r="Q84" s="716" t="n"/>
      <c r="R84" s="716" t="n"/>
      <c r="S84" s="462">
        <f>IF(U84&lt;&gt;"",U84,"ZI_DUMMY")</f>
        <v/>
      </c>
      <c r="T84" s="716" t="n"/>
      <c r="U84" s="610">
        <f>IFERROR(VLOOKUP('枚举值 (3)'!$H$2,OFFSET('枚举值 (3)'!$A:$E,'枚举值 (3)'!$H$5,0,1),4,FALSE),"")</f>
        <v/>
      </c>
      <c r="V84" s="777" t="n"/>
      <c r="W84" s="777">
        <f>IF(_epmOfflineCondition_,"ZI_DUMMY",EPMOlapMemberO(S84,"[C_ITEM].[PARENTH1].[ZI_DUMMY]","ZI_DUMMY","","000"))</f>
        <v/>
      </c>
      <c r="X84" s="462" t="n"/>
      <c r="Y84" s="804" t="n"/>
      <c r="Z84" s="796">
        <f>ROW()-45</f>
        <v/>
      </c>
      <c r="AA84" s="799">
        <f>IF(W84="ZI_DUMMY","",VLOOKUP(W84,'枚举值 (3)'!D:E,2,0))</f>
        <v/>
      </c>
      <c r="AB84" s="800">
        <f>IF($I$11="2022.12",AI84,AU84)</f>
        <v/>
      </c>
      <c r="AC84" s="1307">
        <f>IF($I$11="2022.12",AH84,AT84)</f>
        <v/>
      </c>
      <c r="AD84" s="1310" t="n"/>
      <c r="AE84" s="1310" t="n"/>
      <c r="AF84" s="1307">
        <f>IF(AE84&gt;0,(AC84+AD84-AE84),(AC84+AD84+AE84))</f>
        <v/>
      </c>
      <c r="AG84" s="800">
        <f>IF($AF$46=0,0,AF84/$AF$46)</f>
        <v/>
      </c>
      <c r="AH84" s="1310" t="n"/>
      <c r="AI84" s="812" t="n"/>
      <c r="AJ84" s="155" t="n"/>
      <c r="AK84" s="155" t="n"/>
      <c r="AL84" s="489" t="n"/>
      <c r="AM84" s="489">
        <f>IF(_epmOfflineCondition_,"",IF(W84="ZI_DUMMY","",EPMSaveData(AD84,,$D$18,$D$21,$D$22,$D$26,$D$27,$D$25,$AD$40,$AD$41,$AA$29,$AD$43,$AD$44,$AD$45,W84)))</f>
        <v/>
      </c>
      <c r="AN84" s="489">
        <f>IF(_epmOfflineCondition_,"",IF(W84="ZI_DUMMY","",EPMSaveData(AE84,,$D$18,$D$21,$D$22,$D$26,$D$27,$D$25,$AE$40,$AE$41,$AA$29,$AE$43,$AE$44,$AE$45,W84)))</f>
        <v/>
      </c>
      <c r="AO84" s="489" t="n"/>
      <c r="AP84" s="489">
        <f>IF(_epmOfflineCondition_,"",IF(W84="ZI_DUMMY","",EPMSaveData(AG84,,$D$18,$D$21,$D$22,$D$26,$D$27,$D$25,$AG$40,$AG$41,$AA$29,$AC$28,$AG$44,$AG$45,W84)))</f>
        <v/>
      </c>
      <c r="AQ84" s="489" t="n"/>
      <c r="AR84" s="489" t="n"/>
      <c r="AS84" s="489">
        <f>IF(_epmOfflineCondition_,"",IF(W84="ZI_DUMMY","",EPMSaveData(AE84*-2,,$D$18,$D$21,$D$22,$D$26,$D$27,$D$25,$AE$40,$AE$41,$AC$24,$AE$43,$AE$44,$AE$45,W84)))</f>
        <v/>
      </c>
      <c r="AT84" s="489" t="n"/>
      <c r="AU84" s="817" t="n"/>
      <c r="AV84" s="716" t="n"/>
    </row>
    <row r="85">
      <c r="A85" s="384" t="n"/>
      <c r="B85" s="384" t="n"/>
      <c r="C85" s="384" t="n"/>
      <c r="D85" s="384" t="n"/>
      <c r="E85" s="384" t="n"/>
      <c r="F85" s="384" t="n"/>
      <c r="G85" s="384" t="n"/>
      <c r="H85" s="384" t="n"/>
      <c r="I85" s="384" t="n"/>
      <c r="J85" s="384" t="n"/>
      <c r="K85" s="384" t="n"/>
      <c r="L85" s="384" t="n"/>
      <c r="M85" s="384" t="n"/>
      <c r="N85" s="384" t="n"/>
      <c r="O85" s="384" t="n"/>
      <c r="P85" s="384" t="n"/>
      <c r="Q85" s="384" t="n"/>
      <c r="R85" s="384" t="n"/>
      <c r="S85" s="462">
        <f>IF(U85&lt;&gt;"",U85,"ZI_DUMMY")</f>
        <v/>
      </c>
      <c r="T85" s="384" t="n"/>
      <c r="U85" s="610">
        <f>IFERROR(VLOOKUP('枚举值 (3)'!$H$2,OFFSET('枚举值 (3)'!$A:$E,'枚举值 (3)'!$H$5+1,0,1),4,FALSE),"")</f>
        <v/>
      </c>
      <c r="V85" s="777" t="n"/>
      <c r="W85" s="777">
        <f>IF(_epmOfflineCondition_,"ZI_DUMMY",EPMOlapMemberO(S85,"[C_ITEM].[PARENTH1].[ZI_DUMMY]","ZI_DUMMY","","000"))</f>
        <v/>
      </c>
      <c r="X85" s="384" t="n"/>
      <c r="Y85" s="804" t="n"/>
      <c r="Z85" s="796">
        <f>ROW()-45</f>
        <v/>
      </c>
      <c r="AA85" s="799">
        <f>IF(W85="ZI_DUMMY","",VLOOKUP(W85,'枚举值 (3)'!D:E,2,0))</f>
        <v/>
      </c>
      <c r="AB85" s="800">
        <f>IF($I$11="2022.12",AI85,AU85)</f>
        <v/>
      </c>
      <c r="AC85" s="1307">
        <f>IF($I$11="2022.12",AH85,AT85)</f>
        <v/>
      </c>
      <c r="AD85" s="1310" t="n"/>
      <c r="AE85" s="1310" t="n"/>
      <c r="AF85" s="1307">
        <f>IF(AE85&gt;0,(AC85+AD85-AE85),(AC85+AD85+AE85))</f>
        <v/>
      </c>
      <c r="AG85" s="800">
        <f>IF($AF$46=0,0,AF85/$AF$46)</f>
        <v/>
      </c>
      <c r="AH85" s="1310" t="n"/>
      <c r="AI85" s="812" t="n"/>
      <c r="AJ85" s="155" t="n"/>
      <c r="AK85" s="155" t="n"/>
      <c r="AL85" s="489" t="n"/>
      <c r="AM85" s="489">
        <f>IF(_epmOfflineCondition_,"",IF(W85="ZI_DUMMY","",EPMSaveData(AD85,,$D$18,$D$21,$D$22,$D$26,$D$27,$D$25,$AD$40,$AD$41,$AA$29,$AD$43,$AD$44,$AD$45,W85)))</f>
        <v/>
      </c>
      <c r="AN85" s="489">
        <f>IF(_epmOfflineCondition_,"",IF(W85="ZI_DUMMY","",EPMSaveData(AE85,,$D$18,$D$21,$D$22,$D$26,$D$27,$D$25,$AE$40,$AE$41,$AA$29,$AE$43,$AE$44,$AE$45,W85)))</f>
        <v/>
      </c>
      <c r="AO85" s="155" t="n"/>
      <c r="AP85" s="489">
        <f>IF(_epmOfflineCondition_,"",IF(W85="ZI_DUMMY","",EPMSaveData(AG85,,$D$18,$D$21,$D$22,$D$26,$D$27,$D$25,$AG$40,$AG$41,$AA$29,$AC$28,$AG$44,$AG$45,W85)))</f>
        <v/>
      </c>
      <c r="AQ85" s="489" t="n"/>
      <c r="AR85" s="489" t="n"/>
      <c r="AS85" s="489">
        <f>IF(_epmOfflineCondition_,"",IF(W85="ZI_DUMMY","",EPMSaveData(AE85*-2,,$D$18,$D$21,$D$22,$D$26,$D$27,$D$25,$AE$40,$AE$41,$AC$24,$AE$43,$AE$44,$AE$45,W85)))</f>
        <v/>
      </c>
      <c r="AT85" s="155" t="n"/>
      <c r="AU85" s="814" t="n"/>
      <c r="AV85" s="384" t="n"/>
    </row>
    <row r="86">
      <c r="A86" s="384" t="n"/>
      <c r="B86" s="384" t="n"/>
      <c r="C86" s="384" t="n"/>
      <c r="D86" s="384" t="n"/>
      <c r="E86" s="384" t="n"/>
      <c r="F86" s="384" t="n"/>
      <c r="G86" s="384" t="n"/>
      <c r="H86" s="384" t="n"/>
      <c r="I86" s="384" t="n"/>
      <c r="J86" s="384" t="n"/>
      <c r="K86" s="384" t="n"/>
      <c r="L86" s="384" t="n"/>
      <c r="M86" s="384" t="n"/>
      <c r="N86" s="384" t="n"/>
      <c r="O86" s="384" t="n"/>
      <c r="P86" s="384" t="n"/>
      <c r="Q86" s="384" t="n"/>
      <c r="R86" s="384" t="n"/>
      <c r="S86" s="462">
        <f>IF(U86&lt;&gt;"",U86,"ZI_DUMMY")</f>
        <v/>
      </c>
      <c r="T86" s="384" t="n"/>
      <c r="U86" s="610">
        <f>IFERROR(VLOOKUP('枚举值 (3)'!$H$2,OFFSET('枚举值 (3)'!$A:$E,'枚举值 (3)'!$H$5+2,0,1),4,FALSE),"")</f>
        <v/>
      </c>
      <c r="V86" s="777" t="n"/>
      <c r="W86" s="777">
        <f>IF(_epmOfflineCondition_,"ZI_DUMMY",EPMOlapMemberO(S86,"[C_ITEM].[PARENTH1].[ZI_DUMMY]","ZI_DUMMY","","000"))</f>
        <v/>
      </c>
      <c r="X86" s="384" t="n"/>
      <c r="Y86" s="804" t="n"/>
      <c r="Z86" s="796">
        <f>ROW()-45</f>
        <v/>
      </c>
      <c r="AA86" s="799">
        <f>IF(W86="ZI_DUMMY","",VLOOKUP(W86,'枚举值 (3)'!D:E,2,0))</f>
        <v/>
      </c>
      <c r="AB86" s="800">
        <f>IF($I$11="2022.12",AI86,AU86)</f>
        <v/>
      </c>
      <c r="AC86" s="1307">
        <f>IF($I$11="2022.12",AH86,AT86)</f>
        <v/>
      </c>
      <c r="AD86" s="1310" t="n"/>
      <c r="AE86" s="1310" t="n"/>
      <c r="AF86" s="1307">
        <f>IF(AE86&gt;0,(AC86+AD86-AE86),(AC86+AD86+AE86))</f>
        <v/>
      </c>
      <c r="AG86" s="800">
        <f>IF($AF$46=0,0,AF86/$AF$46)</f>
        <v/>
      </c>
      <c r="AH86" s="1310" t="n"/>
      <c r="AI86" s="812" t="n"/>
      <c r="AJ86" s="155" t="n"/>
      <c r="AK86" s="155" t="n"/>
      <c r="AL86" s="489" t="n"/>
      <c r="AM86" s="489">
        <f>IF(_epmOfflineCondition_,"",IF(W86="ZI_DUMMY","",EPMSaveData(AD86,,$D$18,$D$21,$D$22,$D$26,$D$27,$D$25,$AD$40,$AD$41,$AA$29,$AD$43,$AD$44,$AD$45,W86)))</f>
        <v/>
      </c>
      <c r="AN86" s="489">
        <f>IF(_epmOfflineCondition_,"",IF(W86="ZI_DUMMY","",EPMSaveData(AE86,,$D$18,$D$21,$D$22,$D$26,$D$27,$D$25,$AE$40,$AE$41,$AA$29,$AE$43,$AE$44,$AE$45,W86)))</f>
        <v/>
      </c>
      <c r="AO86" s="155" t="n"/>
      <c r="AP86" s="489">
        <f>IF(_epmOfflineCondition_,"",IF(W86="ZI_DUMMY","",EPMSaveData(AG86,,$D$18,$D$21,$D$22,$D$26,$D$27,$D$25,$AG$40,$AG$41,$AA$29,$AC$28,$AG$44,$AG$45,W86)))</f>
        <v/>
      </c>
      <c r="AQ86" s="489" t="n"/>
      <c r="AR86" s="489" t="n"/>
      <c r="AS86" s="489">
        <f>IF(_epmOfflineCondition_,"",IF(W86="ZI_DUMMY","",EPMSaveData(AE86*-2,,$D$18,$D$21,$D$22,$D$26,$D$27,$D$25,$AE$40,$AE$41,$AC$24,$AE$43,$AE$44,$AE$45,W86)))</f>
        <v/>
      </c>
      <c r="AT86" s="155" t="n"/>
      <c r="AU86" s="814" t="n"/>
      <c r="AV86" s="384" t="n"/>
    </row>
    <row r="87">
      <c r="A87" s="384" t="n"/>
      <c r="B87" s="384" t="n"/>
      <c r="C87" s="384" t="n"/>
      <c r="D87" s="384" t="n"/>
      <c r="E87" s="384" t="n"/>
      <c r="F87" s="384" t="n"/>
      <c r="G87" s="384" t="n"/>
      <c r="H87" s="384" t="n"/>
      <c r="I87" s="384" t="n"/>
      <c r="J87" s="384" t="n"/>
      <c r="K87" s="384" t="n"/>
      <c r="L87" s="384" t="n"/>
      <c r="M87" s="384" t="n"/>
      <c r="N87" s="384" t="n"/>
      <c r="O87" s="384" t="n"/>
      <c r="P87" s="384" t="n"/>
      <c r="Q87" s="384" t="n"/>
      <c r="R87" s="384" t="n"/>
      <c r="S87" s="462">
        <f>IF(U87&lt;&gt;"",U87,"ZI_DUMMY")</f>
        <v/>
      </c>
      <c r="T87" s="384" t="n"/>
      <c r="U87" s="610">
        <f>IFERROR(VLOOKUP('枚举值 (3)'!$H$2,OFFSET('枚举值 (3)'!$A:$E,'枚举值 (3)'!$H$5+3,0,1),4,FALSE),"")</f>
        <v/>
      </c>
      <c r="V87" s="777" t="n"/>
      <c r="W87" s="777">
        <f>IF(_epmOfflineCondition_,"ZI_DUMMY",EPMOlapMemberO(S87,"[C_ITEM].[PARENTH1].[ZI_DUMMY]","ZI_DUMMY","","000"))</f>
        <v/>
      </c>
      <c r="X87" s="384" t="n"/>
      <c r="Y87" s="804" t="n"/>
      <c r="Z87" s="796">
        <f>ROW()-45</f>
        <v/>
      </c>
      <c r="AA87" s="799">
        <f>IF(W87="ZI_DUMMY","",VLOOKUP(W87,'枚举值 (3)'!D:E,2,0))</f>
        <v/>
      </c>
      <c r="AB87" s="800">
        <f>IF($I$11="2022.12",AI87,AU87)</f>
        <v/>
      </c>
      <c r="AC87" s="1307">
        <f>IF($I$11="2022.12",AH87,AT87)</f>
        <v/>
      </c>
      <c r="AD87" s="1310" t="n"/>
      <c r="AE87" s="1310" t="n"/>
      <c r="AF87" s="1307">
        <f>IF(AE87&gt;0,(AC87+AD87-AE87),(AC87+AD87+AE87))</f>
        <v/>
      </c>
      <c r="AG87" s="800">
        <f>IF($AF$46=0,0,AF87/$AF$46)</f>
        <v/>
      </c>
      <c r="AH87" s="1310" t="n"/>
      <c r="AI87" s="812" t="n"/>
      <c r="AJ87" s="155" t="n"/>
      <c r="AK87" s="155" t="n"/>
      <c r="AL87" s="489" t="n"/>
      <c r="AM87" s="489">
        <f>IF(_epmOfflineCondition_,"",IF(W87="ZI_DUMMY","",EPMSaveData(AD87,,$D$18,$D$21,$D$22,$D$26,$D$27,$D$25,$AD$40,$AD$41,$AA$29,$AD$43,$AD$44,$AD$45,W87)))</f>
        <v/>
      </c>
      <c r="AN87" s="489">
        <f>IF(_epmOfflineCondition_,"",IF(W87="ZI_DUMMY","",EPMSaveData(AE87,,$D$18,$D$21,$D$22,$D$26,$D$27,$D$25,$AE$40,$AE$41,$AA$29,$AE$43,$AE$44,$AE$45,W87)))</f>
        <v/>
      </c>
      <c r="AO87" s="155" t="n"/>
      <c r="AP87" s="489">
        <f>IF(_epmOfflineCondition_,"",IF(W87="ZI_DUMMY","",EPMSaveData(AG87,,$D$18,$D$21,$D$22,$D$26,$D$27,$D$25,$AG$40,$AG$41,$AA$29,$AC$28,$AG$44,$AG$45,W87)))</f>
        <v/>
      </c>
      <c r="AQ87" s="489" t="n"/>
      <c r="AR87" s="489" t="n"/>
      <c r="AS87" s="489">
        <f>IF(_epmOfflineCondition_,"",IF(W87="ZI_DUMMY","",EPMSaveData(AE87*-2,,$D$18,$D$21,$D$22,$D$26,$D$27,$D$25,$AE$40,$AE$41,$AC$24,$AE$43,$AE$44,$AE$45,W87)))</f>
        <v/>
      </c>
      <c r="AT87" s="155" t="n"/>
      <c r="AU87" s="814" t="n"/>
      <c r="AV87" s="384" t="n"/>
    </row>
    <row r="88">
      <c r="A88" s="384" t="n"/>
      <c r="B88" s="384" t="n"/>
      <c r="C88" s="384" t="n"/>
      <c r="D88" s="384" t="n"/>
      <c r="E88" s="384" t="n"/>
      <c r="F88" s="384" t="n"/>
      <c r="G88" s="384" t="n"/>
      <c r="H88" s="384" t="n"/>
      <c r="I88" s="384" t="n"/>
      <c r="J88" s="384" t="n"/>
      <c r="K88" s="384" t="n"/>
      <c r="L88" s="384" t="n"/>
      <c r="M88" s="384" t="n"/>
      <c r="N88" s="384" t="n"/>
      <c r="O88" s="384" t="n"/>
      <c r="P88" s="384" t="n"/>
      <c r="Q88" s="384" t="n"/>
      <c r="R88" s="384" t="n"/>
      <c r="S88" s="32" t="n"/>
      <c r="T88" s="384" t="n"/>
      <c r="U88" s="384" t="n"/>
      <c r="V88" s="384" t="n"/>
      <c r="W88" s="384" t="n"/>
      <c r="X88" s="384" t="n"/>
      <c r="Y88" s="38" t="n"/>
      <c r="Z88" s="384" t="n"/>
      <c r="AA88" s="819" t="n"/>
      <c r="AB88" s="384" t="n"/>
      <c r="AC88" s="384" t="n"/>
      <c r="AD88" s="384" t="n"/>
      <c r="AE88" s="384" t="n"/>
      <c r="AF88" s="384" t="n"/>
      <c r="AG88" s="384" t="n"/>
      <c r="AH88" s="384" t="n"/>
      <c r="AI88" s="716" t="n"/>
      <c r="AJ88" s="384" t="n"/>
      <c r="AK88" s="384" t="n"/>
      <c r="AL88" s="716" t="n"/>
      <c r="AM88" s="716" t="n"/>
      <c r="AN88" s="384" t="n"/>
      <c r="AO88" s="384" t="n"/>
      <c r="AP88" s="384" t="n"/>
      <c r="AQ88" s="384" t="n"/>
      <c r="AR88" s="716" t="n"/>
      <c r="AS88" s="384" t="n"/>
      <c r="AT88" s="384" t="n"/>
      <c r="AU88" s="843" t="n"/>
      <c r="AV88" s="384" t="n"/>
    </row>
    <row r="89">
      <c r="A89" s="384" t="n"/>
      <c r="B89" s="384" t="n"/>
      <c r="C89" s="384" t="n"/>
      <c r="D89" s="384" t="n"/>
      <c r="E89" s="384" t="n"/>
      <c r="F89" s="384" t="n"/>
      <c r="G89" s="384" t="n"/>
      <c r="H89" s="384" t="n"/>
      <c r="I89" s="384" t="n"/>
      <c r="J89" s="384" t="n"/>
      <c r="K89" s="384" t="n"/>
      <c r="L89" s="384" t="n"/>
      <c r="M89" s="384" t="n"/>
      <c r="N89" s="384" t="n"/>
      <c r="O89" s="384" t="n"/>
      <c r="P89" s="384" t="n"/>
      <c r="Q89" s="384" t="n"/>
      <c r="R89" s="384" t="n"/>
      <c r="S89" s="32" t="n"/>
      <c r="T89" s="384" t="n"/>
      <c r="U89" s="384" t="n"/>
      <c r="V89" s="384" t="n"/>
      <c r="W89" s="384" t="n"/>
      <c r="X89" s="384" t="n"/>
      <c r="Y89" s="575" t="inlineStr">
        <is>
          <t>备注：“年初余额（初始化）”、“年初持股比%（初始化）”，第一次上线初始化信息填写即可。</t>
        </is>
      </c>
      <c r="Z89" s="384" t="n"/>
      <c r="AA89" s="819" t="n"/>
      <c r="AB89" s="384" t="n"/>
      <c r="AC89" s="384" t="n"/>
      <c r="AD89" s="384" t="n"/>
      <c r="AE89" s="384" t="n"/>
      <c r="AF89" s="384" t="n"/>
      <c r="AG89" s="384" t="n"/>
      <c r="AH89" s="716" t="n"/>
      <c r="AI89" s="716" t="n"/>
      <c r="AJ89" s="384" t="n"/>
      <c r="AK89" s="384" t="n"/>
      <c r="AL89" s="384" t="n"/>
      <c r="AM89" s="384" t="n"/>
      <c r="AN89" s="384" t="n"/>
      <c r="AO89" s="384" t="n"/>
      <c r="AP89" s="384" t="n"/>
      <c r="AQ89" s="384" t="n"/>
      <c r="AR89" s="384" t="n"/>
      <c r="AS89" s="384" t="n"/>
      <c r="AT89" s="384" t="n"/>
      <c r="AU89" s="843" t="n"/>
      <c r="AV89" s="384" t="n"/>
    </row>
    <row r="90">
      <c r="A90" s="384" t="n"/>
      <c r="B90" s="384" t="n"/>
      <c r="C90" s="384" t="n"/>
      <c r="D90" s="384" t="n"/>
      <c r="E90" s="384" t="n"/>
      <c r="F90" s="384" t="n"/>
      <c r="G90" s="384" t="n"/>
      <c r="H90" s="384" t="n"/>
      <c r="I90" s="384" t="n"/>
      <c r="J90" s="384" t="n"/>
      <c r="K90" s="384" t="n"/>
      <c r="L90" s="384" t="n"/>
      <c r="M90" s="384" t="n"/>
      <c r="N90" s="384" t="n"/>
      <c r="O90" s="384" t="n"/>
      <c r="P90" s="384" t="n"/>
      <c r="Q90" s="384" t="n"/>
      <c r="R90" s="384" t="n"/>
      <c r="S90" s="32" t="n"/>
      <c r="T90" s="384" t="n"/>
      <c r="U90" s="384" t="n"/>
      <c r="V90" s="384" t="n"/>
      <c r="W90" s="384" t="n"/>
      <c r="X90" s="384" t="n"/>
      <c r="Y90" s="38" t="n"/>
      <c r="Z90" s="38" t="n"/>
      <c r="AA90" s="779" t="n"/>
      <c r="AB90" s="32" t="n"/>
      <c r="AC90" s="384" t="n"/>
      <c r="AD90" s="384" t="n"/>
      <c r="AE90" s="384" t="n"/>
      <c r="AF90" s="384" t="n"/>
      <c r="AG90" s="384" t="n"/>
      <c r="AH90" s="384" t="n"/>
      <c r="AI90" s="384" t="n"/>
      <c r="AJ90" s="384" t="n"/>
      <c r="AK90" s="384" t="n"/>
      <c r="AL90" s="384" t="n"/>
      <c r="AM90" s="384" t="n"/>
      <c r="AN90" s="384" t="n"/>
      <c r="AO90" s="384" t="n"/>
      <c r="AP90" s="384" t="n"/>
      <c r="AQ90" s="384" t="n"/>
      <c r="AR90" s="384" t="n"/>
      <c r="AS90" s="384" t="n"/>
      <c r="AT90" s="384" t="n"/>
      <c r="AU90" s="843" t="n"/>
      <c r="AV90" s="384" t="n"/>
    </row>
    <row r="91">
      <c r="A91" s="384" t="n"/>
      <c r="B91" s="384" t="n"/>
      <c r="C91" s="384" t="n"/>
      <c r="D91" s="384" t="n"/>
      <c r="E91" s="384" t="n"/>
      <c r="F91" s="384" t="n"/>
      <c r="G91" s="384" t="n"/>
      <c r="H91" s="384" t="n"/>
      <c r="I91" s="384" t="n"/>
      <c r="J91" s="384" t="n"/>
      <c r="K91" s="384" t="n"/>
      <c r="L91" s="384" t="n"/>
      <c r="M91" s="384" t="n"/>
      <c r="N91" s="384" t="n"/>
      <c r="O91" s="384" t="n"/>
      <c r="P91" s="384" t="n"/>
      <c r="Q91" s="384" t="n"/>
      <c r="R91" s="384" t="n"/>
      <c r="S91" s="32" t="n"/>
      <c r="T91" s="384" t="n"/>
      <c r="U91" s="384" t="n"/>
      <c r="V91" s="384" t="n"/>
      <c r="W91" s="384" t="n"/>
      <c r="X91" s="384" t="n"/>
      <c r="Y91" s="38" t="n"/>
      <c r="Z91" s="38" t="n"/>
      <c r="AA91" s="779" t="n"/>
      <c r="AB91" s="32" t="n"/>
      <c r="AC91" s="384" t="n"/>
      <c r="AD91" s="384" t="n"/>
      <c r="AE91" s="384" t="n"/>
      <c r="AF91" s="384" t="n"/>
      <c r="AG91" s="384" t="n"/>
      <c r="AH91" s="384" t="n"/>
      <c r="AI91" s="384" t="n"/>
      <c r="AJ91" s="384" t="n"/>
      <c r="AK91" s="384" t="n"/>
      <c r="AL91" s="384" t="n"/>
      <c r="AM91" s="384" t="n"/>
      <c r="AN91" s="384" t="n"/>
      <c r="AO91" s="384" t="n"/>
      <c r="AP91" s="384" t="n"/>
      <c r="AQ91" s="384" t="n"/>
      <c r="AR91" s="384" t="n"/>
      <c r="AS91" s="384" t="n"/>
      <c r="AT91" s="384" t="n"/>
      <c r="AU91" s="843" t="n"/>
      <c r="AV91" s="384" t="n"/>
    </row>
    <row r="92">
      <c r="A92" s="384" t="n"/>
      <c r="B92" s="384" t="n"/>
      <c r="C92" s="384" t="n"/>
      <c r="D92" s="384" t="n"/>
      <c r="E92" s="384" t="n"/>
      <c r="F92" s="384" t="n"/>
      <c r="G92" s="384" t="n"/>
      <c r="H92" s="384" t="n"/>
      <c r="I92" s="384" t="n"/>
      <c r="J92" s="384" t="n"/>
      <c r="K92" s="384" t="n"/>
      <c r="L92" s="384" t="n"/>
      <c r="M92" s="384" t="n"/>
      <c r="N92" s="384" t="n"/>
      <c r="O92" s="384" t="n"/>
      <c r="P92" s="384" t="n"/>
      <c r="Q92" s="384" t="n"/>
      <c r="R92" s="384" t="n"/>
      <c r="S92" s="32" t="n"/>
      <c r="T92" s="384" t="n"/>
      <c r="U92" s="384" t="n"/>
      <c r="V92" s="384" t="n"/>
      <c r="W92" s="384" t="n"/>
      <c r="X92" s="384" t="n"/>
      <c r="Y92" s="38" t="n"/>
      <c r="Z92" s="38" t="n"/>
      <c r="AA92" s="779" t="n"/>
      <c r="AB92" s="32" t="n"/>
      <c r="AC92" s="384" t="n"/>
      <c r="AD92" s="384" t="n"/>
      <c r="AE92" s="384" t="n"/>
      <c r="AF92" s="384" t="n"/>
      <c r="AG92" s="384" t="n"/>
      <c r="AH92" s="384" t="n"/>
      <c r="AI92" s="384" t="n"/>
      <c r="AJ92" s="384" t="n"/>
      <c r="AK92" s="384" t="n"/>
      <c r="AL92" s="384" t="n"/>
      <c r="AM92" s="384" t="n"/>
      <c r="AN92" s="384" t="n"/>
      <c r="AO92" s="384" t="n"/>
      <c r="AP92" s="384" t="n"/>
      <c r="AQ92" s="384" t="n"/>
      <c r="AR92" s="384" t="n"/>
      <c r="AS92" s="384" t="n"/>
      <c r="AT92" s="384" t="n"/>
      <c r="AU92" s="843" t="n"/>
      <c r="AV92" s="384" t="n"/>
    </row>
    <row r="93">
      <c r="A93" s="384" t="n"/>
      <c r="B93" s="384" t="n"/>
      <c r="C93" s="384" t="n"/>
      <c r="D93" s="384" t="n"/>
      <c r="E93" s="384" t="n"/>
      <c r="F93" s="384" t="n"/>
      <c r="G93" s="384" t="n"/>
      <c r="H93" s="384" t="n"/>
      <c r="I93" s="384" t="n"/>
      <c r="J93" s="384" t="n"/>
      <c r="K93" s="384" t="n"/>
      <c r="L93" s="384" t="n"/>
      <c r="M93" s="384" t="n"/>
      <c r="N93" s="384" t="n"/>
      <c r="O93" s="384" t="n"/>
      <c r="P93" s="384" t="n"/>
      <c r="Q93" s="384" t="n"/>
      <c r="R93" s="384" t="n"/>
      <c r="S93" s="32" t="n"/>
      <c r="T93" s="384" t="n"/>
      <c r="U93" s="384" t="n"/>
      <c r="V93" s="384" t="n"/>
      <c r="W93" s="384" t="n"/>
      <c r="X93" s="384" t="n"/>
      <c r="Y93" s="38" t="n"/>
      <c r="Z93" s="38" t="n"/>
      <c r="AA93" s="779" t="n"/>
      <c r="AB93" s="32" t="n"/>
      <c r="AC93" s="384" t="n"/>
      <c r="AD93" s="384" t="n"/>
      <c r="AE93" s="384" t="n"/>
      <c r="AF93" s="384" t="n"/>
      <c r="AG93" s="384" t="n"/>
      <c r="AH93" s="384" t="n"/>
      <c r="AI93" s="384" t="n"/>
      <c r="AJ93" s="384" t="n"/>
      <c r="AK93" s="384" t="n"/>
      <c r="AL93" s="384" t="n"/>
      <c r="AM93" s="384" t="n"/>
      <c r="AN93" s="384" t="n"/>
      <c r="AO93" s="384" t="n"/>
      <c r="AP93" s="384" t="n"/>
      <c r="AQ93" s="384" t="n"/>
      <c r="AR93" s="384" t="n"/>
      <c r="AS93" s="384" t="n"/>
      <c r="AT93" s="384" t="n"/>
      <c r="AU93" s="843" t="n"/>
      <c r="AV93" s="384" t="n"/>
    </row>
    <row r="94">
      <c r="A94" s="384" t="n"/>
      <c r="B94" s="384" t="n"/>
      <c r="C94" s="384" t="n"/>
      <c r="D94" s="384" t="n"/>
      <c r="E94" s="384" t="n"/>
      <c r="F94" s="384" t="n"/>
      <c r="G94" s="384" t="n"/>
      <c r="H94" s="384" t="n"/>
      <c r="I94" s="384" t="n"/>
      <c r="J94" s="384" t="n"/>
      <c r="K94" s="384" t="n"/>
      <c r="L94" s="384" t="n"/>
      <c r="M94" s="384" t="n"/>
      <c r="N94" s="384" t="n"/>
      <c r="O94" s="384" t="n"/>
      <c r="P94" s="384" t="n"/>
      <c r="Q94" s="384" t="n"/>
      <c r="R94" s="384" t="n"/>
      <c r="S94" s="32" t="n"/>
      <c r="T94" s="384" t="n"/>
      <c r="U94" s="384" t="n"/>
      <c r="V94" s="384" t="n"/>
      <c r="W94" s="384" t="n"/>
      <c r="X94" s="384" t="n"/>
      <c r="Y94" s="38" t="n"/>
      <c r="Z94" s="38" t="n"/>
      <c r="AA94" s="779" t="n"/>
      <c r="AB94" s="32" t="n"/>
      <c r="AC94" s="384" t="n"/>
      <c r="AD94" s="384" t="n"/>
      <c r="AE94" s="384" t="n"/>
      <c r="AF94" s="384" t="n"/>
      <c r="AG94" s="384" t="n"/>
      <c r="AH94" s="384" t="n"/>
      <c r="AI94" s="384" t="n"/>
      <c r="AJ94" s="384" t="n"/>
      <c r="AK94" s="384" t="n"/>
      <c r="AL94" s="384" t="n"/>
      <c r="AM94" s="384" t="n"/>
      <c r="AN94" s="384" t="n"/>
      <c r="AO94" s="384" t="n"/>
      <c r="AP94" s="384" t="n"/>
      <c r="AQ94" s="384" t="n"/>
      <c r="AR94" s="384" t="n"/>
      <c r="AS94" s="384" t="n"/>
      <c r="AT94" s="384" t="n"/>
      <c r="AU94" s="843" t="n"/>
      <c r="AV94" s="384" t="n"/>
    </row>
    <row r="95">
      <c r="A95" s="384" t="n"/>
      <c r="B95" s="384" t="n"/>
      <c r="C95" s="384" t="n"/>
      <c r="D95" s="384" t="n"/>
      <c r="E95" s="384" t="n"/>
      <c r="F95" s="384" t="n"/>
      <c r="G95" s="384" t="n"/>
      <c r="H95" s="384" t="n"/>
      <c r="I95" s="384" t="n"/>
      <c r="J95" s="384" t="n"/>
      <c r="K95" s="384" t="n"/>
      <c r="L95" s="384" t="n"/>
      <c r="M95" s="384" t="n"/>
      <c r="N95" s="384" t="n"/>
      <c r="O95" s="384" t="n"/>
      <c r="P95" s="384" t="n"/>
      <c r="Q95" s="384" t="n"/>
      <c r="R95" s="384" t="n"/>
      <c r="S95" s="32" t="n"/>
      <c r="T95" s="384" t="n"/>
      <c r="U95" s="384" t="n"/>
      <c r="V95" s="384" t="n"/>
      <c r="W95" s="384" t="n"/>
      <c r="X95" s="384" t="n"/>
      <c r="Y95" s="38" t="n"/>
      <c r="Z95" s="38" t="n"/>
      <c r="AA95" s="779" t="n"/>
      <c r="AB95" s="32" t="n"/>
      <c r="AC95" s="384" t="n"/>
      <c r="AD95" s="384" t="n"/>
      <c r="AE95" s="384" t="n"/>
      <c r="AF95" s="384" t="n"/>
      <c r="AG95" s="384" t="n"/>
      <c r="AH95" s="384" t="n"/>
      <c r="AI95" s="384" t="n"/>
      <c r="AJ95" s="384" t="n"/>
      <c r="AK95" s="384" t="n"/>
      <c r="AL95" s="384" t="n"/>
      <c r="AM95" s="384" t="n"/>
      <c r="AN95" s="384" t="n"/>
      <c r="AO95" s="384" t="n"/>
      <c r="AP95" s="384" t="n"/>
      <c r="AQ95" s="384" t="n"/>
      <c r="AR95" s="384" t="n"/>
      <c r="AS95" s="384" t="n"/>
      <c r="AT95" s="384" t="n"/>
      <c r="AU95" s="843" t="n"/>
      <c r="AV95" s="384" t="n"/>
    </row>
    <row r="96">
      <c r="A96" s="384" t="n"/>
      <c r="B96" s="384" t="n"/>
      <c r="C96" s="384" t="n"/>
      <c r="D96" s="384" t="n"/>
      <c r="E96" s="384" t="n"/>
      <c r="F96" s="384" t="n"/>
      <c r="G96" s="384" t="n"/>
      <c r="H96" s="384" t="n"/>
      <c r="I96" s="384" t="n"/>
      <c r="J96" s="384" t="n"/>
      <c r="K96" s="384" t="n"/>
      <c r="L96" s="384" t="n"/>
      <c r="M96" s="384" t="n"/>
      <c r="N96" s="384" t="n"/>
      <c r="O96" s="384" t="n"/>
      <c r="P96" s="384" t="n"/>
      <c r="Q96" s="384" t="n"/>
      <c r="R96" s="384" t="n"/>
      <c r="S96" s="32" t="n"/>
      <c r="T96" s="384" t="n"/>
      <c r="U96" s="384" t="n"/>
      <c r="V96" s="384" t="n"/>
      <c r="W96" s="384" t="n"/>
      <c r="X96" s="384" t="n"/>
      <c r="Y96" s="38" t="n"/>
      <c r="Z96" s="38" t="n"/>
      <c r="AA96" s="779" t="n"/>
      <c r="AB96" s="32" t="n"/>
      <c r="AC96" s="384" t="n"/>
      <c r="AD96" s="384" t="n"/>
      <c r="AE96" s="384" t="n"/>
      <c r="AF96" s="384" t="n"/>
      <c r="AG96" s="384" t="n"/>
      <c r="AH96" s="384" t="n"/>
      <c r="AI96" s="384" t="n"/>
      <c r="AJ96" s="384" t="n"/>
      <c r="AK96" s="384" t="n"/>
      <c r="AL96" s="384" t="n"/>
      <c r="AM96" s="384" t="n"/>
      <c r="AN96" s="384" t="n"/>
      <c r="AO96" s="384" t="n"/>
      <c r="AP96" s="384" t="n"/>
      <c r="AQ96" s="384" t="n"/>
      <c r="AR96" s="384" t="n"/>
      <c r="AS96" s="384" t="n"/>
      <c r="AT96" s="384" t="n"/>
      <c r="AU96" s="843" t="n"/>
      <c r="AV96" s="384" t="n"/>
    </row>
    <row r="97">
      <c r="A97" s="384" t="n"/>
      <c r="B97" s="384" t="n"/>
      <c r="C97" s="384" t="n"/>
      <c r="D97" s="384" t="n"/>
      <c r="E97" s="384" t="n"/>
      <c r="F97" s="384" t="n"/>
      <c r="G97" s="384" t="n"/>
      <c r="H97" s="384" t="n"/>
      <c r="I97" s="384" t="n"/>
      <c r="J97" s="384" t="n"/>
      <c r="K97" s="384" t="n"/>
      <c r="L97" s="384" t="n"/>
      <c r="M97" s="384" t="n"/>
      <c r="N97" s="384" t="n"/>
      <c r="O97" s="384" t="n"/>
      <c r="P97" s="384" t="n"/>
      <c r="Q97" s="384" t="n"/>
      <c r="R97" s="384" t="n"/>
      <c r="S97" s="32" t="n"/>
      <c r="T97" s="384" t="n"/>
      <c r="U97" s="384" t="n"/>
      <c r="V97" s="384" t="n"/>
      <c r="W97" s="384" t="n"/>
      <c r="X97" s="384" t="n"/>
      <c r="Y97" s="38" t="n"/>
      <c r="Z97" s="38" t="n"/>
      <c r="AA97" s="779" t="n"/>
      <c r="AB97" s="32" t="n"/>
      <c r="AC97" s="384" t="n"/>
      <c r="AD97" s="384" t="n"/>
      <c r="AE97" s="384" t="n"/>
      <c r="AF97" s="384" t="n"/>
      <c r="AG97" s="384" t="n"/>
      <c r="AH97" s="384" t="n"/>
      <c r="AI97" s="384" t="n"/>
      <c r="AJ97" s="384" t="n"/>
      <c r="AK97" s="384" t="n"/>
      <c r="AL97" s="384" t="n"/>
      <c r="AM97" s="384" t="n"/>
      <c r="AN97" s="384" t="n"/>
      <c r="AO97" s="384" t="n"/>
      <c r="AP97" s="384" t="n"/>
      <c r="AQ97" s="384" t="n"/>
      <c r="AR97" s="384" t="n"/>
      <c r="AS97" s="384" t="n"/>
      <c r="AT97" s="384" t="n"/>
      <c r="AU97" s="843" t="n"/>
      <c r="AV97" s="384" t="n"/>
    </row>
    <row r="98">
      <c r="A98" s="384" t="n"/>
      <c r="B98" s="384" t="n"/>
      <c r="C98" s="384" t="n"/>
      <c r="D98" s="384" t="n"/>
      <c r="E98" s="384" t="n"/>
      <c r="F98" s="384" t="n"/>
      <c r="G98" s="384" t="n"/>
      <c r="H98" s="384" t="n"/>
      <c r="I98" s="384" t="n"/>
      <c r="J98" s="384" t="n"/>
      <c r="K98" s="384" t="n"/>
      <c r="L98" s="384" t="n"/>
      <c r="M98" s="384" t="n"/>
      <c r="N98" s="384" t="n"/>
      <c r="O98" s="384" t="n"/>
      <c r="P98" s="384" t="n"/>
      <c r="Q98" s="384" t="n"/>
      <c r="R98" s="384" t="n"/>
      <c r="S98" s="32" t="n"/>
      <c r="T98" s="384" t="n"/>
      <c r="U98" s="384" t="n"/>
      <c r="V98" s="384" t="n"/>
      <c r="W98" s="384" t="n"/>
      <c r="X98" s="384" t="n"/>
      <c r="Y98" s="38" t="n"/>
      <c r="Z98" s="38" t="n"/>
      <c r="AA98" s="779" t="n"/>
      <c r="AB98" s="32" t="n"/>
      <c r="AC98" s="384" t="n"/>
      <c r="AD98" s="384" t="n"/>
      <c r="AE98" s="384" t="n"/>
      <c r="AF98" s="384" t="n"/>
      <c r="AG98" s="384" t="n"/>
      <c r="AH98" s="384" t="n"/>
      <c r="AI98" s="384" t="n"/>
      <c r="AJ98" s="384" t="n"/>
      <c r="AK98" s="384" t="n"/>
      <c r="AL98" s="384" t="n"/>
      <c r="AM98" s="384" t="n"/>
      <c r="AN98" s="384" t="n"/>
      <c r="AO98" s="384" t="n"/>
      <c r="AP98" s="384" t="n"/>
      <c r="AQ98" s="384" t="n"/>
      <c r="AR98" s="384" t="n"/>
      <c r="AS98" s="384" t="n"/>
      <c r="AT98" s="384" t="n"/>
      <c r="AU98" s="843" t="n"/>
      <c r="AV98" s="384" t="n"/>
    </row>
    <row r="99">
      <c r="A99" s="384" t="n"/>
      <c r="B99" s="384" t="n"/>
      <c r="C99" s="384" t="n"/>
      <c r="D99" s="384" t="n"/>
      <c r="E99" s="384" t="n"/>
      <c r="F99" s="384" t="n"/>
      <c r="G99" s="384" t="n"/>
      <c r="H99" s="384" t="n"/>
      <c r="I99" s="384" t="n"/>
      <c r="J99" s="384" t="n"/>
      <c r="K99" s="384" t="n"/>
      <c r="L99" s="384" t="n"/>
      <c r="M99" s="384" t="n"/>
      <c r="N99" s="384" t="n"/>
      <c r="O99" s="384" t="n"/>
      <c r="P99" s="384" t="n"/>
      <c r="Q99" s="384" t="n"/>
      <c r="R99" s="384" t="n"/>
      <c r="S99" s="32" t="n"/>
      <c r="T99" s="384" t="n"/>
      <c r="U99" s="384" t="n"/>
      <c r="V99" s="384" t="n"/>
      <c r="W99" s="384" t="n"/>
      <c r="X99" s="384" t="n"/>
      <c r="Y99" s="38" t="n"/>
      <c r="Z99" s="38" t="n"/>
      <c r="AA99" s="779" t="n"/>
      <c r="AB99" s="32" t="n"/>
      <c r="AC99" s="384" t="n"/>
      <c r="AD99" s="384" t="n"/>
      <c r="AE99" s="384" t="n"/>
      <c r="AF99" s="384" t="n"/>
      <c r="AG99" s="384" t="n"/>
      <c r="AH99" s="384" t="n"/>
      <c r="AI99" s="384" t="n"/>
      <c r="AJ99" s="384" t="n"/>
      <c r="AK99" s="384" t="n"/>
      <c r="AL99" s="384" t="n"/>
      <c r="AM99" s="384" t="n"/>
      <c r="AN99" s="384" t="n"/>
      <c r="AO99" s="384" t="n"/>
      <c r="AP99" s="384" t="n"/>
      <c r="AQ99" s="384" t="n"/>
      <c r="AR99" s="384" t="n"/>
      <c r="AS99" s="384" t="n"/>
      <c r="AT99" s="384" t="n"/>
      <c r="AU99" s="843" t="n"/>
      <c r="AV99" s="384" t="n"/>
    </row>
    <row r="100">
      <c r="A100" s="384" t="n"/>
      <c r="B100" s="384" t="n"/>
      <c r="C100" s="384" t="n"/>
      <c r="D100" s="384" t="n"/>
      <c r="E100" s="384" t="n"/>
      <c r="F100" s="384" t="n"/>
      <c r="G100" s="384" t="n"/>
      <c r="H100" s="384" t="n"/>
      <c r="I100" s="384" t="n"/>
      <c r="J100" s="384" t="n"/>
      <c r="K100" s="384" t="n"/>
      <c r="L100" s="384" t="n"/>
      <c r="M100" s="384" t="n"/>
      <c r="N100" s="384" t="n"/>
      <c r="O100" s="384" t="n"/>
      <c r="P100" s="384" t="n"/>
      <c r="Q100" s="384" t="n"/>
      <c r="R100" s="384" t="n"/>
      <c r="S100" s="32" t="n"/>
      <c r="T100" s="384" t="n"/>
      <c r="U100" s="384" t="n"/>
      <c r="V100" s="384" t="n"/>
      <c r="W100" s="384" t="n"/>
      <c r="X100" s="384" t="n"/>
      <c r="Y100" s="38" t="n"/>
      <c r="Z100" s="38" t="n"/>
      <c r="AA100" s="779" t="n"/>
      <c r="AB100" s="32" t="n"/>
      <c r="AC100" s="384" t="n"/>
      <c r="AD100" s="384" t="n"/>
      <c r="AE100" s="384" t="n"/>
      <c r="AF100" s="384" t="n"/>
      <c r="AG100" s="384" t="n"/>
      <c r="AH100" s="384" t="n"/>
      <c r="AI100" s="384" t="n"/>
      <c r="AJ100" s="384" t="n"/>
      <c r="AK100" s="384" t="n"/>
      <c r="AL100" s="384" t="n"/>
      <c r="AM100" s="384" t="n"/>
      <c r="AN100" s="384" t="n"/>
      <c r="AO100" s="384" t="n"/>
      <c r="AP100" s="384" t="n"/>
      <c r="AQ100" s="384" t="n"/>
      <c r="AR100" s="384" t="n"/>
      <c r="AS100" s="384" t="n"/>
      <c r="AT100" s="384" t="n"/>
      <c r="AU100" s="843" t="n"/>
      <c r="AV100" s="384" t="n"/>
    </row>
  </sheetData>
  <sheetProtection selectLockedCells="0" selectUnlockedCells="0" algorithmName="SHA-512" sheet="1" objects="0" insertRows="1" insertHyperlinks="1" autoFilter="1" scenarios="1" formatColumns="1" deleteColumns="1" insertColumns="1" pivotTables="1" deleteRows="1" formatCells="1" saltValue="aF58tu3kBw5agA77bRbONA==" formatRows="1" sort="1" spinCount="100000" hashValue="RoPO+jaXvHJeWoUFKB/9O5qoVcafA2AxUTQ84WDftAzcAV4mNAamJJk/f9mlLv1dYL2CCZ5MCDu3+dMO3afdLA=="/>
  <mergeCells count="3">
    <mergeCell ref="H2:J2"/>
    <mergeCell ref="D16:E16"/>
    <mergeCell ref="AA35:AB35"/>
  </mergeCells>
  <conditionalFormatting sqref="AI31">
    <cfRule type="cellIs" priority="1" operator="equal" dxfId="0">
      <formula>"集团外公司（合计）"</formula>
    </cfRule>
  </conditionalFormatting>
  <conditionalFormatting sqref="AA1:AA35 AC31 AH36 AG37 AA37:AA38 AA90:AA1048576">
    <cfRule type="cellIs" priority="4" operator="equal" dxfId="0">
      <formula>"集团外公司（合计）"</formula>
    </cfRule>
  </conditionalFormatting>
  <conditionalFormatting sqref="AE31 AG31">
    <cfRule type="cellIs" priority="2" operator="equal" dxfId="0">
      <formula>"集团外公司（合计）"</formula>
    </cfRule>
  </conditionalFormatting>
  <conditionalFormatting sqref="AE33 AG33">
    <cfRule type="cellIs" priority="3" operator="equal" dxfId="0">
      <formula>"集团外公司（合计）"</formula>
    </cfRule>
  </conditionalFormatting>
  <dataValidations count="1">
    <dataValidation sqref="AA37" showErrorMessage="1" showInputMessage="1" allowBlank="1" type="list">
      <formula1>"LC,CNY"</formula1>
    </dataValidation>
  </dataValidations>
  <pageMargins left="0.7" right="0.7" top="0.75" bottom="0.75" header="0.3" footer="0.3"/>
  <pageSetup orientation="portrait" paperSize="9"/>
  <drawing xmlns:r="http://schemas.openxmlformats.org/officeDocument/2006/relationships" r:id="rId1"/>
</worksheet>
</file>

<file path=xl/worksheets/sheet16.xml><?xml version="1.0" encoding="utf-8"?>
<worksheet xmlns="http://schemas.openxmlformats.org/spreadsheetml/2006/main">
  <sheetPr codeName="Sheet24">
    <outlinePr summaryBelow="1" summaryRight="1"/>
    <pageSetUpPr/>
  </sheetPr>
  <dimension ref="A1:H1308"/>
  <sheetViews>
    <sheetView topLeftCell="S1" workbookViewId="0">
      <pane ySplit="2" topLeftCell="A39" activePane="bottomLeft" state="frozen"/>
      <selection activeCell="A1" sqref="A1"/>
      <selection pane="bottomLeft" activeCell="AD56" sqref="AD56"/>
    </sheetView>
  </sheetViews>
  <sheetFormatPr baseColWidth="8" defaultColWidth="8.375" defaultRowHeight="15.2"/>
  <cols>
    <col width="20" customWidth="1" style="672" min="1" max="1"/>
    <col width="8.375" customWidth="1" style="767" min="2" max="2"/>
    <col width="35.375" customWidth="1" style="182" min="3" max="3"/>
    <col width="16.375" customWidth="1" style="182" min="4" max="4"/>
    <col width="63.375" customWidth="1" style="182" min="5" max="5"/>
    <col width="8.375" customWidth="1" style="716" min="6" max="6"/>
    <col width="14" customWidth="1" style="716" min="7" max="7"/>
    <col width="16.375" customWidth="1" style="462" min="8" max="8"/>
    <col width="8.375" customWidth="1" style="716" min="9" max="16384"/>
  </cols>
  <sheetData>
    <row r="1" customFormat="1" s="760">
      <c r="A1" s="761" t="inlineStr">
        <is>
          <t>实收资本-集团外-公司</t>
        </is>
      </c>
      <c r="B1" s="762" t="n"/>
      <c r="C1" s="763" t="n"/>
      <c r="D1" s="178" t="n"/>
      <c r="E1" s="763" t="n"/>
      <c r="F1" s="760" t="n"/>
      <c r="G1" s="762" t="inlineStr">
        <is>
          <t>取值</t>
        </is>
      </c>
      <c r="H1" s="1183" t="n"/>
    </row>
    <row r="2" customFormat="1" s="760">
      <c r="A2" s="764" t="inlineStr">
        <is>
          <t>Entity</t>
        </is>
      </c>
      <c r="B2" s="765" t="inlineStr">
        <is>
          <t>行号</t>
        </is>
      </c>
      <c r="C2" s="766" t="inlineStr">
        <is>
          <t>实体名称</t>
        </is>
      </c>
      <c r="D2" s="766" t="inlineStr">
        <is>
          <t>出资方编码</t>
        </is>
      </c>
      <c r="E2" s="766" t="inlineStr">
        <is>
          <t>出资方</t>
        </is>
      </c>
      <c r="F2" s="760" t="n"/>
      <c r="G2" s="768" t="inlineStr">
        <is>
          <t>Entity</t>
        </is>
      </c>
      <c r="H2" s="672">
        <f>'JNJTC1014-实收资本表-单体'!$C$6</f>
        <v/>
      </c>
    </row>
    <row r="3">
      <c r="A3" s="672" t="inlineStr">
        <is>
          <t>E100333</t>
        </is>
      </c>
      <c r="B3" s="767">
        <f>ROW()</f>
        <v/>
      </c>
      <c r="C3" s="182" t="inlineStr">
        <is>
          <t>安徽马钢智能立体停车设备有限公司</t>
        </is>
      </c>
      <c r="D3" s="182" t="inlineStr">
        <is>
          <t>ZI0290020003</t>
        </is>
      </c>
      <c r="E3" s="182" t="inlineStr">
        <is>
          <t>马钢集团投资有限公司</t>
        </is>
      </c>
      <c r="F3" s="716" t="n"/>
      <c r="G3" s="768" t="inlineStr">
        <is>
          <t>集团外公司-行号</t>
        </is>
      </c>
      <c r="H3" s="672">
        <f>VLOOKUP($H$2,A3:B238,2,FALSE)</f>
        <v/>
      </c>
    </row>
    <row r="4">
      <c r="A4" s="672" t="inlineStr">
        <is>
          <t>E101039</t>
        </is>
      </c>
      <c r="B4" s="767">
        <f>ROW()</f>
        <v/>
      </c>
      <c r="C4" s="182" t="inlineStr">
        <is>
          <t>巴塘县溪河水电开发有限责任公司</t>
        </is>
      </c>
      <c r="D4" s="182" t="inlineStr">
        <is>
          <t>ZI0290020004</t>
        </is>
      </c>
      <c r="E4" s="182" t="inlineStr">
        <is>
          <t>巴塘县国有资产管理委员会</t>
        </is>
      </c>
      <c r="F4" s="716" t="n"/>
      <c r="G4" s="768" t="inlineStr">
        <is>
          <t>集团外个人-行号</t>
        </is>
      </c>
      <c r="H4" s="672">
        <f>VLOOKUP($H$2,A240:B264,2,FALSE)</f>
        <v/>
      </c>
    </row>
    <row r="5">
      <c r="A5" s="672" t="inlineStr">
        <is>
          <t>E100709</t>
        </is>
      </c>
      <c r="B5" s="767">
        <f>ROW()</f>
        <v/>
      </c>
      <c r="C5" s="182" t="inlineStr">
        <is>
          <t>巴彦淖尔京能清洁能源电力有限公司</t>
        </is>
      </c>
      <c r="D5" s="182" t="inlineStr">
        <is>
          <t>ZI0290020005</t>
        </is>
      </c>
      <c r="E5" s="182" t="inlineStr">
        <is>
          <t>首欣建设集团有限公司</t>
        </is>
      </c>
      <c r="F5" s="716" t="n"/>
      <c r="G5" s="768" t="inlineStr">
        <is>
          <t>集团外其他-行号</t>
        </is>
      </c>
      <c r="H5" s="672">
        <f>VLOOKUP($H$2,A265:B277,2,FALSE)</f>
        <v/>
      </c>
    </row>
    <row r="6">
      <c r="A6" s="672" t="inlineStr">
        <is>
          <t>E100217</t>
        </is>
      </c>
      <c r="B6" s="767">
        <f>ROW()</f>
        <v/>
      </c>
      <c r="C6" s="182" t="inlineStr">
        <is>
          <t>包头市盛华煤炭销售有限公司</t>
        </is>
      </c>
      <c r="D6" s="182" t="inlineStr">
        <is>
          <t>ZI0290020006</t>
        </is>
      </c>
      <c r="E6" s="182" t="inlineStr">
        <is>
          <t>北京银行股份有限公司南京分行</t>
        </is>
      </c>
      <c r="F6" s="716" t="n"/>
      <c r="G6" s="768" t="inlineStr">
        <is>
          <t>集团内-行号</t>
        </is>
      </c>
      <c r="H6" s="672">
        <f>VLOOKUP($H$2,A279:B3053,2,FALSE)</f>
        <v/>
      </c>
    </row>
    <row r="7">
      <c r="A7" s="672" t="inlineStr">
        <is>
          <t>E100447</t>
        </is>
      </c>
      <c r="B7" s="767">
        <f>ROW()</f>
        <v/>
      </c>
      <c r="C7" s="182" t="inlineStr">
        <is>
          <t>保定市金泰宏孚房地产开发有限公司</t>
        </is>
      </c>
      <c r="D7" s="182" t="inlineStr">
        <is>
          <t>ZI0290020007</t>
        </is>
      </c>
      <c r="E7" s="182" t="inlineStr">
        <is>
          <t>保定市宏孚房地产开发有限责任公司</t>
        </is>
      </c>
      <c r="F7" s="716" t="n"/>
      <c r="G7" s="716" t="n"/>
      <c r="H7" s="462" t="n"/>
    </row>
    <row r="8">
      <c r="A8" s="672" t="inlineStr">
        <is>
          <t>E100447</t>
        </is>
      </c>
      <c r="B8" s="767">
        <f>ROW()</f>
        <v/>
      </c>
      <c r="C8" s="182" t="inlineStr">
        <is>
          <t>保定市金泰宏孚房地产开发有限公司</t>
        </is>
      </c>
      <c r="D8" s="182" t="inlineStr">
        <is>
          <t>ZI0290020008</t>
        </is>
      </c>
      <c r="E8" s="182" t="inlineStr">
        <is>
          <t>北京宏宝源投资有限公司</t>
        </is>
      </c>
      <c r="F8" s="716" t="n"/>
      <c r="G8" s="716" t="n"/>
      <c r="H8" s="462" t="n"/>
    </row>
    <row r="9">
      <c r="A9" s="672" t="inlineStr">
        <is>
          <t>E100274</t>
        </is>
      </c>
      <c r="B9" s="767">
        <f>ROW()</f>
        <v/>
      </c>
      <c r="C9" s="182" t="inlineStr">
        <is>
          <t>北京乘美乡居文化旅游发展有限公司</t>
        </is>
      </c>
      <c r="D9" s="182" t="inlineStr">
        <is>
          <t>ZI0290020009</t>
        </is>
      </c>
      <c r="E9" s="182" t="inlineStr">
        <is>
          <t>北京城建设计发展集团股份有限公司</t>
        </is>
      </c>
      <c r="F9" s="716" t="n"/>
      <c r="G9" s="716" t="n"/>
      <c r="H9" s="462" t="n"/>
    </row>
    <row r="10">
      <c r="A10" s="672" t="inlineStr">
        <is>
          <t>E100201</t>
        </is>
      </c>
      <c r="B10" s="767">
        <f>ROW()</f>
        <v/>
      </c>
      <c r="C10" s="182" t="inlineStr">
        <is>
          <t>北京昊华能源股份有限公司</t>
        </is>
      </c>
      <c r="D10" s="182" t="inlineStr">
        <is>
          <t>ZI0290020010</t>
        </is>
      </c>
      <c r="E10" s="182" t="inlineStr">
        <is>
          <t>中国中煤能源集团有限公司</t>
        </is>
      </c>
      <c r="F10" s="716" t="n"/>
      <c r="G10" s="716" t="n"/>
      <c r="H10" s="462" t="n"/>
    </row>
    <row r="11">
      <c r="A11" s="672" t="inlineStr">
        <is>
          <t>E100201</t>
        </is>
      </c>
      <c r="B11" s="767">
        <f>ROW()</f>
        <v/>
      </c>
      <c r="C11" s="182" t="inlineStr">
        <is>
          <t>北京昊华能源股份有限公司</t>
        </is>
      </c>
      <c r="D11" s="182" t="inlineStr">
        <is>
          <t>ZI0290020011</t>
        </is>
      </c>
      <c r="E11" s="182" t="inlineStr">
        <is>
          <t>中国银行股份有限公司-招商中证煤炭等权指数分级证券投资基金</t>
        </is>
      </c>
      <c r="F11" s="716" t="n"/>
      <c r="G11" s="716" t="n"/>
      <c r="H11" s="462" t="n"/>
    </row>
    <row r="12">
      <c r="A12" s="672" t="inlineStr">
        <is>
          <t>E100201</t>
        </is>
      </c>
      <c r="B12" s="767">
        <f>ROW()</f>
        <v/>
      </c>
      <c r="C12" s="182" t="inlineStr">
        <is>
          <t>北京昊华能源股份有限公司</t>
        </is>
      </c>
      <c r="D12" s="182" t="inlineStr">
        <is>
          <t>ZI0290020012</t>
        </is>
      </c>
      <c r="E12" s="182" t="inlineStr">
        <is>
          <t>中国工商银行股份有限公司-国泰中证煤炭交易型开放式指数证券投资基金</t>
        </is>
      </c>
      <c r="F12" s="716" t="n"/>
      <c r="G12" s="716" t="n"/>
      <c r="H12" s="462" t="n"/>
    </row>
    <row r="13">
      <c r="A13" s="672" t="inlineStr">
        <is>
          <t>E100201</t>
        </is>
      </c>
      <c r="B13" s="767">
        <f>ROW()</f>
        <v/>
      </c>
      <c r="C13" s="182" t="inlineStr">
        <is>
          <t>北京昊华能源股份有限公司</t>
        </is>
      </c>
      <c r="D13" s="182" t="inlineStr">
        <is>
          <t>ZI0290020013</t>
        </is>
      </c>
      <c r="E13" s="182" t="inlineStr">
        <is>
          <t>国泰君安证券股份有限公司-富国中证煤炭指数型证券投资基金</t>
        </is>
      </c>
      <c r="F13" s="716" t="n"/>
      <c r="G13" s="716" t="n"/>
      <c r="H13" s="462" t="n"/>
    </row>
    <row r="14">
      <c r="A14" s="672" t="inlineStr">
        <is>
          <t>E100201</t>
        </is>
      </c>
      <c r="B14" s="767">
        <f>ROW()</f>
        <v/>
      </c>
      <c r="C14" s="182" t="inlineStr">
        <is>
          <t>北京昊华能源股份有限公司</t>
        </is>
      </c>
      <c r="D14" s="182" t="inlineStr">
        <is>
          <t>ZI0290020014</t>
        </is>
      </c>
      <c r="E14" s="182" t="inlineStr">
        <is>
          <t>UBS AG</t>
        </is>
      </c>
      <c r="F14" s="716" t="n"/>
      <c r="G14" s="716" t="n"/>
      <c r="H14" s="462" t="n"/>
    </row>
    <row r="15">
      <c r="A15" s="672" t="inlineStr">
        <is>
          <t>E100201</t>
        </is>
      </c>
      <c r="B15" s="767">
        <f>ROW()</f>
        <v/>
      </c>
      <c r="C15" s="182" t="inlineStr">
        <is>
          <t>北京昊华能源股份有限公司</t>
        </is>
      </c>
      <c r="D15" s="182" t="inlineStr">
        <is>
          <t>ZI0290020015</t>
        </is>
      </c>
      <c r="E15" s="182" t="inlineStr">
        <is>
          <t>中国建设银行股份有限公司-中银证券价值精选灵活配置混合型证券投资基金</t>
        </is>
      </c>
      <c r="F15" s="716" t="n"/>
      <c r="G15" s="716" t="n"/>
      <c r="H15" s="462" t="n"/>
    </row>
    <row r="16">
      <c r="A16" s="672" t="inlineStr">
        <is>
          <t>E100201G</t>
        </is>
      </c>
      <c r="B16" s="767">
        <f>ROW()</f>
        <v/>
      </c>
      <c r="C16" s="182" t="inlineStr">
        <is>
          <t>北京昊华能源股份有限公司（合并）</t>
        </is>
      </c>
      <c r="D16" s="182" t="inlineStr">
        <is>
          <t>ZI0290020010</t>
        </is>
      </c>
      <c r="E16" s="182" t="inlineStr">
        <is>
          <t>中国中煤能源集团有限公司</t>
        </is>
      </c>
      <c r="F16" s="716" t="n"/>
      <c r="G16" s="716" t="n"/>
      <c r="H16" s="462" t="n"/>
    </row>
    <row r="17">
      <c r="A17" s="672" t="inlineStr">
        <is>
          <t>E100201G</t>
        </is>
      </c>
      <c r="B17" s="767">
        <f>ROW()</f>
        <v/>
      </c>
      <c r="C17" s="182" t="inlineStr">
        <is>
          <t>北京昊华能源股份有限公司（合并）</t>
        </is>
      </c>
      <c r="D17" s="182" t="inlineStr">
        <is>
          <t>ZI0290020011</t>
        </is>
      </c>
      <c r="E17" s="182" t="inlineStr">
        <is>
          <t>中国银行股份有限公司-招商中证煤炭等权指数分级证券投资基金</t>
        </is>
      </c>
      <c r="F17" s="716" t="n"/>
      <c r="G17" s="716" t="n"/>
      <c r="H17" s="462" t="n"/>
    </row>
    <row r="18">
      <c r="A18" s="672" t="inlineStr">
        <is>
          <t>E100201G</t>
        </is>
      </c>
      <c r="B18" s="767">
        <f>ROW()</f>
        <v/>
      </c>
      <c r="C18" s="182" t="inlineStr">
        <is>
          <t>北京昊华能源股份有限公司（合并）</t>
        </is>
      </c>
      <c r="D18" s="182" t="inlineStr">
        <is>
          <t>ZI0290020012</t>
        </is>
      </c>
      <c r="E18" s="182" t="inlineStr">
        <is>
          <t>中国工商银行股份有限公司-国泰中证煤炭交易型开放式指数证券投资基金</t>
        </is>
      </c>
      <c r="F18" s="716" t="n"/>
      <c r="G18" s="716" t="n"/>
      <c r="H18" s="462" t="n"/>
    </row>
    <row r="19">
      <c r="A19" s="672" t="inlineStr">
        <is>
          <t>E100201G</t>
        </is>
      </c>
      <c r="B19" s="767">
        <f>ROW()</f>
        <v/>
      </c>
      <c r="C19" s="182" t="inlineStr">
        <is>
          <t>北京昊华能源股份有限公司（合并）</t>
        </is>
      </c>
      <c r="D19" s="182" t="inlineStr">
        <is>
          <t>ZI0290020013</t>
        </is>
      </c>
      <c r="E19" s="182" t="inlineStr">
        <is>
          <t>国泰君安证券股份有限公司-富国中证煤炭指数型证券投资基金</t>
        </is>
      </c>
      <c r="F19" s="716" t="n"/>
      <c r="G19" s="716" t="n"/>
      <c r="H19" s="462" t="n"/>
    </row>
    <row r="20">
      <c r="A20" s="672" t="inlineStr">
        <is>
          <t>E100201G</t>
        </is>
      </c>
      <c r="B20" s="767">
        <f>ROW()</f>
        <v/>
      </c>
      <c r="C20" s="182" t="inlineStr">
        <is>
          <t>北京昊华能源股份有限公司（合并）</t>
        </is>
      </c>
      <c r="D20" s="182" t="inlineStr">
        <is>
          <t>ZI0290020014</t>
        </is>
      </c>
      <c r="E20" s="182" t="inlineStr">
        <is>
          <t>UBS AG</t>
        </is>
      </c>
      <c r="F20" s="716" t="n"/>
      <c r="G20" s="716" t="n"/>
      <c r="H20" s="462" t="n"/>
    </row>
    <row r="21">
      <c r="A21" s="672" t="inlineStr">
        <is>
          <t>E100201G</t>
        </is>
      </c>
      <c r="B21" s="767">
        <f>ROW()</f>
        <v/>
      </c>
      <c r="C21" s="182" t="inlineStr">
        <is>
          <t>北京昊华能源股份有限公司（合并）</t>
        </is>
      </c>
      <c r="D21" s="182" t="inlineStr">
        <is>
          <t>ZI0290020015</t>
        </is>
      </c>
      <c r="E21" s="182" t="inlineStr">
        <is>
          <t>中国建设银行股份有限公司-中银证券价值精选灵活配置混合型证券投资基金</t>
        </is>
      </c>
      <c r="F21" s="716" t="n"/>
      <c r="G21" s="716" t="n"/>
      <c r="H21" s="462" t="n"/>
    </row>
    <row r="22">
      <c r="A22" s="672" t="inlineStr">
        <is>
          <t>E100201H</t>
        </is>
      </c>
      <c r="B22" s="767">
        <f>ROW()</f>
        <v/>
      </c>
      <c r="C22" s="182" t="inlineStr">
        <is>
          <t>北京昊华能源股份有限公司（母公司）</t>
        </is>
      </c>
      <c r="D22" s="182" t="inlineStr">
        <is>
          <t>ZI0290020010</t>
        </is>
      </c>
      <c r="E22" s="182" t="inlineStr">
        <is>
          <t>中国中煤能源集团有限公司</t>
        </is>
      </c>
      <c r="F22" s="716" t="n"/>
      <c r="G22" s="716" t="n"/>
      <c r="H22" s="462" t="n"/>
    </row>
    <row r="23">
      <c r="A23" s="672" t="inlineStr">
        <is>
          <t>E100201H</t>
        </is>
      </c>
      <c r="B23" s="767">
        <f>ROW()</f>
        <v/>
      </c>
      <c r="C23" s="182" t="inlineStr">
        <is>
          <t>北京昊华能源股份有限公司（母公司）</t>
        </is>
      </c>
      <c r="D23" s="182" t="inlineStr">
        <is>
          <t>ZI0290020011</t>
        </is>
      </c>
      <c r="E23" s="182" t="inlineStr">
        <is>
          <t>中国银行股份有限公司-招商中证煤炭等权指数分级证券投资基金</t>
        </is>
      </c>
      <c r="F23" s="716" t="n"/>
      <c r="G23" s="716" t="n"/>
      <c r="H23" s="462" t="n"/>
    </row>
    <row r="24">
      <c r="A24" s="672" t="inlineStr">
        <is>
          <t>E100201H</t>
        </is>
      </c>
      <c r="B24" s="767">
        <f>ROW()</f>
        <v/>
      </c>
      <c r="C24" s="182" t="inlineStr">
        <is>
          <t>北京昊华能源股份有限公司（母公司）</t>
        </is>
      </c>
      <c r="D24" s="182" t="inlineStr">
        <is>
          <t>ZI0290020012</t>
        </is>
      </c>
      <c r="E24" s="182" t="inlineStr">
        <is>
          <t>中国工商银行股份有限公司-国泰中证煤炭交易型开放式指数证券投资基金</t>
        </is>
      </c>
      <c r="F24" s="716" t="n"/>
      <c r="G24" s="716" t="n"/>
      <c r="H24" s="462" t="n"/>
    </row>
    <row r="25">
      <c r="A25" s="672" t="inlineStr">
        <is>
          <t>E100201H</t>
        </is>
      </c>
      <c r="B25" s="767">
        <f>ROW()</f>
        <v/>
      </c>
      <c r="C25" s="182" t="inlineStr">
        <is>
          <t>北京昊华能源股份有限公司（母公司）</t>
        </is>
      </c>
      <c r="D25" s="182" t="inlineStr">
        <is>
          <t>ZI0290020013</t>
        </is>
      </c>
      <c r="E25" s="182" t="inlineStr">
        <is>
          <t>国泰君安证券股份有限公司-富国中证煤炭指数型证券投资基金</t>
        </is>
      </c>
      <c r="F25" s="716" t="n"/>
      <c r="G25" s="716" t="n"/>
      <c r="H25" s="462" t="n"/>
    </row>
    <row r="26">
      <c r="A26" s="672" t="inlineStr">
        <is>
          <t>E100201H</t>
        </is>
      </c>
      <c r="B26" s="767">
        <f>ROW()</f>
        <v/>
      </c>
      <c r="C26" s="182" t="inlineStr">
        <is>
          <t>北京昊华能源股份有限公司（母公司）</t>
        </is>
      </c>
      <c r="D26" s="182" t="inlineStr">
        <is>
          <t>ZI0290020014</t>
        </is>
      </c>
      <c r="E26" s="182" t="inlineStr">
        <is>
          <t>UBS AG</t>
        </is>
      </c>
      <c r="F26" s="716" t="n"/>
      <c r="G26" s="716" t="n"/>
      <c r="H26" s="462" t="n"/>
    </row>
    <row r="27">
      <c r="A27" s="672" t="inlineStr">
        <is>
          <t>E100201H</t>
        </is>
      </c>
      <c r="B27" s="767">
        <f>ROW()</f>
        <v/>
      </c>
      <c r="C27" s="182" t="inlineStr">
        <is>
          <t>北京昊华能源股份有限公司（母公司）</t>
        </is>
      </c>
      <c r="D27" s="182" t="inlineStr">
        <is>
          <t>ZI0290020015</t>
        </is>
      </c>
      <c r="E27" s="182" t="inlineStr">
        <is>
          <t>中国建设银行股份有限公司-中银证券价值精选灵活配置混合型证券投资基金</t>
        </is>
      </c>
      <c r="F27" s="716" t="n"/>
      <c r="G27" s="716" t="n"/>
      <c r="H27" s="462" t="n"/>
    </row>
    <row r="28">
      <c r="A28" s="672" t="inlineStr">
        <is>
          <t>E100255</t>
        </is>
      </c>
      <c r="B28" s="767">
        <f>ROW()</f>
        <v/>
      </c>
      <c r="C28" s="182" t="inlineStr">
        <is>
          <t>北京华热科技发展有限公司</t>
        </is>
      </c>
      <c r="D28" s="182" t="inlineStr">
        <is>
          <t>ZI0290020016</t>
        </is>
      </c>
      <c r="E28" s="182" t="inlineStr">
        <is>
          <t>北京华大智宝电子系统有限公司</t>
        </is>
      </c>
      <c r="F28" s="716" t="n"/>
      <c r="G28" s="716" t="n"/>
      <c r="H28" s="462" t="n"/>
    </row>
    <row r="29">
      <c r="A29" s="672" t="inlineStr">
        <is>
          <t>E100255</t>
        </is>
      </c>
      <c r="B29" s="767">
        <f>ROW()</f>
        <v/>
      </c>
      <c r="C29" s="182" t="inlineStr">
        <is>
          <t>北京华热科技发展有限公司</t>
        </is>
      </c>
      <c r="D29" s="182" t="inlineStr">
        <is>
          <t>ZI0290020017</t>
        </is>
      </c>
      <c r="E29" s="182" t="inlineStr">
        <is>
          <t>北京白云联盟科技中心（有限合伙）</t>
        </is>
      </c>
      <c r="F29" s="716" t="n"/>
      <c r="G29" s="716" t="n"/>
      <c r="H29" s="462" t="n"/>
    </row>
    <row r="30">
      <c r="A30" s="672" t="inlineStr">
        <is>
          <t>E100446</t>
        </is>
      </c>
      <c r="B30" s="767">
        <f>ROW()</f>
        <v/>
      </c>
      <c r="C30" s="182" t="inlineStr">
        <is>
          <t>北京金泰（辽宁）房地产开发有限责任公司</t>
        </is>
      </c>
      <c r="D30" s="182" t="inlineStr">
        <is>
          <t>ZI0290020018</t>
        </is>
      </c>
      <c r="E30" s="182" t="inlineStr">
        <is>
          <t>北京盛金投资有限公司</t>
        </is>
      </c>
      <c r="F30" s="716" t="n"/>
      <c r="G30" s="716" t="n"/>
      <c r="H30" s="462" t="n"/>
    </row>
    <row r="31">
      <c r="A31" s="672" t="inlineStr">
        <is>
          <t>E100366</t>
        </is>
      </c>
      <c r="B31" s="767">
        <f>ROW()</f>
        <v/>
      </c>
      <c r="C31" s="182" t="inlineStr">
        <is>
          <t>北京金泰新钢联科贸有限公司</t>
        </is>
      </c>
      <c r="D31" s="182" t="inlineStr">
        <is>
          <t>ZI0290020019</t>
        </is>
      </c>
      <c r="E31" s="182" t="inlineStr">
        <is>
          <t>北京首钢新钢联科贸有限公司</t>
        </is>
      </c>
      <c r="F31" s="716" t="n"/>
      <c r="G31" s="716" t="n"/>
      <c r="H31" s="462" t="n"/>
    </row>
    <row r="32">
      <c r="A32" s="672" t="inlineStr">
        <is>
          <t>E100450</t>
        </is>
      </c>
      <c r="B32" s="767">
        <f>ROW()</f>
        <v/>
      </c>
      <c r="C32" s="182" t="inlineStr">
        <is>
          <t>北京金泰中阳房地产开发有限公司</t>
        </is>
      </c>
      <c r="D32" s="182" t="inlineStr">
        <is>
          <t>ZI0290020020</t>
        </is>
      </c>
      <c r="E32" s="182" t="inlineStr">
        <is>
          <t>北京中阳奥华国际房地产有限公司</t>
        </is>
      </c>
      <c r="F32" s="716" t="n"/>
      <c r="G32" s="716" t="n"/>
      <c r="H32" s="462" t="n"/>
    </row>
    <row r="33">
      <c r="A33" s="672" t="inlineStr">
        <is>
          <t>E100258</t>
        </is>
      </c>
      <c r="B33" s="767">
        <f>ROW()</f>
        <v/>
      </c>
      <c r="C33" s="182" t="inlineStr">
        <is>
          <t>北京京诚供热有限责任公司</t>
        </is>
      </c>
      <c r="D33" s="182" t="inlineStr">
        <is>
          <t>ZI0290020021</t>
        </is>
      </c>
      <c r="E33" s="182" t="inlineStr">
        <is>
          <t>北京京通恒欣科技发展有限公司</t>
        </is>
      </c>
      <c r="F33" s="716" t="n"/>
      <c r="G33" s="716" t="n"/>
      <c r="H33" s="462" t="n"/>
    </row>
    <row r="34">
      <c r="A34" s="672" t="inlineStr">
        <is>
          <t>E100806</t>
        </is>
      </c>
      <c r="B34" s="767">
        <f>ROW()</f>
        <v/>
      </c>
      <c r="C34" s="182" t="inlineStr">
        <is>
          <t>北京京珑置业有限公司</t>
        </is>
      </c>
      <c r="D34" s="182" t="inlineStr">
        <is>
          <t>ZI0290020022</t>
        </is>
      </c>
      <c r="E34" s="182" t="inlineStr">
        <is>
          <t>北京龙湖中佰置业有限公司</t>
        </is>
      </c>
      <c r="F34" s="716" t="n"/>
      <c r="G34" s="716" t="n"/>
      <c r="H34" s="462" t="n"/>
    </row>
    <row r="35">
      <c r="A35" s="672" t="inlineStr">
        <is>
          <t>E100538</t>
        </is>
      </c>
      <c r="B35" s="767">
        <f>ROW()</f>
        <v/>
      </c>
      <c r="C35" s="182" t="inlineStr">
        <is>
          <t>北京京煤集团地质勘探队</t>
        </is>
      </c>
      <c r="D35" s="182" t="inlineStr">
        <is>
          <t>ZI0290020002</t>
        </is>
      </c>
      <c r="E35" s="182" t="inlineStr">
        <is>
          <t>北京市财政局</t>
        </is>
      </c>
      <c r="F35" s="716" t="n"/>
      <c r="G35" s="716" t="n"/>
      <c r="H35" s="462" t="n"/>
    </row>
    <row r="36">
      <c r="A36" s="672" t="inlineStr">
        <is>
          <t>E100268G</t>
        </is>
      </c>
      <c r="B36" s="767">
        <f>ROW()</f>
        <v/>
      </c>
      <c r="C36" s="182" t="inlineStr">
        <is>
          <t>北京京煤集团有限责任公司（合并）</t>
        </is>
      </c>
      <c r="D36" s="182" t="inlineStr">
        <is>
          <t>ZI0290020002</t>
        </is>
      </c>
      <c r="E36" s="182" t="inlineStr">
        <is>
          <t>北京市财政局</t>
        </is>
      </c>
      <c r="F36" s="716" t="n"/>
      <c r="G36" s="716" t="n"/>
      <c r="H36" s="462" t="n"/>
    </row>
    <row r="37">
      <c r="A37" s="672" t="inlineStr">
        <is>
          <t>E100199</t>
        </is>
      </c>
      <c r="B37" s="767">
        <f>ROW()</f>
        <v/>
      </c>
      <c r="C37" s="182" t="inlineStr">
        <is>
          <t>北京京能国际能源技术有限公司</t>
        </is>
      </c>
      <c r="D37" s="182" t="inlineStr">
        <is>
          <t>ZI0290020024</t>
        </is>
      </c>
      <c r="E37" s="182" t="inlineStr">
        <is>
          <t>西门子（中国）有限公司</t>
        </is>
      </c>
      <c r="F37" s="716" t="n"/>
      <c r="G37" s="716" t="n"/>
      <c r="H37" s="462" t="n"/>
    </row>
    <row r="38">
      <c r="A38" s="672" t="inlineStr">
        <is>
          <t>E100199</t>
        </is>
      </c>
      <c r="B38" s="767">
        <f>ROW()</f>
        <v/>
      </c>
      <c r="C38" s="182" t="inlineStr">
        <is>
          <t>北京京能国际能源技术有限公司</t>
        </is>
      </c>
      <c r="D38" s="182" t="inlineStr">
        <is>
          <t>ZI0290020025</t>
        </is>
      </c>
      <c r="E38" s="182" t="inlineStr">
        <is>
          <t>西门子能源有限公司</t>
        </is>
      </c>
      <c r="F38" s="716" t="n"/>
      <c r="G38" s="716" t="n"/>
      <c r="H38" s="462" t="n"/>
    </row>
    <row r="39">
      <c r="A39" s="672" t="inlineStr">
        <is>
          <t>E100427</t>
        </is>
      </c>
      <c r="B39" s="767">
        <f>ROW()</f>
        <v/>
      </c>
      <c r="C39" s="182" t="inlineStr">
        <is>
          <t>北京京能海赋置业有限公司</t>
        </is>
      </c>
      <c r="D39" s="182" t="inlineStr">
        <is>
          <t>ZI0290020026</t>
        </is>
      </c>
      <c r="E39" s="182" t="inlineStr">
        <is>
          <t>中国电建地产集团有限公司</t>
        </is>
      </c>
      <c r="F39" s="716" t="n"/>
      <c r="G39" s="716" t="n"/>
      <c r="H39" s="462" t="n"/>
    </row>
    <row r="40">
      <c r="A40" s="672" t="inlineStr">
        <is>
          <t>E100261</t>
        </is>
      </c>
      <c r="B40" s="767">
        <f>ROW()</f>
        <v/>
      </c>
      <c r="C40" s="182" t="inlineStr">
        <is>
          <t>北京京能恒星能源科技有限公司</t>
        </is>
      </c>
      <c r="D40" s="182" t="inlineStr">
        <is>
          <t>ZI0290020027</t>
        </is>
      </c>
      <c r="E40" s="182" t="inlineStr">
        <is>
          <t>恒星能源亚洲投资有限公司</t>
        </is>
      </c>
      <c r="F40" s="716" t="n"/>
      <c r="G40" s="716" t="n"/>
      <c r="H40" s="462" t="n"/>
    </row>
    <row r="41">
      <c r="A41" s="672" t="inlineStr">
        <is>
          <t>E100545</t>
        </is>
      </c>
      <c r="B41" s="767">
        <f>ROW()</f>
        <v/>
      </c>
      <c r="C41" s="182" t="inlineStr">
        <is>
          <t>北京京能京通新能源有限公司</t>
        </is>
      </c>
      <c r="D41" s="182" t="inlineStr">
        <is>
          <t>ZI0290020028</t>
        </is>
      </c>
      <c r="E41" s="182" t="inlineStr">
        <is>
          <t>北京中恺能源发展有限公司</t>
        </is>
      </c>
      <c r="F41" s="716" t="n"/>
      <c r="G41" s="716" t="n"/>
      <c r="H41" s="462" t="n"/>
    </row>
    <row r="42">
      <c r="A42" s="672" t="inlineStr">
        <is>
          <t>E100200</t>
        </is>
      </c>
      <c r="B42" s="767">
        <f>ROW()</f>
        <v/>
      </c>
      <c r="C42" s="182" t="inlineStr">
        <is>
          <t>北京京能能源技术研究有限责任公司</t>
        </is>
      </c>
      <c r="D42" s="182" t="inlineStr">
        <is>
          <t>ZI0290020029</t>
        </is>
      </c>
      <c r="E42" s="182" t="inlineStr">
        <is>
          <t>首航高科能源技术股份有限公司</t>
        </is>
      </c>
      <c r="F42" s="716" t="n"/>
      <c r="G42" s="716" t="n"/>
      <c r="H42" s="462" t="n"/>
    </row>
    <row r="43">
      <c r="A43" s="672" t="inlineStr">
        <is>
          <t>E100200G</t>
        </is>
      </c>
      <c r="B43" s="767">
        <f>ROW()</f>
        <v/>
      </c>
      <c r="C43" s="182" t="inlineStr">
        <is>
          <t>北京京能能源技术研究有限责任公司（合并）</t>
        </is>
      </c>
      <c r="D43" s="182" t="inlineStr">
        <is>
          <t>ZI0290020029</t>
        </is>
      </c>
      <c r="E43" s="182" t="inlineStr">
        <is>
          <t>首航高科能源技术股份有限公司</t>
        </is>
      </c>
      <c r="F43" s="716" t="n"/>
      <c r="G43" s="716" t="n"/>
      <c r="H43" s="462" t="n"/>
    </row>
    <row r="44">
      <c r="A44" s="672" t="inlineStr">
        <is>
          <t>E100858</t>
        </is>
      </c>
      <c r="B44" s="767">
        <f>ROW()</f>
        <v/>
      </c>
      <c r="C44" s="182" t="inlineStr">
        <is>
          <t>北京京能能源科技并购投资基金（有限合伙）</t>
        </is>
      </c>
      <c r="D44" s="182" t="inlineStr">
        <is>
          <t>ZI0290020030</t>
        </is>
      </c>
      <c r="E44" s="182" t="inlineStr">
        <is>
          <t>孚能科技产业投资（北京）有限责任公司</t>
        </is>
      </c>
      <c r="F44" s="716" t="n"/>
      <c r="G44" s="716" t="n"/>
      <c r="H44" s="462" t="n"/>
    </row>
    <row r="45">
      <c r="A45" s="672" t="inlineStr">
        <is>
          <t>E100858</t>
        </is>
      </c>
      <c r="B45" s="767">
        <f>ROW()</f>
        <v/>
      </c>
      <c r="C45" s="182" t="inlineStr">
        <is>
          <t>北京京能能源科技并购投资基金（有限合伙）</t>
        </is>
      </c>
      <c r="D45" s="182" t="inlineStr">
        <is>
          <t>ZI0290020031</t>
        </is>
      </c>
      <c r="E45" s="182" t="inlineStr">
        <is>
          <t>首正泽富创新投资（北京）有限公司</t>
        </is>
      </c>
      <c r="F45" s="716" t="n"/>
      <c r="G45" s="716" t="n"/>
      <c r="H45" s="462" t="n"/>
    </row>
    <row r="46">
      <c r="A46" s="672" t="inlineStr">
        <is>
          <t>E100858</t>
        </is>
      </c>
      <c r="B46" s="767">
        <f>ROW()</f>
        <v/>
      </c>
      <c r="C46" s="182" t="inlineStr">
        <is>
          <t>北京京能能源科技并购投资基金（有限合伙）</t>
        </is>
      </c>
      <c r="D46" s="182" t="inlineStr">
        <is>
          <t>ZI0290020032</t>
        </is>
      </c>
      <c r="E46" s="182" t="inlineStr">
        <is>
          <t>深圳市雄韬电源科技股份有限公司</t>
        </is>
      </c>
      <c r="F46" s="716" t="n"/>
      <c r="G46" s="716" t="n"/>
      <c r="H46" s="462" t="n"/>
    </row>
    <row r="47">
      <c r="A47" s="672" t="inlineStr">
        <is>
          <t>E100725</t>
        </is>
      </c>
      <c r="B47" s="767">
        <f>ROW()</f>
        <v/>
      </c>
      <c r="C47" s="182" t="inlineStr">
        <is>
          <t>北京京能氢源科技有限公司</t>
        </is>
      </c>
      <c r="D47" s="182" t="inlineStr">
        <is>
          <t>ZI0290020033</t>
        </is>
      </c>
      <c r="E47" s="182" t="inlineStr">
        <is>
          <t>山西美锦能源股份有限公司</t>
        </is>
      </c>
      <c r="F47" s="716" t="n"/>
      <c r="G47" s="716" t="n"/>
      <c r="H47" s="462" t="n"/>
    </row>
    <row r="48">
      <c r="A48" s="672" t="inlineStr">
        <is>
          <t>E100001</t>
        </is>
      </c>
      <c r="B48" s="767">
        <f>ROW()</f>
        <v/>
      </c>
      <c r="C48" s="182" t="inlineStr">
        <is>
          <t>北京京能清洁能源电力股份有限公司</t>
        </is>
      </c>
      <c r="D48" s="182" t="inlineStr">
        <is>
          <t>ZI0290020001</t>
        </is>
      </c>
      <c r="E48" s="182" t="inlineStr">
        <is>
          <t>北京国有资本运营管理有限公司</t>
        </is>
      </c>
      <c r="F48" s="716" t="n"/>
      <c r="G48" s="716" t="n"/>
      <c r="H48" s="462" t="n"/>
    </row>
    <row r="49">
      <c r="A49" s="672" t="inlineStr">
        <is>
          <t>E100001G</t>
        </is>
      </c>
      <c r="B49" s="767">
        <f>ROW()</f>
        <v/>
      </c>
      <c r="C49" s="182" t="inlineStr">
        <is>
          <t>北京京能清洁能源电力股份有限公司（合并）</t>
        </is>
      </c>
      <c r="D49" s="182" t="inlineStr">
        <is>
          <t>ZI0290020001</t>
        </is>
      </c>
      <c r="E49" s="182" t="inlineStr">
        <is>
          <t>北京国有资本运营管理有限公司</t>
        </is>
      </c>
      <c r="F49" s="716" t="n"/>
      <c r="G49" s="716" t="n"/>
      <c r="H49" s="462" t="n"/>
    </row>
    <row r="50">
      <c r="A50" s="672" t="inlineStr">
        <is>
          <t>E100001H</t>
        </is>
      </c>
      <c r="B50" s="767">
        <f>ROW()</f>
        <v/>
      </c>
      <c r="C50" s="182" t="inlineStr">
        <is>
          <t>北京京能清洁能源电力股份有限公司（合并）本部</t>
        </is>
      </c>
      <c r="D50" s="182" t="inlineStr">
        <is>
          <t>ZI0290020001</t>
        </is>
      </c>
      <c r="E50" s="182" t="inlineStr">
        <is>
          <t>北京国有资本运营管理有限公司</t>
        </is>
      </c>
      <c r="F50" s="716" t="n"/>
      <c r="G50" s="716" t="n"/>
      <c r="H50" s="462" t="n"/>
    </row>
    <row r="51">
      <c r="A51" s="672" t="inlineStr">
        <is>
          <t>E100375</t>
        </is>
      </c>
      <c r="B51" s="767">
        <f>ROW()</f>
        <v/>
      </c>
      <c r="C51" s="182" t="inlineStr">
        <is>
          <t>北京京能碳资产管理有限公司</t>
        </is>
      </c>
      <c r="D51" s="182" t="inlineStr">
        <is>
          <t>ZI0290020034</t>
        </is>
      </c>
      <c r="E51" s="182" t="inlineStr">
        <is>
          <t>中竞同创能源环境科技集团股份有限公司</t>
        </is>
      </c>
      <c r="F51" s="716" t="n"/>
      <c r="G51" s="716" t="n"/>
      <c r="H51" s="462" t="n"/>
    </row>
    <row r="52" ht="17" customHeight="1" s="1181">
      <c r="A52" s="672" t="inlineStr">
        <is>
          <t>E100375</t>
        </is>
      </c>
      <c r="B52" s="767">
        <f>ROW()</f>
        <v/>
      </c>
      <c r="C52" s="182" t="inlineStr">
        <is>
          <t>北京京能碳资产管理有限公司</t>
        </is>
      </c>
      <c r="D52" s="182" t="inlineStr">
        <is>
          <t>ZI0290020165</t>
        </is>
      </c>
      <c r="E52" s="772" t="inlineStr">
        <is>
          <t>北京碳中和学会</t>
        </is>
      </c>
      <c r="F52" s="716" t="n"/>
      <c r="G52" s="716" t="n"/>
      <c r="H52" s="462" t="n"/>
    </row>
    <row r="53">
      <c r="A53" s="672" t="inlineStr">
        <is>
          <t>E100704</t>
        </is>
      </c>
      <c r="B53" s="767">
        <f>ROW()</f>
        <v/>
      </c>
      <c r="C53" s="182" t="inlineStr">
        <is>
          <t>北京京润仁康控股有限公司</t>
        </is>
      </c>
      <c r="D53" s="182" t="inlineStr">
        <is>
          <t>ZI0290020035</t>
        </is>
      </c>
      <c r="E53" s="182" t="inlineStr">
        <is>
          <t>华润医院控股有限公司</t>
        </is>
      </c>
      <c r="F53" s="716" t="n"/>
      <c r="G53" s="716" t="n"/>
      <c r="H53" s="462" t="n"/>
    </row>
    <row r="54">
      <c r="A54" s="672" t="inlineStr">
        <is>
          <t>E100704G</t>
        </is>
      </c>
      <c r="B54" s="767">
        <f>ROW()</f>
        <v/>
      </c>
      <c r="C54" s="182" t="inlineStr">
        <is>
          <t>北京京润仁康控股有限公司（合并）</t>
        </is>
      </c>
      <c r="D54" s="182" t="inlineStr">
        <is>
          <t>ZI0290020035</t>
        </is>
      </c>
      <c r="E54" s="182" t="inlineStr">
        <is>
          <t>华润医院控股有限公司</t>
        </is>
      </c>
      <c r="F54" s="716" t="n"/>
      <c r="G54" s="716" t="n"/>
      <c r="H54" s="462" t="n"/>
    </row>
    <row r="55">
      <c r="A55" s="672" t="inlineStr">
        <is>
          <t>E100705</t>
        </is>
      </c>
      <c r="B55" s="767">
        <f>ROW()</f>
        <v/>
      </c>
      <c r="C55" s="182" t="inlineStr">
        <is>
          <t>北京京润仁康医院管理有限公司</t>
        </is>
      </c>
      <c r="D55" s="182" t="inlineStr">
        <is>
          <t>ZI0290020035</t>
        </is>
      </c>
      <c r="E55" s="182" t="inlineStr">
        <is>
          <t>华润医院控股有限公司</t>
        </is>
      </c>
      <c r="F55" s="716" t="n"/>
      <c r="G55" s="716" t="n"/>
      <c r="H55" s="462" t="n"/>
    </row>
    <row r="56">
      <c r="A56" s="672" t="inlineStr">
        <is>
          <t>E100428</t>
        </is>
      </c>
      <c r="B56" s="767">
        <f>ROW()</f>
        <v/>
      </c>
      <c r="C56" s="182" t="inlineStr">
        <is>
          <t>北京京石融宁房地产开发有限公司</t>
        </is>
      </c>
      <c r="D56" s="182" t="inlineStr">
        <is>
          <t>ZI0290020036</t>
        </is>
      </c>
      <c r="E56" s="182" t="inlineStr">
        <is>
          <t>金融街融辰（北京）置业有限公司</t>
        </is>
      </c>
      <c r="F56" s="716" t="n"/>
      <c r="G56" s="716" t="n"/>
      <c r="H56" s="462" t="n"/>
    </row>
    <row r="57">
      <c r="A57" s="672" t="inlineStr">
        <is>
          <t>E100728</t>
        </is>
      </c>
      <c r="B57" s="767">
        <f>ROW()</f>
        <v/>
      </c>
      <c r="C57" s="182" t="inlineStr">
        <is>
          <t>北京京西生态文旅投资有限公司</t>
        </is>
      </c>
      <c r="D57" s="182" t="inlineStr">
        <is>
          <t>ZI0290020009</t>
        </is>
      </c>
      <c r="E57" s="182" t="inlineStr">
        <is>
          <t>北京城建设计发展集团股份有限公司</t>
        </is>
      </c>
      <c r="F57" s="716" t="n"/>
      <c r="G57" s="716" t="n"/>
      <c r="H57" s="462" t="n"/>
    </row>
    <row r="58">
      <c r="A58" s="672" t="inlineStr">
        <is>
          <t>E100728</t>
        </is>
      </c>
      <c r="B58" s="767">
        <f>ROW()</f>
        <v/>
      </c>
      <c r="C58" s="182" t="inlineStr">
        <is>
          <t>北京京西生态文旅投资有限公司</t>
        </is>
      </c>
      <c r="D58" s="182" t="inlineStr">
        <is>
          <t>ZI0290020037</t>
        </is>
      </c>
      <c r="E58" s="182" t="inlineStr">
        <is>
          <t>北京金隅集团股份有限公司</t>
        </is>
      </c>
      <c r="F58" s="716" t="n"/>
      <c r="G58" s="716" t="n"/>
      <c r="H58" s="462" t="n"/>
    </row>
    <row r="59">
      <c r="A59" s="672" t="inlineStr">
        <is>
          <t>E100728</t>
        </is>
      </c>
      <c r="B59" s="767">
        <f>ROW()</f>
        <v/>
      </c>
      <c r="C59" s="182" t="inlineStr">
        <is>
          <t>北京京西生态文旅投资有限公司</t>
        </is>
      </c>
      <c r="D59" s="182" t="inlineStr">
        <is>
          <t>ZI0290020038</t>
        </is>
      </c>
      <c r="E59" s="182" t="inlineStr">
        <is>
          <t>永定河流域投资有限公司</t>
        </is>
      </c>
      <c r="F59" s="716" t="n"/>
      <c r="G59" s="716" t="n"/>
      <c r="H59" s="462" t="n"/>
    </row>
    <row r="60">
      <c r="A60" s="672" t="inlineStr">
        <is>
          <t>E100728</t>
        </is>
      </c>
      <c r="B60" s="767">
        <f>ROW()</f>
        <v/>
      </c>
      <c r="C60" s="182" t="inlineStr">
        <is>
          <t>北京京西生态文旅投资有限公司</t>
        </is>
      </c>
      <c r="D60" s="182" t="inlineStr">
        <is>
          <t>ZI0290020039</t>
        </is>
      </c>
      <c r="E60" s="182" t="inlineStr">
        <is>
          <t>北京首都旅游集团有限责任公司</t>
        </is>
      </c>
      <c r="F60" s="716" t="n"/>
      <c r="G60" s="716" t="n"/>
      <c r="H60" s="462" t="n"/>
    </row>
    <row r="61">
      <c r="A61" s="672" t="inlineStr">
        <is>
          <t>E100728</t>
        </is>
      </c>
      <c r="B61" s="767">
        <f>ROW()</f>
        <v/>
      </c>
      <c r="C61" s="182" t="inlineStr">
        <is>
          <t>北京京西生态文旅投资有限公司</t>
        </is>
      </c>
      <c r="D61" s="182" t="inlineStr">
        <is>
          <t>ZI0290020040</t>
        </is>
      </c>
      <c r="E61" s="182" t="inlineStr">
        <is>
          <t>北京京西山水文化旅游投资控股有限公司</t>
        </is>
      </c>
      <c r="F61" s="716" t="n"/>
      <c r="G61" s="716" t="n"/>
      <c r="H61" s="462" t="n"/>
    </row>
    <row r="62">
      <c r="A62" s="672" t="inlineStr">
        <is>
          <t>E100830</t>
        </is>
      </c>
      <c r="B62" s="767">
        <f>ROW()</f>
        <v/>
      </c>
      <c r="C62" s="182" t="inlineStr">
        <is>
          <t>北京九樾房地产开发有限公司</t>
        </is>
      </c>
      <c r="D62" s="182" t="inlineStr">
        <is>
          <t>ZI0290020041</t>
        </is>
      </c>
      <c r="E62" s="182" t="inlineStr">
        <is>
          <t>北京城谷恒泰房地产开发有限公司</t>
        </is>
      </c>
      <c r="F62" s="716" t="n"/>
      <c r="G62" s="716" t="n"/>
      <c r="H62" s="462" t="n"/>
    </row>
    <row r="63">
      <c r="A63" s="672" t="inlineStr">
        <is>
          <t>E100288</t>
        </is>
      </c>
      <c r="B63" s="767">
        <f>ROW()</f>
        <v/>
      </c>
      <c r="C63" s="182" t="inlineStr">
        <is>
          <t>北京科技高级技术学校</t>
        </is>
      </c>
      <c r="D63" s="182" t="inlineStr">
        <is>
          <t>ZI0290020002</t>
        </is>
      </c>
      <c r="E63" s="182" t="inlineStr">
        <is>
          <t>北京市财政局</t>
        </is>
      </c>
      <c r="F63" s="716" t="n"/>
      <c r="G63" s="716" t="n"/>
      <c r="H63" s="462" t="n"/>
    </row>
    <row r="64">
      <c r="A64" s="672" t="inlineStr">
        <is>
          <t>E100191</t>
        </is>
      </c>
      <c r="B64" s="767">
        <f>ROW()</f>
        <v/>
      </c>
      <c r="C64" s="182" t="inlineStr">
        <is>
          <t>北京乐多港发展有限公司</t>
        </is>
      </c>
      <c r="D64" s="182" t="inlineStr">
        <is>
          <t>ZI0290020042</t>
        </is>
      </c>
      <c r="E64" s="182" t="inlineStr">
        <is>
          <t>中国农发重点建设基金有限公司</t>
        </is>
      </c>
      <c r="F64" s="716" t="n"/>
      <c r="G64" s="716" t="n"/>
      <c r="H64" s="462" t="n"/>
    </row>
    <row r="65">
      <c r="A65" s="672" t="inlineStr">
        <is>
          <t>E100558</t>
        </is>
      </c>
      <c r="B65" s="767">
        <f>ROW()</f>
        <v/>
      </c>
      <c r="C65" s="182" t="inlineStr">
        <is>
          <t>北京能工荟智机器人有限责任公司</t>
        </is>
      </c>
      <c r="D65" s="182" t="inlineStr">
        <is>
          <t>ZI0290020043</t>
        </is>
      </c>
      <c r="E65" s="182" t="inlineStr">
        <is>
          <t>京能工荟创科技中心（有限合伙）</t>
        </is>
      </c>
      <c r="F65" s="716" t="n"/>
      <c r="G65" s="716" t="n"/>
      <c r="H65" s="462" t="n"/>
    </row>
    <row r="66">
      <c r="A66" s="672" t="inlineStr">
        <is>
          <t>E100558</t>
        </is>
      </c>
      <c r="B66" s="767">
        <f>ROW()</f>
        <v/>
      </c>
      <c r="C66" s="182" t="inlineStr">
        <is>
          <t>北京能工荟智机器人有限责任公司</t>
        </is>
      </c>
      <c r="D66" s="182" t="inlineStr">
        <is>
          <t>ZI0290020044</t>
        </is>
      </c>
      <c r="E66" s="182" t="inlineStr">
        <is>
          <t>湖南哈工机器人研究院有限公司</t>
        </is>
      </c>
      <c r="F66" s="716" t="n"/>
      <c r="G66" s="716" t="n"/>
      <c r="H66" s="462" t="n"/>
    </row>
    <row r="67">
      <c r="A67" s="672" t="inlineStr">
        <is>
          <t>E100724</t>
        </is>
      </c>
      <c r="B67" s="767">
        <f>ROW()</f>
        <v/>
      </c>
      <c r="C67" s="182" t="inlineStr">
        <is>
          <t>北京能锐大数据有限责任公司</t>
        </is>
      </c>
      <c r="D67" s="182" t="inlineStr">
        <is>
          <t>ZI0290020045</t>
        </is>
      </c>
      <c r="E67" s="182" t="inlineStr">
        <is>
          <t>深圳鹏锐信息技术股份有限公司</t>
        </is>
      </c>
      <c r="F67" s="716" t="n"/>
      <c r="G67" s="716" t="n"/>
      <c r="H67" s="462" t="n"/>
    </row>
    <row r="68">
      <c r="A68" s="672" t="inlineStr">
        <is>
          <t>E100000</t>
        </is>
      </c>
      <c r="B68" s="767">
        <f>ROW()</f>
        <v/>
      </c>
      <c r="C68" s="182" t="inlineStr">
        <is>
          <t>北京能源集团有限责任公司</t>
        </is>
      </c>
      <c r="D68" s="182" t="inlineStr">
        <is>
          <t>ZI0290020001</t>
        </is>
      </c>
      <c r="E68" s="182" t="inlineStr">
        <is>
          <t>北京国有资本运营管理有限公司</t>
        </is>
      </c>
      <c r="F68" s="716" t="n"/>
      <c r="G68" s="716" t="n"/>
      <c r="H68" s="462" t="n"/>
    </row>
    <row r="69">
      <c r="A69" s="672" t="inlineStr">
        <is>
          <t>E100000G</t>
        </is>
      </c>
      <c r="B69" s="767">
        <f>ROW()</f>
        <v/>
      </c>
      <c r="C69" s="182" t="inlineStr">
        <is>
          <t>北京能源集团有限责任公司（合并）</t>
        </is>
      </c>
      <c r="D69" s="182" t="inlineStr">
        <is>
          <t>ZI0290020001</t>
        </is>
      </c>
      <c r="E69" s="182" t="inlineStr">
        <is>
          <t>北京国有资本运营管理有限公司</t>
        </is>
      </c>
      <c r="F69" s="716" t="n"/>
      <c r="G69" s="716" t="n"/>
      <c r="H69" s="462" t="n"/>
    </row>
    <row r="70">
      <c r="A70" s="672" t="inlineStr">
        <is>
          <t>E100000H</t>
        </is>
      </c>
      <c r="B70" s="767">
        <f>ROW()</f>
        <v/>
      </c>
      <c r="C70" s="182" t="inlineStr">
        <is>
          <t>北京能源集团有限责任公司（母公司）</t>
        </is>
      </c>
      <c r="D70" s="182" t="inlineStr">
        <is>
          <t>ZI0290020001</t>
        </is>
      </c>
      <c r="E70" s="182" t="inlineStr">
        <is>
          <t>北京国有资本运营管理有限公司</t>
        </is>
      </c>
      <c r="F70" s="716" t="n"/>
      <c r="G70" s="716" t="n"/>
      <c r="H70" s="462" t="n"/>
    </row>
    <row r="71">
      <c r="A71" s="672" t="inlineStr">
        <is>
          <t>E100009</t>
        </is>
      </c>
      <c r="B71" s="767">
        <f>ROW()</f>
        <v/>
      </c>
      <c r="C71" s="182" t="inlineStr">
        <is>
          <t>北京上庄燃气热电有限公司</t>
        </is>
      </c>
      <c r="D71" s="182" t="inlineStr">
        <is>
          <t>ZI0290020042</t>
        </is>
      </c>
      <c r="E71" s="182" t="inlineStr">
        <is>
          <t>中国农发重点建设基金有限公司</t>
        </is>
      </c>
      <c r="F71" s="716" t="n"/>
      <c r="G71" s="716" t="n"/>
      <c r="H71" s="462" t="n"/>
    </row>
    <row r="72">
      <c r="A72" s="672" t="inlineStr">
        <is>
          <t>E100008</t>
        </is>
      </c>
      <c r="B72" s="767">
        <f>ROW()</f>
        <v/>
      </c>
      <c r="C72" s="182" t="inlineStr">
        <is>
          <t>北京太阳宫燃气热电有限公司</t>
        </is>
      </c>
      <c r="D72" s="182" t="inlineStr">
        <is>
          <t>ZI0290020046</t>
        </is>
      </c>
      <c r="E72" s="182" t="inlineStr">
        <is>
          <t>国电电力发展股份有限公司</t>
        </is>
      </c>
      <c r="F72" s="716" t="n"/>
      <c r="G72" s="716" t="n"/>
      <c r="H72" s="462" t="n"/>
    </row>
    <row r="73">
      <c r="A73" s="672" t="inlineStr">
        <is>
          <t>E100424</t>
        </is>
      </c>
      <c r="B73" s="767">
        <f>ROW()</f>
        <v/>
      </c>
      <c r="C73" s="182" t="inlineStr">
        <is>
          <t>北京天创世缘房地产开发有限公司</t>
        </is>
      </c>
      <c r="D73" s="182" t="inlineStr">
        <is>
          <t>ZI0290020047</t>
        </is>
      </c>
      <c r="E73" s="182" t="inlineStr">
        <is>
          <t>北京鑫福海工贸集团公司</t>
        </is>
      </c>
      <c r="F73" s="716" t="n"/>
      <c r="G73" s="716" t="n"/>
      <c r="H73" s="462" t="n"/>
    </row>
    <row r="74">
      <c r="A74" s="672" t="inlineStr">
        <is>
          <t>E100374</t>
        </is>
      </c>
      <c r="B74" s="767">
        <f>ROW()</f>
        <v/>
      </c>
      <c r="C74" s="182" t="inlineStr">
        <is>
          <t>北京源深联众环保科技有限责任公司</t>
        </is>
      </c>
      <c r="D74" s="182" t="inlineStr">
        <is>
          <t>ZI0290020048</t>
        </is>
      </c>
      <c r="E74" s="182" t="inlineStr">
        <is>
          <t>北京舒文环保科技有限公司</t>
        </is>
      </c>
      <c r="F74" s="716" t="n"/>
      <c r="G74" s="716" t="n"/>
      <c r="H74" s="462" t="n"/>
    </row>
    <row r="75">
      <c r="A75" s="672" t="inlineStr">
        <is>
          <t>E100404</t>
        </is>
      </c>
      <c r="B75" s="767">
        <f>ROW()</f>
        <v/>
      </c>
      <c r="C75" s="182" t="inlineStr">
        <is>
          <t>北京源深能源科技有限责任公司</t>
        </is>
      </c>
      <c r="D75" s="182" t="inlineStr">
        <is>
          <t>ZI0290020049</t>
        </is>
      </c>
      <c r="E75" s="182" t="inlineStr">
        <is>
          <t>晟源高科（北京）科技有限公司</t>
        </is>
      </c>
      <c r="F75" s="716" t="n"/>
      <c r="G75" s="716" t="n"/>
      <c r="H75" s="462" t="n"/>
    </row>
    <row r="76">
      <c r="A76" s="672" t="inlineStr">
        <is>
          <t>E100404</t>
        </is>
      </c>
      <c r="B76" s="767">
        <f>ROW()</f>
        <v/>
      </c>
      <c r="C76" s="182" t="inlineStr">
        <is>
          <t>北京源深能源科技有限责任公司</t>
        </is>
      </c>
      <c r="D76" s="182" t="inlineStr">
        <is>
          <t>ZI0290020050</t>
        </is>
      </c>
      <c r="E76" s="182" t="inlineStr">
        <is>
          <t>北京众鑫源科技发展中心（有限合伙）</t>
        </is>
      </c>
      <c r="F76" s="716" t="n"/>
      <c r="G76" s="716" t="n"/>
      <c r="H76" s="462" t="n"/>
    </row>
    <row r="77">
      <c r="A77" s="672" t="inlineStr">
        <is>
          <t>E100431</t>
        </is>
      </c>
      <c r="B77" s="767">
        <f>ROW()</f>
        <v/>
      </c>
      <c r="C77" s="182" t="inlineStr">
        <is>
          <t>大连京能阳光房地产开发有限公司</t>
        </is>
      </c>
      <c r="D77" s="182" t="inlineStr">
        <is>
          <t>ZI0290020051</t>
        </is>
      </c>
      <c r="E77" s="182" t="inlineStr">
        <is>
          <t>大连阳光世界发展有限公司</t>
        </is>
      </c>
      <c r="F77" s="716" t="n"/>
      <c r="G77" s="716" t="n"/>
      <c r="H77" s="462" t="n"/>
    </row>
    <row r="78">
      <c r="A78" s="672" t="inlineStr">
        <is>
          <t>E100208</t>
        </is>
      </c>
      <c r="B78" s="767">
        <f>ROW()</f>
        <v/>
      </c>
      <c r="C78" s="182" t="inlineStr">
        <is>
          <t>鄂尔多斯市东铜铁路物流有限公司</t>
        </is>
      </c>
      <c r="D78" s="182" t="inlineStr">
        <is>
          <t>ZI0290020052</t>
        </is>
      </c>
      <c r="E78" s="182" t="inlineStr">
        <is>
          <t>新奥集团股份有限公司</t>
        </is>
      </c>
      <c r="F78" s="716" t="n"/>
      <c r="G78" s="716" t="n"/>
      <c r="H78" s="462" t="n"/>
    </row>
    <row r="79">
      <c r="A79" s="672" t="inlineStr">
        <is>
          <t>E100208</t>
        </is>
      </c>
      <c r="B79" s="767">
        <f>ROW()</f>
        <v/>
      </c>
      <c r="C79" s="182" t="inlineStr">
        <is>
          <t>鄂尔多斯市东铜铁路物流有限公司</t>
        </is>
      </c>
      <c r="D79" s="182" t="inlineStr">
        <is>
          <t>ZI0290020053</t>
        </is>
      </c>
      <c r="E79" s="182" t="inlineStr">
        <is>
          <t>鄂尔多斯市国有资产投资控股集团有限公司</t>
        </is>
      </c>
      <c r="F79" s="716" t="n"/>
      <c r="G79" s="716" t="n"/>
      <c r="H79" s="462" t="n"/>
    </row>
    <row r="80">
      <c r="A80" s="672" t="inlineStr">
        <is>
          <t>E100208</t>
        </is>
      </c>
      <c r="B80" s="767">
        <f>ROW()</f>
        <v/>
      </c>
      <c r="C80" s="182" t="inlineStr">
        <is>
          <t>鄂尔多斯市东铜铁路物流有限公司</t>
        </is>
      </c>
      <c r="D80" s="182" t="inlineStr">
        <is>
          <t>ZI0290020054</t>
        </is>
      </c>
      <c r="E80" s="182" t="inlineStr">
        <is>
          <t>鄂尔多斯市华研经贸集团有限责任公司</t>
        </is>
      </c>
      <c r="F80" s="716" t="n"/>
      <c r="G80" s="716" t="n"/>
      <c r="H80" s="462" t="n"/>
    </row>
    <row r="81">
      <c r="A81" s="672" t="inlineStr">
        <is>
          <t>E100208</t>
        </is>
      </c>
      <c r="B81" s="767">
        <f>ROW()</f>
        <v/>
      </c>
      <c r="C81" s="182" t="inlineStr">
        <is>
          <t>鄂尔多斯市东铜铁路物流有限公司</t>
        </is>
      </c>
      <c r="D81" s="182" t="inlineStr">
        <is>
          <t>ZI0290020055</t>
        </is>
      </c>
      <c r="E81" s="182" t="inlineStr">
        <is>
          <t>内蒙古蒙泰集团有限公司</t>
        </is>
      </c>
      <c r="F81" s="716" t="n"/>
      <c r="G81" s="716" t="n"/>
      <c r="H81" s="462" t="n"/>
    </row>
    <row r="82">
      <c r="A82" s="672" t="inlineStr">
        <is>
          <t>E100208</t>
        </is>
      </c>
      <c r="B82" s="767">
        <f>ROW()</f>
        <v/>
      </c>
      <c r="C82" s="182" t="inlineStr">
        <is>
          <t>鄂尔多斯市东铜铁路物流有限公司</t>
        </is>
      </c>
      <c r="D82" s="182" t="inlineStr">
        <is>
          <t>ZI0290020056</t>
        </is>
      </c>
      <c r="E82" s="182" t="inlineStr">
        <is>
          <t>内蒙古特弘投资集团有限责任公司</t>
        </is>
      </c>
      <c r="F82" s="716" t="n"/>
      <c r="G82" s="716" t="n"/>
      <c r="H82" s="462" t="n"/>
    </row>
    <row r="83">
      <c r="A83" s="672" t="inlineStr">
        <is>
          <t>E100207</t>
        </is>
      </c>
      <c r="B83" s="767">
        <f>ROW()</f>
        <v/>
      </c>
      <c r="C83" s="182" t="inlineStr">
        <is>
          <t>鄂尔多斯市昊华国泰化工有限公司</t>
        </is>
      </c>
      <c r="D83" s="182" t="inlineStr">
        <is>
          <t>ZI0290020057</t>
        </is>
      </c>
      <c r="E83" s="182" t="inlineStr">
        <is>
          <t>南京诚志清洁能源有限公司</t>
        </is>
      </c>
      <c r="F83" s="716" t="n"/>
      <c r="G83" s="716" t="n"/>
      <c r="H83" s="462" t="n"/>
    </row>
    <row r="84">
      <c r="A84" s="672" t="inlineStr">
        <is>
          <t>E100202</t>
        </is>
      </c>
      <c r="B84" s="767">
        <f>ROW()</f>
        <v/>
      </c>
      <c r="C84" s="182" t="inlineStr">
        <is>
          <t>鄂尔多斯市昊华精煤有限责任公司</t>
        </is>
      </c>
      <c r="D84" s="182" t="inlineStr">
        <is>
          <t>ZI0290020053</t>
        </is>
      </c>
      <c r="E84" s="182" t="inlineStr">
        <is>
          <t>鄂尔多斯市国有资产投资控股集团有限公司</t>
        </is>
      </c>
      <c r="F84" s="716" t="n"/>
      <c r="G84" s="716" t="n"/>
      <c r="H84" s="462" t="n"/>
    </row>
    <row r="85">
      <c r="A85" s="672" t="inlineStr">
        <is>
          <t>E100253</t>
        </is>
      </c>
      <c r="B85" s="767">
        <f>ROW()</f>
        <v/>
      </c>
      <c r="C85" s="182" t="inlineStr">
        <is>
          <t>抚松京热热力有限责任公司</t>
        </is>
      </c>
      <c r="D85" s="182" t="inlineStr">
        <is>
          <t>ZI0290020058</t>
        </is>
      </c>
      <c r="E85" s="182" t="inlineStr">
        <is>
          <t>抚松发展投资集团有限公司</t>
        </is>
      </c>
      <c r="F85" s="716" t="n"/>
      <c r="G85" s="716" t="n"/>
      <c r="H85" s="462" t="n"/>
    </row>
    <row r="86">
      <c r="A86" s="672" t="inlineStr">
        <is>
          <t>E101009</t>
        </is>
      </c>
      <c r="B86" s="767">
        <f>ROW()</f>
        <v/>
      </c>
      <c r="C86" s="182" t="inlineStr">
        <is>
          <t>国电察哈尔右翼前旗第二光伏发电有限公司</t>
        </is>
      </c>
      <c r="D86" s="182" t="inlineStr">
        <is>
          <t>ZI0290020059</t>
        </is>
      </c>
      <c r="E86" s="182" t="inlineStr">
        <is>
          <t>国能内蒙古电力蒙西新能源有限公司</t>
        </is>
      </c>
      <c r="F86" s="716" t="n"/>
      <c r="G86" s="716" t="n"/>
      <c r="H86" s="462" t="n"/>
    </row>
    <row r="87">
      <c r="A87" s="672" t="inlineStr">
        <is>
          <t>E100968</t>
        </is>
      </c>
      <c r="B87" s="767">
        <f>ROW()</f>
        <v/>
      </c>
      <c r="C87" s="182" t="inlineStr">
        <is>
          <t>国电察哈尔右翼前旗光伏发电有限公司</t>
        </is>
      </c>
      <c r="D87" s="182" t="inlineStr">
        <is>
          <t>ZI0290020059</t>
        </is>
      </c>
      <c r="E87" s="182" t="inlineStr">
        <is>
          <t>国能内蒙古电力蒙西新能源有限公司</t>
        </is>
      </c>
      <c r="F87" s="716" t="n"/>
      <c r="G87" s="716" t="n"/>
      <c r="H87" s="462" t="n"/>
    </row>
    <row r="88">
      <c r="A88" s="672" t="inlineStr">
        <is>
          <t>E101010</t>
        </is>
      </c>
      <c r="B88" s="767">
        <f>ROW()</f>
        <v/>
      </c>
      <c r="C88" s="182" t="inlineStr">
        <is>
          <t>国电科左中旗光伏发电有限公司</t>
        </is>
      </c>
      <c r="D88" s="182" t="inlineStr">
        <is>
          <t>ZI0290020060</t>
        </is>
      </c>
      <c r="E88" s="182" t="inlineStr">
        <is>
          <t>国电奈曼风电有限公司</t>
        </is>
      </c>
      <c r="F88" s="716" t="n"/>
      <c r="G88" s="716" t="n"/>
      <c r="H88" s="462" t="n"/>
    </row>
    <row r="89">
      <c r="A89" s="672" t="inlineStr">
        <is>
          <t>E101011</t>
        </is>
      </c>
      <c r="B89" s="767">
        <f>ROW()</f>
        <v/>
      </c>
      <c r="C89" s="182" t="inlineStr">
        <is>
          <t>国电商都县第二光伏发电有限公司</t>
        </is>
      </c>
      <c r="D89" s="182" t="inlineStr">
        <is>
          <t>ZI0290020059</t>
        </is>
      </c>
      <c r="E89" s="182" t="inlineStr">
        <is>
          <t>国能内蒙古电力蒙西新能源有限公司</t>
        </is>
      </c>
      <c r="F89" s="716" t="n"/>
      <c r="G89" s="716" t="n"/>
      <c r="H89" s="462" t="n"/>
    </row>
    <row r="90">
      <c r="A90" s="672" t="inlineStr">
        <is>
          <t>E100969</t>
        </is>
      </c>
      <c r="B90" s="767">
        <f>ROW()</f>
        <v/>
      </c>
      <c r="C90" s="182" t="inlineStr">
        <is>
          <t>国电托克托县光伏发电有限公司</t>
        </is>
      </c>
      <c r="D90" s="182" t="inlineStr">
        <is>
          <t>ZI0290020059</t>
        </is>
      </c>
      <c r="E90" s="182" t="inlineStr">
        <is>
          <t>国能内蒙古电力蒙西新能源有限公司</t>
        </is>
      </c>
      <c r="F90" s="716" t="n"/>
      <c r="G90" s="716" t="n"/>
      <c r="H90" s="462" t="n"/>
    </row>
    <row r="91">
      <c r="A91" s="672" t="inlineStr">
        <is>
          <t>E100967</t>
        </is>
      </c>
      <c r="B91" s="767">
        <f>ROW()</f>
        <v/>
      </c>
      <c r="C91" s="182" t="inlineStr">
        <is>
          <t>国电乌拉特后旗光伏发电有限公司</t>
        </is>
      </c>
      <c r="D91" s="182" t="inlineStr">
        <is>
          <t>ZI0290020059</t>
        </is>
      </c>
      <c r="E91" s="182" t="inlineStr">
        <is>
          <t>国能内蒙古电力蒙西新能源有限公司</t>
        </is>
      </c>
      <c r="F91" s="716" t="n"/>
      <c r="G91" s="716" t="n"/>
      <c r="H91" s="462" t="n"/>
    </row>
    <row r="92">
      <c r="A92" s="672" t="inlineStr">
        <is>
          <t>E100017</t>
        </is>
      </c>
      <c r="B92" s="767">
        <f>ROW()</f>
        <v/>
      </c>
      <c r="C92" s="182" t="inlineStr">
        <is>
          <t>海兴京兴新能源有限公司</t>
        </is>
      </c>
      <c r="D92" s="182" t="inlineStr">
        <is>
          <t>ZI0290020061</t>
        </is>
      </c>
      <c r="E92" s="182" t="inlineStr">
        <is>
          <t>横峰县晶泰电力有限公司</t>
        </is>
      </c>
      <c r="F92" s="716" t="n"/>
      <c r="G92" s="716" t="n"/>
      <c r="H92" s="462" t="n"/>
    </row>
    <row r="93">
      <c r="A93" s="672" t="inlineStr">
        <is>
          <t>E100976</t>
        </is>
      </c>
      <c r="B93" s="767">
        <f>ROW()</f>
        <v/>
      </c>
      <c r="C93" s="182" t="inlineStr">
        <is>
          <t>杭锦后旗国电光伏发电有限公司</t>
        </is>
      </c>
      <c r="D93" s="182" t="inlineStr">
        <is>
          <t>ZI0290020062</t>
        </is>
      </c>
      <c r="E93" s="182" t="inlineStr">
        <is>
          <t>国电电力内蒙古新能源开发有限公司</t>
        </is>
      </c>
      <c r="F93" s="716" t="n"/>
      <c r="G93" s="716" t="n"/>
      <c r="H93" s="462" t="n"/>
    </row>
    <row r="94">
      <c r="A94" s="672" t="inlineStr">
        <is>
          <t>E100203</t>
        </is>
      </c>
      <c r="B94" s="767">
        <f>ROW()</f>
        <v/>
      </c>
      <c r="C94" s="182" t="inlineStr">
        <is>
          <t>杭锦旗西部能源开发有限公司</t>
        </is>
      </c>
      <c r="D94" s="182" t="inlineStr">
        <is>
          <t>ZI0290020063</t>
        </is>
      </c>
      <c r="E94" s="182" t="inlineStr">
        <is>
          <t>山西中博房地产开发有限公司</t>
        </is>
      </c>
      <c r="F94" s="716" t="n"/>
      <c r="G94" s="716" t="n"/>
      <c r="H94" s="462" t="n"/>
    </row>
    <row r="95">
      <c r="A95" s="672" t="inlineStr">
        <is>
          <t>E100203G</t>
        </is>
      </c>
      <c r="B95" s="767">
        <f>ROW()</f>
        <v/>
      </c>
      <c r="C95" s="182" t="inlineStr">
        <is>
          <t>杭锦旗西部能源开发有限公司（合并）</t>
        </is>
      </c>
      <c r="D95" s="182" t="inlineStr">
        <is>
          <t>ZI0290020063</t>
        </is>
      </c>
      <c r="E95" s="182" t="inlineStr">
        <is>
          <t>山西中博房地产开发有限公司</t>
        </is>
      </c>
      <c r="F95" s="716" t="n"/>
      <c r="G95" s="716" t="n"/>
      <c r="H95" s="462" t="n"/>
    </row>
    <row r="96">
      <c r="A96" s="672" t="inlineStr">
        <is>
          <t>E100185</t>
        </is>
      </c>
      <c r="B96" s="767">
        <f>ROW()</f>
        <v/>
      </c>
      <c r="C96" s="182" t="inlineStr">
        <is>
          <t>河南通源热力有限公司</t>
        </is>
      </c>
      <c r="D96" s="182" t="inlineStr">
        <is>
          <t>ZI0290020064</t>
        </is>
      </c>
      <c r="E96" s="182" t="inlineStr">
        <is>
          <t>河南中锐环科清洁能源集团有限公司</t>
        </is>
      </c>
      <c r="F96" s="716" t="n"/>
      <c r="G96" s="716" t="n"/>
      <c r="H96" s="462" t="n"/>
    </row>
    <row r="97">
      <c r="A97" s="672" t="inlineStr">
        <is>
          <t>E100188</t>
        </is>
      </c>
      <c r="B97" s="767">
        <f>ROW()</f>
        <v/>
      </c>
      <c r="C97" s="182" t="inlineStr">
        <is>
          <t>呼伦贝尔京能能源发展有限公司</t>
        </is>
      </c>
      <c r="D97" s="182" t="inlineStr">
        <is>
          <t>ZI0290020065</t>
        </is>
      </c>
      <c r="E97" s="182" t="inlineStr">
        <is>
          <t>沈阳建设投资资产经营有限公司</t>
        </is>
      </c>
      <c r="F97" s="716" t="n"/>
      <c r="G97" s="716" t="n"/>
      <c r="H97" s="462" t="n"/>
    </row>
    <row r="98">
      <c r="A98" s="672" t="inlineStr">
        <is>
          <t>E100400</t>
        </is>
      </c>
      <c r="B98" s="767">
        <f>ROW()</f>
        <v/>
      </c>
      <c r="C98" s="182" t="inlineStr">
        <is>
          <t>湖州源兴能源有限公司</t>
        </is>
      </c>
      <c r="D98" s="182" t="inlineStr">
        <is>
          <t>ZI0290020066</t>
        </is>
      </c>
      <c r="E98" s="182" t="inlineStr">
        <is>
          <t>浙江昇茂新能源科技股份有限公司</t>
        </is>
      </c>
      <c r="F98" s="716" t="n"/>
      <c r="G98" s="716" t="n"/>
      <c r="H98" s="462" t="n"/>
    </row>
    <row r="99">
      <c r="A99" s="672" t="inlineStr">
        <is>
          <t>E100400</t>
        </is>
      </c>
      <c r="B99" s="767">
        <f>ROW()</f>
        <v/>
      </c>
      <c r="C99" s="182" t="inlineStr">
        <is>
          <t>湖州源兴能源有限公司</t>
        </is>
      </c>
      <c r="D99" s="182" t="inlineStr">
        <is>
          <t>ZI0290020067</t>
        </is>
      </c>
      <c r="E99" s="182" t="inlineStr">
        <is>
          <t>浙江诺欧博新能源股份有限公司</t>
        </is>
      </c>
      <c r="F99" s="716" t="n"/>
      <c r="G99" s="716" t="n"/>
      <c r="H99" s="462" t="n"/>
    </row>
    <row r="100">
      <c r="A100" s="672" t="inlineStr">
        <is>
          <t>E100401</t>
        </is>
      </c>
      <c r="B100" s="767">
        <f>ROW()</f>
        <v/>
      </c>
      <c r="C100" s="182" t="inlineStr">
        <is>
          <t>湖州源浔能源科技有限公司</t>
        </is>
      </c>
      <c r="D100" s="182" t="inlineStr">
        <is>
          <t>ZI0290020066</t>
        </is>
      </c>
      <c r="E100" s="182" t="inlineStr">
        <is>
          <t>海宁科茂微电网技术有限公司</t>
        </is>
      </c>
      <c r="F100" s="716" t="n"/>
      <c r="G100" s="716" t="n"/>
      <c r="H100" s="462" t="n"/>
    </row>
    <row r="101">
      <c r="A101" s="672" t="inlineStr">
        <is>
          <t>E100401</t>
        </is>
      </c>
      <c r="B101" s="767">
        <f>ROW()</f>
        <v/>
      </c>
      <c r="C101" s="182" t="inlineStr">
        <is>
          <t>湖州源浔能源科技有限公司</t>
        </is>
      </c>
      <c r="D101" s="182" t="inlineStr">
        <is>
          <t>ZI0290020067</t>
        </is>
      </c>
      <c r="E101" s="182" t="inlineStr">
        <is>
          <t>浙江诺欧博新能源股份有限公司</t>
        </is>
      </c>
      <c r="F101" s="716" t="n"/>
      <c r="G101" s="716" t="n"/>
      <c r="H101" s="462" t="n"/>
    </row>
    <row r="102">
      <c r="A102" s="672" t="inlineStr">
        <is>
          <t>E100822</t>
        </is>
      </c>
      <c r="B102" s="767">
        <f>ROW()</f>
        <v/>
      </c>
      <c r="C102" s="182" t="inlineStr">
        <is>
          <t>嘉燕（北京）新能源有限公司</t>
        </is>
      </c>
      <c r="D102" s="182" t="inlineStr">
        <is>
          <t>ZI0290020068</t>
        </is>
      </c>
      <c r="E102" s="182" t="inlineStr">
        <is>
          <t>新杰诺风光（北京）新能源有限责任公司</t>
        </is>
      </c>
      <c r="F102" s="716" t="n"/>
      <c r="G102" s="716" t="n"/>
      <c r="H102" s="462" t="n"/>
    </row>
    <row r="103">
      <c r="A103" s="672" t="inlineStr">
        <is>
          <t>E100443</t>
        </is>
      </c>
      <c r="B103" s="767">
        <f>ROW()</f>
        <v/>
      </c>
      <c r="C103" s="182" t="inlineStr">
        <is>
          <t>金泰丽城（天津）置业投资有限公司</t>
        </is>
      </c>
      <c r="D103" s="182" t="inlineStr">
        <is>
          <t>ZI0290020069</t>
        </is>
      </c>
      <c r="E103" s="182" t="inlineStr">
        <is>
          <t>北京鸿睿达投资有限公司</t>
        </is>
      </c>
      <c r="F103" s="716" t="n"/>
      <c r="G103" s="716" t="n"/>
      <c r="H103" s="462" t="n"/>
    </row>
    <row r="104">
      <c r="A104" s="672" t="inlineStr">
        <is>
          <t>E100770</t>
        </is>
      </c>
      <c r="B104" s="767">
        <f>ROW()</f>
        <v/>
      </c>
      <c r="C104" s="182" t="inlineStr">
        <is>
          <t>金泰壹号（天津）企业管理合伙企业（有限合伙）</t>
        </is>
      </c>
      <c r="D104" s="182" t="inlineStr">
        <is>
          <t>ZI0290020070</t>
        </is>
      </c>
      <c r="E104" s="182" t="inlineStr">
        <is>
          <t>中铁信托有限责任公司</t>
        </is>
      </c>
      <c r="F104" s="716" t="n"/>
      <c r="G104" s="716" t="n"/>
      <c r="H104" s="462" t="n"/>
    </row>
    <row r="105">
      <c r="A105" s="672" t="inlineStr">
        <is>
          <t>E100170</t>
        </is>
      </c>
      <c r="B105" s="767">
        <f>ROW()</f>
        <v/>
      </c>
      <c r="C105" s="182" t="inlineStr">
        <is>
          <t>京能（赤峰）能源发展有限公司</t>
        </is>
      </c>
      <c r="D105" s="182" t="inlineStr">
        <is>
          <t>ZI0290020071</t>
        </is>
      </c>
      <c r="E105" s="182" t="inlineStr">
        <is>
          <t>内蒙古平庄煤业（集团）有限责任公司</t>
        </is>
      </c>
      <c r="F105" s="716" t="n"/>
      <c r="G105" s="716" t="n"/>
      <c r="H105" s="462" t="n"/>
    </row>
    <row r="106">
      <c r="A106" s="672" t="inlineStr">
        <is>
          <t>E100023</t>
        </is>
      </c>
      <c r="B106" s="767">
        <f>ROW()</f>
        <v/>
      </c>
      <c r="C106" s="182" t="inlineStr">
        <is>
          <t>京能（迁西）发电有限公司</t>
        </is>
      </c>
      <c r="D106" s="182" t="inlineStr">
        <is>
          <t>ZI0290020072</t>
        </is>
      </c>
      <c r="E106" s="182" t="inlineStr">
        <is>
          <t>青岛东方铁塔股份有限公司</t>
        </is>
      </c>
      <c r="F106" s="716" t="n"/>
      <c r="G106" s="716" t="n"/>
      <c r="H106" s="462" t="n"/>
    </row>
    <row r="107">
      <c r="A107" s="672" t="inlineStr">
        <is>
          <t>E100156</t>
        </is>
      </c>
      <c r="B107" s="767">
        <f>ROW()</f>
        <v/>
      </c>
      <c r="C107" s="182" t="inlineStr">
        <is>
          <t>京能（锡林郭勒）发电有限公司</t>
        </is>
      </c>
      <c r="D107" s="182" t="inlineStr">
        <is>
          <t>ZI0290020073</t>
        </is>
      </c>
      <c r="E107" s="182" t="inlineStr">
        <is>
          <t>华润电力投资有限公司</t>
        </is>
      </c>
      <c r="F107" s="716" t="n"/>
      <c r="G107" s="716" t="n"/>
      <c r="H107" s="462" t="n"/>
    </row>
    <row r="108">
      <c r="A108" s="672" t="inlineStr">
        <is>
          <t>E100861</t>
        </is>
      </c>
      <c r="B108" s="767">
        <f>ROW()</f>
        <v/>
      </c>
      <c r="C108" s="182" t="inlineStr">
        <is>
          <t>京能阿巴嘎旗生态科技有限公司</t>
        </is>
      </c>
      <c r="D108" s="182" t="inlineStr">
        <is>
          <t>ZI0290020074</t>
        </is>
      </c>
      <c r="E108" s="182" t="inlineStr">
        <is>
          <t>阿巴嘎旗宝格达投资经营有限责任公司</t>
        </is>
      </c>
      <c r="F108" s="716" t="n"/>
      <c r="G108" s="716" t="n"/>
      <c r="H108" s="462" t="n"/>
    </row>
    <row r="109">
      <c r="A109" s="672" t="inlineStr">
        <is>
          <t>E100254</t>
        </is>
      </c>
      <c r="B109" s="767">
        <f>ROW()</f>
        <v/>
      </c>
      <c r="C109" s="182" t="inlineStr">
        <is>
          <t>京能大同热力有限公司</t>
        </is>
      </c>
      <c r="D109" s="182" t="inlineStr">
        <is>
          <t>ZI0290020075</t>
        </is>
      </c>
      <c r="E109" s="182" t="inlineStr">
        <is>
          <t>大同市经济建设投资集团有限责任公司</t>
        </is>
      </c>
      <c r="F109" s="716" t="n"/>
      <c r="G109" s="716" t="n"/>
      <c r="H109" s="462" t="n"/>
    </row>
    <row r="110">
      <c r="A110" s="672" t="inlineStr">
        <is>
          <t>E100254G</t>
        </is>
      </c>
      <c r="B110" s="767">
        <f>ROW()</f>
        <v/>
      </c>
      <c r="C110" s="182" t="inlineStr">
        <is>
          <t>京能大同热力有限公司（合并）</t>
        </is>
      </c>
      <c r="D110" s="182" t="inlineStr">
        <is>
          <t>ZI0290020075</t>
        </is>
      </c>
      <c r="E110" s="182" t="inlineStr">
        <is>
          <t>大同市经济建设投资集团有限责任公司</t>
        </is>
      </c>
      <c r="F110" s="716" t="n"/>
      <c r="G110" s="716" t="n"/>
      <c r="H110" s="462" t="n"/>
    </row>
    <row r="111">
      <c r="A111" s="672" t="inlineStr">
        <is>
          <t>E100254H</t>
        </is>
      </c>
      <c r="B111" s="767">
        <f>ROW()</f>
        <v/>
      </c>
      <c r="C111" s="182" t="inlineStr">
        <is>
          <t>京能大同热力有限公司（合并）本部</t>
        </is>
      </c>
      <c r="D111" s="182" t="inlineStr">
        <is>
          <t>ZI0290020075</t>
        </is>
      </c>
      <c r="E111" s="182" t="inlineStr">
        <is>
          <t>大同市经济建设投资集团有限责任公司</t>
        </is>
      </c>
      <c r="F111" s="716" t="n"/>
      <c r="G111" s="716" t="n"/>
      <c r="H111" s="462" t="n"/>
    </row>
    <row r="112">
      <c r="A112" s="672" t="inlineStr">
        <is>
          <t>E100189</t>
        </is>
      </c>
      <c r="B112" s="767">
        <f>ROW()</f>
        <v/>
      </c>
      <c r="C112" s="182" t="inlineStr">
        <is>
          <t>京能锡林郭勒能源有限公司</t>
        </is>
      </c>
      <c r="D112" s="182" t="inlineStr">
        <is>
          <t>ZI0290020076</t>
        </is>
      </c>
      <c r="E112" s="182" t="inlineStr">
        <is>
          <t>冀中能源峰峰集团有限公司</t>
        </is>
      </c>
      <c r="F112" s="716" t="n"/>
      <c r="G112" s="716" t="n"/>
      <c r="H112" s="462" t="n"/>
    </row>
    <row r="113">
      <c r="A113" s="672" t="inlineStr">
        <is>
          <t>E100399</t>
        </is>
      </c>
      <c r="B113" s="767">
        <f>ROW()</f>
        <v/>
      </c>
      <c r="C113" s="182" t="inlineStr">
        <is>
          <t>京能源深（嘉兴）能源科技有限公司</t>
        </is>
      </c>
      <c r="D113" s="182" t="inlineStr">
        <is>
          <t>ZI0290020066</t>
        </is>
      </c>
      <c r="E113" s="182" t="inlineStr">
        <is>
          <t>海宁科茂微电网技术有限公司</t>
        </is>
      </c>
      <c r="F113" s="716" t="n"/>
      <c r="G113" s="716" t="n"/>
      <c r="H113" s="462" t="n"/>
    </row>
    <row r="114">
      <c r="A114" s="672" t="inlineStr">
        <is>
          <t>E100399</t>
        </is>
      </c>
      <c r="B114" s="767">
        <f>ROW()</f>
        <v/>
      </c>
      <c r="C114" s="182" t="inlineStr">
        <is>
          <t>京能源深（嘉兴）能源科技有限公司</t>
        </is>
      </c>
      <c r="D114" s="182" t="inlineStr">
        <is>
          <t>ZI0290020067</t>
        </is>
      </c>
      <c r="E114" s="182" t="inlineStr">
        <is>
          <t>浙江诺欧博新能源股份有限公司</t>
        </is>
      </c>
      <c r="F114" s="716" t="n"/>
      <c r="G114" s="716" t="n"/>
      <c r="H114" s="462" t="n"/>
    </row>
    <row r="115">
      <c r="A115" s="672" t="inlineStr">
        <is>
          <t>E100262</t>
        </is>
      </c>
      <c r="B115" s="767">
        <f>ROW()</f>
        <v/>
      </c>
      <c r="C115" s="182" t="inlineStr">
        <is>
          <t>廊坊市华源盛世热力有限公司</t>
        </is>
      </c>
      <c r="D115" s="182" t="inlineStr">
        <is>
          <t>ZI0290020077</t>
        </is>
      </c>
      <c r="E115" s="182" t="inlineStr">
        <is>
          <t>廊坊市宏泰产业市镇投资有限公司</t>
        </is>
      </c>
      <c r="F115" s="716" t="n"/>
      <c r="G115" s="716" t="n"/>
      <c r="H115" s="462" t="n"/>
    </row>
    <row r="116">
      <c r="A116" s="672" t="inlineStr">
        <is>
          <t>E100810</t>
        </is>
      </c>
      <c r="B116" s="767">
        <f>ROW()</f>
        <v/>
      </c>
      <c r="C116" s="182" t="inlineStr">
        <is>
          <t>乐多港光穗（天津）投资合伙企业（有限合伙）</t>
        </is>
      </c>
      <c r="D116" s="182" t="inlineStr">
        <is>
          <t>ZI0290020078</t>
        </is>
      </c>
      <c r="E116" s="182" t="inlineStr">
        <is>
          <t>光大兴陇信托有限责任公司</t>
        </is>
      </c>
      <c r="F116" s="716" t="n"/>
      <c r="G116" s="716" t="n"/>
      <c r="H116" s="462" t="n"/>
    </row>
    <row r="117">
      <c r="A117" s="672" t="inlineStr">
        <is>
          <t>E100734</t>
        </is>
      </c>
      <c r="B117" s="767">
        <f>ROW()</f>
        <v/>
      </c>
      <c r="C117" s="182" t="inlineStr">
        <is>
          <t>联合光伏（常州）投资集团有限公司</t>
        </is>
      </c>
      <c r="D117" s="182" t="inlineStr">
        <is>
          <t>ZI0290020079</t>
        </is>
      </c>
      <c r="E117" s="182" t="inlineStr">
        <is>
          <t>工银金融资产投资有限公司</t>
        </is>
      </c>
      <c r="F117" s="716" t="n"/>
      <c r="G117" s="716" t="n"/>
      <c r="H117" s="462" t="n"/>
    </row>
    <row r="118">
      <c r="A118" s="672" t="inlineStr">
        <is>
          <t>E100750</t>
        </is>
      </c>
      <c r="B118" s="767">
        <f>ROW()</f>
        <v/>
      </c>
      <c r="C118" s="182" t="inlineStr">
        <is>
          <t>民丰县昂立光伏科技有限公司</t>
        </is>
      </c>
      <c r="D118" s="182" t="inlineStr">
        <is>
          <t>ZI0290020080</t>
        </is>
      </c>
      <c r="E118" s="182" t="inlineStr">
        <is>
          <t>正信光伏有限公司</t>
        </is>
      </c>
      <c r="F118" s="716" t="n"/>
      <c r="G118" s="716" t="n"/>
      <c r="H118" s="462" t="n"/>
    </row>
    <row r="119">
      <c r="A119" s="672" t="inlineStr">
        <is>
          <t>E100150</t>
        </is>
      </c>
      <c r="B119" s="767">
        <f>ROW()</f>
        <v/>
      </c>
      <c r="C119" s="182" t="inlineStr">
        <is>
          <t>内蒙古岱海发电有限责任公司</t>
        </is>
      </c>
      <c r="D119" s="182" t="inlineStr">
        <is>
          <t>ZI0290020081</t>
        </is>
      </c>
      <c r="E119" s="182" t="inlineStr">
        <is>
          <t>内蒙古蒙电华能热电股份有限公司</t>
        </is>
      </c>
      <c r="F119" s="716" t="n"/>
      <c r="G119" s="716" t="n"/>
      <c r="H119" s="462" t="n"/>
    </row>
    <row r="120">
      <c r="A120" s="672" t="inlineStr">
        <is>
          <t>E100155</t>
        </is>
      </c>
      <c r="B120" s="767">
        <f>ROW()</f>
        <v/>
      </c>
      <c r="C120" s="182" t="inlineStr">
        <is>
          <t>内蒙古华宁热电有限公司</t>
        </is>
      </c>
      <c r="D120" s="182" t="inlineStr">
        <is>
          <t>ZI0290020082</t>
        </is>
      </c>
      <c r="E120" s="182" t="inlineStr">
        <is>
          <t>内蒙古电力(集团)有限责任公司</t>
        </is>
      </c>
      <c r="F120" s="716" t="n"/>
      <c r="G120" s="716" t="n"/>
      <c r="H120" s="462" t="n"/>
    </row>
    <row r="121">
      <c r="A121" s="672" t="inlineStr">
        <is>
          <t>E100159</t>
        </is>
      </c>
      <c r="B121" s="767">
        <f>ROW()</f>
        <v/>
      </c>
      <c r="C121" s="182" t="inlineStr">
        <is>
          <t>内蒙古京海煤矸石发电有限责任公司</t>
        </is>
      </c>
      <c r="D121" s="182" t="inlineStr">
        <is>
          <t>ZI0290020083</t>
        </is>
      </c>
      <c r="E121" s="182" t="inlineStr">
        <is>
          <t>内蒙古广纳煤业（集团）有限责任公司</t>
        </is>
      </c>
      <c r="F121" s="716" t="n"/>
      <c r="G121" s="716" t="n"/>
      <c r="H121" s="462" t="n"/>
    </row>
    <row r="122">
      <c r="A122" s="672" t="inlineStr">
        <is>
          <t>E100165</t>
        </is>
      </c>
      <c r="B122" s="767">
        <f>ROW()</f>
        <v/>
      </c>
      <c r="C122" s="182" t="inlineStr">
        <is>
          <t>内蒙古京能康巴什热电有限公司</t>
        </is>
      </c>
      <c r="D122" s="182" t="inlineStr">
        <is>
          <t>ZI0290020084</t>
        </is>
      </c>
      <c r="E122" s="182" t="inlineStr">
        <is>
          <t>鄂尔多斯市裕鑫投资有限公司</t>
        </is>
      </c>
      <c r="F122" s="716" t="n"/>
      <c r="G122" s="716" t="n"/>
      <c r="H122" s="462" t="n"/>
    </row>
    <row r="123">
      <c r="A123" s="672" t="inlineStr">
        <is>
          <t>E100180</t>
        </is>
      </c>
      <c r="B123" s="767">
        <f>ROW()</f>
        <v/>
      </c>
      <c r="C123" s="182" t="inlineStr">
        <is>
          <t>内蒙古京能能源开发有限责任公司</t>
        </is>
      </c>
      <c r="D123" s="182" t="inlineStr">
        <is>
          <t>ZI0290020085</t>
        </is>
      </c>
      <c r="E123" s="182" t="inlineStr">
        <is>
          <t>内蒙古和林格尔新区基础设施开发建设投资有限公司</t>
        </is>
      </c>
      <c r="F123" s="716" t="n"/>
      <c r="G123" s="716" t="n"/>
      <c r="H123" s="462" t="n"/>
    </row>
    <row r="124">
      <c r="A124" s="672" t="inlineStr">
        <is>
          <t>E100180</t>
        </is>
      </c>
      <c r="B124" s="767">
        <f>ROW()</f>
        <v/>
      </c>
      <c r="C124" s="182" t="inlineStr">
        <is>
          <t>内蒙古京能能源开发有限责任公司</t>
        </is>
      </c>
      <c r="D124" s="182" t="inlineStr">
        <is>
          <t>ZI0290020147</t>
        </is>
      </c>
      <c r="E124" s="182" t="inlineStr">
        <is>
          <t>内蒙古和林格尔新区建设管理咨询有限公司</t>
        </is>
      </c>
      <c r="F124" s="716" t="n"/>
      <c r="G124" s="716" t="n"/>
      <c r="H124" s="462" t="n"/>
    </row>
    <row r="125">
      <c r="A125" s="672" t="inlineStr">
        <is>
          <t>E100171</t>
        </is>
      </c>
      <c r="B125" s="767">
        <f>ROW()</f>
        <v/>
      </c>
      <c r="C125" s="182" t="inlineStr">
        <is>
          <t>内蒙古京能双欣发电有限公司</t>
        </is>
      </c>
      <c r="D125" s="182" t="inlineStr">
        <is>
          <t>ZI0290020086</t>
        </is>
      </c>
      <c r="E125" s="182" t="inlineStr">
        <is>
          <t>中国能源建设集团天津电力建设有限公司</t>
        </is>
      </c>
      <c r="F125" s="716" t="n"/>
      <c r="G125" s="716" t="n"/>
      <c r="H125" s="462" t="n"/>
    </row>
    <row r="126">
      <c r="A126" s="672" t="inlineStr">
        <is>
          <t>E100171</t>
        </is>
      </c>
      <c r="B126" s="767">
        <f>ROW()</f>
        <v/>
      </c>
      <c r="C126" s="182" t="inlineStr">
        <is>
          <t>内蒙古京能双欣发电有限公司</t>
        </is>
      </c>
      <c r="D126" s="182" t="inlineStr">
        <is>
          <t>ZI0290020087</t>
        </is>
      </c>
      <c r="E126" s="182" t="inlineStr">
        <is>
          <t>鄂尔多斯市双欣化学工业有限责任公司</t>
        </is>
      </c>
      <c r="F126" s="716" t="n"/>
      <c r="G126" s="716" t="n"/>
      <c r="H126" s="462" t="n"/>
    </row>
    <row r="127">
      <c r="A127" s="672" t="inlineStr">
        <is>
          <t>E100157</t>
        </is>
      </c>
      <c r="B127" s="767">
        <f>ROW()</f>
        <v/>
      </c>
      <c r="C127" s="182" t="inlineStr">
        <is>
          <t>内蒙古京泰发电有限责任公司</t>
        </is>
      </c>
      <c r="D127" s="182" t="inlineStr">
        <is>
          <t>ZI0290020088</t>
        </is>
      </c>
      <c r="E127" s="182" t="inlineStr">
        <is>
          <t>内蒙古伊泰煤炭股份有限公司</t>
        </is>
      </c>
      <c r="F127" s="716" t="n"/>
      <c r="G127" s="716" t="n"/>
      <c r="H127" s="462" t="n"/>
    </row>
    <row r="128">
      <c r="A128" s="672" t="inlineStr">
        <is>
          <t>E100157</t>
        </is>
      </c>
      <c r="B128" s="767">
        <f>ROW()</f>
        <v/>
      </c>
      <c r="C128" s="182" t="inlineStr">
        <is>
          <t>内蒙古京泰发电有限责任公司</t>
        </is>
      </c>
      <c r="D128" s="182" t="inlineStr">
        <is>
          <t>ZI0290020089</t>
        </is>
      </c>
      <c r="E128" s="182" t="inlineStr">
        <is>
          <t>山西粤电能源有限公司</t>
        </is>
      </c>
      <c r="F128" s="716" t="n"/>
      <c r="G128" s="716" t="n"/>
      <c r="H128" s="462" t="n"/>
    </row>
    <row r="129">
      <c r="A129" s="672" t="inlineStr">
        <is>
          <t>E100205</t>
        </is>
      </c>
      <c r="B129" s="767">
        <f>ROW()</f>
        <v/>
      </c>
      <c r="C129" s="182" t="inlineStr">
        <is>
          <t>宁夏红墩子煤业有限公司</t>
        </is>
      </c>
      <c r="D129" s="182" t="inlineStr">
        <is>
          <t>ZI0290020090</t>
        </is>
      </c>
      <c r="E129" s="182" t="inlineStr">
        <is>
          <t>国家电投集团宁夏能源铝业有限公司</t>
        </is>
      </c>
      <c r="F129" s="716" t="n"/>
      <c r="G129" s="716" t="n"/>
      <c r="H129" s="462" t="n"/>
    </row>
    <row r="130">
      <c r="A130" s="672" t="inlineStr">
        <is>
          <t>E100205</t>
        </is>
      </c>
      <c r="B130" s="767">
        <f>ROW()</f>
        <v/>
      </c>
      <c r="C130" s="182" t="inlineStr">
        <is>
          <t>宁夏红墩子煤业有限公司</t>
        </is>
      </c>
      <c r="D130" s="182" t="inlineStr">
        <is>
          <t>ZI0290020131</t>
        </is>
      </c>
      <c r="E130" s="182" t="inlineStr">
        <is>
          <t>宁夏宝丰能源集团股份有限公司</t>
        </is>
      </c>
      <c r="F130" s="716" t="n"/>
      <c r="G130" s="716" t="n"/>
      <c r="H130" s="462" t="n"/>
    </row>
    <row r="131">
      <c r="A131" s="672" t="inlineStr">
        <is>
          <t>E100152</t>
        </is>
      </c>
      <c r="B131" s="767">
        <f>ROW()</f>
        <v/>
      </c>
      <c r="C131" s="182" t="inlineStr">
        <is>
          <t>宁夏京能宁东发电有限责任公司</t>
        </is>
      </c>
      <c r="D131" s="182" t="inlineStr">
        <is>
          <t>ZI0290020091</t>
        </is>
      </c>
      <c r="E131" s="182" t="inlineStr">
        <is>
          <t>中铝宁夏能源集团有限公司</t>
        </is>
      </c>
      <c r="F131" s="716" t="n"/>
      <c r="G131" s="716" t="n"/>
      <c r="H131" s="462" t="n"/>
    </row>
    <row r="132">
      <c r="A132" s="672" t="inlineStr">
        <is>
          <t>E100176</t>
        </is>
      </c>
      <c r="B132" s="767">
        <f>ROW()</f>
        <v/>
      </c>
      <c r="C132" s="182" t="inlineStr">
        <is>
          <t>宁夏太阳山京智综合能源（售电）有限公司</t>
        </is>
      </c>
      <c r="D132" s="182" t="inlineStr">
        <is>
          <t>ZI0290020092</t>
        </is>
      </c>
      <c r="E132" s="182" t="inlineStr">
        <is>
          <t>中宁县工业（物流）园区物业管理有限公司</t>
        </is>
      </c>
      <c r="F132" s="716" t="n"/>
      <c r="G132" s="716" t="n"/>
      <c r="H132" s="462" t="n"/>
    </row>
    <row r="133">
      <c r="A133" s="672" t="inlineStr">
        <is>
          <t>E100176</t>
        </is>
      </c>
      <c r="B133" s="767">
        <f>ROW()</f>
        <v/>
      </c>
      <c r="C133" s="182" t="inlineStr">
        <is>
          <t>宁夏太阳山京智综合能源（售电）有限公司</t>
        </is>
      </c>
      <c r="D133" s="182" t="inlineStr">
        <is>
          <t>ZI0290020093</t>
        </is>
      </c>
      <c r="E133" s="182" t="inlineStr">
        <is>
          <t>北京国网电力技术有限公司</t>
        </is>
      </c>
      <c r="F133" s="716" t="n"/>
      <c r="G133" s="716" t="n"/>
      <c r="H133" s="462" t="n"/>
    </row>
    <row r="134">
      <c r="A134" s="672" t="inlineStr">
        <is>
          <t>E100177</t>
        </is>
      </c>
      <c r="B134" s="767">
        <f>ROW()</f>
        <v/>
      </c>
      <c r="C134" s="182" t="inlineStr">
        <is>
          <t>青岛京能智汇综合能源有限公司</t>
        </is>
      </c>
      <c r="D134" s="182" t="inlineStr">
        <is>
          <t>ZI0290020094</t>
        </is>
      </c>
      <c r="E134" s="182" t="inlineStr">
        <is>
          <t>青岛有住投资控股有限公司</t>
        </is>
      </c>
      <c r="F134" s="716" t="n"/>
      <c r="G134" s="716" t="n"/>
      <c r="H134" s="462" t="n"/>
    </row>
    <row r="135">
      <c r="A135" s="672" t="inlineStr">
        <is>
          <t>E100953</t>
        </is>
      </c>
      <c r="B135" s="767">
        <f>ROW()</f>
        <v/>
      </c>
      <c r="C135" s="182" t="inlineStr">
        <is>
          <t>清水河县惠民光伏发电有限公司</t>
        </is>
      </c>
      <c r="D135" s="182" t="inlineStr">
        <is>
          <t>ZI0290020095</t>
        </is>
      </c>
      <c r="E135" s="182" t="inlineStr">
        <is>
          <t>呼和浩特市城乡建设投资有限责任公司</t>
        </is>
      </c>
      <c r="F135" s="716" t="n"/>
      <c r="G135" s="716" t="n"/>
      <c r="H135" s="462" t="n"/>
    </row>
    <row r="136">
      <c r="A136" s="672" t="inlineStr">
        <is>
          <t>E100172</t>
        </is>
      </c>
      <c r="B136" s="767">
        <f>ROW()</f>
        <v/>
      </c>
      <c r="C136" s="182" t="inlineStr">
        <is>
          <t>山西京能吕临发电有限公司</t>
        </is>
      </c>
      <c r="D136" s="182" t="inlineStr">
        <is>
          <t>ZI0290020096</t>
        </is>
      </c>
      <c r="E136" s="182" t="inlineStr">
        <is>
          <t>霍州煤电集团有限责任公司</t>
        </is>
      </c>
      <c r="F136" s="716" t="n"/>
      <c r="G136" s="716" t="n"/>
      <c r="H136" s="462" t="n"/>
    </row>
    <row r="137">
      <c r="A137" s="672" t="inlineStr">
        <is>
          <t>E101135</t>
        </is>
      </c>
      <c r="B137" s="767">
        <f>ROW()</f>
        <v/>
      </c>
      <c r="C137" s="182" t="inlineStr">
        <is>
          <t>山西鑫华源智能立体停车设备制造有限责任公司</t>
        </is>
      </c>
      <c r="D137" s="182" t="inlineStr">
        <is>
          <t>ZI0290020097</t>
        </is>
      </c>
      <c r="E137" s="182" t="inlineStr">
        <is>
          <t>山西电机制造有限公司</t>
        </is>
      </c>
      <c r="F137" s="716" t="n"/>
      <c r="G137" s="716" t="n"/>
      <c r="H137" s="462" t="n"/>
    </row>
    <row r="138">
      <c r="A138" s="672" t="inlineStr">
        <is>
          <t>E100219</t>
        </is>
      </c>
      <c r="B138" s="767">
        <f>ROW()</f>
        <v/>
      </c>
      <c r="C138" s="182" t="inlineStr">
        <is>
          <t>唐山京曹天然气有限公司</t>
        </is>
      </c>
      <c r="D138" s="182" t="inlineStr">
        <is>
          <t>ZI0290020098</t>
        </is>
      </c>
      <c r="E138" s="182" t="inlineStr">
        <is>
          <t>唐山曹妃甸发展投资集团有限公司</t>
        </is>
      </c>
      <c r="F138" s="716" t="n"/>
      <c r="G138" s="716" t="n"/>
      <c r="H138" s="462" t="n"/>
    </row>
    <row r="139">
      <c r="A139" s="672" t="inlineStr">
        <is>
          <t>E100430</t>
        </is>
      </c>
      <c r="B139" s="767">
        <f>ROW()</f>
        <v/>
      </c>
      <c r="C139" s="182" t="inlineStr">
        <is>
          <t>天津海航东海岸发展有限公司</t>
        </is>
      </c>
      <c r="D139" s="182" t="inlineStr">
        <is>
          <t>ZI0290020099</t>
        </is>
      </c>
      <c r="E139" s="182" t="inlineStr">
        <is>
          <t>康因投资控股有限公司</t>
        </is>
      </c>
      <c r="F139" s="716" t="n"/>
      <c r="G139" s="716" t="n"/>
      <c r="H139" s="462" t="n"/>
    </row>
    <row r="140">
      <c r="A140" s="672" t="inlineStr">
        <is>
          <t>E100430</t>
        </is>
      </c>
      <c r="B140" s="767">
        <f>ROW()</f>
        <v/>
      </c>
      <c r="C140" s="182" t="inlineStr">
        <is>
          <t>天津海航东海岸发展有限公司</t>
        </is>
      </c>
      <c r="D140" s="182" t="inlineStr">
        <is>
          <t>ZI0290020100</t>
        </is>
      </c>
      <c r="E140" s="182" t="inlineStr">
        <is>
          <t>天津通合投资有限公司</t>
        </is>
      </c>
      <c r="F140" s="716" t="n"/>
      <c r="G140" s="716" t="n"/>
      <c r="H140" s="462" t="n"/>
    </row>
    <row r="141">
      <c r="A141" s="672" t="inlineStr">
        <is>
          <t>E100442</t>
        </is>
      </c>
      <c r="B141" s="767">
        <f>ROW()</f>
        <v/>
      </c>
      <c r="C141" s="182" t="inlineStr">
        <is>
          <t>天津津浦伟业地产有限公司</t>
        </is>
      </c>
      <c r="D141" s="182" t="inlineStr">
        <is>
          <t>ZI0290020101</t>
        </is>
      </c>
      <c r="E141" s="182" t="inlineStr">
        <is>
          <t>天津懿嘉园林绿化工程有限公司</t>
        </is>
      </c>
      <c r="F141" s="716" t="n"/>
      <c r="G141" s="716" t="n"/>
      <c r="H141" s="462" t="n"/>
    </row>
    <row r="142">
      <c r="A142" s="672" t="inlineStr">
        <is>
          <t>E100483</t>
        </is>
      </c>
      <c r="B142" s="767">
        <f>ROW()</f>
        <v/>
      </c>
      <c r="C142" s="182" t="inlineStr">
        <is>
          <t>投资北京国际有限公司</t>
        </is>
      </c>
      <c r="D142" s="182" t="inlineStr">
        <is>
          <t>ZI0290020102</t>
        </is>
      </c>
      <c r="E142" s="182" t="inlineStr">
        <is>
          <t>北京市工程咨询有限公司</t>
        </is>
      </c>
      <c r="F142" s="716" t="n"/>
      <c r="G142" s="716" t="n"/>
      <c r="H142" s="462" t="n"/>
    </row>
    <row r="143">
      <c r="A143" s="672" t="inlineStr">
        <is>
          <t>E100995</t>
        </is>
      </c>
      <c r="B143" s="767">
        <f>ROW()</f>
        <v/>
      </c>
      <c r="C143" s="182" t="inlineStr">
        <is>
          <t>阳春市光晏光伏发电有限公司</t>
        </is>
      </c>
      <c r="D143" s="182" t="inlineStr">
        <is>
          <t>ZI0290020103</t>
        </is>
      </c>
      <c r="E143" s="182" t="inlineStr">
        <is>
          <t>常州市光晏新能源有限公司</t>
        </is>
      </c>
      <c r="F143" s="716" t="n"/>
      <c r="G143" s="716" t="n"/>
      <c r="H143" s="462" t="n"/>
    </row>
    <row r="144">
      <c r="A144" s="672" t="inlineStr">
        <is>
          <t>E100995</t>
        </is>
      </c>
      <c r="B144" s="767">
        <f>ROW()</f>
        <v/>
      </c>
      <c r="C144" s="182" t="inlineStr">
        <is>
          <t>阳春市光晏光伏发电有限公司</t>
        </is>
      </c>
      <c r="D144" s="182" t="inlineStr">
        <is>
          <t>ZI0290020126</t>
        </is>
      </c>
      <c r="E144" s="182" t="inlineStr">
        <is>
          <t>阳春市春州扶贫资产投资有限公司</t>
        </is>
      </c>
      <c r="F144" s="716" t="n"/>
      <c r="G144" s="716" t="n"/>
      <c r="H144" s="462" t="n"/>
    </row>
    <row r="145">
      <c r="A145" s="672" t="inlineStr">
        <is>
          <t>E100854</t>
        </is>
      </c>
      <c r="B145" s="767">
        <f>ROW()</f>
        <v/>
      </c>
      <c r="C145" s="182" t="inlineStr">
        <is>
          <t>阳春市招联绿辉光伏发电有限公司</t>
        </is>
      </c>
      <c r="D145" s="182" t="inlineStr">
        <is>
          <t>ZI0290020104</t>
        </is>
      </c>
      <c r="E145" s="182" t="inlineStr">
        <is>
          <t>阳春市春州扶贫资产投资有限公司</t>
        </is>
      </c>
      <c r="F145" s="716" t="n"/>
      <c r="G145" s="716" t="n"/>
      <c r="H145" s="462" t="n"/>
    </row>
    <row r="146">
      <c r="A146" s="672" t="inlineStr">
        <is>
          <t>E100727</t>
        </is>
      </c>
      <c r="B146" s="767">
        <f>ROW()</f>
        <v/>
      </c>
      <c r="C146" s="182" t="inlineStr">
        <is>
          <t>宜昌市夷陵区中基热电有限公司</t>
        </is>
      </c>
      <c r="D146" s="182" t="inlineStr">
        <is>
          <t>ZI0290020105</t>
        </is>
      </c>
      <c r="E146" s="182" t="inlineStr">
        <is>
          <t>中基能源（深圳）有限公司</t>
        </is>
      </c>
      <c r="F146" s="716" t="n"/>
      <c r="G146" s="716" t="n"/>
      <c r="H146" s="462" t="n"/>
    </row>
    <row r="147">
      <c r="A147" s="672" t="inlineStr">
        <is>
          <t>E100741</t>
        </is>
      </c>
      <c r="B147" s="767">
        <f>ROW()</f>
        <v/>
      </c>
      <c r="C147" s="182" t="inlineStr">
        <is>
          <t>永胜惠光光伏发电有限公司</t>
        </is>
      </c>
      <c r="D147" s="182" t="inlineStr">
        <is>
          <t>ZI0290020106</t>
        </is>
      </c>
      <c r="E147" s="182" t="inlineStr">
        <is>
          <t>招商局漳州开发区丝路新能源有限公司</t>
        </is>
      </c>
      <c r="F147" s="716" t="n"/>
      <c r="G147" s="716" t="n"/>
      <c r="H147" s="462" t="n"/>
    </row>
    <row r="148">
      <c r="A148" s="672" t="inlineStr">
        <is>
          <t>E100012</t>
        </is>
      </c>
      <c r="B148" s="767">
        <f>ROW()</f>
        <v/>
      </c>
      <c r="C148" s="182" t="inlineStr">
        <is>
          <t>珠海市钰海电力有限公司</t>
        </is>
      </c>
      <c r="D148" s="182" t="inlineStr">
        <is>
          <t>ZI0290020107</t>
        </is>
      </c>
      <c r="E148" s="182" t="inlineStr">
        <is>
          <t xml:space="preserve">深圳市利联太阳百货有限公司 </t>
        </is>
      </c>
      <c r="F148" s="716" t="n"/>
      <c r="G148" s="716" t="n"/>
      <c r="H148" s="462" t="n"/>
    </row>
    <row r="149">
      <c r="A149" s="672" t="inlineStr">
        <is>
          <t>E100803</t>
        </is>
      </c>
      <c r="B149" s="767">
        <f>ROW()</f>
        <v/>
      </c>
      <c r="C149" s="182" t="inlineStr">
        <is>
          <t>北京京能颐寿轩康养有限公司（原名东竹园康养）</t>
        </is>
      </c>
      <c r="D149" s="182" t="inlineStr">
        <is>
          <t>ZI0290020108</t>
        </is>
      </c>
      <c r="E149" s="182" t="inlineStr">
        <is>
          <t>北京市物价局培训中心</t>
        </is>
      </c>
      <c r="F149" s="716" t="n"/>
      <c r="G149" s="716" t="n"/>
      <c r="H149" s="462" t="n"/>
    </row>
    <row r="150">
      <c r="A150" s="672" t="inlineStr">
        <is>
          <t>E100083</t>
        </is>
      </c>
      <c r="B150" s="767">
        <f>ROW()</f>
        <v/>
      </c>
      <c r="C150" s="182" t="inlineStr">
        <is>
          <t>浑源京晶新能源有限公司</t>
        </is>
      </c>
      <c r="D150" s="182" t="inlineStr">
        <is>
          <t>ZI0290020124</t>
        </is>
      </c>
      <c r="E150" s="182" t="inlineStr">
        <is>
          <t>横峰县晶源电力有限公司</t>
        </is>
      </c>
      <c r="F150" s="716" t="n"/>
      <c r="G150" s="716" t="n"/>
      <c r="H150" s="462" t="n"/>
    </row>
    <row r="151">
      <c r="A151" s="672" t="inlineStr">
        <is>
          <t>E100084</t>
        </is>
      </c>
      <c r="B151" s="767">
        <f>ROW()</f>
        <v/>
      </c>
      <c r="C151" s="182" t="inlineStr">
        <is>
          <t>寿阳京寿光伏发电有限公司</t>
        </is>
      </c>
      <c r="D151" s="182" t="inlineStr">
        <is>
          <t>ZI0290020109</t>
        </is>
      </c>
      <c r="E151" s="182" t="inlineStr">
        <is>
          <t>横峰县晶能电力有限公司</t>
        </is>
      </c>
      <c r="F151" s="716" t="n"/>
      <c r="G151" s="716" t="n"/>
      <c r="H151" s="462" t="n"/>
    </row>
    <row r="152">
      <c r="A152" s="672" t="inlineStr">
        <is>
          <t>E101139</t>
        </is>
      </c>
      <c r="B152" s="767">
        <f>ROW()</f>
        <v/>
      </c>
      <c r="C152" s="182" t="inlineStr">
        <is>
          <t>天创科技发展有限公司</t>
        </is>
      </c>
      <c r="D152" s="182" t="inlineStr">
        <is>
          <t>ZI0290020110</t>
        </is>
      </c>
      <c r="E152" s="182" t="inlineStr">
        <is>
          <t>辽宁兴源资产管理有限公司</t>
        </is>
      </c>
      <c r="F152" s="716" t="n"/>
      <c r="G152" s="716" t="n"/>
      <c r="H152" s="462" t="n"/>
    </row>
    <row r="153">
      <c r="A153" s="672" t="inlineStr">
        <is>
          <t>E101139</t>
        </is>
      </c>
      <c r="B153" s="767">
        <f>ROW()</f>
        <v/>
      </c>
      <c r="C153" s="182" t="inlineStr">
        <is>
          <t>天创科技发展有限公司</t>
        </is>
      </c>
      <c r="D153" s="182" t="inlineStr">
        <is>
          <t>ZI0290020111</t>
        </is>
      </c>
      <c r="E153" s="182" t="inlineStr">
        <is>
          <t>北京威滋德投资咨询有限公司</t>
        </is>
      </c>
      <c r="F153" s="716" t="n"/>
      <c r="G153" s="716" t="n"/>
      <c r="H153" s="462" t="n"/>
    </row>
    <row r="154">
      <c r="A154" s="672" t="inlineStr">
        <is>
          <t>E100145</t>
        </is>
      </c>
      <c r="B154" s="767">
        <f>ROW()</f>
        <v/>
      </c>
      <c r="C154" s="182" t="inlineStr">
        <is>
          <t>北京京能电力股份有限公司</t>
        </is>
      </c>
      <c r="D154" s="182" t="inlineStr">
        <is>
          <t>ZI0290020112</t>
        </is>
      </c>
      <c r="E154" s="182" t="inlineStr">
        <is>
          <t>山西国际电力集团有限公司</t>
        </is>
      </c>
      <c r="F154" s="716" t="n"/>
      <c r="G154" s="716" t="n"/>
      <c r="H154" s="462" t="n"/>
    </row>
    <row r="155">
      <c r="A155" s="672" t="inlineStr">
        <is>
          <t>E101069</t>
        </is>
      </c>
      <c r="B155" s="767">
        <f>ROW()</f>
        <v/>
      </c>
      <c r="C155" s="182" t="inlineStr">
        <is>
          <t>昌都市中电建新能源开发有限公司</t>
        </is>
      </c>
      <c r="D155" s="182" t="inlineStr">
        <is>
          <t>ZI0290020113</t>
        </is>
      </c>
      <c r="E155" s="182" t="inlineStr">
        <is>
          <t>定日县联合光伏有限公司</t>
        </is>
      </c>
      <c r="F155" s="716" t="n"/>
      <c r="G155" s="716" t="n"/>
      <c r="H155" s="462" t="n"/>
    </row>
    <row r="156">
      <c r="A156" s="672" t="inlineStr">
        <is>
          <t>E100738</t>
        </is>
      </c>
      <c r="B156" s="767">
        <f>ROW()</f>
        <v/>
      </c>
      <c r="C156" s="182" t="inlineStr">
        <is>
          <t>西藏藏能股份有限公司</t>
        </is>
      </c>
      <c r="D156" s="182" t="inlineStr">
        <is>
          <t>ZI0290020114</t>
        </is>
      </c>
      <c r="E156" s="182" t="inlineStr">
        <is>
          <t>西藏自治区国有资产经营公司</t>
        </is>
      </c>
      <c r="F156" s="716" t="n"/>
      <c r="G156" s="716" t="n"/>
      <c r="H156" s="462" t="n"/>
    </row>
    <row r="157">
      <c r="A157" s="672" t="inlineStr">
        <is>
          <t>E100738</t>
        </is>
      </c>
      <c r="B157" s="767">
        <f>ROW()</f>
        <v/>
      </c>
      <c r="C157" s="182" t="inlineStr">
        <is>
          <t>西藏藏能股份有限公司</t>
        </is>
      </c>
      <c r="D157" s="182" t="inlineStr">
        <is>
          <t>ZI0290020115</t>
        </is>
      </c>
      <c r="E157" s="182" t="inlineStr">
        <is>
          <t>西藏自治区投资有限公司</t>
        </is>
      </c>
      <c r="F157" s="716" t="n"/>
      <c r="G157" s="716" t="n"/>
      <c r="H157" s="462" t="n"/>
    </row>
    <row r="158">
      <c r="A158" s="672" t="inlineStr">
        <is>
          <t>E100571</t>
        </is>
      </c>
      <c r="B158" s="767">
        <f>ROW()</f>
        <v/>
      </c>
      <c r="C158" s="182" t="inlineStr">
        <is>
          <t>京能远景领金智汇（北京）科技有限公司</t>
        </is>
      </c>
      <c r="D158" s="182" t="inlineStr">
        <is>
          <t>ZI0290020116</t>
        </is>
      </c>
      <c r="E158" s="182" t="inlineStr">
        <is>
          <t>上海远景科创智能科技有限公司</t>
        </is>
      </c>
      <c r="F158" s="716" t="n"/>
      <c r="G158" s="716" t="n"/>
      <c r="H158" s="462" t="n"/>
    </row>
    <row r="159">
      <c r="A159" s="672" t="inlineStr">
        <is>
          <t>E100571</t>
        </is>
      </c>
      <c r="B159" s="767">
        <f>ROW()</f>
        <v/>
      </c>
      <c r="C159" s="182" t="inlineStr">
        <is>
          <t>京能远景领金智汇（北京）科技有限公司</t>
        </is>
      </c>
      <c r="D159" s="182" t="inlineStr">
        <is>
          <t>ZI0290020117</t>
        </is>
      </c>
      <c r="E159" s="182" t="inlineStr">
        <is>
          <t>北京领金智汇科技合伙企业（有限合伙）</t>
        </is>
      </c>
      <c r="F159" s="716" t="n"/>
      <c r="G159" s="716" t="n"/>
      <c r="H159" s="462" t="n"/>
    </row>
    <row r="160">
      <c r="A160" s="672" t="inlineStr">
        <is>
          <t>E100566</t>
        </is>
      </c>
      <c r="B160" s="767">
        <f>ROW()</f>
        <v/>
      </c>
      <c r="C160" s="182" t="inlineStr">
        <is>
          <t>北京京能燕开综合能源服务有限公司</t>
        </is>
      </c>
      <c r="D160" s="182" t="inlineStr">
        <is>
          <t>ZI0290020118</t>
        </is>
      </c>
      <c r="E160" s="182" t="inlineStr">
        <is>
          <t>燕开电气股份有限公司</t>
        </is>
      </c>
      <c r="F160" s="716" t="n"/>
      <c r="G160" s="716" t="n"/>
      <c r="H160" s="462" t="n"/>
    </row>
    <row r="161">
      <c r="A161" s="672" t="inlineStr">
        <is>
          <t>E100566</t>
        </is>
      </c>
      <c r="B161" s="767">
        <f>ROW()</f>
        <v/>
      </c>
      <c r="C161" s="182" t="inlineStr">
        <is>
          <t>北京京能燕开综合能源服务有限公司</t>
        </is>
      </c>
      <c r="D161" s="182" t="inlineStr">
        <is>
          <t>ZI0290020119</t>
        </is>
      </c>
      <c r="E161" s="182" t="inlineStr">
        <is>
          <t>北京鑫源合盛电气技术有限公司</t>
        </is>
      </c>
      <c r="F161" s="716" t="n"/>
      <c r="G161" s="716" t="n"/>
      <c r="H161" s="462" t="n"/>
    </row>
    <row r="162">
      <c r="A162" s="672" t="inlineStr">
        <is>
          <t>E101141</t>
        </is>
      </c>
      <c r="B162" s="767">
        <f>ROW()</f>
        <v/>
      </c>
      <c r="C162" s="182" t="inlineStr">
        <is>
          <t>锡林郭勒峰峰能源有限公司</t>
        </is>
      </c>
      <c r="D162" s="182" t="inlineStr">
        <is>
          <t>ZI0290020076</t>
        </is>
      </c>
      <c r="E162" s="182" t="inlineStr">
        <is>
          <t>冀中能源峰峰集团有限公司</t>
        </is>
      </c>
      <c r="F162" s="716" t="n"/>
      <c r="G162" s="716" t="n"/>
      <c r="H162" s="462" t="n"/>
    </row>
    <row r="163">
      <c r="A163" s="672" t="inlineStr">
        <is>
          <t>E100163</t>
        </is>
      </c>
      <c r="B163" s="767">
        <f>ROW()</f>
        <v/>
      </c>
      <c r="C163" s="182" t="inlineStr">
        <is>
          <t>右玉县京玉污水处理有限责任公司</t>
        </is>
      </c>
      <c r="D163" s="182" t="inlineStr">
        <is>
          <t>ZI0290020120</t>
        </is>
      </c>
      <c r="E163" s="182" t="inlineStr">
        <is>
          <t>右玉县通顺城乡建设投资管理有限公司</t>
        </is>
      </c>
      <c r="F163" s="716" t="n"/>
      <c r="G163" s="716" t="n"/>
      <c r="H163" s="462" t="n"/>
    </row>
    <row r="164">
      <c r="A164" s="672" t="inlineStr">
        <is>
          <t>E100162</t>
        </is>
      </c>
      <c r="B164" s="767">
        <f>ROW()</f>
        <v/>
      </c>
      <c r="C164" s="182" t="inlineStr">
        <is>
          <t>山西京玉发电有限责任公司</t>
        </is>
      </c>
      <c r="D164" s="182" t="inlineStr">
        <is>
          <t>ZI0290020121</t>
        </is>
      </c>
      <c r="E164" s="182" t="inlineStr">
        <is>
          <t>格盟国际能源投资有限公司</t>
        </is>
      </c>
      <c r="F164" s="716" t="n"/>
      <c r="G164" s="716" t="n"/>
      <c r="H164" s="462" t="n"/>
    </row>
    <row r="165">
      <c r="A165" s="672" t="inlineStr">
        <is>
          <t>E100407</t>
        </is>
      </c>
      <c r="B165" s="767">
        <f>ROW()</f>
        <v/>
      </c>
      <c r="C165" s="182" t="inlineStr">
        <is>
          <t>北京华源高洁能源供应技术有限责任公司</t>
        </is>
      </c>
      <c r="D165" s="182" t="inlineStr">
        <is>
          <t>ZI0290020122</t>
        </is>
      </c>
      <c r="E165" s="182" t="inlineStr">
        <is>
          <t>文津国际投资（北京）有限公司</t>
        </is>
      </c>
      <c r="F165" s="716" t="n"/>
      <c r="G165" s="716" t="n"/>
      <c r="H165" s="462" t="n"/>
    </row>
    <row r="166">
      <c r="A166" s="672" t="inlineStr">
        <is>
          <t>E100257</t>
        </is>
      </c>
      <c r="B166" s="767">
        <f>ROW()</f>
        <v/>
      </c>
      <c r="C166" s="182" t="inlineStr">
        <is>
          <t>北京金马特诚供暖有限责任公司</t>
        </is>
      </c>
      <c r="D166" s="182" t="inlineStr">
        <is>
          <t>ZI0290020123</t>
        </is>
      </c>
      <c r="E166" s="182" t="inlineStr">
        <is>
          <t>北京金马驹开发建设有限公司</t>
        </is>
      </c>
      <c r="F166" s="716" t="n"/>
      <c r="G166" s="716" t="n"/>
      <c r="H166" s="462" t="n"/>
    </row>
    <row r="167">
      <c r="A167" s="672" t="inlineStr">
        <is>
          <t>E100000G</t>
        </is>
      </c>
      <c r="B167" s="767">
        <f>ROW()</f>
        <v/>
      </c>
      <c r="C167" s="182" t="inlineStr">
        <is>
          <t>北京能源集团有限责任公司（合并）</t>
        </is>
      </c>
      <c r="D167" s="182" t="inlineStr">
        <is>
          <t>ZI0290020001</t>
        </is>
      </c>
      <c r="E167" s="182" t="inlineStr">
        <is>
          <t>北京国有资本运营管理有限公司</t>
        </is>
      </c>
      <c r="F167" s="716" t="n"/>
      <c r="G167" s="716" t="n"/>
      <c r="H167" s="462" t="n"/>
    </row>
    <row r="168">
      <c r="A168" s="672" t="inlineStr">
        <is>
          <t>E100000H</t>
        </is>
      </c>
      <c r="B168" s="767">
        <f>ROW()</f>
        <v/>
      </c>
      <c r="C168" s="182" t="inlineStr">
        <is>
          <t>北京能源集团有限责任公司（母公司）</t>
        </is>
      </c>
      <c r="D168" s="182" t="inlineStr">
        <is>
          <t>ZI0290020001</t>
        </is>
      </c>
      <c r="E168" s="182" t="inlineStr">
        <is>
          <t>北京国有资本运营管理有限公司</t>
        </is>
      </c>
      <c r="F168" s="716" t="n"/>
      <c r="G168" s="716" t="n"/>
      <c r="H168" s="462" t="n"/>
    </row>
    <row r="169">
      <c r="A169" s="672" t="inlineStr">
        <is>
          <t>E100001G</t>
        </is>
      </c>
      <c r="B169" s="767">
        <f>ROW()</f>
        <v/>
      </c>
      <c r="C169" s="182" t="inlineStr">
        <is>
          <t>北京京能清洁能源电力股份有限公司（合并）</t>
        </is>
      </c>
      <c r="D169" s="182" t="inlineStr">
        <is>
          <t>ZI0290020001</t>
        </is>
      </c>
      <c r="E169" s="182" t="inlineStr">
        <is>
          <t>北京国有资本运营管理有限公司</t>
        </is>
      </c>
      <c r="F169" s="716" t="n"/>
      <c r="G169" s="716" t="n"/>
      <c r="H169" s="462" t="n"/>
    </row>
    <row r="170">
      <c r="A170" s="672" t="inlineStr">
        <is>
          <t>E100001H</t>
        </is>
      </c>
      <c r="B170" s="767">
        <f>ROW()</f>
        <v/>
      </c>
      <c r="C170" s="182" t="inlineStr">
        <is>
          <t>北京京能清洁能源电力股份有限公司（母公司）</t>
        </is>
      </c>
      <c r="D170" s="182" t="inlineStr">
        <is>
          <t>ZI0290020001</t>
        </is>
      </c>
      <c r="E170" s="182" t="inlineStr">
        <is>
          <t>北京国有资本运营管理有限公司</t>
        </is>
      </c>
      <c r="F170" s="716" t="n"/>
      <c r="G170" s="716" t="n"/>
      <c r="H170" s="462" t="n"/>
    </row>
    <row r="171">
      <c r="A171" s="672" t="inlineStr">
        <is>
          <t>E100145G</t>
        </is>
      </c>
      <c r="B171" s="767">
        <f>ROW()</f>
        <v/>
      </c>
      <c r="C171" s="182" t="inlineStr">
        <is>
          <t>北京京能电力股份有限公司（合并）上市</t>
        </is>
      </c>
      <c r="D171" s="182" t="inlineStr">
        <is>
          <t>ZI0290020112</t>
        </is>
      </c>
      <c r="E171" s="182" t="inlineStr">
        <is>
          <t>山西国际电力集团有限公司</t>
        </is>
      </c>
      <c r="F171" s="716" t="n"/>
      <c r="G171" s="716" t="n"/>
      <c r="H171" s="462" t="n"/>
    </row>
    <row r="172">
      <c r="A172" s="672" t="inlineStr">
        <is>
          <t>E100145H</t>
        </is>
      </c>
      <c r="B172" s="767">
        <f>ROW()</f>
        <v/>
      </c>
      <c r="C172" s="182" t="inlineStr">
        <is>
          <t>北京京能电力股份有限公司（合并）本部</t>
        </is>
      </c>
      <c r="D172" s="182" t="inlineStr">
        <is>
          <t>ZI0290020112</t>
        </is>
      </c>
      <c r="E172" s="182" t="inlineStr">
        <is>
          <t>山西国际电力集团有限公司</t>
        </is>
      </c>
      <c r="F172" s="716" t="n"/>
      <c r="G172" s="716" t="n"/>
      <c r="H172" s="462" t="n"/>
    </row>
    <row r="173">
      <c r="A173" s="672" t="inlineStr">
        <is>
          <t>E100162G</t>
        </is>
      </c>
      <c r="B173" s="767">
        <f>ROW()</f>
        <v/>
      </c>
      <c r="C173" s="182" t="inlineStr">
        <is>
          <t>山西京玉发电有限责任公司（合并）</t>
        </is>
      </c>
      <c r="D173" s="182" t="inlineStr">
        <is>
          <t>ZI0290020121</t>
        </is>
      </c>
      <c r="E173" s="182" t="inlineStr">
        <is>
          <t>格盟国际能源投资有限公司</t>
        </is>
      </c>
      <c r="F173" s="716" t="n"/>
      <c r="G173" s="716" t="n"/>
      <c r="H173" s="462" t="n"/>
    </row>
    <row r="174">
      <c r="A174" s="672" t="inlineStr">
        <is>
          <t>E100189G</t>
        </is>
      </c>
      <c r="B174" s="767">
        <f>ROW()</f>
        <v/>
      </c>
      <c r="C174" s="182" t="inlineStr">
        <is>
          <t>京能锡林郭勒能源有限公司（合并）</t>
        </is>
      </c>
      <c r="D174" s="182" t="inlineStr">
        <is>
          <t>ZI0290020076</t>
        </is>
      </c>
      <c r="E174" s="182" t="inlineStr">
        <is>
          <t>冀中能源峰峰集团有限公司</t>
        </is>
      </c>
      <c r="F174" s="716" t="n"/>
      <c r="G174" s="716" t="n"/>
      <c r="H174" s="462" t="n"/>
    </row>
    <row r="175">
      <c r="A175" s="672" t="inlineStr">
        <is>
          <t>E100191G</t>
        </is>
      </c>
      <c r="B175" s="767">
        <f>ROW()</f>
        <v/>
      </c>
      <c r="C175" s="182" t="inlineStr">
        <is>
          <t>北京乐多港发展有限公司（合并）</t>
        </is>
      </c>
      <c r="D175" s="182" t="inlineStr">
        <is>
          <t>ZI0290020042</t>
        </is>
      </c>
      <c r="E175" s="182" t="inlineStr">
        <is>
          <t>中国农发重点建设基金有限公司</t>
        </is>
      </c>
      <c r="F175" s="716" t="n"/>
      <c r="G175" s="716" t="n"/>
      <c r="H175" s="462" t="n"/>
    </row>
    <row r="176">
      <c r="A176" s="672" t="inlineStr">
        <is>
          <t>E100191H</t>
        </is>
      </c>
      <c r="B176" s="767">
        <f>ROW()</f>
        <v/>
      </c>
      <c r="C176" s="182" t="inlineStr">
        <is>
          <t>北京乐多港发展有限公司（母公司合并）</t>
        </is>
      </c>
      <c r="D176" s="182" t="inlineStr">
        <is>
          <t>ZI0290020042</t>
        </is>
      </c>
      <c r="E176" s="182" t="inlineStr">
        <is>
          <t>中国农发重点建设基金有限公司</t>
        </is>
      </c>
      <c r="F176" s="716" t="n"/>
      <c r="G176" s="716" t="n"/>
      <c r="H176" s="462" t="n"/>
    </row>
    <row r="177">
      <c r="A177" s="672" t="inlineStr">
        <is>
          <t>E100200G</t>
        </is>
      </c>
      <c r="B177" s="767">
        <f>ROW()</f>
        <v/>
      </c>
      <c r="C177" s="182" t="inlineStr">
        <is>
          <t>北京京能能源技术研究有限责任公司（合并）</t>
        </is>
      </c>
      <c r="D177" s="182" t="inlineStr">
        <is>
          <t>ZI0290020029</t>
        </is>
      </c>
      <c r="E177" s="182" t="inlineStr">
        <is>
          <t>首航高科能源技术股份有限公司</t>
        </is>
      </c>
      <c r="F177" s="716" t="n"/>
      <c r="G177" s="716" t="n"/>
      <c r="H177" s="462" t="n"/>
    </row>
    <row r="178">
      <c r="A178" s="672" t="inlineStr">
        <is>
          <t>E100201G</t>
        </is>
      </c>
      <c r="B178" s="767">
        <f>ROW()</f>
        <v/>
      </c>
      <c r="C178" s="182" t="inlineStr">
        <is>
          <t>北京昊华能源股份有限公司（合并）</t>
        </is>
      </c>
      <c r="D178" s="182" t="inlineStr">
        <is>
          <t>ZI0290020010</t>
        </is>
      </c>
      <c r="E178" s="182" t="inlineStr">
        <is>
          <t>中国中煤能源集团有限公司</t>
        </is>
      </c>
      <c r="F178" s="716" t="n"/>
      <c r="G178" s="716" t="n"/>
      <c r="H178" s="462" t="n"/>
    </row>
    <row r="179">
      <c r="A179" s="672" t="inlineStr">
        <is>
          <t>E100201H</t>
        </is>
      </c>
      <c r="B179" s="767">
        <f>ROW()</f>
        <v/>
      </c>
      <c r="C179" s="182" t="inlineStr">
        <is>
          <t>北京昊华能源股份有限公司（母公司）</t>
        </is>
      </c>
      <c r="D179" s="182" t="inlineStr">
        <is>
          <t>ZI0290020010</t>
        </is>
      </c>
      <c r="E179" s="182" t="inlineStr">
        <is>
          <t>中国中煤能源集团有限公司</t>
        </is>
      </c>
      <c r="F179" s="716" t="n"/>
      <c r="G179" s="716" t="n"/>
      <c r="H179" s="462" t="n"/>
    </row>
    <row r="180">
      <c r="A180" s="672" t="inlineStr">
        <is>
          <t>E100203G</t>
        </is>
      </c>
      <c r="B180" s="767">
        <f>ROW()</f>
        <v/>
      </c>
      <c r="C180" s="182" t="inlineStr">
        <is>
          <t>杭锦旗西部能源开发有限公司（合并）</t>
        </is>
      </c>
      <c r="D180" s="182" t="inlineStr">
        <is>
          <t>ZI0290020063</t>
        </is>
      </c>
      <c r="E180" s="182" t="inlineStr">
        <is>
          <t>山西中博房地产开发有限公司</t>
        </is>
      </c>
      <c r="F180" s="716" t="n"/>
      <c r="G180" s="716" t="n"/>
      <c r="H180" s="462" t="n"/>
    </row>
    <row r="181">
      <c r="A181" s="672" t="inlineStr">
        <is>
          <t>E100254G</t>
        </is>
      </c>
      <c r="B181" s="767">
        <f>ROW()</f>
        <v/>
      </c>
      <c r="C181" s="182" t="inlineStr">
        <is>
          <t>京能大同热力有限公司（合并）</t>
        </is>
      </c>
      <c r="D181" s="182" t="inlineStr">
        <is>
          <t>ZI0290020075</t>
        </is>
      </c>
      <c r="E181" s="182" t="inlineStr">
        <is>
          <t>大同市经济建设投资集团有限责任公司</t>
        </is>
      </c>
      <c r="F181" s="716" t="n"/>
      <c r="G181" s="716" t="n"/>
      <c r="H181" s="462" t="n"/>
    </row>
    <row r="182">
      <c r="A182" s="672" t="inlineStr">
        <is>
          <t>E100254H</t>
        </is>
      </c>
      <c r="B182" s="767">
        <f>ROW()</f>
        <v/>
      </c>
      <c r="C182" s="182" t="inlineStr">
        <is>
          <t>京能大同热力有限公司（合并）本部</t>
        </is>
      </c>
      <c r="D182" s="182" t="inlineStr">
        <is>
          <t>ZI0290020075</t>
        </is>
      </c>
      <c r="E182" s="182" t="inlineStr">
        <is>
          <t>大同市经济建设投资集团有限责任公司</t>
        </is>
      </c>
      <c r="F182" s="716" t="n"/>
      <c r="G182" s="716" t="n"/>
      <c r="H182" s="462" t="n"/>
    </row>
    <row r="183">
      <c r="A183" s="672" t="inlineStr">
        <is>
          <t>E100443H</t>
        </is>
      </c>
      <c r="B183" s="767">
        <f>ROW()</f>
        <v/>
      </c>
      <c r="C183" s="182" t="inlineStr">
        <is>
          <t>金泰丽城（天津）置业投资有限公司（汇总）</t>
        </is>
      </c>
      <c r="D183" s="182" t="inlineStr">
        <is>
          <t>ZI0290020069</t>
        </is>
      </c>
      <c r="E183" s="182" t="inlineStr">
        <is>
          <t>北京鸿睿达投资有限公司</t>
        </is>
      </c>
      <c r="F183" s="716" t="n"/>
      <c r="G183" s="716" t="n"/>
      <c r="H183" s="462" t="n"/>
    </row>
    <row r="184">
      <c r="A184" s="672" t="inlineStr">
        <is>
          <t>E100483G</t>
        </is>
      </c>
      <c r="B184" s="767">
        <f>ROW()</f>
        <v/>
      </c>
      <c r="C184" s="182" t="inlineStr">
        <is>
          <t>投资北京国际有限公司（合并）</t>
        </is>
      </c>
      <c r="D184" s="182" t="inlineStr">
        <is>
          <t>ZI0290020102</t>
        </is>
      </c>
      <c r="E184" s="182" t="inlineStr">
        <is>
          <t>北京市工程咨询有限公司</t>
        </is>
      </c>
      <c r="F184" s="716" t="n"/>
      <c r="G184" s="716" t="n"/>
      <c r="H184" s="462" t="n"/>
    </row>
    <row r="185">
      <c r="A185" s="672" t="inlineStr">
        <is>
          <t>E100538G</t>
        </is>
      </c>
      <c r="B185" s="767">
        <f>ROW()</f>
        <v/>
      </c>
      <c r="C185" s="182" t="inlineStr">
        <is>
          <t>北京京煤集团地质勘探队（合并）</t>
        </is>
      </c>
      <c r="D185" s="182" t="inlineStr">
        <is>
          <t>ZI0290020002</t>
        </is>
      </c>
      <c r="E185" s="182" t="inlineStr">
        <is>
          <t>北京市财政局</t>
        </is>
      </c>
      <c r="F185" s="716" t="n"/>
      <c r="G185" s="716" t="n"/>
      <c r="H185" s="462" t="n"/>
    </row>
    <row r="186">
      <c r="A186" s="672" t="inlineStr">
        <is>
          <t>E100704G</t>
        </is>
      </c>
      <c r="B186" s="767">
        <f>ROW()</f>
        <v/>
      </c>
      <c r="C186" s="182" t="inlineStr">
        <is>
          <t>北京京润仁康控股有限公司（合并）</t>
        </is>
      </c>
      <c r="D186" s="182" t="inlineStr">
        <is>
          <t>ZI0290020035</t>
        </is>
      </c>
      <c r="E186" s="182" t="inlineStr">
        <is>
          <t>华润医院控股有限公司</t>
        </is>
      </c>
      <c r="F186" s="716" t="n"/>
      <c r="G186" s="716" t="n"/>
      <c r="H186" s="462" t="n"/>
    </row>
    <row r="187">
      <c r="A187" s="672" t="inlineStr">
        <is>
          <t>E100734G</t>
        </is>
      </c>
      <c r="B187" s="767">
        <f>ROW()</f>
        <v/>
      </c>
      <c r="C187" s="182" t="inlineStr">
        <is>
          <t>联合光伏（常州）投资集团有限公司（合并）</t>
        </is>
      </c>
      <c r="D187" s="182" t="inlineStr">
        <is>
          <t>ZI0290020079</t>
        </is>
      </c>
      <c r="E187" s="182" t="inlineStr">
        <is>
          <t>工银金融资产投资有限公司</t>
        </is>
      </c>
      <c r="F187" s="716" t="n"/>
      <c r="G187" s="716" t="n"/>
      <c r="H187" s="462" t="n"/>
    </row>
    <row r="188">
      <c r="A188" s="672" t="inlineStr">
        <is>
          <t>E100738G</t>
        </is>
      </c>
      <c r="B188" s="767">
        <f>ROW()</f>
        <v/>
      </c>
      <c r="C188" s="182" t="inlineStr">
        <is>
          <t>西藏藏能股份有限公司（合并）</t>
        </is>
      </c>
      <c r="D188" s="182" t="inlineStr">
        <is>
          <t>ZI0290020114</t>
        </is>
      </c>
      <c r="E188" s="182" t="inlineStr">
        <is>
          <t>西藏自治区国有资产经营公司</t>
        </is>
      </c>
      <c r="F188" s="716" t="n"/>
      <c r="G188" s="716" t="n"/>
      <c r="H188" s="462" t="n"/>
    </row>
    <row r="189">
      <c r="A189" s="672" t="inlineStr">
        <is>
          <t>E100171</t>
        </is>
      </c>
      <c r="B189" s="767">
        <f>ROW()</f>
        <v/>
      </c>
      <c r="C189" s="182" t="inlineStr">
        <is>
          <t>内蒙古京能双欣发电有限公司</t>
        </is>
      </c>
      <c r="D189" s="182" t="inlineStr">
        <is>
          <t>ZI0290020087</t>
        </is>
      </c>
      <c r="E189" s="182" t="inlineStr">
        <is>
          <t>鄂尔多斯市双欣化学工业有限责任公司</t>
        </is>
      </c>
      <c r="F189" s="716" t="n"/>
      <c r="G189" s="716" t="n"/>
      <c r="H189" s="462" t="n"/>
    </row>
    <row r="190">
      <c r="A190" s="672" t="inlineStr">
        <is>
          <t>E100171</t>
        </is>
      </c>
      <c r="B190" s="767">
        <f>ROW()</f>
        <v/>
      </c>
      <c r="C190" s="182" t="inlineStr">
        <is>
          <t>内蒙古京能双欣发电有限公司</t>
        </is>
      </c>
      <c r="D190" s="182" t="inlineStr">
        <is>
          <t>ZI0290020086</t>
        </is>
      </c>
      <c r="E190" s="182" t="inlineStr">
        <is>
          <t>中国能源建设集团天津电力建设有限公司</t>
        </is>
      </c>
      <c r="F190" s="716" t="n"/>
      <c r="G190" s="716" t="n"/>
      <c r="H190" s="462" t="n"/>
    </row>
    <row r="191">
      <c r="A191" s="672" t="inlineStr">
        <is>
          <t>E100171</t>
        </is>
      </c>
      <c r="B191" s="767">
        <f>ROW()</f>
        <v/>
      </c>
      <c r="C191" s="182" t="inlineStr">
        <is>
          <t>内蒙古京能双欣发电有限公司</t>
        </is>
      </c>
      <c r="D191" s="182" t="inlineStr">
        <is>
          <t>ZI0290020125</t>
        </is>
      </c>
      <c r="E191" s="182" t="inlineStr">
        <is>
          <t>内蒙古双欣能源化工有限公司</t>
        </is>
      </c>
      <c r="F191" s="716" t="n"/>
      <c r="G191" s="716" t="n"/>
      <c r="H191" s="462" t="n"/>
    </row>
    <row r="192">
      <c r="A192" s="182" t="inlineStr">
        <is>
          <t>E101059</t>
        </is>
      </c>
      <c r="B192" s="767">
        <f>ROW()</f>
        <v/>
      </c>
      <c r="C192" s="182" t="inlineStr">
        <is>
          <t>迁西富龙热力有限责任公司</t>
        </is>
      </c>
      <c r="D192" s="182" t="inlineStr">
        <is>
          <t>ZI0290020127</t>
        </is>
      </c>
      <c r="E192" s="182" t="inlineStr">
        <is>
          <t>迁西县建城热力有限责任公司</t>
        </is>
      </c>
      <c r="F192" s="716" t="n"/>
      <c r="G192" s="716" t="n"/>
      <c r="H192" s="462" t="n"/>
    </row>
    <row r="193">
      <c r="A193" s="672" t="inlineStr">
        <is>
          <t>E101076</t>
        </is>
      </c>
      <c r="B193" s="767">
        <f>ROW()</f>
        <v/>
      </c>
      <c r="C193" s="182" t="inlineStr">
        <is>
          <t>京能胜科（海南）国际能源有限公司</t>
        </is>
      </c>
      <c r="D193" s="182" t="inlineStr">
        <is>
          <t>ZI0290020128</t>
        </is>
      </c>
      <c r="E193" s="182" t="inlineStr">
        <is>
          <t>胜科能源投资（上海）有限公司</t>
        </is>
      </c>
      <c r="F193" s="716" t="n"/>
      <c r="G193" s="716" t="n"/>
      <c r="H193" s="462" t="n"/>
    </row>
    <row r="194">
      <c r="A194" s="672" t="inlineStr">
        <is>
          <t>E100921</t>
        </is>
      </c>
      <c r="B194" s="767">
        <f>ROW()</f>
        <v/>
      </c>
      <c r="C194" s="182" t="inlineStr">
        <is>
          <t>北京京能绿通新能源有限公司</t>
        </is>
      </c>
      <c r="D194" s="182" t="inlineStr">
        <is>
          <t>ZI0290020129</t>
        </is>
      </c>
      <c r="E194" s="182" t="inlineStr">
        <is>
          <t>北京中恺能源发展有限公司</t>
        </is>
      </c>
      <c r="F194" s="716" t="n"/>
      <c r="G194" s="716" t="n"/>
      <c r="H194" s="462" t="n"/>
    </row>
    <row r="195">
      <c r="A195" s="672" t="inlineStr">
        <is>
          <t>E100921</t>
        </is>
      </c>
      <c r="B195" s="767">
        <f>ROW()</f>
        <v/>
      </c>
      <c r="C195" s="182" t="inlineStr">
        <is>
          <t>北京京能绿通新能源有限公司</t>
        </is>
      </c>
      <c r="D195" s="182" t="inlineStr">
        <is>
          <t>ZI0290020130</t>
        </is>
      </c>
      <c r="E195" s="182" t="inlineStr">
        <is>
          <t>北京云智优胜通讯科技发展有限公司</t>
        </is>
      </c>
      <c r="F195" s="716" t="n"/>
      <c r="G195" s="716" t="n"/>
      <c r="H195" s="462" t="n"/>
    </row>
    <row r="196">
      <c r="A196" s="672" t="inlineStr">
        <is>
          <t>E101188</t>
        </is>
      </c>
      <c r="B196" s="767">
        <f>ROW()</f>
        <v/>
      </c>
      <c r="C196" s="182" t="inlineStr">
        <is>
          <t>亚洲新能源（宝应）风力发电有限公司</t>
        </is>
      </c>
      <c r="D196" s="182" t="inlineStr">
        <is>
          <t>ZI0290020132</t>
        </is>
      </c>
      <c r="E196" s="182" t="inlineStr">
        <is>
          <t>哈尔滨九洲能源投资有限责任公司</t>
        </is>
      </c>
      <c r="F196" s="716" t="n"/>
      <c r="G196" s="716" t="n"/>
      <c r="H196" s="462" t="n"/>
    </row>
    <row r="197">
      <c r="A197" s="672" t="inlineStr">
        <is>
          <t>E101190</t>
        </is>
      </c>
      <c r="B197" s="767">
        <f>ROW()</f>
        <v/>
      </c>
      <c r="C197" s="182" t="inlineStr">
        <is>
          <t>保山能源发展股份有限公司</t>
        </is>
      </c>
      <c r="D197" s="182" t="inlineStr">
        <is>
          <t>ZI0290020133</t>
        </is>
      </c>
      <c r="E197" s="182" t="inlineStr">
        <is>
          <t>保山市国有资产经营有限责任公司</t>
        </is>
      </c>
      <c r="F197" s="716" t="n"/>
      <c r="G197" s="716" t="n"/>
      <c r="H197" s="462" t="n"/>
    </row>
    <row r="198">
      <c r="A198" s="672" t="inlineStr">
        <is>
          <t>E101190</t>
        </is>
      </c>
      <c r="B198" s="767">
        <f>ROW()</f>
        <v/>
      </c>
      <c r="C198" s="182" t="inlineStr">
        <is>
          <t>保山能源发展股份有限公司</t>
        </is>
      </c>
      <c r="D198" s="182" t="inlineStr">
        <is>
          <t>ZI0290020134</t>
        </is>
      </c>
      <c r="E198" s="182" t="inlineStr">
        <is>
          <t>腾冲县国有资产经营有限责任公司</t>
        </is>
      </c>
      <c r="F198" s="716" t="n"/>
      <c r="G198" s="716" t="n"/>
      <c r="H198" s="462" t="n"/>
    </row>
    <row r="199">
      <c r="A199" s="672" t="inlineStr">
        <is>
          <t>E101190</t>
        </is>
      </c>
      <c r="B199" s="767">
        <f>ROW()</f>
        <v/>
      </c>
      <c r="C199" s="182" t="inlineStr">
        <is>
          <t>保山能源发展股份有限公司</t>
        </is>
      </c>
      <c r="D199" s="182" t="inlineStr">
        <is>
          <t>ZI0290020135</t>
        </is>
      </c>
      <c r="E199" s="182" t="inlineStr">
        <is>
          <t>龙陵县国有资产经营有限责任公司</t>
        </is>
      </c>
      <c r="F199" s="716" t="n"/>
      <c r="G199" s="716" t="n"/>
      <c r="H199" s="462" t="n"/>
    </row>
    <row r="200" ht="16" customHeight="1" s="1181">
      <c r="A200" s="672" t="inlineStr">
        <is>
          <t>E101190</t>
        </is>
      </c>
      <c r="B200" s="767">
        <f>ROW()</f>
        <v/>
      </c>
      <c r="C200" s="182" t="inlineStr">
        <is>
          <t>保山能源发展股份有限公司</t>
        </is>
      </c>
      <c r="D200" s="182" t="inlineStr">
        <is>
          <t>ZI0290020136</t>
        </is>
      </c>
      <c r="E200" s="769" t="inlineStr">
        <is>
          <t>施甸县国有资产经营集团有限责任公司</t>
        </is>
      </c>
      <c r="F200" s="716" t="n"/>
      <c r="G200" s="716" t="n"/>
      <c r="H200" s="462" t="n"/>
    </row>
    <row r="201" ht="16" customHeight="1" s="1181">
      <c r="A201" s="672" t="inlineStr">
        <is>
          <t>E101190</t>
        </is>
      </c>
      <c r="B201" s="767">
        <f>ROW()</f>
        <v/>
      </c>
      <c r="C201" s="182" t="inlineStr">
        <is>
          <t>保山能源发展股份有限公司</t>
        </is>
      </c>
      <c r="D201" s="182" t="inlineStr">
        <is>
          <t>ZI0290020137</t>
        </is>
      </c>
      <c r="E201" s="769" t="inlineStr">
        <is>
          <t>保山市隆阳区国有资产经营有限责任公司</t>
        </is>
      </c>
      <c r="F201" s="716" t="n"/>
      <c r="G201" s="716" t="n"/>
      <c r="H201" s="462" t="n"/>
    </row>
    <row r="202">
      <c r="A202" s="672" t="inlineStr">
        <is>
          <t>E101190</t>
        </is>
      </c>
      <c r="B202" s="767">
        <f>ROW()</f>
        <v/>
      </c>
      <c r="C202" s="182" t="inlineStr">
        <is>
          <t>保山能源发展股份有限公司</t>
        </is>
      </c>
      <c r="D202" s="182" t="inlineStr">
        <is>
          <t>ZI0290020138</t>
        </is>
      </c>
      <c r="E202" s="182" t="inlineStr">
        <is>
          <t>昌宁县国有资产经营有限责任公司</t>
        </is>
      </c>
      <c r="F202" s="716" t="n"/>
      <c r="G202" s="716" t="n"/>
      <c r="H202" s="462" t="n"/>
    </row>
    <row r="203">
      <c r="A203" s="672" t="inlineStr">
        <is>
          <t>E101190</t>
        </is>
      </c>
      <c r="B203" s="767">
        <f>ROW()</f>
        <v/>
      </c>
      <c r="C203" s="182" t="inlineStr">
        <is>
          <t>保山能源发展股份有限公司</t>
        </is>
      </c>
      <c r="D203" s="182" t="inlineStr">
        <is>
          <t>ZI0290020139</t>
        </is>
      </c>
      <c r="E203" s="182" t="inlineStr">
        <is>
          <t>云南省地方电力实业开发有限公司</t>
        </is>
      </c>
      <c r="F203" s="716" t="n"/>
      <c r="G203" s="716" t="n"/>
      <c r="H203" s="462" t="n"/>
    </row>
    <row r="204" ht="16" customHeight="1" s="1181">
      <c r="A204" s="672" t="inlineStr">
        <is>
          <t>E101190</t>
        </is>
      </c>
      <c r="B204" s="767">
        <f>ROW()</f>
        <v/>
      </c>
      <c r="C204" s="182" t="inlineStr">
        <is>
          <t>保山能源发展股份有限公司</t>
        </is>
      </c>
      <c r="D204" s="182" t="inlineStr">
        <is>
          <t>ZI0290020140</t>
        </is>
      </c>
      <c r="E204" s="769" t="inlineStr">
        <is>
          <t>中国三峡新能源(集团)股份有限公司</t>
        </is>
      </c>
      <c r="F204" s="716" t="n"/>
      <c r="G204" s="716" t="n"/>
      <c r="H204" s="462" t="n"/>
    </row>
    <row r="205">
      <c r="A205" s="672" t="inlineStr">
        <is>
          <t>E101192</t>
        </is>
      </c>
      <c r="B205" s="767">
        <f>ROW()</f>
        <v/>
      </c>
      <c r="C205" s="182" t="inlineStr">
        <is>
          <t>保山龙川江水电开发有限公司</t>
        </is>
      </c>
      <c r="D205" s="182" t="inlineStr">
        <is>
          <t>ZI0290020141</t>
        </is>
      </c>
      <c r="E205" s="182" t="inlineStr">
        <is>
          <t>国家电投集团云南国际电力投资有限公司</t>
        </is>
      </c>
      <c r="F205" s="716" t="n"/>
      <c r="G205" s="716" t="n"/>
      <c r="H205" s="462" t="n"/>
    </row>
    <row r="206">
      <c r="A206" s="672" t="inlineStr">
        <is>
          <t>E100846</t>
        </is>
      </c>
      <c r="B206" s="767">
        <f>ROW()</f>
        <v/>
      </c>
      <c r="C206" s="182" t="inlineStr">
        <is>
          <t>内蒙古京能准旗新能源有限公司</t>
        </is>
      </c>
      <c r="D206" s="182" t="inlineStr">
        <is>
          <t>ZI0290020142</t>
        </is>
      </c>
      <c r="E206" s="182" t="inlineStr">
        <is>
          <t>阳光新能源开发股份有限公司</t>
        </is>
      </c>
      <c r="F206" s="716" t="n"/>
      <c r="G206" s="716" t="n"/>
      <c r="H206" s="462" t="n"/>
    </row>
    <row r="207">
      <c r="A207" s="672" t="inlineStr">
        <is>
          <t>E101152</t>
        </is>
      </c>
      <c r="B207" s="767">
        <f>ROW()</f>
        <v/>
      </c>
      <c r="C207" s="182" t="inlineStr">
        <is>
          <t>广西忻城京能新能源有限公司</t>
        </is>
      </c>
      <c r="D207" s="182" t="inlineStr">
        <is>
          <t>ZI0290020143</t>
        </is>
      </c>
      <c r="E207" s="182" t="inlineStr">
        <is>
          <t>广西忻城京海新能源有限公司</t>
        </is>
      </c>
      <c r="F207" s="716" t="n"/>
      <c r="G207" s="716" t="n"/>
      <c r="H207" s="462" t="n"/>
    </row>
    <row r="208">
      <c r="A208" s="672" t="inlineStr">
        <is>
          <t>E101137</t>
        </is>
      </c>
      <c r="B208" s="767">
        <f>ROW()</f>
        <v/>
      </c>
      <c r="C208" s="182" t="inlineStr">
        <is>
          <t>内蒙古京海煤矸石发电有限责任公司水泥分公司</t>
        </is>
      </c>
      <c r="D208" s="182" t="inlineStr">
        <is>
          <t>ZI0290020083</t>
        </is>
      </c>
      <c r="E208" s="182" t="inlineStr">
        <is>
          <t>内蒙古广纳煤业（集团）有限责任公司</t>
        </is>
      </c>
      <c r="F208" s="716" t="n"/>
      <c r="G208" s="716" t="n"/>
      <c r="H208" s="462" t="n"/>
    </row>
    <row r="209">
      <c r="A209" s="672" t="inlineStr">
        <is>
          <t>E101211</t>
        </is>
      </c>
      <c r="B209" s="767">
        <f>ROW()</f>
        <v/>
      </c>
      <c r="C209" s="672" t="inlineStr">
        <is>
          <t>航远5号集合资金信托计划</t>
        </is>
      </c>
      <c r="D209" s="182" t="inlineStr">
        <is>
          <t>ZI0290020144</t>
        </is>
      </c>
      <c r="E209" s="182" t="inlineStr">
        <is>
          <t>泰康资产管理有限责任公司</t>
        </is>
      </c>
      <c r="F209" s="716" t="n"/>
      <c r="G209" s="716" t="n"/>
      <c r="H209" s="462" t="n"/>
    </row>
    <row r="210">
      <c r="A210" s="672" t="inlineStr">
        <is>
          <t>E101216</t>
        </is>
      </c>
      <c r="B210" s="767">
        <f>ROW()</f>
        <v/>
      </c>
      <c r="C210" s="182" t="inlineStr">
        <is>
          <t>航远6号集合资金信托计划</t>
        </is>
      </c>
      <c r="D210" s="182" t="inlineStr">
        <is>
          <t>ZI0290020145</t>
        </is>
      </c>
      <c r="E210" s="182" t="inlineStr">
        <is>
          <t>国寿投资保险资产管理有限公司</t>
        </is>
      </c>
      <c r="F210" s="716" t="n"/>
      <c r="G210" s="716" t="n"/>
      <c r="H210" s="462" t="n"/>
    </row>
    <row r="211">
      <c r="A211" s="182" t="inlineStr">
        <is>
          <t>E101223</t>
        </is>
      </c>
      <c r="B211" s="767">
        <f>ROW()</f>
        <v/>
      </c>
      <c r="C211" s="182" t="inlineStr">
        <is>
          <t>亚洲新能源（金湖）风力发电有限公司</t>
        </is>
      </c>
      <c r="D211" s="182" t="inlineStr">
        <is>
          <t>ZI0290020132</t>
        </is>
      </c>
      <c r="E211" s="182" t="inlineStr">
        <is>
          <t>哈尔滨九洲能源投资有限责任公司</t>
        </is>
      </c>
      <c r="F211" s="716" t="n"/>
      <c r="G211" s="716" t="n"/>
      <c r="H211" s="462" t="n"/>
    </row>
    <row r="212">
      <c r="A212" s="672" t="inlineStr">
        <is>
          <t>E101215</t>
        </is>
      </c>
      <c r="B212" s="767">
        <f>ROW()</f>
        <v/>
      </c>
      <c r="C212" s="182" t="inlineStr">
        <is>
          <t>北京京热兴怀能源有限责任公司</t>
        </is>
      </c>
      <c r="D212" s="182" t="inlineStr">
        <is>
          <t>ZI0290020146</t>
        </is>
      </c>
      <c r="E212" s="182" t="inlineStr">
        <is>
          <t>北京怀胜城市建设开发有限公司</t>
        </is>
      </c>
      <c r="F212" s="716" t="n"/>
      <c r="G212" s="716" t="n"/>
      <c r="H212" s="462" t="n"/>
    </row>
    <row r="213">
      <c r="A213" s="672" t="inlineStr">
        <is>
          <t>E101336</t>
        </is>
      </c>
      <c r="B213" s="767">
        <f>ROW()</f>
        <v/>
      </c>
      <c r="C213" s="182" t="inlineStr">
        <is>
          <t>盛唐壹号(天津) 企业管理合伙企业(有限合伙）</t>
        </is>
      </c>
      <c r="D213" s="182" t="inlineStr">
        <is>
          <t>ZI0290020070</t>
        </is>
      </c>
      <c r="E213" s="182" t="inlineStr">
        <is>
          <t>中铁信托有限责任公司</t>
        </is>
      </c>
      <c r="F213" s="716" t="n"/>
      <c r="G213" s="716" t="n"/>
      <c r="H213" s="462" t="n"/>
    </row>
    <row r="214">
      <c r="A214" s="672" t="inlineStr">
        <is>
          <t>E101245</t>
        </is>
      </c>
      <c r="B214" s="767">
        <f>ROW()</f>
        <v/>
      </c>
      <c r="C214" s="182" t="inlineStr">
        <is>
          <t>盛唐贰号（天津）企业管理合伙企业（有限合伙）</t>
        </is>
      </c>
      <c r="D214" s="182" t="inlineStr">
        <is>
          <t>ZI0290020070</t>
        </is>
      </c>
      <c r="E214" s="182" t="inlineStr">
        <is>
          <t>中铁信托有限责任公司</t>
        </is>
      </c>
      <c r="F214" s="716" t="n"/>
      <c r="G214" s="716" t="n"/>
      <c r="H214" s="462" t="n"/>
    </row>
    <row r="215">
      <c r="A215" s="672" t="inlineStr">
        <is>
          <t>E101155</t>
        </is>
      </c>
      <c r="B215" s="767">
        <f>ROW()</f>
        <v/>
      </c>
      <c r="C215" s="182" t="inlineStr">
        <is>
          <t>京江（双柏）新能源有限公司</t>
        </is>
      </c>
      <c r="D215" s="182" t="inlineStr">
        <is>
          <t>ZI0290020148</t>
        </is>
      </c>
      <c r="E215" s="182" t="inlineStr">
        <is>
          <t>楚雄州金江能源开发有限公司</t>
        </is>
      </c>
      <c r="F215" s="716" t="n"/>
      <c r="G215" s="716" t="n"/>
      <c r="H215" s="462" t="n"/>
    </row>
    <row r="216">
      <c r="A216" s="672" t="inlineStr">
        <is>
          <t>E101288</t>
        </is>
      </c>
      <c r="B216" s="767">
        <f>ROW()</f>
        <v/>
      </c>
      <c r="C216" s="182" t="inlineStr">
        <is>
          <t>平泉市邦诚新能源科技有限公司</t>
        </is>
      </c>
      <c r="D216" s="182" t="inlineStr">
        <is>
          <t>ZI0290020149</t>
        </is>
      </c>
      <c r="E216" s="182" t="inlineStr">
        <is>
          <t>承德创时新能源科技有限公司</t>
        </is>
      </c>
      <c r="F216" s="716" t="n"/>
      <c r="G216" s="716" t="n"/>
      <c r="H216" s="462" t="n"/>
    </row>
    <row r="217">
      <c r="A217" s="672" t="inlineStr">
        <is>
          <t>E100713</t>
        </is>
      </c>
      <c r="B217" s="767">
        <f>ROW()</f>
        <v/>
      </c>
      <c r="C217" s="182" t="inlineStr">
        <is>
          <t>黑龙江京庆风力发电有限公司</t>
        </is>
      </c>
      <c r="D217" s="182" t="inlineStr">
        <is>
          <t>ZI0290020150</t>
        </is>
      </c>
      <c r="E217" s="182" t="inlineStr">
        <is>
          <t>慧莱能源科技发展（北京）有限公司</t>
        </is>
      </c>
      <c r="F217" s="716" t="n"/>
      <c r="G217" s="716" t="n"/>
      <c r="H217" s="462" t="n"/>
    </row>
    <row r="218">
      <c r="A218" s="672" t="inlineStr">
        <is>
          <t>E101132</t>
        </is>
      </c>
      <c r="B218" s="767">
        <f>ROW()</f>
        <v/>
      </c>
      <c r="C218" s="182" t="inlineStr">
        <is>
          <t>内蒙古京能岱海新能源有限公司</t>
        </is>
      </c>
      <c r="D218" s="182" t="inlineStr">
        <is>
          <t>ZI0290020151</t>
        </is>
      </c>
      <c r="E218" s="182" t="inlineStr">
        <is>
          <t>乌兰察布市能源投资开发有限责任公司</t>
        </is>
      </c>
      <c r="F218" s="716" t="n"/>
      <c r="G218" s="716" t="n"/>
      <c r="H218" s="462" t="n"/>
    </row>
    <row r="219">
      <c r="A219" s="672" t="inlineStr">
        <is>
          <t>E101227</t>
        </is>
      </c>
      <c r="B219" s="767">
        <f>ROW()</f>
        <v/>
      </c>
      <c r="C219" s="182" t="inlineStr">
        <is>
          <t>京能智汇（锡林郭勒）新能源有限公司</t>
        </is>
      </c>
      <c r="D219" s="672" t="inlineStr">
        <is>
          <t>ZI0290020155</t>
        </is>
      </c>
      <c r="E219" s="182" t="inlineStr">
        <is>
          <t>锡林郭勒盟智汇新能源有限公司</t>
        </is>
      </c>
      <c r="F219" s="716" t="n"/>
      <c r="G219" s="716" t="n"/>
      <c r="H219" s="462" t="n"/>
    </row>
    <row r="220">
      <c r="A220" s="672" t="inlineStr">
        <is>
          <t>E101279</t>
        </is>
      </c>
      <c r="B220" s="767">
        <f>ROW()</f>
        <v/>
      </c>
      <c r="C220" s="182" t="inlineStr">
        <is>
          <t>京能（重庆）能源有限公司</t>
        </is>
      </c>
      <c r="D220" s="182" t="inlineStr">
        <is>
          <t>ZI0290020152</t>
        </is>
      </c>
      <c r="E220" s="182" t="inlineStr">
        <is>
          <t>北京金桥能源有限公司</t>
        </is>
      </c>
      <c r="F220" s="716" t="n"/>
      <c r="G220" s="716" t="n"/>
      <c r="H220" s="462" t="n"/>
    </row>
    <row r="221">
      <c r="A221" s="672" t="inlineStr">
        <is>
          <t>E100862</t>
        </is>
      </c>
      <c r="B221" s="767">
        <f>ROW()</f>
        <v/>
      </c>
      <c r="C221" s="182" t="inlineStr">
        <is>
          <t>京能玉门新能源有限公司</t>
        </is>
      </c>
      <c r="D221" s="182" t="inlineStr">
        <is>
          <t>ZI0290020153</t>
        </is>
      </c>
      <c r="E221" s="182" t="inlineStr">
        <is>
          <t>酒泉市农业发展集团有限公司</t>
        </is>
      </c>
      <c r="F221" s="716" t="n"/>
      <c r="G221" s="716" t="n"/>
      <c r="H221" s="462" t="n"/>
    </row>
    <row r="222">
      <c r="A222" s="672" t="inlineStr">
        <is>
          <t>E100253</t>
        </is>
      </c>
      <c r="B222" s="767">
        <f>ROW()</f>
        <v/>
      </c>
      <c r="C222" s="182" t="inlineStr">
        <is>
          <t>抚松京热热力有限责任公司</t>
        </is>
      </c>
      <c r="D222" s="672" t="inlineStr">
        <is>
          <t>ZI0290020154</t>
        </is>
      </c>
      <c r="E222" s="182" t="inlineStr">
        <is>
          <t>抚松全域文化旅游集团有限公司</t>
        </is>
      </c>
      <c r="F222" s="716" t="n"/>
      <c r="G222" s="716" t="n"/>
      <c r="H222" s="462" t="n"/>
    </row>
    <row r="223" customFormat="1" s="672">
      <c r="A223" s="672" t="inlineStr">
        <is>
          <t>E101311</t>
        </is>
      </c>
      <c r="B223" s="767">
        <f>ROW()</f>
        <v/>
      </c>
      <c r="C223" s="672" t="inlineStr">
        <is>
          <t>镶黄旗京能智汇清洁能源有限公司</t>
        </is>
      </c>
      <c r="D223" s="672" t="inlineStr">
        <is>
          <t>ZI0290020155</t>
        </is>
      </c>
      <c r="E223" s="672" t="inlineStr">
        <is>
          <t>锡林郭勒盟智汇新能源有限公司</t>
        </is>
      </c>
      <c r="F223" s="672" t="n"/>
      <c r="G223" s="672" t="n"/>
      <c r="H223" s="672" t="n"/>
    </row>
    <row r="224" customFormat="1" s="672">
      <c r="A224" s="672" t="inlineStr">
        <is>
          <t>E101310</t>
        </is>
      </c>
      <c r="B224" s="767">
        <f>ROW()</f>
        <v/>
      </c>
      <c r="C224" s="672" t="inlineStr">
        <is>
          <t>苏尼特右旗京能智汇清洁能源有限公司</t>
        </is>
      </c>
      <c r="D224" s="672" t="inlineStr">
        <is>
          <t>ZI0290020155</t>
        </is>
      </c>
      <c r="E224" s="672" t="inlineStr">
        <is>
          <t>锡林郭勒盟智汇新能源有限公司</t>
        </is>
      </c>
      <c r="F224" s="672" t="n"/>
      <c r="G224" s="672" t="n"/>
      <c r="H224" s="672" t="n"/>
    </row>
    <row r="225" customFormat="1" s="672">
      <c r="A225" s="672" t="inlineStr">
        <is>
          <t>E101309</t>
        </is>
      </c>
      <c r="B225" s="767">
        <f>ROW()</f>
        <v/>
      </c>
      <c r="C225" s="672" t="inlineStr">
        <is>
          <t>锡林浩特市京能智汇清洁能源有限公司</t>
        </is>
      </c>
      <c r="D225" s="672" t="inlineStr">
        <is>
          <t>ZI0290020155</t>
        </is>
      </c>
      <c r="E225" s="672" t="inlineStr">
        <is>
          <t>锡林郭勒盟智汇新能源有限公司</t>
        </is>
      </c>
      <c r="F225" s="672" t="n"/>
      <c r="G225" s="672" t="n"/>
      <c r="H225" s="672" t="n"/>
    </row>
    <row r="226" customFormat="1" s="672">
      <c r="A226" s="672" t="inlineStr">
        <is>
          <t>E101313</t>
        </is>
      </c>
      <c r="B226" s="767">
        <f>ROW()</f>
        <v/>
      </c>
      <c r="C226" s="672" t="inlineStr">
        <is>
          <t>阿巴嘎旗京能智汇清洁能源有限公司</t>
        </is>
      </c>
      <c r="D226" s="672" t="inlineStr">
        <is>
          <t>ZI0290020155</t>
        </is>
      </c>
      <c r="E226" s="672" t="inlineStr">
        <is>
          <t>锡林郭勒盟智汇新能源有限公司</t>
        </is>
      </c>
      <c r="F226" s="672" t="n"/>
      <c r="G226" s="672" t="n"/>
      <c r="H226" s="672" t="n"/>
    </row>
    <row r="227" customFormat="1" s="672">
      <c r="A227" s="672" t="inlineStr">
        <is>
          <t>E101312</t>
        </is>
      </c>
      <c r="B227" s="767">
        <f>ROW()</f>
        <v/>
      </c>
      <c r="C227" s="672" t="inlineStr">
        <is>
          <t>正镶白旗京能智汇清洁能源有限公司</t>
        </is>
      </c>
      <c r="D227" s="672" t="inlineStr">
        <is>
          <t>ZI0290020155</t>
        </is>
      </c>
      <c r="E227" s="672" t="inlineStr">
        <is>
          <t>锡林郭勒盟智汇新能源有限公司</t>
        </is>
      </c>
      <c r="F227" s="672" t="n"/>
      <c r="G227" s="672" t="n"/>
      <c r="H227" s="672" t="n"/>
    </row>
    <row r="228">
      <c r="A228" s="672" t="inlineStr">
        <is>
          <t>E101328</t>
        </is>
      </c>
      <c r="B228" s="767">
        <f>ROW()</f>
        <v/>
      </c>
      <c r="C228" s="182" t="inlineStr">
        <is>
          <t>江门市新会区古井能源服务有限公司</t>
        </is>
      </c>
      <c r="D228" s="672" t="inlineStr">
        <is>
          <t>ZI0290020156</t>
        </is>
      </c>
      <c r="E228" s="182" t="inlineStr">
        <is>
          <t>江门市新会银洲湖能源有限公司</t>
        </is>
      </c>
      <c r="F228" s="716" t="n"/>
      <c r="G228" s="716" t="n"/>
      <c r="H228" s="462" t="n"/>
    </row>
    <row r="229">
      <c r="A229" s="672" t="inlineStr">
        <is>
          <t>E101328</t>
        </is>
      </c>
      <c r="B229" s="767">
        <f>ROW()</f>
        <v/>
      </c>
      <c r="C229" s="182" t="inlineStr">
        <is>
          <t>江门市新会区古井能源服务有限公司</t>
        </is>
      </c>
      <c r="D229" s="672" t="inlineStr">
        <is>
          <t>ZI0290020157</t>
        </is>
      </c>
      <c r="E229" s="182" t="inlineStr">
        <is>
          <t>江门市新会古井珠西新材料集聚区开发有限公司</t>
        </is>
      </c>
      <c r="F229" s="716" t="n"/>
      <c r="G229" s="716" t="n"/>
      <c r="H229" s="462" t="n"/>
    </row>
    <row r="230">
      <c r="A230" s="672" t="inlineStr">
        <is>
          <t>E101328</t>
        </is>
      </c>
      <c r="B230" s="767">
        <f>ROW()</f>
        <v/>
      </c>
      <c r="C230" s="182" t="inlineStr">
        <is>
          <t>江门市新会区古井能源服务有限公司</t>
        </is>
      </c>
      <c r="D230" s="672" t="inlineStr">
        <is>
          <t>ZI0290020158</t>
        </is>
      </c>
      <c r="E230" s="182" t="inlineStr">
        <is>
          <t>江门市新会区古井源丰资产管理有限公司</t>
        </is>
      </c>
      <c r="F230" s="716" t="n"/>
      <c r="G230" s="716" t="n"/>
      <c r="H230" s="462" t="n"/>
    </row>
    <row r="231">
      <c r="A231" s="672" t="inlineStr">
        <is>
          <t>E101323</t>
        </is>
      </c>
      <c r="B231" s="767">
        <f>ROW()</f>
        <v/>
      </c>
      <c r="C231" s="182" t="inlineStr">
        <is>
          <t>北京京能大成新能源有限公司</t>
        </is>
      </c>
      <c r="D231" s="672" t="inlineStr">
        <is>
          <t>ZI0290020160</t>
        </is>
      </c>
      <c r="E231" s="182" t="inlineStr">
        <is>
          <t>北京金隅资产经营管理有限责任公司</t>
        </is>
      </c>
      <c r="F231" s="716" t="n"/>
      <c r="G231" s="716" t="n"/>
      <c r="H231" s="462" t="n"/>
    </row>
    <row r="232">
      <c r="A232" s="672" t="inlineStr">
        <is>
          <t>E101316</t>
        </is>
      </c>
      <c r="B232" s="767">
        <f>ROW()</f>
        <v/>
      </c>
      <c r="C232" s="182" t="inlineStr">
        <is>
          <t>北京京能未来能源科技有限公司</t>
        </is>
      </c>
      <c r="D232" s="672" t="inlineStr">
        <is>
          <t>ZI0290020159</t>
        </is>
      </c>
      <c r="E232" s="182" t="inlineStr">
        <is>
          <t>北京未来科学城智慧能源有限公司</t>
        </is>
      </c>
      <c r="F232" s="716" t="n"/>
      <c r="G232" s="716" t="n"/>
      <c r="H232" s="462" t="n"/>
    </row>
    <row r="233">
      <c r="A233" s="672" t="inlineStr">
        <is>
          <t>E101329</t>
        </is>
      </c>
      <c r="B233" s="767">
        <f>ROW()</f>
        <v/>
      </c>
      <c r="C233" s="716" t="inlineStr">
        <is>
          <t>北京光福综合能源有限公司</t>
        </is>
      </c>
      <c r="D233" s="672" t="inlineStr">
        <is>
          <t>ZI0290020161</t>
        </is>
      </c>
      <c r="E233" s="716" t="inlineStr">
        <is>
          <t>北京光福智慧科技有限公司</t>
        </is>
      </c>
      <c r="F233" s="716" t="n"/>
      <c r="G233" s="716" t="n"/>
      <c r="H233" s="462" t="n"/>
    </row>
    <row r="234" ht="17" customHeight="1" s="1181">
      <c r="A234" s="672" t="inlineStr">
        <is>
          <t>E101327</t>
        </is>
      </c>
      <c r="B234" s="767">
        <f>ROW()</f>
        <v/>
      </c>
      <c r="C234" s="772" t="inlineStr">
        <is>
          <t>北京京能金海湖文旅发展有限公司</t>
        </is>
      </c>
      <c r="D234" s="672" t="inlineStr">
        <is>
          <t>ZI0290020162</t>
        </is>
      </c>
      <c r="E234" s="716" t="inlineStr">
        <is>
          <t>北京市谷财集团有限公司</t>
        </is>
      </c>
      <c r="F234" s="716" t="n"/>
      <c r="G234" s="716" t="n"/>
      <c r="H234" s="462" t="n"/>
    </row>
    <row r="235">
      <c r="A235" s="672" t="inlineStr">
        <is>
          <t>E101303</t>
        </is>
      </c>
      <c r="B235" s="767">
        <f>ROW()</f>
        <v/>
      </c>
      <c r="C235" s="716" t="inlineStr">
        <is>
          <t>石楼县京能清洁能源有限公司</t>
        </is>
      </c>
      <c r="D235" s="672" t="inlineStr">
        <is>
          <t>ZI0290020163</t>
        </is>
      </c>
      <c r="E235" s="716" t="inlineStr">
        <is>
          <t>山西鑫旭源工程有限公司</t>
        </is>
      </c>
      <c r="F235" s="716" t="n"/>
      <c r="G235" s="716" t="n"/>
      <c r="H235" s="462" t="n"/>
    </row>
    <row r="236">
      <c r="A236" s="672" t="inlineStr">
        <is>
          <t>E101244</t>
        </is>
      </c>
      <c r="B236" s="767">
        <f>ROW()</f>
        <v/>
      </c>
      <c r="C236" s="182">
        <f>IF(_epmOfflineCondition_,"盛唐壹号（天津） 企业管理合伙企业（有限合伙）",EPMMemberDesc(A236))</f>
        <v/>
      </c>
      <c r="D236" s="182" t="inlineStr">
        <is>
          <t>ZI0290020070</t>
        </is>
      </c>
      <c r="E236" s="182" t="inlineStr">
        <is>
          <t>中铁信托有限责任公司</t>
        </is>
      </c>
      <c r="F236" s="716" t="n"/>
      <c r="G236" s="716" t="n"/>
      <c r="H236" s="462" t="n"/>
    </row>
    <row r="237">
      <c r="A237" s="672" t="inlineStr">
        <is>
          <t>E101345</t>
        </is>
      </c>
      <c r="B237" s="767">
        <f>ROW()</f>
        <v/>
      </c>
      <c r="C237" s="716" t="inlineStr">
        <is>
          <t>全州京能清洁能源有限责任公司</t>
        </is>
      </c>
      <c r="D237" s="672" t="inlineStr">
        <is>
          <t>ZI0290020164</t>
        </is>
      </c>
      <c r="E237" s="716" t="inlineStr">
        <is>
          <t>广西北投能源投资集团有限公司</t>
        </is>
      </c>
      <c r="F237" s="716" t="n"/>
      <c r="G237" s="716" t="n"/>
      <c r="H237" s="462" t="n"/>
    </row>
    <row r="238">
      <c r="A238" s="672" t="inlineStr">
        <is>
          <t>E101353</t>
        </is>
      </c>
      <c r="B238" s="767">
        <f>ROW()</f>
        <v/>
      </c>
      <c r="C238" s="182" t="inlineStr">
        <is>
          <t>如东晟能能源有限公司</t>
        </is>
      </c>
      <c r="D238" s="672" t="inlineStr">
        <is>
          <t>ZI0290020166</t>
        </is>
      </c>
      <c r="E238" s="182" t="inlineStr">
        <is>
          <t>宁波梅山保税港区巽能能源有限公司</t>
        </is>
      </c>
      <c r="F238" s="716" t="n"/>
      <c r="G238" s="716" t="n"/>
      <c r="H238" s="462" t="n"/>
    </row>
    <row r="239">
      <c r="A239" s="672" t="n"/>
      <c r="B239" s="767" t="n"/>
      <c r="C239" s="182" t="n"/>
      <c r="D239" s="672" t="n"/>
      <c r="E239" s="182" t="n"/>
      <c r="F239" s="716" t="n"/>
      <c r="G239" s="716" t="n"/>
      <c r="H239" s="462" t="n"/>
    </row>
    <row r="240">
      <c r="A240" s="761" t="inlineStr">
        <is>
          <t>实收资本-集团外-个人</t>
        </is>
      </c>
      <c r="B240" s="767">
        <f>ROW()</f>
        <v/>
      </c>
      <c r="C240" s="763" t="n"/>
      <c r="D240" s="178" t="n"/>
      <c r="E240" s="763" t="n"/>
      <c r="F240" s="716" t="n"/>
      <c r="G240" s="716" t="n"/>
      <c r="H240" s="462" t="n"/>
    </row>
    <row r="241">
      <c r="A241" s="672" t="inlineStr">
        <is>
          <t>E100333</t>
        </is>
      </c>
      <c r="B241" s="767">
        <f>ROW()</f>
        <v/>
      </c>
      <c r="C241" s="182" t="inlineStr">
        <is>
          <t>安徽马钢智能立体停车设备有限公司</t>
        </is>
      </c>
      <c r="D241" s="182" t="inlineStr">
        <is>
          <t>ZI0290030001</t>
        </is>
      </c>
      <c r="E241" s="182" t="inlineStr">
        <is>
          <t>周庄</t>
        </is>
      </c>
      <c r="F241" s="716" t="n"/>
      <c r="G241" s="716" t="n"/>
      <c r="H241" s="462" t="n"/>
    </row>
    <row r="242">
      <c r="A242" s="672" t="inlineStr">
        <is>
          <t>E100311</t>
        </is>
      </c>
      <c r="B242" s="767">
        <f>ROW()</f>
        <v/>
      </c>
      <c r="C242" s="182" t="inlineStr">
        <is>
          <t>北京奥之旅汽车销售服务有限公司</t>
        </is>
      </c>
      <c r="D242" s="182" t="inlineStr">
        <is>
          <t>ZI0290030002</t>
        </is>
      </c>
      <c r="E242" s="182" t="inlineStr">
        <is>
          <t>刘春启</t>
        </is>
      </c>
      <c r="F242" s="716" t="n"/>
      <c r="G242" s="716" t="n"/>
      <c r="H242" s="462" t="n"/>
    </row>
    <row r="243">
      <c r="A243" s="672" t="inlineStr">
        <is>
          <t>E100201</t>
        </is>
      </c>
      <c r="B243" s="767">
        <f>ROW()</f>
        <v/>
      </c>
      <c r="C243" s="182" t="inlineStr">
        <is>
          <t>北京昊华能源股份有限公司</t>
        </is>
      </c>
      <c r="D243" s="182" t="inlineStr">
        <is>
          <t>ZI0290030003</t>
        </is>
      </c>
      <c r="E243" s="182" t="inlineStr">
        <is>
          <t>王嘉苓</t>
        </is>
      </c>
      <c r="F243" s="716" t="n"/>
      <c r="G243" s="716" t="n"/>
      <c r="H243" s="462" t="n"/>
    </row>
    <row r="244">
      <c r="A244" s="672" t="inlineStr">
        <is>
          <t>E100201</t>
        </is>
      </c>
      <c r="B244" s="767">
        <f>ROW()</f>
        <v/>
      </c>
      <c r="C244" s="182" t="inlineStr">
        <is>
          <t>北京昊华能源股份有限公司</t>
        </is>
      </c>
      <c r="D244" s="182" t="inlineStr">
        <is>
          <t>ZI0290030004</t>
        </is>
      </c>
      <c r="E244" s="182" t="inlineStr">
        <is>
          <t>李加平</t>
        </is>
      </c>
      <c r="F244" s="716" t="n"/>
      <c r="G244" s="716" t="n"/>
      <c r="H244" s="462" t="n"/>
    </row>
    <row r="245">
      <c r="A245" s="672" t="inlineStr">
        <is>
          <t>E100201</t>
        </is>
      </c>
      <c r="B245" s="767">
        <f>ROW()</f>
        <v/>
      </c>
      <c r="C245" s="182" t="inlineStr">
        <is>
          <t>北京昊华能源股份有限公司</t>
        </is>
      </c>
      <c r="D245" s="182" t="inlineStr">
        <is>
          <t>ZI0290030005</t>
        </is>
      </c>
      <c r="E245" s="182" t="inlineStr">
        <is>
          <t>蒋建芬</t>
        </is>
      </c>
      <c r="F245" s="716" t="n"/>
      <c r="G245" s="716" t="n"/>
      <c r="H245" s="462" t="n"/>
    </row>
    <row r="246">
      <c r="A246" s="672" t="inlineStr">
        <is>
          <t>E100201G</t>
        </is>
      </c>
      <c r="B246" s="767">
        <f>ROW()</f>
        <v/>
      </c>
      <c r="C246" s="182" t="inlineStr">
        <is>
          <t>北京昊华能源股份有限公司（合并）</t>
        </is>
      </c>
      <c r="D246" s="182" t="inlineStr">
        <is>
          <t>ZI0290030003</t>
        </is>
      </c>
      <c r="E246" s="182" t="inlineStr">
        <is>
          <t>王嘉苓</t>
        </is>
      </c>
      <c r="F246" s="716" t="n"/>
      <c r="G246" s="716" t="n"/>
      <c r="H246" s="462" t="n"/>
    </row>
    <row r="247">
      <c r="A247" s="672" t="inlineStr">
        <is>
          <t>E100201G</t>
        </is>
      </c>
      <c r="B247" s="767">
        <f>ROW()</f>
        <v/>
      </c>
      <c r="C247" s="182" t="inlineStr">
        <is>
          <t>北京昊华能源股份有限公司（合并）</t>
        </is>
      </c>
      <c r="D247" s="182" t="inlineStr">
        <is>
          <t>ZI0290030004</t>
        </is>
      </c>
      <c r="E247" s="182" t="inlineStr">
        <is>
          <t>李加平</t>
        </is>
      </c>
      <c r="F247" s="716" t="n"/>
      <c r="G247" s="716" t="n"/>
      <c r="H247" s="462" t="n"/>
    </row>
    <row r="248">
      <c r="A248" s="672" t="inlineStr">
        <is>
          <t>E100201G</t>
        </is>
      </c>
      <c r="B248" s="767">
        <f>ROW()</f>
        <v/>
      </c>
      <c r="C248" s="182" t="inlineStr">
        <is>
          <t>北京昊华能源股份有限公司（合并）</t>
        </is>
      </c>
      <c r="D248" s="182" t="inlineStr">
        <is>
          <t>ZI0290030005</t>
        </is>
      </c>
      <c r="E248" s="182" t="inlineStr">
        <is>
          <t>蒋建芬</t>
        </is>
      </c>
      <c r="F248" s="716" t="n"/>
      <c r="G248" s="716" t="n"/>
      <c r="H248" s="462" t="n"/>
    </row>
    <row r="249">
      <c r="A249" s="672" t="inlineStr">
        <is>
          <t>E100201H</t>
        </is>
      </c>
      <c r="B249" s="767">
        <f>ROW()</f>
        <v/>
      </c>
      <c r="C249" s="182" t="inlineStr">
        <is>
          <t>北京昊华能源股份有限公司（母公司）</t>
        </is>
      </c>
      <c r="D249" s="182" t="inlineStr">
        <is>
          <t>ZI0290030003</t>
        </is>
      </c>
      <c r="E249" s="182" t="inlineStr">
        <is>
          <t>王嘉苓</t>
        </is>
      </c>
      <c r="F249" s="716" t="n"/>
      <c r="G249" s="716" t="n"/>
      <c r="H249" s="462" t="n"/>
    </row>
    <row r="250">
      <c r="A250" s="672" t="inlineStr">
        <is>
          <t>E100201H</t>
        </is>
      </c>
      <c r="B250" s="767">
        <f>ROW()</f>
        <v/>
      </c>
      <c r="C250" s="182" t="inlineStr">
        <is>
          <t>北京昊华能源股份有限公司（母公司）</t>
        </is>
      </c>
      <c r="D250" s="182" t="inlineStr">
        <is>
          <t>ZI0290030004</t>
        </is>
      </c>
      <c r="E250" s="182" t="inlineStr">
        <is>
          <t>李加平</t>
        </is>
      </c>
      <c r="F250" s="716" t="n"/>
      <c r="G250" s="716" t="n"/>
      <c r="H250" s="462" t="n"/>
    </row>
    <row r="251">
      <c r="A251" s="672" t="inlineStr">
        <is>
          <t>E100201H</t>
        </is>
      </c>
      <c r="B251" s="767">
        <f>ROW()</f>
        <v/>
      </c>
      <c r="C251" s="182" t="inlineStr">
        <is>
          <t>北京昊华能源股份有限公司（母公司）</t>
        </is>
      </c>
      <c r="D251" s="182" t="inlineStr">
        <is>
          <t>ZI0290030005</t>
        </is>
      </c>
      <c r="E251" s="182" t="inlineStr">
        <is>
          <t>蒋建芬</t>
        </is>
      </c>
      <c r="F251" s="716" t="n"/>
      <c r="G251" s="716" t="n"/>
      <c r="H251" s="462" t="n"/>
    </row>
    <row r="252">
      <c r="A252" s="672" t="inlineStr">
        <is>
          <t>E100281G</t>
        </is>
      </c>
      <c r="B252" s="767">
        <f>ROW()</f>
        <v/>
      </c>
      <c r="C252" s="182" t="inlineStr">
        <is>
          <t>北京京煤化工有限公司（合并）</t>
        </is>
      </c>
      <c r="D252" s="182" t="inlineStr">
        <is>
          <t>ZI0290030006</t>
        </is>
      </c>
      <c r="E252" s="182" t="inlineStr">
        <is>
          <t>坡.严吉玛</t>
        </is>
      </c>
      <c r="F252" s="716" t="n"/>
      <c r="G252" s="716" t="n"/>
      <c r="H252" s="462" t="n"/>
    </row>
    <row r="253">
      <c r="A253" s="672" t="inlineStr">
        <is>
          <t>E100281G</t>
        </is>
      </c>
      <c r="B253" s="767">
        <f>ROW()</f>
        <v/>
      </c>
      <c r="C253" s="182" t="inlineStr">
        <is>
          <t>北京京煤化工有限公司（合并）</t>
        </is>
      </c>
      <c r="D253" s="182" t="inlineStr">
        <is>
          <t>ZI0290030007</t>
        </is>
      </c>
      <c r="E253" s="182" t="inlineStr">
        <is>
          <t>宾巴苏荣</t>
        </is>
      </c>
      <c r="F253" s="716" t="n"/>
      <c r="G253" s="716" t="n"/>
      <c r="H253" s="462" t="n"/>
    </row>
    <row r="254">
      <c r="A254" s="672" t="inlineStr">
        <is>
          <t>E100332</t>
        </is>
      </c>
      <c r="B254" s="767">
        <f>ROW()</f>
        <v/>
      </c>
      <c r="C254" s="182" t="inlineStr">
        <is>
          <t>北京鑫华源机械制造有限责任公司</t>
        </is>
      </c>
      <c r="D254" s="182" t="inlineStr">
        <is>
          <t>ZI0290030008</t>
        </is>
      </c>
      <c r="E254" s="182" t="inlineStr">
        <is>
          <t>北京华源科创智能停车设备销售中心（有限合伙）</t>
        </is>
      </c>
      <c r="F254" s="716" t="n"/>
      <c r="G254" s="716" t="n"/>
      <c r="H254" s="462" t="n"/>
    </row>
    <row r="255">
      <c r="A255" s="672" t="inlineStr">
        <is>
          <t>E100332</t>
        </is>
      </c>
      <c r="B255" s="767">
        <f>ROW()</f>
        <v/>
      </c>
      <c r="C255" s="182" t="inlineStr">
        <is>
          <t>北京鑫华源机械制造有限责任公司</t>
        </is>
      </c>
      <c r="D255" s="182" t="inlineStr">
        <is>
          <t>ZI0290030009</t>
        </is>
      </c>
      <c r="E255" s="182" t="inlineStr">
        <is>
          <t>北京鑫华科创智能停车科技中心（有限合伙）</t>
        </is>
      </c>
      <c r="F255" s="716" t="n"/>
      <c r="G255" s="716" t="n"/>
      <c r="H255" s="462" t="n"/>
    </row>
    <row r="256">
      <c r="A256" s="672" t="inlineStr">
        <is>
          <t>E100332G</t>
        </is>
      </c>
      <c r="B256" s="767">
        <f>ROW()</f>
        <v/>
      </c>
      <c r="C256" s="182" t="inlineStr">
        <is>
          <t>北京鑫华源机械制造有限责任公司（合并）</t>
        </is>
      </c>
      <c r="D256" s="182" t="inlineStr">
        <is>
          <t>ZI0290030008</t>
        </is>
      </c>
      <c r="E256" s="182" t="inlineStr">
        <is>
          <t>北京华源科创智能停车设备销售中心（有限合伙）</t>
        </is>
      </c>
      <c r="F256" s="716" t="n"/>
      <c r="G256" s="716" t="n"/>
      <c r="H256" s="462" t="n"/>
    </row>
    <row r="257">
      <c r="A257" s="672" t="inlineStr">
        <is>
          <t>E100332G</t>
        </is>
      </c>
      <c r="B257" s="767">
        <f>ROW()</f>
        <v/>
      </c>
      <c r="C257" s="182" t="inlineStr">
        <is>
          <t>北京鑫华源机械制造有限责任公司（合并）</t>
        </is>
      </c>
      <c r="D257" s="182" t="inlineStr">
        <is>
          <t>ZI0290030009</t>
        </is>
      </c>
      <c r="E257" s="182" t="inlineStr">
        <is>
          <t>北京鑫华科创智能停车科技中心（有限合伙）</t>
        </is>
      </c>
      <c r="F257" s="716" t="n"/>
      <c r="G257" s="716" t="n"/>
      <c r="H257" s="462" t="n"/>
    </row>
    <row r="258">
      <c r="A258" s="672" t="inlineStr">
        <is>
          <t>E100287</t>
        </is>
      </c>
      <c r="B258" s="767">
        <f>ROW()</f>
        <v/>
      </c>
      <c r="C258" s="182" t="inlineStr">
        <is>
          <t>达瓦满度拉外商投资有限责任公司</t>
        </is>
      </c>
      <c r="D258" s="182" t="inlineStr">
        <is>
          <t>ZI0290030006</t>
        </is>
      </c>
      <c r="E258" s="182" t="inlineStr">
        <is>
          <t>坡.严吉玛</t>
        </is>
      </c>
      <c r="F258" s="716" t="n"/>
      <c r="G258" s="716" t="n"/>
      <c r="H258" s="462" t="n"/>
    </row>
    <row r="259">
      <c r="A259" s="672" t="inlineStr">
        <is>
          <t>E100287</t>
        </is>
      </c>
      <c r="B259" s="767">
        <f>ROW()</f>
        <v/>
      </c>
      <c r="C259" s="182" t="inlineStr">
        <is>
          <t>达瓦满度拉外商投资有限责任公司</t>
        </is>
      </c>
      <c r="D259" s="182" t="inlineStr">
        <is>
          <t>ZI0290030007</t>
        </is>
      </c>
      <c r="E259" s="182" t="inlineStr">
        <is>
          <t>宾巴苏荣</t>
        </is>
      </c>
      <c r="F259" s="716" t="n"/>
      <c r="G259" s="716" t="n"/>
      <c r="H259" s="462" t="n"/>
    </row>
    <row r="260">
      <c r="A260" s="672" t="inlineStr">
        <is>
          <t>E100537</t>
        </is>
      </c>
      <c r="B260" s="767">
        <f>ROW()</f>
        <v/>
      </c>
      <c r="C260" s="182" t="inlineStr">
        <is>
          <t>怀来昊璟矿建房地产开发有限公司</t>
        </is>
      </c>
      <c r="D260" s="182" t="inlineStr">
        <is>
          <t>ZI0290030010</t>
        </is>
      </c>
      <c r="E260" s="182" t="inlineStr">
        <is>
          <t>周文军</t>
        </is>
      </c>
      <c r="F260" s="716" t="n"/>
      <c r="G260" s="716" t="n"/>
      <c r="H260" s="462" t="n"/>
    </row>
    <row r="261">
      <c r="A261" s="672" t="inlineStr">
        <is>
          <t>E100332G</t>
        </is>
      </c>
      <c r="B261" s="767">
        <f>ROW()</f>
        <v/>
      </c>
      <c r="C261" s="182" t="inlineStr">
        <is>
          <t>北京鑫华源机械制造有限责任公司（合并）</t>
        </is>
      </c>
      <c r="D261" s="182" t="inlineStr">
        <is>
          <t>ZI0290030008</t>
        </is>
      </c>
      <c r="E261" s="182" t="inlineStr">
        <is>
          <t>北京华源科创智能停车设备销售中心（有限合伙）</t>
        </is>
      </c>
      <c r="F261" s="716" t="n"/>
      <c r="G261" s="716" t="n"/>
      <c r="H261" s="462" t="n"/>
    </row>
    <row r="262">
      <c r="A262" s="672" t="n"/>
      <c r="B262" s="767">
        <f>ROW()</f>
        <v/>
      </c>
      <c r="C262" s="182" t="n"/>
      <c r="D262" s="182" t="n"/>
      <c r="E262" s="182" t="n"/>
      <c r="F262" s="716" t="n"/>
      <c r="G262" s="716" t="n"/>
      <c r="H262" s="462" t="n"/>
    </row>
    <row r="263">
      <c r="A263" s="672" t="n"/>
      <c r="B263" s="767">
        <f>ROW()</f>
        <v/>
      </c>
      <c r="C263" s="182" t="n"/>
      <c r="D263" s="182" t="n"/>
      <c r="E263" s="182" t="n"/>
      <c r="F263" s="716" t="n"/>
      <c r="G263" s="716" t="n"/>
      <c r="H263" s="462" t="n"/>
    </row>
    <row r="264">
      <c r="A264" s="672" t="n"/>
      <c r="B264" s="767">
        <f>ROW()</f>
        <v/>
      </c>
      <c r="C264" s="182" t="n"/>
      <c r="D264" s="182" t="n"/>
      <c r="E264" s="182" t="n"/>
      <c r="F264" s="716" t="n"/>
      <c r="G264" s="716" t="n"/>
      <c r="H264" s="462" t="n"/>
    </row>
    <row r="265">
      <c r="A265" s="761" t="inlineStr">
        <is>
          <t>实收资本-集团外-其他</t>
        </is>
      </c>
      <c r="B265" s="767">
        <f>ROW()</f>
        <v/>
      </c>
      <c r="C265" s="763" t="n"/>
      <c r="D265" s="178" t="n"/>
      <c r="E265" s="763" t="n"/>
      <c r="F265" s="716" t="n"/>
      <c r="G265" s="716" t="n"/>
      <c r="H265" s="462" t="n"/>
    </row>
    <row r="266">
      <c r="A266" s="672" t="inlineStr">
        <is>
          <t>E100333</t>
        </is>
      </c>
      <c r="B266" s="767">
        <f>ROW()</f>
        <v/>
      </c>
      <c r="C266" s="182" t="inlineStr">
        <is>
          <t>安徽马钢智能立体停车设备有限公司</t>
        </is>
      </c>
      <c r="D266" s="182" t="inlineStr">
        <is>
          <t>ZI0299990001</t>
        </is>
      </c>
      <c r="E266" s="182" t="inlineStr">
        <is>
          <t>安徽马钢智能立体停车设备有限公司工会委员会</t>
        </is>
      </c>
      <c r="F266" s="716" t="n"/>
      <c r="G266" s="716" t="n"/>
      <c r="H266" s="462" t="n"/>
    </row>
    <row r="267">
      <c r="A267" s="672" t="inlineStr">
        <is>
          <t>E100001</t>
        </is>
      </c>
      <c r="B267" s="767">
        <f>ROW()</f>
        <v/>
      </c>
      <c r="C267" s="182" t="inlineStr">
        <is>
          <t>北京京能清洁能源电力股份有限公司</t>
        </is>
      </c>
      <c r="D267" s="182" t="inlineStr">
        <is>
          <t>ZI0299990002</t>
        </is>
      </c>
      <c r="E267" s="182" t="inlineStr">
        <is>
          <t>公众股本（H股）</t>
        </is>
      </c>
      <c r="F267" s="716" t="n"/>
      <c r="G267" s="716" t="n"/>
      <c r="H267" s="462" t="n"/>
    </row>
    <row r="268">
      <c r="A268" s="672" t="inlineStr">
        <is>
          <t>E100001G</t>
        </is>
      </c>
      <c r="B268" s="767">
        <f>ROW()</f>
        <v/>
      </c>
      <c r="C268" s="182" t="inlineStr">
        <is>
          <t>北京京能清洁能源电力股份有限公司（合并）</t>
        </is>
      </c>
      <c r="D268" s="182" t="inlineStr">
        <is>
          <t>ZI0299990002</t>
        </is>
      </c>
      <c r="E268" s="182" t="inlineStr">
        <is>
          <t>公众股本（H股）</t>
        </is>
      </c>
      <c r="F268" s="716" t="n"/>
      <c r="G268" s="716" t="n"/>
      <c r="H268" s="462" t="n"/>
    </row>
    <row r="269">
      <c r="A269" s="672" t="inlineStr">
        <is>
          <t>E100001H</t>
        </is>
      </c>
      <c r="B269" s="767">
        <f>ROW()</f>
        <v/>
      </c>
      <c r="C269" s="182" t="inlineStr">
        <is>
          <t>北京京能清洁能源电力股份有限公司（合并）本部</t>
        </is>
      </c>
      <c r="D269" s="182" t="inlineStr">
        <is>
          <t>ZI0299990002</t>
        </is>
      </c>
      <c r="E269" s="182" t="inlineStr">
        <is>
          <t>公众股本（H股）</t>
        </is>
      </c>
      <c r="F269" s="716" t="n"/>
      <c r="G269" s="716" t="n"/>
      <c r="H269" s="462" t="n"/>
    </row>
    <row r="270">
      <c r="A270" s="672" t="inlineStr">
        <is>
          <t>E100747</t>
        </is>
      </c>
      <c r="B270" s="767">
        <f>ROW()</f>
        <v/>
      </c>
      <c r="C270" s="182" t="inlineStr">
        <is>
          <t>北京能源国际控股有限公司</t>
        </is>
      </c>
      <c r="D270" s="182" t="inlineStr">
        <is>
          <t>ZI0299990003</t>
        </is>
      </c>
      <c r="E270" s="182" t="inlineStr">
        <is>
          <t>其他流通股股东</t>
        </is>
      </c>
      <c r="F270" s="716" t="n"/>
      <c r="G270" s="716" t="n"/>
      <c r="H270" s="462" t="n"/>
    </row>
    <row r="271">
      <c r="A271" s="672" t="inlineStr">
        <is>
          <t>E100420</t>
        </is>
      </c>
      <c r="B271" s="767">
        <f>ROW()</f>
        <v/>
      </c>
      <c r="C271" s="182" t="inlineStr">
        <is>
          <t>京能置业股份有限公司</t>
        </is>
      </c>
      <c r="D271" s="182" t="inlineStr">
        <is>
          <t>ZI0299990003</t>
        </is>
      </c>
      <c r="E271" s="182" t="inlineStr">
        <is>
          <t>其他流通股股东</t>
        </is>
      </c>
      <c r="F271" s="716" t="n"/>
      <c r="G271" s="716" t="n"/>
      <c r="H271" s="462" t="n"/>
    </row>
    <row r="272">
      <c r="A272" s="672" t="inlineStr">
        <is>
          <t>E100145</t>
        </is>
      </c>
      <c r="B272" s="767">
        <f>ROW()</f>
        <v/>
      </c>
      <c r="C272" s="182" t="inlineStr">
        <is>
          <t>北京京能电力股份有限公司</t>
        </is>
      </c>
      <c r="D272" s="182" t="inlineStr">
        <is>
          <t>ZI0299990003</t>
        </is>
      </c>
      <c r="E272" s="182" t="inlineStr">
        <is>
          <t>其他流通股股东</t>
        </is>
      </c>
      <c r="F272" s="716" t="n"/>
      <c r="G272" s="716" t="n"/>
      <c r="H272" s="462" t="n"/>
    </row>
    <row r="273">
      <c r="A273" s="672" t="inlineStr">
        <is>
          <t>E100201</t>
        </is>
      </c>
      <c r="B273" s="767">
        <f>ROW()</f>
        <v/>
      </c>
      <c r="C273" s="182" t="inlineStr">
        <is>
          <t>北京昊华能源股份有限公司</t>
        </is>
      </c>
      <c r="D273" s="182" t="inlineStr">
        <is>
          <t>ZI0299990003</t>
        </is>
      </c>
      <c r="E273" s="182" t="inlineStr">
        <is>
          <t>其他流通股股东</t>
        </is>
      </c>
      <c r="F273" s="716" t="n"/>
      <c r="G273" s="716" t="n"/>
      <c r="H273" s="462" t="n"/>
    </row>
    <row r="274">
      <c r="A274" s="672" t="inlineStr">
        <is>
          <t>E100420G</t>
        </is>
      </c>
      <c r="B274" s="767">
        <f>ROW()</f>
        <v/>
      </c>
      <c r="C274" s="182" t="inlineStr">
        <is>
          <t>京能置业股份有限公司（合并）</t>
        </is>
      </c>
      <c r="D274" s="182" t="inlineStr">
        <is>
          <t>ZI0299990003</t>
        </is>
      </c>
      <c r="E274" s="182" t="inlineStr">
        <is>
          <t>其他流通股股东</t>
        </is>
      </c>
      <c r="F274" s="716" t="n"/>
      <c r="G274" s="716" t="n"/>
      <c r="H274" s="462" t="n"/>
    </row>
    <row r="275">
      <c r="A275" s="672" t="inlineStr">
        <is>
          <t>E100747G</t>
        </is>
      </c>
      <c r="B275" s="767">
        <f>ROW()</f>
        <v/>
      </c>
      <c r="C275" s="182" t="inlineStr">
        <is>
          <t>北京能源国际控股有限公司（合并）</t>
        </is>
      </c>
      <c r="D275" s="182" t="inlineStr">
        <is>
          <t>ZI0299990003</t>
        </is>
      </c>
      <c r="E275" s="182" t="inlineStr">
        <is>
          <t>其他流通股股东</t>
        </is>
      </c>
      <c r="F275" s="716" t="n"/>
      <c r="G275" s="716" t="n"/>
      <c r="H275" s="462" t="n"/>
    </row>
    <row r="276">
      <c r="A276" s="672" t="inlineStr">
        <is>
          <t>E101054</t>
        </is>
      </c>
      <c r="B276" s="767">
        <f>ROW()</f>
        <v/>
      </c>
      <c r="C276" s="182" t="inlineStr">
        <is>
          <t>北京京能热力股份有限公司</t>
        </is>
      </c>
      <c r="D276" s="182" t="inlineStr">
        <is>
          <t>ZI0299990003</t>
        </is>
      </c>
      <c r="E276" s="182" t="inlineStr">
        <is>
          <t>其他流通股股东</t>
        </is>
      </c>
      <c r="F276" s="716" t="n"/>
      <c r="G276" s="716" t="n"/>
      <c r="H276" s="462" t="n"/>
    </row>
    <row r="277">
      <c r="A277" s="672" t="n"/>
      <c r="B277" s="767">
        <f>ROW()</f>
        <v/>
      </c>
      <c r="C277" s="182" t="n"/>
      <c r="D277" s="182" t="n"/>
      <c r="E277" s="182" t="n"/>
      <c r="F277" s="716" t="n"/>
      <c r="G277" s="716" t="n"/>
      <c r="H277" s="462" t="n"/>
    </row>
    <row r="278">
      <c r="A278" s="761" t="inlineStr">
        <is>
          <t>实收资本-集团内</t>
        </is>
      </c>
      <c r="B278" s="767">
        <f>ROW()</f>
        <v/>
      </c>
      <c r="C278" s="761" t="n"/>
      <c r="D278" s="27" t="n"/>
      <c r="E278" s="761" t="n"/>
      <c r="F278" s="716" t="n"/>
      <c r="G278" s="716" t="n"/>
      <c r="H278" s="462" t="n"/>
    </row>
    <row r="279">
      <c r="A279" s="672" t="inlineStr">
        <is>
          <t>E100883</t>
        </is>
      </c>
      <c r="B279" s="767">
        <f>ROW()</f>
        <v/>
      </c>
      <c r="C279" s="672" t="inlineStr">
        <is>
          <t>Beijing Energy International Investment Limited</t>
        </is>
      </c>
      <c r="D279" s="770" t="inlineStr">
        <is>
          <t>ZI029E100882</t>
        </is>
      </c>
      <c r="E279" s="672" t="inlineStr">
        <is>
          <t>China Technology New Energy Limited</t>
        </is>
      </c>
      <c r="F279" s="716" t="n"/>
      <c r="G279" s="716" t="n"/>
      <c r="H279" s="462" t="n"/>
    </row>
    <row r="280">
      <c r="A280" s="672" t="inlineStr">
        <is>
          <t>E101000</t>
        </is>
      </c>
      <c r="B280" s="767">
        <f>ROW()</f>
        <v/>
      </c>
      <c r="C280" s="672" t="inlineStr">
        <is>
          <t>China Merchants New Energy Limited</t>
        </is>
      </c>
      <c r="D280" s="672" t="inlineStr">
        <is>
          <t>ZI029E100882</t>
        </is>
      </c>
      <c r="E280" s="672" t="inlineStr">
        <is>
          <t>China Technology New Energy Limited</t>
        </is>
      </c>
      <c r="F280" s="716" t="n"/>
      <c r="G280" s="716" t="n"/>
      <c r="H280" s="462" t="n"/>
    </row>
    <row r="281">
      <c r="A281" s="672" t="inlineStr">
        <is>
          <t>E101041</t>
        </is>
      </c>
      <c r="B281" s="767">
        <f>ROW()</f>
        <v/>
      </c>
      <c r="C281" s="672" t="inlineStr">
        <is>
          <t>China New Energy Group （Hong Kong） Limited</t>
        </is>
      </c>
      <c r="D281" s="770" t="inlineStr">
        <is>
          <t>ZI029E101040</t>
        </is>
      </c>
      <c r="E281" s="672" t="inlineStr">
        <is>
          <t>Tibet Energy Investment Group （Hong Kong） Limited</t>
        </is>
      </c>
      <c r="F281" s="716" t="n"/>
      <c r="G281" s="716" t="n"/>
      <c r="H281" s="462" t="n"/>
    </row>
    <row r="282">
      <c r="A282" s="672" t="inlineStr">
        <is>
          <t>E101032</t>
        </is>
      </c>
      <c r="B282" s="767">
        <f>ROW()</f>
        <v/>
      </c>
      <c r="C282" s="672" t="inlineStr">
        <is>
          <t>China New Energy Holdings （Hong Kong） Limited</t>
        </is>
      </c>
      <c r="D282" s="672" t="inlineStr">
        <is>
          <t>ZI029E101031</t>
        </is>
      </c>
      <c r="E282" s="672" t="inlineStr">
        <is>
          <t>Panda Green Power Group Limited</t>
        </is>
      </c>
      <c r="F282" s="716" t="n"/>
      <c r="G282" s="716" t="n"/>
      <c r="H282" s="462" t="n"/>
    </row>
    <row r="283">
      <c r="A283" s="672" t="inlineStr">
        <is>
          <t>E100881</t>
        </is>
      </c>
      <c r="B283" s="767">
        <f>ROW()</f>
        <v/>
      </c>
      <c r="C283" s="672" t="inlineStr">
        <is>
          <t>China Solar Power Group Limited</t>
        </is>
      </c>
      <c r="D283" s="672" t="inlineStr">
        <is>
          <t>ZI029E100747</t>
        </is>
      </c>
      <c r="E283" s="672" t="inlineStr">
        <is>
          <t>北京能源国际控股有限公司</t>
        </is>
      </c>
      <c r="F283" s="716" t="n"/>
      <c r="G283" s="716" t="n"/>
      <c r="H283" s="462" t="n"/>
    </row>
    <row r="284">
      <c r="A284" s="672" t="inlineStr">
        <is>
          <t>E100882</t>
        </is>
      </c>
      <c r="B284" s="767">
        <f>ROW()</f>
        <v/>
      </c>
      <c r="C284" s="182" t="inlineStr">
        <is>
          <t>China Technology New Energy Limited</t>
        </is>
      </c>
      <c r="D284" s="182" t="inlineStr">
        <is>
          <t>ZI029E100881</t>
        </is>
      </c>
      <c r="E284" s="182" t="inlineStr">
        <is>
          <t>China Solar Power Group Limited</t>
        </is>
      </c>
      <c r="F284" s="716" t="n"/>
      <c r="G284" s="716" t="n"/>
      <c r="H284" s="462" t="n"/>
    </row>
    <row r="285">
      <c r="A285" s="672" t="inlineStr">
        <is>
          <t>E101003</t>
        </is>
      </c>
      <c r="B285" s="767">
        <f>ROW()</f>
        <v/>
      </c>
      <c r="C285" s="182" t="inlineStr">
        <is>
          <t>Driven Green Holdings Limited</t>
        </is>
      </c>
      <c r="D285" s="182" t="inlineStr">
        <is>
          <t>ZI029E101002</t>
        </is>
      </c>
      <c r="E285" s="182" t="inlineStr">
        <is>
          <t>Driven Noble Limited</t>
        </is>
      </c>
      <c r="F285" s="716" t="n"/>
      <c r="G285" s="716" t="n"/>
      <c r="H285" s="462" t="n"/>
    </row>
    <row r="286">
      <c r="A286" s="672" t="inlineStr">
        <is>
          <t>E101002</t>
        </is>
      </c>
      <c r="B286" s="767">
        <f>ROW()</f>
        <v/>
      </c>
      <c r="C286" s="182" t="inlineStr">
        <is>
          <t>Driven Noble Limited</t>
        </is>
      </c>
      <c r="D286" s="182" t="inlineStr">
        <is>
          <t>ZI029E101001</t>
        </is>
      </c>
      <c r="E286" s="182" t="inlineStr">
        <is>
          <t>Faster Assets Limited</t>
        </is>
      </c>
      <c r="F286" s="716" t="n"/>
      <c r="G286" s="716" t="n"/>
      <c r="H286" s="462" t="n"/>
    </row>
    <row r="287">
      <c r="A287" s="672" t="inlineStr">
        <is>
          <t>E101033</t>
        </is>
      </c>
      <c r="B287" s="767">
        <f>ROW()</f>
        <v/>
      </c>
      <c r="C287" s="182" t="inlineStr">
        <is>
          <t>East Asia New Energy Group Limited</t>
        </is>
      </c>
      <c r="D287" s="182" t="inlineStr">
        <is>
          <t>ZI029E101032</t>
        </is>
      </c>
      <c r="E287" s="182" t="inlineStr">
        <is>
          <t>China New Energy Holdings （Hong Kong） Limited</t>
        </is>
      </c>
      <c r="F287" s="716" t="n"/>
      <c r="G287" s="716" t="n"/>
      <c r="H287" s="462" t="n"/>
    </row>
    <row r="288">
      <c r="A288" s="672" t="inlineStr">
        <is>
          <t>E101027</t>
        </is>
      </c>
      <c r="B288" s="767">
        <f>ROW()</f>
        <v/>
      </c>
      <c r="C288" s="182" t="inlineStr">
        <is>
          <t>Ecoworld Global Limited</t>
        </is>
      </c>
      <c r="D288" s="182" t="inlineStr">
        <is>
          <t>ZI029E101022</t>
        </is>
      </c>
      <c r="E288" s="182" t="inlineStr">
        <is>
          <t>Global Renewable Energy Holdings Limited</t>
        </is>
      </c>
      <c r="F288" s="716" t="n"/>
      <c r="G288" s="716" t="n"/>
      <c r="H288" s="462" t="n"/>
    </row>
    <row r="289">
      <c r="A289" s="672" t="inlineStr">
        <is>
          <t>E101001</t>
        </is>
      </c>
      <c r="B289" s="767">
        <f>ROW()</f>
        <v/>
      </c>
      <c r="C289" s="182" t="inlineStr">
        <is>
          <t>Faster Assets Limited</t>
        </is>
      </c>
      <c r="D289" s="182" t="inlineStr">
        <is>
          <t>ZI029E100881</t>
        </is>
      </c>
      <c r="E289" s="182" t="inlineStr">
        <is>
          <t>China Solar Power Group Limited</t>
        </is>
      </c>
      <c r="F289" s="716" t="n"/>
      <c r="G289" s="716" t="n"/>
      <c r="H289" s="462" t="n"/>
    </row>
    <row r="290">
      <c r="A290" s="672" t="inlineStr">
        <is>
          <t>E101024</t>
        </is>
      </c>
      <c r="B290" s="767">
        <f>ROW()</f>
        <v/>
      </c>
      <c r="C290" s="182" t="inlineStr">
        <is>
          <t>Fortune Wheel Holdings Limited</t>
        </is>
      </c>
      <c r="D290" s="182" t="inlineStr">
        <is>
          <t>ZI029E101023</t>
        </is>
      </c>
      <c r="E290" s="182" t="inlineStr">
        <is>
          <t>Sino Delight Developments Limited</t>
        </is>
      </c>
      <c r="F290" s="716" t="n"/>
      <c r="G290" s="716" t="n"/>
      <c r="H290" s="462" t="n"/>
    </row>
    <row r="291">
      <c r="A291" s="672" t="inlineStr">
        <is>
          <t>E101022</t>
        </is>
      </c>
      <c r="B291" s="767">
        <f>ROW()</f>
        <v/>
      </c>
      <c r="C291" s="182" t="inlineStr">
        <is>
          <t>Global Renewable Energy Holdings Limited</t>
        </is>
      </c>
      <c r="D291" s="182" t="inlineStr">
        <is>
          <t>ZI029E101021</t>
        </is>
      </c>
      <c r="E291" s="182" t="inlineStr">
        <is>
          <t>Global Renewable Energy Limited</t>
        </is>
      </c>
      <c r="F291" s="716" t="n"/>
      <c r="G291" s="716" t="n"/>
      <c r="H291" s="462" t="n"/>
    </row>
    <row r="292">
      <c r="A292" s="672" t="inlineStr">
        <is>
          <t>E101021</t>
        </is>
      </c>
      <c r="B292" s="767">
        <f>ROW()</f>
        <v/>
      </c>
      <c r="C292" s="182" t="inlineStr">
        <is>
          <t>Global Renewable Energy Limited</t>
        </is>
      </c>
      <c r="D292" s="182" t="inlineStr">
        <is>
          <t>ZI029E100747</t>
        </is>
      </c>
      <c r="E292" s="182" t="inlineStr">
        <is>
          <t>北京能源国际控股有限公司</t>
        </is>
      </c>
      <c r="F292" s="716" t="n"/>
      <c r="G292" s="716" t="n"/>
      <c r="H292" s="462" t="n"/>
    </row>
    <row r="293">
      <c r="A293" s="672" t="inlineStr">
        <is>
          <t>E101014</t>
        </is>
      </c>
      <c r="B293" s="767">
        <f>ROW()</f>
        <v/>
      </c>
      <c r="C293" s="182" t="inlineStr">
        <is>
          <t>Green Horizon Developments Limited</t>
        </is>
      </c>
      <c r="D293" s="182" t="inlineStr">
        <is>
          <t>ZI029E101001</t>
        </is>
      </c>
      <c r="E293" s="182" t="inlineStr">
        <is>
          <t>Faster Assets Limited</t>
        </is>
      </c>
      <c r="F293" s="716" t="n"/>
      <c r="G293" s="716" t="n"/>
      <c r="H293" s="462" t="n"/>
    </row>
    <row r="294">
      <c r="A294" s="672" t="inlineStr">
        <is>
          <t>E101044</t>
        </is>
      </c>
      <c r="B294" s="767">
        <f>ROW()</f>
        <v/>
      </c>
      <c r="C294" s="182" t="inlineStr">
        <is>
          <t>JingNeng Renewable Energy International Group Limited</t>
        </is>
      </c>
      <c r="D294" s="182" t="inlineStr">
        <is>
          <t>ZI029E100747</t>
        </is>
      </c>
      <c r="E294" s="182" t="inlineStr">
        <is>
          <t>北京能源国际控股有限公司</t>
        </is>
      </c>
      <c r="F294" s="716" t="n"/>
      <c r="G294" s="716" t="n"/>
      <c r="H294" s="462" t="n"/>
    </row>
    <row r="295">
      <c r="A295" s="672" t="inlineStr">
        <is>
          <t>E101015</t>
        </is>
      </c>
      <c r="B295" s="767">
        <f>ROW()</f>
        <v/>
      </c>
      <c r="C295" s="182" t="inlineStr">
        <is>
          <t>New Light Assets Limited</t>
        </is>
      </c>
      <c r="D295" s="182" t="inlineStr">
        <is>
          <t>ZI029E101014</t>
        </is>
      </c>
      <c r="E295" s="182" t="inlineStr">
        <is>
          <t>Green Horizon Developments Limited</t>
        </is>
      </c>
      <c r="F295" s="716" t="n"/>
      <c r="G295" s="716" t="n"/>
      <c r="H295" s="462" t="n"/>
    </row>
    <row r="296">
      <c r="A296" s="672" t="inlineStr">
        <is>
          <t>E101043</t>
        </is>
      </c>
      <c r="B296" s="767">
        <f>ROW()</f>
        <v/>
      </c>
      <c r="C296" s="182" t="inlineStr">
        <is>
          <t>Panda Green Energy Group Limited</t>
        </is>
      </c>
      <c r="D296" s="182" t="inlineStr">
        <is>
          <t>ZI029E101042</t>
        </is>
      </c>
      <c r="E296" s="182" t="inlineStr">
        <is>
          <t>Panda Solar Power Holdings Limited</t>
        </is>
      </c>
      <c r="F296" s="716" t="n"/>
      <c r="G296" s="716" t="n"/>
      <c r="H296" s="462" t="n"/>
    </row>
    <row r="297">
      <c r="A297" s="672" t="inlineStr">
        <is>
          <t>E101031</t>
        </is>
      </c>
      <c r="B297" s="767">
        <f>ROW()</f>
        <v/>
      </c>
      <c r="C297" s="182" t="inlineStr">
        <is>
          <t>Panda Green Power Group Limited</t>
        </is>
      </c>
      <c r="D297" s="182" t="inlineStr">
        <is>
          <t>ZI029E100747</t>
        </is>
      </c>
      <c r="E297" s="182" t="inlineStr">
        <is>
          <t>北京能源国际控股有限公司</t>
        </is>
      </c>
      <c r="F297" s="716" t="n"/>
      <c r="G297" s="716" t="n"/>
      <c r="H297" s="462" t="n"/>
    </row>
    <row r="298">
      <c r="A298" s="672" t="inlineStr">
        <is>
          <t>E101042</t>
        </is>
      </c>
      <c r="B298" s="767">
        <f>ROW()</f>
        <v/>
      </c>
      <c r="C298" s="182" t="inlineStr">
        <is>
          <t>Panda Solar Power Holdings Limited</t>
        </is>
      </c>
      <c r="D298" s="182" t="inlineStr">
        <is>
          <t>ZI029E101031</t>
        </is>
      </c>
      <c r="E298" s="182" t="inlineStr">
        <is>
          <t>Panda Green Power Group Limited</t>
        </is>
      </c>
      <c r="F298" s="716" t="n"/>
      <c r="G298" s="716" t="n"/>
      <c r="H298" s="462" t="n"/>
    </row>
    <row r="299">
      <c r="A299" s="672" t="inlineStr">
        <is>
          <t>E101006</t>
        </is>
      </c>
      <c r="B299" s="767">
        <f>ROW()</f>
        <v/>
      </c>
      <c r="C299" s="182" t="inlineStr">
        <is>
          <t>Premier Yield Holdings Limited</t>
        </is>
      </c>
      <c r="D299" s="182" t="inlineStr">
        <is>
          <t>ZI029E101005</t>
        </is>
      </c>
      <c r="E299" s="182" t="inlineStr">
        <is>
          <t>Silver Yield Investments Limited</t>
        </is>
      </c>
      <c r="F299" s="716" t="n"/>
      <c r="G299" s="716" t="n"/>
      <c r="H299" s="462" t="n"/>
    </row>
    <row r="300">
      <c r="A300" s="672" t="inlineStr">
        <is>
          <t>E101028</t>
        </is>
      </c>
      <c r="B300" s="767">
        <f>ROW()</f>
        <v/>
      </c>
      <c r="C300" s="182" t="inlineStr">
        <is>
          <t>Renewable Energy UK Portfolio Limited</t>
        </is>
      </c>
      <c r="D300" s="182" t="inlineStr">
        <is>
          <t>ZI029E101027</t>
        </is>
      </c>
      <c r="E300" s="182" t="inlineStr">
        <is>
          <t>Ecoworld Global Limited</t>
        </is>
      </c>
      <c r="F300" s="716" t="n"/>
      <c r="G300" s="716" t="n"/>
      <c r="H300" s="462" t="n"/>
    </row>
    <row r="301">
      <c r="A301" s="672" t="inlineStr">
        <is>
          <t>E101005</t>
        </is>
      </c>
      <c r="B301" s="767">
        <f>ROW()</f>
        <v/>
      </c>
      <c r="C301" s="182" t="inlineStr">
        <is>
          <t>Silver Yield Investments Limited</t>
        </is>
      </c>
      <c r="D301" s="182" t="inlineStr">
        <is>
          <t>ZI029E101001</t>
        </is>
      </c>
      <c r="E301" s="182" t="inlineStr">
        <is>
          <t>Faster Assets Limited</t>
        </is>
      </c>
      <c r="F301" s="716" t="n"/>
      <c r="G301" s="716" t="n"/>
      <c r="H301" s="462" t="n"/>
    </row>
    <row r="302">
      <c r="A302" s="672" t="inlineStr">
        <is>
          <t>E101023</t>
        </is>
      </c>
      <c r="B302" s="767">
        <f>ROW()</f>
        <v/>
      </c>
      <c r="C302" s="182" t="inlineStr">
        <is>
          <t>Sino Delight Developments Limited</t>
        </is>
      </c>
      <c r="D302" s="182" t="inlineStr">
        <is>
          <t>ZI029E101022</t>
        </is>
      </c>
      <c r="E302" s="182" t="inlineStr">
        <is>
          <t>Global Renewable Energy Holdings Limited</t>
        </is>
      </c>
      <c r="F302" s="716" t="n"/>
      <c r="G302" s="716" t="n"/>
      <c r="H302" s="462" t="n"/>
    </row>
    <row r="303">
      <c r="A303" s="672" t="inlineStr">
        <is>
          <t>E101040</t>
        </is>
      </c>
      <c r="B303" s="767">
        <f>ROW()</f>
        <v/>
      </c>
      <c r="C303" s="182" t="inlineStr">
        <is>
          <t>Tibet Energy Investment Group （Hong Kong） Limited</t>
        </is>
      </c>
      <c r="D303" s="182" t="inlineStr">
        <is>
          <t>ZI029E101022</t>
        </is>
      </c>
      <c r="E303" s="182" t="inlineStr">
        <is>
          <t>Global Renewable Energy Holdings Limited</t>
        </is>
      </c>
      <c r="F303" s="716" t="n"/>
      <c r="G303" s="716" t="n"/>
      <c r="H303" s="462" t="n"/>
    </row>
    <row r="304">
      <c r="A304" s="672" t="inlineStr">
        <is>
          <t>E101040</t>
        </is>
      </c>
      <c r="B304" s="767">
        <f>ROW()</f>
        <v/>
      </c>
      <c r="C304" s="182" t="inlineStr">
        <is>
          <t>Tibet Energy Investment Group （Hong Kong） Limited</t>
        </is>
      </c>
      <c r="D304" s="182" t="inlineStr">
        <is>
          <t>ZI029E100738</t>
        </is>
      </c>
      <c r="E304" s="182" t="inlineStr">
        <is>
          <t>西藏藏能股份有限公司</t>
        </is>
      </c>
      <c r="F304" s="716" t="n"/>
      <c r="G304" s="716" t="n"/>
      <c r="H304" s="462" t="n"/>
    </row>
    <row r="305">
      <c r="A305" s="672" t="inlineStr">
        <is>
          <t>E100333</t>
        </is>
      </c>
      <c r="B305" s="767">
        <f>ROW()</f>
        <v/>
      </c>
      <c r="C305" s="182" t="inlineStr">
        <is>
          <t>安徽马钢智能立体停车设备有限公司</t>
        </is>
      </c>
      <c r="D305" s="182" t="inlineStr">
        <is>
          <t>ZI029E100332</t>
        </is>
      </c>
      <c r="E305" s="182" t="inlineStr">
        <is>
          <t>北京鑫华源机械制造有限责任公司</t>
        </is>
      </c>
      <c r="F305" s="716" t="n"/>
      <c r="G305" s="716" t="n"/>
      <c r="H305" s="462" t="n"/>
    </row>
    <row r="306">
      <c r="A306" s="672" t="inlineStr">
        <is>
          <t>E100994</t>
        </is>
      </c>
      <c r="B306" s="767">
        <f>ROW()</f>
        <v/>
      </c>
      <c r="C306" s="182" t="inlineStr">
        <is>
          <t>安徽招联清洁能源有限公司</t>
        </is>
      </c>
      <c r="D306" s="182" t="inlineStr">
        <is>
          <t>ZI029E100993</t>
        </is>
      </c>
      <c r="E306" s="182" t="inlineStr">
        <is>
          <t>常州市招联绿晖新能源有限公司</t>
        </is>
      </c>
      <c r="F306" s="716" t="n"/>
      <c r="G306" s="716" t="n"/>
      <c r="H306" s="462" t="n"/>
    </row>
    <row r="307">
      <c r="A307" s="672" t="inlineStr">
        <is>
          <t>E100709</t>
        </is>
      </c>
      <c r="B307" s="767">
        <f>ROW()</f>
        <v/>
      </c>
      <c r="C307" s="182" t="inlineStr">
        <is>
          <t>巴彦淖尔京能清洁能源电力有限公司</t>
        </is>
      </c>
      <c r="D307" s="182" t="inlineStr">
        <is>
          <t>ZI029E100001</t>
        </is>
      </c>
      <c r="E307" s="182" t="inlineStr">
        <is>
          <t>北京京能清洁能源电力股份有限公司</t>
        </is>
      </c>
      <c r="F307" s="716" t="n"/>
      <c r="G307" s="716" t="n"/>
      <c r="H307" s="462" t="n"/>
    </row>
    <row r="308">
      <c r="A308" s="672" t="inlineStr">
        <is>
          <t>E101360</t>
        </is>
      </c>
      <c r="B308" s="767">
        <f>ROW()</f>
        <v/>
      </c>
      <c r="C308" s="182" t="inlineStr">
        <is>
          <t>西安明眸广晟发电有限公司</t>
        </is>
      </c>
      <c r="D308" s="182" t="inlineStr">
        <is>
          <t>ZI029E100001</t>
        </is>
      </c>
      <c r="E308" s="182" t="inlineStr">
        <is>
          <t>北京京能清洁能源电力股份有限公司</t>
        </is>
      </c>
      <c r="F308" s="716" t="n"/>
      <c r="G308" s="716" t="n"/>
      <c r="H308" s="462" t="n"/>
    </row>
    <row r="309">
      <c r="A309" s="672" t="inlineStr">
        <is>
          <t>E101362</t>
        </is>
      </c>
      <c r="B309" s="767">
        <f>ROW()</f>
        <v/>
      </c>
      <c r="C309" s="182" t="inlineStr">
        <is>
          <t>天津市渤海京辉风力发电有限公司</t>
        </is>
      </c>
      <c r="D309" s="182" t="inlineStr">
        <is>
          <t>ZI029E100001</t>
        </is>
      </c>
      <c r="E309" s="182" t="inlineStr">
        <is>
          <t>北京京能清洁能源电力股份有限公司</t>
        </is>
      </c>
      <c r="F309" s="716" t="n"/>
      <c r="G309" s="716" t="n"/>
      <c r="H309" s="462" t="n"/>
    </row>
    <row r="310">
      <c r="A310" s="672" t="inlineStr">
        <is>
          <t>E101361</t>
        </is>
      </c>
      <c r="B310" s="767">
        <f>ROW()</f>
        <v/>
      </c>
      <c r="C310" s="182" t="inlineStr">
        <is>
          <t>东至县以利新能源发电有限公司</t>
        </is>
      </c>
      <c r="D310" s="182" t="inlineStr">
        <is>
          <t>ZI029E101360</t>
        </is>
      </c>
      <c r="E310" s="182" t="inlineStr">
        <is>
          <t>西安明眸广晟发电有限公司</t>
        </is>
      </c>
      <c r="F310" s="716" t="n"/>
      <c r="G310" s="716" t="n"/>
      <c r="H310" s="462" t="n"/>
    </row>
    <row r="311">
      <c r="A311" s="672" t="inlineStr">
        <is>
          <t>E101363</t>
        </is>
      </c>
      <c r="B311" s="767">
        <f>ROW()</f>
        <v/>
      </c>
      <c r="C311" s="182" t="inlineStr">
        <is>
          <t>天津市京辉风力发电有限公司</t>
        </is>
      </c>
      <c r="D311" s="182" t="inlineStr">
        <is>
          <t>ZI029E101362</t>
        </is>
      </c>
      <c r="E311" s="182" t="inlineStr">
        <is>
          <t>天津市渤海京辉风力发电有限公司</t>
        </is>
      </c>
      <c r="F311" s="716" t="n"/>
      <c r="G311" s="716" t="n"/>
      <c r="H311" s="462" t="n"/>
    </row>
    <row r="312">
      <c r="A312" s="672" t="inlineStr">
        <is>
          <t>E100924</t>
        </is>
      </c>
      <c r="B312" s="767">
        <f>ROW()</f>
        <v/>
      </c>
      <c r="C312" s="182" t="inlineStr">
        <is>
          <t>白城市华儒新能源开发有限公司</t>
        </is>
      </c>
      <c r="D312" s="182" t="inlineStr">
        <is>
          <t>ZI029E100730</t>
        </is>
      </c>
      <c r="E312" s="182" t="inlineStr">
        <is>
          <t>京能国际能源发展（北京）有限公司</t>
        </is>
      </c>
      <c r="F312" s="716" t="n"/>
      <c r="G312" s="716" t="n"/>
      <c r="H312" s="462" t="n"/>
    </row>
    <row r="313">
      <c r="A313" s="672" t="inlineStr">
        <is>
          <t>E101357</t>
        </is>
      </c>
      <c r="B313" s="767">
        <f>ROW()</f>
        <v/>
      </c>
      <c r="C313" s="182" t="inlineStr">
        <is>
          <t>山西沐光绿能新能源有限公司</t>
        </is>
      </c>
      <c r="D313" s="182" t="inlineStr">
        <is>
          <t>ZI029E100001</t>
        </is>
      </c>
      <c r="E313" s="182" t="inlineStr">
        <is>
          <t>北京京能清洁能源电力股份有限公司</t>
        </is>
      </c>
      <c r="F313" s="716" t="n"/>
      <c r="G313" s="716" t="n"/>
      <c r="H313" s="462" t="n"/>
    </row>
    <row r="314">
      <c r="A314" s="672" t="inlineStr">
        <is>
          <t>E101358</t>
        </is>
      </c>
      <c r="B314" s="767">
        <f>ROW()</f>
        <v/>
      </c>
      <c r="C314" s="182" t="inlineStr">
        <is>
          <t>汾阳市峪河新能源有限公司</t>
        </is>
      </c>
      <c r="D314" s="182" t="inlineStr">
        <is>
          <t>ZI029E101357</t>
        </is>
      </c>
      <c r="E314" s="182" t="inlineStr">
        <is>
          <t>山西沐光绿能新能源有限公司</t>
        </is>
      </c>
      <c r="F314" s="716" t="n"/>
      <c r="G314" s="716" t="n"/>
      <c r="H314" s="462" t="n"/>
    </row>
    <row r="315">
      <c r="A315" s="672" t="inlineStr">
        <is>
          <t>E101038</t>
        </is>
      </c>
      <c r="B315" s="767">
        <f>ROW()</f>
        <v/>
      </c>
      <c r="C315" s="182" t="inlineStr">
        <is>
          <t>白玉县赠曲河水电开发有限公司</t>
        </is>
      </c>
      <c r="D315" s="182" t="inlineStr">
        <is>
          <t>ZI029E100738</t>
        </is>
      </c>
      <c r="E315" s="182" t="inlineStr">
        <is>
          <t>西藏藏能股份有限公司</t>
        </is>
      </c>
      <c r="F315" s="716" t="n"/>
      <c r="G315" s="716" t="n"/>
      <c r="H315" s="462" t="n"/>
    </row>
    <row r="316">
      <c r="A316" s="672" t="inlineStr">
        <is>
          <t>E100564</t>
        </is>
      </c>
      <c r="B316" s="767">
        <f>ROW()</f>
        <v/>
      </c>
      <c r="C316" s="182" t="inlineStr">
        <is>
          <t>拜亚拉风电项目公司</t>
        </is>
      </c>
      <c r="D316" s="182" t="inlineStr">
        <is>
          <t>ZI029E100561</t>
        </is>
      </c>
      <c r="E316" s="182" t="inlineStr">
        <is>
          <t>北京京能清洁能源（澳洲）控股有限公司</t>
        </is>
      </c>
      <c r="F316" s="716" t="n"/>
      <c r="G316" s="716" t="n"/>
      <c r="H316" s="462" t="n"/>
    </row>
    <row r="317">
      <c r="A317" s="672" t="inlineStr">
        <is>
          <t>E100745</t>
        </is>
      </c>
      <c r="B317" s="767">
        <f>ROW()</f>
        <v/>
      </c>
      <c r="C317" s="182" t="inlineStr">
        <is>
          <t>包头市京能新能源科技有限公司</t>
        </is>
      </c>
      <c r="D317" s="182" t="inlineStr">
        <is>
          <t>ZI029E100145</t>
        </is>
      </c>
      <c r="E317" s="182" t="inlineStr">
        <is>
          <t>北京京能电力股份有限公司</t>
        </is>
      </c>
      <c r="F317" s="716" t="n"/>
      <c r="G317" s="716" t="n"/>
      <c r="H317" s="462" t="n"/>
    </row>
    <row r="318">
      <c r="A318" s="672" t="inlineStr">
        <is>
          <t>E101323</t>
        </is>
      </c>
      <c r="B318" s="767">
        <f>ROW()</f>
        <v/>
      </c>
      <c r="C318" s="182" t="inlineStr">
        <is>
          <t>北京京能大成新能源有限公司</t>
        </is>
      </c>
      <c r="D318" s="182" t="inlineStr">
        <is>
          <t>ZI029E100145</t>
        </is>
      </c>
      <c r="E318" s="182" t="inlineStr">
        <is>
          <t>北京京能电力股份有限公司</t>
        </is>
      </c>
      <c r="F318" s="716" t="n"/>
      <c r="G318" s="716" t="n"/>
      <c r="H318" s="462" t="n"/>
    </row>
    <row r="319">
      <c r="A319" s="672" t="inlineStr">
        <is>
          <t>E100217</t>
        </is>
      </c>
      <c r="B319" s="767">
        <f>ROW()</f>
        <v/>
      </c>
      <c r="C319" s="182" t="inlineStr">
        <is>
          <t>包头市盛华煤炭销售有限公司</t>
        </is>
      </c>
      <c r="D319" s="182" t="inlineStr">
        <is>
          <t>ZI029E100000</t>
        </is>
      </c>
      <c r="E319" s="182" t="inlineStr">
        <is>
          <t>北京能源集团有限责任公司</t>
        </is>
      </c>
      <c r="F319" s="716" t="n"/>
      <c r="G319" s="716" t="n"/>
      <c r="H319" s="462" t="n"/>
    </row>
    <row r="320">
      <c r="A320" s="672" t="inlineStr">
        <is>
          <t>E100447</t>
        </is>
      </c>
      <c r="B320" s="767">
        <f>ROW()</f>
        <v/>
      </c>
      <c r="C320" s="182" t="inlineStr">
        <is>
          <t>保定市金泰宏孚房地产开发有限公司</t>
        </is>
      </c>
      <c r="D320" s="182" t="inlineStr">
        <is>
          <t>ZI029E100421</t>
        </is>
      </c>
      <c r="E320" s="182" t="inlineStr">
        <is>
          <t>北京金泰房地产开发有限责任公司</t>
        </is>
      </c>
      <c r="F320" s="716" t="n"/>
      <c r="G320" s="716" t="n"/>
      <c r="H320" s="462" t="n"/>
    </row>
    <row r="321">
      <c r="A321" s="672" t="inlineStr">
        <is>
          <t>E100311</t>
        </is>
      </c>
      <c r="B321" s="767">
        <f>ROW()</f>
        <v/>
      </c>
      <c r="C321" s="182" t="inlineStr">
        <is>
          <t>北京奥之旅汽车销售服务有限公司</t>
        </is>
      </c>
      <c r="D321" s="182" t="inlineStr">
        <is>
          <t>ZI029E100353</t>
        </is>
      </c>
      <c r="E321" s="182" t="inlineStr">
        <is>
          <t>北京京能房产租赁经营有限责任公司</t>
        </is>
      </c>
      <c r="F321" s="716" t="n"/>
      <c r="G321" s="716" t="n"/>
      <c r="H321" s="462" t="n"/>
    </row>
    <row r="322">
      <c r="A322" s="672" t="inlineStr">
        <is>
          <t>E100406</t>
        </is>
      </c>
      <c r="B322" s="767">
        <f>ROW()</f>
        <v/>
      </c>
      <c r="C322" s="182" t="inlineStr">
        <is>
          <t>北京博尔节能设备技术开发有限责任公司</t>
        </is>
      </c>
      <c r="D322" s="182" t="inlineStr">
        <is>
          <t>ZI029E100405</t>
        </is>
      </c>
      <c r="E322" s="182" t="inlineStr">
        <is>
          <t>北京高新技术创业投资有限公司</t>
        </is>
      </c>
      <c r="F322" s="716" t="n"/>
      <c r="G322" s="716" t="n"/>
      <c r="H322" s="462" t="n"/>
    </row>
    <row r="323">
      <c r="A323" s="672" t="inlineStr">
        <is>
          <t>E100406</t>
        </is>
      </c>
      <c r="B323" s="767">
        <f>ROW()</f>
        <v/>
      </c>
      <c r="C323" s="182" t="inlineStr">
        <is>
          <t>北京博尔节能设备技术开发有限责任公司</t>
        </is>
      </c>
      <c r="D323" s="182" t="inlineStr">
        <is>
          <t>ZI029E100371</t>
        </is>
      </c>
      <c r="E323" s="182" t="inlineStr">
        <is>
          <t>北京京能科技有限公司</t>
        </is>
      </c>
      <c r="F323" s="716" t="n"/>
      <c r="G323" s="716" t="n"/>
      <c r="H323" s="462" t="n"/>
    </row>
    <row r="324">
      <c r="A324" s="672" t="inlineStr">
        <is>
          <t>E100406</t>
        </is>
      </c>
      <c r="B324" s="767">
        <f>ROW()</f>
        <v/>
      </c>
      <c r="C324" s="182" t="inlineStr">
        <is>
          <t>北京博尔节能设备技术开发有限责任公司</t>
        </is>
      </c>
      <c r="D324" s="182" t="inlineStr">
        <is>
          <t>ZI029E100222</t>
        </is>
      </c>
      <c r="E324" s="182" t="inlineStr">
        <is>
          <t>北京市热力集团有限责任公司</t>
        </is>
      </c>
      <c r="F324" s="716" t="n"/>
      <c r="G324" s="716" t="n"/>
      <c r="H324" s="462" t="n"/>
    </row>
    <row r="325">
      <c r="A325" s="672" t="inlineStr">
        <is>
          <t>E100814</t>
        </is>
      </c>
      <c r="B325" s="767">
        <f>ROW()</f>
        <v/>
      </c>
      <c r="C325" s="182" t="inlineStr">
        <is>
          <t>北京诚和敬投资有限责任公司</t>
        </is>
      </c>
      <c r="D325" s="182" t="inlineStr">
        <is>
          <t>ZI029E100776</t>
        </is>
      </c>
      <c r="E325" s="182" t="inlineStr">
        <is>
          <t>北京健康养老集团有限公司</t>
        </is>
      </c>
      <c r="F325" s="716" t="n"/>
      <c r="G325" s="716" t="n"/>
      <c r="H325" s="462" t="n"/>
    </row>
    <row r="326">
      <c r="A326" s="672" t="inlineStr">
        <is>
          <t>E100859</t>
        </is>
      </c>
      <c r="B326" s="767">
        <f>ROW()</f>
        <v/>
      </c>
      <c r="C326" s="182" t="inlineStr">
        <is>
          <t>北京诚和敬驿站养老服务有限公司</t>
        </is>
      </c>
      <c r="D326" s="182" t="inlineStr">
        <is>
          <t>ZI029E100814</t>
        </is>
      </c>
      <c r="E326" s="182" t="inlineStr">
        <is>
          <t>北京诚和敬投资有限责任公司</t>
        </is>
      </c>
      <c r="F326" s="716" t="n"/>
      <c r="G326" s="716" t="n"/>
      <c r="H326" s="462" t="n"/>
    </row>
    <row r="327">
      <c r="A327" s="672" t="inlineStr">
        <is>
          <t>E100274</t>
        </is>
      </c>
      <c r="B327" s="767">
        <f>ROW()</f>
        <v/>
      </c>
      <c r="C327" s="182" t="inlineStr">
        <is>
          <t>北京乘美乡居文化旅游发展有限公司</t>
        </is>
      </c>
      <c r="D327" s="182" t="inlineStr">
        <is>
          <t>ZI029E100268</t>
        </is>
      </c>
      <c r="E327" s="182" t="inlineStr">
        <is>
          <t>北京京煤集团有限责任公司</t>
        </is>
      </c>
      <c r="F327" s="716" t="n"/>
      <c r="G327" s="716" t="n"/>
      <c r="H327" s="462" t="n"/>
    </row>
    <row r="328">
      <c r="A328" s="672" t="inlineStr">
        <is>
          <t>E100274</t>
        </is>
      </c>
      <c r="B328" s="767">
        <f>ROW()</f>
        <v/>
      </c>
      <c r="C328" s="182" t="inlineStr">
        <is>
          <t>北京乘美乡居文化旅游发展有限公司</t>
        </is>
      </c>
      <c r="D328" s="182" t="inlineStr">
        <is>
          <t>ZI029E100320</t>
        </is>
      </c>
      <c r="E328" s="182" t="inlineStr">
        <is>
          <t>北京市天创房地产开发有限公司</t>
        </is>
      </c>
      <c r="F328" s="716" t="n"/>
      <c r="G328" s="716" t="n"/>
      <c r="H328" s="462" t="n"/>
    </row>
    <row r="329">
      <c r="A329" s="672" t="inlineStr">
        <is>
          <t>E100328</t>
        </is>
      </c>
      <c r="B329" s="767">
        <f>ROW()</f>
        <v/>
      </c>
      <c r="C329" s="182" t="inlineStr">
        <is>
          <t>北京稻香村花市食品有限责任公司</t>
        </is>
      </c>
      <c r="D329" s="182" t="inlineStr">
        <is>
          <t>ZI029E100353</t>
        </is>
      </c>
      <c r="E329" s="182" t="inlineStr">
        <is>
          <t>北京京能房产租赁经营有限责任公司</t>
        </is>
      </c>
      <c r="F329" s="716" t="n"/>
      <c r="G329" s="716" t="n"/>
      <c r="H329" s="462" t="n"/>
    </row>
    <row r="330">
      <c r="A330" s="672" t="inlineStr">
        <is>
          <t>E100405</t>
        </is>
      </c>
      <c r="B330" s="767">
        <f>ROW()</f>
        <v/>
      </c>
      <c r="C330" s="182" t="inlineStr">
        <is>
          <t>北京高新技术创业投资有限公司</t>
        </is>
      </c>
      <c r="D330" s="182" t="inlineStr">
        <is>
          <t>ZI029E100000</t>
        </is>
      </c>
      <c r="E330" s="182" t="inlineStr">
        <is>
          <t>北京能源集团有限责任公司</t>
        </is>
      </c>
      <c r="F330" s="716" t="n"/>
      <c r="G330" s="716" t="n"/>
      <c r="H330" s="462" t="n"/>
    </row>
    <row r="331">
      <c r="A331" s="672" t="inlineStr">
        <is>
          <t>E100405</t>
        </is>
      </c>
      <c r="B331" s="767">
        <f>ROW()</f>
        <v/>
      </c>
      <c r="C331" s="182" t="inlineStr">
        <is>
          <t>北京高新技术创业投资有限公司</t>
        </is>
      </c>
      <c r="D331" s="182" t="inlineStr">
        <is>
          <t>ZI029E100371</t>
        </is>
      </c>
      <c r="E331" s="182" t="inlineStr">
        <is>
          <t>北京京能科技有限公司</t>
        </is>
      </c>
      <c r="F331" s="716" t="n"/>
      <c r="G331" s="716" t="n"/>
      <c r="H331" s="462" t="n"/>
    </row>
    <row r="332">
      <c r="A332" s="672" t="inlineStr">
        <is>
          <t>E100425</t>
        </is>
      </c>
      <c r="B332" s="767">
        <f>ROW()</f>
        <v/>
      </c>
      <c r="C332" s="182" t="inlineStr">
        <is>
          <t>北京国电房地产开发有限公司</t>
        </is>
      </c>
      <c r="D332" s="182" t="inlineStr">
        <is>
          <t>ZI029E100420</t>
        </is>
      </c>
      <c r="E332" s="182" t="inlineStr">
        <is>
          <t>京能置业股份有限公司</t>
        </is>
      </c>
      <c r="F332" s="716" t="n"/>
      <c r="G332" s="716" t="n"/>
      <c r="H332" s="462" t="n"/>
    </row>
    <row r="333">
      <c r="A333" s="672" t="inlineStr">
        <is>
          <t>E100425</t>
        </is>
      </c>
      <c r="B333" s="767">
        <f>ROW()</f>
        <v/>
      </c>
      <c r="C333" s="182" t="inlineStr">
        <is>
          <t>北京国电房地产开发有限公司</t>
        </is>
      </c>
      <c r="D333" s="182" t="inlineStr">
        <is>
          <t>ZI029E100000</t>
        </is>
      </c>
      <c r="E333" s="182" t="inlineStr">
        <is>
          <t>北京能源集团有限责任公司</t>
        </is>
      </c>
      <c r="F333" s="716" t="n"/>
      <c r="G333" s="716" t="n"/>
      <c r="H333" s="462" t="n"/>
    </row>
    <row r="334">
      <c r="A334" s="672" t="inlineStr">
        <is>
          <t>E100941</t>
        </is>
      </c>
      <c r="B334" s="767">
        <f>ROW()</f>
        <v/>
      </c>
      <c r="C334" s="182" t="inlineStr">
        <is>
          <t>北京国电盛唐科技发展有限公司</t>
        </is>
      </c>
      <c r="D334" s="182" t="inlineStr">
        <is>
          <t>ZI029E100730</t>
        </is>
      </c>
      <c r="E334" s="182" t="inlineStr">
        <is>
          <t>京能国际能源发展（北京）有限公司</t>
        </is>
      </c>
      <c r="F334" s="716" t="n"/>
      <c r="G334" s="716" t="n"/>
      <c r="H334" s="462" t="n"/>
    </row>
    <row r="335">
      <c r="A335" s="672" t="inlineStr">
        <is>
          <t>E100197</t>
        </is>
      </c>
      <c r="B335" s="767">
        <f>ROW()</f>
        <v/>
      </c>
      <c r="C335" s="182" t="inlineStr">
        <is>
          <t>北京国际电气工程有限责任公司</t>
        </is>
      </c>
      <c r="D335" s="182" t="inlineStr">
        <is>
          <t>ZI029E100000</t>
        </is>
      </c>
      <c r="E335" s="182" t="inlineStr">
        <is>
          <t>北京能源集团有限责任公司</t>
        </is>
      </c>
      <c r="F335" s="716" t="n"/>
      <c r="G335" s="716" t="n"/>
      <c r="H335" s="462" t="n"/>
    </row>
    <row r="336">
      <c r="A336" s="672" t="inlineStr">
        <is>
          <t>E100201</t>
        </is>
      </c>
      <c r="B336" s="767">
        <f>ROW()</f>
        <v/>
      </c>
      <c r="C336" s="182" t="inlineStr">
        <is>
          <t>北京昊华能源股份有限公司</t>
        </is>
      </c>
      <c r="D336" s="182" t="inlineStr">
        <is>
          <t>ZI029E100000</t>
        </is>
      </c>
      <c r="E336" s="182" t="inlineStr">
        <is>
          <t>北京能源集团有限责任公司</t>
        </is>
      </c>
      <c r="F336" s="716" t="n"/>
      <c r="G336" s="716" t="n"/>
      <c r="H336" s="462" t="n"/>
    </row>
    <row r="337">
      <c r="A337" s="672" t="inlineStr">
        <is>
          <t>E100201G</t>
        </is>
      </c>
      <c r="B337" s="767">
        <f>ROW()</f>
        <v/>
      </c>
      <c r="C337" s="182" t="inlineStr">
        <is>
          <t>北京昊华能源股份有限公司（合并）</t>
        </is>
      </c>
      <c r="D337" s="182" t="inlineStr">
        <is>
          <t>ZI029E100000</t>
        </is>
      </c>
      <c r="E337" s="182" t="inlineStr">
        <is>
          <t>北京能源集团有限责任公司</t>
        </is>
      </c>
      <c r="F337" s="716" t="n"/>
      <c r="G337" s="716" t="n"/>
      <c r="H337" s="462" t="n"/>
    </row>
    <row r="338">
      <c r="A338" s="672" t="inlineStr">
        <is>
          <t>E100201H</t>
        </is>
      </c>
      <c r="B338" s="767">
        <f>ROW()</f>
        <v/>
      </c>
      <c r="C338" s="182" t="inlineStr">
        <is>
          <t>北京昊华能源股份有限公司（母公司）</t>
        </is>
      </c>
      <c r="D338" s="182" t="inlineStr">
        <is>
          <t>ZI029E100000</t>
        </is>
      </c>
      <c r="E338" s="182" t="inlineStr">
        <is>
          <t>北京能源集团有限责任公司</t>
        </is>
      </c>
      <c r="F338" s="716" t="n"/>
      <c r="G338" s="716" t="n"/>
      <c r="H338" s="462" t="n"/>
    </row>
    <row r="339">
      <c r="A339" s="672" t="inlineStr">
        <is>
          <t>E100210</t>
        </is>
      </c>
      <c r="B339" s="767">
        <f>ROW()</f>
        <v/>
      </c>
      <c r="C339" s="182" t="inlineStr">
        <is>
          <t>北京昊华鑫达商贸有限公司</t>
        </is>
      </c>
      <c r="D339" s="182" t="inlineStr">
        <is>
          <t>ZI029E100201</t>
        </is>
      </c>
      <c r="E339" s="182" t="inlineStr">
        <is>
          <t>北京昊华能源股份有限公司</t>
        </is>
      </c>
      <c r="F339" s="716" t="n"/>
      <c r="G339" s="716" t="n"/>
      <c r="H339" s="462" t="n"/>
    </row>
    <row r="340">
      <c r="A340" s="672" t="inlineStr">
        <is>
          <t>E100434</t>
        </is>
      </c>
      <c r="B340" s="767">
        <f>ROW()</f>
        <v/>
      </c>
      <c r="C340" s="182" t="inlineStr">
        <is>
          <t>北京昊泰房地产开发有限公司</t>
        </is>
      </c>
      <c r="D340" s="182" t="inlineStr">
        <is>
          <t>ZI029E100268</t>
        </is>
      </c>
      <c r="E340" s="182" t="inlineStr">
        <is>
          <t>北京京煤集团有限责任公司</t>
        </is>
      </c>
      <c r="F340" s="716" t="n"/>
      <c r="G340" s="716" t="n"/>
      <c r="H340" s="462" t="n"/>
    </row>
    <row r="341">
      <c r="A341" s="672" t="inlineStr">
        <is>
          <t>E100255</t>
        </is>
      </c>
      <c r="B341" s="767">
        <f>ROW()</f>
        <v/>
      </c>
      <c r="C341" s="182" t="inlineStr">
        <is>
          <t>北京华热科技发展有限公司</t>
        </is>
      </c>
      <c r="D341" s="182" t="inlineStr">
        <is>
          <t>ZI029E100222</t>
        </is>
      </c>
      <c r="E341" s="182" t="inlineStr">
        <is>
          <t>北京市热力集团有限责任公司</t>
        </is>
      </c>
      <c r="F341" s="716" t="n"/>
      <c r="G341" s="716" t="n"/>
      <c r="H341" s="462" t="n"/>
    </row>
    <row r="342">
      <c r="A342" s="672" t="inlineStr">
        <is>
          <t>E101057</t>
        </is>
      </c>
      <c r="B342" s="767">
        <f>ROW()</f>
        <v/>
      </c>
      <c r="C342" s="182" t="inlineStr">
        <is>
          <t>北京华通兴远节能技术有限公司</t>
        </is>
      </c>
      <c r="D342" s="182" t="inlineStr">
        <is>
          <t>ZI029E101054</t>
        </is>
      </c>
      <c r="E342" s="182" t="inlineStr">
        <is>
          <t>北京京能热力股份有限公司</t>
        </is>
      </c>
      <c r="F342" s="716" t="n"/>
      <c r="G342" s="716" t="n"/>
      <c r="H342" s="462" t="n"/>
    </row>
    <row r="343">
      <c r="A343" s="672" t="inlineStr">
        <is>
          <t>E101056</t>
        </is>
      </c>
      <c r="B343" s="767">
        <f>ROW()</f>
        <v/>
      </c>
      <c r="C343" s="182" t="inlineStr">
        <is>
          <t>北京华意龙达科技发展有限公司</t>
        </is>
      </c>
      <c r="D343" s="182" t="inlineStr">
        <is>
          <t>ZI029E101054</t>
        </is>
      </c>
      <c r="E343" s="182" t="inlineStr">
        <is>
          <t>北京京能热力股份有限公司</t>
        </is>
      </c>
      <c r="F343" s="716" t="n"/>
      <c r="G343" s="716" t="n"/>
      <c r="H343" s="182" t="n"/>
    </row>
    <row r="344">
      <c r="A344" s="672" t="inlineStr">
        <is>
          <t>E101056G</t>
        </is>
      </c>
      <c r="B344" s="767">
        <f>ROW()</f>
        <v/>
      </c>
      <c r="C344" s="182" t="inlineStr">
        <is>
          <t>北京华意龙达科技发展有限公司（合并）</t>
        </is>
      </c>
      <c r="D344" s="182" t="inlineStr">
        <is>
          <t>ZI029E101054</t>
        </is>
      </c>
      <c r="E344" s="182" t="inlineStr">
        <is>
          <t>北京京能热力股份有限公司</t>
        </is>
      </c>
      <c r="F344" s="716" t="n"/>
      <c r="G344" s="716" t="n"/>
      <c r="H344" s="462" t="n"/>
    </row>
    <row r="345">
      <c r="A345" s="672" t="inlineStr">
        <is>
          <t>E101316</t>
        </is>
      </c>
      <c r="B345" s="767">
        <f>ROW()</f>
        <v/>
      </c>
      <c r="C345" s="182" t="inlineStr">
        <is>
          <t>北京京能未来能源科技有限公司</t>
        </is>
      </c>
      <c r="D345" s="182" t="inlineStr">
        <is>
          <t>ZI029E101054</t>
        </is>
      </c>
      <c r="E345" s="182" t="inlineStr">
        <is>
          <t>北京京能热力股份有限公司</t>
        </is>
      </c>
      <c r="F345" s="716" t="n"/>
      <c r="G345" s="716" t="n"/>
      <c r="H345" s="462" t="n"/>
    </row>
    <row r="346">
      <c r="A346" s="672" t="inlineStr">
        <is>
          <t>E100407</t>
        </is>
      </c>
      <c r="B346" s="767">
        <f>ROW()</f>
        <v/>
      </c>
      <c r="C346" s="182" t="inlineStr">
        <is>
          <t>北京华源高洁能源供应技术有限责任公司</t>
        </is>
      </c>
      <c r="D346" s="182" t="inlineStr">
        <is>
          <t>ZI029E100405</t>
        </is>
      </c>
      <c r="E346" s="182" t="inlineStr">
        <is>
          <t>北京高新技术创业投资有限公司</t>
        </is>
      </c>
      <c r="F346" s="716" t="n"/>
      <c r="G346" s="716" t="n"/>
      <c r="H346" s="462" t="n"/>
    </row>
    <row r="347">
      <c r="A347" s="672" t="inlineStr">
        <is>
          <t>E100407</t>
        </is>
      </c>
      <c r="B347" s="767">
        <f>ROW()</f>
        <v/>
      </c>
      <c r="C347" s="182" t="inlineStr">
        <is>
          <t>北京华源高洁能源供应技术有限责任公司</t>
        </is>
      </c>
      <c r="D347" s="182" t="inlineStr">
        <is>
          <t>ZI029E100371</t>
        </is>
      </c>
      <c r="E347" s="182" t="inlineStr">
        <is>
          <t>北京京能科技有限公司</t>
        </is>
      </c>
      <c r="F347" s="716" t="n"/>
      <c r="G347" s="716" t="n"/>
      <c r="H347" s="462" t="n"/>
    </row>
    <row r="348">
      <c r="A348" s="672" t="inlineStr">
        <is>
          <t>E101058</t>
        </is>
      </c>
      <c r="B348" s="767">
        <f>ROW()</f>
        <v/>
      </c>
      <c r="C348" s="182" t="inlineStr">
        <is>
          <t>北京华远意通节能科技发展有限公司</t>
        </is>
      </c>
      <c r="D348" s="182" t="inlineStr">
        <is>
          <t>ZI029E101054</t>
        </is>
      </c>
      <c r="E348" s="182" t="inlineStr">
        <is>
          <t>北京京能热力股份有限公司</t>
        </is>
      </c>
      <c r="F348" s="716" t="n"/>
      <c r="G348" s="716" t="n"/>
      <c r="H348" s="462" t="n"/>
    </row>
    <row r="349">
      <c r="A349" s="672" t="inlineStr">
        <is>
          <t>E101054</t>
        </is>
      </c>
      <c r="B349" s="767">
        <f>ROW()</f>
        <v/>
      </c>
      <c r="C349" s="182" t="inlineStr">
        <is>
          <t>北京华远意通热力科技股份有限公司</t>
        </is>
      </c>
      <c r="D349" s="182" t="inlineStr">
        <is>
          <t>ZI029E100000</t>
        </is>
      </c>
      <c r="E349" s="182" t="inlineStr">
        <is>
          <t>北京能源集团有限责任公司</t>
        </is>
      </c>
      <c r="F349" s="716" t="n"/>
      <c r="G349" s="716" t="n"/>
      <c r="H349" s="462" t="n"/>
    </row>
    <row r="350">
      <c r="A350" s="672" t="inlineStr">
        <is>
          <t>E101054G</t>
        </is>
      </c>
      <c r="B350" s="767">
        <f>ROW()</f>
        <v/>
      </c>
      <c r="C350" s="182" t="inlineStr">
        <is>
          <t>北京华远意通热力科技股份有限公司（合并）</t>
        </is>
      </c>
      <c r="D350" s="182" t="inlineStr">
        <is>
          <t>ZI029E100000</t>
        </is>
      </c>
      <c r="E350" s="182" t="inlineStr">
        <is>
          <t>北京能源集团有限责任公司</t>
        </is>
      </c>
      <c r="F350" s="716" t="n"/>
      <c r="G350" s="716" t="n"/>
      <c r="H350" s="462" t="n"/>
    </row>
    <row r="351">
      <c r="A351" s="672" t="inlineStr">
        <is>
          <t>E101054H</t>
        </is>
      </c>
      <c r="B351" s="767">
        <f>ROW()</f>
        <v/>
      </c>
      <c r="C351" s="182" t="inlineStr">
        <is>
          <t>北京华远意通热力科技股份有限公司（母公司）</t>
        </is>
      </c>
      <c r="D351" s="182" t="inlineStr">
        <is>
          <t>ZI029E101054</t>
        </is>
      </c>
      <c r="E351" s="182" t="inlineStr">
        <is>
          <t>北京京能热力股份有限公司</t>
        </is>
      </c>
      <c r="F351" s="716" t="n"/>
      <c r="G351" s="716" t="n"/>
      <c r="H351" s="462" t="n"/>
    </row>
    <row r="352">
      <c r="A352" s="672" t="inlineStr">
        <is>
          <t>E101055</t>
        </is>
      </c>
      <c r="B352" s="767">
        <f>ROW()</f>
        <v/>
      </c>
      <c r="C352" s="182" t="inlineStr">
        <is>
          <t>北京华远意通热力科技股份有限公司平谷分公司</t>
        </is>
      </c>
      <c r="D352" s="182" t="inlineStr">
        <is>
          <t>ZI029E101054</t>
        </is>
      </c>
      <c r="E352" s="182" t="inlineStr">
        <is>
          <t>北京京能热力股份有限公司</t>
        </is>
      </c>
      <c r="F352" s="716" t="n"/>
      <c r="G352" s="716" t="n"/>
      <c r="H352" s="462" t="n"/>
    </row>
    <row r="353">
      <c r="A353" s="672" t="inlineStr">
        <is>
          <t>E100451</t>
        </is>
      </c>
      <c r="B353" s="767">
        <f>ROW()</f>
        <v/>
      </c>
      <c r="C353" s="182" t="inlineStr">
        <is>
          <t>北京吉平劳务分包有限公司</t>
        </is>
      </c>
      <c r="D353" s="182" t="inlineStr">
        <is>
          <t>ZI029E100422</t>
        </is>
      </c>
      <c r="E353" s="182" t="inlineStr">
        <is>
          <t>北京京能建设集团有限公司</t>
        </is>
      </c>
      <c r="F353" s="716" t="n"/>
      <c r="G353" s="716" t="n"/>
      <c r="H353" s="462" t="n"/>
    </row>
    <row r="354">
      <c r="A354" s="672" t="inlineStr">
        <is>
          <t>E100776</t>
        </is>
      </c>
      <c r="B354" s="767">
        <f>ROW()</f>
        <v/>
      </c>
      <c r="C354" s="182" t="inlineStr">
        <is>
          <t>北京健康养老集团有限公司</t>
        </is>
      </c>
      <c r="D354" s="182" t="inlineStr">
        <is>
          <t>ZI029E100000</t>
        </is>
      </c>
      <c r="E354" s="182" t="inlineStr">
        <is>
          <t>北京能源集团有限责任公司</t>
        </is>
      </c>
      <c r="F354" s="716" t="n"/>
      <c r="G354" s="716" t="n"/>
      <c r="H354" s="462" t="n"/>
    </row>
    <row r="355">
      <c r="A355" s="672" t="inlineStr">
        <is>
          <t>E100377</t>
        </is>
      </c>
      <c r="B355" s="767">
        <f>ROW()</f>
        <v/>
      </c>
      <c r="C355" s="182" t="inlineStr">
        <is>
          <t>北京节能技术监测中心</t>
        </is>
      </c>
      <c r="D355" s="182" t="inlineStr">
        <is>
          <t>ZI029E100371</t>
        </is>
      </c>
      <c r="E355" s="182" t="inlineStr">
        <is>
          <t>北京京能科技有限公司</t>
        </is>
      </c>
      <c r="F355" s="716" t="n"/>
      <c r="G355" s="716" t="n"/>
      <c r="H355" s="462" t="n"/>
    </row>
    <row r="356">
      <c r="A356" s="672" t="inlineStr">
        <is>
          <t>E100237</t>
        </is>
      </c>
      <c r="B356" s="767">
        <f>ROW()</f>
        <v/>
      </c>
      <c r="C356" s="182" t="inlineStr">
        <is>
          <t>北京金光眼特种设备检验检测有限公司</t>
        </is>
      </c>
      <c r="D356" s="182" t="inlineStr">
        <is>
          <t>ZI029E100222</t>
        </is>
      </c>
      <c r="E356" s="182" t="inlineStr">
        <is>
          <t>北京市热力集团有限责任公司</t>
        </is>
      </c>
      <c r="F356" s="716" t="n"/>
      <c r="G356" s="716" t="n"/>
      <c r="H356" s="462" t="n"/>
    </row>
    <row r="357">
      <c r="A357" s="672" t="inlineStr">
        <is>
          <t>E100257</t>
        </is>
      </c>
      <c r="B357" s="767">
        <f>ROW()</f>
        <v/>
      </c>
      <c r="C357" s="182" t="inlineStr">
        <is>
          <t>北京金马特诚供暖有限责任公司</t>
        </is>
      </c>
      <c r="D357" s="182" t="inlineStr">
        <is>
          <t>ZI029E100245</t>
        </is>
      </c>
      <c r="E357" s="182" t="inlineStr">
        <is>
          <t>北京市特诚热力有限责任公司</t>
        </is>
      </c>
      <c r="F357" s="716" t="n"/>
      <c r="G357" s="716" t="n"/>
      <c r="H357" s="462" t="n"/>
    </row>
    <row r="358">
      <c r="A358" s="672" t="inlineStr">
        <is>
          <t>E100446</t>
        </is>
      </c>
      <c r="B358" s="767">
        <f>ROW()</f>
        <v/>
      </c>
      <c r="C358" s="182" t="inlineStr">
        <is>
          <t>北京金泰（辽宁）房地产开发有限责任公司</t>
        </is>
      </c>
      <c r="D358" s="182" t="inlineStr">
        <is>
          <t>ZI029E100421</t>
        </is>
      </c>
      <c r="E358" s="182" t="inlineStr">
        <is>
          <t>北京金泰房地产开发有限责任公司</t>
        </is>
      </c>
      <c r="F358" s="716" t="n"/>
      <c r="G358" s="716" t="n"/>
      <c r="H358" s="462" t="n"/>
    </row>
    <row r="359">
      <c r="A359" s="672" t="inlineStr">
        <is>
          <t>E100327</t>
        </is>
      </c>
      <c r="B359" s="767">
        <f>ROW()</f>
        <v/>
      </c>
      <c r="C359" s="182" t="inlineStr">
        <is>
          <t>北京金泰诚信经贸有限公司</t>
        </is>
      </c>
      <c r="D359" s="182" t="inlineStr">
        <is>
          <t>ZI029E100353</t>
        </is>
      </c>
      <c r="E359" s="182" t="inlineStr">
        <is>
          <t>北京京能房产租赁经营有限责任公司</t>
        </is>
      </c>
      <c r="F359" s="716" t="n"/>
      <c r="G359" s="716" t="n"/>
      <c r="H359" s="462" t="n"/>
    </row>
    <row r="360">
      <c r="A360" s="672" t="inlineStr">
        <is>
          <t>E100421</t>
        </is>
      </c>
      <c r="B360" s="767">
        <f>ROW()</f>
        <v/>
      </c>
      <c r="C360" s="182" t="inlineStr">
        <is>
          <t>北京金泰房地产开发有限责任公司</t>
        </is>
      </c>
      <c r="D360" s="182" t="inlineStr">
        <is>
          <t>ZI029E100000</t>
        </is>
      </c>
      <c r="E360" s="182" t="inlineStr">
        <is>
          <t>北京能源集团有限责任公司</t>
        </is>
      </c>
      <c r="F360" s="716" t="n"/>
      <c r="G360" s="716" t="n"/>
      <c r="H360" s="462" t="n"/>
    </row>
    <row r="361">
      <c r="A361" s="672" t="inlineStr">
        <is>
          <t>E100299</t>
        </is>
      </c>
      <c r="B361" s="767">
        <f>ROW()</f>
        <v/>
      </c>
      <c r="C361" s="182" t="inlineStr">
        <is>
          <t>北京金泰福龙餐饮有限公司</t>
        </is>
      </c>
      <c r="D361" s="182" t="inlineStr">
        <is>
          <t>ZI029E100293</t>
        </is>
      </c>
      <c r="E361" s="182" t="inlineStr">
        <is>
          <t>北京京能酒店管理有限公司</t>
        </is>
      </c>
      <c r="F361" s="716" t="n"/>
      <c r="G361" s="716" t="n"/>
      <c r="H361" s="462" t="n"/>
    </row>
    <row r="362">
      <c r="A362" s="672" t="inlineStr">
        <is>
          <t>E100364</t>
        </is>
      </c>
      <c r="B362" s="767">
        <f>ROW()</f>
        <v/>
      </c>
      <c r="C362" s="182" t="inlineStr">
        <is>
          <t>北京金泰港物流有限公司</t>
        </is>
      </c>
      <c r="D362" s="182" t="inlineStr">
        <is>
          <t>ZI029E100268</t>
        </is>
      </c>
      <c r="E362" s="182" t="inlineStr">
        <is>
          <t>北京京煤集团有限责任公司</t>
        </is>
      </c>
      <c r="F362" s="716" t="n"/>
      <c r="G362" s="716" t="n"/>
      <c r="H362" s="462" t="n"/>
    </row>
    <row r="363">
      <c r="A363" s="672" t="inlineStr">
        <is>
          <t>E100294</t>
        </is>
      </c>
      <c r="B363" s="767">
        <f>ROW()</f>
        <v/>
      </c>
      <c r="C363" s="182" t="inlineStr">
        <is>
          <t>北京金泰国际会展有限公司</t>
        </is>
      </c>
      <c r="D363" s="182" t="inlineStr">
        <is>
          <t>ZI029E100293</t>
        </is>
      </c>
      <c r="E363" s="182" t="inlineStr">
        <is>
          <t>北京京能酒店管理有限公司</t>
        </is>
      </c>
      <c r="F363" s="716" t="n"/>
      <c r="G363" s="716" t="n"/>
      <c r="H363" s="462" t="n"/>
    </row>
    <row r="364">
      <c r="A364" s="672" t="inlineStr">
        <is>
          <t>E100294G</t>
        </is>
      </c>
      <c r="B364" s="767">
        <f>ROW()</f>
        <v/>
      </c>
      <c r="C364" s="182" t="inlineStr">
        <is>
          <t>北京金泰国际会展有限公司（合并）</t>
        </is>
      </c>
      <c r="D364" s="182" t="inlineStr">
        <is>
          <t>ZI029E100293</t>
        </is>
      </c>
      <c r="E364" s="182" t="inlineStr">
        <is>
          <t>北京京能酒店管理有限公司</t>
        </is>
      </c>
      <c r="F364" s="716" t="n"/>
      <c r="G364" s="716" t="n"/>
      <c r="H364" s="462" t="n"/>
    </row>
    <row r="365">
      <c r="A365" s="672" t="inlineStr">
        <is>
          <t>E100294H</t>
        </is>
      </c>
      <c r="B365" s="767">
        <f>ROW()</f>
        <v/>
      </c>
      <c r="C365" s="182" t="inlineStr">
        <is>
          <t>北京金泰国际会展有限公司（母公司）</t>
        </is>
      </c>
      <c r="D365" s="182" t="inlineStr">
        <is>
          <t>ZI029E100293</t>
        </is>
      </c>
      <c r="E365" s="182" t="inlineStr">
        <is>
          <t>北京京能酒店管理有限公司</t>
        </is>
      </c>
      <c r="F365" s="716" t="n"/>
      <c r="G365" s="716" t="n"/>
      <c r="H365" s="462" t="n"/>
    </row>
    <row r="366">
      <c r="A366" s="672" t="inlineStr">
        <is>
          <t>E100349</t>
        </is>
      </c>
      <c r="B366" s="767">
        <f>ROW()</f>
        <v/>
      </c>
      <c r="C366" s="182" t="inlineStr">
        <is>
          <t>北京金泰恒业晟通商贸有限公司</t>
        </is>
      </c>
      <c r="D366" s="182" t="inlineStr">
        <is>
          <t>ZI029E100353</t>
        </is>
      </c>
      <c r="E366" s="182" t="inlineStr">
        <is>
          <t>北京京能房产租赁经营有限责任公司</t>
        </is>
      </c>
      <c r="F366" s="716" t="n"/>
      <c r="G366" s="716" t="n"/>
      <c r="H366" s="462" t="n"/>
    </row>
    <row r="367">
      <c r="A367" s="672" t="inlineStr">
        <is>
          <t>E100293</t>
        </is>
      </c>
      <c r="B367" s="767">
        <f>ROW()</f>
        <v/>
      </c>
      <c r="C367" s="182" t="inlineStr">
        <is>
          <t>北京京能酒店管理有限公司</t>
        </is>
      </c>
      <c r="D367" s="182" t="inlineStr">
        <is>
          <t>ZI029E100268</t>
        </is>
      </c>
      <c r="E367" s="182" t="inlineStr">
        <is>
          <t>北京京煤集团有限责任公司</t>
        </is>
      </c>
      <c r="F367" s="716" t="n"/>
      <c r="G367" s="716" t="n"/>
      <c r="H367" s="462" t="n"/>
    </row>
    <row r="368">
      <c r="A368" s="672" t="inlineStr">
        <is>
          <t>E100293G</t>
        </is>
      </c>
      <c r="B368" s="767">
        <f>ROW()</f>
        <v/>
      </c>
      <c r="C368" s="182" t="inlineStr">
        <is>
          <t>北京京能酒店管理有限公司（合并）</t>
        </is>
      </c>
      <c r="D368" s="182" t="inlineStr">
        <is>
          <t>ZI029E100268</t>
        </is>
      </c>
      <c r="E368" s="182" t="inlineStr">
        <is>
          <t>北京京煤集团有限责任公司</t>
        </is>
      </c>
      <c r="F368" s="716" t="n"/>
      <c r="G368" s="716" t="n"/>
      <c r="H368" s="462" t="n"/>
    </row>
    <row r="369">
      <c r="A369" s="672" t="inlineStr">
        <is>
          <t>E100293H</t>
        </is>
      </c>
      <c r="B369" s="767">
        <f>ROW()</f>
        <v/>
      </c>
      <c r="C369" s="182" t="inlineStr">
        <is>
          <t>北京京能酒店管理有限公司（母公司）</t>
        </is>
      </c>
      <c r="D369" s="182" t="inlineStr">
        <is>
          <t>ZI029E100268</t>
        </is>
      </c>
      <c r="E369" s="182" t="inlineStr">
        <is>
          <t>北京京煤集团有限责任公司</t>
        </is>
      </c>
      <c r="F369" s="716" t="n"/>
      <c r="G369" s="716" t="n"/>
      <c r="H369" s="462" t="n"/>
    </row>
    <row r="370">
      <c r="A370" s="672" t="inlineStr">
        <is>
          <t>E100314</t>
        </is>
      </c>
      <c r="B370" s="767">
        <f>ROW()</f>
        <v/>
      </c>
      <c r="C370" s="182" t="inlineStr">
        <is>
          <t>北京金泰恒业燃料有限公司</t>
        </is>
      </c>
      <c r="D370" s="182" t="inlineStr">
        <is>
          <t>ZI029E100353</t>
        </is>
      </c>
      <c r="E370" s="182" t="inlineStr">
        <is>
          <t>北京京能房产租赁经营有限责任公司</t>
        </is>
      </c>
      <c r="F370" s="716" t="n"/>
      <c r="G370" s="716" t="n"/>
      <c r="H370" s="462" t="n"/>
    </row>
    <row r="371">
      <c r="A371" s="672" t="inlineStr">
        <is>
          <t>E100298</t>
        </is>
      </c>
      <c r="B371" s="767">
        <f>ROW()</f>
        <v/>
      </c>
      <c r="C371" s="182" t="inlineStr">
        <is>
          <t>北京金泰汇民出租汽车有限公司</t>
        </is>
      </c>
      <c r="D371" s="182" t="inlineStr">
        <is>
          <t>ZI029E100353</t>
        </is>
      </c>
      <c r="E371" s="182" t="inlineStr">
        <is>
          <t>北京京能房产租赁经营有限责任公司</t>
        </is>
      </c>
      <c r="F371" s="716" t="n"/>
      <c r="G371" s="716" t="n"/>
      <c r="H371" s="462" t="n"/>
    </row>
    <row r="372">
      <c r="A372" s="672" t="inlineStr">
        <is>
          <t>E100329</t>
        </is>
      </c>
      <c r="B372" s="767">
        <f>ROW()</f>
        <v/>
      </c>
      <c r="C372" s="182" t="inlineStr">
        <is>
          <t>北京金泰汇通商贸有限公司</t>
        </is>
      </c>
      <c r="D372" s="182" t="inlineStr">
        <is>
          <t>ZI029E100353</t>
        </is>
      </c>
      <c r="E372" s="182" t="inlineStr">
        <is>
          <t>北京京能房产租赁经营有限责任公司</t>
        </is>
      </c>
      <c r="F372" s="716" t="n"/>
      <c r="G372" s="716" t="n"/>
      <c r="H372" s="462" t="n"/>
    </row>
    <row r="373">
      <c r="A373" s="672" t="inlineStr">
        <is>
          <t>E100313</t>
        </is>
      </c>
      <c r="B373" s="767">
        <f>ROW()</f>
        <v/>
      </c>
      <c r="C373" s="182" t="inlineStr">
        <is>
          <t>北京金泰开润旧机动车经纪有限公司</t>
        </is>
      </c>
      <c r="D373" s="182" t="inlineStr">
        <is>
          <t>ZI029E100353</t>
        </is>
      </c>
      <c r="E373" s="182" t="inlineStr">
        <is>
          <t>北京京能房产租赁经营有限责任公司</t>
        </is>
      </c>
      <c r="F373" s="716" t="n"/>
      <c r="G373" s="716" t="n"/>
      <c r="H373" s="462" t="n"/>
    </row>
    <row r="374">
      <c r="A374" s="672" t="inlineStr">
        <is>
          <t>E100308</t>
        </is>
      </c>
      <c r="B374" s="767">
        <f>ROW()</f>
        <v/>
      </c>
      <c r="C374" s="182" t="inlineStr">
        <is>
          <t>北京金泰开元汽车销售服务有限公司</t>
        </is>
      </c>
      <c r="D374" s="182" t="inlineStr">
        <is>
          <t>ZI029E100353</t>
        </is>
      </c>
      <c r="E374" s="182" t="inlineStr">
        <is>
          <t>北京京能房产租赁经营有限责任公司</t>
        </is>
      </c>
      <c r="F374" s="716" t="n"/>
      <c r="G374" s="716" t="n"/>
      <c r="H374" s="462" t="n"/>
    </row>
    <row r="375">
      <c r="A375" s="672" t="inlineStr">
        <is>
          <t>E100309</t>
        </is>
      </c>
      <c r="B375" s="767">
        <f>ROW()</f>
        <v/>
      </c>
      <c r="C375" s="182" t="inlineStr">
        <is>
          <t>北京金泰凯迪汽车销售服务有限公司</t>
        </is>
      </c>
      <c r="D375" s="182" t="inlineStr">
        <is>
          <t>ZI029E100353</t>
        </is>
      </c>
      <c r="E375" s="182" t="inlineStr">
        <is>
          <t>北京京能房产租赁经营有限责任公司</t>
        </is>
      </c>
      <c r="F375" s="716" t="n"/>
      <c r="G375" s="716" t="n"/>
      <c r="H375" s="462" t="n"/>
    </row>
    <row r="376">
      <c r="A376" s="672" t="inlineStr">
        <is>
          <t>E100310</t>
        </is>
      </c>
      <c r="B376" s="767">
        <f>ROW()</f>
        <v/>
      </c>
      <c r="C376" s="182" t="inlineStr">
        <is>
          <t>北京金泰凯盛汽车销售服务有限公司</t>
        </is>
      </c>
      <c r="D376" s="182" t="inlineStr">
        <is>
          <t>ZI029E100353</t>
        </is>
      </c>
      <c r="E376" s="182" t="inlineStr">
        <is>
          <t>北京京能房产租赁经营有限责任公司</t>
        </is>
      </c>
      <c r="F376" s="716" t="n"/>
      <c r="G376" s="716" t="n"/>
      <c r="H376" s="462" t="n"/>
    </row>
    <row r="377">
      <c r="A377" s="672" t="inlineStr">
        <is>
          <t>E100277</t>
        </is>
      </c>
      <c r="B377" s="767">
        <f>ROW()</f>
        <v/>
      </c>
      <c r="C377" s="182" t="inlineStr">
        <is>
          <t>北京金泰利达房屋租赁有限公司</t>
        </is>
      </c>
      <c r="D377" s="182" t="inlineStr">
        <is>
          <t>ZI029E100353</t>
        </is>
      </c>
      <c r="E377" s="182" t="inlineStr">
        <is>
          <t>北京京能房产租赁经营有限责任公司</t>
        </is>
      </c>
      <c r="F377" s="716" t="n"/>
      <c r="G377" s="716" t="n"/>
      <c r="H377" s="462" t="n"/>
    </row>
    <row r="378">
      <c r="A378" s="672" t="inlineStr">
        <is>
          <t>E100301</t>
        </is>
      </c>
      <c r="B378" s="767">
        <f>ROW()</f>
        <v/>
      </c>
      <c r="C378" s="182" t="inlineStr">
        <is>
          <t>北京金泰梅苑宾馆有限公司</t>
        </is>
      </c>
      <c r="D378" s="182" t="inlineStr">
        <is>
          <t>ZI029E100293</t>
        </is>
      </c>
      <c r="E378" s="182" t="inlineStr">
        <is>
          <t>北京京能酒店管理有限公司</t>
        </is>
      </c>
      <c r="F378" s="716" t="n"/>
      <c r="G378" s="716" t="n"/>
      <c r="H378" s="462" t="n"/>
    </row>
    <row r="379">
      <c r="A379" s="672" t="inlineStr">
        <is>
          <t>E100378</t>
        </is>
      </c>
      <c r="B379" s="767">
        <f>ROW()</f>
        <v/>
      </c>
      <c r="C379" s="182" t="inlineStr">
        <is>
          <t>北京金泰明达节能科技有限公司</t>
        </is>
      </c>
      <c r="D379" s="182" t="inlineStr">
        <is>
          <t>ZI029E100371</t>
        </is>
      </c>
      <c r="E379" s="182" t="inlineStr">
        <is>
          <t>北京京能科技有限公司</t>
        </is>
      </c>
      <c r="F379" s="716" t="n"/>
      <c r="G379" s="716" t="n"/>
      <c r="H379" s="462" t="n"/>
    </row>
    <row r="380">
      <c r="A380" s="672" t="inlineStr">
        <is>
          <t>E100326</t>
        </is>
      </c>
      <c r="B380" s="767">
        <f>ROW()</f>
        <v/>
      </c>
      <c r="C380" s="182" t="inlineStr">
        <is>
          <t>北京金泰通华商贸有限责任公司</t>
        </is>
      </c>
      <c r="D380" s="182" t="inlineStr">
        <is>
          <t>ZI029E100353</t>
        </is>
      </c>
      <c r="E380" s="182" t="inlineStr">
        <is>
          <t>北京京能房产租赁经营有限责任公司</t>
        </is>
      </c>
      <c r="F380" s="716" t="n"/>
      <c r="G380" s="716" t="n"/>
      <c r="H380" s="462" t="n"/>
    </row>
    <row r="381">
      <c r="A381" s="672" t="inlineStr">
        <is>
          <t>E100362</t>
        </is>
      </c>
      <c r="B381" s="767">
        <f>ROW()</f>
        <v/>
      </c>
      <c r="C381" s="182" t="inlineStr">
        <is>
          <t>北京金泰物业管理有限公司</t>
        </is>
      </c>
      <c r="D381" s="182" t="inlineStr">
        <is>
          <t>ZI029E100268</t>
        </is>
      </c>
      <c r="E381" s="182" t="inlineStr">
        <is>
          <t>北京京煤集团有限责任公司</t>
        </is>
      </c>
      <c r="F381" s="716" t="n"/>
      <c r="G381" s="716" t="n"/>
      <c r="H381" s="462" t="n"/>
    </row>
    <row r="382">
      <c r="A382" s="672" t="inlineStr">
        <is>
          <t>E100362G</t>
        </is>
      </c>
      <c r="B382" s="767">
        <f>ROW()</f>
        <v/>
      </c>
      <c r="C382" s="182" t="inlineStr">
        <is>
          <t>北京金泰物业管理有限公司（合并）</t>
        </is>
      </c>
      <c r="D382" s="182" t="inlineStr">
        <is>
          <t>ZI029E100268</t>
        </is>
      </c>
      <c r="E382" s="182" t="inlineStr">
        <is>
          <t>北京京煤集团有限责任公司</t>
        </is>
      </c>
      <c r="F382" s="716" t="n"/>
      <c r="G382" s="716" t="n"/>
      <c r="H382" s="462" t="n"/>
    </row>
    <row r="383">
      <c r="A383" s="672" t="inlineStr">
        <is>
          <t>E100362H</t>
        </is>
      </c>
      <c r="B383" s="767">
        <f>ROW()</f>
        <v/>
      </c>
      <c r="C383" s="182" t="inlineStr">
        <is>
          <t>北京金泰物业管理有限公司（汇总）</t>
        </is>
      </c>
      <c r="D383" s="182" t="inlineStr">
        <is>
          <t>ZI029E100268</t>
        </is>
      </c>
      <c r="E383" s="182" t="inlineStr">
        <is>
          <t>北京京煤集团有限责任公司</t>
        </is>
      </c>
      <c r="F383" s="716" t="n"/>
      <c r="G383" s="716" t="n"/>
      <c r="H383" s="462" t="n"/>
    </row>
    <row r="384">
      <c r="A384" s="672" t="inlineStr">
        <is>
          <t>E100279</t>
        </is>
      </c>
      <c r="B384" s="767">
        <f>ROW()</f>
        <v/>
      </c>
      <c r="C384" s="182" t="inlineStr">
        <is>
          <t>北京金泰翔达投资管理有限公司</t>
        </is>
      </c>
      <c r="D384" s="182" t="inlineStr">
        <is>
          <t>ZI029E100353</t>
        </is>
      </c>
      <c r="E384" s="182" t="inlineStr">
        <is>
          <t>北京京能房产租赁经营有限责任公司</t>
        </is>
      </c>
      <c r="F384" s="716" t="n"/>
      <c r="G384" s="716" t="n"/>
      <c r="H384" s="462" t="n"/>
    </row>
    <row r="385">
      <c r="A385" s="672" t="inlineStr">
        <is>
          <t>E100366</t>
        </is>
      </c>
      <c r="B385" s="767">
        <f>ROW()</f>
        <v/>
      </c>
      <c r="C385" s="182" t="inlineStr">
        <is>
          <t>北京金泰新钢联科贸有限公司</t>
        </is>
      </c>
      <c r="D385" s="182" t="inlineStr">
        <is>
          <t>ZI029E100353</t>
        </is>
      </c>
      <c r="E385" s="182" t="inlineStr">
        <is>
          <t>北京京能房产租赁经营有限责任公司</t>
        </is>
      </c>
      <c r="F385" s="716" t="n"/>
      <c r="G385" s="716" t="n"/>
      <c r="H385" s="462" t="n"/>
    </row>
    <row r="386">
      <c r="A386" s="672" t="inlineStr">
        <is>
          <t>E100346</t>
        </is>
      </c>
      <c r="B386" s="767">
        <f>ROW()</f>
        <v/>
      </c>
      <c r="C386" s="182" t="inlineStr">
        <is>
          <t>北京金泰颐寿轩敬老院</t>
        </is>
      </c>
      <c r="D386" s="182" t="inlineStr">
        <is>
          <t>ZI029E100353</t>
        </is>
      </c>
      <c r="E386" s="182" t="inlineStr">
        <is>
          <t>北京京能房产租赁经营有限责任公司</t>
        </is>
      </c>
      <c r="F386" s="716" t="n"/>
      <c r="G386" s="716" t="n"/>
      <c r="H386" s="462" t="n"/>
    </row>
    <row r="387">
      <c r="A387" s="672" t="inlineStr">
        <is>
          <t>E100296</t>
        </is>
      </c>
      <c r="B387" s="767">
        <f>ROW()</f>
        <v/>
      </c>
      <c r="C387" s="182" t="inlineStr">
        <is>
          <t>北京金泰之家宾馆有限公司</t>
        </is>
      </c>
      <c r="D387" s="182" t="inlineStr">
        <is>
          <t>ZI029E100293</t>
        </is>
      </c>
      <c r="E387" s="182" t="inlineStr">
        <is>
          <t>北京京能酒店管理有限公司</t>
        </is>
      </c>
      <c r="F387" s="716" t="n"/>
      <c r="G387" s="716" t="n"/>
      <c r="H387" s="462" t="n"/>
    </row>
    <row r="388">
      <c r="A388" s="672" t="inlineStr">
        <is>
          <t>E100296G</t>
        </is>
      </c>
      <c r="B388" s="767">
        <f>ROW()</f>
        <v/>
      </c>
      <c r="C388" s="182" t="inlineStr">
        <is>
          <t>北京金泰之家宾馆有限公司（合并）</t>
        </is>
      </c>
      <c r="D388" s="182" t="inlineStr">
        <is>
          <t>ZI029E100293</t>
        </is>
      </c>
      <c r="E388" s="182" t="inlineStr">
        <is>
          <t>北京京能酒店管理有限公司</t>
        </is>
      </c>
      <c r="F388" s="716" t="n"/>
      <c r="G388" s="716" t="n"/>
      <c r="H388" s="462" t="n"/>
    </row>
    <row r="389">
      <c r="A389" s="672" t="inlineStr">
        <is>
          <t>E100296H</t>
        </is>
      </c>
      <c r="B389" s="767">
        <f>ROW()</f>
        <v/>
      </c>
      <c r="C389" s="182" t="inlineStr">
        <is>
          <t>北京金泰之家宾馆有限公司（母公司）</t>
        </is>
      </c>
      <c r="D389" s="182" t="inlineStr">
        <is>
          <t>ZI029E100293</t>
        </is>
      </c>
      <c r="E389" s="182" t="inlineStr">
        <is>
          <t>北京京能酒店管理有限公司</t>
        </is>
      </c>
      <c r="F389" s="716" t="n"/>
      <c r="G389" s="716" t="n"/>
      <c r="H389" s="462" t="n"/>
    </row>
    <row r="390">
      <c r="A390" s="672" t="inlineStr">
        <is>
          <t>E100278</t>
        </is>
      </c>
      <c r="B390" s="767">
        <f>ROW()</f>
        <v/>
      </c>
      <c r="C390" s="182" t="inlineStr">
        <is>
          <t>北京金泰之家聚隆宾馆有限公司</t>
        </is>
      </c>
      <c r="D390" s="182" t="inlineStr">
        <is>
          <t>ZI029E100293</t>
        </is>
      </c>
      <c r="E390" s="182" t="inlineStr">
        <is>
          <t>北京京能酒店管理有限公司</t>
        </is>
      </c>
      <c r="F390" s="716" t="n"/>
      <c r="G390" s="716" t="n"/>
      <c r="H390" s="462" t="n"/>
    </row>
    <row r="391">
      <c r="A391" s="672" t="inlineStr">
        <is>
          <t>E100305</t>
        </is>
      </c>
      <c r="B391" s="767">
        <f>ROW()</f>
        <v/>
      </c>
      <c r="C391" s="182" t="inlineStr">
        <is>
          <t>北京金泰之家通华苑饭店有限公司</t>
        </is>
      </c>
      <c r="D391" s="182" t="inlineStr">
        <is>
          <t>ZI029E100293</t>
        </is>
      </c>
      <c r="E391" s="182" t="inlineStr">
        <is>
          <t>北京京能酒店管理有限公司</t>
        </is>
      </c>
      <c r="F391" s="716" t="n"/>
      <c r="G391" s="716" t="n"/>
      <c r="H391" s="462" t="n"/>
    </row>
    <row r="392">
      <c r="A392" s="672" t="inlineStr">
        <is>
          <t>E100305G</t>
        </is>
      </c>
      <c r="B392" s="767">
        <f>ROW()</f>
        <v/>
      </c>
      <c r="C392" s="182" t="inlineStr">
        <is>
          <t>北京金泰之家通华苑饭店有限公司（合并）</t>
        </is>
      </c>
      <c r="D392" s="182" t="inlineStr">
        <is>
          <t>ZI029E100293</t>
        </is>
      </c>
      <c r="E392" s="182" t="inlineStr">
        <is>
          <t>北京京能酒店管理有限公司</t>
        </is>
      </c>
      <c r="F392" s="716" t="n"/>
      <c r="G392" s="716" t="n"/>
      <c r="H392" s="462" t="n"/>
    </row>
    <row r="393">
      <c r="A393" s="672" t="inlineStr">
        <is>
          <t>E100305H</t>
        </is>
      </c>
      <c r="B393" s="767">
        <f>ROW()</f>
        <v/>
      </c>
      <c r="C393" s="182" t="inlineStr">
        <is>
          <t>北京金泰之家通华苑饭店有限公司（母公司）</t>
        </is>
      </c>
      <c r="D393" s="182" t="inlineStr">
        <is>
          <t>ZI029E100293</t>
        </is>
      </c>
      <c r="E393" s="182" t="inlineStr">
        <is>
          <t>北京京能酒店管理有限公司</t>
        </is>
      </c>
      <c r="F393" s="716" t="n"/>
      <c r="G393" s="716" t="n"/>
      <c r="H393" s="462" t="n"/>
    </row>
    <row r="394">
      <c r="A394" s="672" t="inlineStr">
        <is>
          <t>E100450</t>
        </is>
      </c>
      <c r="B394" s="767">
        <f>ROW()</f>
        <v/>
      </c>
      <c r="C394" s="182" t="inlineStr">
        <is>
          <t>北京金泰中阳房地产开发有限公司</t>
        </is>
      </c>
      <c r="D394" s="182" t="inlineStr">
        <is>
          <t>ZI029E100421</t>
        </is>
      </c>
      <c r="E394" s="182" t="inlineStr">
        <is>
          <t>北京金泰房地产开发有限责任公司</t>
        </is>
      </c>
      <c r="F394" s="716" t="n"/>
      <c r="G394" s="716" t="n"/>
      <c r="H394" s="462" t="n"/>
    </row>
    <row r="395">
      <c r="A395" s="672" t="inlineStr">
        <is>
          <t>E100448</t>
        </is>
      </c>
      <c r="B395" s="767">
        <f>ROW()</f>
        <v/>
      </c>
      <c r="C395" s="182" t="inlineStr">
        <is>
          <t>北京金泰卓越物业管理有限公司</t>
        </is>
      </c>
      <c r="D395" s="182" t="inlineStr">
        <is>
          <t>ZI029E100421</t>
        </is>
      </c>
      <c r="E395" s="182" t="inlineStr">
        <is>
          <t>北京金泰房地产开发有限责任公司</t>
        </is>
      </c>
      <c r="F395" s="716" t="n"/>
      <c r="G395" s="716" t="n"/>
      <c r="H395" s="462" t="n"/>
    </row>
    <row r="396">
      <c r="A396" s="672" t="inlineStr">
        <is>
          <t>E100354</t>
        </is>
      </c>
      <c r="B396" s="767">
        <f>ROW()</f>
        <v/>
      </c>
      <c r="C396" s="182" t="inlineStr">
        <is>
          <t>北京金质生活商贸有限责任公司</t>
        </is>
      </c>
      <c r="D396" s="182" t="inlineStr">
        <is>
          <t>ZI029E100353</t>
        </is>
      </c>
      <c r="E396" s="182" t="inlineStr">
        <is>
          <t>北京京能房产租赁经营有限责任公司</t>
        </is>
      </c>
      <c r="F396" s="716" t="n"/>
      <c r="G396" s="716" t="n"/>
      <c r="H396" s="462" t="n"/>
    </row>
    <row r="397">
      <c r="A397" s="672" t="inlineStr">
        <is>
          <t>E100258</t>
        </is>
      </c>
      <c r="B397" s="767">
        <f>ROW()</f>
        <v/>
      </c>
      <c r="C397" s="182" t="inlineStr">
        <is>
          <t>北京京诚供热有限责任公司</t>
        </is>
      </c>
      <c r="D397" s="182" t="inlineStr">
        <is>
          <t>ZI029E100245</t>
        </is>
      </c>
      <c r="E397" s="182" t="inlineStr">
        <is>
          <t>北京市特诚热力有限责任公司</t>
        </is>
      </c>
      <c r="F397" s="716" t="n"/>
      <c r="G397" s="716" t="n"/>
      <c r="H397" s="462" t="n"/>
    </row>
    <row r="398">
      <c r="A398" s="672" t="inlineStr">
        <is>
          <t>E100003</t>
        </is>
      </c>
      <c r="B398" s="767">
        <f>ROW()</f>
        <v/>
      </c>
      <c r="C398" s="182" t="inlineStr">
        <is>
          <t>北京京丰燃气发电有限责任公司</t>
        </is>
      </c>
      <c r="D398" s="182" t="inlineStr">
        <is>
          <t>ZI029E100001</t>
        </is>
      </c>
      <c r="E398" s="182" t="inlineStr">
        <is>
          <t>北京京能清洁能源电力股份有限公司</t>
        </is>
      </c>
      <c r="F398" s="716" t="n"/>
      <c r="G398" s="716" t="n"/>
      <c r="H398" s="462" t="n"/>
    </row>
    <row r="399">
      <c r="A399" s="672" t="inlineStr">
        <is>
          <t>E100004</t>
        </is>
      </c>
      <c r="B399" s="767">
        <f>ROW()</f>
        <v/>
      </c>
      <c r="C399" s="182" t="inlineStr">
        <is>
          <t>北京京丰热电有限责任公司</t>
        </is>
      </c>
      <c r="D399" s="182" t="inlineStr">
        <is>
          <t>ZI029E100000</t>
        </is>
      </c>
      <c r="E399" s="182" t="inlineStr">
        <is>
          <t>北京能源集团有限责任公司</t>
        </is>
      </c>
      <c r="F399" s="716" t="n"/>
      <c r="G399" s="716" t="n"/>
      <c r="H399" s="462" t="n"/>
    </row>
    <row r="400">
      <c r="A400" s="672" t="inlineStr">
        <is>
          <t>E100302</t>
        </is>
      </c>
      <c r="B400" s="767">
        <f>ROW()</f>
        <v/>
      </c>
      <c r="C400" s="182" t="inlineStr">
        <is>
          <t>北京京辉高尔夫俱乐部有限公司</t>
        </is>
      </c>
      <c r="D400" s="182" t="inlineStr">
        <is>
          <t>ZI029E100320</t>
        </is>
      </c>
      <c r="E400" s="182" t="inlineStr">
        <is>
          <t>北京市天创房地产开发有限公司</t>
        </is>
      </c>
      <c r="F400" s="716" t="n"/>
      <c r="G400" s="716" t="n"/>
      <c r="H400" s="462" t="n"/>
    </row>
    <row r="401">
      <c r="A401" s="672" t="inlineStr">
        <is>
          <t>E100302</t>
        </is>
      </c>
      <c r="B401" s="767">
        <f>ROW()</f>
        <v/>
      </c>
      <c r="C401" s="182" t="inlineStr">
        <is>
          <t>北京京辉高尔夫俱乐部有限公司</t>
        </is>
      </c>
      <c r="D401" s="182" t="inlineStr">
        <is>
          <t>ZI029E100268</t>
        </is>
      </c>
      <c r="E401" s="182" t="inlineStr">
        <is>
          <t>北京京煤集团有限责任公司</t>
        </is>
      </c>
      <c r="F401" s="716" t="n"/>
      <c r="G401" s="716" t="n"/>
      <c r="H401" s="462" t="n"/>
    </row>
    <row r="402">
      <c r="A402" s="672" t="inlineStr">
        <is>
          <t>E100302</t>
        </is>
      </c>
      <c r="B402" s="767">
        <f>ROW()</f>
        <v/>
      </c>
      <c r="C402" s="182" t="inlineStr">
        <is>
          <t>北京京辉高尔夫俱乐部有限公司</t>
        </is>
      </c>
      <c r="D402" s="182" t="inlineStr">
        <is>
          <t>ZI029E100000</t>
        </is>
      </c>
      <c r="E402" s="182" t="inlineStr">
        <is>
          <t>北京能源集团有限责任公司</t>
        </is>
      </c>
      <c r="F402" s="716" t="n"/>
      <c r="G402" s="716" t="n"/>
      <c r="H402" s="462" t="n"/>
    </row>
    <row r="403">
      <c r="A403" s="672" t="inlineStr">
        <is>
          <t>E100302G</t>
        </is>
      </c>
      <c r="B403" s="767">
        <f>ROW()</f>
        <v/>
      </c>
      <c r="C403" s="182" t="inlineStr">
        <is>
          <t>北京京辉高尔夫俱乐部有限公司（合并）</t>
        </is>
      </c>
      <c r="D403" s="182" t="inlineStr">
        <is>
          <t>ZI029E100320</t>
        </is>
      </c>
      <c r="E403" s="182" t="inlineStr">
        <is>
          <t>北京市天创房地产开发有限公司</t>
        </is>
      </c>
      <c r="F403" s="716" t="n"/>
      <c r="G403" s="716" t="n"/>
      <c r="H403" s="462" t="n"/>
    </row>
    <row r="404">
      <c r="A404" s="672" t="inlineStr">
        <is>
          <t>E100302G</t>
        </is>
      </c>
      <c r="B404" s="767">
        <f>ROW()</f>
        <v/>
      </c>
      <c r="C404" s="182" t="inlineStr">
        <is>
          <t>北京京辉高尔夫俱乐部有限公司（合并）</t>
        </is>
      </c>
      <c r="D404" s="182" t="inlineStr">
        <is>
          <t>ZI029E100000</t>
        </is>
      </c>
      <c r="E404" s="182" t="inlineStr">
        <is>
          <t>北京能源集团有限责任公司</t>
        </is>
      </c>
      <c r="F404" s="716" t="n"/>
      <c r="G404" s="716" t="n"/>
      <c r="H404" s="462" t="n"/>
    </row>
    <row r="405">
      <c r="A405" s="672" t="inlineStr">
        <is>
          <t>E100302G</t>
        </is>
      </c>
      <c r="B405" s="767">
        <f>ROW()</f>
        <v/>
      </c>
      <c r="C405" s="182" t="inlineStr">
        <is>
          <t>北京京辉高尔夫俱乐部有限公司（合并）</t>
        </is>
      </c>
      <c r="D405" s="182" t="inlineStr">
        <is>
          <t>ZI029E100268</t>
        </is>
      </c>
      <c r="E405" s="182" t="inlineStr">
        <is>
          <t>北京京煤集团有限责任公司</t>
        </is>
      </c>
      <c r="F405" s="716" t="n"/>
      <c r="G405" s="716" t="n"/>
      <c r="H405" s="462" t="n"/>
    </row>
    <row r="406">
      <c r="A406" s="672" t="inlineStr">
        <is>
          <t>E100281</t>
        </is>
      </c>
      <c r="B406" s="767">
        <f>ROW()</f>
        <v/>
      </c>
      <c r="C406" s="182" t="inlineStr">
        <is>
          <t>北京京煤化工有限公司</t>
        </is>
      </c>
      <c r="D406" s="182" t="inlineStr">
        <is>
          <t>ZI029E100268</t>
        </is>
      </c>
      <c r="E406" s="182" t="inlineStr">
        <is>
          <t>北京京煤集团有限责任公司</t>
        </is>
      </c>
      <c r="F406" s="716" t="n"/>
      <c r="G406" s="716" t="n"/>
      <c r="H406" s="462" t="n"/>
    </row>
    <row r="407">
      <c r="A407" s="672" t="inlineStr">
        <is>
          <t>E100281G</t>
        </is>
      </c>
      <c r="B407" s="767">
        <f>ROW()</f>
        <v/>
      </c>
      <c r="C407" s="182" t="inlineStr">
        <is>
          <t>北京京煤化工有限公司（合并）</t>
        </is>
      </c>
      <c r="D407" s="182" t="inlineStr">
        <is>
          <t>ZI029E100268</t>
        </is>
      </c>
      <c r="E407" s="182" t="inlineStr">
        <is>
          <t>北京京煤集团有限责任公司</t>
        </is>
      </c>
      <c r="F407" s="716" t="n"/>
      <c r="G407" s="716" t="n"/>
      <c r="H407" s="462" t="n"/>
    </row>
    <row r="408">
      <c r="A408" s="672" t="inlineStr">
        <is>
          <t>E100268</t>
        </is>
      </c>
      <c r="B408" s="767">
        <f>ROW()</f>
        <v/>
      </c>
      <c r="C408" s="182" t="inlineStr">
        <is>
          <t>北京京煤集团有限责任公司</t>
        </is>
      </c>
      <c r="D408" s="182" t="inlineStr">
        <is>
          <t>ZI029E100000</t>
        </is>
      </c>
      <c r="E408" s="182" t="inlineStr">
        <is>
          <t>北京能源集团有限责任公司</t>
        </is>
      </c>
      <c r="F408" s="716" t="n"/>
      <c r="G408" s="716" t="n"/>
      <c r="H408" s="462" t="n"/>
    </row>
    <row r="409">
      <c r="A409" s="672" t="inlineStr">
        <is>
          <t>E100268G</t>
        </is>
      </c>
      <c r="B409" s="767">
        <f>ROW()</f>
        <v/>
      </c>
      <c r="C409" s="182" t="inlineStr">
        <is>
          <t>北京京煤集团有限责任公司（合并）</t>
        </is>
      </c>
      <c r="D409" s="182" t="inlineStr">
        <is>
          <t>ZI029E100000</t>
        </is>
      </c>
      <c r="E409" s="182" t="inlineStr">
        <is>
          <t>北京能源集团有限责任公司</t>
        </is>
      </c>
      <c r="F409" s="716" t="n"/>
      <c r="G409" s="716" t="n"/>
      <c r="H409" s="462" t="n"/>
    </row>
    <row r="410">
      <c r="A410" s="672" t="inlineStr">
        <is>
          <t>E100268H</t>
        </is>
      </c>
      <c r="B410" s="767">
        <f>ROW()</f>
        <v/>
      </c>
      <c r="C410" s="182" t="inlineStr">
        <is>
          <t>北京京煤集团有限责任公司（母公司）</t>
        </is>
      </c>
      <c r="D410" s="182" t="inlineStr">
        <is>
          <t>ZI029E100000</t>
        </is>
      </c>
      <c r="E410" s="182" t="inlineStr">
        <is>
          <t>北京能源集团有限责任公司</t>
        </is>
      </c>
      <c r="F410" s="716" t="n"/>
      <c r="G410" s="716" t="n"/>
      <c r="H410" s="462" t="n"/>
    </row>
    <row r="411">
      <c r="A411" s="672" t="inlineStr">
        <is>
          <t>E100317</t>
        </is>
      </c>
      <c r="B411" s="767">
        <f>ROW()</f>
        <v/>
      </c>
      <c r="C411" s="182" t="inlineStr">
        <is>
          <t>北京京煤文旅发展有限公司</t>
        </is>
      </c>
      <c r="D411" s="182" t="inlineStr">
        <is>
          <t>ZI029E100268</t>
        </is>
      </c>
      <c r="E411" s="182" t="inlineStr">
        <is>
          <t>北京京煤集团有限责任公司</t>
        </is>
      </c>
      <c r="F411" s="716" t="n"/>
      <c r="G411" s="716" t="n"/>
      <c r="H411" s="462" t="n"/>
    </row>
    <row r="412">
      <c r="A412" s="672" t="inlineStr">
        <is>
          <t>E100457</t>
        </is>
      </c>
      <c r="B412" s="767">
        <f>ROW()</f>
        <v/>
      </c>
      <c r="C412" s="182" t="inlineStr">
        <is>
          <t>北京京能地质工程有限公司</t>
        </is>
      </c>
      <c r="D412" s="182" t="inlineStr">
        <is>
          <t>ZI029E100538</t>
        </is>
      </c>
      <c r="E412" s="182" t="inlineStr">
        <is>
          <t>北京京煤集团地质勘探队</t>
        </is>
      </c>
      <c r="F412" s="716" t="n"/>
      <c r="G412" s="716" t="n"/>
      <c r="H412" s="462" t="n"/>
    </row>
    <row r="413">
      <c r="A413" s="672" t="inlineStr">
        <is>
          <t>E100145</t>
        </is>
      </c>
      <c r="B413" s="767">
        <f>ROW()</f>
        <v/>
      </c>
      <c r="C413" s="182" t="inlineStr">
        <is>
          <t>北京京能电力股份有限公司</t>
        </is>
      </c>
      <c r="D413" s="182" t="inlineStr">
        <is>
          <t>ZI029E100142</t>
        </is>
      </c>
      <c r="E413" s="182" t="inlineStr">
        <is>
          <t>北京京能国际能源股份有限公司</t>
        </is>
      </c>
      <c r="F413" s="716" t="n"/>
      <c r="G413" s="716" t="n"/>
      <c r="H413" s="462" t="n"/>
    </row>
    <row r="414">
      <c r="A414" s="672" t="inlineStr">
        <is>
          <t>E100145</t>
        </is>
      </c>
      <c r="B414" s="767">
        <f>ROW()</f>
        <v/>
      </c>
      <c r="C414" s="182" t="inlineStr">
        <is>
          <t>北京京能电力股份有限公司</t>
        </is>
      </c>
      <c r="D414" s="182" t="inlineStr">
        <is>
          <t>ZI029E100000</t>
        </is>
      </c>
      <c r="E414" s="182" t="inlineStr">
        <is>
          <t>北京能源集团有限责任公司</t>
        </is>
      </c>
      <c r="F414" s="716" t="n"/>
      <c r="G414" s="716" t="n"/>
      <c r="H414" s="462" t="n"/>
    </row>
    <row r="415">
      <c r="A415" s="672" t="inlineStr">
        <is>
          <t>E100149</t>
        </is>
      </c>
      <c r="B415" s="767">
        <f>ROW()</f>
        <v/>
      </c>
      <c r="C415" s="182" t="inlineStr">
        <is>
          <t>北京京能电力燃料有限公司</t>
        </is>
      </c>
      <c r="D415" s="182" t="inlineStr">
        <is>
          <t>ZI029E100145</t>
        </is>
      </c>
      <c r="E415" s="182" t="inlineStr">
        <is>
          <t>北京京能电力股份有限公司</t>
        </is>
      </c>
      <c r="F415" s="716" t="n"/>
      <c r="G415" s="716" t="n"/>
      <c r="H415" s="462" t="n"/>
    </row>
    <row r="416">
      <c r="A416" s="672" t="inlineStr">
        <is>
          <t>E100353</t>
        </is>
      </c>
      <c r="B416" s="767">
        <f>ROW()</f>
        <v/>
      </c>
      <c r="C416" s="182" t="inlineStr">
        <is>
          <t>北京京能房产租赁经营有限责任公司</t>
        </is>
      </c>
      <c r="D416" s="182" t="inlineStr">
        <is>
          <t>ZI029E100268</t>
        </is>
      </c>
      <c r="E416" s="182" t="inlineStr">
        <is>
          <t>北京京煤集团有限责任公司</t>
        </is>
      </c>
      <c r="F416" s="716" t="n"/>
      <c r="G416" s="716" t="n"/>
      <c r="H416" s="462" t="n"/>
    </row>
    <row r="417">
      <c r="A417" s="672" t="inlineStr">
        <is>
          <t>E100353G</t>
        </is>
      </c>
      <c r="B417" s="767">
        <f>ROW()</f>
        <v/>
      </c>
      <c r="C417" s="182" t="inlineStr">
        <is>
          <t>北京京能房产租赁经营有限责任公司（合并）</t>
        </is>
      </c>
      <c r="D417" s="182" t="inlineStr">
        <is>
          <t>ZI029E100268</t>
        </is>
      </c>
      <c r="E417" s="182" t="inlineStr">
        <is>
          <t>北京京煤集团有限责任公司</t>
        </is>
      </c>
      <c r="F417" s="716" t="n"/>
      <c r="G417" s="716" t="n"/>
      <c r="H417" s="462" t="n"/>
    </row>
    <row r="418">
      <c r="A418" s="672" t="inlineStr">
        <is>
          <t>E100353T</t>
        </is>
      </c>
      <c r="B418" s="767">
        <f>ROW()</f>
        <v/>
      </c>
      <c r="C418" s="182" t="inlineStr">
        <is>
          <t>北京京能房产租赁经营有限责任公司（合并）本部</t>
        </is>
      </c>
      <c r="D418" s="182" t="inlineStr">
        <is>
          <t>ZI029E100268</t>
        </is>
      </c>
      <c r="E418" s="182" t="inlineStr">
        <is>
          <t>北京京煤集团有限责任公司</t>
        </is>
      </c>
      <c r="F418" s="716" t="n"/>
      <c r="G418" s="716" t="n"/>
      <c r="H418" s="462" t="n"/>
    </row>
    <row r="419">
      <c r="A419" s="672" t="inlineStr">
        <is>
          <t>E100353H</t>
        </is>
      </c>
      <c r="B419" s="767">
        <f>ROW()</f>
        <v/>
      </c>
      <c r="C419" s="182" t="inlineStr">
        <is>
          <t>北京京能房产租赁经营有限责任公司（母公司）</t>
        </is>
      </c>
      <c r="D419" s="182" t="inlineStr">
        <is>
          <t>ZI029E100268</t>
        </is>
      </c>
      <c r="E419" s="182" t="inlineStr">
        <is>
          <t>北京京煤集团有限责任公司</t>
        </is>
      </c>
      <c r="F419" s="716" t="n"/>
      <c r="G419" s="716" t="n"/>
      <c r="H419" s="462" t="n"/>
    </row>
    <row r="420">
      <c r="A420" s="672" t="inlineStr">
        <is>
          <t>E100260</t>
        </is>
      </c>
      <c r="B420" s="767">
        <f>ROW()</f>
        <v/>
      </c>
      <c r="C420" s="182" t="inlineStr">
        <is>
          <t>北京京能房山热力供应有限公司</t>
        </is>
      </c>
      <c r="D420" s="182" t="inlineStr">
        <is>
          <t>ZI029E100259</t>
        </is>
      </c>
      <c r="E420" s="182" t="inlineStr">
        <is>
          <t>北京京能热力发展有限公司</t>
        </is>
      </c>
      <c r="F420" s="716" t="n"/>
      <c r="G420" s="716" t="n"/>
      <c r="H420" s="462" t="n"/>
    </row>
    <row r="421">
      <c r="A421" s="672" t="inlineStr">
        <is>
          <t>E100002</t>
        </is>
      </c>
      <c r="B421" s="767">
        <f>ROW()</f>
        <v/>
      </c>
      <c r="C421" s="182" t="inlineStr">
        <is>
          <t>北京京能高安屯燃气热电有限责任公司</t>
        </is>
      </c>
      <c r="D421" s="182" t="inlineStr">
        <is>
          <t>ZI029E100001</t>
        </is>
      </c>
      <c r="E421" s="182" t="inlineStr">
        <is>
          <t>北京京能清洁能源电力股份有限公司</t>
        </is>
      </c>
      <c r="F421" s="716" t="n"/>
      <c r="G421" s="716" t="n"/>
      <c r="H421" s="462" t="n"/>
    </row>
    <row r="422">
      <c r="A422" s="672" t="inlineStr">
        <is>
          <t>E100195</t>
        </is>
      </c>
      <c r="B422" s="767">
        <f>ROW()</f>
        <v/>
      </c>
      <c r="C422" s="182" t="inlineStr">
        <is>
          <t>北京京能高新能源科技有限公司</t>
        </is>
      </c>
      <c r="D422" s="182" t="inlineStr">
        <is>
          <t>ZI029E100405</t>
        </is>
      </c>
      <c r="E422" s="182" t="inlineStr">
        <is>
          <t>北京高新技术创业投资有限公司</t>
        </is>
      </c>
      <c r="F422" s="716" t="n"/>
      <c r="G422" s="716" t="n"/>
      <c r="H422" s="462" t="n"/>
    </row>
    <row r="423">
      <c r="A423" s="672" t="inlineStr">
        <is>
          <t>E100195</t>
        </is>
      </c>
      <c r="B423" s="767">
        <f>ROW()</f>
        <v/>
      </c>
      <c r="C423" s="182" t="inlineStr">
        <is>
          <t>北京京能高新能源科技有限公司</t>
        </is>
      </c>
      <c r="D423" s="182" t="inlineStr">
        <is>
          <t>ZI029E100191</t>
        </is>
      </c>
      <c r="E423" s="182" t="inlineStr">
        <is>
          <t>北京乐多港发展有限公司</t>
        </is>
      </c>
      <c r="F423" s="716" t="n"/>
      <c r="G423" s="716" t="n"/>
      <c r="H423" s="462" t="n"/>
    </row>
    <row r="424">
      <c r="A424" s="672" t="inlineStr">
        <is>
          <t>E100195</t>
        </is>
      </c>
      <c r="B424" s="767">
        <f>ROW()</f>
        <v/>
      </c>
      <c r="C424" s="182" t="inlineStr">
        <is>
          <t>北京京能高新能源科技有限公司</t>
        </is>
      </c>
      <c r="D424" s="182" t="inlineStr">
        <is>
          <t>ZI029E100371</t>
        </is>
      </c>
      <c r="E424" s="182" t="inlineStr">
        <is>
          <t>北京京能科技有限公司</t>
        </is>
      </c>
      <c r="F424" s="716" t="n"/>
      <c r="G424" s="716" t="n"/>
      <c r="H424" s="462" t="n"/>
    </row>
    <row r="425">
      <c r="A425" s="672" t="inlineStr">
        <is>
          <t>E100142</t>
        </is>
      </c>
      <c r="B425" s="767">
        <f>ROW()</f>
        <v/>
      </c>
      <c r="C425" s="182" t="inlineStr">
        <is>
          <t>北京京能国际能源股份有限公司</t>
        </is>
      </c>
      <c r="D425" s="182" t="inlineStr">
        <is>
          <t>ZI029E100000</t>
        </is>
      </c>
      <c r="E425" s="182" t="inlineStr">
        <is>
          <t>北京能源集团有限责任公司</t>
        </is>
      </c>
      <c r="F425" s="716" t="n"/>
      <c r="G425" s="716" t="n"/>
      <c r="H425" s="462" t="n"/>
    </row>
    <row r="426">
      <c r="A426" s="672" t="inlineStr">
        <is>
          <t>E100142</t>
        </is>
      </c>
      <c r="B426" s="767">
        <f>ROW()</f>
        <v/>
      </c>
      <c r="C426" s="182" t="inlineStr">
        <is>
          <t>北京京能国际能源股份有限公司</t>
        </is>
      </c>
      <c r="D426" s="182" t="inlineStr">
        <is>
          <t>ZI029E100001</t>
        </is>
      </c>
      <c r="E426" s="182" t="inlineStr">
        <is>
          <t>北京京能清洁能源电力股份有限公司</t>
        </is>
      </c>
      <c r="F426" s="716" t="n"/>
      <c r="G426" s="716" t="n"/>
      <c r="H426" s="462" t="n"/>
    </row>
    <row r="427">
      <c r="A427" s="672" t="inlineStr">
        <is>
          <t>E101338</t>
        </is>
      </c>
      <c r="B427" s="767">
        <f>ROW()</f>
        <v/>
      </c>
      <c r="C427" s="182" t="inlineStr">
        <is>
          <t>泰州姜堰区福日能源科技有限公司</t>
        </is>
      </c>
      <c r="D427" s="182" t="inlineStr">
        <is>
          <t>ZI029E100001</t>
        </is>
      </c>
      <c r="E427" s="182" t="inlineStr">
        <is>
          <t>北京京能清洁能源电力股份有限公司</t>
        </is>
      </c>
      <c r="F427" s="716" t="n"/>
      <c r="G427" s="716" t="n"/>
      <c r="H427" s="462" t="n"/>
    </row>
    <row r="428">
      <c r="A428" s="672" t="inlineStr">
        <is>
          <t>E100199</t>
        </is>
      </c>
      <c r="B428" s="767">
        <f>ROW()</f>
        <v/>
      </c>
      <c r="C428" s="182" t="inlineStr">
        <is>
          <t>北京京能国际能源技术有限公司</t>
        </is>
      </c>
      <c r="D428" s="182" t="inlineStr">
        <is>
          <t>ZI029E100197</t>
        </is>
      </c>
      <c r="E428" s="182" t="inlineStr">
        <is>
          <t>北京国际电气工程有限责任公司</t>
        </is>
      </c>
      <c r="F428" s="716" t="n"/>
      <c r="G428" s="716" t="n"/>
      <c r="H428" s="462" t="n"/>
    </row>
    <row r="429">
      <c r="A429" s="672" t="inlineStr">
        <is>
          <t>E100199</t>
        </is>
      </c>
      <c r="B429" s="767">
        <f>ROW()</f>
        <v/>
      </c>
      <c r="C429" s="182" t="inlineStr">
        <is>
          <t>北京京能国际能源技术有限公司</t>
        </is>
      </c>
      <c r="D429" s="182" t="inlineStr">
        <is>
          <t>ZI029E100001</t>
        </is>
      </c>
      <c r="E429" s="182" t="inlineStr">
        <is>
          <t>北京京能清洁能源电力股份有限公司</t>
        </is>
      </c>
      <c r="F429" s="716" t="n"/>
      <c r="G429" s="716" t="n"/>
      <c r="H429" s="462" t="n"/>
    </row>
    <row r="430">
      <c r="A430" s="672" t="inlineStr">
        <is>
          <t>E100261</t>
        </is>
      </c>
      <c r="B430" s="767">
        <f>ROW()</f>
        <v/>
      </c>
      <c r="C430" s="182" t="inlineStr">
        <is>
          <t>北京京能恒星能源科技有限公司</t>
        </is>
      </c>
      <c r="D430" s="182" t="inlineStr">
        <is>
          <t>ZI029E100259</t>
        </is>
      </c>
      <c r="E430" s="182" t="inlineStr">
        <is>
          <t>北京京能热力发展有限公司</t>
        </is>
      </c>
      <c r="F430" s="716" t="n"/>
      <c r="G430" s="716" t="n"/>
      <c r="H430" s="462" t="n"/>
    </row>
    <row r="431">
      <c r="A431" s="672" t="inlineStr">
        <is>
          <t>E100453</t>
        </is>
      </c>
      <c r="B431" s="767">
        <f>ROW()</f>
        <v/>
      </c>
      <c r="C431" s="182" t="inlineStr">
        <is>
          <t>北京京能建设机械安装有限公司</t>
        </is>
      </c>
      <c r="D431" s="182" t="inlineStr">
        <is>
          <t>ZI029E100422</t>
        </is>
      </c>
      <c r="E431" s="182" t="inlineStr">
        <is>
          <t>北京京能建设集团有限公司</t>
        </is>
      </c>
      <c r="F431" s="716" t="n"/>
      <c r="G431" s="716" t="n"/>
      <c r="H431" s="462" t="n"/>
    </row>
    <row r="432">
      <c r="A432" s="672" t="inlineStr">
        <is>
          <t>E100422</t>
        </is>
      </c>
      <c r="B432" s="767">
        <f>ROW()</f>
        <v/>
      </c>
      <c r="C432" s="182" t="inlineStr">
        <is>
          <t>北京京能建设集团有限公司</t>
        </is>
      </c>
      <c r="D432" s="182" t="inlineStr">
        <is>
          <t>ZI029E100000</t>
        </is>
      </c>
      <c r="E432" s="182" t="inlineStr">
        <is>
          <t>北京能源集团有限责任公司</t>
        </is>
      </c>
      <c r="F432" s="716" t="n"/>
      <c r="G432" s="716" t="n"/>
      <c r="H432" s="462" t="n"/>
    </row>
    <row r="433">
      <c r="A433" s="672" t="inlineStr">
        <is>
          <t>E100545</t>
        </is>
      </c>
      <c r="B433" s="767">
        <f>ROW()</f>
        <v/>
      </c>
      <c r="C433" s="182" t="inlineStr">
        <is>
          <t>北京京能京通新能源有限公司</t>
        </is>
      </c>
      <c r="D433" s="182" t="inlineStr">
        <is>
          <t>ZI029E100001</t>
        </is>
      </c>
      <c r="E433" s="182" t="inlineStr">
        <is>
          <t>北京京能清洁能源电力股份有限公司</t>
        </is>
      </c>
      <c r="F433" s="716" t="n"/>
      <c r="G433" s="716" t="n"/>
      <c r="H433" s="462" t="n"/>
    </row>
    <row r="434">
      <c r="A434" s="672" t="inlineStr">
        <is>
          <t>E100371</t>
        </is>
      </c>
      <c r="B434" s="767">
        <f>ROW()</f>
        <v/>
      </c>
      <c r="C434" s="182" t="inlineStr">
        <is>
          <t>北京京能科技有限公司</t>
        </is>
      </c>
      <c r="D434" s="182" t="inlineStr">
        <is>
          <t>ZI029E100000</t>
        </is>
      </c>
      <c r="E434" s="182" t="inlineStr">
        <is>
          <t>北京能源集团有限责任公司</t>
        </is>
      </c>
      <c r="F434" s="716" t="n"/>
      <c r="G434" s="716" t="n"/>
      <c r="H434" s="462" t="n"/>
    </row>
    <row r="435">
      <c r="A435" s="672" t="inlineStr">
        <is>
          <t>E100860</t>
        </is>
      </c>
      <c r="B435" s="767">
        <f>ROW()</f>
        <v/>
      </c>
      <c r="C435" s="182" t="inlineStr">
        <is>
          <t>北京京能绿色能源并购投资基金（有限合伙）</t>
        </is>
      </c>
      <c r="D435" s="182" t="inlineStr">
        <is>
          <t>ZI029E100000</t>
        </is>
      </c>
      <c r="E435" s="182" t="inlineStr">
        <is>
          <t>北京能源集团有限责任公司</t>
        </is>
      </c>
      <c r="F435" s="716" t="n"/>
      <c r="G435" s="716" t="n"/>
      <c r="H435" s="462" t="n"/>
    </row>
    <row r="436">
      <c r="A436" s="672" t="inlineStr">
        <is>
          <t>E100860</t>
        </is>
      </c>
      <c r="B436" s="767">
        <f>ROW()</f>
        <v/>
      </c>
      <c r="C436" s="182" t="inlineStr">
        <is>
          <t>北京京能绿色能源并购投资基金（有限合伙）</t>
        </is>
      </c>
      <c r="D436" s="182" t="inlineStr">
        <is>
          <t>ZI029E100484</t>
        </is>
      </c>
      <c r="E436" s="182" t="inlineStr">
        <is>
          <t>北京京能同鑫投资管理有限公司</t>
        </is>
      </c>
      <c r="F436" s="716" t="n"/>
      <c r="G436" s="716" t="n"/>
      <c r="H436" s="462" t="n"/>
    </row>
    <row r="437">
      <c r="A437" s="672" t="inlineStr">
        <is>
          <t>E100823</t>
        </is>
      </c>
      <c r="B437" s="767">
        <f>ROW()</f>
        <v/>
      </c>
      <c r="C437" s="182" t="inlineStr">
        <is>
          <t>北京京能马坊新能源科技有限公司</t>
        </is>
      </c>
      <c r="D437" s="182" t="inlineStr">
        <is>
          <t>ZI029E100730</t>
        </is>
      </c>
      <c r="E437" s="182" t="inlineStr">
        <is>
          <t>京能国际能源发展（北京）有限公司</t>
        </is>
      </c>
      <c r="F437" s="716" t="n"/>
      <c r="G437" s="716" t="n"/>
      <c r="H437" s="462" t="n"/>
    </row>
    <row r="438">
      <c r="A438" s="672" t="inlineStr">
        <is>
          <t>E100200</t>
        </is>
      </c>
      <c r="B438" s="767">
        <f>ROW()</f>
        <v/>
      </c>
      <c r="C438" s="182" t="inlineStr">
        <is>
          <t>北京京能能源技术研究有限责任公司</t>
        </is>
      </c>
      <c r="D438" s="182" t="inlineStr">
        <is>
          <t>ZI029E100000</t>
        </is>
      </c>
      <c r="E438" s="182" t="inlineStr">
        <is>
          <t>北京能源集团有限责任公司</t>
        </is>
      </c>
      <c r="F438" s="716" t="n"/>
      <c r="G438" s="716" t="n"/>
      <c r="H438" s="462" t="n"/>
    </row>
    <row r="439">
      <c r="A439" s="672" t="inlineStr">
        <is>
          <t>E100200G</t>
        </is>
      </c>
      <c r="B439" s="767">
        <f>ROW()</f>
        <v/>
      </c>
      <c r="C439" s="182" t="inlineStr">
        <is>
          <t>北京京能能源技术研究有限责任公司（合并）</t>
        </is>
      </c>
      <c r="D439" s="182" t="inlineStr">
        <is>
          <t>ZI029E100000</t>
        </is>
      </c>
      <c r="E439" s="182" t="inlineStr">
        <is>
          <t>北京能源集团有限责任公司</t>
        </is>
      </c>
      <c r="F439" s="716" t="n"/>
      <c r="G439" s="716" t="n"/>
      <c r="H439" s="462" t="n"/>
    </row>
    <row r="440">
      <c r="A440" s="672" t="inlineStr">
        <is>
          <t>E100858</t>
        </is>
      </c>
      <c r="B440" s="767">
        <f>ROW()</f>
        <v/>
      </c>
      <c r="C440" s="182" t="inlineStr">
        <is>
          <t>北京京能能源科技并购投资基金（有限合伙）</t>
        </is>
      </c>
      <c r="D440" s="182" t="inlineStr">
        <is>
          <t>ZI029E100000</t>
        </is>
      </c>
      <c r="E440" s="182" t="inlineStr">
        <is>
          <t>北京能源集团有限责任公司</t>
        </is>
      </c>
      <c r="F440" s="716" t="n"/>
      <c r="G440" s="716" t="n"/>
      <c r="H440" s="462" t="n"/>
    </row>
    <row r="441">
      <c r="A441" s="672" t="inlineStr">
        <is>
          <t>E100858</t>
        </is>
      </c>
      <c r="B441" s="767">
        <f>ROW()</f>
        <v/>
      </c>
      <c r="C441" s="182" t="inlineStr">
        <is>
          <t>北京京能能源科技并购投资基金（有限合伙）</t>
        </is>
      </c>
      <c r="D441" s="182" t="inlineStr">
        <is>
          <t>ZI029E100484</t>
        </is>
      </c>
      <c r="E441" s="182" t="inlineStr">
        <is>
          <t>北京京能同鑫投资管理有限公司</t>
        </is>
      </c>
      <c r="F441" s="716" t="n"/>
      <c r="G441" s="716" t="n"/>
      <c r="H441" s="462" t="n"/>
    </row>
    <row r="442">
      <c r="A442" s="672" t="inlineStr">
        <is>
          <t>E100725</t>
        </is>
      </c>
      <c r="B442" s="767">
        <f>ROW()</f>
        <v/>
      </c>
      <c r="C442" s="182" t="inlineStr">
        <is>
          <t>北京京能氢源科技有限公司</t>
        </is>
      </c>
      <c r="D442" s="182" t="inlineStr">
        <is>
          <t>ZI029E100371</t>
        </is>
      </c>
      <c r="E442" s="182" t="inlineStr">
        <is>
          <t>北京京能科技有限公司</t>
        </is>
      </c>
      <c r="F442" s="716" t="n"/>
      <c r="G442" s="716" t="n"/>
      <c r="H442" s="462" t="n"/>
    </row>
    <row r="443">
      <c r="A443" s="672" t="inlineStr">
        <is>
          <t>E100725</t>
        </is>
      </c>
      <c r="B443" s="767">
        <f>ROW()</f>
        <v/>
      </c>
      <c r="C443" s="182" t="inlineStr">
        <is>
          <t>北京京能氢源科技有限公司</t>
        </is>
      </c>
      <c r="D443" s="182" t="inlineStr">
        <is>
          <t>ZI029E100000</t>
        </is>
      </c>
      <c r="E443" s="182" t="inlineStr">
        <is>
          <t>北京能源集团有限责任公司</t>
        </is>
      </c>
      <c r="F443" s="716" t="n"/>
      <c r="G443" s="716" t="n"/>
      <c r="H443" s="462" t="n"/>
    </row>
    <row r="444">
      <c r="A444" s="672" t="inlineStr">
        <is>
          <t>E100561</t>
        </is>
      </c>
      <c r="B444" s="767">
        <f>ROW()</f>
        <v/>
      </c>
      <c r="C444" s="182" t="inlineStr">
        <is>
          <t>北京京能清洁能源（澳洲）控股有限公司</t>
        </is>
      </c>
      <c r="D444" s="182" t="inlineStr">
        <is>
          <t>ZI029E100543</t>
        </is>
      </c>
      <c r="E444" s="182" t="inlineStr">
        <is>
          <t>北京京能清洁能源电力股份（香港）有限公司</t>
        </is>
      </c>
      <c r="F444" s="716" t="n"/>
      <c r="G444" s="716" t="n"/>
      <c r="H444" s="462" t="n"/>
    </row>
    <row r="445">
      <c r="A445" s="672" t="inlineStr">
        <is>
          <t>E100561</t>
        </is>
      </c>
      <c r="B445" s="767">
        <f>ROW()</f>
        <v/>
      </c>
      <c r="C445" s="182" t="inlineStr">
        <is>
          <t>北京京能清洁能源（澳洲）控股有限公司</t>
        </is>
      </c>
      <c r="D445" s="182" t="inlineStr">
        <is>
          <t>ZI029E101045</t>
        </is>
      </c>
      <c r="E445" s="182" t="inlineStr">
        <is>
          <t>Beijing Energy International （Australia） Holding Pty Ltd</t>
        </is>
      </c>
      <c r="F445" s="716" t="n"/>
      <c r="G445" s="716" t="n"/>
      <c r="H445" s="462" t="n"/>
    </row>
    <row r="446">
      <c r="A446" s="672" t="inlineStr">
        <is>
          <t>E100543</t>
        </is>
      </c>
      <c r="B446" s="767">
        <f>ROW()</f>
        <v/>
      </c>
      <c r="C446" s="182" t="inlineStr">
        <is>
          <t>北京京能清洁能源电力股份（香港）有限公司</t>
        </is>
      </c>
      <c r="D446" s="182" t="inlineStr">
        <is>
          <t>ZI029E100001</t>
        </is>
      </c>
      <c r="E446" s="182" t="inlineStr">
        <is>
          <t>北京京能清洁能源电力股份有限公司</t>
        </is>
      </c>
      <c r="F446" s="716" t="n"/>
      <c r="G446" s="716" t="n"/>
      <c r="H446" s="462" t="n"/>
    </row>
    <row r="447">
      <c r="A447" s="672" t="inlineStr">
        <is>
          <t>E100543G</t>
        </is>
      </c>
      <c r="B447" s="767">
        <f>ROW()</f>
        <v/>
      </c>
      <c r="C447" s="182" t="inlineStr">
        <is>
          <t>北京京能清洁能源电力股份（香港）有限公司（合并）</t>
        </is>
      </c>
      <c r="D447" s="182" t="inlineStr">
        <is>
          <t>ZI029E100001</t>
        </is>
      </c>
      <c r="E447" s="182" t="inlineStr">
        <is>
          <t>北京京能清洁能源电力股份有限公司</t>
        </is>
      </c>
      <c r="F447" s="716" t="n"/>
      <c r="G447" s="716" t="n"/>
      <c r="H447" s="462" t="n"/>
    </row>
    <row r="448">
      <c r="A448" s="672" t="inlineStr">
        <is>
          <t>E100001</t>
        </is>
      </c>
      <c r="B448" s="767">
        <f>ROW()</f>
        <v/>
      </c>
      <c r="C448" s="182" t="inlineStr">
        <is>
          <t>北京京能清洁能源电力股份有限公司</t>
        </is>
      </c>
      <c r="D448" s="182" t="inlineStr">
        <is>
          <t>ZI029E100000</t>
        </is>
      </c>
      <c r="E448" s="182" t="inlineStr">
        <is>
          <t>北京能源集团有限责任公司</t>
        </is>
      </c>
      <c r="F448" s="716" t="n"/>
      <c r="G448" s="716" t="n"/>
      <c r="H448" s="462" t="n"/>
    </row>
    <row r="449">
      <c r="A449" s="672" t="inlineStr">
        <is>
          <t>E100001</t>
        </is>
      </c>
      <c r="B449" s="767">
        <f>ROW()</f>
        <v/>
      </c>
      <c r="C449" s="182" t="inlineStr">
        <is>
          <t>北京京能清洁能源电力股份有限公司</t>
        </is>
      </c>
      <c r="D449" s="182" t="inlineStr">
        <is>
          <t>ZI029E100197</t>
        </is>
      </c>
      <c r="E449" s="182" t="inlineStr">
        <is>
          <t>北京国际电气工程有限责任公司</t>
        </is>
      </c>
      <c r="F449" s="716" t="n"/>
      <c r="G449" s="716" t="n"/>
      <c r="H449" s="462" t="n"/>
    </row>
    <row r="450">
      <c r="A450" s="672" t="inlineStr">
        <is>
          <t>E100001</t>
        </is>
      </c>
      <c r="B450" s="767">
        <f>ROW()</f>
        <v/>
      </c>
      <c r="C450" s="182" t="inlineStr">
        <is>
          <t>北京京能清洁能源电力股份有限公司</t>
        </is>
      </c>
      <c r="D450" s="182" t="inlineStr">
        <is>
          <t>ZI029E100222</t>
        </is>
      </c>
      <c r="E450" s="182" t="inlineStr">
        <is>
          <t>北京市热力集团有限责任公司</t>
        </is>
      </c>
      <c r="F450" s="716" t="n"/>
      <c r="G450" s="716" t="n"/>
      <c r="H450" s="462" t="n"/>
    </row>
    <row r="451">
      <c r="A451" s="672" t="inlineStr">
        <is>
          <t>E100001</t>
        </is>
      </c>
      <c r="B451" s="767">
        <f>ROW()</f>
        <v/>
      </c>
      <c r="C451" s="182" t="inlineStr">
        <is>
          <t>北京京能清洁能源电力股份有限公司</t>
        </is>
      </c>
      <c r="D451" s="182" t="inlineStr">
        <is>
          <t>ZI029E100559</t>
        </is>
      </c>
      <c r="E451" s="182" t="inlineStr">
        <is>
          <t>北京能源投资集团（香港）有限公司</t>
        </is>
      </c>
      <c r="F451" s="716" t="n"/>
      <c r="G451" s="716" t="n"/>
      <c r="H451" s="462" t="n"/>
    </row>
    <row r="452">
      <c r="A452" s="672" t="inlineStr">
        <is>
          <t>E100001G</t>
        </is>
      </c>
      <c r="B452" s="767">
        <f>ROW()</f>
        <v/>
      </c>
      <c r="C452" s="182" t="inlineStr">
        <is>
          <t>北京京能清洁能源电力股份有限公司（合并）</t>
        </is>
      </c>
      <c r="D452" s="182" t="inlineStr">
        <is>
          <t>ZI029E100000</t>
        </is>
      </c>
      <c r="E452" s="182" t="inlineStr">
        <is>
          <t>北京能源集团有限责任公司</t>
        </is>
      </c>
      <c r="F452" s="716" t="n"/>
      <c r="G452" s="716" t="n"/>
      <c r="H452" s="462" t="n"/>
    </row>
    <row r="453">
      <c r="A453" s="672" t="inlineStr">
        <is>
          <t>E100001G</t>
        </is>
      </c>
      <c r="B453" s="767">
        <f>ROW()</f>
        <v/>
      </c>
      <c r="C453" s="182" t="inlineStr">
        <is>
          <t>北京京能清洁能源电力股份有限公司（合并）</t>
        </is>
      </c>
      <c r="D453" s="182" t="inlineStr">
        <is>
          <t>ZI029E100197</t>
        </is>
      </c>
      <c r="E453" s="182" t="inlineStr">
        <is>
          <t>北京国际电气工程有限责任公司</t>
        </is>
      </c>
      <c r="F453" s="716" t="n"/>
      <c r="G453" s="716" t="n"/>
      <c r="H453" s="462" t="n"/>
    </row>
    <row r="454">
      <c r="A454" s="672" t="inlineStr">
        <is>
          <t>E100001G</t>
        </is>
      </c>
      <c r="B454" s="767">
        <f>ROW()</f>
        <v/>
      </c>
      <c r="C454" s="182" t="inlineStr">
        <is>
          <t>北京京能清洁能源电力股份有限公司（合并）</t>
        </is>
      </c>
      <c r="D454" s="182" t="inlineStr">
        <is>
          <t>ZI029E100222</t>
        </is>
      </c>
      <c r="E454" s="182" t="inlineStr">
        <is>
          <t>北京市热力集团有限责任公司</t>
        </is>
      </c>
      <c r="F454" s="716" t="n"/>
      <c r="G454" s="716" t="n"/>
      <c r="H454" s="462" t="n"/>
    </row>
    <row r="455">
      <c r="A455" s="672" t="inlineStr">
        <is>
          <t>E100001G</t>
        </is>
      </c>
      <c r="B455" s="767">
        <f>ROW()</f>
        <v/>
      </c>
      <c r="C455" s="182" t="inlineStr">
        <is>
          <t>北京京能清洁能源电力股份有限公司（合并）</t>
        </is>
      </c>
      <c r="D455" s="182" t="inlineStr">
        <is>
          <t>ZI029E100559</t>
        </is>
      </c>
      <c r="E455" s="182" t="inlineStr">
        <is>
          <t>北京能源投资集团（香港）有限公司</t>
        </is>
      </c>
      <c r="F455" s="716" t="n"/>
      <c r="G455" s="716" t="n"/>
      <c r="H455" s="462" t="n"/>
    </row>
    <row r="456">
      <c r="A456" s="672" t="inlineStr">
        <is>
          <t>E100001H</t>
        </is>
      </c>
      <c r="B456" s="767">
        <f>ROW()</f>
        <v/>
      </c>
      <c r="C456" s="182" t="inlineStr">
        <is>
          <t>北京京能清洁能源电力股份有限公司（合并）本部</t>
        </is>
      </c>
      <c r="D456" s="182" t="inlineStr">
        <is>
          <t>ZI029E100000</t>
        </is>
      </c>
      <c r="E456" s="182" t="inlineStr">
        <is>
          <t>北京能源集团有限责任公司</t>
        </is>
      </c>
      <c r="F456" s="716" t="n"/>
      <c r="G456" s="716" t="n"/>
      <c r="H456" s="462" t="n"/>
    </row>
    <row r="457">
      <c r="A457" s="672" t="inlineStr">
        <is>
          <t>E100001H</t>
        </is>
      </c>
      <c r="B457" s="767">
        <f>ROW()</f>
        <v/>
      </c>
      <c r="C457" s="182" t="inlineStr">
        <is>
          <t>北京京能清洁能源电力股份有限公司（合并）本部</t>
        </is>
      </c>
      <c r="D457" s="182" t="inlineStr">
        <is>
          <t>ZI029E100197</t>
        </is>
      </c>
      <c r="E457" s="182" t="inlineStr">
        <is>
          <t>北京国际电气工程有限责任公司</t>
        </is>
      </c>
      <c r="F457" s="716" t="n"/>
      <c r="G457" s="716" t="n"/>
      <c r="H457" s="462" t="n"/>
    </row>
    <row r="458">
      <c r="A458" s="672" t="inlineStr">
        <is>
          <t>E100001H</t>
        </is>
      </c>
      <c r="B458" s="767">
        <f>ROW()</f>
        <v/>
      </c>
      <c r="C458" s="182" t="inlineStr">
        <is>
          <t>北京京能清洁能源电力股份有限公司（合并）本部</t>
        </is>
      </c>
      <c r="D458" s="182" t="inlineStr">
        <is>
          <t>ZI029E100222</t>
        </is>
      </c>
      <c r="E458" s="182" t="inlineStr">
        <is>
          <t>北京市热力集团有限责任公司</t>
        </is>
      </c>
      <c r="F458" s="716" t="n"/>
      <c r="G458" s="716" t="n"/>
      <c r="H458" s="462" t="n"/>
    </row>
    <row r="459">
      <c r="A459" s="672" t="inlineStr">
        <is>
          <t>E100001H</t>
        </is>
      </c>
      <c r="B459" s="767">
        <f>ROW()</f>
        <v/>
      </c>
      <c r="C459" s="182" t="inlineStr">
        <is>
          <t>北京京能清洁能源电力股份有限公司（合并）本部</t>
        </is>
      </c>
      <c r="D459" s="182" t="inlineStr">
        <is>
          <t>ZI029E100559</t>
        </is>
      </c>
      <c r="E459" s="182" t="inlineStr">
        <is>
          <t>北京能源投资集团（香港）有限公司</t>
        </is>
      </c>
      <c r="F459" s="716" t="n"/>
      <c r="G459" s="716" t="n"/>
      <c r="H459" s="462" t="n"/>
    </row>
    <row r="460">
      <c r="A460" s="672" t="inlineStr">
        <is>
          <t>E100792</t>
        </is>
      </c>
      <c r="B460" s="767">
        <f>ROW()</f>
        <v/>
      </c>
      <c r="C460" s="182" t="inlineStr">
        <is>
          <t>北京京能清洁能源电力股份有限公司新疆分公司</t>
        </is>
      </c>
      <c r="D460" s="182" t="inlineStr">
        <is>
          <t>ZI029E100001</t>
        </is>
      </c>
      <c r="E460" s="182" t="inlineStr">
        <is>
          <t>北京京能清洁能源电力股份有限公司</t>
        </is>
      </c>
      <c r="F460" s="716" t="n"/>
      <c r="G460" s="716" t="n"/>
      <c r="H460" s="462" t="n"/>
    </row>
    <row r="461">
      <c r="A461" s="672" t="inlineStr">
        <is>
          <t>E100259</t>
        </is>
      </c>
      <c r="B461" s="767">
        <f>ROW()</f>
        <v/>
      </c>
      <c r="C461" s="182" t="inlineStr">
        <is>
          <t>北京京能热力发展有限公司</t>
        </is>
      </c>
      <c r="D461" s="182" t="inlineStr">
        <is>
          <t>ZI029E100000</t>
        </is>
      </c>
      <c r="E461" s="182" t="inlineStr">
        <is>
          <t>北京能源集团有限责任公司</t>
        </is>
      </c>
      <c r="F461" s="716" t="n"/>
      <c r="G461" s="716" t="n"/>
      <c r="H461" s="462" t="n"/>
    </row>
    <row r="462">
      <c r="A462" s="672" t="inlineStr">
        <is>
          <t>E100259</t>
        </is>
      </c>
      <c r="B462" s="767">
        <f>ROW()</f>
        <v/>
      </c>
      <c r="C462" s="182" t="inlineStr">
        <is>
          <t>北京京能热力发展有限公司</t>
        </is>
      </c>
      <c r="D462" s="182" t="inlineStr">
        <is>
          <t>ZI029E100222</t>
        </is>
      </c>
      <c r="E462" s="182" t="inlineStr">
        <is>
          <t>北京市热力集团有限责任公司</t>
        </is>
      </c>
      <c r="F462" s="716" t="n"/>
      <c r="G462" s="716" t="n"/>
      <c r="H462" s="462" t="n"/>
    </row>
    <row r="463">
      <c r="A463" s="672" t="inlineStr">
        <is>
          <t>E100259G</t>
        </is>
      </c>
      <c r="B463" s="767">
        <f>ROW()</f>
        <v/>
      </c>
      <c r="C463" s="182" t="inlineStr">
        <is>
          <t>北京京能热力发展有限公司（合并）</t>
        </is>
      </c>
      <c r="D463" s="182" t="inlineStr">
        <is>
          <t>ZI029E100000</t>
        </is>
      </c>
      <c r="E463" s="182" t="inlineStr">
        <is>
          <t>北京能源集团有限责任公司</t>
        </is>
      </c>
      <c r="F463" s="716" t="n"/>
      <c r="G463" s="716" t="n"/>
      <c r="H463" s="462" t="n"/>
    </row>
    <row r="464">
      <c r="A464" s="672" t="inlineStr">
        <is>
          <t>E100259G</t>
        </is>
      </c>
      <c r="B464" s="767">
        <f>ROW()</f>
        <v/>
      </c>
      <c r="C464" s="182" t="inlineStr">
        <is>
          <t>北京京能热力发展有限公司（合并）</t>
        </is>
      </c>
      <c r="D464" s="182" t="inlineStr">
        <is>
          <t>ZI029E100222</t>
        </is>
      </c>
      <c r="E464" s="182" t="inlineStr">
        <is>
          <t>北京市热力集团有限责任公司</t>
        </is>
      </c>
      <c r="F464" s="716" t="n"/>
      <c r="G464" s="716" t="n"/>
      <c r="H464" s="462" t="n"/>
    </row>
    <row r="465">
      <c r="A465" s="672" t="inlineStr">
        <is>
          <t>E100196</t>
        </is>
      </c>
      <c r="B465" s="767">
        <f>ROW()</f>
        <v/>
      </c>
      <c r="C465" s="182" t="inlineStr">
        <is>
          <t>北京京能人力资源服务有限公司</t>
        </is>
      </c>
      <c r="D465" s="182" t="inlineStr">
        <is>
          <t>ZI029E100000</t>
        </is>
      </c>
      <c r="E465" s="182" t="inlineStr">
        <is>
          <t>北京能源集团有限责任公司</t>
        </is>
      </c>
      <c r="F465" s="716" t="n"/>
      <c r="G465" s="716" t="n"/>
      <c r="H465" s="462" t="n"/>
    </row>
    <row r="466">
      <c r="A466" s="672" t="inlineStr">
        <is>
          <t>E100106</t>
        </is>
      </c>
      <c r="B466" s="767">
        <f>ROW()</f>
        <v/>
      </c>
      <c r="C466" s="182" t="inlineStr">
        <is>
          <t>北京京能融资租赁有限公司</t>
        </is>
      </c>
      <c r="D466" s="182" t="inlineStr">
        <is>
          <t>ZI029E100000</t>
        </is>
      </c>
      <c r="E466" s="182" t="inlineStr">
        <is>
          <t>北京能源集团有限责任公司</t>
        </is>
      </c>
      <c r="F466" s="716" t="n"/>
      <c r="G466" s="716" t="n"/>
      <c r="H466" s="462" t="n"/>
    </row>
    <row r="467">
      <c r="A467" s="672" t="inlineStr">
        <is>
          <t>E100484</t>
        </is>
      </c>
      <c r="B467" s="767">
        <f>ROW()</f>
        <v/>
      </c>
      <c r="C467" s="182" t="inlineStr">
        <is>
          <t>北京京能同鑫投资管理有限公司</t>
        </is>
      </c>
      <c r="D467" s="182" t="inlineStr">
        <is>
          <t>ZI029E100000</t>
        </is>
      </c>
      <c r="E467" s="182" t="inlineStr">
        <is>
          <t>北京能源集团有限责任公司</t>
        </is>
      </c>
      <c r="F467" s="716" t="n"/>
      <c r="G467" s="716" t="n"/>
      <c r="H467" s="462" t="n"/>
    </row>
    <row r="468">
      <c r="A468" s="672" t="inlineStr">
        <is>
          <t>E100010</t>
        </is>
      </c>
      <c r="B468" s="767">
        <f>ROW()</f>
        <v/>
      </c>
      <c r="C468" s="182" t="inlineStr">
        <is>
          <t>北京京能未来燃气热电有限公司</t>
        </is>
      </c>
      <c r="D468" s="182" t="inlineStr">
        <is>
          <t>ZI029E100001</t>
        </is>
      </c>
      <c r="E468" s="182" t="inlineStr">
        <is>
          <t>北京京能清洁能源电力股份有限公司</t>
        </is>
      </c>
      <c r="F468" s="716" t="n"/>
      <c r="G468" s="716" t="n"/>
      <c r="H468" s="462" t="n"/>
    </row>
    <row r="469">
      <c r="A469" s="672" t="inlineStr">
        <is>
          <t>E100014</t>
        </is>
      </c>
      <c r="B469" s="767">
        <f>ROW()</f>
        <v/>
      </c>
      <c r="C469" s="182" t="inlineStr">
        <is>
          <t>北京京能新能源有限公司</t>
        </is>
      </c>
      <c r="D469" s="182" t="inlineStr">
        <is>
          <t>ZI029E100001</t>
        </is>
      </c>
      <c r="E469" s="182" t="inlineStr">
        <is>
          <t>北京京能清洁能源电力股份有限公司</t>
        </is>
      </c>
      <c r="F469" s="716" t="n"/>
      <c r="G469" s="716" t="n"/>
      <c r="H469" s="462" t="n"/>
    </row>
    <row r="470">
      <c r="A470" s="672" t="inlineStr">
        <is>
          <t>E100014G</t>
        </is>
      </c>
      <c r="B470" s="767">
        <f>ROW()</f>
        <v/>
      </c>
      <c r="C470" s="182" t="inlineStr">
        <is>
          <t>北京京能新能源有限公司（合并）</t>
        </is>
      </c>
      <c r="D470" s="182" t="inlineStr">
        <is>
          <t>ZI029E100001</t>
        </is>
      </c>
      <c r="E470" s="182" t="inlineStr">
        <is>
          <t>北京京能清洁能源电力股份有限公司</t>
        </is>
      </c>
      <c r="F470" s="716" t="n"/>
      <c r="G470" s="716" t="n"/>
      <c r="H470" s="462" t="n"/>
    </row>
    <row r="471">
      <c r="A471" s="672" t="inlineStr">
        <is>
          <t>E100014H</t>
        </is>
      </c>
      <c r="B471" s="767">
        <f>ROW()</f>
        <v/>
      </c>
      <c r="C471" s="182" t="inlineStr">
        <is>
          <t>北京京能新能源有限公司（合并）</t>
        </is>
      </c>
      <c r="D471" s="182" t="inlineStr">
        <is>
          <t>ZI029E100001</t>
        </is>
      </c>
      <c r="E471" s="182" t="inlineStr">
        <is>
          <t>北京京能清洁能源电力股份有限公司</t>
        </is>
      </c>
      <c r="F471" s="716" t="n"/>
      <c r="G471" s="716" t="n"/>
      <c r="H471" s="462" t="n"/>
    </row>
    <row r="472">
      <c r="A472" s="672" t="inlineStr">
        <is>
          <t>E101329</t>
        </is>
      </c>
      <c r="B472" s="767">
        <f>ROW()</f>
        <v/>
      </c>
      <c r="C472" s="182" t="inlineStr">
        <is>
          <t>北京光福综合能源有限公司</t>
        </is>
      </c>
      <c r="D472" s="182" t="inlineStr">
        <is>
          <t>ZI029E100001</t>
        </is>
      </c>
      <c r="E472" s="182" t="inlineStr">
        <is>
          <t>北京京能清洁能源电力股份有限公司</t>
        </is>
      </c>
      <c r="F472" s="716" t="n"/>
      <c r="G472" s="716" t="n"/>
      <c r="H472" s="462" t="n"/>
    </row>
    <row r="473">
      <c r="A473" s="672" t="inlineStr">
        <is>
          <t>E100198</t>
        </is>
      </c>
      <c r="B473" s="767">
        <f>ROW()</f>
        <v/>
      </c>
      <c r="C473" s="182" t="inlineStr">
        <is>
          <t>北京京能信息技术有限公司</t>
        </is>
      </c>
      <c r="D473" s="182" t="inlineStr">
        <is>
          <t>ZI029E100000</t>
        </is>
      </c>
      <c r="E473" s="182" t="inlineStr">
        <is>
          <t>北京能源集团有限责任公司</t>
        </is>
      </c>
      <c r="F473" s="716" t="n"/>
      <c r="G473" s="716" t="n"/>
      <c r="H473" s="462" t="n"/>
    </row>
    <row r="474">
      <c r="A474" s="672" t="inlineStr">
        <is>
          <t>E100198</t>
        </is>
      </c>
      <c r="B474" s="767">
        <f>ROW()</f>
        <v/>
      </c>
      <c r="C474" s="182" t="inlineStr">
        <is>
          <t>北京京能信息技术有限公司</t>
        </is>
      </c>
      <c r="D474" s="182" t="inlineStr">
        <is>
          <t>ZI029E100197</t>
        </is>
      </c>
      <c r="E474" s="182" t="inlineStr">
        <is>
          <t>北京国际电气工程有限责任公司</t>
        </is>
      </c>
      <c r="F474" s="716" t="n"/>
      <c r="G474" s="716" t="n"/>
      <c r="H474" s="462" t="n"/>
    </row>
    <row r="475">
      <c r="A475" s="672" t="inlineStr">
        <is>
          <t>E100244</t>
        </is>
      </c>
      <c r="B475" s="767">
        <f>ROW()</f>
        <v/>
      </c>
      <c r="C475" s="182" t="inlineStr">
        <is>
          <t>北京京能延庆热力有限责任公司</t>
        </is>
      </c>
      <c r="D475" s="182" t="inlineStr">
        <is>
          <t>ZI029E100259</t>
        </is>
      </c>
      <c r="E475" s="182" t="inlineStr">
        <is>
          <t>北京京能热力发展有限公司</t>
        </is>
      </c>
      <c r="F475" s="716" t="n"/>
      <c r="G475" s="716" t="n"/>
      <c r="H475" s="462" t="n"/>
    </row>
    <row r="476">
      <c r="A476" s="672" t="inlineStr">
        <is>
          <t>E100946</t>
        </is>
      </c>
      <c r="B476" s="767">
        <f>ROW()</f>
        <v/>
      </c>
      <c r="C476" s="182" t="inlineStr">
        <is>
          <t>北京京能雁栖新能源技术有限公司</t>
        </is>
      </c>
      <c r="D476" s="182" t="inlineStr">
        <is>
          <t>ZI029E100730</t>
        </is>
      </c>
      <c r="E476" s="182" t="inlineStr">
        <is>
          <t>京能国际能源发展（北京）有限公司</t>
        </is>
      </c>
      <c r="F476" s="716" t="n"/>
      <c r="G476" s="716" t="n"/>
      <c r="H476" s="462" t="n"/>
    </row>
    <row r="477">
      <c r="A477" s="672" t="inlineStr">
        <is>
          <t>E100566</t>
        </is>
      </c>
      <c r="B477" s="767">
        <f>ROW()</f>
        <v/>
      </c>
      <c r="C477" s="182" t="inlineStr">
        <is>
          <t>北京京能燕开综合能源服务有限公司</t>
        </is>
      </c>
      <c r="D477" s="182" t="inlineStr">
        <is>
          <t>ZI029E100405</t>
        </is>
      </c>
      <c r="E477" s="182" t="inlineStr">
        <is>
          <t>北京高新技术创业投资有限公司</t>
        </is>
      </c>
      <c r="F477" s="716" t="n"/>
      <c r="G477" s="716" t="n"/>
      <c r="H477" s="462" t="n"/>
    </row>
    <row r="478">
      <c r="A478" s="672" t="inlineStr">
        <is>
          <t>E100345</t>
        </is>
      </c>
      <c r="B478" s="767">
        <f>ROW()</f>
        <v/>
      </c>
      <c r="C478" s="182" t="inlineStr">
        <is>
          <t>北京京能颐寿养老服务有限公司</t>
        </is>
      </c>
      <c r="D478" s="182" t="inlineStr">
        <is>
          <t>ZI029E100268</t>
        </is>
      </c>
      <c r="E478" s="182" t="inlineStr">
        <is>
          <t>北京京煤集团有限责任公司</t>
        </is>
      </c>
      <c r="F478" s="716" t="n"/>
      <c r="G478" s="716" t="n"/>
      <c r="H478" s="462" t="n"/>
    </row>
    <row r="479">
      <c r="A479" s="672" t="inlineStr">
        <is>
          <t>E100218</t>
        </is>
      </c>
      <c r="B479" s="767">
        <f>ROW()</f>
        <v/>
      </c>
      <c r="C479" s="182" t="inlineStr">
        <is>
          <t>北京京能油气资源开发有限公司</t>
        </is>
      </c>
      <c r="D479" s="182" t="inlineStr">
        <is>
          <t>ZI029E100000</t>
        </is>
      </c>
      <c r="E479" s="182" t="inlineStr">
        <is>
          <t>北京能源集团有限责任公司</t>
        </is>
      </c>
      <c r="F479" s="716" t="n"/>
      <c r="G479" s="716" t="n"/>
      <c r="H479" s="462" t="n"/>
    </row>
    <row r="480">
      <c r="A480" s="672" t="inlineStr">
        <is>
          <t>E100218G</t>
        </is>
      </c>
      <c r="B480" s="767">
        <f>ROW()</f>
        <v/>
      </c>
      <c r="C480" s="182" t="inlineStr">
        <is>
          <t>北京京能油气资源开发有限公司（合并）</t>
        </is>
      </c>
      <c r="D480" s="182" t="inlineStr">
        <is>
          <t>ZI029E100000</t>
        </is>
      </c>
      <c r="E480" s="182" t="inlineStr">
        <is>
          <t>北京能源集团有限责任公司</t>
        </is>
      </c>
      <c r="F480" s="716" t="n"/>
      <c r="G480" s="716" t="n"/>
      <c r="H480" s="462" t="n"/>
    </row>
    <row r="481">
      <c r="A481" s="672" t="inlineStr">
        <is>
          <t>E100426</t>
        </is>
      </c>
      <c r="B481" s="767">
        <f>ROW()</f>
        <v/>
      </c>
      <c r="C481" s="182" t="inlineStr">
        <is>
          <t>北京京能云泰房地产开发有限公司</t>
        </is>
      </c>
      <c r="D481" s="182" t="inlineStr">
        <is>
          <t>ZI029E100000</t>
        </is>
      </c>
      <c r="E481" s="182" t="inlineStr">
        <is>
          <t>北京能源集团有限责任公司</t>
        </is>
      </c>
      <c r="F481" s="716" t="n"/>
      <c r="G481" s="716" t="n"/>
      <c r="H481" s="462" t="n"/>
    </row>
    <row r="482">
      <c r="A482" s="672" t="inlineStr">
        <is>
          <t>E100426</t>
        </is>
      </c>
      <c r="B482" s="767">
        <f>ROW()</f>
        <v/>
      </c>
      <c r="C482" s="182" t="inlineStr">
        <is>
          <t>北京京能云泰房地产开发有限公司</t>
        </is>
      </c>
      <c r="D482" s="182" t="inlineStr">
        <is>
          <t>ZI029E100420</t>
        </is>
      </c>
      <c r="E482" s="182" t="inlineStr">
        <is>
          <t>京能置业股份有限公司</t>
        </is>
      </c>
      <c r="F482" s="716" t="n"/>
      <c r="G482" s="716" t="n"/>
      <c r="H482" s="462" t="n"/>
    </row>
    <row r="483">
      <c r="A483" s="672" t="inlineStr">
        <is>
          <t>E100102</t>
        </is>
      </c>
      <c r="B483" s="767">
        <f>ROW()</f>
        <v/>
      </c>
      <c r="C483" s="182" t="inlineStr">
        <is>
          <t>北京京能招标集采中心有限责任公司</t>
        </is>
      </c>
      <c r="D483" s="182" t="inlineStr">
        <is>
          <t>ZI029E100000</t>
        </is>
      </c>
      <c r="E483" s="182" t="inlineStr">
        <is>
          <t>北京能源集团有限责任公司</t>
        </is>
      </c>
      <c r="F483" s="716" t="n"/>
      <c r="G483" s="716" t="n"/>
      <c r="H483" s="462" t="n"/>
    </row>
    <row r="484">
      <c r="A484" s="672" t="inlineStr">
        <is>
          <t>E100005</t>
        </is>
      </c>
      <c r="B484" s="767">
        <f>ROW()</f>
        <v/>
      </c>
      <c r="C484" s="182" t="inlineStr">
        <is>
          <t>北京京桥热电有限责任公司</t>
        </is>
      </c>
      <c r="D484" s="182" t="inlineStr">
        <is>
          <t>ZI029E100001</t>
        </is>
      </c>
      <c r="E484" s="182" t="inlineStr">
        <is>
          <t>北京京能清洁能源电力股份有限公司</t>
        </is>
      </c>
      <c r="F484" s="716" t="n"/>
      <c r="G484" s="716" t="n"/>
      <c r="H484" s="462" t="n"/>
    </row>
    <row r="485">
      <c r="A485" s="672" t="inlineStr">
        <is>
          <t>E100300</t>
        </is>
      </c>
      <c r="B485" s="767">
        <f>ROW()</f>
        <v/>
      </c>
      <c r="C485" s="182" t="inlineStr">
        <is>
          <t>北京京西晨光饭店有限责任公司</t>
        </is>
      </c>
      <c r="D485" s="182" t="inlineStr">
        <is>
          <t>ZI029E100293</t>
        </is>
      </c>
      <c r="E485" s="182" t="inlineStr">
        <is>
          <t>北京京能酒店管理有限公司</t>
        </is>
      </c>
      <c r="F485" s="716" t="n"/>
      <c r="G485" s="716" t="n"/>
      <c r="H485" s="462" t="n"/>
    </row>
    <row r="486">
      <c r="A486" s="672" t="inlineStr">
        <is>
          <t>E100007</t>
        </is>
      </c>
      <c r="B486" s="767">
        <f>ROW()</f>
        <v/>
      </c>
      <c r="C486" s="182" t="inlineStr">
        <is>
          <t>北京京西发电有限责任公司</t>
        </is>
      </c>
      <c r="D486" s="182" t="inlineStr">
        <is>
          <t>ZI029E100000</t>
        </is>
      </c>
      <c r="E486" s="182" t="inlineStr">
        <is>
          <t>北京能源集团有限责任公司</t>
        </is>
      </c>
      <c r="F486" s="716" t="n"/>
      <c r="G486" s="716" t="n"/>
      <c r="H486" s="462" t="n"/>
    </row>
    <row r="487">
      <c r="A487" s="672" t="inlineStr">
        <is>
          <t>E100454</t>
        </is>
      </c>
      <c r="B487" s="767">
        <f>ROW()</f>
        <v/>
      </c>
      <c r="C487" s="182" t="inlineStr">
        <is>
          <t>北京京西建筑勘察设计院有限公司</t>
        </is>
      </c>
      <c r="D487" s="182" t="inlineStr">
        <is>
          <t>ZI029E100422</t>
        </is>
      </c>
      <c r="E487" s="182" t="inlineStr">
        <is>
          <t>北京京能建设集团有限公司</t>
        </is>
      </c>
      <c r="F487" s="716" t="n"/>
      <c r="G487" s="716" t="n"/>
      <c r="H487" s="462" t="n"/>
    </row>
    <row r="488">
      <c r="A488" s="672" t="inlineStr">
        <is>
          <t>E100006</t>
        </is>
      </c>
      <c r="B488" s="767">
        <f>ROW()</f>
        <v/>
      </c>
      <c r="C488" s="182" t="inlineStr">
        <is>
          <t>北京京西燃气热电有限公司</t>
        </is>
      </c>
      <c r="D488" s="182" t="inlineStr">
        <is>
          <t>ZI029E100001</t>
        </is>
      </c>
      <c r="E488" s="182" t="inlineStr">
        <is>
          <t>北京京能清洁能源电力股份有限公司</t>
        </is>
      </c>
      <c r="F488" s="716" t="n"/>
      <c r="G488" s="716" t="n"/>
      <c r="H488" s="462" t="n"/>
    </row>
    <row r="489">
      <c r="A489" s="672" t="inlineStr">
        <is>
          <t>E100728</t>
        </is>
      </c>
      <c r="B489" s="767">
        <f>ROW()</f>
        <v/>
      </c>
      <c r="C489" s="182" t="inlineStr">
        <is>
          <t>北京京西生态文旅投资有限公司</t>
        </is>
      </c>
      <c r="D489" s="182" t="inlineStr">
        <is>
          <t>ZI029E100000</t>
        </is>
      </c>
      <c r="E489" s="182" t="inlineStr">
        <is>
          <t>北京能源集团有限责任公司</t>
        </is>
      </c>
      <c r="F489" s="716" t="n"/>
      <c r="G489" s="716" t="n"/>
      <c r="H489" s="462" t="n"/>
    </row>
    <row r="490">
      <c r="A490" s="672" t="inlineStr">
        <is>
          <t>E100728</t>
        </is>
      </c>
      <c r="B490" s="767">
        <f>ROW()</f>
        <v/>
      </c>
      <c r="C490" s="182" t="inlineStr">
        <is>
          <t>北京京西生态文旅投资有限公司</t>
        </is>
      </c>
      <c r="D490" s="182" t="inlineStr">
        <is>
          <t>ZI029E100268</t>
        </is>
      </c>
      <c r="E490" s="182" t="inlineStr">
        <is>
          <t>北京京煤集团有限责任公司</t>
        </is>
      </c>
      <c r="F490" s="716" t="n"/>
      <c r="G490" s="716" t="n"/>
      <c r="H490" s="462" t="n"/>
    </row>
    <row r="491">
      <c r="A491" s="672" t="inlineStr">
        <is>
          <t>E100243</t>
        </is>
      </c>
      <c r="B491" s="767">
        <f>ROW()</f>
        <v/>
      </c>
      <c r="C491" s="182" t="inlineStr">
        <is>
          <t>北京科利源热电有限公司</t>
        </is>
      </c>
      <c r="D491" s="182" t="inlineStr">
        <is>
          <t>ZI029E100259</t>
        </is>
      </c>
      <c r="E491" s="182" t="inlineStr">
        <is>
          <t>北京京能热力发展有限公司</t>
        </is>
      </c>
      <c r="F491" s="716" t="n"/>
      <c r="G491" s="716" t="n"/>
      <c r="H491" s="462" t="n"/>
    </row>
    <row r="492">
      <c r="A492" s="672" t="inlineStr">
        <is>
          <t>E100191</t>
        </is>
      </c>
      <c r="B492" s="767">
        <f>ROW()</f>
        <v/>
      </c>
      <c r="C492" s="182" t="inlineStr">
        <is>
          <t>北京乐多港发展有限公司</t>
        </is>
      </c>
      <c r="D492" s="182" t="inlineStr">
        <is>
          <t>ZI029E100000</t>
        </is>
      </c>
      <c r="E492" s="182" t="inlineStr">
        <is>
          <t>北京能源集团有限责任公司</t>
        </is>
      </c>
      <c r="F492" s="716" t="n"/>
      <c r="G492" s="716" t="n"/>
      <c r="H492" s="462" t="n"/>
    </row>
    <row r="493">
      <c r="A493" s="672" t="inlineStr">
        <is>
          <t>E100191G</t>
        </is>
      </c>
      <c r="B493" s="767">
        <f>ROW()</f>
        <v/>
      </c>
      <c r="C493" s="182" t="inlineStr">
        <is>
          <t>北京乐多港发展有限公司（合并）</t>
        </is>
      </c>
      <c r="D493" s="182" t="inlineStr">
        <is>
          <t>ZI029E100000</t>
        </is>
      </c>
      <c r="E493" s="182" t="inlineStr">
        <is>
          <t>北京能源集团有限责任公司</t>
        </is>
      </c>
      <c r="F493" s="716" t="n"/>
      <c r="G493" s="716" t="n"/>
      <c r="H493" s="462" t="n"/>
    </row>
    <row r="494">
      <c r="A494" s="672" t="inlineStr">
        <is>
          <t>E100194</t>
        </is>
      </c>
      <c r="B494" s="767">
        <f>ROW()</f>
        <v/>
      </c>
      <c r="C494" s="182" t="inlineStr">
        <is>
          <t>北京乐多港发展有限公司乐多港万豪酒店分公司</t>
        </is>
      </c>
      <c r="D494" s="182" t="inlineStr">
        <is>
          <t>ZI029E100191</t>
        </is>
      </c>
      <c r="E494" s="182" t="inlineStr">
        <is>
          <t>北京乐多港发展有限公司</t>
        </is>
      </c>
      <c r="F494" s="716" t="n"/>
      <c r="G494" s="716" t="n"/>
      <c r="H494" s="462" t="n"/>
    </row>
    <row r="495">
      <c r="A495" s="672" t="inlineStr">
        <is>
          <t>E100193</t>
        </is>
      </c>
      <c r="B495" s="767">
        <f>ROW()</f>
        <v/>
      </c>
      <c r="C495" s="182" t="inlineStr">
        <is>
          <t>北京乐多港发展有限公司商业分公司</t>
        </is>
      </c>
      <c r="D495" s="182" t="inlineStr">
        <is>
          <t>ZI029E100191</t>
        </is>
      </c>
      <c r="E495" s="182" t="inlineStr">
        <is>
          <t>北京乐多港发展有限公司</t>
        </is>
      </c>
      <c r="F495" s="716" t="n"/>
      <c r="G495" s="716" t="n"/>
      <c r="H495" s="462" t="n"/>
    </row>
    <row r="496">
      <c r="A496" s="672" t="inlineStr">
        <is>
          <t>E100192</t>
        </is>
      </c>
      <c r="B496" s="767">
        <f>ROW()</f>
        <v/>
      </c>
      <c r="C496" s="182" t="inlineStr">
        <is>
          <t>北京乐多港发展有限公司文化旅游分公司</t>
        </is>
      </c>
      <c r="D496" s="182" t="inlineStr">
        <is>
          <t>ZI029E100191</t>
        </is>
      </c>
      <c r="E496" s="182" t="inlineStr">
        <is>
          <t>北京乐多港发展有限公司</t>
        </is>
      </c>
      <c r="F496" s="716" t="n"/>
      <c r="G496" s="716" t="n"/>
      <c r="H496" s="462" t="n"/>
    </row>
    <row r="497">
      <c r="A497" s="672" t="inlineStr">
        <is>
          <t>E100558</t>
        </is>
      </c>
      <c r="B497" s="767">
        <f>ROW()</f>
        <v/>
      </c>
      <c r="C497" s="182" t="inlineStr">
        <is>
          <t>北京能工荟智机器人有限责任公司</t>
        </is>
      </c>
      <c r="D497" s="182" t="inlineStr">
        <is>
          <t>ZI029E100200</t>
        </is>
      </c>
      <c r="E497" s="182" t="inlineStr">
        <is>
          <t>北京京能能源技术研究有限责任公司</t>
        </is>
      </c>
      <c r="F497" s="716" t="n"/>
      <c r="G497" s="716" t="n"/>
      <c r="H497" s="462" t="n"/>
    </row>
    <row r="498">
      <c r="A498" s="672" t="inlineStr">
        <is>
          <t>E100724</t>
        </is>
      </c>
      <c r="B498" s="767">
        <f>ROW()</f>
        <v/>
      </c>
      <c r="C498" s="182" t="inlineStr">
        <is>
          <t>北京能锐大数据有限责任公司</t>
        </is>
      </c>
      <c r="D498" s="182" t="inlineStr">
        <is>
          <t>ZI029E100200</t>
        </is>
      </c>
      <c r="E498" s="182" t="inlineStr">
        <is>
          <t>北京京能能源技术研究有限责任公司</t>
        </is>
      </c>
      <c r="F498" s="716" t="n"/>
      <c r="G498" s="716" t="n"/>
      <c r="H498" s="462" t="n"/>
    </row>
    <row r="499">
      <c r="A499" s="672" t="inlineStr">
        <is>
          <t>E100747</t>
        </is>
      </c>
      <c r="B499" s="767">
        <f>ROW()</f>
        <v/>
      </c>
      <c r="C499" s="182" t="inlineStr">
        <is>
          <t>北京能源国际控股有限公司</t>
        </is>
      </c>
      <c r="D499" s="182" t="inlineStr">
        <is>
          <t>ZI029E100559</t>
        </is>
      </c>
      <c r="E499" s="182" t="inlineStr">
        <is>
          <t>北京能源投资(香港)有限公司</t>
        </is>
      </c>
      <c r="F499" s="716" t="n"/>
      <c r="G499" s="716" t="n"/>
      <c r="H499" s="462" t="n"/>
    </row>
    <row r="500">
      <c r="A500" s="672" t="inlineStr">
        <is>
          <t>E100235</t>
        </is>
      </c>
      <c r="B500" s="767">
        <f>ROW()</f>
        <v/>
      </c>
      <c r="C500" s="182" t="inlineStr">
        <is>
          <t>北京热力市政工程建设有限公司</t>
        </is>
      </c>
      <c r="D500" s="182" t="inlineStr">
        <is>
          <t>ZI029E100222</t>
        </is>
      </c>
      <c r="E500" s="182" t="inlineStr">
        <is>
          <t>北京市热力集团有限责任公司</t>
        </is>
      </c>
      <c r="F500" s="716" t="n"/>
      <c r="G500" s="716" t="n"/>
      <c r="H500" s="462" t="n"/>
    </row>
    <row r="501">
      <c r="A501" s="672" t="inlineStr">
        <is>
          <t>E100241</t>
        </is>
      </c>
      <c r="B501" s="767">
        <f>ROW()</f>
        <v/>
      </c>
      <c r="C501" s="182" t="inlineStr">
        <is>
          <t>北京热力特佳物业管理有限责任公司</t>
        </is>
      </c>
      <c r="D501" s="182" t="inlineStr">
        <is>
          <t>ZI029E100222</t>
        </is>
      </c>
      <c r="E501" s="182" t="inlineStr">
        <is>
          <t>北京市热力集团有限责任公司</t>
        </is>
      </c>
      <c r="F501" s="716" t="n"/>
      <c r="G501" s="716" t="n"/>
      <c r="H501" s="462" t="n"/>
    </row>
    <row r="502">
      <c r="A502" s="672" t="inlineStr">
        <is>
          <t>E100236</t>
        </is>
      </c>
      <c r="B502" s="767">
        <f>ROW()</f>
        <v/>
      </c>
      <c r="C502" s="182" t="inlineStr">
        <is>
          <t>北京热力智能控制技术有限责任公司</t>
        </is>
      </c>
      <c r="D502" s="182" t="inlineStr">
        <is>
          <t>ZI029E100222</t>
        </is>
      </c>
      <c r="E502" s="182" t="inlineStr">
        <is>
          <t>北京市热力集团有限责任公司</t>
        </is>
      </c>
      <c r="F502" s="716" t="n"/>
      <c r="G502" s="716" t="n"/>
      <c r="H502" s="462" t="n"/>
    </row>
    <row r="503">
      <c r="A503" s="672" t="inlineStr">
        <is>
          <t>E100238</t>
        </is>
      </c>
      <c r="B503" s="767">
        <f>ROW()</f>
        <v/>
      </c>
      <c r="C503" s="182" t="inlineStr">
        <is>
          <t>北京热力装备制造有限公司</t>
        </is>
      </c>
      <c r="D503" s="182" t="inlineStr">
        <is>
          <t>ZI029E100222</t>
        </is>
      </c>
      <c r="E503" s="182" t="inlineStr">
        <is>
          <t>北京市热力集团有限责任公司</t>
        </is>
      </c>
      <c r="F503" s="716" t="n"/>
      <c r="G503" s="716" t="n"/>
      <c r="H503" s="462" t="n"/>
    </row>
    <row r="504">
      <c r="A504" s="672" t="inlineStr">
        <is>
          <t>E100238G</t>
        </is>
      </c>
      <c r="B504" s="767">
        <f>ROW()</f>
        <v/>
      </c>
      <c r="C504" s="182" t="inlineStr">
        <is>
          <t>北京热力装备制造有限公司（合并）</t>
        </is>
      </c>
      <c r="D504" s="182" t="inlineStr">
        <is>
          <t>ZI029E100222</t>
        </is>
      </c>
      <c r="E504" s="182" t="inlineStr">
        <is>
          <t>北京市热力集团有限责任公司</t>
        </is>
      </c>
      <c r="F504" s="716" t="n"/>
      <c r="G504" s="716" t="n"/>
      <c r="H504" s="462" t="n"/>
    </row>
    <row r="505">
      <c r="A505" s="672" t="inlineStr">
        <is>
          <t>E100238H</t>
        </is>
      </c>
      <c r="B505" s="767">
        <f>ROW()</f>
        <v/>
      </c>
      <c r="C505" s="182" t="inlineStr">
        <is>
          <t>北京热力装备制造有限公司（母公司）</t>
        </is>
      </c>
      <c r="D505" s="182" t="inlineStr">
        <is>
          <t>ZI029E100222</t>
        </is>
      </c>
      <c r="E505" s="182" t="inlineStr">
        <is>
          <t>北京市热力集团有限责任公司</t>
        </is>
      </c>
      <c r="F505" s="716" t="n"/>
      <c r="G505" s="716" t="n"/>
      <c r="H505" s="462" t="n"/>
    </row>
    <row r="506">
      <c r="A506" s="672" t="inlineStr">
        <is>
          <t>E100009</t>
        </is>
      </c>
      <c r="B506" s="767">
        <f>ROW()</f>
        <v/>
      </c>
      <c r="C506" s="182" t="inlineStr">
        <is>
          <t>北京上庄燃气热电有限公司</t>
        </is>
      </c>
      <c r="D506" s="182" t="inlineStr">
        <is>
          <t>ZI029E100001</t>
        </is>
      </c>
      <c r="E506" s="182" t="inlineStr">
        <is>
          <t>北京京能清洁能源电力股份有限公司</t>
        </is>
      </c>
      <c r="F506" s="716" t="n"/>
      <c r="G506" s="716" t="n"/>
      <c r="H506" s="462" t="n"/>
    </row>
    <row r="507">
      <c r="A507" s="672" t="inlineStr">
        <is>
          <t>E100347</t>
        </is>
      </c>
      <c r="B507" s="767">
        <f>ROW()</f>
        <v/>
      </c>
      <c r="C507" s="182" t="inlineStr">
        <is>
          <t>北京市丰台区金泰福寿老年公寓</t>
        </is>
      </c>
      <c r="D507" s="182" t="inlineStr">
        <is>
          <t>ZI029E100353</t>
        </is>
      </c>
      <c r="E507" s="182" t="inlineStr">
        <is>
          <t>北京京能房产租赁经营有限责任公司</t>
        </is>
      </c>
      <c r="F507" s="716" t="n"/>
      <c r="G507" s="716" t="n"/>
      <c r="H507" s="462" t="n"/>
    </row>
    <row r="508">
      <c r="A508" s="672" t="inlineStr">
        <is>
          <t>E100233</t>
        </is>
      </c>
      <c r="B508" s="767">
        <f>ROW()</f>
        <v/>
      </c>
      <c r="C508" s="182" t="inlineStr">
        <is>
          <t>北京市热力工程设计有限责任公司</t>
        </is>
      </c>
      <c r="D508" s="182" t="inlineStr">
        <is>
          <t>ZI029E100222</t>
        </is>
      </c>
      <c r="E508" s="182" t="inlineStr">
        <is>
          <t>北京市热力集团有限责任公司</t>
        </is>
      </c>
      <c r="F508" s="716" t="n"/>
      <c r="G508" s="716" t="n"/>
      <c r="H508" s="462" t="n"/>
    </row>
    <row r="509">
      <c r="A509" s="672" t="inlineStr">
        <is>
          <t>E100233G</t>
        </is>
      </c>
      <c r="B509" s="767">
        <f>ROW()</f>
        <v/>
      </c>
      <c r="C509" s="182" t="inlineStr">
        <is>
          <t>北京市热力工程设计有限责任公司（合并）</t>
        </is>
      </c>
      <c r="D509" s="182" t="inlineStr">
        <is>
          <t>ZI029E100222</t>
        </is>
      </c>
      <c r="E509" s="182" t="inlineStr">
        <is>
          <t>北京市热力集团有限责任公司</t>
        </is>
      </c>
      <c r="F509" s="716" t="n"/>
      <c r="G509" s="716" t="n"/>
      <c r="H509" s="462" t="n"/>
    </row>
    <row r="510">
      <c r="A510" s="672" t="inlineStr">
        <is>
          <t>E100233H</t>
        </is>
      </c>
      <c r="B510" s="767">
        <f>ROW()</f>
        <v/>
      </c>
      <c r="C510" s="182" t="inlineStr">
        <is>
          <t>北京市热力工程设计有限责任公司（合并）本部</t>
        </is>
      </c>
      <c r="D510" s="182" t="inlineStr">
        <is>
          <t>ZI029E100222</t>
        </is>
      </c>
      <c r="E510" s="182" t="inlineStr">
        <is>
          <t>北京市热力集团有限责任公司</t>
        </is>
      </c>
      <c r="F510" s="716" t="n"/>
      <c r="G510" s="716" t="n"/>
      <c r="H510" s="462" t="n"/>
    </row>
    <row r="511">
      <c r="A511" s="672" t="inlineStr">
        <is>
          <t>E100222</t>
        </is>
      </c>
      <c r="B511" s="767">
        <f>ROW()</f>
        <v/>
      </c>
      <c r="C511" s="182" t="inlineStr">
        <is>
          <t>北京市热力集团有限责任公司</t>
        </is>
      </c>
      <c r="D511" s="182" t="inlineStr">
        <is>
          <t>ZI029E100000</t>
        </is>
      </c>
      <c r="E511" s="182" t="inlineStr">
        <is>
          <t>北京能源集团有限责任公司</t>
        </is>
      </c>
      <c r="F511" s="716" t="n"/>
      <c r="G511" s="716" t="n"/>
      <c r="H511" s="462" t="n"/>
    </row>
    <row r="512">
      <c r="A512" s="672" t="inlineStr">
        <is>
          <t>E100222G</t>
        </is>
      </c>
      <c r="B512" s="767">
        <f>ROW()</f>
        <v/>
      </c>
      <c r="C512" s="182" t="inlineStr">
        <is>
          <t>北京市热力集团有限责任公司（合并）</t>
        </is>
      </c>
      <c r="D512" s="182" t="inlineStr">
        <is>
          <t>ZI029E100000</t>
        </is>
      </c>
      <c r="E512" s="182" t="inlineStr">
        <is>
          <t>北京能源集团有限责任公司</t>
        </is>
      </c>
      <c r="F512" s="716" t="n"/>
      <c r="G512" s="716" t="n"/>
      <c r="H512" s="462" t="n"/>
    </row>
    <row r="513">
      <c r="A513" s="672" t="inlineStr">
        <is>
          <t>E100222H</t>
        </is>
      </c>
      <c r="B513" s="767">
        <f>ROW()</f>
        <v/>
      </c>
      <c r="C513" s="182" t="inlineStr">
        <is>
          <t>北京市热力集团有限责任公司（母公司）</t>
        </is>
      </c>
      <c r="D513" s="182" t="inlineStr">
        <is>
          <t>ZI029E100000</t>
        </is>
      </c>
      <c r="E513" s="182" t="inlineStr">
        <is>
          <t>北京能源集团有限责任公司</t>
        </is>
      </c>
      <c r="F513" s="716" t="n"/>
      <c r="G513" s="716" t="n"/>
      <c r="H513" s="462" t="n"/>
    </row>
    <row r="514">
      <c r="A514" s="672" t="inlineStr">
        <is>
          <t>E100250</t>
        </is>
      </c>
      <c r="B514" s="767">
        <f>ROW()</f>
        <v/>
      </c>
      <c r="C514" s="182" t="inlineStr">
        <is>
          <t>北京市热力集团有限责任公司培训中心</t>
        </is>
      </c>
      <c r="D514" s="182" t="inlineStr">
        <is>
          <t>ZI029E100222</t>
        </is>
      </c>
      <c r="E514" s="182" t="inlineStr">
        <is>
          <t>北京市热力集团有限责任公司</t>
        </is>
      </c>
      <c r="F514" s="716" t="n"/>
      <c r="G514" s="716" t="n"/>
      <c r="H514" s="462" t="n"/>
    </row>
    <row r="515">
      <c r="A515" s="672" t="inlineStr">
        <is>
          <t>E100251</t>
        </is>
      </c>
      <c r="B515" s="767">
        <f>ROW()</f>
        <v/>
      </c>
      <c r="C515" s="182" t="inlineStr">
        <is>
          <t>北京市热力职业技能培训学校</t>
        </is>
      </c>
      <c r="D515" s="182" t="inlineStr">
        <is>
          <t>ZI029E100222</t>
        </is>
      </c>
      <c r="E515" s="182" t="inlineStr">
        <is>
          <t>北京市热力集团有限责任公司</t>
        </is>
      </c>
      <c r="F515" s="716" t="n"/>
      <c r="G515" s="716" t="n"/>
      <c r="H515" s="462" t="n"/>
    </row>
    <row r="516">
      <c r="A516" s="672" t="inlineStr">
        <is>
          <t>E100245</t>
        </is>
      </c>
      <c r="B516" s="767">
        <f>ROW()</f>
        <v/>
      </c>
      <c r="C516" s="182" t="inlineStr">
        <is>
          <t>北京市特诚热力有限责任公司</t>
        </is>
      </c>
      <c r="D516" s="182" t="inlineStr">
        <is>
          <t>ZI029E100259</t>
        </is>
      </c>
      <c r="E516" s="182" t="inlineStr">
        <is>
          <t>北京京能热力发展有限公司</t>
        </is>
      </c>
      <c r="F516" s="716" t="n"/>
      <c r="G516" s="716" t="n"/>
      <c r="H516" s="462" t="n"/>
    </row>
    <row r="517">
      <c r="A517" s="672" t="inlineStr">
        <is>
          <t>E100245G</t>
        </is>
      </c>
      <c r="B517" s="767">
        <f>ROW()</f>
        <v/>
      </c>
      <c r="C517" s="182" t="inlineStr">
        <is>
          <t>北京市特诚热力有限责任公司（合并）</t>
        </is>
      </c>
      <c r="D517" s="182" t="inlineStr">
        <is>
          <t>ZI029E100259</t>
        </is>
      </c>
      <c r="E517" s="182" t="inlineStr">
        <is>
          <t>北京京能热力发展有限公司</t>
        </is>
      </c>
      <c r="F517" s="716" t="n"/>
      <c r="G517" s="716" t="n"/>
      <c r="H517" s="462" t="n"/>
    </row>
    <row r="518">
      <c r="A518" s="672" t="inlineStr">
        <is>
          <t>E100234</t>
        </is>
      </c>
      <c r="B518" s="767">
        <f>ROW()</f>
        <v/>
      </c>
      <c r="C518" s="182" t="inlineStr">
        <is>
          <t>北京市特得热力技术发展有限责任公司</t>
        </is>
      </c>
      <c r="D518" s="182" t="inlineStr">
        <is>
          <t>ZI029E100222</t>
        </is>
      </c>
      <c r="E518" s="182" t="inlineStr">
        <is>
          <t>北京市热力集团有限责任公司</t>
        </is>
      </c>
      <c r="F518" s="716" t="n"/>
      <c r="G518" s="716" t="n"/>
      <c r="H518" s="462" t="n"/>
    </row>
    <row r="519">
      <c r="A519" s="672" t="inlineStr">
        <is>
          <t>E100320</t>
        </is>
      </c>
      <c r="B519" s="767">
        <f>ROW()</f>
        <v/>
      </c>
      <c r="C519" s="182" t="inlineStr">
        <is>
          <t>北京市天创房地产开发有限公司</t>
        </is>
      </c>
      <c r="D519" s="182" t="inlineStr">
        <is>
          <t>ZI029E100268</t>
        </is>
      </c>
      <c r="E519" s="182" t="inlineStr">
        <is>
          <t>北京京煤集团有限责任公司</t>
        </is>
      </c>
      <c r="F519" s="716" t="n"/>
      <c r="G519" s="716" t="n"/>
      <c r="H519" s="462" t="n"/>
    </row>
    <row r="520">
      <c r="A520" s="672" t="inlineStr">
        <is>
          <t>E100435</t>
        </is>
      </c>
      <c r="B520" s="767">
        <f>ROW()</f>
        <v/>
      </c>
      <c r="C520" s="182" t="inlineStr">
        <is>
          <t>北京市西达房地产开发有限责任公司</t>
        </is>
      </c>
      <c r="D520" s="182" t="inlineStr">
        <is>
          <t>ZI029E100268</t>
        </is>
      </c>
      <c r="E520" s="182" t="inlineStr">
        <is>
          <t>北京京煤集团有限责任公司</t>
        </is>
      </c>
      <c r="F520" s="716" t="n"/>
      <c r="G520" s="716" t="n"/>
      <c r="H520" s="462" t="n"/>
    </row>
    <row r="521">
      <c r="A521" s="672" t="inlineStr">
        <is>
          <t>E100008</t>
        </is>
      </c>
      <c r="B521" s="767">
        <f>ROW()</f>
        <v/>
      </c>
      <c r="C521" s="182" t="inlineStr">
        <is>
          <t>北京太阳宫燃气热电有限公司</t>
        </is>
      </c>
      <c r="D521" s="182" t="inlineStr">
        <is>
          <t>ZI029E100001</t>
        </is>
      </c>
      <c r="E521" s="182" t="inlineStr">
        <is>
          <t>北京京能清洁能源电力股份有限公司</t>
        </is>
      </c>
      <c r="F521" s="716" t="n"/>
      <c r="G521" s="716" t="n"/>
      <c r="H521" s="462" t="n"/>
    </row>
    <row r="522">
      <c r="A522" s="672" t="inlineStr">
        <is>
          <t>E100239</t>
        </is>
      </c>
      <c r="B522" s="767">
        <f>ROW()</f>
        <v/>
      </c>
      <c r="C522" s="182" t="inlineStr">
        <is>
          <t>北京特洁能环保技术发展有限公司</t>
        </is>
      </c>
      <c r="D522" s="182" t="inlineStr">
        <is>
          <t>ZI029E100222</t>
        </is>
      </c>
      <c r="E522" s="182" t="inlineStr">
        <is>
          <t>北京市热力集团有限责任公司</t>
        </is>
      </c>
      <c r="F522" s="716" t="n"/>
      <c r="G522" s="716" t="n"/>
      <c r="H522" s="462" t="n"/>
    </row>
    <row r="523">
      <c r="A523" s="672" t="inlineStr">
        <is>
          <t>E100256</t>
        </is>
      </c>
      <c r="B523" s="767">
        <f>ROW()</f>
        <v/>
      </c>
      <c r="C523" s="182" t="inlineStr">
        <is>
          <t>北京特泽热力工程设计有限责任公司</t>
        </is>
      </c>
      <c r="D523" s="182" t="inlineStr">
        <is>
          <t>ZI029E100233</t>
        </is>
      </c>
      <c r="E523" s="182" t="inlineStr">
        <is>
          <t>北京市热力工程设计有限责任公司</t>
        </is>
      </c>
      <c r="F523" s="716" t="n"/>
      <c r="G523" s="716" t="n"/>
      <c r="H523" s="462" t="n"/>
    </row>
    <row r="524">
      <c r="A524" s="672" t="inlineStr">
        <is>
          <t>E100355</t>
        </is>
      </c>
      <c r="B524" s="767">
        <f>ROW()</f>
        <v/>
      </c>
      <c r="C524" s="182" t="inlineStr">
        <is>
          <t>北京天宁寺驻青园农副产品市场有限责任公司</t>
        </is>
      </c>
      <c r="D524" s="182" t="inlineStr">
        <is>
          <t>ZI029E100353</t>
        </is>
      </c>
      <c r="E524" s="182" t="inlineStr">
        <is>
          <t>北京京能房产租赁经营有限责任公司</t>
        </is>
      </c>
      <c r="F524" s="716" t="n"/>
      <c r="G524" s="716" t="n"/>
      <c r="H524" s="462" t="n"/>
    </row>
    <row r="525">
      <c r="A525" s="672" t="inlineStr">
        <is>
          <t>E100504</t>
        </is>
      </c>
      <c r="B525" s="767">
        <f>ROW()</f>
        <v/>
      </c>
      <c r="C525" s="182" t="inlineStr">
        <is>
          <t>北京天睿庄园商务中心有限公司</t>
        </is>
      </c>
      <c r="D525" s="182" t="inlineStr">
        <is>
          <t>ZI029E100302</t>
        </is>
      </c>
      <c r="E525" s="182" t="inlineStr">
        <is>
          <t>北京京辉高尔夫俱乐部有限公司</t>
        </is>
      </c>
      <c r="F525" s="716" t="n"/>
      <c r="G525" s="716" t="n"/>
      <c r="H525" s="462" t="n"/>
    </row>
    <row r="526">
      <c r="A526" s="672" t="inlineStr">
        <is>
          <t>E100504</t>
        </is>
      </c>
      <c r="B526" s="767">
        <f>ROW()</f>
        <v/>
      </c>
      <c r="C526" s="182" t="inlineStr">
        <is>
          <t>北京天睿庄园商务中心有限公司</t>
        </is>
      </c>
      <c r="D526" s="182" t="inlineStr">
        <is>
          <t>ZI029E100320</t>
        </is>
      </c>
      <c r="E526" s="182" t="inlineStr">
        <is>
          <t>北京市天创房地产开发有限公司</t>
        </is>
      </c>
      <c r="F526" s="716" t="n"/>
      <c r="G526" s="716" t="n"/>
      <c r="H526" s="462" t="n"/>
    </row>
    <row r="527">
      <c r="A527" s="672" t="inlineStr">
        <is>
          <t>E100490</t>
        </is>
      </c>
      <c r="B527" s="767">
        <f>ROW()</f>
        <v/>
      </c>
      <c r="C527" s="182" t="inlineStr">
        <is>
          <t>北京望京蓝天供热有限公司</t>
        </is>
      </c>
      <c r="D527" s="182" t="inlineStr">
        <is>
          <t>ZI029E100222</t>
        </is>
      </c>
      <c r="E527" s="182" t="inlineStr">
        <is>
          <t>北京市热力集团有限责任公司</t>
        </is>
      </c>
      <c r="F527" s="716" t="n"/>
      <c r="G527" s="716" t="n"/>
      <c r="H527" s="462" t="n"/>
    </row>
    <row r="528">
      <c r="A528" s="672" t="inlineStr">
        <is>
          <t>E100332</t>
        </is>
      </c>
      <c r="B528" s="767">
        <f>ROW()</f>
        <v/>
      </c>
      <c r="C528" s="182" t="inlineStr">
        <is>
          <t>北京鑫华源机械制造有限责任公司</t>
        </is>
      </c>
      <c r="D528" s="182" t="inlineStr">
        <is>
          <t>ZI029E100268</t>
        </is>
      </c>
      <c r="E528" s="182" t="inlineStr">
        <is>
          <t>北京京煤集团有限责任公司</t>
        </is>
      </c>
      <c r="F528" s="716" t="n"/>
      <c r="G528" s="716" t="n"/>
      <c r="H528" s="462" t="n"/>
    </row>
    <row r="529">
      <c r="A529" s="672" t="inlineStr">
        <is>
          <t>E100332G</t>
        </is>
      </c>
      <c r="B529" s="767">
        <f>ROW()</f>
        <v/>
      </c>
      <c r="C529" s="182" t="inlineStr">
        <is>
          <t>北京鑫华源机械制造有限责任公司（合并）</t>
        </is>
      </c>
      <c r="D529" s="182" t="inlineStr">
        <is>
          <t>ZI029E100268</t>
        </is>
      </c>
      <c r="E529" s="182" t="inlineStr">
        <is>
          <t>北京京煤集团有限责任公司</t>
        </is>
      </c>
      <c r="F529" s="716" t="n"/>
      <c r="G529" s="716" t="n"/>
      <c r="H529" s="462" t="n"/>
    </row>
    <row r="530">
      <c r="A530" s="672" t="inlineStr">
        <is>
          <t>E100374</t>
        </is>
      </c>
      <c r="B530" s="767">
        <f>ROW()</f>
        <v/>
      </c>
      <c r="C530" s="182" t="inlineStr">
        <is>
          <t>北京源深联众环保科技有限责任公司</t>
        </is>
      </c>
      <c r="D530" s="182" t="inlineStr">
        <is>
          <t>ZI029E100371</t>
        </is>
      </c>
      <c r="E530" s="182" t="inlineStr">
        <is>
          <t>北京京能科技有限公司</t>
        </is>
      </c>
      <c r="F530" s="716" t="n"/>
      <c r="G530" s="716" t="n"/>
      <c r="H530" s="462" t="n"/>
    </row>
    <row r="531">
      <c r="A531" s="672" t="inlineStr">
        <is>
          <t>E100404</t>
        </is>
      </c>
      <c r="B531" s="767">
        <f>ROW()</f>
        <v/>
      </c>
      <c r="C531" s="182" t="inlineStr">
        <is>
          <t>北京源深能源科技有限责任公司</t>
        </is>
      </c>
      <c r="D531" s="182" t="inlineStr">
        <is>
          <t>ZI029E100371</t>
        </is>
      </c>
      <c r="E531" s="182" t="inlineStr">
        <is>
          <t>北京京能科技有限公司</t>
        </is>
      </c>
      <c r="F531" s="716" t="n"/>
      <c r="G531" s="716" t="n"/>
      <c r="H531" s="462" t="n"/>
    </row>
    <row r="532">
      <c r="A532" s="672" t="inlineStr">
        <is>
          <t>E100572</t>
        </is>
      </c>
      <c r="B532" s="767">
        <f>ROW()</f>
        <v/>
      </c>
      <c r="C532" s="182" t="inlineStr">
        <is>
          <t>北京智慧互联能源有限公司</t>
        </is>
      </c>
      <c r="D532" s="182" t="inlineStr">
        <is>
          <t>ZI029E100405</t>
        </is>
      </c>
      <c r="E532" s="182" t="inlineStr">
        <is>
          <t>北京高新技术创业投资有限公司</t>
        </is>
      </c>
      <c r="F532" s="716" t="n"/>
      <c r="G532" s="716" t="n"/>
      <c r="H532" s="462" t="n"/>
    </row>
    <row r="533">
      <c r="A533" s="672" t="inlineStr">
        <is>
          <t>E100572</t>
        </is>
      </c>
      <c r="B533" s="767">
        <f>ROW()</f>
        <v/>
      </c>
      <c r="C533" s="182" t="inlineStr">
        <is>
          <t>北京智慧互联能源有限公司</t>
        </is>
      </c>
      <c r="D533" s="182" t="inlineStr">
        <is>
          <t>ZI029E100371</t>
        </is>
      </c>
      <c r="E533" s="182" t="inlineStr">
        <is>
          <t>北京京能科技有限公司</t>
        </is>
      </c>
      <c r="F533" s="716" t="n"/>
      <c r="G533" s="716" t="n"/>
      <c r="H533" s="462" t="n"/>
    </row>
    <row r="534">
      <c r="A534" s="672" t="inlineStr">
        <is>
          <t>E100565</t>
        </is>
      </c>
      <c r="B534" s="767">
        <f>ROW()</f>
        <v/>
      </c>
      <c r="C534" s="182" t="inlineStr">
        <is>
          <t>北京中观经济调查有限公司</t>
        </is>
      </c>
      <c r="D534" s="182" t="inlineStr">
        <is>
          <t>ZI029E100483</t>
        </is>
      </c>
      <c r="E534" s="182" t="inlineStr">
        <is>
          <t>投资北京国际有限公司</t>
        </is>
      </c>
      <c r="F534" s="716" t="n"/>
      <c r="G534" s="716" t="n"/>
      <c r="H534" s="462" t="n"/>
    </row>
    <row r="535">
      <c r="A535" s="672" t="inlineStr">
        <is>
          <t>E100380</t>
        </is>
      </c>
      <c r="B535" s="767">
        <f>ROW()</f>
        <v/>
      </c>
      <c r="C535" s="182" t="inlineStr">
        <is>
          <t>北京中冠宝新能源投资有限公司</t>
        </is>
      </c>
      <c r="D535" s="182" t="inlineStr">
        <is>
          <t>ZI029E100371</t>
        </is>
      </c>
      <c r="E535" s="182" t="inlineStr">
        <is>
          <t>北京京能科技有限公司</t>
        </is>
      </c>
      <c r="F535" s="716" t="n"/>
      <c r="G535" s="716" t="n"/>
      <c r="H535" s="462" t="n"/>
    </row>
    <row r="536">
      <c r="A536" s="672" t="inlineStr">
        <is>
          <t>E100048</t>
        </is>
      </c>
      <c r="B536" s="767">
        <f>ROW()</f>
        <v/>
      </c>
      <c r="C536" s="182" t="inlineStr">
        <is>
          <t>北票京能新能源有限公司</t>
        </is>
      </c>
      <c r="D536" s="182" t="inlineStr">
        <is>
          <t>ZI029E100001</t>
        </is>
      </c>
      <c r="E536" s="182" t="inlineStr">
        <is>
          <t>北京京能清洁能源电力股份有限公司</t>
        </is>
      </c>
      <c r="F536" s="716" t="n"/>
      <c r="G536" s="716" t="n"/>
      <c r="H536" s="462" t="n"/>
    </row>
    <row r="537">
      <c r="A537" s="672" t="inlineStr">
        <is>
          <t>E100813</t>
        </is>
      </c>
      <c r="B537" s="767">
        <f>ROW()</f>
        <v/>
      </c>
      <c r="C537" s="182" t="inlineStr">
        <is>
          <t>茶陵京能新能源有限公司</t>
        </is>
      </c>
      <c r="D537" s="182" t="inlineStr">
        <is>
          <t>ZI029E100730</t>
        </is>
      </c>
      <c r="E537" s="182" t="inlineStr">
        <is>
          <t>京能国际能源发展（北京）有限公司</t>
        </is>
      </c>
      <c r="F537" s="716" t="n"/>
      <c r="G537" s="716" t="n"/>
      <c r="H537" s="462" t="n"/>
    </row>
    <row r="538">
      <c r="A538" s="672" t="inlineStr">
        <is>
          <t>E100973</t>
        </is>
      </c>
      <c r="B538" s="767">
        <f>ROW()</f>
        <v/>
      </c>
      <c r="C538" s="182" t="inlineStr">
        <is>
          <t>察右前旗联合光伏发电有限公司</t>
        </is>
      </c>
      <c r="D538" s="182" t="inlineStr">
        <is>
          <t>ZI029E100735</t>
        </is>
      </c>
      <c r="E538" s="182" t="inlineStr">
        <is>
          <t>内蒙古京能新能源科技有限公司</t>
        </is>
      </c>
      <c r="F538" s="716" t="n"/>
      <c r="G538" s="716" t="n"/>
      <c r="H538" s="462" t="n"/>
    </row>
    <row r="539">
      <c r="A539" s="672" t="inlineStr">
        <is>
          <t>E100841</t>
        </is>
      </c>
      <c r="B539" s="767">
        <f>ROW()</f>
        <v/>
      </c>
      <c r="C539" s="182" t="inlineStr">
        <is>
          <t>昌吉亿晶光伏科技有限公司</t>
        </is>
      </c>
      <c r="D539" s="182" t="inlineStr">
        <is>
          <t>ZI029E100730</t>
        </is>
      </c>
      <c r="E539" s="182" t="inlineStr">
        <is>
          <t>京能国际能源发展（北京）有限公司</t>
        </is>
      </c>
      <c r="F539" s="716" t="n"/>
      <c r="G539" s="716" t="n"/>
      <c r="H539" s="462" t="n"/>
    </row>
    <row r="540">
      <c r="A540" s="672" t="inlineStr">
        <is>
          <t>E100064</t>
        </is>
      </c>
      <c r="B540" s="767">
        <f>ROW()</f>
        <v/>
      </c>
      <c r="C540" s="182" t="inlineStr">
        <is>
          <t>常德宏润新能源有限公司</t>
        </is>
      </c>
      <c r="D540" s="182" t="inlineStr">
        <is>
          <t>ZI029E100001</t>
        </is>
      </c>
      <c r="E540" s="182" t="inlineStr">
        <is>
          <t>北京京能清洁能源电力股份有限公司</t>
        </is>
      </c>
      <c r="F540" s="716" t="n"/>
      <c r="G540" s="716" t="n"/>
      <c r="H540" s="462" t="n"/>
    </row>
    <row r="541">
      <c r="A541" s="672" t="inlineStr">
        <is>
          <t>E100065</t>
        </is>
      </c>
      <c r="B541" s="767">
        <f>ROW()</f>
        <v/>
      </c>
      <c r="C541" s="182" t="inlineStr">
        <is>
          <t>常德瑞露新能源有限公司</t>
        </is>
      </c>
      <c r="D541" s="182" t="inlineStr">
        <is>
          <t>ZI029E100001</t>
        </is>
      </c>
      <c r="E541" s="182" t="inlineStr">
        <is>
          <t>北京京能清洁能源电力股份有限公司</t>
        </is>
      </c>
      <c r="F541" s="716" t="n"/>
      <c r="G541" s="716" t="n"/>
      <c r="H541" s="462" t="n"/>
    </row>
    <row r="542">
      <c r="A542" s="672" t="inlineStr">
        <is>
          <t>E100066</t>
        </is>
      </c>
      <c r="B542" s="767">
        <f>ROW()</f>
        <v/>
      </c>
      <c r="C542" s="182" t="inlineStr">
        <is>
          <t>常德润鹏新能源有限公司</t>
        </is>
      </c>
      <c r="D542" s="182" t="inlineStr">
        <is>
          <t>ZI029E100001</t>
        </is>
      </c>
      <c r="E542" s="182" t="inlineStr">
        <is>
          <t>北京京能清洁能源电力股份有限公司</t>
        </is>
      </c>
      <c r="F542" s="716" t="n"/>
      <c r="G542" s="716" t="n"/>
      <c r="H542" s="462" t="n"/>
    </row>
    <row r="543">
      <c r="A543" s="672" t="inlineStr">
        <is>
          <t>E100067</t>
        </is>
      </c>
      <c r="B543" s="767">
        <f>ROW()</f>
        <v/>
      </c>
      <c r="C543" s="182" t="inlineStr">
        <is>
          <t>常德润勇新能源有限公司</t>
        </is>
      </c>
      <c r="D543" s="182" t="inlineStr">
        <is>
          <t>ZI029E100001</t>
        </is>
      </c>
      <c r="E543" s="182" t="inlineStr">
        <is>
          <t>北京京能清洁能源电力股份有限公司</t>
        </is>
      </c>
      <c r="F543" s="716" t="n"/>
      <c r="G543" s="716" t="n"/>
      <c r="H543" s="462" t="n"/>
    </row>
    <row r="544">
      <c r="A544" s="672" t="inlineStr">
        <is>
          <t>E100069</t>
        </is>
      </c>
      <c r="B544" s="767">
        <f>ROW()</f>
        <v/>
      </c>
      <c r="C544" s="182" t="inlineStr">
        <is>
          <t>常宁光聚电力开发有限公司</t>
        </is>
      </c>
      <c r="D544" s="182" t="inlineStr">
        <is>
          <t>ZI029E100001</t>
        </is>
      </c>
      <c r="E544" s="182" t="inlineStr">
        <is>
          <t>北京京能清洁能源电力股份有限公司</t>
        </is>
      </c>
      <c r="F544" s="716" t="n"/>
      <c r="G544" s="716" t="n"/>
      <c r="H544" s="462" t="n"/>
    </row>
    <row r="545">
      <c r="A545" s="672" t="inlineStr">
        <is>
          <t>E100991</t>
        </is>
      </c>
      <c r="B545" s="767">
        <f>ROW()</f>
        <v/>
      </c>
      <c r="C545" s="182" t="inlineStr">
        <is>
          <t>常熟宏丰光伏电站开发有限公司</t>
        </is>
      </c>
      <c r="D545" s="182" t="inlineStr">
        <is>
          <t>ZI029E100988</t>
        </is>
      </c>
      <c r="E545" s="182" t="inlineStr">
        <is>
          <t>常州市招联绿睿新能源有限公司</t>
        </is>
      </c>
      <c r="F545" s="716" t="n"/>
      <c r="G545" s="716" t="n"/>
      <c r="H545" s="462" t="n"/>
    </row>
    <row r="546">
      <c r="A546" s="672" t="inlineStr">
        <is>
          <t>E100955</t>
        </is>
      </c>
      <c r="B546" s="767">
        <f>ROW()</f>
        <v/>
      </c>
      <c r="C546" s="182" t="inlineStr">
        <is>
          <t>常州鼎晖新能源有限公司</t>
        </is>
      </c>
      <c r="D546" s="182" t="inlineStr">
        <is>
          <t>ZI029E100734</t>
        </is>
      </c>
      <c r="E546" s="182" t="inlineStr">
        <is>
          <t>联合光伏（常州）投资集团有限公司</t>
        </is>
      </c>
      <c r="F546" s="716" t="n"/>
      <c r="G546" s="716" t="n"/>
      <c r="H546" s="462" t="n"/>
    </row>
    <row r="547">
      <c r="A547" s="672" t="inlineStr">
        <is>
          <t>E100956</t>
        </is>
      </c>
      <c r="B547" s="767">
        <f>ROW()</f>
        <v/>
      </c>
      <c r="C547" s="182" t="inlineStr">
        <is>
          <t>常州光昱新能源有限公司</t>
        </is>
      </c>
      <c r="D547" s="182" t="inlineStr">
        <is>
          <t>ZI029E100734</t>
        </is>
      </c>
      <c r="E547" s="182" t="inlineStr">
        <is>
          <t>联合光伏（常州）投资集团有限公司</t>
        </is>
      </c>
      <c r="F547" s="716" t="n"/>
      <c r="G547" s="716" t="n"/>
      <c r="H547" s="462" t="n"/>
    </row>
    <row r="548">
      <c r="A548" s="672" t="inlineStr">
        <is>
          <t>E100825</t>
        </is>
      </c>
      <c r="B548" s="767">
        <f>ROW()</f>
        <v/>
      </c>
      <c r="C548" s="182" t="inlineStr">
        <is>
          <t>常州晶恒光伏有限公司</t>
        </is>
      </c>
      <c r="D548" s="182" t="inlineStr">
        <is>
          <t>ZI029E100371</t>
        </is>
      </c>
      <c r="E548" s="182" t="inlineStr">
        <is>
          <t>北京京能科技有限公司</t>
        </is>
      </c>
      <c r="F548" s="716" t="n"/>
      <c r="G548" s="716" t="n"/>
      <c r="H548" s="462" t="n"/>
    </row>
    <row r="549">
      <c r="A549" s="672" t="inlineStr">
        <is>
          <t>E100960</t>
        </is>
      </c>
      <c r="B549" s="767">
        <f>ROW()</f>
        <v/>
      </c>
      <c r="C549" s="182" t="inlineStr">
        <is>
          <t>常州市晖达新能源有限公司</t>
        </is>
      </c>
      <c r="D549" s="182" t="inlineStr">
        <is>
          <t>ZI029E100958</t>
        </is>
      </c>
      <c r="E549" s="182" t="inlineStr">
        <is>
          <t>常州市招联绿港新能源有限公司</t>
        </is>
      </c>
      <c r="F549" s="716" t="n"/>
      <c r="G549" s="716" t="n"/>
      <c r="H549" s="462" t="n"/>
    </row>
    <row r="550">
      <c r="A550" s="672" t="inlineStr">
        <is>
          <t>E100985</t>
        </is>
      </c>
      <c r="B550" s="767">
        <f>ROW()</f>
        <v/>
      </c>
      <c r="C550" s="182" t="inlineStr">
        <is>
          <t>常州市招联绿邦新能源有限公司</t>
        </is>
      </c>
      <c r="D550" s="182" t="inlineStr">
        <is>
          <t>ZI029E100734</t>
        </is>
      </c>
      <c r="E550" s="182" t="inlineStr">
        <is>
          <t>联合光伏（常州）投资集团有限公司</t>
        </is>
      </c>
      <c r="F550" s="716" t="n"/>
      <c r="G550" s="716" t="n"/>
      <c r="H550" s="462" t="n"/>
    </row>
    <row r="551">
      <c r="A551" s="672" t="inlineStr">
        <is>
          <t>E101026</t>
        </is>
      </c>
      <c r="B551" s="767">
        <f>ROW()</f>
        <v/>
      </c>
      <c r="C551" s="182" t="inlineStr">
        <is>
          <t>常州市招联绿灿新能源有限公司</t>
        </is>
      </c>
      <c r="D551" s="182" t="inlineStr">
        <is>
          <t>ZI029E101025</t>
        </is>
      </c>
      <c r="E551" s="182" t="inlineStr">
        <is>
          <t>招联（珠海）清洁能源投资有限公司</t>
        </is>
      </c>
      <c r="F551" s="716" t="n"/>
      <c r="G551" s="716" t="n"/>
      <c r="H551" s="462" t="n"/>
    </row>
    <row r="552">
      <c r="A552" s="672" t="inlineStr">
        <is>
          <t>E100957</t>
        </is>
      </c>
      <c r="B552" s="767">
        <f>ROW()</f>
        <v/>
      </c>
      <c r="C552" s="182" t="inlineStr">
        <is>
          <t>常州市招联绿达新能源有限公司</t>
        </is>
      </c>
      <c r="D552" s="182" t="inlineStr">
        <is>
          <t>ZI029E100734</t>
        </is>
      </c>
      <c r="E552" s="182" t="inlineStr">
        <is>
          <t>联合光伏（常州）投资集团有限公司</t>
        </is>
      </c>
      <c r="F552" s="716" t="n"/>
      <c r="G552" s="716" t="n"/>
      <c r="H552" s="462" t="n"/>
    </row>
    <row r="553">
      <c r="A553" s="672" t="inlineStr">
        <is>
          <t>E101012</t>
        </is>
      </c>
      <c r="B553" s="767">
        <f>ROW()</f>
        <v/>
      </c>
      <c r="C553" s="182" t="inlineStr">
        <is>
          <t>常州市招联绿伏新能源有限公司</t>
        </is>
      </c>
      <c r="D553" s="182" t="inlineStr">
        <is>
          <t>ZI029E101008</t>
        </is>
      </c>
      <c r="E553" s="182" t="inlineStr">
        <is>
          <t>南京丝绸之路新能源有限公司</t>
        </is>
      </c>
      <c r="F553" s="716" t="n"/>
      <c r="G553" s="716" t="n"/>
      <c r="H553" s="462" t="n"/>
    </row>
    <row r="554">
      <c r="A554" s="672" t="inlineStr">
        <is>
          <t>E100958</t>
        </is>
      </c>
      <c r="B554" s="767">
        <f>ROW()</f>
        <v/>
      </c>
      <c r="C554" s="182" t="inlineStr">
        <is>
          <t>常州市招联绿港新能源有限公司</t>
        </is>
      </c>
      <c r="D554" s="182" t="inlineStr">
        <is>
          <t>ZI029E100734</t>
        </is>
      </c>
      <c r="E554" s="182" t="inlineStr">
        <is>
          <t>联合光伏（常州）投资集团有限公司</t>
        </is>
      </c>
      <c r="F554" s="716" t="n"/>
      <c r="G554" s="716" t="n"/>
      <c r="H554" s="462" t="n"/>
    </row>
    <row r="555">
      <c r="A555" s="672" t="inlineStr">
        <is>
          <t>E100983</t>
        </is>
      </c>
      <c r="B555" s="767">
        <f>ROW()</f>
        <v/>
      </c>
      <c r="C555" s="182" t="inlineStr">
        <is>
          <t>常州市招联绿格新能源有限公司</t>
        </is>
      </c>
      <c r="D555" s="182" t="inlineStr">
        <is>
          <t>ZI029E100734</t>
        </is>
      </c>
      <c r="E555" s="182" t="inlineStr">
        <is>
          <t>联合光伏（常州）投资集团有限公司</t>
        </is>
      </c>
      <c r="F555" s="716" t="n"/>
      <c r="G555" s="716" t="n"/>
      <c r="H555" s="462" t="n"/>
    </row>
    <row r="556">
      <c r="A556" s="672" t="inlineStr">
        <is>
          <t>E100993</t>
        </is>
      </c>
      <c r="B556" s="767">
        <f>ROW()</f>
        <v/>
      </c>
      <c r="C556" s="182" t="inlineStr">
        <is>
          <t>常州市招联绿晖新能源有限公司</t>
        </is>
      </c>
      <c r="D556" s="182" t="inlineStr">
        <is>
          <t>ZI029E100734</t>
        </is>
      </c>
      <c r="E556" s="182" t="inlineStr">
        <is>
          <t>联合光伏（常州）投资集团有限公司</t>
        </is>
      </c>
      <c r="F556" s="716" t="n"/>
      <c r="G556" s="716" t="n"/>
      <c r="H556" s="462" t="n"/>
    </row>
    <row r="557">
      <c r="A557" s="672" t="inlineStr">
        <is>
          <t>E100986</t>
        </is>
      </c>
      <c r="B557" s="767">
        <f>ROW()</f>
        <v/>
      </c>
      <c r="C557" s="182" t="inlineStr">
        <is>
          <t>常州市招联绿景新能源有限公司</t>
        </is>
      </c>
      <c r="D557" s="182" t="inlineStr">
        <is>
          <t>ZI029E100734</t>
        </is>
      </c>
      <c r="E557" s="182" t="inlineStr">
        <is>
          <t>联合光伏（常州）投资集团有限公司</t>
        </is>
      </c>
      <c r="F557" s="716" t="n"/>
      <c r="G557" s="716" t="n"/>
      <c r="H557" s="462" t="n"/>
    </row>
    <row r="558">
      <c r="A558" s="672" t="inlineStr">
        <is>
          <t>E100981</t>
        </is>
      </c>
      <c r="B558" s="767">
        <f>ROW()</f>
        <v/>
      </c>
      <c r="C558" s="182" t="inlineStr">
        <is>
          <t>常州市招联绿庆新能源有限公司</t>
        </is>
      </c>
      <c r="D558" s="182" t="inlineStr">
        <is>
          <t>ZI029E100734</t>
        </is>
      </c>
      <c r="E558" s="182" t="inlineStr">
        <is>
          <t>联合光伏（常州）投资集团有限公司</t>
        </is>
      </c>
      <c r="F558" s="716" t="n"/>
      <c r="G558" s="716" t="n"/>
      <c r="H558" s="462" t="n"/>
    </row>
    <row r="559">
      <c r="A559" s="672" t="inlineStr">
        <is>
          <t>E100988</t>
        </is>
      </c>
      <c r="B559" s="767">
        <f>ROW()</f>
        <v/>
      </c>
      <c r="C559" s="182" t="inlineStr">
        <is>
          <t>常州市招联绿睿新能源有限公司</t>
        </is>
      </c>
      <c r="D559" s="182" t="inlineStr">
        <is>
          <t>ZI029E100734</t>
        </is>
      </c>
      <c r="E559" s="182" t="inlineStr">
        <is>
          <t>联合光伏（常州）投资集团有限公司</t>
        </is>
      </c>
      <c r="F559" s="716" t="n"/>
      <c r="G559" s="716" t="n"/>
      <c r="H559" s="462" t="n"/>
    </row>
    <row r="560">
      <c r="A560" s="672" t="inlineStr">
        <is>
          <t>E100978</t>
        </is>
      </c>
      <c r="B560" s="767">
        <f>ROW()</f>
        <v/>
      </c>
      <c r="C560" s="182" t="inlineStr">
        <is>
          <t>常州市招联绿新新能源有限公司</t>
        </is>
      </c>
      <c r="D560" s="182" t="inlineStr">
        <is>
          <t>ZI029E100734</t>
        </is>
      </c>
      <c r="E560" s="182" t="inlineStr">
        <is>
          <t>联合光伏（常州）投资集团有限公司</t>
        </is>
      </c>
      <c r="F560" s="716" t="n"/>
      <c r="G560" s="716" t="n"/>
      <c r="H560" s="462" t="n"/>
    </row>
    <row r="561">
      <c r="A561" s="672" t="inlineStr">
        <is>
          <t>E100980</t>
        </is>
      </c>
      <c r="B561" s="767">
        <f>ROW()</f>
        <v/>
      </c>
      <c r="C561" s="182" t="inlineStr">
        <is>
          <t>常州市招联绿盈新能源有限公司</t>
        </is>
      </c>
      <c r="D561" s="182" t="inlineStr">
        <is>
          <t>ZI029E100734</t>
        </is>
      </c>
      <c r="E561" s="182" t="inlineStr">
        <is>
          <t>联合光伏（常州）投资集团有限公司</t>
        </is>
      </c>
      <c r="F561" s="716" t="n"/>
      <c r="G561" s="716" t="n"/>
      <c r="H561" s="462" t="n"/>
    </row>
    <row r="562">
      <c r="A562" s="672" t="inlineStr">
        <is>
          <t>E100987</t>
        </is>
      </c>
      <c r="B562" s="767">
        <f>ROW()</f>
        <v/>
      </c>
      <c r="C562" s="182" t="inlineStr">
        <is>
          <t>常州市招联绿臻新能源有限公司</t>
        </is>
      </c>
      <c r="D562" s="182" t="inlineStr">
        <is>
          <t>ZI029E100734</t>
        </is>
      </c>
      <c r="E562" s="182" t="inlineStr">
        <is>
          <t>联合光伏（常州）投资集团有限公司</t>
        </is>
      </c>
      <c r="F562" s="716" t="n"/>
      <c r="G562" s="716" t="n"/>
      <c r="H562" s="462" t="n"/>
    </row>
    <row r="563">
      <c r="A563" s="672" t="inlineStr">
        <is>
          <t>E100943</t>
        </is>
      </c>
      <c r="B563" s="767">
        <f>ROW()</f>
        <v/>
      </c>
      <c r="C563" s="182" t="inlineStr">
        <is>
          <t>常州市智晖新能源有限公司</t>
        </is>
      </c>
      <c r="D563" s="182" t="inlineStr">
        <is>
          <t>ZI029E100730</t>
        </is>
      </c>
      <c r="E563" s="182" t="inlineStr">
        <is>
          <t>京能国际能源发展（北京）有限公司</t>
        </is>
      </c>
      <c r="F563" s="716" t="n"/>
      <c r="G563" s="716" t="n"/>
      <c r="H563" s="462" t="n"/>
    </row>
    <row r="564">
      <c r="A564" s="672" t="inlineStr">
        <is>
          <t>E101017</t>
        </is>
      </c>
      <c r="B564" s="767">
        <f>ROW()</f>
        <v/>
      </c>
      <c r="C564" s="182" t="inlineStr">
        <is>
          <t>常州新光新能源有限公司</t>
        </is>
      </c>
      <c r="D564" s="182" t="inlineStr">
        <is>
          <t>ZI029E101016</t>
        </is>
      </c>
      <c r="E564" s="182" t="inlineStr">
        <is>
          <t>丝绸之路招商新能源（常州）有限公司</t>
        </is>
      </c>
      <c r="F564" s="716" t="n"/>
      <c r="G564" s="716" t="n"/>
      <c r="H564" s="462" t="n"/>
    </row>
    <row r="565">
      <c r="A565" s="672" t="inlineStr">
        <is>
          <t>E100053</t>
        </is>
      </c>
      <c r="B565" s="767">
        <f>ROW()</f>
        <v/>
      </c>
      <c r="C565" s="182" t="inlineStr">
        <is>
          <t>朝阳县京能新能源有限公司</t>
        </is>
      </c>
      <c r="D565" s="182" t="inlineStr">
        <is>
          <t>ZI029E100001</t>
        </is>
      </c>
      <c r="E565" s="182" t="inlineStr">
        <is>
          <t>北京京能清洁能源电力股份有限公司</t>
        </is>
      </c>
      <c r="F565" s="716" t="n"/>
      <c r="G565" s="716" t="n"/>
      <c r="H565" s="462" t="n"/>
    </row>
    <row r="566">
      <c r="A566" s="672" t="inlineStr">
        <is>
          <t>E100101</t>
        </is>
      </c>
      <c r="B566" s="767">
        <f>ROW()</f>
        <v/>
      </c>
      <c r="C566" s="182" t="inlineStr">
        <is>
          <t>成都金华能电力实业有限责任公司</t>
        </is>
      </c>
      <c r="D566" s="182" t="inlineStr">
        <is>
          <t>ZI029E100096</t>
        </is>
      </c>
      <c r="E566" s="182" t="inlineStr">
        <is>
          <t>四川大川电力有限公司</t>
        </is>
      </c>
      <c r="F566" s="716" t="n"/>
      <c r="G566" s="716" t="n"/>
      <c r="H566" s="462" t="n"/>
    </row>
    <row r="567">
      <c r="A567" s="672" t="inlineStr">
        <is>
          <t>E100101</t>
        </is>
      </c>
      <c r="B567" s="767">
        <f>ROW()</f>
        <v/>
      </c>
      <c r="C567" s="182" t="inlineStr">
        <is>
          <t>成都金华能电力实业有限责任公司</t>
        </is>
      </c>
      <c r="D567" s="182" t="inlineStr">
        <is>
          <t>ZI029E100097</t>
        </is>
      </c>
      <c r="E567" s="182" t="inlineStr">
        <is>
          <t>四川众能电力有限公司</t>
        </is>
      </c>
      <c r="F567" s="716" t="n"/>
      <c r="G567" s="716" t="n"/>
      <c r="H567" s="462" t="n"/>
    </row>
    <row r="568">
      <c r="A568" s="672" t="inlineStr">
        <is>
          <t>E100287</t>
        </is>
      </c>
      <c r="B568" s="767">
        <f>ROW()</f>
        <v/>
      </c>
      <c r="C568" s="182" t="inlineStr">
        <is>
          <t>达瓦满度拉外商投资有限责任公司</t>
        </is>
      </c>
      <c r="D568" s="182" t="inlineStr">
        <is>
          <t>ZI029E100281</t>
        </is>
      </c>
      <c r="E568" s="182" t="inlineStr">
        <is>
          <t>北京京煤化工有限公司</t>
        </is>
      </c>
      <c r="F568" s="716" t="n"/>
      <c r="G568" s="716" t="n"/>
      <c r="H568" s="462" t="n"/>
    </row>
    <row r="569">
      <c r="A569" s="672" t="inlineStr">
        <is>
          <t>E100082</t>
        </is>
      </c>
      <c r="B569" s="767">
        <f>ROW()</f>
        <v/>
      </c>
      <c r="C569" s="182" t="inlineStr">
        <is>
          <t>大同京能新能源有限公司</t>
        </is>
      </c>
      <c r="D569" s="182" t="inlineStr">
        <is>
          <t>ZI029E100001</t>
        </is>
      </c>
      <c r="E569" s="182" t="inlineStr">
        <is>
          <t>北京京能清洁能源电力股份有限公司</t>
        </is>
      </c>
      <c r="F569" s="716" t="n"/>
      <c r="G569" s="716" t="n"/>
      <c r="H569" s="462" t="n"/>
    </row>
    <row r="570">
      <c r="A570" s="672" t="inlineStr">
        <is>
          <t>E100954</t>
        </is>
      </c>
      <c r="B570" s="767">
        <f>ROW()</f>
        <v/>
      </c>
      <c r="C570" s="182" t="inlineStr">
        <is>
          <t>大同联合光伏新能源有限公司</t>
        </is>
      </c>
      <c r="D570" s="182" t="inlineStr">
        <is>
          <t>ZI029E100734</t>
        </is>
      </c>
      <c r="E570" s="182" t="inlineStr">
        <is>
          <t>联合光伏（常州）投资集团有限公司</t>
        </is>
      </c>
      <c r="F570" s="716" t="n"/>
      <c r="G570" s="716" t="n"/>
      <c r="H570" s="462" t="n"/>
    </row>
    <row r="571">
      <c r="A571" s="716" t="inlineStr">
        <is>
          <t>E100954</t>
        </is>
      </c>
      <c r="B571" s="767">
        <f>ROW()</f>
        <v/>
      </c>
      <c r="C571" s="182" t="inlineStr">
        <is>
          <t>大同联合光伏新能源有限公司</t>
        </is>
      </c>
      <c r="D571" s="182" t="inlineStr">
        <is>
          <t>ZI029E101336</t>
        </is>
      </c>
      <c r="E571" s="182" t="inlineStr">
        <is>
          <t>盛唐贰号（天津）企业管理合伙企业（有限合伙）</t>
        </is>
      </c>
      <c r="F571" s="716" t="n"/>
      <c r="G571" s="716" t="n"/>
      <c r="H571" s="462" t="n"/>
    </row>
    <row r="572">
      <c r="A572" s="672" t="inlineStr">
        <is>
          <t>E100811</t>
        </is>
      </c>
      <c r="B572" s="767">
        <f>ROW()</f>
        <v/>
      </c>
      <c r="C572" s="182" t="inlineStr">
        <is>
          <t>大同市云冈区京能新能源有限公司</t>
        </is>
      </c>
      <c r="D572" s="182" t="inlineStr">
        <is>
          <t>ZI029E100730</t>
        </is>
      </c>
      <c r="E572" s="182" t="inlineStr">
        <is>
          <t>京能国际能源发展（北京）有限公司</t>
        </is>
      </c>
      <c r="F572" s="716" t="n"/>
      <c r="G572" s="716" t="n"/>
      <c r="H572" s="462" t="n"/>
    </row>
    <row r="573">
      <c r="A573" s="672" t="inlineStr">
        <is>
          <t>E100491</t>
        </is>
      </c>
      <c r="B573" s="767">
        <f>ROW()</f>
        <v/>
      </c>
      <c r="C573" s="182" t="inlineStr">
        <is>
          <t>大同市云西热力有限责任公司</t>
        </is>
      </c>
      <c r="D573" s="182" t="inlineStr">
        <is>
          <t>ZI029E100254</t>
        </is>
      </c>
      <c r="E573" s="182" t="inlineStr">
        <is>
          <t>京能大同热力有限公司</t>
        </is>
      </c>
      <c r="F573" s="716" t="n"/>
      <c r="G573" s="716" t="n"/>
      <c r="H573" s="462" t="n"/>
    </row>
    <row r="574">
      <c r="A574" s="672" t="inlineStr">
        <is>
          <t>E100731</t>
        </is>
      </c>
      <c r="B574" s="767">
        <f>ROW()</f>
        <v/>
      </c>
      <c r="C574" s="182" t="inlineStr">
        <is>
          <t>大同熊猫光伏发电有限公司</t>
        </is>
      </c>
      <c r="D574" s="182" t="inlineStr">
        <is>
          <t>ZI029E100978</t>
        </is>
      </c>
      <c r="E574" s="182" t="inlineStr">
        <is>
          <t>常州市招联绿新新能源有限公司</t>
        </is>
      </c>
      <c r="F574" s="716" t="n"/>
      <c r="G574" s="716" t="n"/>
      <c r="H574" s="462" t="n"/>
    </row>
    <row r="575">
      <c r="A575" s="672" t="inlineStr">
        <is>
          <t>E100821</t>
        </is>
      </c>
      <c r="B575" s="767">
        <f>ROW()</f>
        <v/>
      </c>
      <c r="C575" s="182" t="inlineStr">
        <is>
          <t>德州市陵城区乾超兄弟能源科技有限公司</t>
        </is>
      </c>
      <c r="D575" s="182" t="inlineStr">
        <is>
          <t>ZI029E100730</t>
        </is>
      </c>
      <c r="E575" s="182" t="inlineStr">
        <is>
          <t>京能国际能源发展（北京）有限公司</t>
        </is>
      </c>
      <c r="F575" s="716" t="n"/>
      <c r="G575" s="716" t="n"/>
      <c r="H575" s="462" t="n"/>
    </row>
    <row r="576">
      <c r="A576" s="672" t="inlineStr">
        <is>
          <t>E100839</t>
        </is>
      </c>
      <c r="B576" s="767">
        <f>ROW()</f>
        <v/>
      </c>
      <c r="C576" s="182" t="inlineStr">
        <is>
          <t>东台市宏旭新能源科技有限公司</t>
        </is>
      </c>
      <c r="D576" s="182" t="inlineStr">
        <is>
          <t>ZI029E100371</t>
        </is>
      </c>
      <c r="E576" s="182" t="inlineStr">
        <is>
          <t>北京京能科技有限公司</t>
        </is>
      </c>
      <c r="F576" s="716" t="n"/>
      <c r="G576" s="716" t="n"/>
      <c r="H576" s="462" t="n"/>
    </row>
    <row r="577">
      <c r="A577" s="672" t="inlineStr">
        <is>
          <t>E100061</t>
        </is>
      </c>
      <c r="B577" s="767">
        <f>ROW()</f>
        <v/>
      </c>
      <c r="C577" s="182" t="inlineStr">
        <is>
          <t>东源天华阳光新能源电力有限公司</t>
        </is>
      </c>
      <c r="D577" s="182" t="inlineStr">
        <is>
          <t>ZI029E100001</t>
        </is>
      </c>
      <c r="E577" s="182" t="inlineStr">
        <is>
          <t>北京京能清洁能源电力股份有限公司</t>
        </is>
      </c>
      <c r="F577" s="716" t="n"/>
      <c r="G577" s="716" t="n"/>
      <c r="H577" s="462" t="n"/>
    </row>
    <row r="578">
      <c r="A578" s="672" t="inlineStr">
        <is>
          <t>E100962</t>
        </is>
      </c>
      <c r="B578" s="767">
        <f>ROW()</f>
        <v/>
      </c>
      <c r="C578" s="182" t="inlineStr">
        <is>
          <t>东源县老围光电科技有限公司</t>
        </is>
      </c>
      <c r="D578" s="182" t="inlineStr">
        <is>
          <t>ZI029E100961</t>
        </is>
      </c>
      <c r="E578" s="182" t="inlineStr">
        <is>
          <t>惠州市晟合光电科技有限公司</t>
        </is>
      </c>
      <c r="F578" s="716" t="n"/>
      <c r="G578" s="716" t="n"/>
      <c r="H578" s="462" t="n"/>
    </row>
    <row r="579">
      <c r="A579" s="672" t="inlineStr">
        <is>
          <t>E100815</t>
        </is>
      </c>
      <c r="B579" s="767">
        <f>ROW()</f>
        <v/>
      </c>
      <c r="C579" s="182" t="inlineStr">
        <is>
          <t>东源县顺风光电科技有限公司</t>
        </is>
      </c>
      <c r="D579" s="182" t="inlineStr">
        <is>
          <t>ZI029E100001</t>
        </is>
      </c>
      <c r="E579" s="182" t="inlineStr">
        <is>
          <t>北京京能清洁能源电力股份有限公司</t>
        </is>
      </c>
      <c r="F579" s="716" t="n"/>
      <c r="G579" s="716" t="n"/>
      <c r="H579" s="462" t="n"/>
    </row>
    <row r="580">
      <c r="A580" s="672" t="inlineStr">
        <is>
          <t>E100208</t>
        </is>
      </c>
      <c r="B580" s="767">
        <f>ROW()</f>
        <v/>
      </c>
      <c r="C580" s="182" t="inlineStr">
        <is>
          <t>鄂尔多斯市东铜铁路物流有限公司</t>
        </is>
      </c>
      <c r="D580" s="182" t="inlineStr">
        <is>
          <t>ZI029E100201</t>
        </is>
      </c>
      <c r="E580" s="182" t="inlineStr">
        <is>
          <t>北京昊华能源股份有限公司</t>
        </is>
      </c>
      <c r="F580" s="716" t="n"/>
      <c r="G580" s="716" t="n"/>
      <c r="H580" s="462" t="n"/>
    </row>
    <row r="581">
      <c r="A581" s="672" t="inlineStr">
        <is>
          <t>E100207</t>
        </is>
      </c>
      <c r="B581" s="767">
        <f>ROW()</f>
        <v/>
      </c>
      <c r="C581" s="182" t="inlineStr">
        <is>
          <t>鄂尔多斯市昊华国泰化工有限公司</t>
        </is>
      </c>
      <c r="D581" s="182" t="inlineStr">
        <is>
          <t>ZI029E100201</t>
        </is>
      </c>
      <c r="E581" s="182" t="inlineStr">
        <is>
          <t>北京昊华能源股份有限公司</t>
        </is>
      </c>
      <c r="F581" s="716" t="n"/>
      <c r="G581" s="716" t="n"/>
      <c r="H581" s="462" t="n"/>
    </row>
    <row r="582">
      <c r="A582" s="672" t="inlineStr">
        <is>
          <t>E100204</t>
        </is>
      </c>
      <c r="B582" s="767">
        <f>ROW()</f>
        <v/>
      </c>
      <c r="C582" s="182" t="inlineStr">
        <is>
          <t>鄂尔多斯市昊华红庆梁矿业有限公司</t>
        </is>
      </c>
      <c r="D582" s="182" t="inlineStr">
        <is>
          <t>ZI029E100203</t>
        </is>
      </c>
      <c r="E582" s="182" t="inlineStr">
        <is>
          <t>杭锦旗西部能源开发有限公司</t>
        </is>
      </c>
      <c r="F582" s="716" t="n"/>
      <c r="G582" s="716" t="n"/>
      <c r="H582" s="462" t="n"/>
    </row>
    <row r="583">
      <c r="A583" s="672" t="inlineStr">
        <is>
          <t>E100202</t>
        </is>
      </c>
      <c r="B583" s="767">
        <f>ROW()</f>
        <v/>
      </c>
      <c r="C583" s="182" t="inlineStr">
        <is>
          <t>鄂尔多斯市昊华精煤有限责任公司</t>
        </is>
      </c>
      <c r="D583" s="182" t="inlineStr">
        <is>
          <t>ZI029E100201</t>
        </is>
      </c>
      <c r="E583" s="182" t="inlineStr">
        <is>
          <t>北京昊华能源股份有限公司</t>
        </is>
      </c>
      <c r="F583" s="716" t="n"/>
      <c r="G583" s="716" t="n"/>
      <c r="H583" s="462" t="n"/>
    </row>
    <row r="584">
      <c r="A584" s="672" t="inlineStr">
        <is>
          <t>E100209</t>
        </is>
      </c>
      <c r="B584" s="767">
        <f>ROW()</f>
        <v/>
      </c>
      <c r="C584" s="182" t="inlineStr">
        <is>
          <t>鄂尔多斯市昊华鑫通物资有限责任公司</t>
        </is>
      </c>
      <c r="D584" s="182" t="inlineStr">
        <is>
          <t>ZI029E100201</t>
        </is>
      </c>
      <c r="E584" s="182" t="inlineStr">
        <is>
          <t>北京昊华能源股份有限公司</t>
        </is>
      </c>
      <c r="F584" s="716" t="n"/>
      <c r="G584" s="716" t="n"/>
      <c r="H584" s="462" t="n"/>
    </row>
    <row r="585">
      <c r="A585" s="672" t="inlineStr">
        <is>
          <t>E100753</t>
        </is>
      </c>
      <c r="B585" s="767">
        <f>ROW()</f>
        <v/>
      </c>
      <c r="C585" s="182" t="inlineStr">
        <is>
          <t>鄂尔多斯市京能新能源科技有限公司</t>
        </is>
      </c>
      <c r="D585" s="182" t="inlineStr">
        <is>
          <t>ZI029E100145</t>
        </is>
      </c>
      <c r="E585" s="182" t="inlineStr">
        <is>
          <t>北京京能电力股份有限公司</t>
        </is>
      </c>
      <c r="F585" s="716" t="n"/>
      <c r="G585" s="716" t="n"/>
      <c r="H585" s="462" t="n"/>
    </row>
    <row r="586">
      <c r="A586" s="672" t="inlineStr">
        <is>
          <t>E100711</t>
        </is>
      </c>
      <c r="B586" s="767">
        <f>ROW()</f>
        <v/>
      </c>
      <c r="C586" s="182" t="inlineStr">
        <is>
          <t>鄂托克前旗晟日新能源科技有限公司</t>
        </is>
      </c>
      <c r="D586" s="182" t="inlineStr">
        <is>
          <t>ZI029E100001</t>
        </is>
      </c>
      <c r="E586" s="182" t="inlineStr">
        <is>
          <t>北京京能清洁能源电力股份有限公司</t>
        </is>
      </c>
      <c r="F586" s="716" t="n"/>
      <c r="G586" s="716" t="n"/>
      <c r="H586" s="462" t="n"/>
    </row>
    <row r="587">
      <c r="A587" s="672" t="inlineStr">
        <is>
          <t>E100711G</t>
        </is>
      </c>
      <c r="B587" s="767">
        <f>ROW()</f>
        <v/>
      </c>
      <c r="C587" s="182" t="inlineStr">
        <is>
          <t>鄂托克前旗晟日新能源科技有限公司（合并）</t>
        </is>
      </c>
      <c r="D587" s="182" t="inlineStr">
        <is>
          <t>ZI029E100001</t>
        </is>
      </c>
      <c r="E587" s="182" t="inlineStr">
        <is>
          <t>北京京能清洁能源电力股份有限公司</t>
        </is>
      </c>
      <c r="F587" s="716" t="n"/>
      <c r="G587" s="716" t="n"/>
      <c r="H587" s="462" t="n"/>
    </row>
    <row r="588">
      <c r="A588" s="672" t="inlineStr">
        <is>
          <t>E100845</t>
        </is>
      </c>
      <c r="B588" s="767">
        <f>ROW()</f>
        <v/>
      </c>
      <c r="C588" s="182" t="inlineStr">
        <is>
          <t>二连浩特京能新能源有限公司</t>
        </is>
      </c>
      <c r="D588" s="182" t="inlineStr">
        <is>
          <t>ZI029E100145</t>
        </is>
      </c>
      <c r="E588" s="182" t="inlineStr">
        <is>
          <t>北京京能电力股份有限公司</t>
        </is>
      </c>
      <c r="F588" s="716" t="n"/>
      <c r="G588" s="716" t="n"/>
      <c r="H588" s="462" t="n"/>
    </row>
    <row r="589">
      <c r="A589" s="672" t="inlineStr">
        <is>
          <t>E100253</t>
        </is>
      </c>
      <c r="B589" s="767">
        <f>ROW()</f>
        <v/>
      </c>
      <c r="C589" s="182" t="inlineStr">
        <is>
          <t>抚松京热热力有限责任公司</t>
        </is>
      </c>
      <c r="D589" s="182" t="inlineStr">
        <is>
          <t>ZI029E100222</t>
        </is>
      </c>
      <c r="E589" s="182" t="inlineStr">
        <is>
          <t>北京市热力集团有限责任公司</t>
        </is>
      </c>
      <c r="F589" s="716" t="n"/>
      <c r="G589" s="716" t="n"/>
      <c r="H589" s="462" t="n"/>
    </row>
    <row r="590">
      <c r="A590" s="672" t="inlineStr">
        <is>
          <t>E100093</t>
        </is>
      </c>
      <c r="B590" s="767">
        <f>ROW()</f>
        <v/>
      </c>
      <c r="C590" s="182" t="inlineStr">
        <is>
          <t>府谷县京能新能源有限公司</t>
        </is>
      </c>
      <c r="D590" s="182" t="inlineStr">
        <is>
          <t>ZI029E100001</t>
        </is>
      </c>
      <c r="E590" s="182" t="inlineStr">
        <is>
          <t>北京京能清洁能源电力股份有限公司</t>
        </is>
      </c>
      <c r="F590" s="716" t="n"/>
      <c r="G590" s="716" t="n"/>
      <c r="H590" s="462" t="n"/>
    </row>
    <row r="591">
      <c r="A591" s="672" t="inlineStr">
        <is>
          <t>E100832</t>
        </is>
      </c>
      <c r="B591" s="767">
        <f>ROW()</f>
        <v/>
      </c>
      <c r="C591" s="182" t="inlineStr">
        <is>
          <t>阜新爱友新能源有限公司</t>
        </is>
      </c>
      <c r="D591" s="182" t="inlineStr">
        <is>
          <t>ZI029E100730</t>
        </is>
      </c>
      <c r="E591" s="182" t="inlineStr">
        <is>
          <t>京能国际能源发展（北京）有限公司</t>
        </is>
      </c>
      <c r="F591" s="716" t="n"/>
      <c r="G591" s="716" t="n"/>
      <c r="H591" s="462" t="n"/>
    </row>
    <row r="592">
      <c r="A592" s="672" t="inlineStr">
        <is>
          <t>E100833</t>
        </is>
      </c>
      <c r="B592" s="767">
        <f>ROW()</f>
        <v/>
      </c>
      <c r="C592" s="182" t="inlineStr">
        <is>
          <t>阜新东泰新能源有限公司</t>
        </is>
      </c>
      <c r="D592" s="182" t="inlineStr">
        <is>
          <t>ZI029E100730</t>
        </is>
      </c>
      <c r="E592" s="182" t="inlineStr">
        <is>
          <t>京能国际能源发展（北京）有限公司</t>
        </is>
      </c>
      <c r="F592" s="716" t="n"/>
      <c r="G592" s="716" t="n"/>
      <c r="H592" s="462" t="n"/>
    </row>
    <row r="593">
      <c r="A593" s="672" t="inlineStr">
        <is>
          <t>E100834</t>
        </is>
      </c>
      <c r="B593" s="767">
        <f>ROW()</f>
        <v/>
      </c>
      <c r="C593" s="182" t="inlineStr">
        <is>
          <t>阜新吉娅泰新能源有限公司</t>
        </is>
      </c>
      <c r="D593" s="182" t="inlineStr">
        <is>
          <t>ZI029E100730</t>
        </is>
      </c>
      <c r="E593" s="182" t="inlineStr">
        <is>
          <t>京能国际能源发展（北京）有限公司</t>
        </is>
      </c>
      <c r="F593" s="716" t="n"/>
      <c r="G593" s="716" t="n"/>
      <c r="H593" s="462" t="n"/>
    </row>
    <row r="594">
      <c r="A594" s="672" t="inlineStr">
        <is>
          <t>E100835</t>
        </is>
      </c>
      <c r="B594" s="767">
        <f>ROW()</f>
        <v/>
      </c>
      <c r="C594" s="182" t="inlineStr">
        <is>
          <t>阜新架木苏新能源有限公司</t>
        </is>
      </c>
      <c r="D594" s="182" t="inlineStr">
        <is>
          <t>ZI029E100730</t>
        </is>
      </c>
      <c r="E594" s="182" t="inlineStr">
        <is>
          <t>京能国际能源发展（北京）有限公司</t>
        </is>
      </c>
      <c r="F594" s="716" t="n"/>
      <c r="G594" s="716" t="n"/>
      <c r="H594" s="462" t="n"/>
    </row>
    <row r="595">
      <c r="A595" s="672" t="inlineStr">
        <is>
          <t>E100836</t>
        </is>
      </c>
      <c r="B595" s="767">
        <f>ROW()</f>
        <v/>
      </c>
      <c r="C595" s="182" t="inlineStr">
        <is>
          <t>阜新金元新能源有限公司</t>
        </is>
      </c>
      <c r="D595" s="182" t="inlineStr">
        <is>
          <t>ZI029E100730</t>
        </is>
      </c>
      <c r="E595" s="182" t="inlineStr">
        <is>
          <t>京能国际能源发展（北京）有限公司</t>
        </is>
      </c>
      <c r="F595" s="716" t="n"/>
      <c r="G595" s="716" t="n"/>
      <c r="H595" s="462" t="n"/>
    </row>
    <row r="596">
      <c r="A596" s="672" t="inlineStr">
        <is>
          <t>E100837</t>
        </is>
      </c>
      <c r="B596" s="767">
        <f>ROW()</f>
        <v/>
      </c>
      <c r="C596" s="182" t="inlineStr">
        <is>
          <t>阜新塞罕新能源有限公司</t>
        </is>
      </c>
      <c r="D596" s="182" t="inlineStr">
        <is>
          <t>ZI029E100730</t>
        </is>
      </c>
      <c r="E596" s="182" t="inlineStr">
        <is>
          <t>京能国际能源发展（北京）有限公司</t>
        </is>
      </c>
      <c r="F596" s="716" t="n"/>
      <c r="G596" s="716" t="n"/>
      <c r="H596" s="462" t="n"/>
    </row>
    <row r="597">
      <c r="A597" s="672" t="inlineStr">
        <is>
          <t>E100838</t>
        </is>
      </c>
      <c r="B597" s="767">
        <f>ROW()</f>
        <v/>
      </c>
      <c r="C597" s="182" t="inlineStr">
        <is>
          <t>阜新赛纳新能源有限公司</t>
        </is>
      </c>
      <c r="D597" s="182" t="inlineStr">
        <is>
          <t>ZI029E100730</t>
        </is>
      </c>
      <c r="E597" s="182" t="inlineStr">
        <is>
          <t>京能国际能源发展（北京）有限公司</t>
        </is>
      </c>
      <c r="F597" s="716" t="n"/>
      <c r="G597" s="716" t="n"/>
      <c r="H597" s="462" t="n"/>
    </row>
    <row r="598">
      <c r="A598" s="672" t="inlineStr">
        <is>
          <t>E100884</t>
        </is>
      </c>
      <c r="B598" s="767">
        <f>ROW()</f>
        <v/>
      </c>
      <c r="C598" s="182" t="inlineStr">
        <is>
          <t>高安京能赛拉弗光伏发电有限公司</t>
        </is>
      </c>
      <c r="D598" s="182" t="inlineStr">
        <is>
          <t>ZI029E100883</t>
        </is>
      </c>
      <c r="E598" s="182" t="inlineStr">
        <is>
          <t>Beijing Energy International Investment Limited</t>
        </is>
      </c>
      <c r="F598" s="716" t="n"/>
      <c r="G598" s="716" t="n"/>
      <c r="H598" s="462" t="n"/>
    </row>
    <row r="599">
      <c r="A599" s="672" t="inlineStr">
        <is>
          <t>E100016</t>
        </is>
      </c>
      <c r="B599" s="767">
        <f>ROW()</f>
        <v/>
      </c>
      <c r="C599" s="182" t="inlineStr">
        <is>
          <t>格尔木京能新能源有限公司</t>
        </is>
      </c>
      <c r="D599" s="182" t="inlineStr">
        <is>
          <t>ZI029E100001</t>
        </is>
      </c>
      <c r="E599" s="182" t="inlineStr">
        <is>
          <t>北京京能清洁能源电力股份有限公司</t>
        </is>
      </c>
      <c r="F599" s="716" t="n"/>
      <c r="G599" s="716" t="n"/>
      <c r="H599" s="462" t="n"/>
    </row>
    <row r="600">
      <c r="A600" s="672" t="inlineStr">
        <is>
          <t>E100563</t>
        </is>
      </c>
      <c r="B600" s="767">
        <f>ROW()</f>
        <v/>
      </c>
      <c r="C600" s="182" t="inlineStr">
        <is>
          <t>格伦光伏项目公司</t>
        </is>
      </c>
      <c r="D600" s="182" t="inlineStr">
        <is>
          <t>ZI029E100561</t>
        </is>
      </c>
      <c r="E600" s="182" t="inlineStr">
        <is>
          <t>北京京能清洁能源（澳洲）控股有限公司</t>
        </is>
      </c>
      <c r="F600" s="716" t="n"/>
      <c r="G600" s="716" t="n"/>
      <c r="H600" s="462" t="n"/>
    </row>
    <row r="601">
      <c r="A601" s="672" t="inlineStr">
        <is>
          <t>E100028</t>
        </is>
      </c>
      <c r="B601" s="767">
        <f>ROW()</f>
        <v/>
      </c>
      <c r="C601" s="182" t="inlineStr">
        <is>
          <t>共和京能清洁能源有限公司</t>
        </is>
      </c>
      <c r="D601" s="182" t="inlineStr">
        <is>
          <t>ZI029E100001</t>
        </is>
      </c>
      <c r="E601" s="182" t="inlineStr">
        <is>
          <t>北京京能清洁能源电力股份有限公司</t>
        </is>
      </c>
      <c r="F601" s="716" t="n"/>
      <c r="G601" s="716" t="n"/>
      <c r="H601" s="462" t="n"/>
    </row>
    <row r="602">
      <c r="A602" s="672" t="inlineStr">
        <is>
          <t>E100029</t>
        </is>
      </c>
      <c r="B602" s="767">
        <f>ROW()</f>
        <v/>
      </c>
      <c r="C602" s="182" t="inlineStr">
        <is>
          <t>共和源通光伏发电有限公司</t>
        </is>
      </c>
      <c r="D602" s="182" t="inlineStr">
        <is>
          <t>ZI029E100001</t>
        </is>
      </c>
      <c r="E602" s="182" t="inlineStr">
        <is>
          <t>北京京能清洁能源电力股份有限公司</t>
        </is>
      </c>
      <c r="F602" s="716" t="n"/>
      <c r="G602" s="716" t="n"/>
      <c r="H602" s="462" t="n"/>
    </row>
    <row r="603">
      <c r="A603" s="672" t="inlineStr">
        <is>
          <t>E100912</t>
        </is>
      </c>
      <c r="B603" s="767">
        <f>ROW()</f>
        <v/>
      </c>
      <c r="C603" s="182" t="inlineStr">
        <is>
          <t>光山县辉达新能源科技有限公司</t>
        </is>
      </c>
      <c r="D603" s="182" t="inlineStr">
        <is>
          <t>ZI029E100908</t>
        </is>
      </c>
      <c r="E603" s="182" t="inlineStr">
        <is>
          <t>北京通力日昇新能源科技有限公司</t>
        </is>
      </c>
      <c r="F603" s="716" t="n"/>
      <c r="G603" s="716" t="n"/>
      <c r="H603" s="462" t="n"/>
    </row>
    <row r="604">
      <c r="A604" s="672" t="inlineStr">
        <is>
          <t>E100781</t>
        </is>
      </c>
      <c r="B604" s="767">
        <f>ROW()</f>
        <v/>
      </c>
      <c r="C604" s="182" t="inlineStr">
        <is>
          <t>广东辉宇新能源投资有限公司</t>
        </is>
      </c>
      <c r="D604" s="182" t="inlineStr">
        <is>
          <t>ZI029E100001</t>
        </is>
      </c>
      <c r="E604" s="182" t="inlineStr">
        <is>
          <t>北京京能清洁能源电力股份有限公司</t>
        </is>
      </c>
      <c r="F604" s="716" t="n"/>
      <c r="G604" s="716" t="n"/>
      <c r="H604" s="462" t="n"/>
    </row>
    <row r="605">
      <c r="A605" s="672" t="inlineStr">
        <is>
          <t>E100781G</t>
        </is>
      </c>
      <c r="B605" s="767">
        <f>ROW()</f>
        <v/>
      </c>
      <c r="C605" s="182" t="inlineStr">
        <is>
          <t>广东辉宇新能源投资有限公司（合并）</t>
        </is>
      </c>
      <c r="D605" s="182" t="inlineStr">
        <is>
          <t>ZI029E100001</t>
        </is>
      </c>
      <c r="E605" s="182" t="inlineStr">
        <is>
          <t>北京京能清洁能源电力股份有限公司</t>
        </is>
      </c>
      <c r="F605" s="716" t="n"/>
      <c r="G605" s="716" t="n"/>
      <c r="H605" s="462" t="n"/>
    </row>
    <row r="606">
      <c r="A606" s="672" t="inlineStr">
        <is>
          <t>E100782</t>
        </is>
      </c>
      <c r="B606" s="767">
        <f>ROW()</f>
        <v/>
      </c>
      <c r="C606" s="182" t="inlineStr">
        <is>
          <t>广东万顺新能源有限公司</t>
        </is>
      </c>
      <c r="D606" s="182" t="inlineStr">
        <is>
          <t>ZI029E100781</t>
        </is>
      </c>
      <c r="E606" s="182" t="inlineStr">
        <is>
          <t>广东辉宇新能源投资有限公司</t>
        </is>
      </c>
      <c r="F606" s="716" t="n"/>
      <c r="G606" s="716" t="n"/>
      <c r="H606" s="462" t="n"/>
    </row>
    <row r="607">
      <c r="A607" s="672" t="inlineStr">
        <is>
          <t>E100756</t>
        </is>
      </c>
      <c r="B607" s="767">
        <f>ROW()</f>
        <v/>
      </c>
      <c r="C607" s="182" t="inlineStr">
        <is>
          <t>贵港市绿色方舟新能源有限公司</t>
        </is>
      </c>
      <c r="D607" s="182" t="inlineStr">
        <is>
          <t>ZI029E101026</t>
        </is>
      </c>
      <c r="E607" s="182" t="inlineStr">
        <is>
          <t>常州市招联绿灿新能源有限公司</t>
        </is>
      </c>
      <c r="F607" s="716" t="n"/>
      <c r="G607" s="716" t="n"/>
      <c r="H607" s="462" t="n"/>
    </row>
    <row r="608">
      <c r="A608" s="672" t="inlineStr">
        <is>
          <t>E100304</t>
        </is>
      </c>
      <c r="B608" s="767">
        <f>ROW()</f>
        <v/>
      </c>
      <c r="C608" s="182" t="inlineStr">
        <is>
          <t>贵州华联旅业有限责任公司</t>
        </is>
      </c>
      <c r="D608" s="182" t="inlineStr">
        <is>
          <t>ZI029E100293</t>
        </is>
      </c>
      <c r="E608" s="182" t="inlineStr">
        <is>
          <t>北京京能酒店管理有限公司</t>
        </is>
      </c>
      <c r="F608" s="716" t="n"/>
      <c r="G608" s="716" t="n"/>
      <c r="H608" s="462" t="n"/>
    </row>
    <row r="609">
      <c r="A609" s="672" t="inlineStr">
        <is>
          <t>E101009</t>
        </is>
      </c>
      <c r="B609" s="767">
        <f>ROW()</f>
        <v/>
      </c>
      <c r="C609" s="182" t="inlineStr">
        <is>
          <t>国电察哈尔右翼前旗第二光伏发电有限公司</t>
        </is>
      </c>
      <c r="D609" s="182" t="inlineStr">
        <is>
          <t>ZI029E101008</t>
        </is>
      </c>
      <c r="E609" s="182" t="inlineStr">
        <is>
          <t>南京丝绸之路新能源有限公司</t>
        </is>
      </c>
      <c r="F609" s="716" t="n"/>
      <c r="G609" s="716" t="n"/>
      <c r="H609" s="462" t="n"/>
    </row>
    <row r="610">
      <c r="A610" s="672" t="inlineStr">
        <is>
          <t>E100968</t>
        </is>
      </c>
      <c r="B610" s="767">
        <f>ROW()</f>
        <v/>
      </c>
      <c r="C610" s="182" t="inlineStr">
        <is>
          <t>国电察哈尔右翼前旗光伏发电有限公司</t>
        </is>
      </c>
      <c r="D610" s="182" t="inlineStr">
        <is>
          <t>ZI029E100735</t>
        </is>
      </c>
      <c r="E610" s="182" t="inlineStr">
        <is>
          <t>内蒙古京能新能源科技有限公司</t>
        </is>
      </c>
      <c r="F610" s="716" t="n"/>
      <c r="G610" s="716" t="n"/>
      <c r="H610" s="462" t="n"/>
    </row>
    <row r="611">
      <c r="A611" s="672" t="inlineStr">
        <is>
          <t>E101010</t>
        </is>
      </c>
      <c r="B611" s="767">
        <f>ROW()</f>
        <v/>
      </c>
      <c r="C611" s="182" t="inlineStr">
        <is>
          <t>国电科左中旗光伏发电有限公司</t>
        </is>
      </c>
      <c r="D611" s="182" t="inlineStr">
        <is>
          <t>ZI029E101008</t>
        </is>
      </c>
      <c r="E611" s="182" t="inlineStr">
        <is>
          <t>南京丝绸之路新能源有限公司</t>
        </is>
      </c>
      <c r="F611" s="716" t="n"/>
      <c r="G611" s="716" t="n"/>
      <c r="H611" s="462" t="n"/>
    </row>
    <row r="612">
      <c r="A612" s="672" t="inlineStr">
        <is>
          <t>E101011</t>
        </is>
      </c>
      <c r="B612" s="767">
        <f>ROW()</f>
        <v/>
      </c>
      <c r="C612" s="182" t="inlineStr">
        <is>
          <t>国电商都县第二光伏发电有限公司</t>
        </is>
      </c>
      <c r="D612" s="182" t="inlineStr">
        <is>
          <t>ZI029E101008</t>
        </is>
      </c>
      <c r="E612" s="182" t="inlineStr">
        <is>
          <t>南京丝绸之路新能源有限公司</t>
        </is>
      </c>
      <c r="F612" s="716" t="n"/>
      <c r="G612" s="716" t="n"/>
      <c r="H612" s="462" t="n"/>
    </row>
    <row r="613">
      <c r="A613" s="672" t="inlineStr">
        <is>
          <t>E100969</t>
        </is>
      </c>
      <c r="B613" s="767">
        <f>ROW()</f>
        <v/>
      </c>
      <c r="C613" s="182" t="inlineStr">
        <is>
          <t>国电托克托县光伏发电有限公司</t>
        </is>
      </c>
      <c r="D613" s="182" t="inlineStr">
        <is>
          <t>ZI029E100735</t>
        </is>
      </c>
      <c r="E613" s="182" t="inlineStr">
        <is>
          <t>内蒙古京能新能源科技有限公司</t>
        </is>
      </c>
      <c r="F613" s="716" t="n"/>
      <c r="G613" s="716" t="n"/>
      <c r="H613" s="462" t="n"/>
    </row>
    <row r="614">
      <c r="A614" s="672" t="inlineStr">
        <is>
          <t>E100967</t>
        </is>
      </c>
      <c r="B614" s="767">
        <f>ROW()</f>
        <v/>
      </c>
      <c r="C614" s="182" t="inlineStr">
        <is>
          <t>国电乌拉特后旗光伏发电有限公司</t>
        </is>
      </c>
      <c r="D614" s="182" t="inlineStr">
        <is>
          <t>ZI029E100735</t>
        </is>
      </c>
      <c r="E614" s="182" t="inlineStr">
        <is>
          <t>内蒙古京能新能源科技有限公司</t>
        </is>
      </c>
      <c r="F614" s="716" t="n"/>
      <c r="G614" s="716" t="n"/>
      <c r="H614" s="462" t="n"/>
    </row>
    <row r="615">
      <c r="A615" s="672" t="inlineStr">
        <is>
          <t>E100765</t>
        </is>
      </c>
      <c r="B615" s="767">
        <f>ROW()</f>
        <v/>
      </c>
      <c r="C615" s="182" t="inlineStr">
        <is>
          <t>哈密辉腾光伏电力有限公司</t>
        </is>
      </c>
      <c r="D615" s="182" t="inlineStr">
        <is>
          <t>ZI029E100956</t>
        </is>
      </c>
      <c r="E615" s="182" t="inlineStr">
        <is>
          <t>常州光昱新能源有限公司</t>
        </is>
      </c>
      <c r="F615" s="716" t="n"/>
      <c r="G615" s="716" t="n"/>
      <c r="H615" s="462" t="n"/>
    </row>
    <row r="616">
      <c r="A616" s="672" t="inlineStr">
        <is>
          <t>E100856</t>
        </is>
      </c>
      <c r="B616" s="767">
        <f>ROW()</f>
        <v/>
      </c>
      <c r="C616" s="182" t="inlineStr">
        <is>
          <t>海东市乐都区融智新能源开发有限公司</t>
        </is>
      </c>
      <c r="D616" s="182" t="inlineStr">
        <is>
          <t>ZI029E100932</t>
        </is>
      </c>
      <c r="E616" s="182" t="inlineStr">
        <is>
          <t>青海思迅新能源有限公司</t>
        </is>
      </c>
      <c r="F616" s="716" t="n"/>
      <c r="G616" s="716" t="n"/>
      <c r="H616" s="462" t="n"/>
    </row>
    <row r="617">
      <c r="A617" s="672" t="inlineStr">
        <is>
          <t>E100280</t>
        </is>
      </c>
      <c r="B617" s="767">
        <f>ROW()</f>
        <v/>
      </c>
      <c r="C617" s="182" t="inlineStr">
        <is>
          <t>海南金泰旅业开发有限公司</t>
        </is>
      </c>
      <c r="D617" s="182" t="inlineStr">
        <is>
          <t>ZI029E100353</t>
        </is>
      </c>
      <c r="E617" s="182" t="inlineStr">
        <is>
          <t>北京京能房产租赁经营有限责任公司</t>
        </is>
      </c>
      <c r="F617" s="716" t="n"/>
      <c r="G617" s="716" t="n"/>
      <c r="H617" s="462" t="n"/>
    </row>
    <row r="618">
      <c r="A618" s="672" t="inlineStr">
        <is>
          <t>E100732</t>
        </is>
      </c>
      <c r="B618" s="767">
        <f>ROW()</f>
        <v/>
      </c>
      <c r="C618" s="182" t="inlineStr">
        <is>
          <t>海南州亚晖新能源电力有限公司</t>
        </is>
      </c>
      <c r="D618" s="182" t="inlineStr">
        <is>
          <t>ZI029E100955</t>
        </is>
      </c>
      <c r="E618" s="182" t="inlineStr">
        <is>
          <t>常州鼎晖新能源有限公司</t>
        </is>
      </c>
      <c r="F618" s="716" t="n"/>
      <c r="G618" s="716" t="n"/>
      <c r="H618" s="462" t="n"/>
    </row>
    <row r="619">
      <c r="A619" s="672" t="inlineStr">
        <is>
          <t>E100017</t>
        </is>
      </c>
      <c r="B619" s="767">
        <f>ROW()</f>
        <v/>
      </c>
      <c r="C619" s="182" t="inlineStr">
        <is>
          <t>海兴京兴新能源有限公司</t>
        </is>
      </c>
      <c r="D619" s="182" t="inlineStr">
        <is>
          <t>ZI029E100001</t>
        </is>
      </c>
      <c r="E619" s="182" t="inlineStr">
        <is>
          <t>北京京能清洁能源电力股份有限公司</t>
        </is>
      </c>
      <c r="F619" s="716" t="n"/>
      <c r="G619" s="716" t="n"/>
      <c r="H619" s="462" t="n"/>
    </row>
    <row r="620">
      <c r="A620" s="672" t="inlineStr">
        <is>
          <t>E100017</t>
        </is>
      </c>
      <c r="B620" s="767">
        <f>ROW()</f>
        <v/>
      </c>
      <c r="C620" s="182" t="inlineStr">
        <is>
          <t>海兴京兴新能源有限公司</t>
        </is>
      </c>
      <c r="D620" s="182" t="inlineStr">
        <is>
          <t>ZI029E101187</t>
        </is>
      </c>
      <c r="E620" s="182" t="inlineStr">
        <is>
          <t>横峰县晶泰电力有限公司</t>
        </is>
      </c>
      <c r="F620" s="716" t="n"/>
      <c r="G620" s="716" t="n"/>
      <c r="H620" s="462" t="n"/>
    </row>
    <row r="621">
      <c r="A621" s="672" t="inlineStr">
        <is>
          <t>E101013</t>
        </is>
      </c>
      <c r="B621" s="767">
        <f>ROW()</f>
        <v/>
      </c>
      <c r="C621" s="182" t="inlineStr">
        <is>
          <t>海阳鑫顺风光电科技有限公司</t>
        </is>
      </c>
      <c r="D621" s="182" t="inlineStr">
        <is>
          <t>ZI029E101012</t>
        </is>
      </c>
      <c r="E621" s="182" t="inlineStr">
        <is>
          <t>常州市招联绿伏新能源有限公司</t>
        </is>
      </c>
      <c r="F621" s="716" t="n"/>
      <c r="G621" s="716" t="n"/>
      <c r="H621" s="462" t="n"/>
    </row>
    <row r="622">
      <c r="A622" s="672" t="inlineStr">
        <is>
          <t>E100783</t>
        </is>
      </c>
      <c r="B622" s="767">
        <f>ROW()</f>
        <v/>
      </c>
      <c r="C622" s="182" t="inlineStr">
        <is>
          <t>韩城京能清洁能源有限公司</t>
        </is>
      </c>
      <c r="D622" s="182" t="inlineStr">
        <is>
          <t>ZI029E100001</t>
        </is>
      </c>
      <c r="E622" s="182" t="inlineStr">
        <is>
          <t>北京京能清洁能源电力股份有限公司</t>
        </is>
      </c>
      <c r="F622" s="716" t="n"/>
      <c r="G622" s="716" t="n"/>
      <c r="H622" s="462" t="n"/>
    </row>
    <row r="623">
      <c r="A623" s="672" t="inlineStr">
        <is>
          <t>E100990</t>
        </is>
      </c>
      <c r="B623" s="767">
        <f>ROW()</f>
        <v/>
      </c>
      <c r="C623" s="182" t="inlineStr">
        <is>
          <t>汉寿昊晖太阳能发电有限公司</t>
        </is>
      </c>
      <c r="D623" s="182" t="inlineStr">
        <is>
          <t>ZI029E100988</t>
        </is>
      </c>
      <c r="E623" s="182" t="inlineStr">
        <is>
          <t>常州市招联绿睿新能源有限公司</t>
        </is>
      </c>
      <c r="F623" s="716" t="n"/>
      <c r="G623" s="716" t="n"/>
      <c r="H623" s="462" t="n"/>
    </row>
    <row r="624">
      <c r="A624" s="672" t="inlineStr">
        <is>
          <t>E100068</t>
        </is>
      </c>
      <c r="B624" s="767">
        <f>ROW()</f>
        <v/>
      </c>
      <c r="C624" s="182" t="inlineStr">
        <is>
          <t>汉寿县润鑫新能源有限公司</t>
        </is>
      </c>
      <c r="D624" s="182" t="inlineStr">
        <is>
          <t>ZI029E100001</t>
        </is>
      </c>
      <c r="E624" s="182" t="inlineStr">
        <is>
          <t>北京京能清洁能源电力股份有限公司</t>
        </is>
      </c>
      <c r="F624" s="716" t="n"/>
      <c r="G624" s="716" t="n"/>
      <c r="H624" s="462" t="n"/>
    </row>
    <row r="625">
      <c r="A625" s="672" t="inlineStr">
        <is>
          <t>E100992</t>
        </is>
      </c>
      <c r="B625" s="767">
        <f>ROW()</f>
        <v/>
      </c>
      <c r="C625" s="182" t="inlineStr">
        <is>
          <t>汉寿中晖太阳能发电有限公司</t>
        </is>
      </c>
      <c r="D625" s="182" t="inlineStr">
        <is>
          <t>ZI029E100991</t>
        </is>
      </c>
      <c r="E625" s="182" t="inlineStr">
        <is>
          <t>常熟宏丰光伏电站开发有限公司</t>
        </is>
      </c>
      <c r="F625" s="716" t="n"/>
      <c r="G625" s="716" t="n"/>
      <c r="H625" s="462" t="n"/>
    </row>
    <row r="626">
      <c r="A626" s="672" t="inlineStr">
        <is>
          <t>E100976</t>
        </is>
      </c>
      <c r="B626" s="767">
        <f>ROW()</f>
        <v/>
      </c>
      <c r="C626" s="182" t="inlineStr">
        <is>
          <t>杭锦后旗国电光伏发电有限公司</t>
        </is>
      </c>
      <c r="D626" s="182" t="inlineStr">
        <is>
          <t>ZI029E100973</t>
        </is>
      </c>
      <c r="E626" s="182" t="inlineStr">
        <is>
          <t>察右前旗联合光伏发电有限公司</t>
        </is>
      </c>
      <c r="F626" s="716" t="n"/>
      <c r="G626" s="716" t="n"/>
      <c r="H626" s="462" t="n"/>
    </row>
    <row r="627">
      <c r="A627" s="672" t="inlineStr">
        <is>
          <t>E100203</t>
        </is>
      </c>
      <c r="B627" s="767">
        <f>ROW()</f>
        <v/>
      </c>
      <c r="C627" s="182" t="inlineStr">
        <is>
          <t>杭锦旗西部能源开发有限公司</t>
        </is>
      </c>
      <c r="D627" s="182" t="inlineStr">
        <is>
          <t>ZI029E100201</t>
        </is>
      </c>
      <c r="E627" s="182" t="inlineStr">
        <is>
          <t>北京昊华能源股份有限公司</t>
        </is>
      </c>
      <c r="F627" s="716" t="n"/>
      <c r="G627" s="716" t="n"/>
      <c r="H627" s="462" t="n"/>
    </row>
    <row r="628">
      <c r="A628" s="672" t="inlineStr">
        <is>
          <t>E100203G</t>
        </is>
      </c>
      <c r="B628" s="767">
        <f>ROW()</f>
        <v/>
      </c>
      <c r="C628" s="182" t="inlineStr">
        <is>
          <t>杭锦旗西部能源开发有限公司（合并）</t>
        </is>
      </c>
      <c r="D628" s="182" t="inlineStr">
        <is>
          <t>ZI029E100201</t>
        </is>
      </c>
      <c r="E628" s="182" t="inlineStr">
        <is>
          <t>北京昊华能源股份有限公司</t>
        </is>
      </c>
      <c r="F628" s="716" t="n"/>
      <c r="G628" s="716" t="n"/>
      <c r="H628" s="462" t="n"/>
    </row>
    <row r="629">
      <c r="A629" s="672" t="inlineStr">
        <is>
          <t>E100984</t>
        </is>
      </c>
      <c r="B629" s="767">
        <f>ROW()</f>
        <v/>
      </c>
      <c r="C629" s="182" t="inlineStr">
        <is>
          <t>杭州灿鸿投资管理合伙企业（有限合伙）</t>
        </is>
      </c>
      <c r="D629" s="182" t="inlineStr">
        <is>
          <t>ZI029E100985</t>
        </is>
      </c>
      <c r="E629" s="182" t="inlineStr">
        <is>
          <t>常州市招联绿邦新能源有限公司</t>
        </is>
      </c>
      <c r="F629" s="716" t="n"/>
      <c r="G629" s="716" t="n"/>
      <c r="H629" s="462" t="n"/>
    </row>
    <row r="630">
      <c r="A630" s="672" t="inlineStr">
        <is>
          <t>E100402</t>
        </is>
      </c>
      <c r="B630" s="767">
        <f>ROW()</f>
        <v/>
      </c>
      <c r="C630" s="182" t="inlineStr">
        <is>
          <t>杭州源江能源科技有限公司</t>
        </is>
      </c>
      <c r="D630" s="182" t="inlineStr">
        <is>
          <t>ZI029E100371</t>
        </is>
      </c>
      <c r="E630" s="182" t="inlineStr">
        <is>
          <t>北京京能科技有限公司</t>
        </is>
      </c>
      <c r="F630" s="716" t="n"/>
      <c r="G630" s="716" t="n"/>
      <c r="H630" s="462" t="n"/>
    </row>
    <row r="631">
      <c r="A631" s="672" t="inlineStr">
        <is>
          <t>E100216</t>
        </is>
      </c>
      <c r="B631" s="767">
        <f>ROW()</f>
        <v/>
      </c>
      <c r="C631" s="182" t="inlineStr">
        <is>
          <t>昊华能源国际（香港）有限公司</t>
        </is>
      </c>
      <c r="D631" s="182" t="inlineStr">
        <is>
          <t>ZI029E100201</t>
        </is>
      </c>
      <c r="E631" s="182" t="inlineStr">
        <is>
          <t>北京昊华能源股份有限公司</t>
        </is>
      </c>
      <c r="F631" s="716" t="n"/>
      <c r="G631" s="716" t="n"/>
      <c r="H631" s="462" t="n"/>
    </row>
    <row r="632">
      <c r="A632" s="672" t="inlineStr">
        <is>
          <t>E100929</t>
        </is>
      </c>
      <c r="B632" s="767">
        <f>ROW()</f>
        <v/>
      </c>
      <c r="C632" s="182" t="inlineStr">
        <is>
          <t>和顺县斯能风电有限公司</t>
        </is>
      </c>
      <c r="D632" s="182" t="inlineStr">
        <is>
          <t>ZI029E100730</t>
        </is>
      </c>
      <c r="E632" s="182" t="inlineStr">
        <is>
          <t>京能国际能源发展（北京）有限公司</t>
        </is>
      </c>
      <c r="F632" s="716" t="n"/>
      <c r="G632" s="716" t="n"/>
      <c r="H632" s="462" t="n"/>
    </row>
    <row r="633">
      <c r="A633" s="672" t="inlineStr">
        <is>
          <t>E100708</t>
        </is>
      </c>
      <c r="B633" s="767">
        <f>ROW()</f>
        <v/>
      </c>
      <c r="C633" s="182" t="inlineStr">
        <is>
          <t>河北融智新源电力有限公司</t>
        </is>
      </c>
      <c r="D633" s="182" t="inlineStr">
        <is>
          <t>ZI029E100001</t>
        </is>
      </c>
      <c r="E633" s="182" t="inlineStr">
        <is>
          <t>北京京能清洁能源电力股份有限公司</t>
        </is>
      </c>
      <c r="F633" s="716" t="n"/>
      <c r="G633" s="716" t="n"/>
      <c r="H633" s="462" t="n"/>
    </row>
    <row r="634">
      <c r="A634" s="672" t="inlineStr">
        <is>
          <t>E100708G</t>
        </is>
      </c>
      <c r="B634" s="767">
        <f>ROW()</f>
        <v/>
      </c>
      <c r="C634" s="182" t="inlineStr">
        <is>
          <t>河北融智新源电力有限公司（合并）</t>
        </is>
      </c>
      <c r="D634" s="182" t="inlineStr">
        <is>
          <t>ZI029E100001</t>
        </is>
      </c>
      <c r="E634" s="182" t="inlineStr">
        <is>
          <t>北京京能清洁能源电力股份有限公司</t>
        </is>
      </c>
      <c r="F634" s="716" t="n"/>
      <c r="G634" s="716" t="n"/>
      <c r="H634" s="462" t="n"/>
    </row>
    <row r="635">
      <c r="A635" s="672" t="inlineStr">
        <is>
          <t>E100168</t>
        </is>
      </c>
      <c r="B635" s="767">
        <f>ROW()</f>
        <v/>
      </c>
      <c r="C635" s="182" t="inlineStr">
        <is>
          <t>河北涿州京源热电有限责任公司</t>
        </is>
      </c>
      <c r="D635" s="182" t="inlineStr">
        <is>
          <t>ZI029E100145</t>
        </is>
      </c>
      <c r="E635" s="182" t="inlineStr">
        <is>
          <t>北京京能电力股份有限公司</t>
        </is>
      </c>
      <c r="F635" s="716" t="n"/>
      <c r="G635" s="716" t="n"/>
      <c r="H635" s="462" t="n"/>
    </row>
    <row r="636">
      <c r="A636" s="672" t="inlineStr">
        <is>
          <t>E100168</t>
        </is>
      </c>
      <c r="B636" s="767">
        <f>ROW()</f>
        <v/>
      </c>
      <c r="C636" s="182" t="inlineStr">
        <is>
          <t>河北涿州京源热电有限责任公司</t>
        </is>
      </c>
      <c r="D636" s="182" t="inlineStr">
        <is>
          <t>ZI029E100000</t>
        </is>
      </c>
      <c r="E636" s="182" t="inlineStr">
        <is>
          <t>北京能源集团有限责任公司</t>
        </is>
      </c>
      <c r="F636" s="716" t="n"/>
      <c r="G636" s="716" t="n"/>
      <c r="H636" s="462" t="n"/>
    </row>
    <row r="637">
      <c r="A637" s="672" t="inlineStr">
        <is>
          <t>E101065</t>
        </is>
      </c>
      <c r="B637" s="767">
        <f>ROW()</f>
        <v/>
      </c>
      <c r="C637" s="182" t="inlineStr">
        <is>
          <t>河津市潞安毓华风力发电有限公司</t>
        </is>
      </c>
      <c r="D637" s="182" t="inlineStr">
        <is>
          <t>ZI029E101070</t>
        </is>
      </c>
      <c r="E637" s="182" t="inlineStr">
        <is>
          <t>深圳市前海毓华清洁能源投资有限公司</t>
        </is>
      </c>
      <c r="F637" s="716" t="n"/>
      <c r="G637" s="716" t="n"/>
      <c r="H637" s="462" t="n"/>
    </row>
    <row r="638">
      <c r="A638" s="672" t="inlineStr">
        <is>
          <t>E100174</t>
        </is>
      </c>
      <c r="B638" s="767">
        <f>ROW()</f>
        <v/>
      </c>
      <c r="C638" s="182" t="inlineStr">
        <is>
          <t>河南京能滑州热电有限责任公司</t>
        </is>
      </c>
      <c r="D638" s="182" t="inlineStr">
        <is>
          <t>ZI029E100145</t>
        </is>
      </c>
      <c r="E638" s="182" t="inlineStr">
        <is>
          <t>北京京能电力股份有限公司</t>
        </is>
      </c>
      <c r="F638" s="716" t="n"/>
      <c r="G638" s="716" t="n"/>
      <c r="H638" s="462" t="n"/>
    </row>
    <row r="639">
      <c r="A639" s="672" t="inlineStr">
        <is>
          <t>E100185</t>
        </is>
      </c>
      <c r="B639" s="767">
        <f>ROW()</f>
        <v/>
      </c>
      <c r="C639" s="182" t="inlineStr">
        <is>
          <t>河南通源热力有限公司</t>
        </is>
      </c>
      <c r="D639" s="182" t="inlineStr">
        <is>
          <t>ZI029E100145</t>
        </is>
      </c>
      <c r="E639" s="182" t="inlineStr">
        <is>
          <t>北京京能电力股份有限公司</t>
        </is>
      </c>
      <c r="F639" s="716" t="n"/>
      <c r="G639" s="716" t="n"/>
      <c r="H639" s="462" t="n"/>
    </row>
    <row r="640">
      <c r="A640" s="672" t="inlineStr">
        <is>
          <t>E100713</t>
        </is>
      </c>
      <c r="B640" s="767">
        <f>ROW()</f>
        <v/>
      </c>
      <c r="C640" s="182" t="inlineStr">
        <is>
          <t>黑龙江京庆风力发电有限公司</t>
        </is>
      </c>
      <c r="D640" s="182" t="inlineStr">
        <is>
          <t>ZI029E100001</t>
        </is>
      </c>
      <c r="E640" s="182" t="inlineStr">
        <is>
          <t>北京京能清洁能源电力股份有限公司</t>
        </is>
      </c>
      <c r="F640" s="716" t="n"/>
      <c r="G640" s="716" t="n"/>
      <c r="H640" s="462" t="n"/>
    </row>
    <row r="641">
      <c r="A641" s="672" t="inlineStr">
        <is>
          <t>E100098</t>
        </is>
      </c>
      <c r="B641" s="767">
        <f>ROW()</f>
        <v/>
      </c>
      <c r="C641" s="182" t="inlineStr">
        <is>
          <t>黑水县三联水电开发有限责任公司</t>
        </is>
      </c>
      <c r="D641" s="182" t="inlineStr">
        <is>
          <t>ZI029E100096</t>
        </is>
      </c>
      <c r="E641" s="182" t="inlineStr">
        <is>
          <t>四川大川电力有限公司</t>
        </is>
      </c>
      <c r="F641" s="716" t="n"/>
      <c r="G641" s="716" t="n"/>
      <c r="H641" s="462" t="n"/>
    </row>
    <row r="642">
      <c r="A642" s="672" t="inlineStr">
        <is>
          <t>E100098</t>
        </is>
      </c>
      <c r="B642" s="767">
        <f>ROW()</f>
        <v/>
      </c>
      <c r="C642" s="182" t="inlineStr">
        <is>
          <t>黑水县三联水电开发有限责任公司</t>
        </is>
      </c>
      <c r="D642" s="182" t="inlineStr">
        <is>
          <t>ZI029E100001</t>
        </is>
      </c>
      <c r="E642" s="182" t="inlineStr">
        <is>
          <t>北京京能清洁能源电力股份有限公司</t>
        </is>
      </c>
      <c r="F642" s="716" t="n"/>
      <c r="G642" s="716" t="n"/>
      <c r="H642" s="462" t="n"/>
    </row>
    <row r="643">
      <c r="A643" s="672" t="inlineStr">
        <is>
          <t>E100952</t>
        </is>
      </c>
      <c r="B643" s="767">
        <f>ROW()</f>
        <v/>
      </c>
      <c r="C643" s="182" t="inlineStr">
        <is>
          <t>呼和浩特市联合新能源开发有限公司</t>
        </is>
      </c>
      <c r="D643" s="182" t="inlineStr">
        <is>
          <t>ZI029E100950</t>
        </is>
      </c>
      <c r="E643" s="182" t="inlineStr">
        <is>
          <t>内蒙古明华新能源股份有限公司</t>
        </is>
      </c>
      <c r="F643" s="716" t="n"/>
      <c r="G643" s="716" t="n"/>
      <c r="H643" s="462" t="n"/>
    </row>
    <row r="644">
      <c r="A644" s="672" t="inlineStr">
        <is>
          <t>E100188</t>
        </is>
      </c>
      <c r="B644" s="767">
        <f>ROW()</f>
        <v/>
      </c>
      <c r="C644" s="182" t="inlineStr">
        <is>
          <t>呼伦贝尔京能能源发展有限公司</t>
        </is>
      </c>
      <c r="D644" s="182" t="inlineStr">
        <is>
          <t>ZI029E100000</t>
        </is>
      </c>
      <c r="E644" s="182" t="inlineStr">
        <is>
          <t>北京能源集团有限责任公司</t>
        </is>
      </c>
      <c r="F644" s="716" t="n"/>
      <c r="G644" s="716" t="n"/>
      <c r="H644" s="462" t="n"/>
    </row>
    <row r="645">
      <c r="A645" s="672" t="inlineStr">
        <is>
          <t>E100047</t>
        </is>
      </c>
      <c r="B645" s="767">
        <f>ROW()</f>
        <v/>
      </c>
      <c r="C645" s="182" t="inlineStr">
        <is>
          <t>葫芦岛南票京泰新能源有限公司</t>
        </is>
      </c>
      <c r="D645" s="182" t="inlineStr">
        <is>
          <t>ZI029E100001</t>
        </is>
      </c>
      <c r="E645" s="182" t="inlineStr">
        <is>
          <t>北京京能清洁能源电力股份有限公司</t>
        </is>
      </c>
      <c r="F645" s="716" t="n"/>
      <c r="G645" s="716" t="n"/>
      <c r="H645" s="462" t="n"/>
    </row>
    <row r="646">
      <c r="A646" s="672" t="inlineStr">
        <is>
          <t>E100054</t>
        </is>
      </c>
      <c r="B646" s="767">
        <f>ROW()</f>
        <v/>
      </c>
      <c r="C646" s="182" t="inlineStr">
        <is>
          <t>葫芦岛南票万和新能源有限公司</t>
        </is>
      </c>
      <c r="D646" s="182" t="inlineStr">
        <is>
          <t>ZI029E100001</t>
        </is>
      </c>
      <c r="E646" s="182" t="inlineStr">
        <is>
          <t>北京京能清洁能源电力股份有限公司</t>
        </is>
      </c>
      <c r="F646" s="716" t="n"/>
      <c r="G646" s="716" t="n"/>
      <c r="H646" s="462" t="n"/>
    </row>
    <row r="647">
      <c r="A647" s="672" t="inlineStr">
        <is>
          <t>E100799</t>
        </is>
      </c>
      <c r="B647" s="767">
        <f>ROW()</f>
        <v/>
      </c>
      <c r="C647" s="182" t="inlineStr">
        <is>
          <t>湖北京能京堰新能源有限公司</t>
        </is>
      </c>
      <c r="D647" s="182" t="inlineStr">
        <is>
          <t>ZI029E100145</t>
        </is>
      </c>
      <c r="E647" s="182" t="inlineStr">
        <is>
          <t>北京京能电力股份有限公司</t>
        </is>
      </c>
      <c r="F647" s="716" t="n"/>
      <c r="G647" s="716" t="n"/>
      <c r="H647" s="462" t="n"/>
    </row>
    <row r="648">
      <c r="A648" s="672" t="inlineStr">
        <is>
          <t>E100979</t>
        </is>
      </c>
      <c r="B648" s="767">
        <f>ROW()</f>
        <v/>
      </c>
      <c r="C648" s="182" t="inlineStr">
        <is>
          <t>湖北晶泰光伏电力有限公司</t>
        </is>
      </c>
      <c r="D648" s="182" t="inlineStr">
        <is>
          <t>ZI029E100734</t>
        </is>
      </c>
      <c r="E648" s="182" t="inlineStr">
        <is>
          <t>联合光伏（常州）投资集团有限公司</t>
        </is>
      </c>
      <c r="F648" s="716" t="n"/>
      <c r="G648" s="716" t="n"/>
      <c r="H648" s="462" t="n"/>
    </row>
    <row r="649">
      <c r="A649" s="672" t="inlineStr">
        <is>
          <t>E100384</t>
        </is>
      </c>
      <c r="B649" s="767">
        <f>ROW()</f>
        <v/>
      </c>
      <c r="C649" s="182" t="inlineStr">
        <is>
          <t>湖州源深太阳能科技有限公司</t>
        </is>
      </c>
      <c r="D649" s="182" t="inlineStr">
        <is>
          <t>ZI029E100371</t>
        </is>
      </c>
      <c r="E649" s="182" t="inlineStr">
        <is>
          <t>北京京能科技有限公司</t>
        </is>
      </c>
      <c r="F649" s="716" t="n"/>
      <c r="G649" s="716" t="n"/>
      <c r="H649" s="462" t="n"/>
    </row>
    <row r="650">
      <c r="A650" s="672" t="inlineStr">
        <is>
          <t>E100400</t>
        </is>
      </c>
      <c r="B650" s="767">
        <f>ROW()</f>
        <v/>
      </c>
      <c r="C650" s="182" t="inlineStr">
        <is>
          <t>湖州源兴能源有限公司</t>
        </is>
      </c>
      <c r="D650" s="182" t="inlineStr">
        <is>
          <t>ZI029E100371</t>
        </is>
      </c>
      <c r="E650" s="182" t="inlineStr">
        <is>
          <t>北京京能科技有限公司</t>
        </is>
      </c>
      <c r="F650" s="716" t="n"/>
      <c r="G650" s="716" t="n"/>
      <c r="H650" s="462" t="n"/>
    </row>
    <row r="651">
      <c r="A651" s="672" t="inlineStr">
        <is>
          <t>E100401</t>
        </is>
      </c>
      <c r="B651" s="767">
        <f>ROW()</f>
        <v/>
      </c>
      <c r="C651" s="182" t="inlineStr">
        <is>
          <t>湖州源浔能源科技有限公司</t>
        </is>
      </c>
      <c r="D651" s="182" t="inlineStr">
        <is>
          <t>ZI029E100371</t>
        </is>
      </c>
      <c r="E651" s="182" t="inlineStr">
        <is>
          <t>北京京能科技有限公司</t>
        </is>
      </c>
      <c r="F651" s="716" t="n"/>
      <c r="G651" s="716" t="n"/>
      <c r="H651" s="462" t="n"/>
    </row>
    <row r="652">
      <c r="A652" s="672" t="inlineStr">
        <is>
          <t>E100537</t>
        </is>
      </c>
      <c r="B652" s="767">
        <f>ROW()</f>
        <v/>
      </c>
      <c r="C652" s="182" t="inlineStr">
        <is>
          <t>怀来昊璟矿建房地产开发有限公司</t>
        </is>
      </c>
      <c r="D652" s="182" t="inlineStr">
        <is>
          <t>ZI029E100422</t>
        </is>
      </c>
      <c r="E652" s="182" t="inlineStr">
        <is>
          <t>北京京能建设集团有限公司</t>
        </is>
      </c>
      <c r="F652" s="716" t="n"/>
      <c r="G652" s="716" t="n"/>
      <c r="H652" s="462" t="n"/>
    </row>
    <row r="653">
      <c r="A653" s="672" t="inlineStr">
        <is>
          <t>E100455</t>
        </is>
      </c>
      <c r="B653" s="767">
        <f>ROW()</f>
        <v/>
      </c>
      <c r="C653" s="182" t="inlineStr">
        <is>
          <t>怀来矿建物业服务有限公司</t>
        </is>
      </c>
      <c r="D653" s="182" t="inlineStr">
        <is>
          <t>ZI029E100422</t>
        </is>
      </c>
      <c r="E653" s="182" t="inlineStr">
        <is>
          <t>北京京能建设集团有限公司</t>
        </is>
      </c>
      <c r="F653" s="716" t="n"/>
      <c r="G653" s="716" t="n"/>
      <c r="H653" s="462" t="n"/>
    </row>
    <row r="654">
      <c r="A654" s="672" t="inlineStr">
        <is>
          <t>E101131</t>
        </is>
      </c>
      <c r="B654" s="767">
        <f>ROW()</f>
        <v/>
      </c>
      <c r="C654" s="182" t="inlineStr">
        <is>
          <t>怀来中尚新能源科技有限公司</t>
        </is>
      </c>
      <c r="D654" s="182" t="inlineStr">
        <is>
          <t>ZI029E100001</t>
        </is>
      </c>
      <c r="E654" s="182" t="inlineStr">
        <is>
          <t>北京京能清洁能源电力股份有限公司</t>
        </is>
      </c>
      <c r="F654" s="716" t="n"/>
      <c r="G654" s="716" t="n"/>
      <c r="H654" s="462" t="n"/>
    </row>
    <row r="655">
      <c r="A655" s="672" t="inlineStr">
        <is>
          <t>E100961</t>
        </is>
      </c>
      <c r="B655" s="767">
        <f>ROW()</f>
        <v/>
      </c>
      <c r="C655" s="182" t="inlineStr">
        <is>
          <t>惠州市晟合光电科技有限公司</t>
        </is>
      </c>
      <c r="D655" s="182" t="inlineStr">
        <is>
          <t>ZI029E100960</t>
        </is>
      </c>
      <c r="E655" s="182" t="inlineStr">
        <is>
          <t>常州市晖达新能源有限公司</t>
        </is>
      </c>
      <c r="F655" s="716" t="n"/>
      <c r="G655" s="716" t="n"/>
      <c r="H655" s="462" t="n"/>
    </row>
    <row r="656">
      <c r="A656" s="672" t="inlineStr">
        <is>
          <t>E100070</t>
        </is>
      </c>
      <c r="B656" s="767">
        <f>ROW()</f>
        <v/>
      </c>
      <c r="C656" s="182" t="inlineStr">
        <is>
          <t>惠州市永景新能源科技有限公司</t>
        </is>
      </c>
      <c r="D656" s="182" t="inlineStr">
        <is>
          <t>ZI029E100001</t>
        </is>
      </c>
      <c r="E656" s="182" t="inlineStr">
        <is>
          <t>北京京能清洁能源电力股份有限公司</t>
        </is>
      </c>
      <c r="F656" s="716" t="n"/>
      <c r="G656" s="716" t="n"/>
      <c r="H656" s="462" t="n"/>
    </row>
    <row r="657">
      <c r="A657" s="672" t="inlineStr">
        <is>
          <t>E100083</t>
        </is>
      </c>
      <c r="B657" s="767">
        <f>ROW()</f>
        <v/>
      </c>
      <c r="C657" s="182" t="inlineStr">
        <is>
          <t>浑源京晶新能源有限公司</t>
        </is>
      </c>
      <c r="D657" s="182" t="inlineStr">
        <is>
          <t>ZI029E100001</t>
        </is>
      </c>
      <c r="E657" s="182" t="inlineStr">
        <is>
          <t>北京京能清洁能源电力股份有限公司</t>
        </is>
      </c>
      <c r="F657" s="716" t="n"/>
      <c r="G657" s="716" t="n"/>
      <c r="H657" s="462" t="n"/>
    </row>
    <row r="658" ht="16.8" customHeight="1" s="1181">
      <c r="A658" s="672" t="inlineStr">
        <is>
          <t>E100083</t>
        </is>
      </c>
      <c r="B658" s="767">
        <f>ROW()</f>
        <v/>
      </c>
      <c r="C658" s="182" t="inlineStr">
        <is>
          <t>浑源京晶新能源有限公司</t>
        </is>
      </c>
      <c r="D658" s="390" t="inlineStr">
        <is>
          <t>ZI029E101144</t>
        </is>
      </c>
      <c r="E658" s="390" t="inlineStr">
        <is>
          <t>横峰县晶源电力有限公司</t>
        </is>
      </c>
      <c r="F658" s="716" t="n"/>
      <c r="G658" s="716" t="n"/>
      <c r="H658" s="462" t="n"/>
    </row>
    <row r="659">
      <c r="A659" s="672" t="inlineStr">
        <is>
          <t>E100930</t>
        </is>
      </c>
      <c r="B659" s="767">
        <f>ROW()</f>
        <v/>
      </c>
      <c r="C659" s="182" t="inlineStr">
        <is>
          <t>浑源斯能新能源有限公司</t>
        </is>
      </c>
      <c r="D659" s="182" t="inlineStr">
        <is>
          <t>ZI029E100730</t>
        </is>
      </c>
      <c r="E659" s="182" t="inlineStr">
        <is>
          <t>京能国际能源发展（北京）有限公司</t>
        </is>
      </c>
      <c r="F659" s="716" t="n"/>
      <c r="G659" s="716" t="n"/>
      <c r="H659" s="462" t="n"/>
    </row>
    <row r="660">
      <c r="A660" s="672" t="inlineStr">
        <is>
          <t>E100910</t>
        </is>
      </c>
      <c r="B660" s="767">
        <f>ROW()</f>
        <v/>
      </c>
      <c r="C660" s="182" t="inlineStr">
        <is>
          <t>霍邱县华钦新能源有限公司</t>
        </is>
      </c>
      <c r="D660" s="182" t="inlineStr">
        <is>
          <t>ZI029E100909</t>
        </is>
      </c>
      <c r="E660" s="182" t="inlineStr">
        <is>
          <t>六安华钦新能源有限公司</t>
        </is>
      </c>
      <c r="F660" s="716" t="n"/>
      <c r="G660" s="716" t="n"/>
      <c r="H660" s="462" t="n"/>
    </row>
    <row r="661">
      <c r="A661" s="672" t="inlineStr">
        <is>
          <t>E100822</t>
        </is>
      </c>
      <c r="B661" s="767">
        <f>ROW()</f>
        <v/>
      </c>
      <c r="C661" s="182" t="inlineStr">
        <is>
          <t>嘉燕（北京）新能源有限公司</t>
        </is>
      </c>
      <c r="D661" s="182" t="inlineStr">
        <is>
          <t>ZI029E100748</t>
        </is>
      </c>
      <c r="E661" s="182" t="inlineStr">
        <is>
          <t>北京京能国际综合智慧能源有限公司</t>
        </is>
      </c>
      <c r="F661" s="716" t="n"/>
      <c r="G661" s="716" t="n"/>
      <c r="H661" s="462" t="n"/>
    </row>
    <row r="662">
      <c r="A662" s="672" t="inlineStr">
        <is>
          <t>E101094</t>
        </is>
      </c>
      <c r="B662" s="767">
        <f>ROW()</f>
        <v/>
      </c>
      <c r="C662" s="182" t="inlineStr">
        <is>
          <t>京宝（北京）综合能源服务有限公司</t>
        </is>
      </c>
      <c r="D662" s="182" t="inlineStr">
        <is>
          <t>ZI029E100748</t>
        </is>
      </c>
      <c r="E662" s="182" t="inlineStr">
        <is>
          <t>北京京能国际综合智慧能源有限公司</t>
        </is>
      </c>
      <c r="F662" s="716" t="n"/>
      <c r="G662" s="716" t="n"/>
      <c r="H662" s="462" t="n"/>
    </row>
    <row r="663">
      <c r="A663" s="672" t="inlineStr">
        <is>
          <t>E101342</t>
        </is>
      </c>
      <c r="B663" s="767">
        <f>ROW()</f>
        <v/>
      </c>
      <c r="C663" s="182" t="inlineStr">
        <is>
          <t>京海能航（北京）新能源有限公司</t>
        </is>
      </c>
      <c r="D663" s="182" t="inlineStr">
        <is>
          <t>ZI029E100748</t>
        </is>
      </c>
      <c r="E663" s="182" t="inlineStr">
        <is>
          <t>北京京能国际综合智慧能源有限公司</t>
        </is>
      </c>
      <c r="F663" s="716" t="n"/>
      <c r="G663" s="716" t="n"/>
      <c r="H663" s="462" t="n"/>
    </row>
    <row r="664">
      <c r="A664" s="672" t="inlineStr">
        <is>
          <t>E100026</t>
        </is>
      </c>
      <c r="B664" s="767">
        <f>ROW()</f>
        <v/>
      </c>
      <c r="C664" s="182" t="inlineStr">
        <is>
          <t>建湖京能新能源有限公司</t>
        </is>
      </c>
      <c r="D664" s="182" t="inlineStr">
        <is>
          <t>ZI029E100001</t>
        </is>
      </c>
      <c r="E664" s="182" t="inlineStr">
        <is>
          <t>北京京能清洁能源电力股份有限公司</t>
        </is>
      </c>
      <c r="F664" s="716" t="n"/>
      <c r="G664" s="716" t="n"/>
      <c r="H664" s="462" t="n"/>
    </row>
    <row r="665">
      <c r="A665" s="672" t="inlineStr">
        <is>
          <t>E100714</t>
        </is>
      </c>
      <c r="B665" s="767">
        <f>ROW()</f>
        <v/>
      </c>
      <c r="C665" s="182" t="inlineStr">
        <is>
          <t>建平京能风力发电有限公司</t>
        </is>
      </c>
      <c r="D665" s="182" t="inlineStr">
        <is>
          <t>ZI029E100001</t>
        </is>
      </c>
      <c r="E665" s="182" t="inlineStr">
        <is>
          <t>北京京能清洁能源电力股份有限公司</t>
        </is>
      </c>
      <c r="F665" s="716" t="n"/>
      <c r="G665" s="716" t="n"/>
      <c r="H665" s="462" t="n"/>
    </row>
    <row r="666">
      <c r="A666" s="672" t="inlineStr">
        <is>
          <t>E100175</t>
        </is>
      </c>
      <c r="B666" s="767">
        <f>ROW()</f>
        <v/>
      </c>
      <c r="C666" s="182" t="inlineStr">
        <is>
          <t>江西宜春京能热电有限责任公司</t>
        </is>
      </c>
      <c r="D666" s="182" t="inlineStr">
        <is>
          <t>ZI029E100145</t>
        </is>
      </c>
      <c r="E666" s="182" t="inlineStr">
        <is>
          <t>北京京能电力股份有限公司</t>
        </is>
      </c>
      <c r="F666" s="716" t="n"/>
      <c r="G666" s="716" t="n"/>
      <c r="H666" s="462" t="n"/>
    </row>
    <row r="667">
      <c r="A667" s="672" t="inlineStr">
        <is>
          <t>E100916</t>
        </is>
      </c>
      <c r="B667" s="767">
        <f>ROW()</f>
        <v/>
      </c>
      <c r="C667" s="182" t="inlineStr">
        <is>
          <t>焦作市盈聚新能源科技有限公司</t>
        </is>
      </c>
      <c r="D667" s="182" t="inlineStr">
        <is>
          <t>ZI029E100908</t>
        </is>
      </c>
      <c r="E667" s="182" t="inlineStr">
        <is>
          <t>北京通力日昇新能源科技有限公司</t>
        </is>
      </c>
      <c r="F667" s="716" t="n"/>
      <c r="G667" s="716" t="n"/>
      <c r="H667" s="462" t="n"/>
    </row>
    <row r="668">
      <c r="A668" s="672" t="inlineStr">
        <is>
          <t>E100443</t>
        </is>
      </c>
      <c r="B668" s="767">
        <f>ROW()</f>
        <v/>
      </c>
      <c r="C668" s="182" t="inlineStr">
        <is>
          <t>金泰丽城（天津）置业投资有限公司</t>
        </is>
      </c>
      <c r="D668" s="182" t="inlineStr">
        <is>
          <t>ZI029E100421</t>
        </is>
      </c>
      <c r="E668" s="182" t="inlineStr">
        <is>
          <t>北京金泰房地产开发有限责任公司</t>
        </is>
      </c>
      <c r="F668" s="716" t="n"/>
      <c r="G668" s="716" t="n"/>
      <c r="H668" s="462" t="n"/>
    </row>
    <row r="669">
      <c r="A669" s="672" t="inlineStr">
        <is>
          <t>E100770</t>
        </is>
      </c>
      <c r="B669" s="767">
        <f>ROW()</f>
        <v/>
      </c>
      <c r="C669" s="182" t="inlineStr">
        <is>
          <t>金泰壹号（天津）企业管理合伙企业（有限合伙）</t>
        </is>
      </c>
      <c r="D669" s="182" t="inlineStr">
        <is>
          <t>ZI029E100268</t>
        </is>
      </c>
      <c r="E669" s="182" t="inlineStr">
        <is>
          <t>北京京煤集团有限责任公司</t>
        </is>
      </c>
      <c r="F669" s="716" t="n"/>
      <c r="G669" s="716" t="n"/>
      <c r="H669" s="462" t="n"/>
    </row>
    <row r="670">
      <c r="A670" s="672" t="inlineStr">
        <is>
          <t>E100770</t>
        </is>
      </c>
      <c r="B670" s="767">
        <f>ROW()</f>
        <v/>
      </c>
      <c r="C670" s="182" t="inlineStr">
        <is>
          <t>金泰壹号（天津）企业管理合伙企业（有限合伙）</t>
        </is>
      </c>
      <c r="D670" s="182" t="inlineStr">
        <is>
          <t>ZI029E100353</t>
        </is>
      </c>
      <c r="E670" s="182" t="inlineStr">
        <is>
          <t>北京京能房产租赁经营有限责任公司</t>
        </is>
      </c>
      <c r="F670" s="716" t="n"/>
      <c r="G670" s="716" t="n"/>
      <c r="H670" s="462" t="n"/>
    </row>
    <row r="671">
      <c r="A671" s="672" t="inlineStr">
        <is>
          <t>E100733</t>
        </is>
      </c>
      <c r="B671" s="767">
        <f>ROW()</f>
        <v/>
      </c>
      <c r="C671" s="182" t="inlineStr">
        <is>
          <t>晋中晋合新能源有限公司</t>
        </is>
      </c>
      <c r="D671" s="182" t="inlineStr">
        <is>
          <t>ZI029E100949</t>
        </is>
      </c>
      <c r="E671" s="182" t="inlineStr">
        <is>
          <t>常州晋合新能源有限公司</t>
        </is>
      </c>
      <c r="F671" s="716" t="n"/>
      <c r="G671" s="716" t="n"/>
      <c r="H671" s="462" t="n"/>
    </row>
    <row r="672">
      <c r="A672" s="672" t="inlineStr">
        <is>
          <t>E100030</t>
        </is>
      </c>
      <c r="B672" s="767">
        <f>ROW()</f>
        <v/>
      </c>
      <c r="C672" s="182" t="inlineStr">
        <is>
          <t>缙云县京能新能源有限公司</t>
        </is>
      </c>
      <c r="D672" s="182" t="inlineStr">
        <is>
          <t>ZI029E100001</t>
        </is>
      </c>
      <c r="E672" s="182" t="inlineStr">
        <is>
          <t>北京京能清洁能源电力股份有限公司</t>
        </is>
      </c>
      <c r="F672" s="716" t="n"/>
      <c r="G672" s="716" t="n"/>
      <c r="H672" s="462" t="n"/>
    </row>
    <row r="673">
      <c r="A673" s="672" t="inlineStr">
        <is>
          <t>E100922</t>
        </is>
      </c>
      <c r="B673" s="767">
        <f>ROW()</f>
        <v/>
      </c>
      <c r="C673" s="182" t="inlineStr">
        <is>
          <t>京傲（达茂）新能源有限公司</t>
        </is>
      </c>
      <c r="D673" s="182" t="inlineStr">
        <is>
          <t>ZI029E100730</t>
        </is>
      </c>
      <c r="E673" s="182" t="inlineStr">
        <is>
          <t>京能国际能源发展（北京）有限公司</t>
        </is>
      </c>
      <c r="F673" s="716" t="n"/>
      <c r="G673" s="716" t="n"/>
      <c r="H673" s="462" t="n"/>
    </row>
    <row r="674">
      <c r="A674" s="672" t="inlineStr">
        <is>
          <t>E100888</t>
        </is>
      </c>
      <c r="B674" s="767">
        <f>ROW()</f>
        <v/>
      </c>
      <c r="C674" s="182" t="inlineStr">
        <is>
          <t>京济（临沂）新能源技术有限公司</t>
        </is>
      </c>
      <c r="D674" s="182" t="inlineStr">
        <is>
          <t>ZI029E100883</t>
        </is>
      </c>
      <c r="E674" s="182" t="inlineStr">
        <is>
          <t>Beijing Energy International Investment Limited</t>
        </is>
      </c>
      <c r="F674" s="716" t="n"/>
      <c r="G674" s="716" t="n"/>
      <c r="H674" s="462" t="n"/>
    </row>
    <row r="675">
      <c r="A675" s="672" t="inlineStr">
        <is>
          <t>E100895</t>
        </is>
      </c>
      <c r="B675" s="767">
        <f>ROW()</f>
        <v/>
      </c>
      <c r="C675" s="182" t="inlineStr">
        <is>
          <t>京临（沂水）新能源有限公司</t>
        </is>
      </c>
      <c r="D675" s="182" t="inlineStr">
        <is>
          <t>ZI029E100883</t>
        </is>
      </c>
      <c r="E675" s="182" t="inlineStr">
        <is>
          <t>Beijing Energy International Investment Limited</t>
        </is>
      </c>
      <c r="F675" s="716" t="n"/>
      <c r="G675" s="716" t="n"/>
      <c r="H675" s="462" t="n"/>
    </row>
    <row r="676">
      <c r="A676" s="672" t="inlineStr">
        <is>
          <t>E100886</t>
        </is>
      </c>
      <c r="B676" s="767">
        <f>ROW()</f>
        <v/>
      </c>
      <c r="C676" s="182" t="inlineStr">
        <is>
          <t>京能（鞍山）新能源有限公司</t>
        </is>
      </c>
      <c r="D676" s="182" t="inlineStr">
        <is>
          <t>ZI029E100883</t>
        </is>
      </c>
      <c r="E676" s="182" t="inlineStr">
        <is>
          <t>Beijing Energy International Investment Limited</t>
        </is>
      </c>
      <c r="F676" s="716" t="n"/>
      <c r="G676" s="716" t="n"/>
      <c r="H676" s="462" t="n"/>
    </row>
    <row r="677">
      <c r="A677" s="672" t="inlineStr">
        <is>
          <t>E100170</t>
        </is>
      </c>
      <c r="B677" s="767">
        <f>ROW()</f>
        <v/>
      </c>
      <c r="C677" s="182" t="inlineStr">
        <is>
          <t>京能（赤峰）能源发展有限公司</t>
        </is>
      </c>
      <c r="D677" s="182" t="inlineStr">
        <is>
          <t>ZI029E100145</t>
        </is>
      </c>
      <c r="E677" s="182" t="inlineStr">
        <is>
          <t>北京京能电力股份有限公司</t>
        </is>
      </c>
      <c r="F677" s="716" t="n"/>
      <c r="G677" s="716" t="n"/>
      <c r="H677" s="462" t="n"/>
    </row>
    <row r="678">
      <c r="A678" s="672" t="inlineStr">
        <is>
          <t>E100889</t>
        </is>
      </c>
      <c r="B678" s="767">
        <f>ROW()</f>
        <v/>
      </c>
      <c r="C678" s="182" t="inlineStr">
        <is>
          <t>京能（德城区）新能源科技有限公司</t>
        </is>
      </c>
      <c r="D678" s="182" t="inlineStr">
        <is>
          <t>ZI029E100883</t>
        </is>
      </c>
      <c r="E678" s="182" t="inlineStr">
        <is>
          <t>Beijing Energy International Investment Limited</t>
        </is>
      </c>
      <c r="F678" s="716" t="n"/>
      <c r="G678" s="716" t="n"/>
      <c r="H678" s="462" t="n"/>
    </row>
    <row r="679">
      <c r="A679" s="672" t="inlineStr">
        <is>
          <t>E100824</t>
        </is>
      </c>
      <c r="B679" s="767">
        <f>ROW()</f>
        <v/>
      </c>
      <c r="C679" s="182" t="inlineStr">
        <is>
          <t>京能（高碑店）新能源科技有限公司</t>
        </is>
      </c>
      <c r="D679" s="182" t="inlineStr">
        <is>
          <t>ZI029E100730</t>
        </is>
      </c>
      <c r="E679" s="182" t="inlineStr">
        <is>
          <t>京能国际能源发展（北京）有限公司</t>
        </is>
      </c>
      <c r="F679" s="716" t="n"/>
      <c r="G679" s="716" t="n"/>
      <c r="H679" s="462" t="n"/>
    </row>
    <row r="680">
      <c r="A680" s="672" t="inlineStr">
        <is>
          <t>E101061</t>
        </is>
      </c>
      <c r="B680" s="767">
        <f>ROW()</f>
        <v/>
      </c>
      <c r="C680" s="182" t="inlineStr">
        <is>
          <t>京能（故城）新能源有限公司</t>
        </is>
      </c>
      <c r="D680" s="182" t="inlineStr">
        <is>
          <t>ZI029E100730</t>
        </is>
      </c>
      <c r="E680" s="182" t="inlineStr">
        <is>
          <t>京能国际能源发展（北京）有限公司</t>
        </is>
      </c>
      <c r="F680" s="716" t="n"/>
      <c r="G680" s="716" t="n"/>
      <c r="H680" s="462" t="n"/>
    </row>
    <row r="681">
      <c r="A681" s="672" t="inlineStr">
        <is>
          <t>E100791</t>
        </is>
      </c>
      <c r="B681" s="767">
        <f>ROW()</f>
        <v/>
      </c>
      <c r="C681" s="182" t="inlineStr">
        <is>
          <t>京能（嘉兴秀洲）新能源有限公司</t>
        </is>
      </c>
      <c r="D681" s="182" t="inlineStr">
        <is>
          <t>ZI029E100730</t>
        </is>
      </c>
      <c r="E681" s="182" t="inlineStr">
        <is>
          <t>京能国际能源发展（北京）有限公司</t>
        </is>
      </c>
      <c r="F681" s="716" t="n"/>
      <c r="G681" s="716" t="n"/>
      <c r="H681" s="462" t="n"/>
    </row>
    <row r="682">
      <c r="A682" s="672" t="inlineStr">
        <is>
          <t>E100892</t>
        </is>
      </c>
      <c r="B682" s="767">
        <f>ROW()</f>
        <v/>
      </c>
      <c r="C682" s="182" t="inlineStr">
        <is>
          <t>京能（莱阳）新能源有限公司</t>
        </is>
      </c>
      <c r="D682" s="182" t="inlineStr">
        <is>
          <t>ZI029E100883</t>
        </is>
      </c>
      <c r="E682" s="182" t="inlineStr">
        <is>
          <t>Beijing Energy International Investment Limited</t>
        </is>
      </c>
      <c r="F682" s="716" t="n"/>
      <c r="G682" s="716" t="n"/>
      <c r="H682" s="462" t="n"/>
    </row>
    <row r="683">
      <c r="A683" s="672" t="inlineStr">
        <is>
          <t>E100891</t>
        </is>
      </c>
      <c r="B683" s="767">
        <f>ROW()</f>
        <v/>
      </c>
      <c r="C683" s="182" t="inlineStr">
        <is>
          <t>京能（莱州）新能源有限公司</t>
        </is>
      </c>
      <c r="D683" s="182" t="inlineStr">
        <is>
          <t>ZI029E100883</t>
        </is>
      </c>
      <c r="E683" s="182" t="inlineStr">
        <is>
          <t>Beijing Energy International Investment Limited</t>
        </is>
      </c>
      <c r="F683" s="716" t="n"/>
      <c r="G683" s="716" t="n"/>
      <c r="H683" s="462" t="n"/>
    </row>
    <row r="684">
      <c r="A684" s="672" t="inlineStr">
        <is>
          <t>E100998</t>
        </is>
      </c>
      <c r="B684" s="767">
        <f>ROW()</f>
        <v/>
      </c>
      <c r="C684" s="182" t="inlineStr">
        <is>
          <t>京能（聊城）风力发电有限公司</t>
        </is>
      </c>
      <c r="D684" s="182" t="inlineStr">
        <is>
          <t>ZI029E100883</t>
        </is>
      </c>
      <c r="E684" s="182" t="inlineStr">
        <is>
          <t>Beijing Energy International Investment Limited</t>
        </is>
      </c>
      <c r="F684" s="716" t="n"/>
      <c r="G684" s="716" t="n"/>
      <c r="H684" s="462" t="n"/>
    </row>
    <row r="685">
      <c r="A685" s="672" t="inlineStr">
        <is>
          <t>E100023</t>
        </is>
      </c>
      <c r="B685" s="767">
        <f>ROW()</f>
        <v/>
      </c>
      <c r="C685" s="182" t="inlineStr">
        <is>
          <t>京能（迁西）发电有限公司</t>
        </is>
      </c>
      <c r="D685" s="182" t="inlineStr">
        <is>
          <t>ZI029E100001</t>
        </is>
      </c>
      <c r="E685" s="182" t="inlineStr">
        <is>
          <t>北京京能清洁能源电力股份有限公司</t>
        </is>
      </c>
      <c r="F685" s="716" t="n"/>
      <c r="G685" s="716" t="n"/>
      <c r="H685" s="462" t="n"/>
    </row>
    <row r="686">
      <c r="A686" s="672" t="inlineStr">
        <is>
          <t>E100887</t>
        </is>
      </c>
      <c r="B686" s="767">
        <f>ROW()</f>
        <v/>
      </c>
      <c r="C686" s="182" t="inlineStr">
        <is>
          <t>京能（荣成）新能源有限公司</t>
        </is>
      </c>
      <c r="D686" s="182" t="inlineStr">
        <is>
          <t>ZI029E100883</t>
        </is>
      </c>
      <c r="E686" s="182" t="inlineStr">
        <is>
          <t>Beijing Energy International Investment Limited</t>
        </is>
      </c>
      <c r="F686" s="716" t="n"/>
      <c r="G686" s="716" t="n"/>
      <c r="H686" s="462" t="n"/>
    </row>
    <row r="687">
      <c r="A687" s="672" t="inlineStr">
        <is>
          <t>E100885</t>
        </is>
      </c>
      <c r="B687" s="767">
        <f>ROW()</f>
        <v/>
      </c>
      <c r="C687" s="182" t="inlineStr">
        <is>
          <t>京能（乳山）新能源有限公司</t>
        </is>
      </c>
      <c r="D687" s="182" t="inlineStr">
        <is>
          <t>ZI029E100883</t>
        </is>
      </c>
      <c r="E687" s="182" t="inlineStr">
        <is>
          <t>Beijing Energy International Investment Limited</t>
        </is>
      </c>
      <c r="F687" s="716" t="n"/>
      <c r="G687" s="716" t="n"/>
      <c r="H687" s="462" t="n"/>
    </row>
    <row r="688">
      <c r="A688" s="672" t="inlineStr">
        <is>
          <t>E100156</t>
        </is>
      </c>
      <c r="B688" s="767">
        <f>ROW()</f>
        <v/>
      </c>
      <c r="C688" s="182" t="inlineStr">
        <is>
          <t>京能（锡林郭勒）发电有限公司</t>
        </is>
      </c>
      <c r="D688" s="182" t="inlineStr">
        <is>
          <t>ZI029E100145</t>
        </is>
      </c>
      <c r="E688" s="182" t="inlineStr">
        <is>
          <t>北京京能电力股份有限公司</t>
        </is>
      </c>
      <c r="F688" s="716" t="n"/>
      <c r="G688" s="716" t="n"/>
      <c r="H688" s="462" t="n"/>
    </row>
    <row r="689">
      <c r="A689" s="672" t="inlineStr">
        <is>
          <t>E100896</t>
        </is>
      </c>
      <c r="B689" s="767">
        <f>ROW()</f>
        <v/>
      </c>
      <c r="C689" s="182" t="inlineStr">
        <is>
          <t>京能（兴城）新能源有限公司</t>
        </is>
      </c>
      <c r="D689" s="182" t="inlineStr">
        <is>
          <t>ZI029E100883</t>
        </is>
      </c>
      <c r="E689" s="182" t="inlineStr">
        <is>
          <t>Beijing Energy International Investment Limited</t>
        </is>
      </c>
      <c r="F689" s="716" t="n"/>
      <c r="G689" s="716" t="n"/>
      <c r="H689" s="462" t="n"/>
    </row>
    <row r="690">
      <c r="A690" s="672" t="inlineStr">
        <is>
          <t>E100997</t>
        </is>
      </c>
      <c r="B690" s="767">
        <f>ROW()</f>
        <v/>
      </c>
      <c r="C690" s="182" t="inlineStr">
        <is>
          <t>京能（烟台栖霞市）光伏发电有限公司</t>
        </is>
      </c>
      <c r="D690" s="182" t="inlineStr">
        <is>
          <t>ZI029E100730</t>
        </is>
      </c>
      <c r="E690" s="182" t="inlineStr">
        <is>
          <t>京能国际能源发展（北京）有限公司</t>
        </is>
      </c>
      <c r="F690" s="716" t="n"/>
      <c r="G690" s="716" t="n"/>
      <c r="H690" s="462" t="n"/>
    </row>
    <row r="691">
      <c r="A691" s="672" t="inlineStr">
        <is>
          <t>E100861</t>
        </is>
      </c>
      <c r="B691" s="767">
        <f>ROW()</f>
        <v/>
      </c>
      <c r="C691" s="182" t="inlineStr">
        <is>
          <t>京能阿巴嘎旗生态科技有限公司</t>
        </is>
      </c>
      <c r="D691" s="182" t="inlineStr">
        <is>
          <t>ZI029E100189</t>
        </is>
      </c>
      <c r="E691" s="182" t="inlineStr">
        <is>
          <t>京能锡林郭勒能源有限公司</t>
        </is>
      </c>
      <c r="F691" s="716" t="n"/>
      <c r="G691" s="716" t="n"/>
      <c r="H691" s="462" t="n"/>
    </row>
    <row r="692">
      <c r="A692" s="672" t="inlineStr">
        <is>
          <t>E100715</t>
        </is>
      </c>
      <c r="B692" s="767">
        <f>ROW()</f>
        <v/>
      </c>
      <c r="C692" s="182" t="inlineStr">
        <is>
          <t>京能保险经纪有限公司</t>
        </is>
      </c>
      <c r="D692" s="182" t="inlineStr">
        <is>
          <t>ZI029E100000</t>
        </is>
      </c>
      <c r="E692" s="182" t="inlineStr">
        <is>
          <t>北京能源集团有限责任公司</t>
        </is>
      </c>
      <c r="F692" s="716" t="n"/>
      <c r="G692" s="716" t="n"/>
      <c r="H692" s="462" t="n"/>
    </row>
    <row r="693">
      <c r="A693" s="672" t="inlineStr">
        <is>
          <t>E100254</t>
        </is>
      </c>
      <c r="B693" s="767">
        <f>ROW()</f>
        <v/>
      </c>
      <c r="C693" s="182" t="inlineStr">
        <is>
          <t>京能大同热力有限公司</t>
        </is>
      </c>
      <c r="D693" s="182" t="inlineStr">
        <is>
          <t>ZI029E100222</t>
        </is>
      </c>
      <c r="E693" s="182" t="inlineStr">
        <is>
          <t>北京市热力集团有限责任公司</t>
        </is>
      </c>
      <c r="F693" s="716" t="n"/>
      <c r="G693" s="716" t="n"/>
      <c r="H693" s="462" t="n"/>
    </row>
    <row r="694">
      <c r="A694" s="672" t="inlineStr">
        <is>
          <t>E100254G</t>
        </is>
      </c>
      <c r="B694" s="767">
        <f>ROW()</f>
        <v/>
      </c>
      <c r="C694" s="182" t="inlineStr">
        <is>
          <t>京能大同热力有限公司（合并）</t>
        </is>
      </c>
      <c r="D694" s="182" t="inlineStr">
        <is>
          <t>ZI029E100222</t>
        </is>
      </c>
      <c r="E694" s="182" t="inlineStr">
        <is>
          <t>北京市热力集团有限责任公司</t>
        </is>
      </c>
      <c r="F694" s="716" t="n"/>
      <c r="G694" s="716" t="n"/>
      <c r="H694" s="462" t="n"/>
    </row>
    <row r="695">
      <c r="A695" s="672" t="inlineStr">
        <is>
          <t>E100254H</t>
        </is>
      </c>
      <c r="B695" s="767">
        <f>ROW()</f>
        <v/>
      </c>
      <c r="C695" s="182" t="inlineStr">
        <is>
          <t>京能大同热力有限公司（合并）本部</t>
        </is>
      </c>
      <c r="D695" s="182" t="inlineStr">
        <is>
          <t>ZI029E100222</t>
        </is>
      </c>
      <c r="E695" s="182" t="inlineStr">
        <is>
          <t>北京市热力集团有限责任公司</t>
        </is>
      </c>
      <c r="F695" s="716" t="n"/>
      <c r="G695" s="716" t="n"/>
      <c r="H695" s="462" t="n"/>
    </row>
    <row r="696">
      <c r="A696" s="672" t="inlineStr">
        <is>
          <t>E100109</t>
        </is>
      </c>
      <c r="B696" s="767">
        <f>ROW()</f>
        <v/>
      </c>
      <c r="C696" s="182" t="inlineStr">
        <is>
          <t>京能电力后勤服务有限公司</t>
        </is>
      </c>
      <c r="D696" s="182" t="inlineStr">
        <is>
          <t>ZI029E100000</t>
        </is>
      </c>
      <c r="E696" s="182" t="inlineStr">
        <is>
          <t>北京能源集团有限责任公司</t>
        </is>
      </c>
      <c r="F696" s="716" t="n"/>
      <c r="G696" s="716" t="n"/>
      <c r="H696" s="462" t="n"/>
    </row>
    <row r="697">
      <c r="A697" s="672" t="inlineStr">
        <is>
          <t>E100109G</t>
        </is>
      </c>
      <c r="B697" s="767">
        <f>ROW()</f>
        <v/>
      </c>
      <c r="C697" s="182" t="inlineStr">
        <is>
          <t>京能电力后勤服务有限公司（合并）</t>
        </is>
      </c>
      <c r="D697" s="182" t="inlineStr">
        <is>
          <t>ZI029E100000</t>
        </is>
      </c>
      <c r="E697" s="182" t="inlineStr">
        <is>
          <t>北京能源集团有限责任公司</t>
        </is>
      </c>
      <c r="F697" s="716" t="n"/>
      <c r="G697" s="716" t="n"/>
      <c r="H697" s="462" t="n"/>
    </row>
    <row r="698">
      <c r="A698" s="672" t="inlineStr">
        <is>
          <t>E100128</t>
        </is>
      </c>
      <c r="B698" s="767">
        <f>ROW()</f>
        <v/>
      </c>
      <c r="C698" s="182" t="inlineStr">
        <is>
          <t>京能电力科技环保有限公司</t>
        </is>
      </c>
      <c r="D698" s="182" t="inlineStr">
        <is>
          <t>ZI029E100109</t>
        </is>
      </c>
      <c r="E698" s="182" t="inlineStr">
        <is>
          <t>京能电力后勤服务有限公司</t>
        </is>
      </c>
      <c r="F698" s="716" t="n"/>
      <c r="G698" s="716" t="n"/>
      <c r="H698" s="462" t="n"/>
    </row>
    <row r="699">
      <c r="A699" s="672" t="inlineStr">
        <is>
          <t>E100135</t>
        </is>
      </c>
      <c r="B699" s="767">
        <f>ROW()</f>
        <v/>
      </c>
      <c r="C699" s="182" t="inlineStr">
        <is>
          <t>京能电力涿州科技环保有限公司</t>
        </is>
      </c>
      <c r="D699" s="182" t="inlineStr">
        <is>
          <t>ZI029E100109</t>
        </is>
      </c>
      <c r="E699" s="182" t="inlineStr">
        <is>
          <t>京能电力后勤服务有限公司</t>
        </is>
      </c>
      <c r="F699" s="716" t="n"/>
      <c r="G699" s="716" t="n"/>
      <c r="H699" s="462" t="n"/>
    </row>
    <row r="700">
      <c r="A700" s="672" t="inlineStr">
        <is>
          <t>E100135G</t>
        </is>
      </c>
      <c r="B700" s="767">
        <f>ROW()</f>
        <v/>
      </c>
      <c r="C700" s="182" t="inlineStr">
        <is>
          <t>京能电力涿州科技环保有限公司（合并）</t>
        </is>
      </c>
      <c r="D700" s="182" t="inlineStr">
        <is>
          <t>ZI029E100109</t>
        </is>
      </c>
      <c r="E700" s="182" t="inlineStr">
        <is>
          <t>京能电力后勤服务有限公司</t>
        </is>
      </c>
      <c r="F700" s="716" t="n"/>
      <c r="G700" s="716" t="n"/>
      <c r="H700" s="462" t="n"/>
    </row>
    <row r="701">
      <c r="A701" s="672" t="inlineStr">
        <is>
          <t>E100186</t>
        </is>
      </c>
      <c r="B701" s="767">
        <f>ROW()</f>
        <v/>
      </c>
      <c r="C701" s="182" t="inlineStr">
        <is>
          <t>京能东风（十堰）能源发展有限公司</t>
        </is>
      </c>
      <c r="D701" s="182" t="inlineStr">
        <is>
          <t>ZI029E100000</t>
        </is>
      </c>
      <c r="E701" s="182" t="inlineStr">
        <is>
          <t>北京能源集团有限责任公司</t>
        </is>
      </c>
      <c r="F701" s="716" t="n"/>
      <c r="G701" s="716" t="n"/>
      <c r="H701" s="462" t="n"/>
    </row>
    <row r="702">
      <c r="A702" s="672" t="inlineStr">
        <is>
          <t>E100108</t>
        </is>
      </c>
      <c r="B702" s="767">
        <f>ROW()</f>
        <v/>
      </c>
      <c r="C702" s="182" t="inlineStr">
        <is>
          <t>京能服务管理有限公司</t>
        </is>
      </c>
      <c r="D702" s="182" t="inlineStr">
        <is>
          <t>ZI029E100000</t>
        </is>
      </c>
      <c r="E702" s="182" t="inlineStr">
        <is>
          <t>北京能源集团有限责任公司</t>
        </is>
      </c>
      <c r="F702" s="716" t="n"/>
      <c r="G702" s="716" t="n"/>
      <c r="H702" s="462" t="n"/>
    </row>
    <row r="703">
      <c r="A703" s="672" t="inlineStr">
        <is>
          <t>E100108H</t>
        </is>
      </c>
      <c r="B703" s="767">
        <f>ROW()</f>
        <v/>
      </c>
      <c r="C703" s="182" t="inlineStr">
        <is>
          <t>京能服务管理有限公司（合并）</t>
        </is>
      </c>
      <c r="D703" s="182" t="inlineStr">
        <is>
          <t>ZI029E100000</t>
        </is>
      </c>
      <c r="E703" s="182" t="inlineStr">
        <is>
          <t>北京能源集团有限责任公司</t>
        </is>
      </c>
      <c r="F703" s="716" t="n"/>
      <c r="G703" s="716" t="n"/>
      <c r="H703" s="462" t="n"/>
    </row>
    <row r="704">
      <c r="A704" s="672" t="inlineStr">
        <is>
          <t>E100894</t>
        </is>
      </c>
      <c r="B704" s="767">
        <f>ROW()</f>
        <v/>
      </c>
      <c r="C704" s="182" t="inlineStr">
        <is>
          <t>京能国际（高邮）新能源有限公司</t>
        </is>
      </c>
      <c r="D704" s="182" t="inlineStr">
        <is>
          <t>ZI029E100883</t>
        </is>
      </c>
      <c r="E704" s="182" t="inlineStr">
        <is>
          <t>Beijing Energy International Investment Limited</t>
        </is>
      </c>
      <c r="F704" s="716" t="n"/>
      <c r="G704" s="716" t="n"/>
      <c r="H704" s="462" t="n"/>
    </row>
    <row r="705">
      <c r="A705" s="672" t="inlineStr">
        <is>
          <t>E100730</t>
        </is>
      </c>
      <c r="B705" s="767">
        <f>ROW()</f>
        <v/>
      </c>
      <c r="C705" s="182" t="inlineStr">
        <is>
          <t>京能国际能源发展（北京）有限公司</t>
        </is>
      </c>
      <c r="D705" s="182" t="inlineStr">
        <is>
          <t>ZI029E100883</t>
        </is>
      </c>
      <c r="E705" s="182" t="inlineStr">
        <is>
          <t>Beijing Energy International Investment Limited</t>
        </is>
      </c>
      <c r="F705" s="716" t="n"/>
      <c r="G705" s="716" t="n"/>
      <c r="H705" s="462" t="n"/>
    </row>
    <row r="706">
      <c r="A706" s="672" t="inlineStr">
        <is>
          <t>E100730</t>
        </is>
      </c>
      <c r="B706" s="767">
        <f>ROW()</f>
        <v/>
      </c>
      <c r="C706" s="182" t="inlineStr">
        <is>
          <t>京能国际能源发展（北京）有限公司</t>
        </is>
      </c>
      <c r="D706" s="182" t="inlineStr">
        <is>
          <t>ZI029E100729</t>
        </is>
      </c>
      <c r="E706" s="182" t="inlineStr">
        <is>
          <t>北京京能国际控股有限公司</t>
        </is>
      </c>
      <c r="F706" s="716" t="n"/>
      <c r="G706" s="716" t="n"/>
      <c r="H706" s="462" t="n"/>
    </row>
    <row r="707">
      <c r="A707" s="672" t="inlineStr">
        <is>
          <t>E100730</t>
        </is>
      </c>
      <c r="B707" s="767">
        <f>ROW()</f>
        <v/>
      </c>
      <c r="C707" s="182" t="inlineStr">
        <is>
          <t>京能国际能源发展（北京）有限公司</t>
        </is>
      </c>
      <c r="D707" s="182" t="inlineStr">
        <is>
          <t>ZI029E100963</t>
        </is>
      </c>
      <c r="E707" s="182" t="inlineStr">
        <is>
          <t>丝绸之路新能源（常州）有限公司</t>
        </is>
      </c>
      <c r="F707" s="716" t="n"/>
      <c r="G707" s="716" t="n"/>
      <c r="H707" s="462" t="n"/>
    </row>
    <row r="708">
      <c r="A708" s="672" t="inlineStr">
        <is>
          <t>E100036</t>
        </is>
      </c>
      <c r="B708" s="767">
        <f>ROW()</f>
        <v/>
      </c>
      <c r="C708" s="182" t="inlineStr">
        <is>
          <t>京能怀南河北风电有限责任公司</t>
        </is>
      </c>
      <c r="D708" s="182" t="inlineStr">
        <is>
          <t>ZI029E100001</t>
        </is>
      </c>
      <c r="E708" s="182" t="inlineStr">
        <is>
          <t>北京京能清洁能源电力股份有限公司</t>
        </is>
      </c>
      <c r="F708" s="716" t="n"/>
      <c r="G708" s="716" t="n"/>
      <c r="H708" s="462" t="n"/>
    </row>
    <row r="709">
      <c r="A709" s="672" t="inlineStr">
        <is>
          <t>E100801</t>
        </is>
      </c>
      <c r="B709" s="767">
        <f>ROW()</f>
        <v/>
      </c>
      <c r="C709" s="182" t="inlineStr">
        <is>
          <t>京能浑源清洁能源有限公司</t>
        </is>
      </c>
      <c r="D709" s="182" t="inlineStr">
        <is>
          <t>ZI029E100001</t>
        </is>
      </c>
      <c r="E709" s="182" t="inlineStr">
        <is>
          <t>北京京能清洁能源电力股份有限公司</t>
        </is>
      </c>
      <c r="F709" s="716" t="n"/>
      <c r="G709" s="716" t="n"/>
      <c r="H709" s="462" t="n"/>
    </row>
    <row r="710">
      <c r="A710" s="672" t="inlineStr">
        <is>
          <t>E100104</t>
        </is>
      </c>
      <c r="B710" s="767">
        <f>ROW()</f>
        <v/>
      </c>
      <c r="C710" s="182" t="inlineStr">
        <is>
          <t>京能集团财务有限公司</t>
        </is>
      </c>
      <c r="D710" s="182" t="inlineStr">
        <is>
          <t>ZI029E100000</t>
        </is>
      </c>
      <c r="E710" s="182" t="inlineStr">
        <is>
          <t>北京能源集团有限责任公司</t>
        </is>
      </c>
      <c r="F710" s="716" t="n"/>
      <c r="G710" s="716" t="n"/>
      <c r="H710" s="462" t="n"/>
    </row>
    <row r="711">
      <c r="A711" s="672" t="inlineStr">
        <is>
          <t>E100104</t>
        </is>
      </c>
      <c r="B711" s="767">
        <f>ROW()</f>
        <v/>
      </c>
      <c r="C711" s="182" t="inlineStr">
        <is>
          <t>京能集团财务有限公司</t>
        </is>
      </c>
      <c r="D711" s="182" t="inlineStr">
        <is>
          <t>ZI029E100001</t>
        </is>
      </c>
      <c r="E711" s="182" t="inlineStr">
        <is>
          <t>北京京能清洁能源电力股份有限公司</t>
        </is>
      </c>
      <c r="F711" s="716" t="n"/>
      <c r="G711" s="716" t="n"/>
      <c r="H711" s="462" t="n"/>
    </row>
    <row r="712">
      <c r="A712" s="672" t="inlineStr">
        <is>
          <t>E100104</t>
        </is>
      </c>
      <c r="B712" s="767">
        <f>ROW()</f>
        <v/>
      </c>
      <c r="C712" s="182" t="inlineStr">
        <is>
          <t>京能集团财务有限公司</t>
        </is>
      </c>
      <c r="D712" s="182" t="inlineStr">
        <is>
          <t>ZI029E100145</t>
        </is>
      </c>
      <c r="E712" s="182" t="inlineStr">
        <is>
          <t>北京京能电力股份有限公司</t>
        </is>
      </c>
      <c r="F712" s="716" t="n"/>
      <c r="G712" s="716" t="n"/>
      <c r="H712" s="462" t="n"/>
    </row>
    <row r="713">
      <c r="A713" s="672" t="inlineStr">
        <is>
          <t>E100744</t>
        </is>
      </c>
      <c r="B713" s="767">
        <f>ROW()</f>
        <v/>
      </c>
      <c r="C713" s="182" t="inlineStr">
        <is>
          <t>京能酒泉新能源有限公司</t>
        </is>
      </c>
      <c r="D713" s="182" t="inlineStr">
        <is>
          <t>ZI029E100145</t>
        </is>
      </c>
      <c r="E713" s="182" t="inlineStr">
        <is>
          <t>北京京能电力股份有限公司</t>
        </is>
      </c>
      <c r="F713" s="716" t="n"/>
      <c r="G713" s="716" t="n"/>
      <c r="H713" s="462" t="n"/>
    </row>
    <row r="714">
      <c r="A714" s="672" t="inlineStr">
        <is>
          <t>E100817</t>
        </is>
      </c>
      <c r="B714" s="767">
        <f>ROW()</f>
        <v/>
      </c>
      <c r="C714" s="182" t="inlineStr">
        <is>
          <t>京能联合（琼海）新能源有限公司</t>
        </is>
      </c>
      <c r="D714" s="182" t="inlineStr">
        <is>
          <t>ZI029E100883</t>
        </is>
      </c>
      <c r="E714" s="182" t="inlineStr">
        <is>
          <t>Beijing Energy International Investment Limited</t>
        </is>
      </c>
      <c r="F714" s="716" t="n"/>
      <c r="G714" s="716" t="n"/>
      <c r="H714" s="462" t="n"/>
    </row>
    <row r="715">
      <c r="A715" s="672" t="inlineStr">
        <is>
          <t>E100816</t>
        </is>
      </c>
      <c r="B715" s="767">
        <f>ROW()</f>
        <v/>
      </c>
      <c r="C715" s="182" t="inlineStr">
        <is>
          <t>京能翎碳（上海）综合能源服务有限公司</t>
        </is>
      </c>
      <c r="D715" s="182" t="inlineStr">
        <is>
          <t>ZI029E100371</t>
        </is>
      </c>
      <c r="E715" s="182" t="inlineStr">
        <is>
          <t>北京京能科技有限公司</t>
        </is>
      </c>
      <c r="F715" s="716" t="n"/>
      <c r="G715" s="716" t="n"/>
      <c r="H715" s="462" t="n"/>
    </row>
    <row r="716">
      <c r="A716" s="672" t="inlineStr">
        <is>
          <t>E100173</t>
        </is>
      </c>
      <c r="B716" s="767">
        <f>ROW()</f>
        <v/>
      </c>
      <c r="C716" s="182" t="inlineStr">
        <is>
          <t>京能秦皇岛热电有限公司</t>
        </is>
      </c>
      <c r="D716" s="182" t="inlineStr">
        <is>
          <t>ZI029E100145</t>
        </is>
      </c>
      <c r="E716" s="182" t="inlineStr">
        <is>
          <t>北京京能电力股份有限公司</t>
        </is>
      </c>
      <c r="F716" s="716" t="n"/>
      <c r="G716" s="716" t="n"/>
      <c r="H716" s="462" t="n"/>
    </row>
    <row r="717">
      <c r="A717" s="672" t="inlineStr">
        <is>
          <t>E100169</t>
        </is>
      </c>
      <c r="B717" s="767">
        <f>ROW()</f>
        <v/>
      </c>
      <c r="C717" s="182" t="inlineStr">
        <is>
          <t>京能十堰热电有限公司</t>
        </is>
      </c>
      <c r="D717" s="182" t="inlineStr">
        <is>
          <t>ZI029E100145</t>
        </is>
      </c>
      <c r="E717" s="182" t="inlineStr">
        <is>
          <t>北京京能电力股份有限公司</t>
        </is>
      </c>
      <c r="F717" s="716" t="n"/>
      <c r="G717" s="716" t="n"/>
      <c r="H717" s="462" t="n"/>
    </row>
    <row r="718">
      <c r="A718" s="672" t="inlineStr">
        <is>
          <t>E100169</t>
        </is>
      </c>
      <c r="B718" s="767">
        <f>ROW()</f>
        <v/>
      </c>
      <c r="C718" s="182" t="inlineStr">
        <is>
          <t>京能十堰热电有限公司</t>
        </is>
      </c>
      <c r="D718" s="182" t="inlineStr">
        <is>
          <t>ZI029E100000</t>
        </is>
      </c>
      <c r="E718" s="182" t="inlineStr">
        <is>
          <t>北京能源集团有限责任公司</t>
        </is>
      </c>
      <c r="F718" s="716" t="n"/>
      <c r="G718" s="716" t="n"/>
      <c r="H718" s="462" t="n"/>
    </row>
    <row r="719">
      <c r="A719" s="672" t="inlineStr">
        <is>
          <t>E100189</t>
        </is>
      </c>
      <c r="B719" s="767">
        <f>ROW()</f>
        <v/>
      </c>
      <c r="C719" s="182" t="inlineStr">
        <is>
          <t>京能锡林郭勒能源有限公司</t>
        </is>
      </c>
      <c r="D719" s="182" t="inlineStr">
        <is>
          <t>ZI029E100000</t>
        </is>
      </c>
      <c r="E719" s="182" t="inlineStr">
        <is>
          <t>北京能源集团有限责任公司</t>
        </is>
      </c>
      <c r="F719" s="716" t="n"/>
      <c r="G719" s="716" t="n"/>
      <c r="H719" s="462" t="n"/>
    </row>
    <row r="720">
      <c r="A720" s="672" t="inlineStr">
        <is>
          <t>E100399</t>
        </is>
      </c>
      <c r="B720" s="767">
        <f>ROW()</f>
        <v/>
      </c>
      <c r="C720" s="182" t="inlineStr">
        <is>
          <t>京能源深（嘉兴）能源科技有限公司</t>
        </is>
      </c>
      <c r="D720" s="182" t="inlineStr">
        <is>
          <t>ZI029E100371</t>
        </is>
      </c>
      <c r="E720" s="182" t="inlineStr">
        <is>
          <t>北京京能科技有限公司</t>
        </is>
      </c>
      <c r="F720" s="716" t="n"/>
      <c r="G720" s="716" t="n"/>
      <c r="H720" s="462" t="n"/>
    </row>
    <row r="721">
      <c r="A721" s="672" t="inlineStr">
        <is>
          <t>E100381</t>
        </is>
      </c>
      <c r="B721" s="767">
        <f>ROW()</f>
        <v/>
      </c>
      <c r="C721" s="182" t="inlineStr">
        <is>
          <t>京能源深（苏州）能源科技有限公司</t>
        </is>
      </c>
      <c r="D721" s="182" t="inlineStr">
        <is>
          <t>ZI029E100371</t>
        </is>
      </c>
      <c r="E721" s="182" t="inlineStr">
        <is>
          <t>北京京能科技有限公司</t>
        </is>
      </c>
      <c r="F721" s="716" t="n"/>
      <c r="G721" s="716" t="n"/>
      <c r="H721" s="462" t="n"/>
    </row>
    <row r="722">
      <c r="A722" s="672" t="inlineStr">
        <is>
          <t>E100383</t>
        </is>
      </c>
      <c r="B722" s="767">
        <f>ROW()</f>
        <v/>
      </c>
      <c r="C722" s="182" t="inlineStr">
        <is>
          <t>京能源深能源科技盐城有限公司</t>
        </is>
      </c>
      <c r="D722" s="182" t="inlineStr">
        <is>
          <t>ZI029E100371</t>
        </is>
      </c>
      <c r="E722" s="182" t="inlineStr">
        <is>
          <t>北京京能科技有限公司</t>
        </is>
      </c>
      <c r="F722" s="716" t="n"/>
      <c r="G722" s="716" t="n"/>
      <c r="H722" s="462" t="n"/>
    </row>
    <row r="723">
      <c r="A723" s="672" t="inlineStr">
        <is>
          <t>E100382</t>
        </is>
      </c>
      <c r="B723" s="767">
        <f>ROW()</f>
        <v/>
      </c>
      <c r="C723" s="182" t="inlineStr">
        <is>
          <t>京能源深泰州能源科技有限公司</t>
        </is>
      </c>
      <c r="D723" s="182" t="inlineStr">
        <is>
          <t>ZI029E100371</t>
        </is>
      </c>
      <c r="E723" s="182" t="inlineStr">
        <is>
          <t>北京京能科技有限公司</t>
        </is>
      </c>
      <c r="F723" s="716" t="n"/>
      <c r="G723" s="716" t="n"/>
      <c r="H723" s="462" t="n"/>
    </row>
    <row r="724">
      <c r="A724" s="672" t="inlineStr">
        <is>
          <t>E100571</t>
        </is>
      </c>
      <c r="B724" s="767">
        <f>ROW()</f>
        <v/>
      </c>
      <c r="C724" s="182" t="inlineStr">
        <is>
          <t>京能远景领金智汇（北京）科技有限公司</t>
        </is>
      </c>
      <c r="D724" s="182" t="inlineStr">
        <is>
          <t>ZI029E100405</t>
        </is>
      </c>
      <c r="E724" s="182" t="inlineStr">
        <is>
          <t>北京高新技术创业投资有限公司</t>
        </is>
      </c>
      <c r="F724" s="716" t="n"/>
      <c r="G724" s="716" t="n"/>
      <c r="H724" s="462" t="n"/>
    </row>
    <row r="725">
      <c r="A725" s="672" t="inlineStr">
        <is>
          <t>E100429</t>
        </is>
      </c>
      <c r="B725" s="767">
        <f>ROW()</f>
        <v/>
      </c>
      <c r="C725" s="182" t="inlineStr">
        <is>
          <t>京能置业（天津）有限公司</t>
        </is>
      </c>
      <c r="D725" s="182" t="inlineStr">
        <is>
          <t>ZI029E100420</t>
        </is>
      </c>
      <c r="E725" s="182" t="inlineStr">
        <is>
          <t>京能置业股份有限公司</t>
        </is>
      </c>
      <c r="F725" s="716" t="n"/>
      <c r="G725" s="716" t="n"/>
      <c r="H725" s="462" t="n"/>
    </row>
    <row r="726">
      <c r="A726" s="672" t="inlineStr">
        <is>
          <t>E100429</t>
        </is>
      </c>
      <c r="B726" s="767">
        <f>ROW()</f>
        <v/>
      </c>
      <c r="C726" s="182" t="inlineStr">
        <is>
          <t>京能置业（天津）有限公司</t>
        </is>
      </c>
      <c r="D726" s="182" t="inlineStr">
        <is>
          <t>ZI029E100000</t>
        </is>
      </c>
      <c r="E726" s="182" t="inlineStr">
        <is>
          <t>北京能源集团有限责任公司</t>
        </is>
      </c>
      <c r="F726" s="716" t="n"/>
      <c r="G726" s="716" t="n"/>
      <c r="H726" s="462" t="n"/>
    </row>
    <row r="727">
      <c r="A727" s="672" t="inlineStr">
        <is>
          <t>E100420</t>
        </is>
      </c>
      <c r="B727" s="767">
        <f>ROW()</f>
        <v/>
      </c>
      <c r="C727" s="182" t="inlineStr">
        <is>
          <t>京能置业股份有限公司</t>
        </is>
      </c>
      <c r="D727" s="182" t="inlineStr">
        <is>
          <t>ZI029E100000</t>
        </is>
      </c>
      <c r="E727" s="182" t="inlineStr">
        <is>
          <t>北京能源集团有限责任公司</t>
        </is>
      </c>
      <c r="F727" s="716" t="n"/>
      <c r="G727" s="716" t="n"/>
      <c r="H727" s="462" t="n"/>
    </row>
    <row r="728">
      <c r="A728" s="672" t="inlineStr">
        <is>
          <t>E100248</t>
        </is>
      </c>
      <c r="B728" s="767">
        <f>ROW()</f>
        <v/>
      </c>
      <c r="C728" s="182" t="inlineStr">
        <is>
          <t>京热（阜平）热力有限责任公司</t>
        </is>
      </c>
      <c r="D728" s="182" t="inlineStr">
        <is>
          <t>ZI029E100259</t>
        </is>
      </c>
      <c r="E728" s="182" t="inlineStr">
        <is>
          <t>北京京能热力发展有限公司</t>
        </is>
      </c>
      <c r="F728" s="716" t="n"/>
      <c r="G728" s="716" t="n"/>
      <c r="H728" s="462" t="n"/>
    </row>
    <row r="729">
      <c r="A729" s="672" t="inlineStr">
        <is>
          <t>E100246</t>
        </is>
      </c>
      <c r="B729" s="767">
        <f>ROW()</f>
        <v/>
      </c>
      <c r="C729" s="182" t="inlineStr">
        <is>
          <t>京热（潜江）热力有限责任公司</t>
        </is>
      </c>
      <c r="D729" s="182" t="inlineStr">
        <is>
          <t>ZI029E100259</t>
        </is>
      </c>
      <c r="E729" s="182" t="inlineStr">
        <is>
          <t>北京京能热力发展有限公司</t>
        </is>
      </c>
      <c r="F729" s="716" t="n"/>
      <c r="G729" s="716" t="n"/>
      <c r="H729" s="462" t="n"/>
    </row>
    <row r="730">
      <c r="A730" s="672" t="inlineStr">
        <is>
          <t>E100249</t>
        </is>
      </c>
      <c r="B730" s="767">
        <f>ROW()</f>
        <v/>
      </c>
      <c r="C730" s="182" t="inlineStr">
        <is>
          <t>京热（乌兰察布）热力有限责任公司</t>
        </is>
      </c>
      <c r="D730" s="182" t="inlineStr">
        <is>
          <t>ZI029E100222</t>
        </is>
      </c>
      <c r="E730" s="182" t="inlineStr">
        <is>
          <t>北京市热力集团有限责任公司</t>
        </is>
      </c>
      <c r="F730" s="716" t="n"/>
      <c r="G730" s="716" t="n"/>
      <c r="H730" s="462" t="n"/>
    </row>
    <row r="731">
      <c r="A731" s="672" t="inlineStr">
        <is>
          <t>E101068</t>
        </is>
      </c>
      <c r="B731" s="767">
        <f>ROW()</f>
        <v/>
      </c>
      <c r="C731" s="182" t="inlineStr">
        <is>
          <t>京姚（林州）新能源有限公司</t>
        </is>
      </c>
      <c r="D731" s="182" t="inlineStr">
        <is>
          <t>ZI029E100883</t>
        </is>
      </c>
      <c r="E731" s="182" t="inlineStr">
        <is>
          <t>Beijing Energy International Investment Limited</t>
        </is>
      </c>
      <c r="F731" s="716" t="n"/>
      <c r="G731" s="716" t="n"/>
      <c r="H731" s="462" t="n"/>
    </row>
    <row r="732">
      <c r="A732" s="672" t="inlineStr">
        <is>
          <t>E100094</t>
        </is>
      </c>
      <c r="B732" s="767">
        <f>ROW()</f>
        <v/>
      </c>
      <c r="C732" s="182" t="inlineStr">
        <is>
          <t>靖远京能新能源有限公司</t>
        </is>
      </c>
      <c r="D732" s="182" t="inlineStr">
        <is>
          <t>ZI029E100001</t>
        </is>
      </c>
      <c r="E732" s="182" t="inlineStr">
        <is>
          <t>北京京能清洁能源电力股份有限公司</t>
        </is>
      </c>
      <c r="F732" s="716" t="n"/>
      <c r="G732" s="716" t="n"/>
      <c r="H732" s="462" t="n"/>
    </row>
    <row r="733">
      <c r="A733" s="672" t="inlineStr">
        <is>
          <t>E100034</t>
        </is>
      </c>
      <c r="B733" s="767">
        <f>ROW()</f>
        <v/>
      </c>
      <c r="C733" s="182" t="inlineStr">
        <is>
          <t>康保新京清洁能源有限公司</t>
        </is>
      </c>
      <c r="D733" s="182" t="inlineStr">
        <is>
          <t>ZI029E100001</t>
        </is>
      </c>
      <c r="E733" s="182" t="inlineStr">
        <is>
          <t>北京京能清洁能源电力股份有限公司</t>
        </is>
      </c>
      <c r="F733" s="716" t="n"/>
      <c r="G733" s="716" t="n"/>
      <c r="H733" s="716" t="n"/>
    </row>
    <row r="734">
      <c r="A734" s="672" t="inlineStr">
        <is>
          <t>E100959</t>
        </is>
      </c>
      <c r="B734" s="767">
        <f>ROW()</f>
        <v/>
      </c>
      <c r="C734" s="182" t="inlineStr">
        <is>
          <t>昆明邦业新能源发电有限公司</t>
        </is>
      </c>
      <c r="D734" s="182" t="inlineStr">
        <is>
          <t>ZI029E100958</t>
        </is>
      </c>
      <c r="E734" s="182" t="inlineStr">
        <is>
          <t>常州市招联绿港新能源有限公司</t>
        </is>
      </c>
      <c r="F734" s="716" t="n"/>
      <c r="G734" s="716" t="n"/>
      <c r="H734" s="462" t="n"/>
    </row>
    <row r="735">
      <c r="A735" s="672" t="inlineStr">
        <is>
          <t>E100262</t>
        </is>
      </c>
      <c r="B735" s="767">
        <f>ROW()</f>
        <v/>
      </c>
      <c r="C735" s="182" t="inlineStr">
        <is>
          <t>廊坊市华源盛世热力有限公司</t>
        </is>
      </c>
      <c r="D735" s="182" t="inlineStr">
        <is>
          <t>ZI029E100259</t>
        </is>
      </c>
      <c r="E735" s="182" t="inlineStr">
        <is>
          <t>北京京能热力发展有限公司</t>
        </is>
      </c>
      <c r="F735" s="716" t="n"/>
      <c r="G735" s="716" t="n"/>
      <c r="H735" s="462" t="n"/>
    </row>
    <row r="736">
      <c r="A736" s="672" t="inlineStr">
        <is>
          <t>E100810</t>
        </is>
      </c>
      <c r="B736" s="767">
        <f>ROW()</f>
        <v/>
      </c>
      <c r="C736" s="182" t="inlineStr">
        <is>
          <t>乐多港光穗（天津）投资合伙企业（有限合伙）</t>
        </is>
      </c>
      <c r="D736" s="182" t="inlineStr">
        <is>
          <t>ZI029E100000</t>
        </is>
      </c>
      <c r="E736" s="182" t="inlineStr">
        <is>
          <t>北京能源集团有限责任公司</t>
        </is>
      </c>
      <c r="F736" s="716" t="n"/>
      <c r="G736" s="716" t="n"/>
      <c r="H736" s="462" t="n"/>
    </row>
    <row r="737">
      <c r="A737" s="672" t="inlineStr">
        <is>
          <t>E100810</t>
        </is>
      </c>
      <c r="B737" s="767">
        <f>ROW()</f>
        <v/>
      </c>
      <c r="C737" s="182" t="inlineStr">
        <is>
          <t>乐多港光穗（天津）投资合伙企业（有限合伙）</t>
        </is>
      </c>
      <c r="D737" s="182" t="inlineStr">
        <is>
          <t>ZI029E100191</t>
        </is>
      </c>
      <c r="E737" s="182" t="inlineStr">
        <is>
          <t>北京乐多港发展有限公司</t>
        </is>
      </c>
      <c r="F737" s="716" t="n"/>
      <c r="G737" s="716" t="n"/>
      <c r="H737" s="462" t="n"/>
    </row>
    <row r="738">
      <c r="A738" s="672" t="inlineStr">
        <is>
          <t>E100734</t>
        </is>
      </c>
      <c r="B738" s="767">
        <f>ROW()</f>
        <v/>
      </c>
      <c r="C738" s="182" t="inlineStr">
        <is>
          <t>联合光伏（常州）投资集团有限公司</t>
        </is>
      </c>
      <c r="D738" s="182" t="inlineStr">
        <is>
          <t>ZI029E100883</t>
        </is>
      </c>
      <c r="E738" s="182" t="inlineStr">
        <is>
          <t>Beijing Energy International Investment Limited</t>
        </is>
      </c>
      <c r="F738" s="716" t="n"/>
      <c r="G738" s="716" t="n"/>
      <c r="H738" s="462" t="n"/>
    </row>
    <row r="739">
      <c r="A739" s="672" t="inlineStr">
        <is>
          <t>E100734</t>
        </is>
      </c>
      <c r="B739" s="767">
        <f>ROW()</f>
        <v/>
      </c>
      <c r="C739" s="182" t="inlineStr">
        <is>
          <t>联合光伏（常州）投资集团有限公司</t>
        </is>
      </c>
      <c r="D739" s="182" t="inlineStr">
        <is>
          <t>ZI029E100764</t>
        </is>
      </c>
      <c r="E739" s="182" t="inlineStr">
        <is>
          <t>联合光伏（深圳）有限公司</t>
        </is>
      </c>
      <c r="F739" s="716" t="n"/>
      <c r="G739" s="716" t="n"/>
      <c r="H739" s="462" t="n"/>
    </row>
    <row r="740">
      <c r="A740" s="672" t="inlineStr">
        <is>
          <t>E100734</t>
        </is>
      </c>
      <c r="B740" s="767">
        <f>ROW()</f>
        <v/>
      </c>
      <c r="C740" s="182" t="inlineStr">
        <is>
          <t>联合光伏(常州)投资集团有限公司</t>
        </is>
      </c>
      <c r="D740" s="182" t="inlineStr">
        <is>
          <t>ZI029E100729</t>
        </is>
      </c>
      <c r="E740" s="182" t="inlineStr">
        <is>
          <t>北京京能国际控股有限公司</t>
        </is>
      </c>
      <c r="F740" s="716" t="n"/>
      <c r="G740" s="716" t="n"/>
      <c r="H740" s="462" t="n"/>
    </row>
    <row r="741">
      <c r="A741" s="672" t="inlineStr">
        <is>
          <t>E100764</t>
        </is>
      </c>
      <c r="B741" s="767">
        <f>ROW()</f>
        <v/>
      </c>
      <c r="C741" s="182" t="inlineStr">
        <is>
          <t>联合光伏（深圳）有限公司</t>
        </is>
      </c>
      <c r="D741" s="182" t="inlineStr">
        <is>
          <t>ZI029E100883</t>
        </is>
      </c>
      <c r="E741" s="182" t="inlineStr">
        <is>
          <t>Beijing Energy International Investment Limited</t>
        </is>
      </c>
      <c r="F741" s="716" t="n"/>
      <c r="G741" s="716" t="n"/>
      <c r="H741" s="462" t="n"/>
    </row>
    <row r="742">
      <c r="A742" s="672" t="inlineStr">
        <is>
          <t>E100437</t>
        </is>
      </c>
      <c r="B742" s="767">
        <f>ROW()</f>
        <v/>
      </c>
      <c r="C742" s="182" t="inlineStr">
        <is>
          <t>辽宁金泰房地产开发有限公司</t>
        </is>
      </c>
      <c r="D742" s="182" t="inlineStr">
        <is>
          <t>ZI029E100421</t>
        </is>
      </c>
      <c r="E742" s="182" t="inlineStr">
        <is>
          <t>北京金泰房地产开发有限责任公司</t>
        </is>
      </c>
      <c r="F742" s="716" t="n"/>
      <c r="G742" s="716" t="n"/>
      <c r="H742" s="462" t="n"/>
    </row>
    <row r="743">
      <c r="A743" s="672" t="inlineStr">
        <is>
          <t>E100970</t>
        </is>
      </c>
      <c r="B743" s="767">
        <f>ROW()</f>
        <v/>
      </c>
      <c r="C743" s="182" t="inlineStr">
        <is>
          <t>林周藏电开发有限公司</t>
        </is>
      </c>
      <c r="D743" s="182" t="inlineStr">
        <is>
          <t>ZI029E100864</t>
        </is>
      </c>
      <c r="E743" s="182" t="inlineStr">
        <is>
          <t>西藏中自新能源技术有限公司</t>
        </is>
      </c>
      <c r="F743" s="716" t="n"/>
      <c r="G743" s="716" t="n"/>
      <c r="H743" s="462" t="n"/>
    </row>
    <row r="744">
      <c r="A744" s="672" t="inlineStr">
        <is>
          <t>E100904</t>
        </is>
      </c>
      <c r="B744" s="767">
        <f>ROW()</f>
        <v/>
      </c>
      <c r="C744" s="182" t="inlineStr">
        <is>
          <t>灵石京合光伏发电有限公司</t>
        </is>
      </c>
      <c r="D744" s="182" t="inlineStr">
        <is>
          <t>ZI029E100730</t>
        </is>
      </c>
      <c r="E744" s="182" t="inlineStr">
        <is>
          <t>京能国际能源发展（北京）有限公司</t>
        </is>
      </c>
      <c r="F744" s="716" t="n"/>
      <c r="G744" s="716" t="n"/>
      <c r="H744" s="462" t="n"/>
    </row>
    <row r="745">
      <c r="A745" s="672" t="inlineStr">
        <is>
          <t>E100049</t>
        </is>
      </c>
      <c r="B745" s="767">
        <f>ROW()</f>
        <v/>
      </c>
      <c r="C745" s="182" t="inlineStr">
        <is>
          <t>凌源东大光伏发电有限公司</t>
        </is>
      </c>
      <c r="D745" s="182" t="inlineStr">
        <is>
          <t>ZI029E100001</t>
        </is>
      </c>
      <c r="E745" s="182" t="inlineStr">
        <is>
          <t>北京京能清洁能源电力股份有限公司</t>
        </is>
      </c>
      <c r="F745" s="716" t="n"/>
      <c r="G745" s="716" t="n"/>
      <c r="H745" s="462" t="n"/>
    </row>
    <row r="746">
      <c r="A746" s="672" t="inlineStr">
        <is>
          <t>E100909</t>
        </is>
      </c>
      <c r="B746" s="767">
        <f>ROW()</f>
        <v/>
      </c>
      <c r="C746" s="182" t="inlineStr">
        <is>
          <t>六安华钦新能源有限公司</t>
        </is>
      </c>
      <c r="D746" s="182" t="inlineStr">
        <is>
          <t>ZI029E100730</t>
        </is>
      </c>
      <c r="E746" s="182" t="inlineStr">
        <is>
          <t>京能国际能源发展（北京）有限公司</t>
        </is>
      </c>
      <c r="F746" s="716" t="n"/>
      <c r="G746" s="716" t="n"/>
      <c r="H746" s="462" t="n"/>
    </row>
    <row r="747">
      <c r="A747" s="672" t="inlineStr">
        <is>
          <t>E100749</t>
        </is>
      </c>
      <c r="B747" s="767">
        <f>ROW()</f>
        <v/>
      </c>
      <c r="C747" s="182" t="inlineStr">
        <is>
          <t>炉霍联合光伏开发有限公司</t>
        </is>
      </c>
      <c r="D747" s="182" t="inlineStr">
        <is>
          <t>ZI029E100737</t>
        </is>
      </c>
      <c r="E747" s="182" t="inlineStr">
        <is>
          <t>四川联合光伏有限公司</t>
        </is>
      </c>
      <c r="F747" s="716" t="n"/>
      <c r="G747" s="716" t="n"/>
      <c r="H747" s="462" t="n"/>
    </row>
    <row r="748">
      <c r="A748" s="672" t="inlineStr">
        <is>
          <t>E100063</t>
        </is>
      </c>
      <c r="B748" s="767">
        <f>ROW()</f>
        <v/>
      </c>
      <c r="C748" s="182" t="inlineStr">
        <is>
          <t>陆丰市明大新能源科技有限公司</t>
        </is>
      </c>
      <c r="D748" s="182" t="inlineStr">
        <is>
          <t>ZI029E100001</t>
        </is>
      </c>
      <c r="E748" s="182" t="inlineStr">
        <is>
          <t>北京京能清洁能源电力股份有限公司</t>
        </is>
      </c>
      <c r="F748" s="716" t="n"/>
      <c r="G748" s="716" t="n"/>
      <c r="H748" s="462" t="n"/>
    </row>
    <row r="749">
      <c r="A749" s="672" t="inlineStr">
        <is>
          <t>E100942</t>
        </is>
      </c>
      <c r="B749" s="767">
        <f>ROW()</f>
        <v/>
      </c>
      <c r="C749" s="182" t="inlineStr">
        <is>
          <t>玛纳斯京能新能源有限公司</t>
        </is>
      </c>
      <c r="D749" s="182" t="inlineStr">
        <is>
          <t>ZI029E100730</t>
        </is>
      </c>
      <c r="E749" s="182" t="inlineStr">
        <is>
          <t>京能国际能源发展（北京）有限公司</t>
        </is>
      </c>
      <c r="F749" s="716" t="n"/>
      <c r="G749" s="716" t="n"/>
      <c r="H749" s="462" t="n"/>
    </row>
    <row r="750">
      <c r="A750" s="672" t="inlineStr">
        <is>
          <t>E100750</t>
        </is>
      </c>
      <c r="B750" s="767">
        <f>ROW()</f>
        <v/>
      </c>
      <c r="C750" s="182" t="inlineStr">
        <is>
          <t>民丰县昂立光伏科技有限公司</t>
        </is>
      </c>
      <c r="D750" s="182" t="inlineStr">
        <is>
          <t>ZI029E100734</t>
        </is>
      </c>
      <c r="E750" s="182" t="inlineStr">
        <is>
          <t>联合光伏（常州）投资集团有限公司</t>
        </is>
      </c>
      <c r="F750" s="716" t="n"/>
      <c r="G750" s="716" t="n"/>
      <c r="H750" s="462" t="n"/>
    </row>
    <row r="751">
      <c r="A751" s="672" t="inlineStr">
        <is>
          <t>E100936</t>
        </is>
      </c>
      <c r="B751" s="767">
        <f>ROW()</f>
        <v/>
      </c>
      <c r="C751" s="182" t="inlineStr">
        <is>
          <t>木垒县通川风光新能源有限公司</t>
        </is>
      </c>
      <c r="D751" s="182" t="inlineStr">
        <is>
          <t>ZI029E100730</t>
        </is>
      </c>
      <c r="E751" s="182" t="inlineStr">
        <is>
          <t>京能国际能源发展（北京）有限公司</t>
        </is>
      </c>
      <c r="F751" s="716" t="n"/>
      <c r="G751" s="716" t="n"/>
      <c r="H751" s="462" t="n"/>
    </row>
    <row r="752">
      <c r="A752" s="672" t="inlineStr">
        <is>
          <t>E100812</t>
        </is>
      </c>
      <c r="B752" s="767">
        <f>ROW()</f>
        <v/>
      </c>
      <c r="C752" s="182" t="inlineStr">
        <is>
          <t>南昌京能富蓝新能源有限公司</t>
        </is>
      </c>
      <c r="D752" s="182" t="inlineStr">
        <is>
          <t>ZI029E100730</t>
        </is>
      </c>
      <c r="E752" s="182" t="inlineStr">
        <is>
          <t>京能国际能源发展（北京）有限公司</t>
        </is>
      </c>
      <c r="F752" s="716" t="n"/>
      <c r="G752" s="716" t="n"/>
      <c r="H752" s="462" t="n"/>
    </row>
    <row r="753">
      <c r="A753" s="672" t="inlineStr">
        <is>
          <t>E100928</t>
        </is>
      </c>
      <c r="B753" s="767">
        <f>ROW()</f>
        <v/>
      </c>
      <c r="C753" s="182" t="inlineStr">
        <is>
          <t>南宫市国隆新能源科技有限公司</t>
        </is>
      </c>
      <c r="D753" s="182" t="inlineStr">
        <is>
          <t>ZI029E100730</t>
        </is>
      </c>
      <c r="E753" s="182" t="inlineStr">
        <is>
          <t>京能国际能源发展（北京）有限公司</t>
        </is>
      </c>
      <c r="F753" s="716" t="n"/>
      <c r="G753" s="716" t="n"/>
      <c r="H753" s="462" t="n"/>
    </row>
    <row r="754">
      <c r="A754" s="672" t="inlineStr">
        <is>
          <t>E101008</t>
        </is>
      </c>
      <c r="B754" s="767">
        <f>ROW()</f>
        <v/>
      </c>
      <c r="C754" s="182" t="inlineStr">
        <is>
          <t>南京丝绸之路新能源有限公司</t>
        </is>
      </c>
      <c r="D754" s="182" t="inlineStr">
        <is>
          <t>ZI029E101007</t>
        </is>
      </c>
      <c r="E754" s="182" t="inlineStr">
        <is>
          <t>骏耀新能源（常州）有限公司</t>
        </is>
      </c>
      <c r="F754" s="716" t="n"/>
      <c r="G754" s="716" t="n"/>
      <c r="H754" s="462" t="n"/>
    </row>
    <row r="755">
      <c r="A755" s="672" t="inlineStr">
        <is>
          <t>E100951</t>
        </is>
      </c>
      <c r="B755" s="767">
        <f>ROW()</f>
        <v/>
      </c>
      <c r="C755" s="182" t="inlineStr">
        <is>
          <t>内蒙古傲都能源有限公司</t>
        </is>
      </c>
      <c r="D755" s="182" t="inlineStr">
        <is>
          <t>ZI029E100950</t>
        </is>
      </c>
      <c r="E755" s="182" t="inlineStr">
        <is>
          <t>内蒙古明华新能源股份有限公司</t>
        </is>
      </c>
      <c r="F755" s="716" t="n"/>
      <c r="G755" s="716" t="n"/>
      <c r="H755" s="462" t="n"/>
    </row>
    <row r="756">
      <c r="A756" s="672" t="inlineStr">
        <is>
          <t>E100440</t>
        </is>
      </c>
      <c r="B756" s="767">
        <f>ROW()</f>
        <v/>
      </c>
      <c r="C756" s="182" t="inlineStr">
        <is>
          <t>内蒙古大伟房地产开发有限公司</t>
        </is>
      </c>
      <c r="D756" s="182" t="inlineStr">
        <is>
          <t>ZI029E100421</t>
        </is>
      </c>
      <c r="E756" s="182" t="inlineStr">
        <is>
          <t>北京金泰房地产开发有限责任公司</t>
        </is>
      </c>
      <c r="F756" s="716" t="n"/>
      <c r="G756" s="716" t="n"/>
      <c r="H756" s="462" t="n"/>
    </row>
    <row r="757">
      <c r="A757" s="672" t="inlineStr">
        <is>
          <t>E100131</t>
        </is>
      </c>
      <c r="B757" s="767">
        <f>ROW()</f>
        <v/>
      </c>
      <c r="C757" s="182" t="inlineStr">
        <is>
          <t>内蒙古岱电房地产开发有限公司</t>
        </is>
      </c>
      <c r="D757" s="182" t="inlineStr">
        <is>
          <t>ZI029E100109</t>
        </is>
      </c>
      <c r="E757" s="182" t="inlineStr">
        <is>
          <t>京能电力后勤服务有限公司</t>
        </is>
      </c>
      <c r="F757" s="716" t="n"/>
      <c r="G757" s="716" t="n"/>
      <c r="H757" s="462" t="n"/>
    </row>
    <row r="758">
      <c r="A758" s="672" t="inlineStr">
        <is>
          <t>E100150</t>
        </is>
      </c>
      <c r="B758" s="767">
        <f>ROW()</f>
        <v/>
      </c>
      <c r="C758" s="182" t="inlineStr">
        <is>
          <t>内蒙古岱海发电有限责任公司</t>
        </is>
      </c>
      <c r="D758" s="182" t="inlineStr">
        <is>
          <t>ZI029E100145</t>
        </is>
      </c>
      <c r="E758" s="182" t="inlineStr">
        <is>
          <t>北京京能电力股份有限公司</t>
        </is>
      </c>
      <c r="F758" s="716" t="n"/>
      <c r="G758" s="716" t="n"/>
      <c r="H758" s="462" t="n"/>
    </row>
    <row r="759">
      <c r="A759" s="672" t="inlineStr">
        <is>
          <t>E100130</t>
        </is>
      </c>
      <c r="B759" s="767">
        <f>ROW()</f>
        <v/>
      </c>
      <c r="C759" s="182" t="inlineStr">
        <is>
          <t>内蒙古岱海旅游学校</t>
        </is>
      </c>
      <c r="D759" s="182" t="inlineStr">
        <is>
          <t>ZI029E100109</t>
        </is>
      </c>
      <c r="E759" s="182" t="inlineStr">
        <is>
          <t>京能电力后勤服务有限公司</t>
        </is>
      </c>
      <c r="F759" s="716" t="n"/>
      <c r="G759" s="716" t="n"/>
      <c r="H759" s="462" t="n"/>
    </row>
    <row r="760">
      <c r="A760" s="672" t="inlineStr">
        <is>
          <t>E100977</t>
        </is>
      </c>
      <c r="B760" s="767">
        <f>ROW()</f>
        <v/>
      </c>
      <c r="C760" s="182" t="inlineStr">
        <is>
          <t>内蒙古国瑞农业有限公司</t>
        </is>
      </c>
      <c r="D760" s="182" t="inlineStr">
        <is>
          <t>ZI029E100735</t>
        </is>
      </c>
      <c r="E760" s="182" t="inlineStr">
        <is>
          <t>内蒙古京能新能源科技有限公司</t>
        </is>
      </c>
      <c r="F760" s="716" t="n"/>
      <c r="G760" s="716" t="n"/>
      <c r="H760" s="462" t="n"/>
    </row>
    <row r="761">
      <c r="A761" s="672" t="inlineStr">
        <is>
          <t>E100974</t>
        </is>
      </c>
      <c r="B761" s="767">
        <f>ROW()</f>
        <v/>
      </c>
      <c r="C761" s="182" t="inlineStr">
        <is>
          <t>内蒙古国润（察右前旗）发电有限公司</t>
        </is>
      </c>
      <c r="D761" s="182" t="inlineStr">
        <is>
          <t>ZI029E100973</t>
        </is>
      </c>
      <c r="E761" s="182" t="inlineStr">
        <is>
          <t>察右前旗联合光伏发电有限公司</t>
        </is>
      </c>
      <c r="F761" s="716" t="n"/>
      <c r="G761" s="716" t="n"/>
      <c r="H761" s="462" t="n"/>
    </row>
    <row r="762">
      <c r="A762" s="672" t="inlineStr">
        <is>
          <t>E100155</t>
        </is>
      </c>
      <c r="B762" s="767">
        <f>ROW()</f>
        <v/>
      </c>
      <c r="C762" s="182" t="inlineStr">
        <is>
          <t>内蒙古华宁热电有限公司</t>
        </is>
      </c>
      <c r="D762" s="182" t="inlineStr">
        <is>
          <t>ZI029E100154</t>
        </is>
      </c>
      <c r="E762" s="182" t="inlineStr">
        <is>
          <t>内蒙古京隆发电有限责任公司</t>
        </is>
      </c>
      <c r="F762" s="716" t="n"/>
      <c r="G762" s="716" t="n"/>
      <c r="H762" s="462" t="n"/>
    </row>
    <row r="763">
      <c r="A763" s="672" t="inlineStr">
        <is>
          <t>E100159</t>
        </is>
      </c>
      <c r="B763" s="767">
        <f>ROW()</f>
        <v/>
      </c>
      <c r="C763" s="182" t="inlineStr">
        <is>
          <t>内蒙古京海煤矸石发电有限责任公司</t>
        </is>
      </c>
      <c r="D763" s="182" t="inlineStr">
        <is>
          <t>ZI029E100145</t>
        </is>
      </c>
      <c r="E763" s="182" t="inlineStr">
        <is>
          <t>北京京能电力股份有限公司</t>
        </is>
      </c>
      <c r="F763" s="716" t="n"/>
      <c r="G763" s="716" t="n"/>
      <c r="H763" s="462" t="n"/>
    </row>
    <row r="764">
      <c r="A764" s="672" t="inlineStr">
        <is>
          <t>E100154</t>
        </is>
      </c>
      <c r="B764" s="767">
        <f>ROW()</f>
        <v/>
      </c>
      <c r="C764" s="182" t="inlineStr">
        <is>
          <t>内蒙古京隆发电有限责任公司</t>
        </is>
      </c>
      <c r="D764" s="182" t="inlineStr">
        <is>
          <t>ZI029E100145</t>
        </is>
      </c>
      <c r="E764" s="182" t="inlineStr">
        <is>
          <t>北京京能电力股份有限公司</t>
        </is>
      </c>
      <c r="F764" s="716" t="n"/>
      <c r="G764" s="716" t="n"/>
      <c r="H764" s="462" t="n"/>
    </row>
    <row r="765">
      <c r="A765" s="672" t="inlineStr">
        <is>
          <t>E100046</t>
        </is>
      </c>
      <c r="B765" s="767">
        <f>ROW()</f>
        <v/>
      </c>
      <c r="C765" s="182" t="inlineStr">
        <is>
          <t>内蒙古京能巴林右风力发电有限责任公司</t>
        </is>
      </c>
      <c r="D765" s="182" t="inlineStr">
        <is>
          <t>ZI029E100001</t>
        </is>
      </c>
      <c r="E765" s="182" t="inlineStr">
        <is>
          <t>北京京能清洁能源电力股份有限公司</t>
        </is>
      </c>
      <c r="F765" s="716" t="n"/>
      <c r="G765" s="716" t="n"/>
      <c r="H765" s="462" t="n"/>
    </row>
    <row r="766">
      <c r="A766" s="672" t="inlineStr">
        <is>
          <t>E100075</t>
        </is>
      </c>
      <c r="B766" s="767">
        <f>ROW()</f>
        <v/>
      </c>
      <c r="C766" s="182" t="inlineStr">
        <is>
          <t>内蒙古京能察右中风力发电有限责任公司</t>
        </is>
      </c>
      <c r="D766" s="182" t="inlineStr">
        <is>
          <t>ZI029E100001</t>
        </is>
      </c>
      <c r="E766" s="182" t="inlineStr">
        <is>
          <t>北京京能清洁能源电力股份有限公司</t>
        </is>
      </c>
      <c r="F766" s="716" t="n"/>
      <c r="G766" s="716" t="n"/>
      <c r="H766" s="462" t="n"/>
    </row>
    <row r="767">
      <c r="A767" s="672" t="inlineStr">
        <is>
          <t>E100182</t>
        </is>
      </c>
      <c r="B767" s="767">
        <f>ROW()</f>
        <v/>
      </c>
      <c r="C767" s="182" t="inlineStr">
        <is>
          <t>内蒙古京能电力检修有限公司</t>
        </is>
      </c>
      <c r="D767" s="182" t="inlineStr">
        <is>
          <t>ZI029E100145</t>
        </is>
      </c>
      <c r="E767" s="182" t="inlineStr">
        <is>
          <t>北京京能电力股份有限公司</t>
        </is>
      </c>
      <c r="F767" s="716" t="n"/>
      <c r="G767" s="716" t="n"/>
      <c r="H767" s="462" t="n"/>
    </row>
    <row r="768">
      <c r="A768" s="672" t="inlineStr">
        <is>
          <t>E100043</t>
        </is>
      </c>
      <c r="B768" s="767">
        <f>ROW()</f>
        <v/>
      </c>
      <c r="C768" s="182" t="inlineStr">
        <is>
          <t>内蒙古京能霍林郭勒风力发电有限责任公司</t>
        </is>
      </c>
      <c r="D768" s="182" t="inlineStr">
        <is>
          <t>ZI029E100001</t>
        </is>
      </c>
      <c r="E768" s="182" t="inlineStr">
        <is>
          <t>北京京能清洁能源电力股份有限公司</t>
        </is>
      </c>
      <c r="F768" s="716" t="n"/>
      <c r="G768" s="716" t="n"/>
      <c r="H768" s="462" t="n"/>
    </row>
    <row r="769">
      <c r="A769" s="672" t="inlineStr">
        <is>
          <t>E100133</t>
        </is>
      </c>
      <c r="B769" s="767">
        <f>ROW()</f>
        <v/>
      </c>
      <c r="C769" s="182" t="inlineStr">
        <is>
          <t>内蒙古京能建筑安装工程有限公司</t>
        </is>
      </c>
      <c r="D769" s="182" t="inlineStr">
        <is>
          <t>ZI029E100109</t>
        </is>
      </c>
      <c r="E769" s="182" t="inlineStr">
        <is>
          <t>京能电力后勤服务有限公司</t>
        </is>
      </c>
      <c r="F769" s="716" t="n"/>
      <c r="G769" s="716" t="n"/>
      <c r="H769" s="462" t="n"/>
    </row>
    <row r="770">
      <c r="A770" s="672" t="inlineStr">
        <is>
          <t>E100165</t>
        </is>
      </c>
      <c r="B770" s="767">
        <f>ROW()</f>
        <v/>
      </c>
      <c r="C770" s="182" t="inlineStr">
        <is>
          <t>内蒙古京能康巴什热电有限公司</t>
        </is>
      </c>
      <c r="D770" s="182" t="inlineStr">
        <is>
          <t>ZI029E100145</t>
        </is>
      </c>
      <c r="E770" s="182" t="inlineStr">
        <is>
          <t>北京京能电力股份有限公司</t>
        </is>
      </c>
      <c r="F770" s="716" t="n"/>
      <c r="G770" s="716" t="n"/>
      <c r="H770" s="462" t="n"/>
    </row>
    <row r="771">
      <c r="A771" s="672" t="inlineStr">
        <is>
          <t>E100044</t>
        </is>
      </c>
      <c r="B771" s="767">
        <f>ROW()</f>
        <v/>
      </c>
      <c r="C771" s="182" t="inlineStr">
        <is>
          <t>内蒙古京能科右中风力发电有限责任公司</t>
        </is>
      </c>
      <c r="D771" s="182" t="inlineStr">
        <is>
          <t>ZI029E100001</t>
        </is>
      </c>
      <c r="E771" s="182" t="inlineStr">
        <is>
          <t>北京京能清洁能源电力股份有限公司</t>
        </is>
      </c>
      <c r="F771" s="716" t="n"/>
      <c r="G771" s="716" t="n"/>
      <c r="H771" s="462" t="n"/>
    </row>
    <row r="772">
      <c r="A772" s="672" t="inlineStr">
        <is>
          <t>E100181</t>
        </is>
      </c>
      <c r="B772" s="767">
        <f>ROW()</f>
        <v/>
      </c>
      <c r="C772" s="182" t="inlineStr">
        <is>
          <t>京能乌兰察布能源管理服务有限公司</t>
        </is>
      </c>
      <c r="D772" s="182" t="inlineStr">
        <is>
          <t>ZI029E100145</t>
        </is>
      </c>
      <c r="E772" s="182" t="inlineStr">
        <is>
          <t>北京京能电力股份有限公司</t>
        </is>
      </c>
      <c r="F772" s="716" t="n"/>
      <c r="G772" s="716" t="n"/>
      <c r="H772" s="462" t="n"/>
    </row>
    <row r="773">
      <c r="A773" s="672" t="inlineStr">
        <is>
          <t>E100180</t>
        </is>
      </c>
      <c r="B773" s="767">
        <f>ROW()</f>
        <v/>
      </c>
      <c r="C773" s="182" t="inlineStr">
        <is>
          <t>内蒙古京能能源开发有限责任公司</t>
        </is>
      </c>
      <c r="D773" s="182" t="inlineStr">
        <is>
          <t>ZI029E100145</t>
        </is>
      </c>
      <c r="E773" s="182" t="inlineStr">
        <is>
          <t>北京京能电力股份有限公司</t>
        </is>
      </c>
      <c r="F773" s="716" t="n"/>
      <c r="G773" s="716" t="n"/>
      <c r="H773" s="462" t="n"/>
    </row>
    <row r="774">
      <c r="A774" s="672" t="inlineStr">
        <is>
          <t>E100042</t>
        </is>
      </c>
      <c r="B774" s="767">
        <f>ROW()</f>
        <v/>
      </c>
      <c r="C774" s="182" t="inlineStr">
        <is>
          <t>内蒙古京能旗杆风力发电有限公司</t>
        </is>
      </c>
      <c r="D774" s="182" t="inlineStr">
        <is>
          <t>ZI029E100001</t>
        </is>
      </c>
      <c r="E774" s="182" t="inlineStr">
        <is>
          <t>北京京能清洁能源电力股份有限公司</t>
        </is>
      </c>
      <c r="F774" s="716" t="n"/>
      <c r="G774" s="716" t="n"/>
      <c r="H774" s="462" t="n"/>
    </row>
    <row r="775">
      <c r="A775" s="672" t="inlineStr">
        <is>
          <t>E100079</t>
        </is>
      </c>
      <c r="B775" s="767">
        <f>ROW()</f>
        <v/>
      </c>
      <c r="C775" s="182" t="inlineStr">
        <is>
          <t>内蒙古京能商都风力发电有限责任公司</t>
        </is>
      </c>
      <c r="D775" s="182" t="inlineStr">
        <is>
          <t>ZI029E100001</t>
        </is>
      </c>
      <c r="E775" s="182" t="inlineStr">
        <is>
          <t>北京京能清洁能源电力股份有限公司</t>
        </is>
      </c>
      <c r="F775" s="716" t="n"/>
      <c r="G775" s="716" t="n"/>
      <c r="H775" s="462" t="n"/>
    </row>
    <row r="776">
      <c r="A776" s="672" t="inlineStr">
        <is>
          <t>E100134</t>
        </is>
      </c>
      <c r="B776" s="767">
        <f>ROW()</f>
        <v/>
      </c>
      <c r="C776" s="182" t="inlineStr">
        <is>
          <t>内蒙古京能生态农业发展有限公司</t>
        </is>
      </c>
      <c r="D776" s="182" t="inlineStr">
        <is>
          <t>ZI029E100109</t>
        </is>
      </c>
      <c r="E776" s="182" t="inlineStr">
        <is>
          <t>京能电力后勤服务有限公司</t>
        </is>
      </c>
      <c r="F776" s="716" t="n"/>
      <c r="G776" s="716" t="n"/>
      <c r="H776" s="462" t="n"/>
    </row>
    <row r="777">
      <c r="A777" s="672" t="inlineStr">
        <is>
          <t>E100166</t>
        </is>
      </c>
      <c r="B777" s="767">
        <f>ROW()</f>
        <v/>
      </c>
      <c r="C777" s="182" t="inlineStr">
        <is>
          <t>内蒙古京能盛乐热电有限公司</t>
        </is>
      </c>
      <c r="D777" s="182" t="inlineStr">
        <is>
          <t>ZI029E100145</t>
        </is>
      </c>
      <c r="E777" s="182" t="inlineStr">
        <is>
          <t>北京京能电力股份有限公司</t>
        </is>
      </c>
      <c r="F777" s="716" t="n"/>
      <c r="G777" s="716" t="n"/>
      <c r="H777" s="462" t="n"/>
    </row>
    <row r="778">
      <c r="A778" s="672" t="inlineStr">
        <is>
          <t>E100171</t>
        </is>
      </c>
      <c r="B778" s="767">
        <f>ROW()</f>
        <v/>
      </c>
      <c r="C778" s="182" t="inlineStr">
        <is>
          <t>内蒙古京能双欣发电有限公司</t>
        </is>
      </c>
      <c r="D778" s="182" t="inlineStr">
        <is>
          <t>ZI029E100145</t>
        </is>
      </c>
      <c r="E778" s="182" t="inlineStr">
        <is>
          <t>北京京能电力股份有限公司</t>
        </is>
      </c>
      <c r="F778" s="716" t="n"/>
      <c r="G778" s="716" t="n"/>
      <c r="H778" s="462" t="n"/>
    </row>
    <row r="779">
      <c r="A779" s="672" t="inlineStr">
        <is>
          <t>E100178</t>
        </is>
      </c>
      <c r="B779" s="767">
        <f>ROW()</f>
        <v/>
      </c>
      <c r="C779" s="182" t="inlineStr">
        <is>
          <t>内蒙古京能苏里格能源管理服务有限公司</t>
        </is>
      </c>
      <c r="D779" s="182" t="inlineStr">
        <is>
          <t>ZI029E100145</t>
        </is>
      </c>
      <c r="E779" s="182" t="inlineStr">
        <is>
          <t>北京京能电力股份有限公司</t>
        </is>
      </c>
      <c r="F779" s="716" t="n"/>
      <c r="G779" s="716" t="n"/>
      <c r="H779" s="462" t="n"/>
    </row>
    <row r="780">
      <c r="A780" s="672" t="inlineStr">
        <is>
          <t>E100050</t>
        </is>
      </c>
      <c r="B780" s="767">
        <f>ROW()</f>
        <v/>
      </c>
      <c r="C780" s="182" t="inlineStr">
        <is>
          <t>内蒙古京能苏尼特风力发电有限公司</t>
        </is>
      </c>
      <c r="D780" s="182" t="inlineStr">
        <is>
          <t>ZI029E100001</t>
        </is>
      </c>
      <c r="E780" s="182" t="inlineStr">
        <is>
          <t>北京京能清洁能源电力股份有限公司</t>
        </is>
      </c>
      <c r="F780" s="716" t="n"/>
      <c r="G780" s="716" t="n"/>
      <c r="H780" s="462" t="n"/>
    </row>
    <row r="781">
      <c r="A781" s="672" t="inlineStr">
        <is>
          <t>E100050G</t>
        </is>
      </c>
      <c r="B781" s="767">
        <f>ROW()</f>
        <v/>
      </c>
      <c r="C781" s="182" t="inlineStr">
        <is>
          <t>内蒙古京能苏尼特风力发电有限公司（合并）</t>
        </is>
      </c>
      <c r="D781" s="182" t="inlineStr">
        <is>
          <t>ZI029E100001</t>
        </is>
      </c>
      <c r="E781" s="182" t="inlineStr">
        <is>
          <t>北京京能清洁能源电力股份有限公司</t>
        </is>
      </c>
      <c r="F781" s="716" t="n"/>
      <c r="G781" s="716" t="n"/>
      <c r="H781" s="462" t="n"/>
    </row>
    <row r="782">
      <c r="A782" s="672" t="inlineStr">
        <is>
          <t>E100080</t>
        </is>
      </c>
      <c r="B782" s="767">
        <f>ROW()</f>
        <v/>
      </c>
      <c r="C782" s="182" t="inlineStr">
        <is>
          <t>内蒙古京能文贡乌拉风力发电有限公司</t>
        </is>
      </c>
      <c r="D782" s="182" t="inlineStr">
        <is>
          <t>ZI029E100001</t>
        </is>
      </c>
      <c r="E782" s="182" t="inlineStr">
        <is>
          <t>北京京能清洁能源电力股份有限公司</t>
        </is>
      </c>
      <c r="F782" s="716" t="n"/>
      <c r="G782" s="716" t="n"/>
      <c r="H782" s="462" t="n"/>
    </row>
    <row r="783">
      <c r="A783" s="672" t="inlineStr">
        <is>
          <t>E100045</t>
        </is>
      </c>
      <c r="B783" s="767">
        <f>ROW()</f>
        <v/>
      </c>
      <c r="C783" s="182" t="inlineStr">
        <is>
          <t>内蒙古京能乌兰风力发电有限公司</t>
        </is>
      </c>
      <c r="D783" s="182" t="inlineStr">
        <is>
          <t>ZI029E100001</t>
        </is>
      </c>
      <c r="E783" s="182" t="inlineStr">
        <is>
          <t>北京京能清洁能源电力股份有限公司</t>
        </is>
      </c>
      <c r="F783" s="716" t="n"/>
      <c r="G783" s="716" t="n"/>
      <c r="H783" s="462" t="n"/>
    </row>
    <row r="784">
      <c r="A784" s="672" t="inlineStr">
        <is>
          <t>E100073</t>
        </is>
      </c>
      <c r="B784" s="767">
        <f>ROW()</f>
        <v/>
      </c>
      <c r="C784" s="182" t="inlineStr">
        <is>
          <t>内蒙古京能乌兰伊力更风力发电有限责任公司</t>
        </is>
      </c>
      <c r="D784" s="182" t="inlineStr">
        <is>
          <t>ZI029E100001</t>
        </is>
      </c>
      <c r="E784" s="182" t="inlineStr">
        <is>
          <t>北京京能清洁能源电力股份有限公司</t>
        </is>
      </c>
      <c r="F784" s="716" t="n"/>
      <c r="G784" s="716" t="n"/>
      <c r="H784" s="462" t="n"/>
    </row>
    <row r="785">
      <c r="A785" s="672" t="inlineStr">
        <is>
          <t>E100221</t>
        </is>
      </c>
      <c r="B785" s="767">
        <f>ROW()</f>
        <v/>
      </c>
      <c r="C785" s="182" t="inlineStr">
        <is>
          <t>内蒙古京能锡林煤化有限责任公司</t>
        </is>
      </c>
      <c r="D785" s="182" t="inlineStr">
        <is>
          <t>ZI029E100000</t>
        </is>
      </c>
      <c r="E785" s="182" t="inlineStr">
        <is>
          <t>北京能源集团有限责任公司</t>
        </is>
      </c>
      <c r="F785" s="716" t="n"/>
      <c r="G785" s="716" t="n"/>
      <c r="H785" s="462" t="n"/>
    </row>
    <row r="786">
      <c r="A786" s="672" t="inlineStr">
        <is>
          <t>E100735</t>
        </is>
      </c>
      <c r="B786" s="767">
        <f>ROW()</f>
        <v/>
      </c>
      <c r="C786" s="182" t="inlineStr">
        <is>
          <t>内蒙古京能新能源科技有限公司</t>
        </is>
      </c>
      <c r="D786" s="182" t="inlineStr">
        <is>
          <t>ZI029E100963</t>
        </is>
      </c>
      <c r="E786" s="182" t="inlineStr">
        <is>
          <t>丝绸之路新能源（常州）有限公司</t>
        </is>
      </c>
      <c r="F786" s="716" t="n"/>
      <c r="G786" s="716" t="n"/>
      <c r="H786" s="462" t="n"/>
    </row>
    <row r="787">
      <c r="A787" s="672" t="inlineStr">
        <is>
          <t>E100167</t>
        </is>
      </c>
      <c r="B787" s="767">
        <f>ROW()</f>
        <v/>
      </c>
      <c r="C787" s="182" t="inlineStr">
        <is>
          <t>内蒙古京宁热电有限责任公司</t>
        </is>
      </c>
      <c r="D787" s="182" t="inlineStr">
        <is>
          <t>ZI029E100145</t>
        </is>
      </c>
      <c r="E787" s="182" t="inlineStr">
        <is>
          <t>北京京能电力股份有限公司</t>
        </is>
      </c>
      <c r="F787" s="716" t="n"/>
      <c r="G787" s="716" t="n"/>
      <c r="H787" s="462" t="n"/>
    </row>
    <row r="788">
      <c r="A788" s="672" t="inlineStr">
        <is>
          <t>E100157</t>
        </is>
      </c>
      <c r="B788" s="767">
        <f>ROW()</f>
        <v/>
      </c>
      <c r="C788" s="182" t="inlineStr">
        <is>
          <t>内蒙古京泰发电有限责任公司</t>
        </is>
      </c>
      <c r="D788" s="182" t="inlineStr">
        <is>
          <t>ZI029E100145</t>
        </is>
      </c>
      <c r="E788" s="182" t="inlineStr">
        <is>
          <t>北京京能电力股份有限公司</t>
        </is>
      </c>
      <c r="F788" s="716" t="n"/>
      <c r="G788" s="716" t="n"/>
      <c r="H788" s="462" t="n"/>
    </row>
    <row r="789">
      <c r="A789" s="672" t="inlineStr">
        <is>
          <t>E100950</t>
        </is>
      </c>
      <c r="B789" s="767">
        <f>ROW()</f>
        <v/>
      </c>
      <c r="C789" s="182" t="inlineStr">
        <is>
          <t>内蒙古明华新能源股份有限公司</t>
        </is>
      </c>
      <c r="D789" s="182" t="inlineStr">
        <is>
          <t>ZI029E100735</t>
        </is>
      </c>
      <c r="E789" s="182" t="inlineStr">
        <is>
          <t>内蒙古京能新能源科技有限公司</t>
        </is>
      </c>
      <c r="F789" s="716" t="n"/>
      <c r="G789" s="716" t="n"/>
      <c r="H789" s="462" t="n"/>
    </row>
    <row r="790">
      <c r="A790" s="672" t="inlineStr">
        <is>
          <t>E100950</t>
        </is>
      </c>
      <c r="B790" s="767">
        <f>ROW()</f>
        <v/>
      </c>
      <c r="C790" s="182" t="inlineStr">
        <is>
          <t>内蒙古明华新能源股份有限公司</t>
        </is>
      </c>
      <c r="D790" s="182" t="inlineStr">
        <is>
          <t>ZI029E100730</t>
        </is>
      </c>
      <c r="E790" s="182" t="inlineStr">
        <is>
          <t>京能国际能源发展（北京）有限公司</t>
        </is>
      </c>
      <c r="F790" s="716" t="n"/>
      <c r="G790" s="716" t="n"/>
      <c r="H790" s="462" t="n"/>
    </row>
    <row r="791">
      <c r="A791" s="672" t="inlineStr">
        <is>
          <t>E100183</t>
        </is>
      </c>
      <c r="B791" s="767">
        <f>ROW()</f>
        <v/>
      </c>
      <c r="C791" s="182" t="inlineStr">
        <is>
          <t>内蒙古兴海电力服务有限责任公司</t>
        </is>
      </c>
      <c r="D791" s="182" t="inlineStr">
        <is>
          <t>ZI029E100145</t>
        </is>
      </c>
      <c r="E791" s="182" t="inlineStr">
        <is>
          <t>北京京能电力股份有限公司</t>
        </is>
      </c>
      <c r="F791" s="716" t="n"/>
      <c r="G791" s="716" t="n"/>
      <c r="H791" s="462" t="n"/>
    </row>
    <row r="792">
      <c r="A792" s="672" t="inlineStr">
        <is>
          <t>E100989</t>
        </is>
      </c>
      <c r="B792" s="767">
        <f>ROW()</f>
        <v/>
      </c>
      <c r="C792" s="182" t="inlineStr">
        <is>
          <t>宁波保税区招联绿邦新能源有限公司</t>
        </is>
      </c>
      <c r="D792" s="182" t="inlineStr">
        <is>
          <t>ZI029E100988</t>
        </is>
      </c>
      <c r="E792" s="182" t="inlineStr">
        <is>
          <t>常州市招联绿睿新能源有限公司</t>
        </is>
      </c>
      <c r="F792" s="716" t="n"/>
      <c r="G792" s="716" t="n"/>
      <c r="H792" s="462" t="n"/>
    </row>
    <row r="793">
      <c r="A793" s="672" t="inlineStr">
        <is>
          <t>E100786</t>
        </is>
      </c>
      <c r="B793" s="767">
        <f>ROW()</f>
        <v/>
      </c>
      <c r="C793" s="182" t="inlineStr">
        <is>
          <t>宁夏博阳新能源有限公司</t>
        </is>
      </c>
      <c r="D793" s="182" t="inlineStr">
        <is>
          <t>ZI029E100001</t>
        </is>
      </c>
      <c r="E793" s="182" t="inlineStr">
        <is>
          <t>北京京能清洁能源电力股份有限公司</t>
        </is>
      </c>
      <c r="F793" s="716" t="n"/>
      <c r="G793" s="716" t="n"/>
      <c r="H793" s="462" t="n"/>
    </row>
    <row r="794">
      <c r="A794" s="672" t="inlineStr">
        <is>
          <t>E100092</t>
        </is>
      </c>
      <c r="B794" s="767">
        <f>ROW()</f>
        <v/>
      </c>
      <c r="C794" s="182" t="inlineStr">
        <is>
          <t>宁夏海原京能新能源有限公司</t>
        </is>
      </c>
      <c r="D794" s="182" t="inlineStr">
        <is>
          <t>ZI029E100001</t>
        </is>
      </c>
      <c r="E794" s="182" t="inlineStr">
        <is>
          <t>北京京能清洁能源电力股份有限公司</t>
        </is>
      </c>
      <c r="F794" s="716" t="n"/>
      <c r="G794" s="716" t="n"/>
      <c r="H794" s="462" t="n"/>
    </row>
    <row r="795">
      <c r="A795" s="672" t="inlineStr">
        <is>
          <t>E100091</t>
        </is>
      </c>
      <c r="B795" s="767">
        <f>ROW()</f>
        <v/>
      </c>
      <c r="C795" s="182" t="inlineStr">
        <is>
          <t>宁夏贺兰京能新能源有限公司</t>
        </is>
      </c>
      <c r="D795" s="182" t="inlineStr">
        <is>
          <t>ZI029E100001</t>
        </is>
      </c>
      <c r="E795" s="182" t="inlineStr">
        <is>
          <t>北京京能清洁能源电力股份有限公司</t>
        </is>
      </c>
      <c r="F795" s="716" t="n"/>
      <c r="G795" s="716" t="n"/>
      <c r="H795" s="462" t="n"/>
    </row>
    <row r="796">
      <c r="A796" s="672" t="inlineStr">
        <is>
          <t>E100205</t>
        </is>
      </c>
      <c r="B796" s="767">
        <f>ROW()</f>
        <v/>
      </c>
      <c r="C796" s="182" t="inlineStr">
        <is>
          <t>宁夏红墩子煤业有限公司</t>
        </is>
      </c>
      <c r="D796" s="182" t="inlineStr">
        <is>
          <t>ZI029E100201</t>
        </is>
      </c>
      <c r="E796" s="182" t="inlineStr">
        <is>
          <t>北京昊华能源股份有限公司</t>
        </is>
      </c>
      <c r="F796" s="716" t="n"/>
      <c r="G796" s="716" t="n"/>
      <c r="H796" s="462" t="n"/>
    </row>
    <row r="797">
      <c r="A797" s="672" t="inlineStr">
        <is>
          <t>E100376</t>
        </is>
      </c>
      <c r="B797" s="767">
        <f>ROW()</f>
        <v/>
      </c>
      <c r="C797" s="182" t="inlineStr">
        <is>
          <t>宁夏红寺堡京能源深光伏发展有限公司</t>
        </is>
      </c>
      <c r="D797" s="182" t="inlineStr">
        <is>
          <t>ZI029E100371</t>
        </is>
      </c>
      <c r="E797" s="182" t="inlineStr">
        <is>
          <t>北京京能科技有限公司</t>
        </is>
      </c>
      <c r="F797" s="716" t="n"/>
      <c r="G797" s="716" t="n"/>
      <c r="H797" s="462" t="n"/>
    </row>
    <row r="798">
      <c r="A798" s="672" t="inlineStr">
        <is>
          <t>E100306</t>
        </is>
      </c>
      <c r="B798" s="767">
        <f>ROW()</f>
        <v/>
      </c>
      <c r="C798" s="182" t="inlineStr">
        <is>
          <t>宁夏京能创业房地产开发有限公司</t>
        </is>
      </c>
      <c r="D798" s="182" t="inlineStr">
        <is>
          <t>ZI029E100268</t>
        </is>
      </c>
      <c r="E798" s="182" t="inlineStr">
        <is>
          <t>北京京煤集团有限责任公司</t>
        </is>
      </c>
      <c r="F798" s="716" t="n"/>
      <c r="G798" s="716" t="n"/>
      <c r="H798" s="462" t="n"/>
    </row>
    <row r="799">
      <c r="A799" s="672" t="inlineStr">
        <is>
          <t>E100432</t>
        </is>
      </c>
      <c r="B799" s="767">
        <f>ROW()</f>
        <v/>
      </c>
      <c r="C799" s="182" t="inlineStr">
        <is>
          <t>宁夏京能房地产开发有限公司</t>
        </is>
      </c>
      <c r="D799" s="182" t="inlineStr">
        <is>
          <t>ZI029E100420</t>
        </is>
      </c>
      <c r="E799" s="182" t="inlineStr">
        <is>
          <t>京能置业股份有限公司</t>
        </is>
      </c>
      <c r="F799" s="716" t="n"/>
      <c r="G799" s="716" t="n"/>
      <c r="H799" s="462" t="n"/>
    </row>
    <row r="800">
      <c r="A800" s="672" t="inlineStr">
        <is>
          <t>E100432</t>
        </is>
      </c>
      <c r="B800" s="767">
        <f>ROW()</f>
        <v/>
      </c>
      <c r="C800" s="182" t="inlineStr">
        <is>
          <t>宁夏京能房地产开发有限公司</t>
        </is>
      </c>
      <c r="D800" s="182" t="inlineStr">
        <is>
          <t>ZI029E100000</t>
        </is>
      </c>
      <c r="E800" s="182" t="inlineStr">
        <is>
          <t>北京能源集团有限责任公司</t>
        </is>
      </c>
      <c r="F800" s="716" t="n"/>
      <c r="G800" s="716" t="n"/>
      <c r="H800" s="462" t="n"/>
    </row>
    <row r="801">
      <c r="A801" s="672" t="inlineStr">
        <is>
          <t>E100088</t>
        </is>
      </c>
      <c r="B801" s="767">
        <f>ROW()</f>
        <v/>
      </c>
      <c r="C801" s="182" t="inlineStr">
        <is>
          <t>宁夏京能灵武风电有限公司</t>
        </is>
      </c>
      <c r="D801" s="182" t="inlineStr">
        <is>
          <t>ZI029E100001</t>
        </is>
      </c>
      <c r="E801" s="182" t="inlineStr">
        <is>
          <t>北京京能清洁能源电力股份有限公司</t>
        </is>
      </c>
      <c r="F801" s="716" t="n"/>
      <c r="G801" s="716" t="n"/>
      <c r="H801" s="462" t="n"/>
    </row>
    <row r="802">
      <c r="A802" s="672" t="inlineStr">
        <is>
          <t>E100152</t>
        </is>
      </c>
      <c r="B802" s="767">
        <f>ROW()</f>
        <v/>
      </c>
      <c r="C802" s="182" t="inlineStr">
        <is>
          <t>宁夏京能宁东发电有限责任公司</t>
        </is>
      </c>
      <c r="D802" s="182" t="inlineStr">
        <is>
          <t>ZI029E100145</t>
        </is>
      </c>
      <c r="E802" s="182" t="inlineStr">
        <is>
          <t>北京京能电力股份有限公司</t>
        </is>
      </c>
      <c r="F802" s="716" t="n"/>
      <c r="G802" s="716" t="n"/>
      <c r="H802" s="462" t="n"/>
    </row>
    <row r="803">
      <c r="A803" s="672" t="inlineStr">
        <is>
          <t>E100819</t>
        </is>
      </c>
      <c r="B803" s="767">
        <f>ROW()</f>
        <v/>
      </c>
      <c r="C803" s="182" t="inlineStr">
        <is>
          <t>宁夏京能宁东新能源有限公司</t>
        </is>
      </c>
      <c r="D803" s="182" t="inlineStr">
        <is>
          <t>ZI029E100145</t>
        </is>
      </c>
      <c r="E803" s="182" t="inlineStr">
        <is>
          <t>北京京能电力股份有限公司</t>
        </is>
      </c>
      <c r="F803" s="716" t="n"/>
      <c r="G803" s="716" t="n"/>
      <c r="H803" s="462" t="n"/>
    </row>
    <row r="804">
      <c r="A804" s="672" t="inlineStr">
        <is>
          <t>E100087</t>
        </is>
      </c>
      <c r="B804" s="767">
        <f>ROW()</f>
        <v/>
      </c>
      <c r="C804" s="182" t="inlineStr">
        <is>
          <t>宁夏京能新能源有限公司</t>
        </is>
      </c>
      <c r="D804" s="182" t="inlineStr">
        <is>
          <t>ZI029E100001</t>
        </is>
      </c>
      <c r="E804" s="182" t="inlineStr">
        <is>
          <t>北京京能清洁能源电力股份有限公司</t>
        </is>
      </c>
      <c r="F804" s="716" t="n"/>
      <c r="G804" s="716" t="n"/>
      <c r="H804" s="462" t="n"/>
    </row>
    <row r="805">
      <c r="A805" s="672" t="inlineStr">
        <is>
          <t>E100089</t>
        </is>
      </c>
      <c r="B805" s="767">
        <f>ROW()</f>
        <v/>
      </c>
      <c r="C805" s="182" t="inlineStr">
        <is>
          <t>宁夏京能中卫新能源有限公司</t>
        </is>
      </c>
      <c r="D805" s="182" t="inlineStr">
        <is>
          <t>ZI029E100001</t>
        </is>
      </c>
      <c r="E805" s="182" t="inlineStr">
        <is>
          <t>北京京能清洁能源电力股份有限公司</t>
        </is>
      </c>
      <c r="F805" s="716" t="n"/>
      <c r="G805" s="716" t="n"/>
      <c r="H805" s="462" t="n"/>
    </row>
    <row r="806">
      <c r="A806" s="672" t="inlineStr">
        <is>
          <t>E100785</t>
        </is>
      </c>
      <c r="B806" s="767">
        <f>ROW()</f>
        <v/>
      </c>
      <c r="C806" s="182" t="inlineStr">
        <is>
          <t>宁夏恺阳新能源有限公司</t>
        </is>
      </c>
      <c r="D806" s="182" t="inlineStr">
        <is>
          <t>ZI029E100001</t>
        </is>
      </c>
      <c r="E806" s="182" t="inlineStr">
        <is>
          <t>北京京能清洁能源电力股份有限公司</t>
        </is>
      </c>
      <c r="F806" s="716" t="n"/>
      <c r="G806" s="716" t="n"/>
      <c r="H806" s="462" t="n"/>
    </row>
    <row r="807">
      <c r="A807" s="672" t="inlineStr">
        <is>
          <t>E100570</t>
        </is>
      </c>
      <c r="B807" s="767">
        <f>ROW()</f>
        <v/>
      </c>
      <c r="C807" s="182" t="inlineStr">
        <is>
          <t>宁夏杉阳新能源有限公司</t>
        </is>
      </c>
      <c r="D807" s="182" t="inlineStr">
        <is>
          <t>ZI029E100001</t>
        </is>
      </c>
      <c r="E807" s="182" t="inlineStr">
        <is>
          <t>北京京能清洁能源电力股份有限公司</t>
        </is>
      </c>
      <c r="F807" s="716" t="n"/>
      <c r="G807" s="716" t="n"/>
      <c r="H807" s="462" t="n"/>
    </row>
    <row r="808">
      <c r="A808" s="672" t="inlineStr">
        <is>
          <t>E100176</t>
        </is>
      </c>
      <c r="B808" s="767">
        <f>ROW()</f>
        <v/>
      </c>
      <c r="C808" s="182" t="inlineStr">
        <is>
          <t>宁夏太阳山京智综合能源（售电）有限公司</t>
        </is>
      </c>
      <c r="D808" s="182" t="inlineStr">
        <is>
          <t>ZI029E100145</t>
        </is>
      </c>
      <c r="E808" s="182" t="inlineStr">
        <is>
          <t>北京京能电力股份有限公司</t>
        </is>
      </c>
      <c r="F808" s="716" t="n"/>
      <c r="G808" s="716" t="n"/>
      <c r="H808" s="462" t="n"/>
    </row>
    <row r="809">
      <c r="A809" s="672" t="inlineStr">
        <is>
          <t>E100547</t>
        </is>
      </c>
      <c r="B809" s="767">
        <f>ROW()</f>
        <v/>
      </c>
      <c r="C809" s="182" t="inlineStr">
        <is>
          <t>宁夏同心大地日盛新能源有限公司</t>
        </is>
      </c>
      <c r="D809" s="182" t="inlineStr">
        <is>
          <t>ZI029E100001</t>
        </is>
      </c>
      <c r="E809" s="182" t="inlineStr">
        <is>
          <t>北京京能清洁能源电力股份有限公司</t>
        </is>
      </c>
      <c r="F809" s="716" t="n"/>
      <c r="G809" s="716" t="n"/>
      <c r="H809" s="462" t="n"/>
    </row>
    <row r="810">
      <c r="A810" s="672" t="inlineStr">
        <is>
          <t>E100855</t>
        </is>
      </c>
      <c r="B810" s="767">
        <f>ROW()</f>
        <v/>
      </c>
      <c r="C810" s="182" t="inlineStr">
        <is>
          <t>宁夏盐池凯能光伏发电有限公司</t>
        </is>
      </c>
      <c r="D810" s="182" t="inlineStr">
        <is>
          <t>ZI029E100730</t>
        </is>
      </c>
      <c r="E810" s="182" t="inlineStr">
        <is>
          <t>京能国际能源发展（北京）有限公司</t>
        </is>
      </c>
      <c r="F810" s="716" t="n"/>
      <c r="G810" s="716" t="n"/>
      <c r="H810" s="462" t="n"/>
    </row>
    <row r="811">
      <c r="A811" s="672" t="inlineStr">
        <is>
          <t>E100090</t>
        </is>
      </c>
      <c r="B811" s="767">
        <f>ROW()</f>
        <v/>
      </c>
      <c r="C811" s="182" t="inlineStr">
        <is>
          <t>宁夏中宁县京能新能源有限公司</t>
        </is>
      </c>
      <c r="D811" s="182" t="inlineStr">
        <is>
          <t>ZI029E100001</t>
        </is>
      </c>
      <c r="E811" s="182" t="inlineStr">
        <is>
          <t>北京京能清洁能源电力股份有限公司</t>
        </is>
      </c>
      <c r="F811" s="716" t="n"/>
      <c r="G811" s="716" t="n"/>
      <c r="H811" s="462" t="n"/>
    </row>
    <row r="812">
      <c r="A812" s="672" t="inlineStr">
        <is>
          <t>E100736</t>
        </is>
      </c>
      <c r="B812" s="767">
        <f>ROW()</f>
        <v/>
      </c>
      <c r="C812" s="182" t="inlineStr">
        <is>
          <t>宁夏中自太阳能光伏发电有限公司</t>
        </is>
      </c>
      <c r="D812" s="182" t="inlineStr">
        <is>
          <t>ZI029E100864</t>
        </is>
      </c>
      <c r="E812" s="182" t="inlineStr">
        <is>
          <t>西藏中自新能源技术有限公司</t>
        </is>
      </c>
      <c r="F812" s="716" t="n"/>
      <c r="G812" s="716" t="n"/>
      <c r="H812" s="462" t="n"/>
    </row>
    <row r="813">
      <c r="A813" s="672" t="inlineStr">
        <is>
          <t>E100893</t>
        </is>
      </c>
      <c r="B813" s="767">
        <f>ROW()</f>
        <v/>
      </c>
      <c r="C813" s="182" t="inlineStr">
        <is>
          <t>纽莱（威海）新能源有限公司</t>
        </is>
      </c>
      <c r="D813" s="182" t="inlineStr">
        <is>
          <t>ZI029E100883</t>
        </is>
      </c>
      <c r="E813" s="182" t="inlineStr">
        <is>
          <t>Beijing Energy International Investment Limited</t>
        </is>
      </c>
      <c r="F813" s="716" t="n"/>
      <c r="G813" s="716" t="n"/>
      <c r="H813" s="462" t="n"/>
    </row>
    <row r="814">
      <c r="A814" s="672" t="inlineStr">
        <is>
          <t>E100927</t>
        </is>
      </c>
      <c r="B814" s="767">
        <f>ROW()</f>
        <v/>
      </c>
      <c r="C814" s="182" t="inlineStr">
        <is>
          <t>偏关县斯能风电有限公司</t>
        </is>
      </c>
      <c r="D814" s="182" t="inlineStr">
        <is>
          <t>ZI029E100730</t>
        </is>
      </c>
      <c r="E814" s="182" t="inlineStr">
        <is>
          <t>京能国际能源发展（北京）有限公司</t>
        </is>
      </c>
      <c r="F814" s="716" t="n"/>
      <c r="G814" s="716" t="n"/>
      <c r="H814" s="462" t="n"/>
    </row>
    <row r="815">
      <c r="A815" s="672" t="inlineStr">
        <is>
          <t>E100784</t>
        </is>
      </c>
      <c r="B815" s="767">
        <f>ROW()</f>
        <v/>
      </c>
      <c r="C815" s="182" t="inlineStr">
        <is>
          <t>平罗县旭清新能源有限公司</t>
        </is>
      </c>
      <c r="D815" s="182" t="inlineStr">
        <is>
          <t>ZI029E100001</t>
        </is>
      </c>
      <c r="E815" s="182" t="inlineStr">
        <is>
          <t>北京京能清洁能源电力股份有限公司</t>
        </is>
      </c>
      <c r="F815" s="716" t="n"/>
      <c r="G815" s="716" t="n"/>
      <c r="H815" s="462" t="n"/>
    </row>
    <row r="816">
      <c r="A816" s="672" t="inlineStr">
        <is>
          <t>E100925</t>
        </is>
      </c>
      <c r="B816" s="767">
        <f>ROW()</f>
        <v/>
      </c>
      <c r="C816" s="182" t="inlineStr">
        <is>
          <t>平山县天汇能源科技有限公司</t>
        </is>
      </c>
      <c r="D816" s="182" t="inlineStr">
        <is>
          <t>ZI029E100730</t>
        </is>
      </c>
      <c r="E816" s="182" t="inlineStr">
        <is>
          <t>京能国际能源发展（北京）有限公司</t>
        </is>
      </c>
      <c r="F816" s="716" t="n"/>
      <c r="G816" s="716" t="n"/>
      <c r="H816" s="462" t="n"/>
    </row>
    <row r="817">
      <c r="A817" s="672" t="inlineStr">
        <is>
          <t>E101059</t>
        </is>
      </c>
      <c r="B817" s="767">
        <f>ROW()</f>
        <v/>
      </c>
      <c r="C817" s="182" t="inlineStr">
        <is>
          <t>迁西富龙热力有限责任公司</t>
        </is>
      </c>
      <c r="D817" s="182" t="inlineStr">
        <is>
          <t>ZI029E101056</t>
        </is>
      </c>
      <c r="E817" s="182" t="inlineStr">
        <is>
          <t>北京华意龙达科技发展有限公司</t>
        </is>
      </c>
      <c r="F817" s="716" t="n"/>
      <c r="G817" s="716" t="n"/>
      <c r="H817" s="462" t="n"/>
    </row>
    <row r="818">
      <c r="A818" s="672" t="inlineStr">
        <is>
          <t>E101060</t>
        </is>
      </c>
      <c r="B818" s="767">
        <f>ROW()</f>
        <v/>
      </c>
      <c r="C818" s="182" t="inlineStr">
        <is>
          <t>迁西和然节能科技有限责任公司</t>
        </is>
      </c>
      <c r="D818" s="182" t="inlineStr">
        <is>
          <t>ZI029E101056</t>
        </is>
      </c>
      <c r="E818" s="182" t="inlineStr">
        <is>
          <t>北京华意龙达科技发展有限公司</t>
        </is>
      </c>
      <c r="F818" s="716" t="n"/>
      <c r="G818" s="716" t="n"/>
      <c r="H818" s="462" t="n"/>
    </row>
    <row r="819">
      <c r="A819" s="672" t="inlineStr">
        <is>
          <t>E100800</t>
        </is>
      </c>
      <c r="B819" s="767">
        <f>ROW()</f>
        <v/>
      </c>
      <c r="C819" s="182" t="inlineStr">
        <is>
          <t>钦州京能清洁能源有限公司</t>
        </is>
      </c>
      <c r="D819" s="182" t="inlineStr">
        <is>
          <t>ZI029E100001</t>
        </is>
      </c>
      <c r="E819" s="182" t="inlineStr">
        <is>
          <t>北京京能清洁能源电力股份有限公司</t>
        </is>
      </c>
      <c r="F819" s="716" t="n"/>
      <c r="G819" s="716" t="n"/>
      <c r="H819" s="462" t="n"/>
    </row>
    <row r="820">
      <c r="A820" s="672" t="inlineStr">
        <is>
          <t>E100177</t>
        </is>
      </c>
      <c r="B820" s="767">
        <f>ROW()</f>
        <v/>
      </c>
      <c r="C820" s="182" t="inlineStr">
        <is>
          <t>青岛京能智汇综合能源有限公司</t>
        </is>
      </c>
      <c r="D820" s="182" t="inlineStr">
        <is>
          <t>ZI029E100145</t>
        </is>
      </c>
      <c r="E820" s="182" t="inlineStr">
        <is>
          <t>北京京能电力股份有限公司</t>
        </is>
      </c>
      <c r="F820" s="716" t="n"/>
      <c r="G820" s="716" t="n"/>
      <c r="H820" s="462" t="n"/>
    </row>
    <row r="821">
      <c r="A821" s="672" t="inlineStr">
        <is>
          <t>E100932</t>
        </is>
      </c>
      <c r="B821" s="767">
        <f>ROW()</f>
        <v/>
      </c>
      <c r="C821" s="182" t="inlineStr">
        <is>
          <t>青海思迅新能源有限公司</t>
        </is>
      </c>
      <c r="D821" s="182" t="inlineStr">
        <is>
          <t>ZI029E100730</t>
        </is>
      </c>
      <c r="E821" s="182" t="inlineStr">
        <is>
          <t>京能国际能源发展（北京）有限公司</t>
        </is>
      </c>
      <c r="F821" s="716" t="n"/>
      <c r="G821" s="716" t="n"/>
      <c r="H821" s="462" t="n"/>
    </row>
    <row r="822">
      <c r="A822" s="672" t="inlineStr">
        <is>
          <t>E100953</t>
        </is>
      </c>
      <c r="B822" s="767">
        <f>ROW()</f>
        <v/>
      </c>
      <c r="C822" s="182" t="inlineStr">
        <is>
          <t>清水河县惠民光伏发电有限公司</t>
        </is>
      </c>
      <c r="D822" s="182" t="inlineStr">
        <is>
          <t>ZI029E100952</t>
        </is>
      </c>
      <c r="E822" s="182" t="inlineStr">
        <is>
          <t>呼和浩特市联合新能源开发有限公司</t>
        </is>
      </c>
      <c r="F822" s="716" t="n"/>
      <c r="G822" s="716" t="n"/>
      <c r="H822" s="462" t="n"/>
    </row>
    <row r="823">
      <c r="A823" s="672" t="inlineStr">
        <is>
          <t>E100971</t>
        </is>
      </c>
      <c r="B823" s="767">
        <f>ROW()</f>
        <v/>
      </c>
      <c r="C823" s="182" t="inlineStr">
        <is>
          <t>曲水茂昌光伏产业发展有限公司</t>
        </is>
      </c>
      <c r="D823" s="182" t="inlineStr">
        <is>
          <t>ZI029E100864</t>
        </is>
      </c>
      <c r="E823" s="182" t="inlineStr">
        <is>
          <t>西藏中自新能源技术有限公司</t>
        </is>
      </c>
      <c r="F823" s="716" t="n"/>
      <c r="G823" s="716" t="n"/>
      <c r="H823" s="462" t="n"/>
    </row>
    <row r="824">
      <c r="A824" s="672" t="inlineStr">
        <is>
          <t>E100027</t>
        </is>
      </c>
      <c r="B824" s="767">
        <f>ROW()</f>
        <v/>
      </c>
      <c r="C824" s="182" t="inlineStr">
        <is>
          <t>润峰格尔木电力有限公司</t>
        </is>
      </c>
      <c r="D824" s="182" t="inlineStr">
        <is>
          <t>ZI029E100001</t>
        </is>
      </c>
      <c r="E824" s="182" t="inlineStr">
        <is>
          <t>北京京能清洁能源电力股份有限公司</t>
        </is>
      </c>
      <c r="F824" s="716" t="n"/>
      <c r="G824" s="716" t="n"/>
      <c r="H824" s="462" t="n"/>
    </row>
    <row r="825">
      <c r="A825" s="672" t="inlineStr">
        <is>
          <t>E100252</t>
        </is>
      </c>
      <c r="B825" s="767">
        <f>ROW()</f>
        <v/>
      </c>
      <c r="C825" s="182" t="inlineStr">
        <is>
          <t>三河新源供热有限公司</t>
        </is>
      </c>
      <c r="D825" s="182" t="inlineStr">
        <is>
          <t>ZI029E100259</t>
        </is>
      </c>
      <c r="E825" s="182" t="inlineStr">
        <is>
          <t>北京京能热力发展有限公司</t>
        </is>
      </c>
      <c r="F825" s="716" t="n"/>
      <c r="G825" s="716" t="n"/>
      <c r="H825" s="462" t="n"/>
    </row>
    <row r="826">
      <c r="A826" s="672" t="inlineStr">
        <is>
          <t>E100252G</t>
        </is>
      </c>
      <c r="B826" s="767">
        <f>ROW()</f>
        <v/>
      </c>
      <c r="C826" s="182" t="inlineStr">
        <is>
          <t>三河新源供热有限公司（合并）</t>
        </is>
      </c>
      <c r="D826" s="182" t="inlineStr">
        <is>
          <t>ZI029E100259</t>
        </is>
      </c>
      <c r="E826" s="182" t="inlineStr">
        <is>
          <t>北京京能热力发展有限公司</t>
        </is>
      </c>
      <c r="F826" s="716" t="n"/>
      <c r="G826" s="716" t="n"/>
      <c r="H826" s="462" t="n"/>
    </row>
    <row r="827">
      <c r="A827" s="672" t="inlineStr">
        <is>
          <t>E100252H</t>
        </is>
      </c>
      <c r="B827" s="767">
        <f>ROW()</f>
        <v/>
      </c>
      <c r="C827" s="182" t="inlineStr">
        <is>
          <t>三河新源供热有限公司（母公司）</t>
        </is>
      </c>
      <c r="D827" s="182" t="inlineStr">
        <is>
          <t>ZI029E100259</t>
        </is>
      </c>
      <c r="E827" s="182" t="inlineStr">
        <is>
          <t>北京京能热力发展有限公司</t>
        </is>
      </c>
      <c r="F827" s="716" t="n"/>
      <c r="G827" s="716" t="n"/>
      <c r="H827" s="462" t="n"/>
    </row>
    <row r="828">
      <c r="A828" s="672" t="inlineStr">
        <is>
          <t>E100780</t>
        </is>
      </c>
      <c r="B828" s="767">
        <f>ROW()</f>
        <v/>
      </c>
      <c r="C828" s="182" t="inlineStr">
        <is>
          <t>三明京能清洁能源电力有限公司</t>
        </is>
      </c>
      <c r="D828" s="182" t="inlineStr">
        <is>
          <t>ZI029E100001</t>
        </is>
      </c>
      <c r="E828" s="182" t="inlineStr">
        <is>
          <t>北京京能清洁能源电力股份有限公司</t>
        </is>
      </c>
      <c r="F828" s="716" t="n"/>
      <c r="G828" s="716" t="n"/>
      <c r="H828" s="462" t="n"/>
    </row>
    <row r="829">
      <c r="A829" s="672" t="inlineStr">
        <is>
          <t>E100947</t>
        </is>
      </c>
      <c r="B829" s="767">
        <f>ROW()</f>
        <v/>
      </c>
      <c r="C829" s="182" t="inlineStr">
        <is>
          <t>山东新泰楼德佳阳光伏发电有限公司</t>
        </is>
      </c>
      <c r="D829" s="182" t="inlineStr">
        <is>
          <t>ZI029E100730</t>
        </is>
      </c>
      <c r="E829" s="182" t="inlineStr">
        <is>
          <t>京能国际能源发展（北京）有限公司</t>
        </is>
      </c>
      <c r="F829" s="716" t="n"/>
      <c r="G829" s="716" t="n"/>
      <c r="H829" s="462" t="n"/>
    </row>
    <row r="830">
      <c r="A830" s="672" t="inlineStr">
        <is>
          <t>E100831</t>
        </is>
      </c>
      <c r="B830" s="767">
        <f>ROW()</f>
        <v/>
      </c>
      <c r="C830" s="182" t="inlineStr">
        <is>
          <t>山西京潞新能源有限公司</t>
        </is>
      </c>
      <c r="D830" s="182" t="inlineStr">
        <is>
          <t>ZI029E100151</t>
        </is>
      </c>
      <c r="E830" s="182" t="inlineStr">
        <is>
          <t>山西漳山发电有限责任公司</t>
        </is>
      </c>
      <c r="F830" s="716" t="n"/>
      <c r="G830" s="716" t="n"/>
      <c r="H830" s="462" t="n"/>
    </row>
    <row r="831">
      <c r="A831" s="672" t="inlineStr">
        <is>
          <t>E100172</t>
        </is>
      </c>
      <c r="B831" s="767">
        <f>ROW()</f>
        <v/>
      </c>
      <c r="C831" s="182" t="inlineStr">
        <is>
          <t>山西京能吕临发电有限公司</t>
        </is>
      </c>
      <c r="D831" s="182" t="inlineStr">
        <is>
          <t>ZI029E100145</t>
        </is>
      </c>
      <c r="E831" s="182" t="inlineStr">
        <is>
          <t>北京京能电力股份有限公司</t>
        </is>
      </c>
      <c r="F831" s="716" t="n"/>
      <c r="G831" s="716" t="n"/>
      <c r="H831" s="462" t="n"/>
    </row>
    <row r="832">
      <c r="A832" s="672" t="inlineStr">
        <is>
          <t>E100179</t>
        </is>
      </c>
      <c r="B832" s="767">
        <f>ROW()</f>
        <v/>
      </c>
      <c r="C832" s="182" t="inlineStr">
        <is>
          <t>山西京能售电有限责任公司</t>
        </is>
      </c>
      <c r="D832" s="182" t="inlineStr">
        <is>
          <t>ZI029E100145</t>
        </is>
      </c>
      <c r="E832" s="182" t="inlineStr">
        <is>
          <t>北京京能电力股份有限公司</t>
        </is>
      </c>
      <c r="F832" s="716" t="n"/>
      <c r="G832" s="716" t="n"/>
      <c r="H832" s="462" t="n"/>
    </row>
    <row r="833">
      <c r="A833" s="672" t="inlineStr">
        <is>
          <t>E100164</t>
        </is>
      </c>
      <c r="B833" s="767">
        <f>ROW()</f>
        <v/>
      </c>
      <c r="C833" s="182" t="inlineStr">
        <is>
          <t>山西京同热电有限公司</t>
        </is>
      </c>
      <c r="D833" s="182" t="inlineStr">
        <is>
          <t>ZI029E100145</t>
        </is>
      </c>
      <c r="E833" s="182" t="inlineStr">
        <is>
          <t>北京京能电力股份有限公司</t>
        </is>
      </c>
      <c r="F833" s="716" t="n"/>
      <c r="G833" s="716" t="n"/>
      <c r="H833" s="462" t="n"/>
    </row>
    <row r="834">
      <c r="A834" s="672" t="inlineStr">
        <is>
          <t>E100162</t>
        </is>
      </c>
      <c r="B834" s="767">
        <f>ROW()</f>
        <v/>
      </c>
      <c r="C834" s="182" t="inlineStr">
        <is>
          <t>山西京玉发电有限责任公司</t>
        </is>
      </c>
      <c r="D834" s="182" t="inlineStr">
        <is>
          <t>ZI029E100145</t>
        </is>
      </c>
      <c r="E834" s="182" t="inlineStr">
        <is>
          <t>北京京能电力股份有限公司</t>
        </is>
      </c>
      <c r="F834" s="716" t="n"/>
      <c r="G834" s="716" t="n"/>
      <c r="H834" s="462" t="n"/>
    </row>
    <row r="835">
      <c r="A835" s="672" t="inlineStr">
        <is>
          <t>E10006861</t>
        </is>
      </c>
      <c r="B835" s="767">
        <f>ROW()</f>
        <v/>
      </c>
      <c r="C835" s="182" t="inlineStr">
        <is>
          <t>山西鑫华源智能立体停车设备制造有限责任公司</t>
        </is>
      </c>
      <c r="D835" s="182" t="inlineStr">
        <is>
          <t>ZI029E100332</t>
        </is>
      </c>
      <c r="E835" s="182" t="inlineStr">
        <is>
          <t>北京鑫华源机械制造有限责任公司</t>
        </is>
      </c>
      <c r="F835" s="716" t="n"/>
      <c r="G835" s="716" t="n"/>
      <c r="H835" s="462" t="n"/>
    </row>
    <row r="836">
      <c r="A836" s="672" t="inlineStr">
        <is>
          <t>E100151</t>
        </is>
      </c>
      <c r="B836" s="767">
        <f>ROW()</f>
        <v/>
      </c>
      <c r="C836" s="182" t="inlineStr">
        <is>
          <t>山西漳山发电有限责任公司</t>
        </is>
      </c>
      <c r="D836" s="182" t="inlineStr">
        <is>
          <t>ZI029E100145</t>
        </is>
      </c>
      <c r="E836" s="182" t="inlineStr">
        <is>
          <t>北京京能电力股份有限公司</t>
        </is>
      </c>
      <c r="F836" s="716" t="n"/>
      <c r="G836" s="716" t="n"/>
      <c r="H836" s="462" t="n"/>
    </row>
    <row r="837">
      <c r="A837" s="672" t="inlineStr">
        <is>
          <t>E100033</t>
        </is>
      </c>
      <c r="B837" s="767">
        <f>ROW()</f>
        <v/>
      </c>
      <c r="C837" s="182" t="inlineStr">
        <is>
          <t>尚义京能新能源有限公司</t>
        </is>
      </c>
      <c r="D837" s="182" t="inlineStr">
        <is>
          <t>ZI029E100001</t>
        </is>
      </c>
      <c r="E837" s="182" t="inlineStr">
        <is>
          <t>北京京能清洁能源电力股份有限公司</t>
        </is>
      </c>
      <c r="F837" s="716" t="n"/>
      <c r="G837" s="716" t="n"/>
      <c r="H837" s="462" t="n"/>
    </row>
    <row r="838">
      <c r="A838" s="672" t="inlineStr">
        <is>
          <t>E100712</t>
        </is>
      </c>
      <c r="B838" s="767">
        <f>ROW()</f>
        <v/>
      </c>
      <c r="C838" s="182" t="inlineStr">
        <is>
          <t>尚义县旭蓝新能源科技有限公司</t>
        </is>
      </c>
      <c r="D838" s="182" t="inlineStr">
        <is>
          <t>ZI029E100711</t>
        </is>
      </c>
      <c r="E838" s="182" t="inlineStr">
        <is>
          <t>鄂托克前旗晟日新能源科技有限公司</t>
        </is>
      </c>
      <c r="F838" s="716" t="n"/>
      <c r="G838" s="716" t="n"/>
      <c r="H838" s="462" t="n"/>
    </row>
    <row r="839">
      <c r="A839" s="672" t="inlineStr">
        <is>
          <t>E100917</t>
        </is>
      </c>
      <c r="B839" s="767">
        <f>ROW()</f>
        <v/>
      </c>
      <c r="C839" s="182" t="inlineStr">
        <is>
          <t>绍兴昱耀新能源科技有限公司</t>
        </is>
      </c>
      <c r="D839" s="182" t="inlineStr">
        <is>
          <t>ZI029E100908</t>
        </is>
      </c>
      <c r="E839" s="182" t="inlineStr">
        <is>
          <t>北京通力日昇新能源科技有限公司</t>
        </is>
      </c>
      <c r="F839" s="716" t="n"/>
      <c r="G839" s="716" t="n"/>
      <c r="H839" s="462" t="n"/>
    </row>
    <row r="840">
      <c r="A840" s="672" t="inlineStr">
        <is>
          <t>E100557</t>
        </is>
      </c>
      <c r="B840" s="767">
        <f>ROW()</f>
        <v/>
      </c>
      <c r="C840" s="182" t="inlineStr">
        <is>
          <t>深圳京能清洁能源融资租赁有限公司</t>
        </is>
      </c>
      <c r="D840" s="182" t="inlineStr">
        <is>
          <t>ZI029E100543</t>
        </is>
      </c>
      <c r="E840" s="182" t="inlineStr">
        <is>
          <t>北京京能清洁能源电力股份（香港）有限公司</t>
        </is>
      </c>
      <c r="F840" s="716" t="n"/>
      <c r="G840" s="716" t="n"/>
      <c r="H840" s="462" t="n"/>
    </row>
    <row r="841">
      <c r="A841" s="672" t="inlineStr">
        <is>
          <t>E100107</t>
        </is>
      </c>
      <c r="B841" s="767">
        <f>ROW()</f>
        <v/>
      </c>
      <c r="C841" s="182" t="inlineStr">
        <is>
          <t>深圳京能融资租赁有限公司</t>
        </is>
      </c>
      <c r="D841" s="182" t="inlineStr">
        <is>
          <t>ZI029E100000</t>
        </is>
      </c>
      <c r="E841" s="182" t="inlineStr">
        <is>
          <t>北京能源集团有限责任公司</t>
        </is>
      </c>
      <c r="F841" s="716" t="n"/>
      <c r="G841" s="716" t="n"/>
      <c r="H841" s="462" t="n"/>
    </row>
    <row r="842">
      <c r="A842" s="672" t="inlineStr">
        <is>
          <t>E100107</t>
        </is>
      </c>
      <c r="B842" s="767">
        <f>ROW()</f>
        <v/>
      </c>
      <c r="C842" s="182" t="inlineStr">
        <is>
          <t>深圳京能融资租赁有限公司</t>
        </is>
      </c>
      <c r="D842" s="182" t="inlineStr">
        <is>
          <t>ZI029E100559</t>
        </is>
      </c>
      <c r="E842" s="182" t="inlineStr">
        <is>
          <t>北京能源投资集团（香港）有限公司</t>
        </is>
      </c>
      <c r="F842" s="716" t="n"/>
      <c r="G842" s="716" t="n"/>
      <c r="H842" s="462" t="n"/>
    </row>
    <row r="843">
      <c r="A843" s="672" t="inlineStr">
        <is>
          <t>E100107</t>
        </is>
      </c>
      <c r="B843" s="767">
        <f>ROW()</f>
        <v/>
      </c>
      <c r="C843" s="182" t="inlineStr">
        <is>
          <t>深圳京能融资租赁有限公司</t>
        </is>
      </c>
      <c r="D843" s="182" t="inlineStr">
        <is>
          <t>ZI029E100001</t>
        </is>
      </c>
      <c r="E843" s="182" t="inlineStr">
        <is>
          <t>北京京能清洁能源电力股份有限公司</t>
        </is>
      </c>
      <c r="F843" s="716" t="n"/>
      <c r="G843" s="716" t="n"/>
      <c r="H843" s="462" t="n"/>
    </row>
    <row r="844">
      <c r="A844" s="672" t="inlineStr">
        <is>
          <t>E101070</t>
        </is>
      </c>
      <c r="B844" s="767">
        <f>ROW()</f>
        <v/>
      </c>
      <c r="C844" s="182" t="inlineStr">
        <is>
          <t>深圳市前海毓华清洁能源投资有限公司</t>
        </is>
      </c>
      <c r="D844" s="182" t="inlineStr">
        <is>
          <t>ZI029E100730</t>
        </is>
      </c>
      <c r="E844" s="182" t="inlineStr">
        <is>
          <t>京能国际能源发展（北京）有限公司</t>
        </is>
      </c>
      <c r="F844" s="716" t="n"/>
      <c r="G844" s="716" t="n"/>
      <c r="H844" s="462" t="n"/>
    </row>
    <row r="845">
      <c r="A845" s="672" t="inlineStr">
        <is>
          <t>E100011</t>
        </is>
      </c>
      <c r="B845" s="767">
        <f>ROW()</f>
        <v/>
      </c>
      <c r="C845" s="182" t="inlineStr">
        <is>
          <t>深圳钰湖电力有限公司</t>
        </is>
      </c>
      <c r="D845" s="182" t="inlineStr">
        <is>
          <t>ZI029E100000</t>
        </is>
      </c>
      <c r="E845" s="182" t="inlineStr">
        <is>
          <t>北京能源集团有限责任公司</t>
        </is>
      </c>
      <c r="F845" s="716" t="n"/>
      <c r="G845" s="716" t="n"/>
      <c r="H845" s="462" t="n"/>
    </row>
    <row r="846">
      <c r="A846" s="672" t="inlineStr">
        <is>
          <t>E100025</t>
        </is>
      </c>
      <c r="B846" s="767">
        <f>ROW()</f>
        <v/>
      </c>
      <c r="C846" s="182" t="inlineStr">
        <is>
          <t>深州电阳新能源有限公司</t>
        </is>
      </c>
      <c r="D846" s="182" t="inlineStr">
        <is>
          <t>ZI029E100001</t>
        </is>
      </c>
      <c r="E846" s="182" t="inlineStr">
        <is>
          <t>北京京能清洁能源电力股份有限公司</t>
        </is>
      </c>
      <c r="F846" s="716" t="n"/>
      <c r="G846" s="716" t="n"/>
      <c r="H846" s="462" t="n"/>
    </row>
    <row r="847">
      <c r="A847" s="672" t="inlineStr">
        <is>
          <t>E100965</t>
        </is>
      </c>
      <c r="B847" s="767">
        <f>ROW()</f>
        <v/>
      </c>
      <c r="C847" s="182" t="inlineStr">
        <is>
          <t>石拐丝绸之路光伏发电有限公司</t>
        </is>
      </c>
      <c r="D847" s="182" t="inlineStr">
        <is>
          <t>ZI029E100963</t>
        </is>
      </c>
      <c r="E847" s="182" t="inlineStr">
        <is>
          <t>丝绸之路新能源（常州）有限公司</t>
        </is>
      </c>
      <c r="F847" s="716" t="n"/>
      <c r="G847" s="716" t="n"/>
      <c r="H847" s="462" t="n"/>
    </row>
    <row r="848">
      <c r="A848" s="672" t="inlineStr">
        <is>
          <t>E100084</t>
        </is>
      </c>
      <c r="B848" s="767">
        <f>ROW()</f>
        <v/>
      </c>
      <c r="C848" s="182" t="inlineStr">
        <is>
          <t>寿阳京寿光伏发电有限公司</t>
        </is>
      </c>
      <c r="D848" s="182" t="inlineStr">
        <is>
          <t>ZI029E100001</t>
        </is>
      </c>
      <c r="E848" s="182" t="inlineStr">
        <is>
          <t>北京京能清洁能源电力股份有限公司</t>
        </is>
      </c>
      <c r="F848" s="716" t="n"/>
      <c r="G848" s="716" t="n"/>
      <c r="H848" s="462" t="n"/>
    </row>
    <row r="849">
      <c r="A849" s="672" t="inlineStr">
        <is>
          <t>E100084</t>
        </is>
      </c>
      <c r="B849" s="767">
        <f>ROW()</f>
        <v/>
      </c>
      <c r="C849" s="182" t="inlineStr">
        <is>
          <t>寿阳京寿光伏发电有限公司</t>
        </is>
      </c>
      <c r="D849" s="182" t="inlineStr">
        <is>
          <t>ZI029E101160</t>
        </is>
      </c>
      <c r="E849" s="182" t="inlineStr">
        <is>
          <t>横峰县晶能电力有限公司</t>
        </is>
      </c>
      <c r="F849" s="716" t="n"/>
      <c r="G849" s="716" t="n"/>
      <c r="H849" s="462" t="n"/>
    </row>
    <row r="850">
      <c r="A850" s="672" t="inlineStr">
        <is>
          <t>E101064</t>
        </is>
      </c>
      <c r="B850" s="767">
        <f>ROW()</f>
        <v/>
      </c>
      <c r="C850" s="182" t="inlineStr">
        <is>
          <t>朔州市平鲁区红沟风电有限公司</t>
        </is>
      </c>
      <c r="D850" s="182" t="inlineStr">
        <is>
          <t>ZI029E100730</t>
        </is>
      </c>
      <c r="E850" s="182" t="inlineStr">
        <is>
          <t>京能国际能源发展（北京）有限公司</t>
        </is>
      </c>
      <c r="F850" s="716" t="n"/>
      <c r="G850" s="716" t="n"/>
      <c r="H850" s="462" t="n"/>
    </row>
    <row r="851">
      <c r="A851" s="716" t="inlineStr">
        <is>
          <t>E101064</t>
        </is>
      </c>
      <c r="B851" s="767">
        <f>ROW()</f>
        <v/>
      </c>
      <c r="C851" s="182" t="inlineStr">
        <is>
          <t>朔州市平鲁区红沟风电有限公司</t>
        </is>
      </c>
      <c r="D851" s="182" t="inlineStr">
        <is>
          <t>ZI029E101336</t>
        </is>
      </c>
      <c r="E851" s="182" t="inlineStr">
        <is>
          <t>盛唐贰号（天津）企业管理合伙企业（有限合伙）</t>
        </is>
      </c>
      <c r="F851" s="716" t="n"/>
      <c r="G851" s="716" t="n"/>
      <c r="H851" s="462" t="n"/>
    </row>
    <row r="852">
      <c r="A852" s="672" t="inlineStr">
        <is>
          <t>E100963</t>
        </is>
      </c>
      <c r="B852" s="767">
        <f>ROW()</f>
        <v/>
      </c>
      <c r="C852" s="182" t="inlineStr">
        <is>
          <t>丝绸之路新能源（常州）有限公司</t>
        </is>
      </c>
      <c r="D852" s="182" t="inlineStr">
        <is>
          <t>ZI029E100734</t>
        </is>
      </c>
      <c r="E852" s="182" t="inlineStr">
        <is>
          <t>联合光伏（常州）投资集团有限公司</t>
        </is>
      </c>
      <c r="F852" s="716" t="n"/>
      <c r="G852" s="716" t="n"/>
      <c r="H852" s="462" t="n"/>
    </row>
    <row r="853">
      <c r="A853" s="672" t="inlineStr">
        <is>
          <t>E101016</t>
        </is>
      </c>
      <c r="B853" s="767">
        <f>ROW()</f>
        <v/>
      </c>
      <c r="C853" s="182" t="inlineStr">
        <is>
          <t>丝绸之路招商新能源（常州）有限公司</t>
        </is>
      </c>
      <c r="D853" s="182" t="inlineStr">
        <is>
          <t>ZI029E101015</t>
        </is>
      </c>
      <c r="E853" s="182" t="inlineStr">
        <is>
          <t>New Light Assets Limited</t>
        </is>
      </c>
      <c r="F853" s="716" t="n"/>
      <c r="G853" s="716" t="n"/>
      <c r="H853" s="462" t="n"/>
    </row>
    <row r="854">
      <c r="A854" s="672" t="inlineStr">
        <is>
          <t>E100096</t>
        </is>
      </c>
      <c r="B854" s="767">
        <f>ROW()</f>
        <v/>
      </c>
      <c r="C854" s="182" t="inlineStr">
        <is>
          <t>四川大川电力有限公司</t>
        </is>
      </c>
      <c r="D854" s="182" t="inlineStr">
        <is>
          <t>ZI029E100001</t>
        </is>
      </c>
      <c r="E854" s="182" t="inlineStr">
        <is>
          <t>北京京能清洁能源电力股份有限公司</t>
        </is>
      </c>
      <c r="F854" s="716" t="n"/>
      <c r="G854" s="716" t="n"/>
      <c r="H854" s="462" t="n"/>
    </row>
    <row r="855">
      <c r="A855" s="672" t="inlineStr">
        <is>
          <t>E100737</t>
        </is>
      </c>
      <c r="B855" s="767">
        <f>ROW()</f>
        <v/>
      </c>
      <c r="C855" s="182" t="inlineStr">
        <is>
          <t>四川联合光伏有限公司</t>
        </is>
      </c>
      <c r="D855" s="182" t="inlineStr">
        <is>
          <t>ZI029E100963</t>
        </is>
      </c>
      <c r="E855" s="182" t="inlineStr">
        <is>
          <t>丝绸之路新能源（常州）有限公司</t>
        </is>
      </c>
      <c r="F855" s="716" t="n"/>
      <c r="G855" s="716" t="n"/>
      <c r="H855" s="462" t="n"/>
    </row>
    <row r="856">
      <c r="A856" s="672" t="inlineStr">
        <is>
          <t>E100097</t>
        </is>
      </c>
      <c r="B856" s="767">
        <f>ROW()</f>
        <v/>
      </c>
      <c r="C856" s="182" t="inlineStr">
        <is>
          <t>四川众能电力有限公司</t>
        </is>
      </c>
      <c r="D856" s="182" t="inlineStr">
        <is>
          <t>ZI029E100001</t>
        </is>
      </c>
      <c r="E856" s="182" t="inlineStr">
        <is>
          <t>北京京能清洁能源电力股份有限公司</t>
        </is>
      </c>
      <c r="F856" s="716" t="n"/>
      <c r="G856" s="716" t="n"/>
      <c r="H856" s="462" t="n"/>
    </row>
    <row r="857">
      <c r="A857" s="672" t="inlineStr">
        <is>
          <t>E100826</t>
        </is>
      </c>
      <c r="B857" s="767">
        <f>ROW()</f>
        <v/>
      </c>
      <c r="C857" s="182" t="inlineStr">
        <is>
          <t>宿迁市宿豫区宏旭新能源科技有限公司</t>
        </is>
      </c>
      <c r="D857" s="182" t="inlineStr">
        <is>
          <t>ZI029E100371</t>
        </is>
      </c>
      <c r="E857" s="182" t="inlineStr">
        <is>
          <t>北京京能科技有限公司</t>
        </is>
      </c>
      <c r="F857" s="716" t="n"/>
      <c r="G857" s="716" t="n"/>
      <c r="H857" s="462" t="n"/>
    </row>
    <row r="858">
      <c r="A858" s="672" t="inlineStr">
        <is>
          <t>E100827</t>
        </is>
      </c>
      <c r="B858" s="767">
        <f>ROW()</f>
        <v/>
      </c>
      <c r="C858" s="182" t="inlineStr">
        <is>
          <t>台州德鸿新能源科技有限公司</t>
        </is>
      </c>
      <c r="D858" s="182" t="inlineStr">
        <is>
          <t>ZI029E100371</t>
        </is>
      </c>
      <c r="E858" s="182" t="inlineStr">
        <is>
          <t>北京京能科技有限公司</t>
        </is>
      </c>
      <c r="F858" s="716" t="n"/>
      <c r="G858" s="716" t="n"/>
      <c r="H858" s="462" t="n"/>
    </row>
    <row r="859">
      <c r="A859" s="672" t="inlineStr">
        <is>
          <t>E100219</t>
        </is>
      </c>
      <c r="B859" s="767">
        <f>ROW()</f>
        <v/>
      </c>
      <c r="C859" s="182" t="inlineStr">
        <is>
          <t>唐山京曹天然气有限公司</t>
        </is>
      </c>
      <c r="D859" s="182" t="inlineStr">
        <is>
          <t>ZI029E100218</t>
        </is>
      </c>
      <c r="E859" s="182" t="inlineStr">
        <is>
          <t>北京京能油气资源开发有限公司</t>
        </is>
      </c>
      <c r="F859" s="716" t="n"/>
      <c r="G859" s="716" t="n"/>
      <c r="H859" s="462" t="n"/>
    </row>
    <row r="860">
      <c r="A860" s="672" t="inlineStr">
        <is>
          <t>E100903</t>
        </is>
      </c>
      <c r="B860" s="767">
        <f>ROW()</f>
        <v/>
      </c>
      <c r="C860" s="182" t="inlineStr">
        <is>
          <t>唐山招新生态农业开发有限公司</t>
        </is>
      </c>
      <c r="D860" s="182" t="inlineStr">
        <is>
          <t>ZI029E100902</t>
        </is>
      </c>
      <c r="E860" s="182" t="inlineStr">
        <is>
          <t>张家口丝绸之路新能源有限公司</t>
        </is>
      </c>
      <c r="F860" s="716" t="n"/>
      <c r="G860" s="716" t="n"/>
      <c r="H860" s="462" t="n"/>
    </row>
    <row r="861">
      <c r="A861" s="672" t="inlineStr">
        <is>
          <t>E100945</t>
        </is>
      </c>
      <c r="B861" s="767">
        <f>ROW()</f>
        <v/>
      </c>
      <c r="C861" s="182" t="inlineStr">
        <is>
          <t>唐山招新太阳能发电有限公司</t>
        </is>
      </c>
      <c r="D861" s="182" t="inlineStr">
        <is>
          <t>ZI029E100944</t>
        </is>
      </c>
      <c r="E861" s="182" t="inlineStr">
        <is>
          <t>招新诺能（常州）新能源有限公司</t>
        </is>
      </c>
      <c r="F861" s="716" t="n"/>
      <c r="G861" s="716" t="n"/>
      <c r="H861" s="462" t="n"/>
    </row>
    <row r="862">
      <c r="A862" s="672" t="inlineStr">
        <is>
          <t>E100100</t>
        </is>
      </c>
      <c r="B862" s="767">
        <f>ROW()</f>
        <v/>
      </c>
      <c r="C862" s="182" t="inlineStr">
        <is>
          <t>腾冲县猴桥永兴河水电开发有限公司</t>
        </is>
      </c>
      <c r="D862" s="182" t="inlineStr">
        <is>
          <t>ZI029E100001</t>
        </is>
      </c>
      <c r="E862" s="182" t="inlineStr">
        <is>
          <t>北京京能清洁能源电力股份有限公司</t>
        </is>
      </c>
      <c r="F862" s="716" t="n"/>
      <c r="G862" s="716" t="n"/>
      <c r="H862" s="462" t="n"/>
    </row>
    <row r="863">
      <c r="A863" s="672" t="inlineStr">
        <is>
          <t>E100844</t>
        </is>
      </c>
      <c r="B863" s="767">
        <f>ROW()</f>
        <v/>
      </c>
      <c r="C863" s="182" t="inlineStr">
        <is>
          <t>天津津南京能清洁能源有限公司</t>
        </is>
      </c>
      <c r="D863" s="182" t="inlineStr">
        <is>
          <t>ZI029E100001</t>
        </is>
      </c>
      <c r="E863" s="182" t="inlineStr">
        <is>
          <t>北京京能清洁能源电力股份有限公司</t>
        </is>
      </c>
      <c r="F863" s="716" t="n"/>
      <c r="G863" s="716" t="n"/>
      <c r="H863" s="462" t="n"/>
    </row>
    <row r="864">
      <c r="A864" s="672" t="inlineStr">
        <is>
          <t>E100442</t>
        </is>
      </c>
      <c r="B864" s="767">
        <f>ROW()</f>
        <v/>
      </c>
      <c r="C864" s="182" t="inlineStr">
        <is>
          <t>天津津浦伟业地产有限公司</t>
        </is>
      </c>
      <c r="D864" s="182" t="inlineStr">
        <is>
          <t>ZI029E100421</t>
        </is>
      </c>
      <c r="E864" s="182" t="inlineStr">
        <is>
          <t>北京金泰房地产开发有限责任公司</t>
        </is>
      </c>
      <c r="F864" s="716" t="n"/>
      <c r="G864" s="716" t="n"/>
      <c r="H864" s="462" t="n"/>
    </row>
    <row r="865">
      <c r="A865" s="672" t="inlineStr">
        <is>
          <t>E100037</t>
        </is>
      </c>
      <c r="B865" s="767">
        <f>ROW()</f>
        <v/>
      </c>
      <c r="C865" s="182" t="inlineStr">
        <is>
          <t>天津京河新能源有限公司</t>
        </is>
      </c>
      <c r="D865" s="182" t="inlineStr">
        <is>
          <t>ZI029E100001</t>
        </is>
      </c>
      <c r="E865" s="182" t="inlineStr">
        <is>
          <t>北京京能清洁能源电力股份有限公司</t>
        </is>
      </c>
      <c r="F865" s="716" t="n"/>
      <c r="G865" s="716" t="n"/>
      <c r="H865" s="462" t="n"/>
    </row>
    <row r="866">
      <c r="A866" s="672" t="inlineStr">
        <is>
          <t>E100818</t>
        </is>
      </c>
      <c r="B866" s="767">
        <f>ROW()</f>
        <v/>
      </c>
      <c r="C866" s="182" t="inlineStr">
        <is>
          <t>天津京能东棘坨清洁能源有限公司</t>
        </is>
      </c>
      <c r="D866" s="182" t="inlineStr">
        <is>
          <t>ZI029E100001</t>
        </is>
      </c>
      <c r="E866" s="182" t="inlineStr">
        <is>
          <t>北京京能清洁能源电力股份有限公司</t>
        </is>
      </c>
      <c r="F866" s="716" t="n"/>
      <c r="G866" s="716" t="n"/>
      <c r="H866" s="462" t="n"/>
    </row>
    <row r="867">
      <c r="A867" s="672" t="inlineStr">
        <is>
          <t>E100038</t>
        </is>
      </c>
      <c r="B867" s="767">
        <f>ROW()</f>
        <v/>
      </c>
      <c r="C867" s="182" t="inlineStr">
        <is>
          <t>天津京能新能源有限公司</t>
        </is>
      </c>
      <c r="D867" s="182" t="inlineStr">
        <is>
          <t>ZI029E100001</t>
        </is>
      </c>
      <c r="E867" s="182" t="inlineStr">
        <is>
          <t>北京京能清洁能源电力股份有限公司</t>
        </is>
      </c>
      <c r="F867" s="716" t="n"/>
      <c r="G867" s="716" t="n"/>
      <c r="H867" s="462" t="n"/>
    </row>
    <row r="868">
      <c r="A868" s="672" t="inlineStr">
        <is>
          <t>E100019</t>
        </is>
      </c>
      <c r="B868" s="767">
        <f>ROW()</f>
        <v/>
      </c>
      <c r="C868" s="182" t="inlineStr">
        <is>
          <t>天津团泊明瑞新能源有限公司</t>
        </is>
      </c>
      <c r="D868" s="182" t="inlineStr">
        <is>
          <t>ZI029E100001</t>
        </is>
      </c>
      <c r="E868" s="182" t="inlineStr">
        <is>
          <t>北京京能清洁能源电力股份有限公司</t>
        </is>
      </c>
      <c r="F868" s="716" t="n"/>
      <c r="G868" s="716" t="n"/>
      <c r="H868" s="462" t="n"/>
    </row>
    <row r="869">
      <c r="A869" s="672" t="inlineStr">
        <is>
          <t>E100018</t>
        </is>
      </c>
      <c r="B869" s="767">
        <f>ROW()</f>
        <v/>
      </c>
      <c r="C869" s="182" t="inlineStr">
        <is>
          <t>天津团泊昱合光伏科技有限公司</t>
        </is>
      </c>
      <c r="D869" s="182" t="inlineStr">
        <is>
          <t>ZI029E100001</t>
        </is>
      </c>
      <c r="E869" s="182" t="inlineStr">
        <is>
          <t>北京京能清洁能源电力股份有限公司</t>
        </is>
      </c>
      <c r="F869" s="716" t="n"/>
      <c r="G869" s="716" t="n"/>
      <c r="H869" s="462" t="n"/>
    </row>
    <row r="870">
      <c r="A870" s="672" t="inlineStr">
        <is>
          <t>E100021</t>
        </is>
      </c>
      <c r="B870" s="767">
        <f>ROW()</f>
        <v/>
      </c>
      <c r="C870" s="182" t="inlineStr">
        <is>
          <t>天津团泊昱宏光伏科技有限公司</t>
        </is>
      </c>
      <c r="D870" s="182" t="inlineStr">
        <is>
          <t>ZI029E100001</t>
        </is>
      </c>
      <c r="E870" s="182" t="inlineStr">
        <is>
          <t>北京京能清洁能源电力股份有限公司</t>
        </is>
      </c>
      <c r="F870" s="716" t="n"/>
      <c r="G870" s="716" t="n"/>
      <c r="H870" s="462" t="n"/>
    </row>
    <row r="871">
      <c r="A871" s="672" t="inlineStr">
        <is>
          <t>E100020</t>
        </is>
      </c>
      <c r="B871" s="767">
        <f>ROW()</f>
        <v/>
      </c>
      <c r="C871" s="182" t="inlineStr">
        <is>
          <t>天津团泊昱隆光伏科技有限公司</t>
        </is>
      </c>
      <c r="D871" s="182" t="inlineStr">
        <is>
          <t>ZI029E100001</t>
        </is>
      </c>
      <c r="E871" s="182" t="inlineStr">
        <is>
          <t>北京京能清洁能源电力股份有限公司</t>
        </is>
      </c>
      <c r="F871" s="716" t="n"/>
      <c r="G871" s="716" t="n"/>
      <c r="H871" s="462" t="n"/>
    </row>
    <row r="872">
      <c r="A872" s="672" t="inlineStr">
        <is>
          <t>E100022</t>
        </is>
      </c>
      <c r="B872" s="767">
        <f>ROW()</f>
        <v/>
      </c>
      <c r="C872" s="182" t="inlineStr">
        <is>
          <t>天津永能光伏发电有限公司</t>
        </is>
      </c>
      <c r="D872" s="182" t="inlineStr">
        <is>
          <t>ZI029E100001</t>
        </is>
      </c>
      <c r="E872" s="182" t="inlineStr">
        <is>
          <t>北京京能清洁能源电力股份有限公司</t>
        </is>
      </c>
      <c r="F872" s="716" t="n"/>
      <c r="G872" s="716" t="n"/>
      <c r="H872" s="462" t="n"/>
    </row>
    <row r="873">
      <c r="A873" s="672" t="inlineStr">
        <is>
          <t>E100385</t>
        </is>
      </c>
      <c r="B873" s="767">
        <f>ROW()</f>
        <v/>
      </c>
      <c r="C873" s="182" t="inlineStr">
        <is>
          <t>桐乡科茂新能源有限公司</t>
        </is>
      </c>
      <c r="D873" s="182" t="inlineStr">
        <is>
          <t>ZI029E100371</t>
        </is>
      </c>
      <c r="E873" s="182" t="inlineStr">
        <is>
          <t>北京京能科技有限公司</t>
        </is>
      </c>
      <c r="F873" s="716" t="n"/>
      <c r="G873" s="716" t="n"/>
      <c r="H873" s="462" t="n"/>
    </row>
    <row r="874">
      <c r="A874" s="672" t="inlineStr">
        <is>
          <t>E100483</t>
        </is>
      </c>
      <c r="B874" s="767">
        <f>ROW()</f>
        <v/>
      </c>
      <c r="C874" s="182" t="inlineStr">
        <is>
          <t>投资北京国际有限公司</t>
        </is>
      </c>
      <c r="D874" s="182" t="inlineStr">
        <is>
          <t>ZI029E100000</t>
        </is>
      </c>
      <c r="E874" s="182" t="inlineStr">
        <is>
          <t>北京能源集团有限责任公司</t>
        </is>
      </c>
      <c r="F874" s="716" t="n"/>
      <c r="G874" s="716" t="n"/>
      <c r="H874" s="462" t="n"/>
    </row>
    <row r="875">
      <c r="A875" s="672" t="inlineStr">
        <is>
          <t>E100556</t>
        </is>
      </c>
      <c r="B875" s="767">
        <f>ROW()</f>
        <v/>
      </c>
      <c r="C875" s="182" t="inlineStr">
        <is>
          <t>投资北京投资顾问有限公司</t>
        </is>
      </c>
      <c r="D875" s="182" t="inlineStr">
        <is>
          <t>ZI029E100483</t>
        </is>
      </c>
      <c r="E875" s="182" t="inlineStr">
        <is>
          <t>投资北京国际有限公司</t>
        </is>
      </c>
      <c r="F875" s="716" t="n"/>
      <c r="G875" s="716" t="n"/>
      <c r="H875" s="462" t="n"/>
    </row>
    <row r="876">
      <c r="A876" s="672" t="inlineStr">
        <is>
          <t>E100964</t>
        </is>
      </c>
      <c r="B876" s="767">
        <f>ROW()</f>
        <v/>
      </c>
      <c r="C876" s="182" t="inlineStr">
        <is>
          <t>吐鲁番禾粟农业科技有限公司</t>
        </is>
      </c>
      <c r="D876" s="182" t="inlineStr">
        <is>
          <t>ZI029E100963</t>
        </is>
      </c>
      <c r="E876" s="182" t="inlineStr">
        <is>
          <t>丝绸之路新能源（常州）有限公司</t>
        </is>
      </c>
      <c r="F876" s="716" t="n"/>
      <c r="G876" s="716" t="n"/>
      <c r="H876" s="462" t="n"/>
    </row>
    <row r="877">
      <c r="A877" s="672" t="inlineStr">
        <is>
          <t>E100751</t>
        </is>
      </c>
      <c r="B877" s="767">
        <f>ROW()</f>
        <v/>
      </c>
      <c r="C877" s="182" t="inlineStr">
        <is>
          <t>吐鲁番中利腾晖光伏发电有限公司</t>
        </is>
      </c>
      <c r="D877" s="182" t="inlineStr">
        <is>
          <t>ZI029E101004</t>
        </is>
      </c>
      <c r="E877" s="182" t="inlineStr">
        <is>
          <t>绿联新能源（常州）有限公司</t>
        </is>
      </c>
      <c r="F877" s="716" t="n"/>
      <c r="G877" s="716" t="n"/>
      <c r="H877" s="462" t="n"/>
    </row>
    <row r="878">
      <c r="A878" s="672" t="inlineStr">
        <is>
          <t>E100948</t>
        </is>
      </c>
      <c r="B878" s="767">
        <f>ROW()</f>
        <v/>
      </c>
      <c r="C878" s="182" t="inlineStr">
        <is>
          <t>威县天海光伏发电有限公司</t>
        </is>
      </c>
      <c r="D878" s="182" t="inlineStr">
        <is>
          <t>ZI029E100730</t>
        </is>
      </c>
      <c r="E878" s="182" t="inlineStr">
        <is>
          <t>京能国际能源发展（北京）有限公司</t>
        </is>
      </c>
      <c r="F878" s="716" t="n"/>
      <c r="G878" s="716" t="n"/>
      <c r="H878" s="462" t="n"/>
    </row>
    <row r="879">
      <c r="A879" s="672" t="inlineStr">
        <is>
          <t>E100809</t>
        </is>
      </c>
      <c r="B879" s="767">
        <f>ROW()</f>
        <v/>
      </c>
      <c r="C879" s="182" t="inlineStr">
        <is>
          <t>文安县京能新能源有限公司</t>
        </is>
      </c>
      <c r="D879" s="182" t="inlineStr">
        <is>
          <t>ZI029E100001</t>
        </is>
      </c>
      <c r="E879" s="182" t="inlineStr">
        <is>
          <t>北京京能清洁能源电力股份有限公司</t>
        </is>
      </c>
      <c r="F879" s="716" t="n"/>
      <c r="G879" s="716" t="n"/>
      <c r="H879" s="462" t="n"/>
    </row>
    <row r="880">
      <c r="A880" s="672" t="inlineStr">
        <is>
          <t>E100939</t>
        </is>
      </c>
      <c r="B880" s="767">
        <f>ROW()</f>
        <v/>
      </c>
      <c r="C880" s="182" t="inlineStr">
        <is>
          <t>乌拉特后旗源海新能源有限责任公司</t>
        </is>
      </c>
      <c r="D880" s="182" t="inlineStr">
        <is>
          <t>ZI029E100730</t>
        </is>
      </c>
      <c r="E880" s="182" t="inlineStr">
        <is>
          <t>京能国际能源发展（北京）有限公司</t>
        </is>
      </c>
      <c r="F880" s="716" t="n"/>
      <c r="G880" s="716" t="n"/>
      <c r="H880" s="462" t="n"/>
    </row>
    <row r="881">
      <c r="A881" s="672" t="inlineStr">
        <is>
          <t>E100031</t>
        </is>
      </c>
      <c r="B881" s="767">
        <f>ROW()</f>
        <v/>
      </c>
      <c r="C881" s="182" t="inlineStr">
        <is>
          <t>五家渠京能新能源有限责任公司</t>
        </is>
      </c>
      <c r="D881" s="182" t="inlineStr">
        <is>
          <t>ZI029E100001</t>
        </is>
      </c>
      <c r="E881" s="182" t="inlineStr">
        <is>
          <t>北京京能清洁能源电力股份有限公司</t>
        </is>
      </c>
      <c r="F881" s="716" t="n"/>
      <c r="G881" s="716" t="n"/>
      <c r="H881" s="462" t="n"/>
    </row>
    <row r="882">
      <c r="A882" s="672" t="inlineStr">
        <is>
          <t>E100779</t>
        </is>
      </c>
      <c r="B882" s="767">
        <f>ROW()</f>
        <v/>
      </c>
      <c r="C882" s="182" t="inlineStr">
        <is>
          <t>五家渠利商光伏电力有限公司</t>
        </is>
      </c>
      <c r="D882" s="182" t="inlineStr">
        <is>
          <t>ZI029E101017</t>
        </is>
      </c>
      <c r="E882" s="182" t="inlineStr">
        <is>
          <t>常州新光新能源有限公司</t>
        </is>
      </c>
      <c r="F882" s="716" t="n"/>
      <c r="G882" s="716" t="n"/>
      <c r="H882" s="462" t="n"/>
    </row>
    <row r="883">
      <c r="A883" s="672" t="inlineStr">
        <is>
          <t>E100738</t>
        </is>
      </c>
      <c r="B883" s="767">
        <f>ROW()</f>
        <v/>
      </c>
      <c r="C883" s="182" t="inlineStr">
        <is>
          <t>西藏藏能股份有限公司</t>
        </is>
      </c>
      <c r="D883" s="182" t="inlineStr">
        <is>
          <t>ZI029E101034</t>
        </is>
      </c>
      <c r="E883" s="182" t="inlineStr">
        <is>
          <t>西藏顺吉新能源科技有限公司</t>
        </is>
      </c>
      <c r="F883" s="716" t="n"/>
      <c r="G883" s="716" t="n"/>
      <c r="H883" s="462" t="n"/>
    </row>
    <row r="884">
      <c r="A884" s="672" t="inlineStr">
        <is>
          <t>E101037</t>
        </is>
      </c>
      <c r="B884" s="767">
        <f>ROW()</f>
        <v/>
      </c>
      <c r="C884" s="182" t="inlineStr">
        <is>
          <t>西藏昌都藏能新能源开发有限公司</t>
        </is>
      </c>
      <c r="D884" s="182" t="inlineStr">
        <is>
          <t>ZI029E100738</t>
        </is>
      </c>
      <c r="E884" s="182" t="inlineStr">
        <is>
          <t>西藏藏能股份有限公司</t>
        </is>
      </c>
      <c r="F884" s="716" t="n"/>
      <c r="G884" s="716" t="n"/>
      <c r="H884" s="462" t="n"/>
    </row>
    <row r="885">
      <c r="A885" s="672" t="inlineStr">
        <is>
          <t>E101036</t>
        </is>
      </c>
      <c r="B885" s="767">
        <f>ROW()</f>
        <v/>
      </c>
      <c r="C885" s="182" t="inlineStr">
        <is>
          <t>西藏林芝藏能拉月曲水电开发有限责任公司</t>
        </is>
      </c>
      <c r="D885" s="182" t="inlineStr">
        <is>
          <t>ZI029E100738</t>
        </is>
      </c>
      <c r="E885" s="182" t="inlineStr">
        <is>
          <t>西藏藏能股份有限公司</t>
        </is>
      </c>
      <c r="F885" s="716" t="n"/>
      <c r="G885" s="716" t="n"/>
      <c r="H885" s="462" t="n"/>
    </row>
    <row r="886">
      <c r="A886" s="672" t="inlineStr">
        <is>
          <t>E101035</t>
        </is>
      </c>
      <c r="B886" s="767">
        <f>ROW()</f>
        <v/>
      </c>
      <c r="C886" s="182" t="inlineStr">
        <is>
          <t>西藏林周县藏能新能源开发有限公司</t>
        </is>
      </c>
      <c r="D886" s="182" t="inlineStr">
        <is>
          <t>ZI029E100738</t>
        </is>
      </c>
      <c r="E886" s="182" t="inlineStr">
        <is>
          <t>西藏藏能股份有限公司</t>
        </is>
      </c>
      <c r="F886" s="716" t="n"/>
      <c r="G886" s="716" t="n"/>
      <c r="H886" s="462" t="n"/>
    </row>
    <row r="887">
      <c r="A887" s="672" t="inlineStr">
        <is>
          <t>E100788</t>
        </is>
      </c>
      <c r="B887" s="767">
        <f>ROW()</f>
        <v/>
      </c>
      <c r="C887" s="182" t="inlineStr">
        <is>
          <t>西藏尼木县藏能新能源开发有限公司</t>
        </is>
      </c>
      <c r="D887" s="182" t="inlineStr">
        <is>
          <t>ZI029E100738</t>
        </is>
      </c>
      <c r="E887" s="182" t="inlineStr">
        <is>
          <t>西藏藏能股份有限公司</t>
        </is>
      </c>
      <c r="F887" s="716" t="n"/>
      <c r="G887" s="716" t="n"/>
      <c r="H887" s="462" t="n"/>
    </row>
    <row r="888">
      <c r="A888" s="672" t="inlineStr">
        <is>
          <t>E100864</t>
        </is>
      </c>
      <c r="B888" s="767">
        <f>ROW()</f>
        <v/>
      </c>
      <c r="C888" s="182" t="inlineStr">
        <is>
          <t>西藏中自新能源技术有限公司</t>
        </is>
      </c>
      <c r="D888" s="182" t="inlineStr">
        <is>
          <t>ZI029E100735</t>
        </is>
      </c>
      <c r="E888" s="182" t="inlineStr">
        <is>
          <t>内蒙古京能新能源科技有限公司</t>
        </is>
      </c>
      <c r="F888" s="716" t="n"/>
      <c r="G888" s="716" t="n"/>
      <c r="H888" s="462" t="n"/>
    </row>
    <row r="889">
      <c r="A889" s="672" t="inlineStr">
        <is>
          <t>E101062</t>
        </is>
      </c>
      <c r="B889" s="767">
        <f>ROW()</f>
        <v/>
      </c>
      <c r="C889" s="182" t="inlineStr">
        <is>
          <t>昔阳县斯能风电有限公司</t>
        </is>
      </c>
      <c r="D889" s="182" t="inlineStr">
        <is>
          <t>ZI029E100730</t>
        </is>
      </c>
      <c r="E889" s="182" t="inlineStr">
        <is>
          <t>京能国际能源发展（北京）有限公司</t>
        </is>
      </c>
      <c r="F889" s="716" t="n"/>
      <c r="G889" s="716" t="n"/>
      <c r="H889" s="462" t="n"/>
    </row>
    <row r="890">
      <c r="A890" s="672" t="inlineStr">
        <is>
          <t>E100076</t>
        </is>
      </c>
      <c r="B890" s="767">
        <f>ROW()</f>
        <v/>
      </c>
      <c r="C890" s="182" t="inlineStr">
        <is>
          <t>锡林郭勒吉相华亚风力发电有限责任公司</t>
        </is>
      </c>
      <c r="D890" s="182" t="inlineStr">
        <is>
          <t>ZI029E100001</t>
        </is>
      </c>
      <c r="E890" s="182" t="inlineStr">
        <is>
          <t>北京京能清洁能源电力股份有限公司</t>
        </is>
      </c>
      <c r="F890" s="716" t="n"/>
      <c r="G890" s="716" t="n"/>
      <c r="H890" s="462" t="n"/>
    </row>
    <row r="891">
      <c r="A891" s="672" t="inlineStr">
        <is>
          <t>E100966</t>
        </is>
      </c>
      <c r="B891" s="767">
        <f>ROW()</f>
        <v/>
      </c>
      <c r="C891" s="182" t="inlineStr">
        <is>
          <t>乡城联合光伏开发有限公司</t>
        </is>
      </c>
      <c r="D891" s="182" t="inlineStr">
        <is>
          <t>ZI029E100737</t>
        </is>
      </c>
      <c r="E891" s="182" t="inlineStr">
        <is>
          <t>四川联合光伏有限公司</t>
        </is>
      </c>
      <c r="F891" s="716" t="n"/>
      <c r="G891" s="716" t="n"/>
      <c r="H891" s="462" t="n"/>
    </row>
    <row r="892">
      <c r="A892" s="672" t="inlineStr">
        <is>
          <t>E100060</t>
        </is>
      </c>
      <c r="B892" s="767">
        <f>ROW()</f>
        <v/>
      </c>
      <c r="C892" s="182" t="inlineStr">
        <is>
          <t>湘阴县晶和新能源有限公司</t>
        </is>
      </c>
      <c r="D892" s="182" t="inlineStr">
        <is>
          <t>ZI029E100001</t>
        </is>
      </c>
      <c r="E892" s="182" t="inlineStr">
        <is>
          <t>北京京能清洁能源电力股份有限公司</t>
        </is>
      </c>
      <c r="F892" s="716" t="n"/>
      <c r="G892" s="716" t="n"/>
      <c r="H892" s="462" t="n"/>
    </row>
    <row r="893">
      <c r="A893" s="672" t="inlineStr">
        <is>
          <t>E100562</t>
        </is>
      </c>
      <c r="B893" s="767">
        <f>ROW()</f>
        <v/>
      </c>
      <c r="C893" s="182" t="inlineStr">
        <is>
          <t>新格伦风电项目公司</t>
        </is>
      </c>
      <c r="D893" s="182" t="inlineStr">
        <is>
          <t>ZI029E100543</t>
        </is>
      </c>
      <c r="E893" s="182" t="inlineStr">
        <is>
          <t>北京京能清洁能源电力股份（香港）有限公司</t>
        </is>
      </c>
      <c r="F893" s="716" t="n"/>
      <c r="G893" s="716" t="n"/>
      <c r="H893" s="462" t="n"/>
    </row>
    <row r="894">
      <c r="A894" s="672" t="inlineStr">
        <is>
          <t>E100562</t>
        </is>
      </c>
      <c r="B894" s="767">
        <f>ROW()</f>
        <v/>
      </c>
      <c r="C894" s="182" t="inlineStr">
        <is>
          <t>新格伦风电项目公司</t>
        </is>
      </c>
      <c r="D894" s="182" t="inlineStr">
        <is>
          <t>ZI029E100561</t>
        </is>
      </c>
      <c r="E894" s="182" t="inlineStr">
        <is>
          <t>北京京能清洁能源（澳洲）控股有限公司</t>
        </is>
      </c>
      <c r="F894" s="716" t="n"/>
      <c r="G894" s="716" t="n"/>
      <c r="H894" s="462" t="n"/>
    </row>
    <row r="895">
      <c r="A895" s="672" t="inlineStr">
        <is>
          <t>E100220</t>
        </is>
      </c>
      <c r="B895" s="767">
        <f>ROW()</f>
        <v/>
      </c>
      <c r="C895" s="182" t="inlineStr">
        <is>
          <t>新疆京能建设投资有限公司</t>
        </is>
      </c>
      <c r="D895" s="182" t="inlineStr">
        <is>
          <t>ZI029E100000</t>
        </is>
      </c>
      <c r="E895" s="182" t="inlineStr">
        <is>
          <t>北京能源集团有限责任公司</t>
        </is>
      </c>
      <c r="F895" s="716" t="n"/>
      <c r="G895" s="716" t="n"/>
      <c r="H895" s="462" t="n"/>
    </row>
    <row r="896">
      <c r="A896" s="672" t="inlineStr">
        <is>
          <t>E100840</t>
        </is>
      </c>
      <c r="B896" s="767">
        <f>ROW()</f>
        <v/>
      </c>
      <c r="C896" s="182" t="inlineStr">
        <is>
          <t>新疆信友新能源发电有限公司</t>
        </is>
      </c>
      <c r="D896" s="182" t="inlineStr">
        <is>
          <t>ZI029E100730</t>
        </is>
      </c>
      <c r="E896" s="182" t="inlineStr">
        <is>
          <t>京能国际能源发展（北京）有限公司</t>
        </is>
      </c>
      <c r="F896" s="716" t="n"/>
      <c r="G896" s="716" t="n"/>
      <c r="H896" s="462" t="n"/>
    </row>
    <row r="897">
      <c r="A897" s="672" t="inlineStr">
        <is>
          <t>E100334</t>
        </is>
      </c>
      <c r="B897" s="767">
        <f>ROW()</f>
        <v/>
      </c>
      <c r="C897" s="182" t="inlineStr">
        <is>
          <t>鑫华源曹妃甸智能停车设备制造有限责任公司</t>
        </is>
      </c>
      <c r="D897" s="182" t="inlineStr">
        <is>
          <t>ZI029E100332</t>
        </is>
      </c>
      <c r="E897" s="182" t="inlineStr">
        <is>
          <t>北京鑫华源机械制造有限责任公司</t>
        </is>
      </c>
      <c r="F897" s="716" t="n"/>
      <c r="G897" s="716" t="n"/>
      <c r="H897" s="462" t="n"/>
    </row>
    <row r="898">
      <c r="A898" s="672" t="inlineStr">
        <is>
          <t>E100058</t>
        </is>
      </c>
      <c r="B898" s="767">
        <f>ROW()</f>
        <v/>
      </c>
      <c r="C898" s="182" t="inlineStr">
        <is>
          <t>徐闻京能新能源有限公司</t>
        </is>
      </c>
      <c r="D898" s="182" t="inlineStr">
        <is>
          <t>ZI029E100001</t>
        </is>
      </c>
      <c r="E898" s="182" t="inlineStr">
        <is>
          <t>北京京能清洁能源电力股份有限公司</t>
        </is>
      </c>
      <c r="F898" s="716" t="n"/>
      <c r="G898" s="716" t="n"/>
      <c r="H898" s="462" t="n"/>
    </row>
    <row r="899">
      <c r="A899" s="672" t="inlineStr">
        <is>
          <t>E100854</t>
        </is>
      </c>
      <c r="B899" s="767">
        <f>ROW()</f>
        <v/>
      </c>
      <c r="C899" s="182" t="inlineStr">
        <is>
          <t>阳春市招联绿辉光伏发电有限公司</t>
        </is>
      </c>
      <c r="D899" s="182" t="inlineStr">
        <is>
          <t>ZI029E100957</t>
        </is>
      </c>
      <c r="E899" s="182" t="inlineStr">
        <is>
          <t>常州市招联绿达新能源有限公司</t>
        </is>
      </c>
      <c r="F899" s="716" t="n"/>
      <c r="G899" s="716" t="n"/>
      <c r="H899" s="462" t="n"/>
    </row>
    <row r="900">
      <c r="A900" s="672" t="inlineStr">
        <is>
          <t>E100071</t>
        </is>
      </c>
      <c r="B900" s="767">
        <f>ROW()</f>
        <v/>
      </c>
      <c r="C900" s="182" t="inlineStr">
        <is>
          <t>阳江华晶绿色能源科技有限公司</t>
        </is>
      </c>
      <c r="D900" s="182" t="inlineStr">
        <is>
          <t>ZI029E100001</t>
        </is>
      </c>
      <c r="E900" s="182" t="inlineStr">
        <is>
          <t>北京京能清洁能源电力股份有限公司</t>
        </is>
      </c>
      <c r="F900" s="716" t="n"/>
      <c r="G900" s="716" t="n"/>
      <c r="H900" s="462" t="n"/>
    </row>
    <row r="901">
      <c r="A901" s="672" t="inlineStr">
        <is>
          <t>E100848</t>
        </is>
      </c>
      <c r="B901" s="767">
        <f>ROW()</f>
        <v/>
      </c>
      <c r="C901" s="182" t="inlineStr">
        <is>
          <t>阳曲县蔚蓝新能源有限公司</t>
        </is>
      </c>
      <c r="D901" s="182" t="inlineStr">
        <is>
          <t>ZI029E100730</t>
        </is>
      </c>
      <c r="E901" s="182" t="inlineStr">
        <is>
          <t>京能国际能源发展（北京）有限公司</t>
        </is>
      </c>
      <c r="F901" s="716" t="n"/>
      <c r="G901" s="716" t="n"/>
      <c r="H901" s="462" t="n"/>
    </row>
    <row r="902">
      <c r="A902" s="672" t="inlineStr">
        <is>
          <t>E100062</t>
        </is>
      </c>
      <c r="B902" s="767">
        <f>ROW()</f>
        <v/>
      </c>
      <c r="C902" s="182" t="inlineStr">
        <is>
          <t>阳西清芸阳光新能源科技有限公司</t>
        </is>
      </c>
      <c r="D902" s="182" t="inlineStr">
        <is>
          <t>ZI029E100001</t>
        </is>
      </c>
      <c r="E902" s="182" t="inlineStr">
        <is>
          <t>北京京能清洁能源电力股份有限公司</t>
        </is>
      </c>
      <c r="F902" s="716" t="n"/>
      <c r="G902" s="716" t="n"/>
      <c r="H902" s="462" t="n"/>
    </row>
    <row r="903">
      <c r="A903" s="672" t="inlineStr">
        <is>
          <t>E101018</t>
        </is>
      </c>
      <c r="B903" s="767">
        <f>ROW()</f>
        <v/>
      </c>
      <c r="C903" s="182" t="inlineStr">
        <is>
          <t>阳原中久能源开发科技有限公司</t>
        </is>
      </c>
      <c r="D903" s="182" t="inlineStr">
        <is>
          <t>ZI029E101017</t>
        </is>
      </c>
      <c r="E903" s="182" t="inlineStr">
        <is>
          <t>常州新光新能源有限公司</t>
        </is>
      </c>
      <c r="F903" s="716" t="n"/>
      <c r="G903" s="716" t="n"/>
      <c r="H903" s="462" t="n"/>
    </row>
    <row r="904">
      <c r="A904" s="672" t="inlineStr">
        <is>
          <t>E100727</t>
        </is>
      </c>
      <c r="B904" s="767">
        <f>ROW()</f>
        <v/>
      </c>
      <c r="C904" s="182" t="inlineStr">
        <is>
          <t>宜昌市夷陵区中基热电有限公司</t>
        </is>
      </c>
      <c r="D904" s="182" t="inlineStr">
        <is>
          <t>ZI029E100001</t>
        </is>
      </c>
      <c r="E904" s="182" t="inlineStr">
        <is>
          <t>北京京能清洁能源电力股份有限公司</t>
        </is>
      </c>
      <c r="F904" s="716" t="n"/>
      <c r="G904" s="716" t="n"/>
      <c r="H904" s="462" t="n"/>
    </row>
    <row r="905">
      <c r="A905" s="672" t="inlineStr">
        <is>
          <t>E101134</t>
        </is>
      </c>
      <c r="B905" s="767">
        <f>ROW()</f>
        <v/>
      </c>
      <c r="C905" s="182" t="inlineStr">
        <is>
          <t>宜春京能清洁能源有限公司</t>
        </is>
      </c>
      <c r="D905" s="182" t="inlineStr">
        <is>
          <t>ZI029E100001</t>
        </is>
      </c>
      <c r="E905" s="182" t="inlineStr">
        <is>
          <t>北京京能清洁能源电力股份有限公司</t>
        </is>
      </c>
      <c r="F905" s="716" t="n"/>
      <c r="G905" s="716" t="n"/>
      <c r="H905" s="462" t="n"/>
    </row>
    <row r="906">
      <c r="A906" s="672" t="inlineStr">
        <is>
          <t>E101134</t>
        </is>
      </c>
      <c r="B906" s="767">
        <f>ROW()</f>
        <v/>
      </c>
      <c r="C906" s="182">
        <f>IF(_epmOfflineCondition_,"宜春京能清洁能源有限公司",EPMMemberDesc(A906))</f>
        <v/>
      </c>
      <c r="D906" s="182" t="inlineStr">
        <is>
          <t>ZI029E100543</t>
        </is>
      </c>
      <c r="E906" s="182" t="inlineStr">
        <is>
          <t>北京京能清洁能源电力股份（香港）有限公司</t>
        </is>
      </c>
      <c r="F906" s="716" t="n"/>
      <c r="G906" s="716" t="n"/>
      <c r="H906" s="462" t="n"/>
    </row>
    <row r="907">
      <c r="A907" s="672" t="inlineStr">
        <is>
          <t>E100051</t>
        </is>
      </c>
      <c r="B907" s="767">
        <f>ROW()</f>
        <v/>
      </c>
      <c r="C907" s="182" t="inlineStr">
        <is>
          <t>义县珈煜光伏电力有限公司</t>
        </is>
      </c>
      <c r="D907" s="182" t="inlineStr">
        <is>
          <t>ZI029E100001</t>
        </is>
      </c>
      <c r="E907" s="182" t="inlineStr">
        <is>
          <t>北京京能清洁能源电力股份有限公司</t>
        </is>
      </c>
      <c r="F907" s="716" t="n"/>
      <c r="G907" s="716" t="n"/>
      <c r="H907" s="462" t="n"/>
    </row>
    <row r="908">
      <c r="A908" s="672" t="inlineStr">
        <is>
          <t>E100059</t>
        </is>
      </c>
      <c r="B908" s="767">
        <f>ROW()</f>
        <v/>
      </c>
      <c r="C908" s="182" t="inlineStr">
        <is>
          <t>益阳大通湖东大光伏发电有限公司</t>
        </is>
      </c>
      <c r="D908" s="182" t="inlineStr">
        <is>
          <t>ZI029E100001</t>
        </is>
      </c>
      <c r="E908" s="182" t="inlineStr">
        <is>
          <t>北京京能清洁能源电力股份有限公司</t>
        </is>
      </c>
      <c r="F908" s="716" t="n"/>
      <c r="G908" s="716" t="n"/>
      <c r="H908" s="462" t="n"/>
    </row>
    <row r="909">
      <c r="A909" s="672" t="inlineStr">
        <is>
          <t>E100569</t>
        </is>
      </c>
      <c r="B909" s="767">
        <f>ROW()</f>
        <v/>
      </c>
      <c r="C909" s="182" t="inlineStr">
        <is>
          <t>银川京能清洁能源有限公司</t>
        </is>
      </c>
      <c r="D909" s="182" t="inlineStr">
        <is>
          <t>ZI029E100001</t>
        </is>
      </c>
      <c r="E909" s="182" t="inlineStr">
        <is>
          <t>北京京能清洁能源电力股份有限公司</t>
        </is>
      </c>
      <c r="F909" s="716" t="n"/>
      <c r="G909" s="716" t="n"/>
      <c r="H909" s="462" t="n"/>
    </row>
    <row r="910">
      <c r="A910" s="672" t="inlineStr">
        <is>
          <t>E101345</t>
        </is>
      </c>
      <c r="B910" s="767">
        <f>ROW()</f>
        <v/>
      </c>
      <c r="C910" s="182" t="inlineStr">
        <is>
          <t>盈江华富水电开发有限公司</t>
        </is>
      </c>
      <c r="D910" s="182" t="inlineStr">
        <is>
          <t>ZI029E100001</t>
        </is>
      </c>
      <c r="E910" s="182" t="inlineStr">
        <is>
          <t>北京京能清洁能源电力股份有限公司</t>
        </is>
      </c>
      <c r="F910" s="716" t="n"/>
      <c r="G910" s="716" t="n"/>
      <c r="H910" s="462" t="n"/>
    </row>
    <row r="911">
      <c r="A911" s="672" t="inlineStr">
        <is>
          <t>E100100</t>
        </is>
      </c>
      <c r="B911" s="767">
        <f>ROW()</f>
        <v/>
      </c>
      <c r="C911" s="182" t="inlineStr">
        <is>
          <t>全州京能清洁能源有限责任公司</t>
        </is>
      </c>
      <c r="D911" s="182" t="inlineStr">
        <is>
          <t>ZI029E100001</t>
        </is>
      </c>
      <c r="E911" s="182" t="inlineStr">
        <is>
          <t>北京京能清洁能源电力股份有限公司</t>
        </is>
      </c>
      <c r="F911" s="716" t="n"/>
      <c r="G911" s="716" t="n"/>
      <c r="H911" s="462" t="n"/>
    </row>
    <row r="912">
      <c r="A912" s="672" t="inlineStr">
        <is>
          <t>E100438</t>
        </is>
      </c>
      <c r="B912" s="767">
        <f>ROW()</f>
        <v/>
      </c>
      <c r="C912" s="182" t="inlineStr">
        <is>
          <t>营口卧龙湾实业有限公司</t>
        </is>
      </c>
      <c r="D912" s="182" t="inlineStr">
        <is>
          <t>ZI029E100421</t>
        </is>
      </c>
      <c r="E912" s="182" t="inlineStr">
        <is>
          <t>北京金泰房地产开发有限责任公司</t>
        </is>
      </c>
      <c r="F912" s="716" t="n"/>
      <c r="G912" s="716" t="n"/>
      <c r="H912" s="462" t="n"/>
    </row>
    <row r="913">
      <c r="A913" s="672" t="inlineStr">
        <is>
          <t>E100740</t>
        </is>
      </c>
      <c r="B913" s="767">
        <f>ROW()</f>
        <v/>
      </c>
      <c r="C913" s="182" t="inlineStr">
        <is>
          <t>永仁惠光光伏发电有限公司</t>
        </is>
      </c>
      <c r="D913" s="182" t="inlineStr">
        <is>
          <t>ZI029E101017</t>
        </is>
      </c>
      <c r="E913" s="182" t="inlineStr">
        <is>
          <t>常州新光新能源有限公司</t>
        </is>
      </c>
      <c r="F913" s="716" t="n"/>
      <c r="G913" s="716" t="n"/>
      <c r="H913" s="462" t="n"/>
    </row>
    <row r="914">
      <c r="A914" s="672" t="inlineStr">
        <is>
          <t>E100741</t>
        </is>
      </c>
      <c r="B914" s="767">
        <f>ROW()</f>
        <v/>
      </c>
      <c r="C914" s="182" t="inlineStr">
        <is>
          <t>永胜惠光光伏发电有限公司</t>
        </is>
      </c>
      <c r="D914" s="182" t="inlineStr">
        <is>
          <t>ZI029E101017</t>
        </is>
      </c>
      <c r="E914" s="182" t="inlineStr">
        <is>
          <t>常州新光新能源有限公司</t>
        </is>
      </c>
      <c r="F914" s="716" t="n"/>
      <c r="G914" s="716" t="n"/>
      <c r="H914" s="462" t="n"/>
    </row>
    <row r="915">
      <c r="A915" s="672" t="inlineStr">
        <is>
          <t>E100163</t>
        </is>
      </c>
      <c r="B915" s="767">
        <f>ROW()</f>
        <v/>
      </c>
      <c r="C915" s="182" t="inlineStr">
        <is>
          <t>右玉县京玉污水处理有限责任公司</t>
        </is>
      </c>
      <c r="D915" s="182" t="inlineStr">
        <is>
          <t>ZI029E100162</t>
        </is>
      </c>
      <c r="E915" s="182" t="inlineStr">
        <is>
          <t>山西京玉发电有限责任公司</t>
        </is>
      </c>
      <c r="F915" s="716" t="n"/>
      <c r="G915" s="716" t="n"/>
      <c r="H915" s="462" t="n"/>
    </row>
    <row r="916">
      <c r="A916" s="672" t="inlineStr">
        <is>
          <t>E101066</t>
        </is>
      </c>
      <c r="B916" s="767">
        <f>ROW()</f>
        <v/>
      </c>
      <c r="C916" s="182" t="inlineStr">
        <is>
          <t>右玉县斯能风电有限公司</t>
        </is>
      </c>
      <c r="D916" s="182" t="inlineStr">
        <is>
          <t>ZI029E100730</t>
        </is>
      </c>
      <c r="E916" s="182" t="inlineStr">
        <is>
          <t>京能国际能源发展（北京）有限公司</t>
        </is>
      </c>
      <c r="F916" s="716" t="n"/>
      <c r="G916" s="716" t="n"/>
      <c r="H916" s="462" t="n"/>
    </row>
    <row r="917">
      <c r="A917" s="672" t="inlineStr">
        <is>
          <t>E100940</t>
        </is>
      </c>
      <c r="B917" s="767">
        <f>ROW()</f>
        <v/>
      </c>
      <c r="C917" s="182" t="inlineStr">
        <is>
          <t>榆林市江山永宸新能源有限公司</t>
        </is>
      </c>
      <c r="D917" s="182" t="inlineStr">
        <is>
          <t>ZI029E100730</t>
        </is>
      </c>
      <c r="E917" s="182" t="inlineStr">
        <is>
          <t>京能国际能源发展（北京）有限公司</t>
        </is>
      </c>
      <c r="F917" s="716" t="n"/>
      <c r="G917" s="716" t="n"/>
      <c r="H917" s="462" t="n"/>
    </row>
    <row r="918">
      <c r="A918" s="672" t="inlineStr">
        <is>
          <t>E100379</t>
        </is>
      </c>
      <c r="B918" s="767">
        <f>ROW()</f>
        <v/>
      </c>
      <c r="C918" s="182" t="inlineStr">
        <is>
          <t>源深怀来能源科技有限公司</t>
        </is>
      </c>
      <c r="D918" s="182" t="inlineStr">
        <is>
          <t>ZI029E100371</t>
        </is>
      </c>
      <c r="E918" s="182" t="inlineStr">
        <is>
          <t>北京京能科技有限公司</t>
        </is>
      </c>
      <c r="F918" s="716" t="n"/>
      <c r="G918" s="716" t="n"/>
      <c r="H918" s="462" t="n"/>
    </row>
    <row r="919">
      <c r="A919" s="672" t="inlineStr">
        <is>
          <t>E100707</t>
        </is>
      </c>
      <c r="B919" s="767">
        <f>ROW()</f>
        <v/>
      </c>
      <c r="C919" s="182" t="inlineStr">
        <is>
          <t>湛江市鼎瑞太阳能发电有限公司</t>
        </is>
      </c>
      <c r="D919" s="182" t="inlineStr">
        <is>
          <t>ZI029E100001</t>
        </is>
      </c>
      <c r="E919" s="182" t="inlineStr">
        <is>
          <t>北京京能清洁能源电力股份有限公司</t>
        </is>
      </c>
      <c r="F919" s="716" t="n"/>
      <c r="G919" s="716" t="n"/>
      <c r="H919" s="462" t="n"/>
    </row>
    <row r="920">
      <c r="A920" s="672" t="inlineStr">
        <is>
          <t>E100794</t>
        </is>
      </c>
      <c r="B920" s="767">
        <f>ROW()</f>
        <v/>
      </c>
      <c r="C920" s="182" t="inlineStr">
        <is>
          <t>张北风沐新能源有限公司</t>
        </is>
      </c>
      <c r="D920" s="182" t="inlineStr">
        <is>
          <t>ZI029E100793</t>
        </is>
      </c>
      <c r="E920" s="182" t="inlineStr">
        <is>
          <t>张家口风沐新能源有限公司</t>
        </is>
      </c>
      <c r="F920" s="716" t="n"/>
      <c r="G920" s="716" t="n"/>
      <c r="H920" s="462" t="n"/>
    </row>
    <row r="921">
      <c r="A921" s="672" t="inlineStr">
        <is>
          <t>E100035</t>
        </is>
      </c>
      <c r="B921" s="767">
        <f>ROW()</f>
        <v/>
      </c>
      <c r="C921" s="182" t="inlineStr">
        <is>
          <t>张北京能清洁能源有限公司</t>
        </is>
      </c>
      <c r="D921" s="182" t="inlineStr">
        <is>
          <t>ZI029E100001</t>
        </is>
      </c>
      <c r="E921" s="182" t="inlineStr">
        <is>
          <t>北京京能清洁能源电力股份有限公司</t>
        </is>
      </c>
      <c r="F921" s="716" t="n"/>
      <c r="G921" s="716" t="n"/>
      <c r="H921" s="462" t="n"/>
    </row>
    <row r="922">
      <c r="A922" s="672" t="inlineStr">
        <is>
          <t>E100710</t>
        </is>
      </c>
      <c r="B922" s="767">
        <f>ROW()</f>
        <v/>
      </c>
      <c r="C922" s="182" t="inlineStr">
        <is>
          <t>张北融智新源电力有限公司</t>
        </is>
      </c>
      <c r="D922" s="182" t="inlineStr">
        <is>
          <t>ZI029E100708</t>
        </is>
      </c>
      <c r="E922" s="182" t="inlineStr">
        <is>
          <t>河北融智新源电力有限公司</t>
        </is>
      </c>
      <c r="F922" s="716" t="n"/>
      <c r="G922" s="716" t="n"/>
      <c r="H922" s="462" t="n"/>
    </row>
    <row r="923">
      <c r="A923" s="672" t="inlineStr">
        <is>
          <t>E100793</t>
        </is>
      </c>
      <c r="B923" s="767">
        <f>ROW()</f>
        <v/>
      </c>
      <c r="C923" s="182" t="inlineStr">
        <is>
          <t>张家口风沐新能源有限公司</t>
        </is>
      </c>
      <c r="D923" s="182" t="inlineStr">
        <is>
          <t>ZI029E100001</t>
        </is>
      </c>
      <c r="E923" s="182" t="inlineStr">
        <is>
          <t>北京京能清洁能源电力股份有限公司</t>
        </is>
      </c>
      <c r="F923" s="716" t="n"/>
      <c r="G923" s="716" t="n"/>
      <c r="H923" s="462" t="n"/>
    </row>
    <row r="924">
      <c r="A924" s="672" t="inlineStr">
        <is>
          <t>E100793G</t>
        </is>
      </c>
      <c r="B924" s="767">
        <f>ROW()</f>
        <v/>
      </c>
      <c r="C924" s="182" t="inlineStr">
        <is>
          <t>张家口风沐新能源有限公司（合并）</t>
        </is>
      </c>
      <c r="D924" s="182" t="inlineStr">
        <is>
          <t>ZI029E100001</t>
        </is>
      </c>
      <c r="E924" s="182" t="inlineStr">
        <is>
          <t>北京京能清洁能源电力股份有限公司</t>
        </is>
      </c>
      <c r="F924" s="716" t="n"/>
      <c r="G924" s="716" t="n"/>
      <c r="H924" s="462" t="n"/>
    </row>
    <row r="925">
      <c r="A925" s="672" t="inlineStr">
        <is>
          <t>E100902</t>
        </is>
      </c>
      <c r="B925" s="767">
        <f>ROW()</f>
        <v/>
      </c>
      <c r="C925" s="182" t="inlineStr">
        <is>
          <t>张家口丝绸之路新能源有限公司</t>
        </is>
      </c>
      <c r="D925" s="182" t="inlineStr">
        <is>
          <t>ZI029E100730</t>
        </is>
      </c>
      <c r="E925" s="182" t="inlineStr">
        <is>
          <t>京能国际能源发展（北京）有限公司</t>
        </is>
      </c>
      <c r="F925" s="716" t="n"/>
      <c r="G925" s="716" t="n"/>
      <c r="H925" s="462" t="n"/>
    </row>
    <row r="926">
      <c r="A926" s="672" t="inlineStr">
        <is>
          <t>E100842</t>
        </is>
      </c>
      <c r="B926" s="767">
        <f>ROW()</f>
        <v/>
      </c>
      <c r="C926" s="182" t="inlineStr">
        <is>
          <t>张家口万全区京能清洁能源有限公司</t>
        </is>
      </c>
      <c r="D926" s="182" t="inlineStr">
        <is>
          <t>ZI029E100001</t>
        </is>
      </c>
      <c r="E926" s="182" t="inlineStr">
        <is>
          <t>北京京能清洁能源电力股份有限公司</t>
        </is>
      </c>
      <c r="F926" s="716" t="n"/>
      <c r="G926" s="716" t="n"/>
      <c r="H926" s="462" t="n"/>
    </row>
    <row r="927">
      <c r="A927" s="672" t="inlineStr">
        <is>
          <t>E100778</t>
        </is>
      </c>
      <c r="B927" s="767">
        <f>ROW()</f>
        <v/>
      </c>
      <c r="C927" s="182" t="inlineStr">
        <is>
          <t>漳州京能清洁能源电力有限公司</t>
        </is>
      </c>
      <c r="D927" s="182" t="inlineStr">
        <is>
          <t>ZI029E100001</t>
        </is>
      </c>
      <c r="E927" s="182" t="inlineStr">
        <is>
          <t>北京京能清洁能源电力股份有限公司</t>
        </is>
      </c>
      <c r="F927" s="716" t="n"/>
      <c r="G927" s="716" t="n"/>
      <c r="H927" s="462" t="n"/>
    </row>
    <row r="928">
      <c r="A928" s="672" t="inlineStr">
        <is>
          <t>E101020</t>
        </is>
      </c>
      <c r="B928" s="767">
        <f>ROW()</f>
        <v/>
      </c>
      <c r="C928" s="182" t="inlineStr">
        <is>
          <t>招商局漳州开发区博新太阳能科技有限公司</t>
        </is>
      </c>
      <c r="D928" s="182" t="inlineStr">
        <is>
          <t>ZI029E101019</t>
        </is>
      </c>
      <c r="E928" s="182" t="inlineStr">
        <is>
          <t>招商局漳州开发区丝路方舟碳资产管理有限公司</t>
        </is>
      </c>
      <c r="F928" s="716" t="n"/>
      <c r="G928" s="716" t="n"/>
      <c r="H928" s="462" t="n"/>
    </row>
    <row r="929">
      <c r="A929" s="672" t="inlineStr">
        <is>
          <t>E101019</t>
        </is>
      </c>
      <c r="B929" s="767">
        <f>ROW()</f>
        <v/>
      </c>
      <c r="C929" s="182" t="inlineStr">
        <is>
          <t>招商局漳州开发区丝路方舟碳资产管理有限公司</t>
        </is>
      </c>
      <c r="D929" s="182" t="inlineStr">
        <is>
          <t>ZI029E100881</t>
        </is>
      </c>
      <c r="E929" s="182" t="inlineStr">
        <is>
          <t>China Solar Power Group Limited</t>
        </is>
      </c>
      <c r="F929" s="716" t="n"/>
      <c r="G929" s="716" t="n"/>
      <c r="H929" s="462" t="n"/>
    </row>
    <row r="930">
      <c r="A930" s="672" t="inlineStr">
        <is>
          <t>E100944</t>
        </is>
      </c>
      <c r="B930" s="767">
        <f>ROW()</f>
        <v/>
      </c>
      <c r="C930" s="182" t="inlineStr">
        <is>
          <t>招新诺能（常州）新能源有限公司</t>
        </is>
      </c>
      <c r="D930" s="182" t="inlineStr">
        <is>
          <t>ZI029E100730</t>
        </is>
      </c>
      <c r="E930" s="182" t="inlineStr">
        <is>
          <t>京能国际能源发展（北京）有限公司</t>
        </is>
      </c>
      <c r="F930" s="716" t="n"/>
      <c r="G930" s="716" t="n"/>
      <c r="H930" s="462" t="n"/>
    </row>
    <row r="931">
      <c r="A931" s="672" t="inlineStr">
        <is>
          <t>E100926</t>
        </is>
      </c>
      <c r="B931" s="767">
        <f>ROW()</f>
        <v/>
      </c>
      <c r="C931" s="182" t="inlineStr">
        <is>
          <t>浙江阿波溪仑光伏科技有限公司</t>
        </is>
      </c>
      <c r="D931" s="182" t="inlineStr">
        <is>
          <t>ZI029E100730</t>
        </is>
      </c>
      <c r="E931" s="182" t="inlineStr">
        <is>
          <t>京能国际能源发展（北京）有限公司</t>
        </is>
      </c>
      <c r="F931" s="716" t="n"/>
      <c r="G931" s="716" t="n"/>
      <c r="H931" s="462" t="n"/>
    </row>
    <row r="932">
      <c r="A932" s="672" t="inlineStr">
        <is>
          <t>E100820</t>
        </is>
      </c>
      <c r="B932" s="767">
        <f>ROW()</f>
        <v/>
      </c>
      <c r="C932" s="182" t="inlineStr">
        <is>
          <t>正蓝旗国电光伏发电有限公司</t>
        </is>
      </c>
      <c r="D932" s="182" t="inlineStr">
        <is>
          <t>ZI029E100730</t>
        </is>
      </c>
      <c r="E932" s="182" t="inlineStr">
        <is>
          <t>京能国际能源发展（北京）有限公司</t>
        </is>
      </c>
      <c r="F932" s="716" t="n"/>
      <c r="G932" s="716" t="n"/>
      <c r="H932" s="462" t="n"/>
    </row>
    <row r="933">
      <c r="A933" s="672" t="inlineStr">
        <is>
          <t>E100369</t>
        </is>
      </c>
      <c r="B933" s="767">
        <f>ROW()</f>
        <v/>
      </c>
      <c r="C933" s="182" t="inlineStr">
        <is>
          <t>中国共产党北京能源集团有限责任公司委员会党校</t>
        </is>
      </c>
      <c r="D933" s="182" t="inlineStr">
        <is>
          <t>ZI029E100000</t>
        </is>
      </c>
      <c r="E933" s="182" t="inlineStr">
        <is>
          <t>北京能源集团有限责任公司</t>
        </is>
      </c>
      <c r="F933" s="716" t="n"/>
      <c r="G933" s="716" t="n"/>
      <c r="H933" s="462" t="n"/>
    </row>
    <row r="934">
      <c r="A934" s="672" t="inlineStr">
        <is>
          <t>E100754</t>
        </is>
      </c>
      <c r="B934" s="767">
        <f>ROW()</f>
        <v/>
      </c>
      <c r="C934" s="182" t="inlineStr">
        <is>
          <t>中利腾晖（嘉峪关）光伏发电有限公司</t>
        </is>
      </c>
      <c r="D934" s="182" t="inlineStr">
        <is>
          <t>ZI029E100982</t>
        </is>
      </c>
      <c r="E934" s="182" t="inlineStr">
        <is>
          <t>青海晖达光伏有限公司</t>
        </is>
      </c>
      <c r="F934" s="716" t="n"/>
      <c r="G934" s="716" t="n"/>
      <c r="H934" s="462" t="n"/>
    </row>
    <row r="935">
      <c r="A935" s="672" t="inlineStr">
        <is>
          <t>E100742</t>
        </is>
      </c>
      <c r="B935" s="767">
        <f>ROW()</f>
        <v/>
      </c>
      <c r="C935" s="182" t="inlineStr">
        <is>
          <t>中利腾晖共和光伏发电有限公司</t>
        </is>
      </c>
      <c r="D935" s="182" t="inlineStr">
        <is>
          <t>ZI029E100734</t>
        </is>
      </c>
      <c r="E935" s="182" t="inlineStr">
        <is>
          <t>联合光伏（常州）投资集团有限公司</t>
        </is>
      </c>
      <c r="F935" s="716" t="n"/>
      <c r="G935" s="716" t="n"/>
      <c r="H935" s="462" t="n"/>
    </row>
    <row r="936">
      <c r="A936" s="672" t="inlineStr">
        <is>
          <t>E100743</t>
        </is>
      </c>
      <c r="B936" s="767">
        <f>ROW()</f>
        <v/>
      </c>
      <c r="C936" s="182" t="inlineStr">
        <is>
          <t>中利腾晖共和新能源有限公司</t>
        </is>
      </c>
      <c r="D936" s="182" t="inlineStr">
        <is>
          <t>ZI029E100955</t>
        </is>
      </c>
      <c r="E936" s="182" t="inlineStr">
        <is>
          <t>常州鼎晖新能源有限公司</t>
        </is>
      </c>
      <c r="F936" s="716" t="n"/>
      <c r="G936" s="716" t="n"/>
      <c r="H936" s="462" t="n"/>
    </row>
    <row r="937">
      <c r="A937" s="672" t="inlineStr">
        <is>
          <t>E100546</t>
        </is>
      </c>
      <c r="B937" s="767">
        <f>ROW()</f>
        <v/>
      </c>
      <c r="C937" s="182" t="inlineStr">
        <is>
          <t>珠海市京湾综合能源有限公司</t>
        </is>
      </c>
      <c r="D937" s="182" t="inlineStr">
        <is>
          <t>ZI029E100000</t>
        </is>
      </c>
      <c r="E937" s="182" t="inlineStr">
        <is>
          <t>北京能源集团有限责任公司</t>
        </is>
      </c>
      <c r="F937" s="716" t="n"/>
      <c r="G937" s="716" t="n"/>
      <c r="H937" s="462" t="n"/>
    </row>
    <row r="938">
      <c r="A938" s="672" t="inlineStr">
        <is>
          <t>E100012</t>
        </is>
      </c>
      <c r="B938" s="767">
        <f>ROW()</f>
        <v/>
      </c>
      <c r="C938" s="182" t="inlineStr">
        <is>
          <t>珠海市钰海电力有限公司</t>
        </is>
      </c>
      <c r="D938" s="182" t="inlineStr">
        <is>
          <t>ZI029E100000</t>
        </is>
      </c>
      <c r="E938" s="182" t="inlineStr">
        <is>
          <t>北京能源集团有限责任公司</t>
        </is>
      </c>
      <c r="F938" s="716" t="n"/>
      <c r="G938" s="716" t="n"/>
      <c r="H938" s="462" t="n"/>
    </row>
    <row r="939">
      <c r="A939" s="672" t="inlineStr">
        <is>
          <t>E100247</t>
        </is>
      </c>
      <c r="B939" s="767">
        <f>ROW()</f>
        <v/>
      </c>
      <c r="C939" s="182" t="inlineStr">
        <is>
          <t>涿州市京热热力有限责任公司</t>
        </is>
      </c>
      <c r="D939" s="182" t="inlineStr">
        <is>
          <t>ZI029E100259</t>
        </is>
      </c>
      <c r="E939" s="182" t="inlineStr">
        <is>
          <t>北京京能热力发展有限公司</t>
        </is>
      </c>
      <c r="F939" s="716" t="n"/>
      <c r="G939" s="716" t="n"/>
      <c r="H939" s="462" t="n"/>
    </row>
    <row r="940">
      <c r="A940" s="672" t="inlineStr">
        <is>
          <t>E100975</t>
        </is>
      </c>
      <c r="B940" s="767">
        <f>ROW()</f>
        <v/>
      </c>
      <c r="C940" s="182" t="inlineStr">
        <is>
          <t>卓资县陆阳新能源有限公司</t>
        </is>
      </c>
      <c r="D940" s="182" t="inlineStr">
        <is>
          <t>ZI029E100973</t>
        </is>
      </c>
      <c r="E940" s="182" t="inlineStr">
        <is>
          <t>察右前旗联合光伏发电有限公司</t>
        </is>
      </c>
      <c r="F940" s="716" t="n"/>
      <c r="G940" s="716" t="n"/>
      <c r="H940" s="462" t="n"/>
    </row>
    <row r="941">
      <c r="A941" s="672" t="inlineStr">
        <is>
          <t>E100081</t>
        </is>
      </c>
      <c r="B941" s="767">
        <f>ROW()</f>
        <v/>
      </c>
      <c r="C941" s="182" t="inlineStr">
        <is>
          <t>左云京能风力发电有限责任公司</t>
        </is>
      </c>
      <c r="D941" s="182" t="inlineStr">
        <is>
          <t>ZI029E100001</t>
        </is>
      </c>
      <c r="E941" s="182" t="inlineStr">
        <is>
          <t>北京京能清洁能源电力股份有限公司</t>
        </is>
      </c>
      <c r="F941" s="716" t="n"/>
      <c r="G941" s="716" t="n"/>
      <c r="H941" s="462" t="n"/>
    </row>
    <row r="942">
      <c r="A942" s="672" t="inlineStr">
        <is>
          <t>E100747</t>
        </is>
      </c>
      <c r="B942" s="767">
        <f>ROW()</f>
        <v/>
      </c>
      <c r="C942" s="182" t="inlineStr">
        <is>
          <t>北京能源国际控股有限公司</t>
        </is>
      </c>
      <c r="D942" s="182" t="inlineStr">
        <is>
          <t>ZI029E199999</t>
        </is>
      </c>
      <c r="E942" s="182" t="inlineStr">
        <is>
          <t>北京能源投资（香港）有限公司</t>
        </is>
      </c>
      <c r="F942" s="716" t="n"/>
      <c r="G942" s="716" t="n"/>
      <c r="H942" s="462" t="n"/>
    </row>
    <row r="943">
      <c r="A943" s="672" t="inlineStr">
        <is>
          <t>E100303</t>
        </is>
      </c>
      <c r="B943" s="767">
        <f>ROW()</f>
        <v/>
      </c>
      <c r="C943" s="182" t="inlineStr">
        <is>
          <t>北京天湖会议中心有限公司</t>
        </is>
      </c>
      <c r="D943" s="182" t="inlineStr">
        <is>
          <t>ZI029E100320</t>
        </is>
      </c>
      <c r="E943" s="182" t="inlineStr">
        <is>
          <t>北京市天创房地产开发有限公司</t>
        </is>
      </c>
      <c r="F943" s="716" t="n"/>
      <c r="G943" s="716" t="n"/>
      <c r="H943" s="462" t="n"/>
    </row>
    <row r="944">
      <c r="A944" s="672" t="inlineStr">
        <is>
          <t>E100375</t>
        </is>
      </c>
      <c r="B944" s="767">
        <f>ROW()</f>
        <v/>
      </c>
      <c r="C944" s="672" t="inlineStr">
        <is>
          <t>北京京能碳资产管理有限公司</t>
        </is>
      </c>
      <c r="D944" s="182" t="inlineStr">
        <is>
          <t>ZI029E100371</t>
        </is>
      </c>
      <c r="E944" s="672" t="inlineStr">
        <is>
          <t>北京京能科技有限公司</t>
        </is>
      </c>
      <c r="F944" s="716" t="n"/>
      <c r="G944" s="716" t="n"/>
      <c r="H944" s="462" t="n"/>
    </row>
    <row r="945">
      <c r="A945" s="672" t="inlineStr">
        <is>
          <t>E100321</t>
        </is>
      </c>
      <c r="B945" s="767">
        <f>ROW()</f>
        <v/>
      </c>
      <c r="C945" s="672" t="inlineStr">
        <is>
          <t>北京京能天泰房地产开发有限公司</t>
        </is>
      </c>
      <c r="D945" s="182" t="inlineStr">
        <is>
          <t>ZI029E100320</t>
        </is>
      </c>
      <c r="E945" s="182" t="inlineStr">
        <is>
          <t>北京市天创房地产开发有限公司</t>
        </is>
      </c>
      <c r="F945" s="716" t="n"/>
      <c r="G945" s="716" t="n"/>
      <c r="H945" s="462" t="n"/>
    </row>
    <row r="946">
      <c r="A946" s="672" t="inlineStr">
        <is>
          <t>E100428</t>
        </is>
      </c>
      <c r="B946" s="767">
        <f>ROW()</f>
        <v/>
      </c>
      <c r="C946" s="182" t="inlineStr">
        <is>
          <t>北京京石融宁房地产开发有限公司</t>
        </is>
      </c>
      <c r="D946" s="182" t="inlineStr">
        <is>
          <t>ZI029E100420</t>
        </is>
      </c>
      <c r="E946" s="182" t="inlineStr">
        <is>
          <t>京能置业股份有限公司</t>
        </is>
      </c>
      <c r="F946" s="716" t="n"/>
      <c r="G946" s="716" t="n"/>
      <c r="H946" s="462" t="n"/>
    </row>
    <row r="947">
      <c r="A947" s="672" t="inlineStr">
        <is>
          <t>E100431</t>
        </is>
      </c>
      <c r="B947" s="767">
        <f>ROW()</f>
        <v/>
      </c>
      <c r="C947" s="182" t="inlineStr">
        <is>
          <t>大连京能阳光房地产开发有限公司</t>
        </is>
      </c>
      <c r="D947" s="182" t="inlineStr">
        <is>
          <t>ZI029E100420</t>
        </is>
      </c>
      <c r="E947" s="182" t="inlineStr">
        <is>
          <t>京能置业股份有限公司</t>
        </is>
      </c>
      <c r="F947" s="716" t="n"/>
      <c r="G947" s="716" t="n"/>
      <c r="H947" s="462" t="n"/>
    </row>
    <row r="948">
      <c r="A948" s="672" t="inlineStr">
        <is>
          <t>E100424</t>
        </is>
      </c>
      <c r="B948" s="767">
        <f>ROW()</f>
        <v/>
      </c>
      <c r="C948" s="182" t="inlineStr">
        <is>
          <t>北京天创世缘房地产开发有限公司</t>
        </is>
      </c>
      <c r="D948" s="182" t="inlineStr">
        <is>
          <t>ZI029E100420</t>
        </is>
      </c>
      <c r="E948" s="182" t="inlineStr">
        <is>
          <t>京能置业股份有限公司</t>
        </is>
      </c>
      <c r="F948" s="716" t="n"/>
      <c r="G948" s="716" t="n"/>
      <c r="H948" s="462" t="n"/>
    </row>
    <row r="949">
      <c r="A949" s="672" t="inlineStr">
        <is>
          <t>E100430</t>
        </is>
      </c>
      <c r="B949" s="767">
        <f>ROW()</f>
        <v/>
      </c>
      <c r="C949" s="182" t="inlineStr">
        <is>
          <t>天津海航东海岸发展有限公司</t>
        </is>
      </c>
      <c r="D949" s="182" t="inlineStr">
        <is>
          <t>ZI029E100420</t>
        </is>
      </c>
      <c r="E949" s="182" t="inlineStr">
        <is>
          <t>京能置业股份有限公司</t>
        </is>
      </c>
      <c r="F949" s="716" t="n"/>
      <c r="G949" s="716" t="n"/>
      <c r="H949" s="462" t="n"/>
    </row>
    <row r="950">
      <c r="A950" s="672" t="inlineStr">
        <is>
          <t>E100427</t>
        </is>
      </c>
      <c r="B950" s="767">
        <f>ROW()</f>
        <v/>
      </c>
      <c r="C950" s="182" t="inlineStr">
        <is>
          <t>北京京能海赋置业有限公司</t>
        </is>
      </c>
      <c r="D950" s="182" t="inlineStr">
        <is>
          <t>ZI029E100420</t>
        </is>
      </c>
      <c r="E950" s="182" t="inlineStr">
        <is>
          <t>京能置业股份有限公司</t>
        </is>
      </c>
      <c r="F950" s="716" t="n"/>
      <c r="G950" s="716" t="n"/>
      <c r="H950" s="462" t="n"/>
    </row>
    <row r="951">
      <c r="A951" s="672" t="inlineStr">
        <is>
          <t>E100423</t>
        </is>
      </c>
      <c r="B951" s="767">
        <f>ROW()</f>
        <v/>
      </c>
      <c r="C951" s="182" t="inlineStr">
        <is>
          <t>北京京能育兴房地产开发有限公司</t>
        </is>
      </c>
      <c r="D951" s="182" t="inlineStr">
        <is>
          <t>ZI029E100420</t>
        </is>
      </c>
      <c r="E951" s="182" t="inlineStr">
        <is>
          <t>京能置业股份有限公司</t>
        </is>
      </c>
      <c r="F951" s="716" t="n"/>
      <c r="G951" s="716" t="n"/>
      <c r="H951" s="462" t="n"/>
    </row>
    <row r="952">
      <c r="A952" s="672" t="inlineStr">
        <is>
          <t>E100535</t>
        </is>
      </c>
      <c r="B952" s="767">
        <f>ROW()</f>
        <v/>
      </c>
      <c r="C952" s="182" t="inlineStr">
        <is>
          <t>北京京能京西房地产开发有限公司</t>
        </is>
      </c>
      <c r="D952" s="182" t="inlineStr">
        <is>
          <t>ZI029E100420</t>
        </is>
      </c>
      <c r="E952" s="182" t="inlineStr">
        <is>
          <t>京能置业股份有限公司</t>
        </is>
      </c>
      <c r="F952" s="716" t="n"/>
      <c r="G952" s="716" t="n"/>
      <c r="H952" s="462" t="n"/>
    </row>
    <row r="953">
      <c r="A953" s="672" t="inlineStr">
        <is>
          <t>E100806</t>
        </is>
      </c>
      <c r="B953" s="767">
        <f>ROW()</f>
        <v/>
      </c>
      <c r="C953" s="182" t="inlineStr">
        <is>
          <t>北京京珑置业有限公司</t>
        </is>
      </c>
      <c r="D953" s="182" t="inlineStr">
        <is>
          <t>ZI029E100420</t>
        </is>
      </c>
      <c r="E953" s="182" t="inlineStr">
        <is>
          <t>京能置业股份有限公司</t>
        </is>
      </c>
      <c r="F953" s="716" t="n"/>
      <c r="G953" s="716" t="n"/>
      <c r="H953" s="462" t="n"/>
    </row>
    <row r="954">
      <c r="A954" s="672" t="inlineStr">
        <is>
          <t>E100830</t>
        </is>
      </c>
      <c r="B954" s="767">
        <f>ROW()</f>
        <v/>
      </c>
      <c r="C954" s="182" t="inlineStr">
        <is>
          <t>北京九樾房地产开发有限公司</t>
        </is>
      </c>
      <c r="D954" s="182" t="inlineStr">
        <is>
          <t>ZI029E100420</t>
        </is>
      </c>
      <c r="E954" s="182" t="inlineStr">
        <is>
          <t>京能置业股份有限公司</t>
        </is>
      </c>
      <c r="F954" s="716" t="n"/>
      <c r="G954" s="716" t="n"/>
      <c r="H954" s="462" t="n"/>
    </row>
    <row r="955">
      <c r="A955" s="672" t="inlineStr">
        <is>
          <t>E100433</t>
        </is>
      </c>
      <c r="B955" s="767">
        <f>ROW()</f>
        <v/>
      </c>
      <c r="C955" s="182" t="inlineStr">
        <is>
          <t>北京丽富房地产开发有限公司</t>
        </is>
      </c>
      <c r="D955" s="182" t="inlineStr">
        <is>
          <t>ZI029E100420</t>
        </is>
      </c>
      <c r="E955" s="182" t="inlineStr">
        <is>
          <t>京能置业股份有限公司</t>
        </is>
      </c>
      <c r="F955" s="716" t="n"/>
      <c r="G955" s="716" t="n"/>
      <c r="H955" s="462" t="n"/>
    </row>
    <row r="956">
      <c r="A956" s="672" t="inlineStr">
        <is>
          <t>E100704</t>
        </is>
      </c>
      <c r="B956" s="767">
        <f>ROW()</f>
        <v/>
      </c>
      <c r="C956" s="182" t="inlineStr">
        <is>
          <t>北京京润仁康控股有限公司</t>
        </is>
      </c>
      <c r="D956" s="182" t="inlineStr">
        <is>
          <t>ZI029E100268</t>
        </is>
      </c>
      <c r="E956" s="182" t="inlineStr">
        <is>
          <t>北京京煤集团有限责任公司</t>
        </is>
      </c>
      <c r="F956" s="716" t="n"/>
      <c r="G956" s="716" t="n"/>
      <c r="H956" s="462" t="n"/>
    </row>
    <row r="957">
      <c r="A957" s="672" t="inlineStr">
        <is>
          <t>E100705</t>
        </is>
      </c>
      <c r="B957" s="767">
        <f>ROW()</f>
        <v/>
      </c>
      <c r="C957" s="182" t="inlineStr">
        <is>
          <t>北京京润仁康医院管理有限公司</t>
        </is>
      </c>
      <c r="D957" s="182" t="inlineStr">
        <is>
          <t>ZI029E100268</t>
        </is>
      </c>
      <c r="E957" s="182" t="inlineStr">
        <is>
          <t>北京京煤集团有限责任公司</t>
        </is>
      </c>
      <c r="F957" s="716" t="n"/>
      <c r="G957" s="716" t="n"/>
      <c r="H957" s="462" t="n"/>
    </row>
    <row r="958">
      <c r="A958" s="672" t="inlineStr">
        <is>
          <t>E100704G</t>
        </is>
      </c>
      <c r="B958" s="767">
        <f>ROW()</f>
        <v/>
      </c>
      <c r="C958" s="182" t="inlineStr">
        <is>
          <t>北京京润仁康控股有限公司（合并）</t>
        </is>
      </c>
      <c r="D958" s="182" t="inlineStr">
        <is>
          <t>ZI029E100268</t>
        </is>
      </c>
      <c r="E958" s="182" t="inlineStr">
        <is>
          <t>北京京煤集团有限责任公司</t>
        </is>
      </c>
      <c r="F958" s="716" t="n"/>
      <c r="G958" s="716" t="n"/>
      <c r="H958" s="462" t="n"/>
    </row>
    <row r="959">
      <c r="A959" s="672" t="inlineStr">
        <is>
          <t>E101139</t>
        </is>
      </c>
      <c r="B959" s="767">
        <f>ROW()</f>
        <v/>
      </c>
      <c r="C959" s="182" t="inlineStr">
        <is>
          <t>天创科技发展有限公司</t>
        </is>
      </c>
      <c r="D959" s="182" t="inlineStr">
        <is>
          <t>ZI029E100320</t>
        </is>
      </c>
      <c r="E959" s="182" t="inlineStr">
        <is>
          <t>北京市天创房地产开发有限公司</t>
        </is>
      </c>
      <c r="F959" s="716" t="n"/>
      <c r="G959" s="716" t="n"/>
      <c r="H959" s="462" t="n"/>
    </row>
    <row r="960">
      <c r="A960" s="672" t="inlineStr">
        <is>
          <t>E101098</t>
        </is>
      </c>
      <c r="B960" s="767">
        <f>ROW()</f>
        <v/>
      </c>
      <c r="C960" s="182" t="inlineStr">
        <is>
          <t>肇庆市莱特斯新能源有限公司</t>
        </is>
      </c>
      <c r="D960" s="182" t="inlineStr">
        <is>
          <t>ZI029E101097</t>
        </is>
      </c>
      <c r="E960" s="182" t="inlineStr">
        <is>
          <t>肇庆市莱湾新能源科技有限公司</t>
        </is>
      </c>
      <c r="F960" s="716" t="n"/>
      <c r="G960" s="716" t="n"/>
      <c r="H960" s="462" t="n"/>
    </row>
    <row r="961">
      <c r="A961" s="672" t="inlineStr">
        <is>
          <t>E101097</t>
        </is>
      </c>
      <c r="B961" s="767">
        <f>ROW()</f>
        <v/>
      </c>
      <c r="C961" s="182" t="inlineStr">
        <is>
          <t>肇庆市莱湾新能源科技有限公司</t>
        </is>
      </c>
      <c r="D961" s="182" t="inlineStr">
        <is>
          <t>ZI029E100730</t>
        </is>
      </c>
      <c r="E961" s="182" t="inlineStr">
        <is>
          <t>京能国际能源发展（北京）有限公司</t>
        </is>
      </c>
      <c r="F961" s="716" t="n"/>
      <c r="G961" s="716" t="n"/>
      <c r="H961" s="462" t="n"/>
    </row>
    <row r="962">
      <c r="A962" s="672" t="inlineStr">
        <is>
          <t>E101085</t>
        </is>
      </c>
      <c r="B962" s="767">
        <f>ROW()</f>
        <v/>
      </c>
      <c r="C962" s="182" t="inlineStr">
        <is>
          <t>京邗（扬州）光伏发电有限公司</t>
        </is>
      </c>
      <c r="D962" s="182" t="inlineStr">
        <is>
          <t>ZI029E100883</t>
        </is>
      </c>
      <c r="E962" s="182" t="inlineStr">
        <is>
          <t>Beijing Energy International Investment Limited</t>
        </is>
      </c>
      <c r="F962" s="716" t="n"/>
      <c r="G962" s="716" t="n"/>
      <c r="H962" s="462" t="n"/>
    </row>
    <row r="963">
      <c r="A963" s="672" t="inlineStr">
        <is>
          <t>E101100</t>
        </is>
      </c>
      <c r="B963" s="767">
        <f>ROW()</f>
        <v/>
      </c>
      <c r="C963" s="182" t="inlineStr">
        <is>
          <t>凤台县晟阳新能源发电有限公司</t>
        </is>
      </c>
      <c r="D963" s="182" t="inlineStr">
        <is>
          <t>ZI029E100730</t>
        </is>
      </c>
      <c r="E963" s="182" t="inlineStr">
        <is>
          <t>京能国际能源发展（北京）有限公司</t>
        </is>
      </c>
      <c r="F963" s="716" t="n"/>
      <c r="G963" s="716" t="n"/>
      <c r="H963" s="462" t="n"/>
    </row>
    <row r="964">
      <c r="A964" s="672" t="inlineStr">
        <is>
          <t>E101091</t>
        </is>
      </c>
      <c r="B964" s="767">
        <f>ROW()</f>
        <v/>
      </c>
      <c r="C964" s="182" t="inlineStr">
        <is>
          <t>北京京亦综合能源有限公司</t>
        </is>
      </c>
      <c r="D964" s="182" t="inlineStr">
        <is>
          <t>ZI029E100748</t>
        </is>
      </c>
      <c r="E964" s="182" t="inlineStr">
        <is>
          <t>北京京能国际综合智慧能源有限公司</t>
        </is>
      </c>
      <c r="F964" s="716" t="n"/>
      <c r="G964" s="716" t="n"/>
      <c r="H964" s="462" t="n"/>
    </row>
    <row r="965">
      <c r="A965" s="672" t="inlineStr">
        <is>
          <t>E100344</t>
        </is>
      </c>
      <c r="B965" s="767">
        <f>ROW()</f>
        <v/>
      </c>
      <c r="C965" s="182" t="inlineStr">
        <is>
          <t>北京京煤集团总医院</t>
        </is>
      </c>
      <c r="D965" s="182" t="inlineStr">
        <is>
          <t>ZI029E100704</t>
        </is>
      </c>
      <c r="E965" s="182" t="inlineStr">
        <is>
          <t>北京京润仁康控股有限公司</t>
        </is>
      </c>
      <c r="F965" s="716" t="n"/>
      <c r="G965" s="716" t="n"/>
      <c r="H965" s="462" t="n"/>
    </row>
    <row r="966">
      <c r="A966" s="672" t="inlineStr">
        <is>
          <t>E100288</t>
        </is>
      </c>
      <c r="B966" s="767">
        <f>ROW()</f>
        <v/>
      </c>
      <c r="C966" s="182" t="inlineStr">
        <is>
          <t>北京科技高级技术学校</t>
        </is>
      </c>
      <c r="D966" s="182" t="inlineStr">
        <is>
          <t>ZI029E100268</t>
        </is>
      </c>
      <c r="E966" s="182" t="inlineStr">
        <is>
          <t>北京京煤集团有限责任公司</t>
        </is>
      </c>
      <c r="F966" s="716" t="n"/>
      <c r="G966" s="716" t="n"/>
      <c r="H966" s="462" t="n"/>
    </row>
    <row r="967">
      <c r="A967" s="672" t="inlineStr">
        <is>
          <t>E100803</t>
        </is>
      </c>
      <c r="B967" s="767">
        <f>ROW()</f>
        <v/>
      </c>
      <c r="C967" s="182" t="inlineStr">
        <is>
          <t>北京京能颐寿轩康养有限公司（原名东竹园康养）</t>
        </is>
      </c>
      <c r="D967" s="182" t="inlineStr">
        <is>
          <t>ZI029E100776</t>
        </is>
      </c>
      <c r="E967" s="182" t="inlineStr">
        <is>
          <t>北京健康养老集团有限公司</t>
        </is>
      </c>
      <c r="F967" s="716" t="n"/>
      <c r="G967" s="716" t="n"/>
      <c r="H967" s="462" t="n"/>
    </row>
    <row r="968">
      <c r="A968" s="672" t="inlineStr">
        <is>
          <t>E101141</t>
        </is>
      </c>
      <c r="B968" s="767">
        <f>ROW()</f>
        <v/>
      </c>
      <c r="C968" s="182" t="inlineStr">
        <is>
          <t>锡林郭勒峰峰能源有限公司</t>
        </is>
      </c>
      <c r="D968" s="182" t="inlineStr">
        <is>
          <t>ZI029E100000</t>
        </is>
      </c>
      <c r="E968" s="182" t="inlineStr">
        <is>
          <t>北京能源集团有限责任公司</t>
        </is>
      </c>
      <c r="F968" s="716" t="n"/>
      <c r="G968" s="716" t="n"/>
      <c r="H968" s="462" t="n"/>
    </row>
    <row r="969">
      <c r="A969" s="672" t="inlineStr">
        <is>
          <t>E100559</t>
        </is>
      </c>
      <c r="B969" s="767">
        <f>ROW()</f>
        <v/>
      </c>
      <c r="C969" s="182" t="inlineStr">
        <is>
          <t>北京能源投资集团（香港）有限公司</t>
        </is>
      </c>
      <c r="D969" s="182" t="inlineStr">
        <is>
          <t>ZI029E100000</t>
        </is>
      </c>
      <c r="E969" s="182" t="inlineStr">
        <is>
          <t>北京能源集团有限责任公司</t>
        </is>
      </c>
      <c r="F969" s="716" t="n"/>
      <c r="G969" s="716" t="n"/>
      <c r="H969" s="462" t="n"/>
    </row>
    <row r="970">
      <c r="A970" s="672" t="inlineStr">
        <is>
          <t>E101133</t>
        </is>
      </c>
      <c r="B970" s="767">
        <f>ROW()</f>
        <v/>
      </c>
      <c r="C970" s="182" t="inlineStr">
        <is>
          <t>京能冀北新能源（唐山）有限公司</t>
        </is>
      </c>
      <c r="D970" s="182" t="inlineStr">
        <is>
          <t>ZI029E100145</t>
        </is>
      </c>
      <c r="E970" s="182" t="inlineStr">
        <is>
          <t>北京京能电力股份有限公司</t>
        </is>
      </c>
      <c r="F970" s="716" t="n"/>
      <c r="G970" s="716" t="n"/>
      <c r="H970" s="462" t="n"/>
    </row>
    <row r="971">
      <c r="A971" s="672" t="inlineStr">
        <is>
          <t>E101142</t>
        </is>
      </c>
      <c r="B971" s="767">
        <f>ROW()</f>
        <v/>
      </c>
      <c r="C971" s="182">
        <f>IF(_epmOfflineCondition_,"灵寿县清智新能源科技有限公司",EPMMemberDesc(A971))</f>
        <v/>
      </c>
      <c r="D971" s="182" t="inlineStr">
        <is>
          <t>ZI029E100001</t>
        </is>
      </c>
      <c r="E971" s="182" t="inlineStr">
        <is>
          <t>北京京能清洁能源电力股份有限公司</t>
        </is>
      </c>
      <c r="F971" s="716" t="n"/>
      <c r="G971" s="716" t="n"/>
      <c r="H971" s="462" t="n"/>
    </row>
    <row r="972">
      <c r="A972" s="672" t="inlineStr">
        <is>
          <t>E100843</t>
        </is>
      </c>
      <c r="B972" s="767">
        <f>ROW()</f>
        <v/>
      </c>
      <c r="C972" s="182" t="inlineStr">
        <is>
          <t>北康秦皇岛健康养老有限公司</t>
        </is>
      </c>
      <c r="D972" s="182" t="inlineStr">
        <is>
          <t>ZI029E100776</t>
        </is>
      </c>
      <c r="E972" s="182" t="inlineStr">
        <is>
          <t>北京健康养老集团有限公司</t>
        </is>
      </c>
      <c r="F972" s="716" t="n"/>
      <c r="G972" s="716" t="n"/>
      <c r="H972" s="462" t="n"/>
    </row>
    <row r="973">
      <c r="A973" s="672" t="inlineStr">
        <is>
          <t>E101136</t>
        </is>
      </c>
      <c r="B973" s="767">
        <f>ROW()</f>
        <v/>
      </c>
      <c r="C973" s="182" t="inlineStr">
        <is>
          <t>北京市石景山区老年福养老服务中心</t>
        </is>
      </c>
      <c r="D973" s="182" t="inlineStr">
        <is>
          <t>ZI029E100776</t>
        </is>
      </c>
      <c r="E973" s="182" t="inlineStr">
        <is>
          <t>北京健康养老集团有限公司</t>
        </is>
      </c>
      <c r="F973" s="716" t="n"/>
      <c r="G973" s="716" t="n"/>
      <c r="H973" s="462" t="n"/>
    </row>
    <row r="974">
      <c r="A974" s="672" t="inlineStr">
        <is>
          <t>E101138</t>
        </is>
      </c>
      <c r="B974" s="767">
        <f>ROW()</f>
        <v/>
      </c>
      <c r="C974" s="182" t="inlineStr">
        <is>
          <t>北京市门头沟区沁心园养老照料中心</t>
        </is>
      </c>
      <c r="D974" s="182" t="inlineStr">
        <is>
          <t>ZI029E101136</t>
        </is>
      </c>
      <c r="E974" s="182" t="inlineStr">
        <is>
          <t>北京市石景山区老年福养老服务中心</t>
        </is>
      </c>
      <c r="F974" s="716" t="n"/>
      <c r="G974" s="716" t="n"/>
      <c r="H974" s="462" t="n"/>
    </row>
    <row r="975">
      <c r="A975" s="672" t="inlineStr">
        <is>
          <t>E100014H</t>
        </is>
      </c>
      <c r="B975" s="767">
        <f>ROW()</f>
        <v/>
      </c>
      <c r="C975" s="182" t="inlineStr">
        <is>
          <t>北京京能新能源有限公司（合并）</t>
        </is>
      </c>
      <c r="D975" s="182" t="inlineStr">
        <is>
          <t>ZI029E100001</t>
        </is>
      </c>
      <c r="E975" s="182" t="inlineStr">
        <is>
          <t>北京京能清洁能源电力股份有限公司</t>
        </is>
      </c>
      <c r="F975" s="716" t="n"/>
      <c r="G975" s="716" t="n"/>
      <c r="H975" s="462" t="n"/>
    </row>
    <row r="976">
      <c r="A976" s="672" t="inlineStr">
        <is>
          <t>E100031H</t>
        </is>
      </c>
      <c r="B976" s="767">
        <f>ROW()</f>
        <v/>
      </c>
      <c r="C976" s="182" t="inlineStr">
        <is>
          <t>五家渠京能新能源有限责任公司（合并）</t>
        </is>
      </c>
      <c r="D976" s="182" t="inlineStr">
        <is>
          <t>ZI029E100001</t>
        </is>
      </c>
      <c r="E976" s="182" t="inlineStr">
        <is>
          <t>北京京能清洁能源电力股份有限公司</t>
        </is>
      </c>
      <c r="F976" s="716" t="n"/>
      <c r="G976" s="716" t="n"/>
      <c r="H976" s="462" t="n"/>
    </row>
    <row r="977">
      <c r="A977" s="672" t="inlineStr">
        <is>
          <t>E100050G</t>
        </is>
      </c>
      <c r="B977" s="767">
        <f>ROW()</f>
        <v/>
      </c>
      <c r="C977" s="182" t="inlineStr">
        <is>
          <t>内蒙古京能苏尼特风力发电有限公司（合并）</t>
        </is>
      </c>
      <c r="D977" s="182" t="inlineStr">
        <is>
          <t>ZI029E100001</t>
        </is>
      </c>
      <c r="E977" s="182" t="inlineStr">
        <is>
          <t>北京京能清洁能源电力股份有限公司</t>
        </is>
      </c>
      <c r="F977" s="716" t="n"/>
      <c r="G977" s="716" t="n"/>
      <c r="H977" s="462" t="n"/>
    </row>
    <row r="978">
      <c r="A978" s="672" t="inlineStr">
        <is>
          <t>E100096G</t>
        </is>
      </c>
      <c r="B978" s="767">
        <f>ROW()</f>
        <v/>
      </c>
      <c r="C978" s="182" t="inlineStr">
        <is>
          <t>四川大川电力有限公司（合并）</t>
        </is>
      </c>
      <c r="D978" s="182" t="inlineStr">
        <is>
          <t>ZI029E100001</t>
        </is>
      </c>
      <c r="E978" s="182" t="inlineStr">
        <is>
          <t>北京京能清洁能源电力股份有限公司</t>
        </is>
      </c>
      <c r="F978" s="716" t="n"/>
      <c r="G978" s="716" t="n"/>
      <c r="H978" s="462" t="n"/>
    </row>
    <row r="979">
      <c r="A979" s="672" t="inlineStr">
        <is>
          <t>E100108H</t>
        </is>
      </c>
      <c r="B979" s="767">
        <f>ROW()</f>
        <v/>
      </c>
      <c r="C979" s="182" t="inlineStr">
        <is>
          <t>京能服务管理有限公司（合并）</t>
        </is>
      </c>
      <c r="D979" s="182" t="inlineStr">
        <is>
          <t>ZI029E100000</t>
        </is>
      </c>
      <c r="E979" s="182" t="inlineStr">
        <is>
          <t>北京能源集团有限责任公司</t>
        </is>
      </c>
      <c r="F979" s="716" t="n"/>
      <c r="G979" s="716" t="n"/>
      <c r="H979" s="462" t="n"/>
    </row>
    <row r="980">
      <c r="A980" s="672" t="inlineStr">
        <is>
          <t>E100109G</t>
        </is>
      </c>
      <c r="B980" s="767">
        <f>ROW()</f>
        <v/>
      </c>
      <c r="C980" s="182" t="inlineStr">
        <is>
          <t>京能电力后勤服务有限公司（合并）</t>
        </is>
      </c>
      <c r="D980" s="182" t="inlineStr">
        <is>
          <t>ZI029E100000</t>
        </is>
      </c>
      <c r="E980" s="182" t="inlineStr">
        <is>
          <t>北京能源集团有限责任公司</t>
        </is>
      </c>
      <c r="F980" s="716" t="n"/>
      <c r="G980" s="716" t="n"/>
      <c r="H980" s="462" t="n"/>
    </row>
    <row r="981">
      <c r="A981" s="672" t="inlineStr">
        <is>
          <t>E100109H</t>
        </is>
      </c>
      <c r="B981" s="767">
        <f>ROW()</f>
        <v/>
      </c>
      <c r="C981" s="182" t="inlineStr">
        <is>
          <t>京能电力后勤服务有限公司（母公司）</t>
        </is>
      </c>
      <c r="D981" s="182" t="inlineStr">
        <is>
          <t>ZI029E100000</t>
        </is>
      </c>
      <c r="E981" s="182" t="inlineStr">
        <is>
          <t>北京能源集团有限责任公司</t>
        </is>
      </c>
      <c r="F981" s="716" t="n"/>
      <c r="G981" s="716" t="n"/>
      <c r="H981" s="462" t="n"/>
    </row>
    <row r="982">
      <c r="A982" s="672" t="inlineStr">
        <is>
          <t>E100135H</t>
        </is>
      </c>
      <c r="B982" s="767">
        <f>ROW()</f>
        <v/>
      </c>
      <c r="C982" s="182" t="inlineStr">
        <is>
          <t>京能电力涿州科技环保有限公司（合并）</t>
        </is>
      </c>
      <c r="D982" s="182" t="inlineStr">
        <is>
          <t>ZI029E100109</t>
        </is>
      </c>
      <c r="E982" s="182" t="inlineStr">
        <is>
          <t>京能电力后勤服务有限公司</t>
        </is>
      </c>
      <c r="F982" s="716" t="n"/>
      <c r="G982" s="716" t="n"/>
      <c r="H982" s="462" t="n"/>
    </row>
    <row r="983">
      <c r="A983" s="672" t="inlineStr">
        <is>
          <t>E100142G</t>
        </is>
      </c>
      <c r="B983" s="767">
        <f>ROW()</f>
        <v/>
      </c>
      <c r="C983" s="182" t="inlineStr">
        <is>
          <t>北京京能国际能源股份有限公司（合并）</t>
        </is>
      </c>
      <c r="D983" s="182" t="inlineStr">
        <is>
          <t>ZI029E100000</t>
        </is>
      </c>
      <c r="E983" s="182" t="inlineStr">
        <is>
          <t>北京能源集团有限责任公司</t>
        </is>
      </c>
      <c r="F983" s="716" t="n"/>
      <c r="G983" s="716" t="n"/>
      <c r="H983" s="462" t="n"/>
    </row>
    <row r="984">
      <c r="A984" s="672" t="inlineStr">
        <is>
          <t>E100151G</t>
        </is>
      </c>
      <c r="B984" s="767">
        <f>ROW()</f>
        <v/>
      </c>
      <c r="C984" s="182" t="inlineStr">
        <is>
          <t>山西漳山发电有限责任公司（合并）</t>
        </is>
      </c>
      <c r="D984" s="182" t="inlineStr">
        <is>
          <t>ZI029E100145</t>
        </is>
      </c>
      <c r="E984" s="182" t="inlineStr">
        <is>
          <t>北京京能电力股份有限公司</t>
        </is>
      </c>
      <c r="F984" s="716" t="n"/>
      <c r="G984" s="716" t="n"/>
      <c r="H984" s="462" t="n"/>
    </row>
    <row r="985">
      <c r="A985" s="672" t="inlineStr">
        <is>
          <t>E100154G</t>
        </is>
      </c>
      <c r="B985" s="767">
        <f>ROW()</f>
        <v/>
      </c>
      <c r="C985" s="182" t="inlineStr">
        <is>
          <t>内蒙古京隆发电有限责任公司（合并）</t>
        </is>
      </c>
      <c r="D985" s="182" t="inlineStr">
        <is>
          <t>ZI029E100145</t>
        </is>
      </c>
      <c r="E985" s="182" t="inlineStr">
        <is>
          <t>北京京能电力股份有限公司</t>
        </is>
      </c>
      <c r="F985" s="716" t="n"/>
      <c r="G985" s="716" t="n"/>
      <c r="H985" s="462" t="n"/>
    </row>
    <row r="986">
      <c r="A986" s="672" t="inlineStr">
        <is>
          <t>E100218G</t>
        </is>
      </c>
      <c r="B986" s="767">
        <f>ROW()</f>
        <v/>
      </c>
      <c r="C986" s="182" t="inlineStr">
        <is>
          <t>北京京能油气资源开发有限公司（合并）</t>
        </is>
      </c>
      <c r="D986" s="182" t="inlineStr">
        <is>
          <t>ZI029E100000</t>
        </is>
      </c>
      <c r="E986" s="182" t="inlineStr">
        <is>
          <t>北京能源集团有限责任公司</t>
        </is>
      </c>
      <c r="F986" s="716" t="n"/>
      <c r="G986" s="716" t="n"/>
      <c r="H986" s="462" t="n"/>
    </row>
    <row r="987">
      <c r="A987" s="672" t="inlineStr">
        <is>
          <t>E100222G</t>
        </is>
      </c>
      <c r="B987" s="767">
        <f>ROW()</f>
        <v/>
      </c>
      <c r="C987" s="182" t="inlineStr">
        <is>
          <t>北京市热力集团有限责任公司（合并）</t>
        </is>
      </c>
      <c r="D987" s="182" t="inlineStr">
        <is>
          <t>ZI029E100000</t>
        </is>
      </c>
      <c r="E987" s="182" t="inlineStr">
        <is>
          <t>北京能源集团有限责任公司</t>
        </is>
      </c>
      <c r="F987" s="716" t="n"/>
      <c r="G987" s="716" t="n"/>
      <c r="H987" s="462" t="n"/>
    </row>
    <row r="988">
      <c r="A988" s="672" t="inlineStr">
        <is>
          <t>E100222H</t>
        </is>
      </c>
      <c r="B988" s="767">
        <f>ROW()</f>
        <v/>
      </c>
      <c r="C988" s="182" t="inlineStr">
        <is>
          <t>北京市热力集团有限责任公司（母公司）</t>
        </is>
      </c>
      <c r="D988" s="182" t="inlineStr">
        <is>
          <t>ZI029E100000</t>
        </is>
      </c>
      <c r="E988" s="182" t="inlineStr">
        <is>
          <t>北京能源集团有限责任公司</t>
        </is>
      </c>
      <c r="F988" s="716" t="n"/>
      <c r="G988" s="716" t="n"/>
      <c r="H988" s="462" t="n"/>
    </row>
    <row r="989">
      <c r="A989" s="672" t="inlineStr">
        <is>
          <t>E100233G</t>
        </is>
      </c>
      <c r="B989" s="767">
        <f>ROW()</f>
        <v/>
      </c>
      <c r="C989" s="182" t="inlineStr">
        <is>
          <t>北京市热力工程设计有限责任公司（合并）</t>
        </is>
      </c>
      <c r="D989" s="182" t="inlineStr">
        <is>
          <t>ZI029E100222</t>
        </is>
      </c>
      <c r="E989" s="182" t="inlineStr">
        <is>
          <t>北京市热力集团有限责任公司</t>
        </is>
      </c>
      <c r="F989" s="716" t="n"/>
      <c r="G989" s="716" t="n"/>
      <c r="H989" s="462" t="n"/>
    </row>
    <row r="990">
      <c r="A990" s="672" t="inlineStr">
        <is>
          <t>E100233H</t>
        </is>
      </c>
      <c r="B990" s="767">
        <f>ROW()</f>
        <v/>
      </c>
      <c r="C990" s="182" t="inlineStr">
        <is>
          <t>北京市热力工程设计有限责任公司（母公司）</t>
        </is>
      </c>
      <c r="D990" s="182" t="inlineStr">
        <is>
          <t>ZI029E100222</t>
        </is>
      </c>
      <c r="E990" s="182" t="inlineStr">
        <is>
          <t>北京市热力集团有限责任公司</t>
        </is>
      </c>
      <c r="F990" s="716" t="n"/>
      <c r="G990" s="716" t="n"/>
      <c r="H990" s="462" t="n"/>
    </row>
    <row r="991">
      <c r="A991" s="672" t="inlineStr">
        <is>
          <t>E100238H</t>
        </is>
      </c>
      <c r="B991" s="767">
        <f>ROW()</f>
        <v/>
      </c>
      <c r="C991" s="182" t="inlineStr">
        <is>
          <t>北京热力装备制造有限公司（母公司）</t>
        </is>
      </c>
      <c r="D991" s="182" t="inlineStr">
        <is>
          <t>ZI029E100222</t>
        </is>
      </c>
      <c r="E991" s="182" t="inlineStr">
        <is>
          <t>北京市热力集团有限责任公司</t>
        </is>
      </c>
      <c r="F991" s="716" t="n"/>
      <c r="G991" s="716" t="n"/>
      <c r="H991" s="462" t="n"/>
    </row>
    <row r="992">
      <c r="A992" s="672" t="inlineStr">
        <is>
          <t>E100245G</t>
        </is>
      </c>
      <c r="B992" s="767">
        <f>ROW()</f>
        <v/>
      </c>
      <c r="C992" s="182" t="inlineStr">
        <is>
          <t>北京市特诚热力有限责任公司（合并）</t>
        </is>
      </c>
      <c r="D992" s="182" t="inlineStr">
        <is>
          <t>ZI029E100259</t>
        </is>
      </c>
      <c r="E992" s="182" t="inlineStr">
        <is>
          <t>北京京能热力发展有限公司</t>
        </is>
      </c>
      <c r="F992" s="716" t="n"/>
      <c r="G992" s="716" t="n"/>
      <c r="H992" s="462" t="n"/>
    </row>
    <row r="993">
      <c r="A993" s="672" t="inlineStr">
        <is>
          <t>E100252H</t>
        </is>
      </c>
      <c r="B993" s="767">
        <f>ROW()</f>
        <v/>
      </c>
      <c r="C993" s="182" t="inlineStr">
        <is>
          <t>三河新源供热有限公司（母公司）</t>
        </is>
      </c>
      <c r="D993" s="182" t="inlineStr">
        <is>
          <t>ZI029E100259</t>
        </is>
      </c>
      <c r="E993" s="182" t="inlineStr">
        <is>
          <t>北京京能热力发展有限公司</t>
        </is>
      </c>
      <c r="F993" s="716" t="n"/>
      <c r="G993" s="716" t="n"/>
      <c r="H993" s="462" t="n"/>
    </row>
    <row r="994">
      <c r="A994" s="672" t="inlineStr">
        <is>
          <t>E100259G</t>
        </is>
      </c>
      <c r="B994" s="767">
        <f>ROW()</f>
        <v/>
      </c>
      <c r="C994" s="182" t="inlineStr">
        <is>
          <t>北京京能热力发展有限公司（合并）</t>
        </is>
      </c>
      <c r="D994" s="182" t="inlineStr">
        <is>
          <t>ZI029E100000</t>
        </is>
      </c>
      <c r="E994" s="182" t="inlineStr">
        <is>
          <t>北京能源集团有限责任公司</t>
        </is>
      </c>
      <c r="F994" s="716" t="n"/>
      <c r="G994" s="716" t="n"/>
      <c r="H994" s="462" t="n"/>
    </row>
    <row r="995">
      <c r="A995" s="672" t="inlineStr">
        <is>
          <t>E100259H</t>
        </is>
      </c>
      <c r="B995" s="767">
        <f>ROW()</f>
        <v/>
      </c>
      <c r="C995" s="182" t="inlineStr">
        <is>
          <t>北京京能热力发展有限公司（母公司）</t>
        </is>
      </c>
      <c r="D995" s="182" t="inlineStr">
        <is>
          <t>ZI029E100000</t>
        </is>
      </c>
      <c r="E995" s="182" t="inlineStr">
        <is>
          <t>北京能源集团有限责任公司</t>
        </is>
      </c>
      <c r="F995" s="716" t="n"/>
      <c r="G995" s="716" t="n"/>
      <c r="H995" s="462" t="n"/>
    </row>
    <row r="996">
      <c r="A996" s="672" t="inlineStr">
        <is>
          <t>E100268G</t>
        </is>
      </c>
      <c r="B996" s="767">
        <f>ROW()</f>
        <v/>
      </c>
      <c r="C996" s="182" t="inlineStr">
        <is>
          <t>北京京煤集团有限责任公司（合并）</t>
        </is>
      </c>
      <c r="D996" s="182" t="inlineStr">
        <is>
          <t>ZI029E100000</t>
        </is>
      </c>
      <c r="E996" s="182" t="inlineStr">
        <is>
          <t>北京能源集团有限责任公司</t>
        </is>
      </c>
      <c r="F996" s="716" t="n"/>
      <c r="G996" s="716" t="n"/>
      <c r="H996" s="462" t="n"/>
    </row>
    <row r="997">
      <c r="A997" s="672" t="inlineStr">
        <is>
          <t>E100268H</t>
        </is>
      </c>
      <c r="B997" s="767">
        <f>ROW()</f>
        <v/>
      </c>
      <c r="C997" s="182" t="inlineStr">
        <is>
          <t>北京京煤集团有限责任公司（母公司）</t>
        </is>
      </c>
      <c r="D997" s="182" t="inlineStr">
        <is>
          <t>ZI029E100000</t>
        </is>
      </c>
      <c r="E997" s="182" t="inlineStr">
        <is>
          <t>北京能源集团有限责任公司</t>
        </is>
      </c>
      <c r="F997" s="716" t="n"/>
      <c r="G997" s="716" t="n"/>
      <c r="H997" s="462" t="n"/>
    </row>
    <row r="998">
      <c r="A998" s="672" t="inlineStr">
        <is>
          <t>E100280H</t>
        </is>
      </c>
      <c r="B998" s="767">
        <f>ROW()</f>
        <v/>
      </c>
      <c r="C998" s="182" t="inlineStr">
        <is>
          <t>海南金泰旅业开发有限公司（汇总）</t>
        </is>
      </c>
      <c r="D998" s="182" t="inlineStr">
        <is>
          <t>ZI029E100353</t>
        </is>
      </c>
      <c r="E998" s="182" t="inlineStr">
        <is>
          <t>北京京能房产租赁经营有限责任公司</t>
        </is>
      </c>
      <c r="F998" s="716" t="n"/>
      <c r="G998" s="716" t="n"/>
      <c r="H998" s="462" t="n"/>
    </row>
    <row r="999">
      <c r="A999" s="672" t="inlineStr">
        <is>
          <t>E100293G</t>
        </is>
      </c>
      <c r="B999" s="767">
        <f>ROW()</f>
        <v/>
      </c>
      <c r="C999" s="182" t="inlineStr">
        <is>
          <t>北京京能酒店管理有限公司（合并）</t>
        </is>
      </c>
      <c r="D999" s="182" t="inlineStr">
        <is>
          <t>ZI029E100268</t>
        </is>
      </c>
      <c r="E999" s="182" t="inlineStr">
        <is>
          <t>北京京煤集团有限责任公司</t>
        </is>
      </c>
      <c r="F999" s="716" t="n"/>
      <c r="G999" s="716" t="n"/>
      <c r="H999" s="462" t="n"/>
    </row>
    <row r="1000">
      <c r="A1000" s="672" t="inlineStr">
        <is>
          <t>E100293H</t>
        </is>
      </c>
      <c r="B1000" s="767">
        <f>ROW()</f>
        <v/>
      </c>
      <c r="C1000" s="182" t="inlineStr">
        <is>
          <t>北京京能酒店管理有限公司（母公司）</t>
        </is>
      </c>
      <c r="D1000" s="182" t="inlineStr">
        <is>
          <t>ZI029E100268</t>
        </is>
      </c>
      <c r="E1000" s="182" t="inlineStr">
        <is>
          <t>北京京煤集团有限责任公司</t>
        </is>
      </c>
      <c r="F1000" s="716" t="n"/>
      <c r="G1000" s="716" t="n"/>
      <c r="H1000" s="462" t="n"/>
    </row>
    <row r="1001">
      <c r="A1001" s="672" t="inlineStr">
        <is>
          <t>E100294H</t>
        </is>
      </c>
      <c r="B1001" s="767">
        <f>ROW()</f>
        <v/>
      </c>
      <c r="C1001" s="182" t="inlineStr">
        <is>
          <t>北京金泰国际会展有限公司（母公司）</t>
        </is>
      </c>
      <c r="D1001" s="182" t="inlineStr">
        <is>
          <t>ZI029E100293</t>
        </is>
      </c>
      <c r="E1001" s="182" t="inlineStr">
        <is>
          <t>北京京能酒店管理有限公司</t>
        </is>
      </c>
      <c r="F1001" s="716" t="n"/>
      <c r="G1001" s="716" t="n"/>
      <c r="H1001" s="462" t="n"/>
    </row>
    <row r="1002">
      <c r="A1002" s="672" t="inlineStr">
        <is>
          <t>E100296H</t>
        </is>
      </c>
      <c r="B1002" s="767">
        <f>ROW()</f>
        <v/>
      </c>
      <c r="C1002" s="182" t="inlineStr">
        <is>
          <t>北京金泰之家宾馆有限公司（母公司）</t>
        </is>
      </c>
      <c r="D1002" s="182" t="inlineStr">
        <is>
          <t>ZI029E100293</t>
        </is>
      </c>
      <c r="E1002" s="182" t="inlineStr">
        <is>
          <t>北京京能酒店管理有限公司</t>
        </is>
      </c>
      <c r="F1002" s="716" t="n"/>
      <c r="G1002" s="716" t="n"/>
      <c r="H1002" s="462" t="n"/>
    </row>
    <row r="1003">
      <c r="A1003" s="672" t="inlineStr">
        <is>
          <t>E100302G</t>
        </is>
      </c>
      <c r="B1003" s="767">
        <f>ROW()</f>
        <v/>
      </c>
      <c r="C1003" s="182" t="inlineStr">
        <is>
          <t>北京京辉高尔夫俱乐部有限公司（合并）</t>
        </is>
      </c>
      <c r="D1003" s="182" t="inlineStr">
        <is>
          <t>ZI029E100320</t>
        </is>
      </c>
      <c r="E1003" s="182" t="inlineStr">
        <is>
          <t>北京市天创房地产开发有限公司</t>
        </is>
      </c>
      <c r="F1003" s="716" t="n"/>
      <c r="G1003" s="716" t="n"/>
      <c r="H1003" s="462" t="n"/>
    </row>
    <row r="1004">
      <c r="A1004" s="672" t="inlineStr">
        <is>
          <t>E100305H</t>
        </is>
      </c>
      <c r="B1004" s="767">
        <f>ROW()</f>
        <v/>
      </c>
      <c r="C1004" s="182" t="inlineStr">
        <is>
          <t>北京金泰之家通华苑饭店有限公司（母公司）</t>
        </is>
      </c>
      <c r="D1004" s="182" t="inlineStr">
        <is>
          <t>ZI029E100293</t>
        </is>
      </c>
      <c r="E1004" s="182" t="inlineStr">
        <is>
          <t>北京京能酒店管理有限公司</t>
        </is>
      </c>
      <c r="F1004" s="716" t="n"/>
      <c r="G1004" s="716" t="n"/>
      <c r="H1004" s="462" t="n"/>
    </row>
    <row r="1005">
      <c r="A1005" s="672" t="inlineStr">
        <is>
          <t>E100306H</t>
        </is>
      </c>
      <c r="B1005" s="767">
        <f>ROW()</f>
        <v/>
      </c>
      <c r="C1005" s="182" t="inlineStr">
        <is>
          <t>宁夏京能创业房地产开发有限公司（汇总）</t>
        </is>
      </c>
      <c r="D1005" s="182" t="inlineStr">
        <is>
          <t>ZI029E100268</t>
        </is>
      </c>
      <c r="E1005" s="182" t="inlineStr">
        <is>
          <t>北京京煤集团有限责任公司</t>
        </is>
      </c>
      <c r="F1005" s="716" t="n"/>
      <c r="G1005" s="716" t="n"/>
      <c r="H1005" s="462" t="n"/>
    </row>
    <row r="1006">
      <c r="A1006" s="672" t="inlineStr">
        <is>
          <t>E100314H</t>
        </is>
      </c>
      <c r="B1006" s="767">
        <f>ROW()</f>
        <v/>
      </c>
      <c r="C1006" s="182" t="inlineStr">
        <is>
          <t>北京金泰恒业燃料有限公司（汇总）</t>
        </is>
      </c>
      <c r="D1006" s="182" t="inlineStr">
        <is>
          <t>ZI029E100353</t>
        </is>
      </c>
      <c r="E1006" s="182" t="inlineStr">
        <is>
          <t>北京京能房产租赁经营有限责任公司</t>
        </is>
      </c>
      <c r="F1006" s="716" t="n"/>
      <c r="G1006" s="716" t="n"/>
      <c r="H1006" s="462" t="n"/>
    </row>
    <row r="1007">
      <c r="A1007" s="672" t="inlineStr">
        <is>
          <t>E100320G</t>
        </is>
      </c>
      <c r="B1007" s="767">
        <f>ROW()</f>
        <v/>
      </c>
      <c r="C1007" s="182" t="inlineStr">
        <is>
          <t>北京市天创房地产开发有限公司（合并）</t>
        </is>
      </c>
      <c r="D1007" s="182" t="inlineStr">
        <is>
          <t>ZI029E100268</t>
        </is>
      </c>
      <c r="E1007" s="182" t="inlineStr">
        <is>
          <t>北京京煤集团有限责任公司</t>
        </is>
      </c>
      <c r="F1007" s="716" t="n"/>
      <c r="G1007" s="716" t="n"/>
      <c r="H1007" s="462" t="n"/>
    </row>
    <row r="1008">
      <c r="A1008" s="672" t="inlineStr">
        <is>
          <t>E100326H</t>
        </is>
      </c>
      <c r="B1008" s="767">
        <f>ROW()</f>
        <v/>
      </c>
      <c r="C1008" s="182" t="inlineStr">
        <is>
          <t>北京金泰通华商贸有限责任公司（汇总）</t>
        </is>
      </c>
      <c r="D1008" s="182" t="inlineStr">
        <is>
          <t>ZI029E100353</t>
        </is>
      </c>
      <c r="E1008" s="182" t="inlineStr">
        <is>
          <t>北京京能房产租赁经营有限责任公司</t>
        </is>
      </c>
      <c r="F1008" s="716" t="n"/>
      <c r="G1008" s="716" t="n"/>
      <c r="H1008" s="462" t="n"/>
    </row>
    <row r="1009">
      <c r="A1009" s="672" t="inlineStr">
        <is>
          <t>E100344H</t>
        </is>
      </c>
      <c r="B1009" s="767">
        <f>ROW()</f>
        <v/>
      </c>
      <c r="C1009" s="182" t="inlineStr">
        <is>
          <t>北京京煤集团总医院（汇总）</t>
        </is>
      </c>
      <c r="D1009" s="182" t="inlineStr">
        <is>
          <t>ZI029E100704</t>
        </is>
      </c>
      <c r="E1009" s="182" t="inlineStr">
        <is>
          <t>北京京润仁康控股有限公司</t>
        </is>
      </c>
      <c r="F1009" s="716" t="n"/>
      <c r="G1009" s="716" t="n"/>
      <c r="H1009" s="462" t="n"/>
    </row>
    <row r="1010">
      <c r="A1010" s="672" t="inlineStr">
        <is>
          <t>E100353G</t>
        </is>
      </c>
      <c r="B1010" s="767">
        <f>ROW()</f>
        <v/>
      </c>
      <c r="C1010" s="182" t="inlineStr">
        <is>
          <t>北京京能房产租赁经营有限责任公司（合并）</t>
        </is>
      </c>
      <c r="D1010" s="182" t="inlineStr">
        <is>
          <t>ZI029E100268</t>
        </is>
      </c>
      <c r="E1010" s="182" t="inlineStr">
        <is>
          <t>北京京煤集团有限责任公司</t>
        </is>
      </c>
      <c r="F1010" s="716" t="n"/>
      <c r="G1010" s="716" t="n"/>
      <c r="H1010" s="462" t="n"/>
    </row>
    <row r="1011">
      <c r="A1011" s="672" t="inlineStr">
        <is>
          <t>E100353H</t>
        </is>
      </c>
      <c r="B1011" s="767">
        <f>ROW()</f>
        <v/>
      </c>
      <c r="C1011" s="182" t="inlineStr">
        <is>
          <t>北京京能房产租赁经营有限责任公司（母公司）</t>
        </is>
      </c>
      <c r="D1011" s="182" t="inlineStr">
        <is>
          <t>ZI029E100268</t>
        </is>
      </c>
      <c r="E1011" s="182" t="inlineStr">
        <is>
          <t>北京京煤集团有限责任公司</t>
        </is>
      </c>
      <c r="F1011" s="716" t="n"/>
      <c r="G1011" s="716" t="n"/>
      <c r="H1011" s="462" t="n"/>
    </row>
    <row r="1012">
      <c r="A1012" s="672" t="inlineStr">
        <is>
          <t>E100362H</t>
        </is>
      </c>
      <c r="B1012" s="767">
        <f>ROW()</f>
        <v/>
      </c>
      <c r="C1012" s="182" t="inlineStr">
        <is>
          <t>北京金泰物业管理有限公司（汇总）</t>
        </is>
      </c>
      <c r="D1012" s="182" t="inlineStr">
        <is>
          <t>ZI029E100268</t>
        </is>
      </c>
      <c r="E1012" s="182" t="inlineStr">
        <is>
          <t>北京京煤集团有限责任公司</t>
        </is>
      </c>
      <c r="F1012" s="716" t="n"/>
      <c r="G1012" s="716" t="n"/>
      <c r="H1012" s="462" t="n"/>
    </row>
    <row r="1013">
      <c r="A1013" s="672" t="inlineStr">
        <is>
          <t>E100371G</t>
        </is>
      </c>
      <c r="B1013" s="767">
        <f>ROW()</f>
        <v/>
      </c>
      <c r="C1013" s="182" t="inlineStr">
        <is>
          <t>北京京能科技有限公司（合并）</t>
        </is>
      </c>
      <c r="D1013" s="182" t="inlineStr">
        <is>
          <t>ZI029E100000</t>
        </is>
      </c>
      <c r="E1013" s="182" t="inlineStr">
        <is>
          <t>北京能源集团有限责任公司</t>
        </is>
      </c>
      <c r="F1013" s="716" t="n"/>
      <c r="G1013" s="716" t="n"/>
      <c r="H1013" s="462" t="n"/>
    </row>
    <row r="1014">
      <c r="A1014" s="672" t="inlineStr">
        <is>
          <t>E100405G</t>
        </is>
      </c>
      <c r="B1014" s="767">
        <f>ROW()</f>
        <v/>
      </c>
      <c r="C1014" s="182" t="inlineStr">
        <is>
          <t>北京高新技术创业投资有限公司（合并）</t>
        </is>
      </c>
      <c r="D1014" s="182" t="inlineStr">
        <is>
          <t>ZI029E100000</t>
        </is>
      </c>
      <c r="E1014" s="182" t="inlineStr">
        <is>
          <t>北京能源集团有限责任公司</t>
        </is>
      </c>
      <c r="F1014" s="716" t="n"/>
      <c r="G1014" s="716" t="n"/>
      <c r="H1014" s="462" t="n"/>
    </row>
    <row r="1015">
      <c r="A1015" s="672" t="inlineStr">
        <is>
          <t>E100421G</t>
        </is>
      </c>
      <c r="B1015" s="767">
        <f>ROW()</f>
        <v/>
      </c>
      <c r="C1015" s="182" t="inlineStr">
        <is>
          <t>北京金泰房地产开发有限责任公司（合并）</t>
        </is>
      </c>
      <c r="D1015" s="182" t="inlineStr">
        <is>
          <t>ZI029E100000</t>
        </is>
      </c>
      <c r="E1015" s="182" t="inlineStr">
        <is>
          <t>北京能源集团有限责任公司</t>
        </is>
      </c>
      <c r="F1015" s="716" t="n"/>
      <c r="G1015" s="716" t="n"/>
      <c r="H1015" s="462" t="n"/>
    </row>
    <row r="1016">
      <c r="A1016" s="672" t="inlineStr">
        <is>
          <t>E100421H</t>
        </is>
      </c>
      <c r="B1016" s="767">
        <f>ROW()</f>
        <v/>
      </c>
      <c r="C1016" s="182" t="inlineStr">
        <is>
          <t>北京金泰房地产开发有限责任公司（母公司）</t>
        </is>
      </c>
      <c r="D1016" s="182" t="inlineStr">
        <is>
          <t>ZI029E100000</t>
        </is>
      </c>
      <c r="E1016" s="182" t="inlineStr">
        <is>
          <t>北京能源集团有限责任公司</t>
        </is>
      </c>
      <c r="F1016" s="716" t="n"/>
      <c r="G1016" s="716" t="n"/>
      <c r="H1016" s="462" t="n"/>
    </row>
    <row r="1017">
      <c r="A1017" s="672" t="inlineStr">
        <is>
          <t>E100422G</t>
        </is>
      </c>
      <c r="B1017" s="767">
        <f>ROW()</f>
        <v/>
      </c>
      <c r="C1017" s="182" t="inlineStr">
        <is>
          <t>北京京能建设集团有限公司（合并）</t>
        </is>
      </c>
      <c r="D1017" s="182" t="inlineStr">
        <is>
          <t>ZI029E100000</t>
        </is>
      </c>
      <c r="E1017" s="182" t="inlineStr">
        <is>
          <t>北京能源集团有限责任公司</t>
        </is>
      </c>
      <c r="F1017" s="716" t="n"/>
      <c r="G1017" s="716" t="n"/>
      <c r="H1017" s="462" t="n"/>
    </row>
    <row r="1018">
      <c r="A1018" s="672" t="inlineStr">
        <is>
          <t>E100433H</t>
        </is>
      </c>
      <c r="B1018" s="767">
        <f>ROW()</f>
        <v/>
      </c>
      <c r="C1018" s="182" t="inlineStr">
        <is>
          <t>北京丽富房地产开发有限公司（汇总）</t>
        </is>
      </c>
      <c r="D1018" s="182" t="inlineStr">
        <is>
          <t>ZI029E100420</t>
        </is>
      </c>
      <c r="E1018" s="182" t="inlineStr">
        <is>
          <t>京能置业股份有限公司</t>
        </is>
      </c>
      <c r="F1018" s="716" t="n"/>
      <c r="G1018" s="716" t="n"/>
      <c r="H1018" s="462" t="n"/>
    </row>
    <row r="1019">
      <c r="A1019" s="672" t="inlineStr">
        <is>
          <t>E100448H</t>
        </is>
      </c>
      <c r="B1019" s="767">
        <f>ROW()</f>
        <v/>
      </c>
      <c r="C1019" s="182" t="inlineStr">
        <is>
          <t>北京金泰卓越物业管理有限公司（汇总）</t>
        </is>
      </c>
      <c r="D1019" s="182" t="inlineStr">
        <is>
          <t>ZI029E100421</t>
        </is>
      </c>
      <c r="E1019" s="182" t="inlineStr">
        <is>
          <t>北京金泰房地产开发有限责任公司</t>
        </is>
      </c>
      <c r="F1019" s="716" t="n"/>
      <c r="G1019" s="716" t="n"/>
      <c r="H1019" s="462" t="n"/>
    </row>
    <row r="1020">
      <c r="A1020" s="672" t="inlineStr">
        <is>
          <t>E100543G</t>
        </is>
      </c>
      <c r="B1020" s="767">
        <f>ROW()</f>
        <v/>
      </c>
      <c r="C1020" s="182" t="inlineStr">
        <is>
          <t>北京京能清洁能源电力股份（香港）有限公司（合并）</t>
        </is>
      </c>
      <c r="D1020" s="182" t="inlineStr">
        <is>
          <t>ZI029E100001</t>
        </is>
      </c>
      <c r="E1020" s="182" t="inlineStr">
        <is>
          <t>北京京能清洁能源电力股份有限公司</t>
        </is>
      </c>
      <c r="F1020" s="716" t="n"/>
      <c r="G1020" s="716" t="n"/>
      <c r="H1020" s="462" t="n"/>
    </row>
    <row r="1021">
      <c r="A1021" s="672" t="inlineStr">
        <is>
          <t>E100559G</t>
        </is>
      </c>
      <c r="B1021" s="767">
        <f>ROW()</f>
        <v/>
      </c>
      <c r="C1021" s="182" t="inlineStr">
        <is>
          <t>北京能源投资集团（香港）有限公司（合并）</t>
        </is>
      </c>
      <c r="D1021" s="182" t="inlineStr">
        <is>
          <t>ZI029E100000</t>
        </is>
      </c>
      <c r="E1021" s="182" t="inlineStr">
        <is>
          <t>北京能源集团有限责任公司</t>
        </is>
      </c>
      <c r="F1021" s="716" t="n"/>
      <c r="G1021" s="716" t="n"/>
      <c r="H1021" s="462" t="n"/>
    </row>
    <row r="1022">
      <c r="A1022" s="672" t="inlineStr">
        <is>
          <t>E100561G</t>
        </is>
      </c>
      <c r="B1022" s="767">
        <f>ROW()</f>
        <v/>
      </c>
      <c r="C1022" s="182" t="inlineStr">
        <is>
          <t>北京京能清洁能源（澳洲）控股有限公司（合并）</t>
        </is>
      </c>
      <c r="D1022" s="182" t="inlineStr">
        <is>
          <t>ZI029E100543</t>
        </is>
      </c>
      <c r="E1022" s="182" t="inlineStr">
        <is>
          <t>北京京能清洁能源电力股份（香港）有限公司</t>
        </is>
      </c>
      <c r="F1022" s="716" t="n"/>
      <c r="G1022" s="716" t="n"/>
      <c r="H1022" s="462" t="n"/>
    </row>
    <row r="1023">
      <c r="A1023" s="672" t="inlineStr">
        <is>
          <t>E100708G</t>
        </is>
      </c>
      <c r="B1023" s="767">
        <f>ROW()</f>
        <v/>
      </c>
      <c r="C1023" s="182" t="inlineStr">
        <is>
          <t>河北融智新源电力有限公司（合并）</t>
        </is>
      </c>
      <c r="D1023" s="182" t="inlineStr">
        <is>
          <t>ZI029E100001</t>
        </is>
      </c>
      <c r="E1023" s="182" t="inlineStr">
        <is>
          <t>北京京能清洁能源电力股份有限公司</t>
        </is>
      </c>
      <c r="F1023" s="716" t="n"/>
      <c r="G1023" s="716" t="n"/>
      <c r="H1023" s="462" t="n"/>
    </row>
    <row r="1024">
      <c r="A1024" s="672" t="inlineStr">
        <is>
          <t>E100711G</t>
        </is>
      </c>
      <c r="B1024" s="767">
        <f>ROW()</f>
        <v/>
      </c>
      <c r="C1024" s="182" t="inlineStr">
        <is>
          <t>鄂托克前旗晟日新能源科技有限公司（合并）</t>
        </is>
      </c>
      <c r="D1024" s="182" t="inlineStr">
        <is>
          <t>ZI029E100001</t>
        </is>
      </c>
      <c r="E1024" s="182" t="inlineStr">
        <is>
          <t>北京京能清洁能源电力股份有限公司</t>
        </is>
      </c>
      <c r="F1024" s="716" t="n"/>
      <c r="G1024" s="716" t="n"/>
      <c r="H1024" s="462" t="n"/>
    </row>
    <row r="1025">
      <c r="A1025" s="672" t="inlineStr">
        <is>
          <t>E100730G</t>
        </is>
      </c>
      <c r="B1025" s="767">
        <f>ROW()</f>
        <v/>
      </c>
      <c r="C1025" s="182" t="inlineStr">
        <is>
          <t>京能国际能源发展（北京）有限公司（合并）</t>
        </is>
      </c>
      <c r="D1025" s="182" t="inlineStr">
        <is>
          <t>ZI029E100883</t>
        </is>
      </c>
      <c r="E1025" s="182" t="inlineStr">
        <is>
          <t>Beijing Energy International Investment Limited</t>
        </is>
      </c>
      <c r="F1025" s="716" t="n"/>
      <c r="G1025" s="716" t="n"/>
      <c r="H1025" s="462" t="n"/>
    </row>
    <row r="1026">
      <c r="A1026" s="672" t="inlineStr">
        <is>
          <t>E100735G</t>
        </is>
      </c>
      <c r="B1026" s="767">
        <f>ROW()</f>
        <v/>
      </c>
      <c r="C1026" s="182" t="inlineStr">
        <is>
          <t>内蒙古京能新能源科技有限公司（合并）</t>
        </is>
      </c>
      <c r="D1026" s="182" t="inlineStr">
        <is>
          <t>ZI029E100963</t>
        </is>
      </c>
      <c r="E1026" s="182" t="inlineStr">
        <is>
          <t>丝绸之路新能源（常州）有限公司</t>
        </is>
      </c>
      <c r="F1026" s="716" t="n"/>
      <c r="G1026" s="716" t="n"/>
      <c r="H1026" s="462" t="n"/>
    </row>
    <row r="1027">
      <c r="A1027" s="672" t="inlineStr">
        <is>
          <t>E100737G</t>
        </is>
      </c>
      <c r="B1027" s="767">
        <f>ROW()</f>
        <v/>
      </c>
      <c r="C1027" s="182" t="inlineStr">
        <is>
          <t>四川联合光伏有限公司（合并）</t>
        </is>
      </c>
      <c r="D1027" s="182" t="inlineStr">
        <is>
          <t>ZI029E100963</t>
        </is>
      </c>
      <c r="E1027" s="182" t="inlineStr">
        <is>
          <t>丝绸之路新能源（常州）有限公司</t>
        </is>
      </c>
      <c r="F1027" s="716" t="n"/>
      <c r="G1027" s="716" t="n"/>
      <c r="H1027" s="462" t="n"/>
    </row>
    <row r="1028">
      <c r="A1028" s="672" t="inlineStr">
        <is>
          <t>E100764G</t>
        </is>
      </c>
      <c r="B1028" s="767">
        <f>ROW()</f>
        <v/>
      </c>
      <c r="C1028" s="182" t="inlineStr">
        <is>
          <t>联合光伏（深圳）有限公司（合并）</t>
        </is>
      </c>
      <c r="D1028" s="182" t="inlineStr">
        <is>
          <t>ZI029E100883</t>
        </is>
      </c>
      <c r="E1028" s="182" t="inlineStr">
        <is>
          <t>Beijing Energy International Investment Limited</t>
        </is>
      </c>
      <c r="F1028" s="716" t="n"/>
      <c r="G1028" s="716" t="n"/>
      <c r="H1028" s="462" t="n"/>
    </row>
    <row r="1029">
      <c r="A1029" s="672" t="inlineStr">
        <is>
          <t>E100776G</t>
        </is>
      </c>
      <c r="B1029" s="767">
        <f>ROW()</f>
        <v/>
      </c>
      <c r="C1029" s="182" t="inlineStr">
        <is>
          <t>北京健康养老集团有限公司（合并）</t>
        </is>
      </c>
      <c r="D1029" s="182" t="inlineStr">
        <is>
          <t>ZI029E100000</t>
        </is>
      </c>
      <c r="E1029" s="182" t="inlineStr">
        <is>
          <t>北京能源集团有限责任公司</t>
        </is>
      </c>
      <c r="F1029" s="716" t="n"/>
      <c r="G1029" s="716" t="n"/>
      <c r="H1029" s="462" t="n"/>
    </row>
    <row r="1030">
      <c r="A1030" s="672" t="inlineStr">
        <is>
          <t>E100781G</t>
        </is>
      </c>
      <c r="B1030" s="767">
        <f>ROW()</f>
        <v/>
      </c>
      <c r="C1030" s="182" t="inlineStr">
        <is>
          <t>广东辉宇新能源投资有限公司（合并）</t>
        </is>
      </c>
      <c r="D1030" s="182" t="inlineStr">
        <is>
          <t>ZI029E100001</t>
        </is>
      </c>
      <c r="E1030" s="182" t="inlineStr">
        <is>
          <t>北京京能清洁能源电力股份有限公司</t>
        </is>
      </c>
      <c r="F1030" s="716" t="n"/>
      <c r="G1030" s="716" t="n"/>
      <c r="H1030" s="462" t="n"/>
    </row>
    <row r="1031">
      <c r="A1031" s="672" t="inlineStr">
        <is>
          <t>E100793G</t>
        </is>
      </c>
      <c r="B1031" s="767">
        <f>ROW()</f>
        <v/>
      </c>
      <c r="C1031" s="182" t="inlineStr">
        <is>
          <t>张家口风沐新能源有限公司（合并）</t>
        </is>
      </c>
      <c r="D1031" s="182" t="inlineStr">
        <is>
          <t>ZI029E100001</t>
        </is>
      </c>
      <c r="E1031" s="182" t="inlineStr">
        <is>
          <t>北京京能清洁能源电力股份有限公司</t>
        </is>
      </c>
      <c r="F1031" s="716" t="n"/>
      <c r="G1031" s="716" t="n"/>
      <c r="H1031" s="462" t="n"/>
    </row>
    <row r="1032">
      <c r="A1032" s="672" t="inlineStr">
        <is>
          <t>E100814G</t>
        </is>
      </c>
      <c r="B1032" s="767">
        <f>ROW()</f>
        <v/>
      </c>
      <c r="C1032" s="182" t="inlineStr">
        <is>
          <t>北京诚和敬投资有限责任公司（合并）</t>
        </is>
      </c>
      <c r="D1032" s="182" t="inlineStr">
        <is>
          <t>ZI029E100776</t>
        </is>
      </c>
      <c r="E1032" s="182" t="inlineStr">
        <is>
          <t>北京健康养老集团有限公司</t>
        </is>
      </c>
      <c r="F1032" s="716" t="n"/>
      <c r="G1032" s="716" t="n"/>
      <c r="H1032" s="462" t="n"/>
    </row>
    <row r="1033">
      <c r="A1033" s="672" t="inlineStr">
        <is>
          <t>E100864G</t>
        </is>
      </c>
      <c r="B1033" s="767">
        <f>ROW()</f>
        <v/>
      </c>
      <c r="C1033" s="182" t="inlineStr">
        <is>
          <t>西藏中自新能源技术有限公司（合并）</t>
        </is>
      </c>
      <c r="D1033" s="182" t="inlineStr">
        <is>
          <t>ZI029E100735</t>
        </is>
      </c>
      <c r="E1033" s="182" t="inlineStr">
        <is>
          <t>内蒙古京能新能源科技有限公司</t>
        </is>
      </c>
      <c r="F1033" s="716" t="n"/>
      <c r="G1033" s="716" t="n"/>
      <c r="H1033" s="462" t="n"/>
    </row>
    <row r="1034">
      <c r="A1034" s="672" t="inlineStr">
        <is>
          <t>E100881G</t>
        </is>
      </c>
      <c r="B1034" s="767">
        <f>ROW()</f>
        <v/>
      </c>
      <c r="C1034" s="182" t="inlineStr">
        <is>
          <t>China Solar Power Group Limited（合并）</t>
        </is>
      </c>
      <c r="D1034" s="182" t="inlineStr">
        <is>
          <t>ZI029E100747</t>
        </is>
      </c>
      <c r="E1034" s="182" t="inlineStr">
        <is>
          <t>北京能源国际控股有限公司</t>
        </is>
      </c>
      <c r="F1034" s="716" t="n"/>
      <c r="G1034" s="716" t="n"/>
      <c r="H1034" s="462" t="n"/>
    </row>
    <row r="1035">
      <c r="A1035" s="672" t="inlineStr">
        <is>
          <t>E100882G</t>
        </is>
      </c>
      <c r="B1035" s="767">
        <f>ROW()</f>
        <v/>
      </c>
      <c r="C1035" s="182" t="inlineStr">
        <is>
          <t>China Technology New Energy Limited（合并）</t>
        </is>
      </c>
      <c r="D1035" s="182" t="inlineStr">
        <is>
          <t>ZI029E100881</t>
        </is>
      </c>
      <c r="E1035" s="182" t="inlineStr">
        <is>
          <t>China Solar Power Group Limited</t>
        </is>
      </c>
      <c r="F1035" s="716" t="n"/>
      <c r="G1035" s="716" t="n"/>
      <c r="H1035" s="462" t="n"/>
    </row>
    <row r="1036">
      <c r="A1036" s="672" t="inlineStr">
        <is>
          <t>E100883G</t>
        </is>
      </c>
      <c r="B1036" s="767">
        <f>ROW()</f>
        <v/>
      </c>
      <c r="C1036" s="182" t="inlineStr">
        <is>
          <t>Beijing Energy International Investment Limited（合并）</t>
        </is>
      </c>
      <c r="D1036" s="182" t="inlineStr">
        <is>
          <t>ZI029E100882</t>
        </is>
      </c>
      <c r="E1036" s="182" t="inlineStr">
        <is>
          <t>China Technology New Energy Limited</t>
        </is>
      </c>
      <c r="F1036" s="716" t="n"/>
      <c r="G1036" s="716" t="n"/>
      <c r="H1036" s="462" t="n"/>
    </row>
    <row r="1037">
      <c r="A1037" s="672" t="inlineStr">
        <is>
          <t>E100889G</t>
        </is>
      </c>
      <c r="B1037" s="767">
        <f>ROW()</f>
        <v/>
      </c>
      <c r="C1037" s="182" t="inlineStr">
        <is>
          <t>京能（德城区）新能源科技有限公司（合并）</t>
        </is>
      </c>
      <c r="D1037" s="182" t="inlineStr">
        <is>
          <t>ZI029E100883</t>
        </is>
      </c>
      <c r="E1037" s="182" t="inlineStr">
        <is>
          <t>Beijing Energy International Investment Limited</t>
        </is>
      </c>
      <c r="F1037" s="716" t="n"/>
      <c r="G1037" s="716" t="n"/>
      <c r="H1037" s="462" t="n"/>
    </row>
    <row r="1038">
      <c r="A1038" s="672" t="inlineStr">
        <is>
          <t>E100902G</t>
        </is>
      </c>
      <c r="B1038" s="767">
        <f>ROW()</f>
        <v/>
      </c>
      <c r="C1038" s="182" t="inlineStr">
        <is>
          <t>张家口丝绸之路新能源有限公司（合并）</t>
        </is>
      </c>
      <c r="D1038" s="182" t="inlineStr">
        <is>
          <t>ZI029E100730</t>
        </is>
      </c>
      <c r="E1038" s="182" t="inlineStr">
        <is>
          <t>京能国际能源发展（北京）有限公司</t>
        </is>
      </c>
      <c r="F1038" s="716" t="n"/>
      <c r="G1038" s="716" t="n"/>
      <c r="H1038" s="462" t="n"/>
    </row>
    <row r="1039">
      <c r="A1039" s="672" t="inlineStr">
        <is>
          <t>E100909G</t>
        </is>
      </c>
      <c r="B1039" s="767">
        <f>ROW()</f>
        <v/>
      </c>
      <c r="C1039" s="182" t="inlineStr">
        <is>
          <t>六安华钦新能源有限公司（合并）</t>
        </is>
      </c>
      <c r="D1039" s="182" t="inlineStr">
        <is>
          <t>ZI029E100730</t>
        </is>
      </c>
      <c r="E1039" s="182" t="inlineStr">
        <is>
          <t>京能国际能源发展（北京）有限公司</t>
        </is>
      </c>
      <c r="F1039" s="716" t="n"/>
      <c r="G1039" s="716" t="n"/>
      <c r="H1039" s="462" t="n"/>
    </row>
    <row r="1040">
      <c r="A1040" s="672" t="inlineStr">
        <is>
          <t>E100932G</t>
        </is>
      </c>
      <c r="B1040" s="767">
        <f>ROW()</f>
        <v/>
      </c>
      <c r="C1040" s="182" t="inlineStr">
        <is>
          <t>青海思迅新能源有限公司（合并）</t>
        </is>
      </c>
      <c r="D1040" s="182" t="inlineStr">
        <is>
          <t>ZI029E100730</t>
        </is>
      </c>
      <c r="E1040" s="182" t="inlineStr">
        <is>
          <t>京能国际能源发展（北京）有限公司</t>
        </is>
      </c>
      <c r="F1040" s="716" t="n"/>
      <c r="G1040" s="716" t="n"/>
      <c r="H1040" s="462" t="n"/>
    </row>
    <row r="1041">
      <c r="A1041" s="672" t="inlineStr">
        <is>
          <t>E100944G</t>
        </is>
      </c>
      <c r="B1041" s="767">
        <f>ROW()</f>
        <v/>
      </c>
      <c r="C1041" s="182" t="inlineStr">
        <is>
          <t>招新诺能（常州）新能源有限公司（合并）</t>
        </is>
      </c>
      <c r="D1041" s="182" t="inlineStr">
        <is>
          <t>ZI029E100730</t>
        </is>
      </c>
      <c r="E1041" s="182" t="inlineStr">
        <is>
          <t>京能国际能源发展（北京）有限公司</t>
        </is>
      </c>
      <c r="F1041" s="716" t="n"/>
      <c r="G1041" s="716" t="n"/>
      <c r="H1041" s="462" t="n"/>
    </row>
    <row r="1042">
      <c r="A1042" s="672" t="inlineStr">
        <is>
          <t>E100950G</t>
        </is>
      </c>
      <c r="B1042" s="767">
        <f>ROW()</f>
        <v/>
      </c>
      <c r="C1042" s="182" t="inlineStr">
        <is>
          <t>内蒙古明华新能源股份有限公司（合并）</t>
        </is>
      </c>
      <c r="D1042" s="182" t="inlineStr">
        <is>
          <t>ZI029E100735</t>
        </is>
      </c>
      <c r="E1042" s="182" t="inlineStr">
        <is>
          <t>内蒙古京能新能源科技有限公司</t>
        </is>
      </c>
      <c r="F1042" s="716" t="n"/>
      <c r="G1042" s="716" t="n"/>
      <c r="H1042" s="462" t="n"/>
    </row>
    <row r="1043">
      <c r="A1043" s="672" t="inlineStr">
        <is>
          <t>E100952G</t>
        </is>
      </c>
      <c r="B1043" s="767">
        <f>ROW()</f>
        <v/>
      </c>
      <c r="C1043" s="182" t="inlineStr">
        <is>
          <t>呼和浩特市联合新能源开发有限公司（合并）</t>
        </is>
      </c>
      <c r="D1043" s="182" t="inlineStr">
        <is>
          <t>ZI029E100950</t>
        </is>
      </c>
      <c r="E1043" s="182" t="inlineStr">
        <is>
          <t>内蒙古明华新能源股份有限公司</t>
        </is>
      </c>
      <c r="F1043" s="716" t="n"/>
      <c r="G1043" s="716" t="n"/>
      <c r="H1043" s="462" t="n"/>
    </row>
    <row r="1044">
      <c r="A1044" s="672" t="inlineStr">
        <is>
          <t>E100955G</t>
        </is>
      </c>
      <c r="B1044" s="767">
        <f>ROW()</f>
        <v/>
      </c>
      <c r="C1044" s="182" t="inlineStr">
        <is>
          <t>常州鼎晖新能源有限公司（汇总）</t>
        </is>
      </c>
      <c r="D1044" s="182" t="inlineStr">
        <is>
          <t>ZI029E100734</t>
        </is>
      </c>
      <c r="E1044" s="182" t="inlineStr">
        <is>
          <t>联合光伏（常州）投资集团有限公司</t>
        </is>
      </c>
      <c r="F1044" s="716" t="n"/>
      <c r="G1044" s="716" t="n"/>
      <c r="H1044" s="462" t="n"/>
    </row>
    <row r="1045">
      <c r="A1045" s="672" t="inlineStr">
        <is>
          <t>E100956G</t>
        </is>
      </c>
      <c r="B1045" s="767">
        <f>ROW()</f>
        <v/>
      </c>
      <c r="C1045" s="182" t="inlineStr">
        <is>
          <t>常州光昱新能源有限公司（汇总）</t>
        </is>
      </c>
      <c r="D1045" s="182" t="inlineStr">
        <is>
          <t>ZI029E100734</t>
        </is>
      </c>
      <c r="E1045" s="182" t="inlineStr">
        <is>
          <t>联合光伏（常州）投资集团有限公司</t>
        </is>
      </c>
      <c r="F1045" s="716" t="n"/>
      <c r="G1045" s="716" t="n"/>
      <c r="H1045" s="462" t="n"/>
    </row>
    <row r="1046">
      <c r="A1046" s="672" t="inlineStr">
        <is>
          <t>E100957G</t>
        </is>
      </c>
      <c r="B1046" s="767">
        <f>ROW()</f>
        <v/>
      </c>
      <c r="C1046" s="182" t="inlineStr">
        <is>
          <t>常州市招联绿达新能源有限公司（合并）</t>
        </is>
      </c>
      <c r="D1046" s="182" t="inlineStr">
        <is>
          <t>ZI029E100734</t>
        </is>
      </c>
      <c r="E1046" s="182" t="inlineStr">
        <is>
          <t>联合光伏（常州）投资集团有限公司</t>
        </is>
      </c>
      <c r="F1046" s="716" t="n"/>
      <c r="G1046" s="716" t="n"/>
      <c r="H1046" s="462" t="n"/>
    </row>
    <row r="1047">
      <c r="A1047" s="672" t="inlineStr">
        <is>
          <t>E100958G</t>
        </is>
      </c>
      <c r="B1047" s="767">
        <f>ROW()</f>
        <v/>
      </c>
      <c r="C1047" s="182" t="inlineStr">
        <is>
          <t>常州市招联绿港新能源有限公司（合并）</t>
        </is>
      </c>
      <c r="D1047" s="182" t="inlineStr">
        <is>
          <t>ZI029E100734</t>
        </is>
      </c>
      <c r="E1047" s="182" t="inlineStr">
        <is>
          <t>联合光伏（常州）投资集团有限公司</t>
        </is>
      </c>
      <c r="F1047" s="716" t="n"/>
      <c r="G1047" s="716" t="n"/>
      <c r="H1047" s="462" t="n"/>
    </row>
    <row r="1048">
      <c r="A1048" s="672" t="inlineStr">
        <is>
          <t>E100960G</t>
        </is>
      </c>
      <c r="B1048" s="767">
        <f>ROW()</f>
        <v/>
      </c>
      <c r="C1048" s="182" t="inlineStr">
        <is>
          <t>常州市晖达新能源有限公司（合并）</t>
        </is>
      </c>
      <c r="D1048" s="182" t="inlineStr">
        <is>
          <t>ZI029E100958</t>
        </is>
      </c>
      <c r="E1048" s="182" t="inlineStr">
        <is>
          <t>常州市招联绿港新能源有限公司</t>
        </is>
      </c>
      <c r="F1048" s="716" t="n"/>
      <c r="G1048" s="716" t="n"/>
      <c r="H1048" s="462" t="n"/>
    </row>
    <row r="1049">
      <c r="A1049" s="672" t="inlineStr">
        <is>
          <t>E100961G</t>
        </is>
      </c>
      <c r="B1049" s="767">
        <f>ROW()</f>
        <v/>
      </c>
      <c r="C1049" s="182" t="inlineStr">
        <is>
          <t>惠州市晟合光电科技有限公司（合并）</t>
        </is>
      </c>
      <c r="D1049" s="182" t="inlineStr">
        <is>
          <t>ZI029E100960</t>
        </is>
      </c>
      <c r="E1049" s="182" t="inlineStr">
        <is>
          <t>常州市晖达新能源有限公司</t>
        </is>
      </c>
      <c r="F1049" s="716" t="n"/>
      <c r="G1049" s="716" t="n"/>
      <c r="H1049" s="462" t="n"/>
    </row>
    <row r="1050">
      <c r="A1050" s="672" t="inlineStr">
        <is>
          <t>E100963G</t>
        </is>
      </c>
      <c r="B1050" s="767">
        <f>ROW()</f>
        <v/>
      </c>
      <c r="C1050" s="182" t="inlineStr">
        <is>
          <t>丝绸之路新能源（常州）有限公司（合并）</t>
        </is>
      </c>
      <c r="D1050" s="182" t="inlineStr">
        <is>
          <t>ZI029E100734</t>
        </is>
      </c>
      <c r="E1050" s="182" t="inlineStr">
        <is>
          <t>联合光伏（常州）投资集团有限公司</t>
        </is>
      </c>
      <c r="F1050" s="716" t="n"/>
      <c r="G1050" s="716" t="n"/>
      <c r="H1050" s="462" t="n"/>
    </row>
    <row r="1051">
      <c r="A1051" s="672" t="inlineStr">
        <is>
          <t>E100973G</t>
        </is>
      </c>
      <c r="B1051" s="767">
        <f>ROW()</f>
        <v/>
      </c>
      <c r="C1051" s="182" t="inlineStr">
        <is>
          <t>察右前旗联合光伏发电有限公司（合并）</t>
        </is>
      </c>
      <c r="D1051" s="182" t="inlineStr">
        <is>
          <t>ZI029E100735</t>
        </is>
      </c>
      <c r="E1051" s="182" t="inlineStr">
        <is>
          <t>内蒙古京能新能源科技有限公司</t>
        </is>
      </c>
      <c r="F1051" s="716" t="n"/>
      <c r="G1051" s="716" t="n"/>
      <c r="H1051" s="462" t="n"/>
    </row>
    <row r="1052">
      <c r="A1052" s="672" t="inlineStr">
        <is>
          <t>E100978G</t>
        </is>
      </c>
      <c r="B1052" s="767">
        <f>ROW()</f>
        <v/>
      </c>
      <c r="C1052" s="182" t="inlineStr">
        <is>
          <t>常州市招联绿新新能源有限公司（合并）</t>
        </is>
      </c>
      <c r="D1052" s="182" t="inlineStr">
        <is>
          <t>ZI029E100734</t>
        </is>
      </c>
      <c r="E1052" s="182" t="inlineStr">
        <is>
          <t>联合光伏（常州）投资集团有限公司</t>
        </is>
      </c>
      <c r="F1052" s="716" t="n"/>
      <c r="G1052" s="716" t="n"/>
      <c r="H1052" s="462" t="n"/>
    </row>
    <row r="1053">
      <c r="A1053" s="672" t="inlineStr">
        <is>
          <t>E100981G</t>
        </is>
      </c>
      <c r="B1053" s="767">
        <f>ROW()</f>
        <v/>
      </c>
      <c r="C1053" s="182" t="inlineStr">
        <is>
          <t>常州市招联绿庆新能源有限公司（合并）</t>
        </is>
      </c>
      <c r="D1053" s="182" t="inlineStr">
        <is>
          <t>ZI029E100734</t>
        </is>
      </c>
      <c r="E1053" s="182" t="inlineStr">
        <is>
          <t>联合光伏（常州）投资集团有限公司</t>
        </is>
      </c>
      <c r="F1053" s="716" t="n"/>
      <c r="G1053" s="716" t="n"/>
      <c r="H1053" s="462" t="n"/>
    </row>
    <row r="1054">
      <c r="A1054" s="672" t="inlineStr">
        <is>
          <t>E100985G</t>
        </is>
      </c>
      <c r="B1054" s="767">
        <f>ROW()</f>
        <v/>
      </c>
      <c r="C1054" s="182" t="inlineStr">
        <is>
          <t>常州市招联绿邦新能源有限公司（合并）</t>
        </is>
      </c>
      <c r="D1054" s="182" t="inlineStr">
        <is>
          <t>ZI029E100734</t>
        </is>
      </c>
      <c r="E1054" s="182" t="inlineStr">
        <is>
          <t>联合光伏（常州）投资集团有限公司</t>
        </is>
      </c>
      <c r="F1054" s="716" t="n"/>
      <c r="G1054" s="716" t="n"/>
      <c r="H1054" s="462" t="n"/>
    </row>
    <row r="1055">
      <c r="A1055" s="672" t="inlineStr">
        <is>
          <t>E100988G</t>
        </is>
      </c>
      <c r="B1055" s="767">
        <f>ROW()</f>
        <v/>
      </c>
      <c r="C1055" s="182" t="inlineStr">
        <is>
          <t>常州市招联绿睿新能源有限公司（合并）</t>
        </is>
      </c>
      <c r="D1055" s="182" t="inlineStr">
        <is>
          <t>ZI029E100734</t>
        </is>
      </c>
      <c r="E1055" s="182" t="inlineStr">
        <is>
          <t>联合光伏（常州）投资集团有限公司</t>
        </is>
      </c>
      <c r="F1055" s="716" t="n"/>
      <c r="G1055" s="716" t="n"/>
      <c r="H1055" s="462" t="n"/>
    </row>
    <row r="1056">
      <c r="A1056" s="672" t="inlineStr">
        <is>
          <t>E100991G</t>
        </is>
      </c>
      <c r="B1056" s="767">
        <f>ROW()</f>
        <v/>
      </c>
      <c r="C1056" s="182" t="inlineStr">
        <is>
          <t>常熟宏丰光伏电站开发有限公司（合并）</t>
        </is>
      </c>
      <c r="D1056" s="182" t="inlineStr">
        <is>
          <t>ZI029E100988</t>
        </is>
      </c>
      <c r="E1056" s="182" t="inlineStr">
        <is>
          <t>常州市招联绿睿新能源有限公司</t>
        </is>
      </c>
      <c r="F1056" s="716" t="n"/>
      <c r="G1056" s="716" t="n"/>
      <c r="H1056" s="462" t="n"/>
    </row>
    <row r="1057">
      <c r="A1057" s="672" t="inlineStr">
        <is>
          <t>E100993G</t>
        </is>
      </c>
      <c r="B1057" s="767">
        <f>ROW()</f>
        <v/>
      </c>
      <c r="C1057" s="182" t="inlineStr">
        <is>
          <t>常州市招联绿晖新能源有限公司（合并）</t>
        </is>
      </c>
      <c r="D1057" s="182" t="inlineStr">
        <is>
          <t>ZI029E100734</t>
        </is>
      </c>
      <c r="E1057" s="182" t="inlineStr">
        <is>
          <t>联合光伏（常州）投资集团有限公司</t>
        </is>
      </c>
      <c r="F1057" s="716" t="n"/>
      <c r="G1057" s="716" t="n"/>
      <c r="H1057" s="462" t="n"/>
    </row>
    <row r="1058">
      <c r="A1058" s="672" t="inlineStr">
        <is>
          <t>E101001G</t>
        </is>
      </c>
      <c r="B1058" s="767">
        <f>ROW()</f>
        <v/>
      </c>
      <c r="C1058" s="182" t="inlineStr">
        <is>
          <t>Faster Assets Limited（合并）</t>
        </is>
      </c>
      <c r="D1058" s="182" t="inlineStr">
        <is>
          <t>ZI029E100881</t>
        </is>
      </c>
      <c r="E1058" s="182" t="inlineStr">
        <is>
          <t>China Solar Power Group Limited</t>
        </is>
      </c>
      <c r="F1058" s="716" t="n"/>
      <c r="G1058" s="716" t="n"/>
      <c r="H1058" s="462" t="n"/>
    </row>
    <row r="1059">
      <c r="A1059" s="672" t="inlineStr">
        <is>
          <t>E101003G</t>
        </is>
      </c>
      <c r="B1059" s="767">
        <f>ROW()</f>
        <v/>
      </c>
      <c r="C1059" s="182" t="inlineStr">
        <is>
          <t>Driven Green Holdings Limited（合并）</t>
        </is>
      </c>
      <c r="D1059" s="182" t="inlineStr">
        <is>
          <t>ZI029E101002</t>
        </is>
      </c>
      <c r="E1059" s="182" t="inlineStr">
        <is>
          <t>Driven Noble Limited</t>
        </is>
      </c>
      <c r="F1059" s="716" t="n"/>
      <c r="G1059" s="716" t="n"/>
      <c r="H1059" s="462" t="n"/>
    </row>
    <row r="1060">
      <c r="A1060" s="672" t="inlineStr">
        <is>
          <t>E101006G</t>
        </is>
      </c>
      <c r="B1060" s="767">
        <f>ROW()</f>
        <v/>
      </c>
      <c r="C1060" s="182" t="inlineStr">
        <is>
          <t>Premier Yield Holdings Limited（合并）</t>
        </is>
      </c>
      <c r="D1060" s="182" t="inlineStr">
        <is>
          <t>ZI029E101005</t>
        </is>
      </c>
      <c r="E1060" s="182" t="inlineStr">
        <is>
          <t>Silver Yield Investments Limited</t>
        </is>
      </c>
      <c r="F1060" s="716" t="n"/>
      <c r="G1060" s="716" t="n"/>
      <c r="H1060" s="462" t="n"/>
    </row>
    <row r="1061">
      <c r="A1061" s="672" t="inlineStr">
        <is>
          <t>E101008G</t>
        </is>
      </c>
      <c r="B1061" s="767">
        <f>ROW()</f>
        <v/>
      </c>
      <c r="C1061" s="182" t="inlineStr">
        <is>
          <t>南京丝绸之路新能源有限公司（合并）</t>
        </is>
      </c>
      <c r="D1061" s="182" t="inlineStr">
        <is>
          <t>ZI029E101007</t>
        </is>
      </c>
      <c r="E1061" s="182" t="inlineStr">
        <is>
          <t>骏耀新能源（常州）有限公司</t>
        </is>
      </c>
      <c r="F1061" s="716" t="n"/>
      <c r="G1061" s="716" t="n"/>
      <c r="H1061" s="462" t="n"/>
    </row>
    <row r="1062">
      <c r="A1062" s="672" t="inlineStr">
        <is>
          <t>E101012G</t>
        </is>
      </c>
      <c r="B1062" s="767">
        <f>ROW()</f>
        <v/>
      </c>
      <c r="C1062" s="182" t="inlineStr">
        <is>
          <t>常州市招联绿伏新能源有限公司（合并）</t>
        </is>
      </c>
      <c r="D1062" s="182" t="inlineStr">
        <is>
          <t>ZI029E101008</t>
        </is>
      </c>
      <c r="E1062" s="182" t="inlineStr">
        <is>
          <t>南京丝绸之路新能源有限公司</t>
        </is>
      </c>
      <c r="F1062" s="716" t="n"/>
      <c r="G1062" s="716" t="n"/>
      <c r="H1062" s="462" t="n"/>
    </row>
    <row r="1063">
      <c r="A1063" s="672" t="inlineStr">
        <is>
          <t>E101015G</t>
        </is>
      </c>
      <c r="B1063" s="767">
        <f>ROW()</f>
        <v/>
      </c>
      <c r="C1063" s="182" t="inlineStr">
        <is>
          <t>New Light Assets Limited（合并）</t>
        </is>
      </c>
      <c r="D1063" s="182" t="inlineStr">
        <is>
          <t>ZI029E101014</t>
        </is>
      </c>
      <c r="E1063" s="182" t="inlineStr">
        <is>
          <t>Green Horizon Developments Limited</t>
        </is>
      </c>
      <c r="F1063" s="716" t="n"/>
      <c r="G1063" s="716" t="n"/>
      <c r="H1063" s="462" t="n"/>
    </row>
    <row r="1064">
      <c r="A1064" s="672" t="inlineStr">
        <is>
          <t>E101016G</t>
        </is>
      </c>
      <c r="B1064" s="767">
        <f>ROW()</f>
        <v/>
      </c>
      <c r="C1064" s="182" t="inlineStr">
        <is>
          <t>丝绸之路招商新能源（常州）有限公司（合并）</t>
        </is>
      </c>
      <c r="D1064" s="182" t="inlineStr">
        <is>
          <t>ZI029E101015</t>
        </is>
      </c>
      <c r="E1064" s="182" t="inlineStr">
        <is>
          <t>New Light Assets Limited</t>
        </is>
      </c>
      <c r="F1064" s="716" t="n"/>
      <c r="G1064" s="716" t="n"/>
      <c r="H1064" s="462" t="n"/>
    </row>
    <row r="1065">
      <c r="A1065" s="672" t="inlineStr">
        <is>
          <t>E101017G</t>
        </is>
      </c>
      <c r="B1065" s="767">
        <f>ROW()</f>
        <v/>
      </c>
      <c r="C1065" s="182" t="inlineStr">
        <is>
          <t>常州新光新能源有限公司（合并）</t>
        </is>
      </c>
      <c r="D1065" s="182" t="inlineStr">
        <is>
          <t>ZI029E101016</t>
        </is>
      </c>
      <c r="E1065" s="182" t="inlineStr">
        <is>
          <t>丝绸之路招商新能源（常州）有限公司</t>
        </is>
      </c>
      <c r="F1065" s="716" t="n"/>
      <c r="G1065" s="716" t="n"/>
      <c r="H1065" s="462" t="n"/>
    </row>
    <row r="1066">
      <c r="A1066" s="672" t="inlineStr">
        <is>
          <t>E101019G</t>
        </is>
      </c>
      <c r="B1066" s="767">
        <f>ROW()</f>
        <v/>
      </c>
      <c r="C1066" s="182" t="inlineStr">
        <is>
          <t>招商局漳州开发区丝路方舟碳资产管理有限公司（合并）</t>
        </is>
      </c>
      <c r="D1066" s="182" t="inlineStr">
        <is>
          <t>ZI029E100881</t>
        </is>
      </c>
      <c r="E1066" s="182" t="inlineStr">
        <is>
          <t>China Solar Power Group Limited</t>
        </is>
      </c>
      <c r="F1066" s="716" t="n"/>
      <c r="G1066" s="716" t="n"/>
      <c r="H1066" s="462" t="n"/>
    </row>
    <row r="1067">
      <c r="A1067" s="672" t="inlineStr">
        <is>
          <t>E101021G</t>
        </is>
      </c>
      <c r="B1067" s="767">
        <f>ROW()</f>
        <v/>
      </c>
      <c r="C1067" s="182" t="inlineStr">
        <is>
          <t>Global Renewable Energy Limited（合并）</t>
        </is>
      </c>
      <c r="D1067" s="182" t="inlineStr">
        <is>
          <t>ZI029E100747</t>
        </is>
      </c>
      <c r="E1067" s="182" t="inlineStr">
        <is>
          <t>北京能源国际控股有限公司</t>
        </is>
      </c>
      <c r="F1067" s="716" t="n"/>
      <c r="G1067" s="716" t="n"/>
      <c r="H1067" s="462" t="n"/>
    </row>
    <row r="1068">
      <c r="A1068" s="672" t="inlineStr">
        <is>
          <t>E101022G</t>
        </is>
      </c>
      <c r="B1068" s="767">
        <f>ROW()</f>
        <v/>
      </c>
      <c r="C1068" s="182" t="inlineStr">
        <is>
          <t>Global Renewable Energy Holdings Limited（合并）</t>
        </is>
      </c>
      <c r="D1068" s="182" t="inlineStr">
        <is>
          <t>ZI029E101021</t>
        </is>
      </c>
      <c r="E1068" s="182" t="inlineStr">
        <is>
          <t>Global Renewable Energy Limited</t>
        </is>
      </c>
      <c r="F1068" s="716" t="n"/>
      <c r="G1068" s="716" t="n"/>
      <c r="H1068" s="462" t="n"/>
    </row>
    <row r="1069">
      <c r="A1069" s="672" t="inlineStr">
        <is>
          <t>E101024G</t>
        </is>
      </c>
      <c r="B1069" s="767">
        <f>ROW()</f>
        <v/>
      </c>
      <c r="C1069" s="182" t="inlineStr">
        <is>
          <t>Fortune Wheel Holdings Limited（合并）</t>
        </is>
      </c>
      <c r="D1069" s="182" t="inlineStr">
        <is>
          <t>ZI029E101023</t>
        </is>
      </c>
      <c r="E1069" s="182" t="inlineStr">
        <is>
          <t>Sino Delight Developments Limited</t>
        </is>
      </c>
      <c r="F1069" s="716" t="n"/>
      <c r="G1069" s="716" t="n"/>
      <c r="H1069" s="462" t="n"/>
    </row>
    <row r="1070">
      <c r="A1070" s="672" t="inlineStr">
        <is>
          <t>E101026G</t>
        </is>
      </c>
      <c r="B1070" s="767">
        <f>ROW()</f>
        <v/>
      </c>
      <c r="C1070" s="182" t="inlineStr">
        <is>
          <t>常州市招联绿灿新能源有限公司（合并）</t>
        </is>
      </c>
      <c r="D1070" s="182" t="inlineStr">
        <is>
          <t>ZI029E101025</t>
        </is>
      </c>
      <c r="E1070" s="182" t="inlineStr">
        <is>
          <t>招联（珠海）清洁能源投资有限公司</t>
        </is>
      </c>
      <c r="F1070" s="716" t="n"/>
      <c r="G1070" s="716" t="n"/>
      <c r="H1070" s="462" t="n"/>
    </row>
    <row r="1071">
      <c r="A1071" s="672" t="inlineStr">
        <is>
          <t>E101028G</t>
        </is>
      </c>
      <c r="B1071" s="767">
        <f>ROW()</f>
        <v/>
      </c>
      <c r="C1071" s="182" t="inlineStr">
        <is>
          <t>Renewable Energy UK Portfolio Limited（合并）</t>
        </is>
      </c>
      <c r="D1071" s="182" t="inlineStr">
        <is>
          <t>ZI029E101027</t>
        </is>
      </c>
      <c r="E1071" s="182" t="inlineStr">
        <is>
          <t>Ecoworld Global Limited</t>
        </is>
      </c>
      <c r="F1071" s="716" t="n"/>
      <c r="G1071" s="716" t="n"/>
      <c r="H1071" s="462" t="n"/>
    </row>
    <row r="1072">
      <c r="A1072" s="672" t="inlineStr">
        <is>
          <t>E101031G</t>
        </is>
      </c>
      <c r="B1072" s="767">
        <f>ROW()</f>
        <v/>
      </c>
      <c r="C1072" s="182" t="inlineStr">
        <is>
          <t>Panda Green Power Group Limited（合并）</t>
        </is>
      </c>
      <c r="D1072" s="182" t="inlineStr">
        <is>
          <t>ZI029E100747</t>
        </is>
      </c>
      <c r="E1072" s="182" t="inlineStr">
        <is>
          <t>北京能源国际控股有限公司</t>
        </is>
      </c>
      <c r="F1072" s="716" t="n"/>
      <c r="G1072" s="716" t="n"/>
      <c r="H1072" s="462" t="n"/>
    </row>
    <row r="1073">
      <c r="A1073" s="672" t="inlineStr">
        <is>
          <t>E101033G</t>
        </is>
      </c>
      <c r="B1073" s="767">
        <f>ROW()</f>
        <v/>
      </c>
      <c r="C1073" s="182" t="inlineStr">
        <is>
          <t>East Asia New Energy Group Limited（合并）</t>
        </is>
      </c>
      <c r="D1073" s="182" t="inlineStr">
        <is>
          <t>ZI029E101032</t>
        </is>
      </c>
      <c r="E1073" s="182" t="inlineStr">
        <is>
          <t>China New Energy Holdings （Hong Kong） Limited</t>
        </is>
      </c>
      <c r="F1073" s="716" t="n"/>
      <c r="G1073" s="716" t="n"/>
      <c r="H1073" s="462" t="n"/>
    </row>
    <row r="1074">
      <c r="A1074" s="672" t="inlineStr">
        <is>
          <t>E101040G</t>
        </is>
      </c>
      <c r="B1074" s="767">
        <f>ROW()</f>
        <v/>
      </c>
      <c r="C1074" s="182" t="inlineStr">
        <is>
          <t>Tibet Energy Investment Group （Hong Kong） Limited（合并）</t>
        </is>
      </c>
      <c r="D1074" s="182" t="inlineStr">
        <is>
          <t>ZI029E101022</t>
        </is>
      </c>
      <c r="E1074" s="182" t="inlineStr">
        <is>
          <t>Global Renewable Energy Holdings Limited</t>
        </is>
      </c>
      <c r="F1074" s="716" t="n"/>
      <c r="G1074" s="716" t="n"/>
      <c r="H1074" s="462" t="n"/>
    </row>
    <row r="1075">
      <c r="A1075" s="672" t="inlineStr">
        <is>
          <t>E101042G</t>
        </is>
      </c>
      <c r="B1075" s="767">
        <f>ROW()</f>
        <v/>
      </c>
      <c r="C1075" s="182" t="inlineStr">
        <is>
          <t>Panda Solar Power Holdings Limited（合并）</t>
        </is>
      </c>
      <c r="D1075" s="182" t="inlineStr">
        <is>
          <t>ZI029E101031</t>
        </is>
      </c>
      <c r="E1075" s="182" t="inlineStr">
        <is>
          <t>Panda Green Power Group Limited</t>
        </is>
      </c>
      <c r="F1075" s="716" t="n"/>
      <c r="G1075" s="716" t="n"/>
      <c r="H1075" s="462" t="n"/>
    </row>
    <row r="1076">
      <c r="A1076" s="672" t="inlineStr">
        <is>
          <t>E101044G</t>
        </is>
      </c>
      <c r="B1076" s="767">
        <f>ROW()</f>
        <v/>
      </c>
      <c r="C1076" s="182" t="inlineStr">
        <is>
          <t>JingNeng Renewable Energy International Group Limited（合并）</t>
        </is>
      </c>
      <c r="D1076" s="182" t="inlineStr">
        <is>
          <t>ZI029E100747</t>
        </is>
      </c>
      <c r="E1076" s="182" t="inlineStr">
        <is>
          <t>北京能源国际控股有限公司</t>
        </is>
      </c>
      <c r="F1076" s="716" t="n"/>
      <c r="G1076" s="716" t="n"/>
      <c r="H1076" s="462" t="n"/>
    </row>
    <row r="1077">
      <c r="A1077" s="672" t="inlineStr">
        <is>
          <t>E101054G</t>
        </is>
      </c>
      <c r="B1077" s="767">
        <f>ROW()</f>
        <v/>
      </c>
      <c r="C1077" s="182" t="inlineStr">
        <is>
          <t>北京华远意通热力科技股份有限公司（合并）</t>
        </is>
      </c>
      <c r="D1077" s="182" t="inlineStr">
        <is>
          <t>ZI029E100000</t>
        </is>
      </c>
      <c r="E1077" s="182" t="inlineStr">
        <is>
          <t>北京能源集团有限责任公司</t>
        </is>
      </c>
      <c r="F1077" s="716" t="n"/>
      <c r="G1077" s="716" t="n"/>
      <c r="H1077" s="462" t="n"/>
    </row>
    <row r="1078">
      <c r="A1078" s="672" t="inlineStr">
        <is>
          <t>E101054H</t>
        </is>
      </c>
      <c r="B1078" s="767">
        <f>ROW()</f>
        <v/>
      </c>
      <c r="C1078" s="182" t="inlineStr">
        <is>
          <t>北京华远意通热力科技股份有限公司（母公司）</t>
        </is>
      </c>
      <c r="D1078" s="182" t="inlineStr">
        <is>
          <t>ZI029E100000</t>
        </is>
      </c>
      <c r="E1078" s="182" t="inlineStr">
        <is>
          <t>北京能源集团有限责任公司</t>
        </is>
      </c>
      <c r="F1078" s="716" t="n"/>
      <c r="G1078" s="716" t="n"/>
      <c r="H1078" s="462" t="n"/>
    </row>
    <row r="1079">
      <c r="A1079" s="672" t="inlineStr">
        <is>
          <t>E101056G</t>
        </is>
      </c>
      <c r="B1079" s="767">
        <f>ROW()</f>
        <v/>
      </c>
      <c r="C1079" s="182" t="inlineStr">
        <is>
          <t>北京华意龙达科技发展有限公司（合并）</t>
        </is>
      </c>
      <c r="D1079" s="182" t="inlineStr">
        <is>
          <t>ZI029E101054</t>
        </is>
      </c>
      <c r="E1079" s="182" t="inlineStr">
        <is>
          <t>北京京能热力股份有限公司</t>
        </is>
      </c>
      <c r="F1079" s="716" t="n"/>
      <c r="G1079" s="716" t="n"/>
      <c r="H1079" s="462" t="n"/>
    </row>
    <row r="1080">
      <c r="A1080" s="672" t="inlineStr">
        <is>
          <t>E101070G</t>
        </is>
      </c>
      <c r="B1080" s="767">
        <f>ROW()</f>
        <v/>
      </c>
      <c r="C1080" s="182" t="inlineStr">
        <is>
          <t>深圳市前海毓华清洁能源投资有限公司（合并）</t>
        </is>
      </c>
      <c r="D1080" s="182" t="inlineStr">
        <is>
          <t>ZI029E100730</t>
        </is>
      </c>
      <c r="E1080" s="182" t="inlineStr">
        <is>
          <t>京能国际能源发展（北京）有限公司</t>
        </is>
      </c>
      <c r="F1080" s="716" t="n"/>
      <c r="G1080" s="716" t="n"/>
      <c r="H1080" s="462" t="n"/>
    </row>
    <row r="1081">
      <c r="A1081" s="672" t="inlineStr">
        <is>
          <t>E101097G</t>
        </is>
      </c>
      <c r="B1081" s="767">
        <f>ROW()</f>
        <v/>
      </c>
      <c r="C1081" s="182" t="inlineStr">
        <is>
          <t>肇庆市莱湾新能源科技有限公司（合并）</t>
        </is>
      </c>
      <c r="D1081" s="182" t="inlineStr">
        <is>
          <t>ZI029E100730</t>
        </is>
      </c>
      <c r="E1081" s="182" t="inlineStr">
        <is>
          <t>京能国际能源发展（北京）有限公司</t>
        </is>
      </c>
      <c r="F1081" s="716" t="n"/>
      <c r="G1081" s="716" t="n"/>
      <c r="H1081" s="462" t="n"/>
    </row>
    <row r="1082">
      <c r="A1082" s="672" t="inlineStr">
        <is>
          <t>E101136G</t>
        </is>
      </c>
      <c r="B1082" s="767">
        <f>ROW()</f>
        <v/>
      </c>
      <c r="C1082" s="182" t="inlineStr">
        <is>
          <t>北京市石景山区老年福养老服务中心（合并）</t>
        </is>
      </c>
      <c r="D1082" s="182" t="inlineStr">
        <is>
          <t>ZI029E100776</t>
        </is>
      </c>
      <c r="E1082" s="182" t="inlineStr">
        <is>
          <t>北京健康养老集团有限公司</t>
        </is>
      </c>
      <c r="F1082" s="716" t="n"/>
      <c r="G1082" s="716" t="n"/>
      <c r="H1082" s="462" t="n"/>
    </row>
    <row r="1083">
      <c r="A1083" s="672" t="inlineStr">
        <is>
          <t>E101142G</t>
        </is>
      </c>
      <c r="B1083" s="767">
        <f>ROW()</f>
        <v/>
      </c>
      <c r="C1083" s="182" t="inlineStr">
        <is>
          <t>灵寿县清智新能源科技有限公司（合并）</t>
        </is>
      </c>
      <c r="D1083" s="182" t="inlineStr">
        <is>
          <t>ZI029E100001</t>
        </is>
      </c>
      <c r="E1083" s="182" t="inlineStr">
        <is>
          <t>北京京能清洁能源电力股份有限公司</t>
        </is>
      </c>
      <c r="F1083" s="716" t="n"/>
      <c r="G1083" s="716" t="n"/>
      <c r="H1083" s="462" t="n"/>
    </row>
    <row r="1084">
      <c r="A1084" s="672" t="inlineStr">
        <is>
          <t>E100787</t>
        </is>
      </c>
      <c r="B1084" s="767">
        <f>ROW()</f>
        <v/>
      </c>
      <c r="C1084" s="182" t="inlineStr">
        <is>
          <t>内蒙古京能苏尼特风力发电有限公司（内蒙古分公司）</t>
        </is>
      </c>
      <c r="D1084" s="182" t="inlineStr">
        <is>
          <t>ZI029E100001</t>
        </is>
      </c>
      <c r="E1084" s="182" t="inlineStr">
        <is>
          <t>北京京能清洁能源电力股份有限公司</t>
        </is>
      </c>
      <c r="F1084" s="716" t="n"/>
      <c r="G1084" s="716" t="n"/>
      <c r="H1084" s="462" t="n"/>
    </row>
    <row r="1085">
      <c r="A1085" s="672" t="inlineStr">
        <is>
          <t>E100406</t>
        </is>
      </c>
      <c r="B1085" s="767">
        <f>ROW()</f>
        <v/>
      </c>
      <c r="C1085" s="182" t="inlineStr">
        <is>
          <t>北京博尔节能设备技术开发有限责任公司</t>
        </is>
      </c>
      <c r="D1085" s="182" t="inlineStr">
        <is>
          <t>ZI029E100371</t>
        </is>
      </c>
      <c r="E1085" s="182" t="inlineStr">
        <is>
          <t>北京京能科技有限公司</t>
        </is>
      </c>
      <c r="F1085" s="716" t="n"/>
      <c r="G1085" s="716" t="n"/>
      <c r="H1085" s="462" t="n"/>
    </row>
    <row r="1086">
      <c r="A1086" s="672" t="inlineStr">
        <is>
          <t>E101159</t>
        </is>
      </c>
      <c r="B1086" s="767">
        <f>ROW()</f>
        <v/>
      </c>
      <c r="C1086" s="182">
        <f>IF(_epmOfflineCondition_,"汕头京能清洁能源有限公司",EPMMemberDesc(A1086))</f>
        <v/>
      </c>
      <c r="D1086" s="182" t="inlineStr">
        <is>
          <t>ZI029E100001</t>
        </is>
      </c>
      <c r="E1086" s="182" t="inlineStr">
        <is>
          <t>北京京能清洁能源电力股份有限公司</t>
        </is>
      </c>
      <c r="F1086" s="716" t="n"/>
      <c r="G1086" s="716" t="n"/>
      <c r="H1086" s="462" t="n"/>
    </row>
    <row r="1087">
      <c r="A1087" s="672" t="inlineStr">
        <is>
          <t>E100862</t>
        </is>
      </c>
      <c r="B1087" s="767">
        <f>ROW()</f>
        <v/>
      </c>
      <c r="C1087" s="182" t="inlineStr">
        <is>
          <t>京能玉门新能源有限公司</t>
        </is>
      </c>
      <c r="D1087" s="182" t="inlineStr">
        <is>
          <t>ZI029E100145</t>
        </is>
      </c>
      <c r="E1087" s="182" t="inlineStr">
        <is>
          <t>北京京能电力股份有限公司</t>
        </is>
      </c>
      <c r="F1087" s="716" t="n"/>
      <c r="G1087" s="716" t="n"/>
      <c r="H1087" s="462" t="n"/>
    </row>
    <row r="1088">
      <c r="A1088" s="672" t="inlineStr">
        <is>
          <t>E100863</t>
        </is>
      </c>
      <c r="B1088" s="767">
        <f>ROW()</f>
        <v/>
      </c>
      <c r="C1088" s="182" t="inlineStr">
        <is>
          <t>京骐（玉门）新能源有限公司</t>
        </is>
      </c>
      <c r="D1088" s="182" t="inlineStr">
        <is>
          <t>ZI029E100145</t>
        </is>
      </c>
      <c r="E1088" s="182" t="inlineStr">
        <is>
          <t>北京京能电力股份有限公司</t>
        </is>
      </c>
      <c r="F1088" s="716" t="n"/>
      <c r="G1088" s="716" t="n"/>
      <c r="H1088" s="462" t="n"/>
    </row>
    <row r="1089">
      <c r="A1089" s="672" t="inlineStr">
        <is>
          <t>E100171</t>
        </is>
      </c>
      <c r="B1089" s="767">
        <f>ROW()</f>
        <v/>
      </c>
      <c r="C1089" s="182" t="inlineStr">
        <is>
          <t>内蒙古京能双欣发电有限公司</t>
        </is>
      </c>
      <c r="D1089" s="182" t="inlineStr">
        <is>
          <t>ZI029E100145</t>
        </is>
      </c>
      <c r="E1089" s="182" t="inlineStr">
        <is>
          <t>北京京能电力股份有限公司</t>
        </is>
      </c>
      <c r="F1089" s="716" t="n"/>
      <c r="G1089" s="716" t="n"/>
      <c r="H1089" s="462" t="n"/>
    </row>
    <row r="1090">
      <c r="A1090" s="672" t="inlineStr">
        <is>
          <t>E100920</t>
        </is>
      </c>
      <c r="B1090" s="767">
        <f>ROW()</f>
        <v/>
      </c>
      <c r="C1090" s="182" t="inlineStr">
        <is>
          <t>五莲县宁旭新能源有限公司</t>
        </is>
      </c>
      <c r="D1090" s="182" t="inlineStr">
        <is>
          <t>ZI029E100919</t>
        </is>
      </c>
      <c r="E1090" s="182" t="inlineStr">
        <is>
          <t>五莲县鹏光新能源有限公司</t>
        </is>
      </c>
      <c r="F1090" s="716" t="n"/>
      <c r="G1090" s="716" t="n"/>
      <c r="H1090" s="462" t="n"/>
    </row>
    <row r="1091">
      <c r="A1091" s="672" t="inlineStr">
        <is>
          <t>E101102</t>
        </is>
      </c>
      <c r="B1091" s="767">
        <f>ROW()</f>
        <v/>
      </c>
      <c r="C1091" s="672" t="inlineStr">
        <is>
          <t>伊川县康庆新能源有限公司</t>
        </is>
      </c>
      <c r="D1091" s="182" t="inlineStr">
        <is>
          <t>ZI029E100734</t>
        </is>
      </c>
      <c r="E1091" s="182" t="inlineStr">
        <is>
          <t>联合光伏（常州）投资集团有限公司</t>
        </is>
      </c>
      <c r="F1091" s="716" t="n"/>
      <c r="G1091" s="716" t="n"/>
      <c r="H1091" s="462" t="n"/>
    </row>
    <row r="1092">
      <c r="A1092" s="672" t="inlineStr">
        <is>
          <t>E101101</t>
        </is>
      </c>
      <c r="B1092" s="767">
        <f>ROW()</f>
        <v/>
      </c>
      <c r="C1092" s="672" t="inlineStr">
        <is>
          <t>三门峡峡湖源风力发电有限公司</t>
        </is>
      </c>
      <c r="D1092" s="182" t="inlineStr">
        <is>
          <t>ZI029E100734</t>
        </is>
      </c>
      <c r="E1092" s="182" t="inlineStr">
        <is>
          <t>联合光伏（常州）投资集团有限公司</t>
        </is>
      </c>
      <c r="F1092" s="716" t="n"/>
      <c r="G1092" s="716" t="n"/>
      <c r="H1092" s="462" t="n"/>
    </row>
    <row r="1093">
      <c r="A1093" s="182" t="inlineStr">
        <is>
          <t>E100907</t>
        </is>
      </c>
      <c r="B1093" s="767">
        <f>ROW()</f>
        <v/>
      </c>
      <c r="C1093" s="182" t="inlineStr">
        <is>
          <t>隆尧县国昌新能源科技有限公司</t>
        </is>
      </c>
      <c r="D1093" s="182" t="inlineStr">
        <is>
          <t>ZI029E100730</t>
        </is>
      </c>
      <c r="E1093" s="182" t="inlineStr">
        <is>
          <t>京能国际能源发展（北京）有限公司</t>
        </is>
      </c>
      <c r="F1093" s="716" t="n"/>
      <c r="G1093" s="716" t="n"/>
      <c r="H1093" s="462" t="n"/>
    </row>
    <row r="1094">
      <c r="A1094" s="182" t="inlineStr">
        <is>
          <t>E100907</t>
        </is>
      </c>
      <c r="B1094" s="767">
        <f>ROW()</f>
        <v/>
      </c>
      <c r="C1094" s="182" t="inlineStr">
        <is>
          <t>隆尧县国昌新能源科技有限公司</t>
        </is>
      </c>
      <c r="D1094" s="672" t="inlineStr">
        <is>
          <t>ZI029E101076</t>
        </is>
      </c>
      <c r="E1094" s="182" t="inlineStr">
        <is>
          <t>京能胜科（海南）国际能源有限公司</t>
        </is>
      </c>
      <c r="F1094" s="716" t="n"/>
      <c r="G1094" s="716" t="n"/>
      <c r="H1094" s="462" t="n"/>
    </row>
    <row r="1095">
      <c r="A1095" s="182" t="inlineStr">
        <is>
          <t>E100828</t>
        </is>
      </c>
      <c r="B1095" s="767">
        <f>ROW()</f>
        <v/>
      </c>
      <c r="C1095" s="182" t="inlineStr">
        <is>
          <t>京能（寻甸）新能源有限公司</t>
        </is>
      </c>
      <c r="D1095" s="182" t="inlineStr">
        <is>
          <t>ZI029E100730</t>
        </is>
      </c>
      <c r="E1095" s="182" t="inlineStr">
        <is>
          <t>京能国际能源发展（北京）有限公司</t>
        </is>
      </c>
      <c r="F1095" s="716" t="n"/>
      <c r="G1095" s="716" t="n"/>
      <c r="H1095" s="462" t="n"/>
    </row>
    <row r="1096">
      <c r="A1096" s="182" t="inlineStr">
        <is>
          <t>E101099</t>
        </is>
      </c>
      <c r="B1096" s="767">
        <f>ROW()</f>
        <v/>
      </c>
      <c r="C1096" s="182" t="inlineStr">
        <is>
          <t>京能（保山）光伏发电有限公司</t>
        </is>
      </c>
      <c r="D1096" s="182" t="inlineStr">
        <is>
          <t>ZI029E100883</t>
        </is>
      </c>
      <c r="E1096" s="182" t="inlineStr">
        <is>
          <t>Beijing Energy International Investment Limited</t>
        </is>
      </c>
      <c r="F1096" s="716" t="n"/>
      <c r="G1096" s="716" t="n"/>
      <c r="H1096" s="462" t="n"/>
    </row>
    <row r="1097">
      <c r="A1097" s="182" t="inlineStr">
        <is>
          <t>E100923</t>
        </is>
      </c>
      <c r="B1097" s="767">
        <f>ROW()</f>
        <v/>
      </c>
      <c r="C1097" s="182" t="inlineStr">
        <is>
          <t>武汉京能低碳新能源有限公司</t>
        </is>
      </c>
      <c r="D1097" s="182" t="inlineStr">
        <is>
          <t>ZI029E100730</t>
        </is>
      </c>
      <c r="E1097" s="182" t="inlineStr">
        <is>
          <t>京能国际能源发展（北京）有限公司</t>
        </is>
      </c>
      <c r="F1097" s="716" t="n"/>
      <c r="G1097" s="716" t="n"/>
      <c r="H1097" s="462" t="n"/>
    </row>
    <row r="1098" ht="16.8" customHeight="1" s="1181">
      <c r="A1098" s="182" t="inlineStr">
        <is>
          <t>E101088</t>
        </is>
      </c>
      <c r="B1098" s="767">
        <f>ROW()</f>
        <v/>
      </c>
      <c r="C1098" s="390" t="inlineStr">
        <is>
          <t>京吉（安福）光伏发电有限公司</t>
        </is>
      </c>
      <c r="D1098" s="182" t="inlineStr">
        <is>
          <t>ZI029E100883</t>
        </is>
      </c>
      <c r="E1098" s="182" t="inlineStr">
        <is>
          <t>Beijing Energy International Investment Limited</t>
        </is>
      </c>
      <c r="F1098" s="716" t="n"/>
      <c r="G1098" s="716" t="n"/>
      <c r="H1098" s="462" t="n"/>
    </row>
    <row r="1099" ht="16.8" customHeight="1" s="1181">
      <c r="A1099" s="182" t="inlineStr">
        <is>
          <t>E101087</t>
        </is>
      </c>
      <c r="B1099" s="767">
        <f>ROW()</f>
        <v/>
      </c>
      <c r="C1099" s="390" t="inlineStr">
        <is>
          <t>京能（宜黄）光伏发电有限公司</t>
        </is>
      </c>
      <c r="D1099" s="182" t="inlineStr">
        <is>
          <t>ZI029E100883</t>
        </is>
      </c>
      <c r="E1099" s="182" t="inlineStr">
        <is>
          <t>Beijing Energy International Investment Limited</t>
        </is>
      </c>
      <c r="F1099" s="716" t="n"/>
      <c r="G1099" s="716" t="n"/>
      <c r="H1099" s="462" t="n"/>
    </row>
    <row r="1100" ht="16.8" customHeight="1" s="1181">
      <c r="A1100" s="182" t="inlineStr">
        <is>
          <t>E101029</t>
        </is>
      </c>
      <c r="B1100" s="767">
        <f>ROW()</f>
        <v/>
      </c>
      <c r="C1100" s="182" t="inlineStr">
        <is>
          <t>Pearl International Investments S.ar.l.</t>
        </is>
      </c>
      <c r="D1100" s="182" t="inlineStr">
        <is>
          <t>ZI029E101028</t>
        </is>
      </c>
      <c r="E1100" s="390" t="inlineStr">
        <is>
          <t>Renewable Energy UK Portfolio Limited</t>
        </is>
      </c>
      <c r="F1100" s="716" t="n"/>
      <c r="G1100" s="716" t="n"/>
      <c r="H1100" s="462" t="n"/>
    </row>
    <row r="1101" ht="16.8" customHeight="1" s="1181">
      <c r="A1101" s="672" t="inlineStr">
        <is>
          <t>E101095</t>
        </is>
      </c>
      <c r="B1101" s="767">
        <f>ROW()</f>
        <v/>
      </c>
      <c r="C1101" s="182" t="inlineStr">
        <is>
          <t>JN Viet Nam Renewable Energy Company Limited</t>
        </is>
      </c>
      <c r="D1101" s="182" t="inlineStr">
        <is>
          <t>ZI029E101028</t>
        </is>
      </c>
      <c r="E1101" s="390" t="inlineStr">
        <is>
          <t>Renewable Energy UK Portfolio Limited</t>
        </is>
      </c>
      <c r="F1101" s="716" t="n"/>
      <c r="G1101" s="716" t="n"/>
      <c r="H1101" s="462" t="n"/>
    </row>
    <row r="1102">
      <c r="A1102" s="182" t="inlineStr">
        <is>
          <t>E101045</t>
        </is>
      </c>
      <c r="B1102" s="767">
        <f>ROW()</f>
        <v/>
      </c>
      <c r="C1102" s="182" t="inlineStr">
        <is>
          <t>Beijing Energy International （Australia） Holding Pty Ltd</t>
        </is>
      </c>
      <c r="D1102" s="182" t="inlineStr">
        <is>
          <t>ZI029E101044</t>
        </is>
      </c>
      <c r="E1102" s="182" t="inlineStr">
        <is>
          <t>JingNeng Renewable Energy International Group Limited</t>
        </is>
      </c>
      <c r="F1102" s="716" t="n"/>
      <c r="G1102" s="716" t="n"/>
      <c r="H1102" s="462" t="n"/>
    </row>
    <row r="1103">
      <c r="A1103" s="182" t="inlineStr">
        <is>
          <t>E101046</t>
        </is>
      </c>
      <c r="B1103" s="767">
        <f>ROW()</f>
        <v/>
      </c>
      <c r="C1103" s="182" t="inlineStr">
        <is>
          <t>Wollar Solar Holding Pty Ltd</t>
        </is>
      </c>
      <c r="D1103" s="182" t="inlineStr">
        <is>
          <t>ZI029E101045</t>
        </is>
      </c>
      <c r="E1103" s="182" t="inlineStr">
        <is>
          <t>Beijing Energy International （Australia） Holding Pty Ltd</t>
        </is>
      </c>
      <c r="F1103" s="716" t="n"/>
      <c r="G1103" s="716" t="n"/>
      <c r="H1103" s="462" t="n"/>
    </row>
    <row r="1104">
      <c r="A1104" s="182" t="inlineStr">
        <is>
          <t>E101047</t>
        </is>
      </c>
      <c r="B1104" s="767">
        <f>ROW()</f>
        <v/>
      </c>
      <c r="C1104" s="182" t="inlineStr">
        <is>
          <t>MNS Wind Holding Pty Limited</t>
        </is>
      </c>
      <c r="D1104" s="182" t="inlineStr">
        <is>
          <t>ZI029E101046</t>
        </is>
      </c>
      <c r="E1104" s="182" t="inlineStr">
        <is>
          <t>Wollar Solar Holding Pty Ltd</t>
        </is>
      </c>
      <c r="F1104" s="716" t="n"/>
      <c r="G1104" s="716" t="n"/>
      <c r="H1104" s="462" t="n"/>
    </row>
    <row r="1105">
      <c r="A1105" s="182" t="inlineStr">
        <is>
          <t>E101048</t>
        </is>
      </c>
      <c r="B1105" s="767">
        <f>ROW()</f>
        <v/>
      </c>
      <c r="C1105" s="182" t="inlineStr">
        <is>
          <t>MNS Wind Finance Pty Limited</t>
        </is>
      </c>
      <c r="D1105" s="182" t="inlineStr">
        <is>
          <t>ZI029E101047</t>
        </is>
      </c>
      <c r="E1105" s="182" t="inlineStr">
        <is>
          <t>MNS Wind Holding Pty Limited</t>
        </is>
      </c>
      <c r="F1105" s="716" t="n"/>
      <c r="G1105" s="716" t="n"/>
      <c r="H1105" s="462" t="n"/>
    </row>
    <row r="1106">
      <c r="A1106" s="182" t="inlineStr">
        <is>
          <t>E101049</t>
        </is>
      </c>
      <c r="B1106" s="767">
        <f>ROW()</f>
        <v/>
      </c>
      <c r="C1106" s="182" t="inlineStr">
        <is>
          <t>Wollar Solar Finance Pty Ltd</t>
        </is>
      </c>
      <c r="D1106" s="182" t="inlineStr">
        <is>
          <t>ZI029E101046</t>
        </is>
      </c>
      <c r="E1106" s="182" t="inlineStr">
        <is>
          <t>Wollar Solar Holding Pty Ltd</t>
        </is>
      </c>
      <c r="F1106" s="716" t="n"/>
      <c r="G1106" s="716" t="n"/>
      <c r="H1106" s="462" t="n"/>
    </row>
    <row r="1107">
      <c r="A1107" s="182" t="inlineStr">
        <is>
          <t>E101050</t>
        </is>
      </c>
      <c r="B1107" s="767">
        <f>ROW()</f>
        <v/>
      </c>
      <c r="C1107" s="182" t="inlineStr">
        <is>
          <t>Wollar Solar Development Pty Limited</t>
        </is>
      </c>
      <c r="D1107" s="182" t="inlineStr">
        <is>
          <t>ZI029E101049</t>
        </is>
      </c>
      <c r="E1107" s="182" t="inlineStr">
        <is>
          <t>Wollar Solar Finance Pty Ltd</t>
        </is>
      </c>
      <c r="F1107" s="716" t="n"/>
      <c r="G1107" s="716" t="n"/>
      <c r="H1107" s="462" t="n"/>
    </row>
    <row r="1108">
      <c r="A1108" s="182" t="inlineStr">
        <is>
          <t>E101096</t>
        </is>
      </c>
      <c r="B1108" s="767">
        <f>ROW()</f>
        <v/>
      </c>
      <c r="C1108" s="182" t="inlineStr">
        <is>
          <t>Cuu An Wind Power Joint Stock Company</t>
        </is>
      </c>
      <c r="D1108" s="182" t="inlineStr">
        <is>
          <t>ZI029E101095</t>
        </is>
      </c>
      <c r="E1108" s="182" t="inlineStr">
        <is>
          <t>JN Viet Nam Renewable Energy Company Limited</t>
        </is>
      </c>
      <c r="F1108" s="716" t="n"/>
      <c r="G1108" s="716" t="n"/>
      <c r="H1108" s="462" t="n"/>
    </row>
    <row r="1109">
      <c r="A1109" s="182" t="inlineStr">
        <is>
          <t>E100901</t>
        </is>
      </c>
      <c r="B1109" s="767">
        <f>ROW()</f>
        <v/>
      </c>
      <c r="C1109" s="182" t="inlineStr">
        <is>
          <t>深圳前海京平新能源技术服务有限公司</t>
        </is>
      </c>
      <c r="D1109" s="182" t="inlineStr">
        <is>
          <t>ZI029E100730</t>
        </is>
      </c>
      <c r="E1109" s="182" t="inlineStr">
        <is>
          <t>京能国际能源发展（北京）有限公司</t>
        </is>
      </c>
      <c r="F1109" s="716" t="n"/>
      <c r="G1109" s="716" t="n"/>
      <c r="H1109" s="462" t="n"/>
    </row>
    <row r="1110">
      <c r="A1110" s="672" t="inlineStr">
        <is>
          <t>E101076</t>
        </is>
      </c>
      <c r="B1110" s="767">
        <f>ROW()</f>
        <v/>
      </c>
      <c r="C1110" s="182" t="inlineStr">
        <is>
          <t>京能胜科（海南）国际能源有限公司</t>
        </is>
      </c>
      <c r="D1110" s="182" t="inlineStr">
        <is>
          <t>ZI029E100883</t>
        </is>
      </c>
      <c r="E1110" s="182" t="inlineStr">
        <is>
          <t>Beijing Energy International Investment Limited</t>
        </is>
      </c>
      <c r="F1110" s="716" t="n"/>
      <c r="G1110" s="716" t="n"/>
      <c r="H1110" s="462" t="n"/>
    </row>
    <row r="1111">
      <c r="A1111" s="182" t="inlineStr">
        <is>
          <t>E100905</t>
        </is>
      </c>
      <c r="B1111" s="767">
        <f>ROW()</f>
        <v/>
      </c>
      <c r="C1111" s="182" t="inlineStr">
        <is>
          <t>南宫市国顺新能源科技有限公司</t>
        </is>
      </c>
      <c r="D1111" s="672" t="inlineStr">
        <is>
          <t>ZI029E101076</t>
        </is>
      </c>
      <c r="E1111" s="182" t="inlineStr">
        <is>
          <t>京能胜科（海南）国际能源有限公司</t>
        </is>
      </c>
      <c r="F1111" s="716" t="n"/>
      <c r="G1111" s="716" t="n"/>
      <c r="H1111" s="462" t="n"/>
    </row>
    <row r="1112">
      <c r="A1112" s="672" t="inlineStr">
        <is>
          <t>E100906</t>
        </is>
      </c>
      <c r="B1112" s="767">
        <f>ROW()</f>
        <v/>
      </c>
      <c r="C1112" s="182" t="inlineStr">
        <is>
          <t>广宗县国瑞能源有限公司</t>
        </is>
      </c>
      <c r="D1112" s="672" t="inlineStr">
        <is>
          <t>ZI029E101076</t>
        </is>
      </c>
      <c r="E1112" s="182" t="inlineStr">
        <is>
          <t>京能胜科（海南）国际能源有限公司</t>
        </is>
      </c>
      <c r="F1112" s="716" t="n"/>
      <c r="G1112" s="716" t="n"/>
      <c r="H1112" s="462" t="n"/>
    </row>
    <row r="1113">
      <c r="A1113" s="672" t="inlineStr">
        <is>
          <t>E101132</t>
        </is>
      </c>
      <c r="B1113" s="767">
        <f>ROW()</f>
        <v/>
      </c>
      <c r="C1113" s="182" t="inlineStr">
        <is>
          <t>内蒙古京能岱海新能源有限公司</t>
        </is>
      </c>
      <c r="D1113" s="182" t="inlineStr">
        <is>
          <t>ZI029E100145</t>
        </is>
      </c>
      <c r="E1113" s="182" t="inlineStr">
        <is>
          <t>北京京能电力股份有限公司</t>
        </is>
      </c>
      <c r="F1113" s="716" t="n"/>
      <c r="G1113" s="716" t="n"/>
      <c r="H1113" s="462" t="n"/>
    </row>
    <row r="1114">
      <c r="A1114" s="182" t="inlineStr">
        <is>
          <t>E100931</t>
        </is>
      </c>
      <c r="B1114" s="767">
        <f>ROW()</f>
        <v/>
      </c>
      <c r="C1114" s="182" t="inlineStr">
        <is>
          <t>南宫市国瑞新能源科技有限公司</t>
        </is>
      </c>
      <c r="D1114" s="182" t="inlineStr">
        <is>
          <t>ZI029E100730</t>
        </is>
      </c>
      <c r="E1114" s="182" t="inlineStr">
        <is>
          <t>京能国际能源发展（北京）有限公司</t>
        </is>
      </c>
      <c r="F1114" s="716" t="n"/>
      <c r="G1114" s="716" t="n"/>
      <c r="H1114" s="462" t="n"/>
    </row>
    <row r="1115">
      <c r="A1115" s="672" t="inlineStr">
        <is>
          <t>E101145</t>
        </is>
      </c>
      <c r="B1115" s="767">
        <f>ROW()</f>
        <v/>
      </c>
      <c r="C1115" s="182">
        <f>IF(_epmOfflineCondition_,"南宁京能清洁能源有限公司",EPMMemberDesc(A1115))</f>
        <v/>
      </c>
      <c r="D1115" s="182" t="inlineStr">
        <is>
          <t>ZI029E100001</t>
        </is>
      </c>
      <c r="E1115" s="182" t="inlineStr">
        <is>
          <t>北京京能清洁能源电力股份有限公司</t>
        </is>
      </c>
      <c r="F1115" s="716" t="n"/>
      <c r="G1115" s="716" t="n"/>
      <c r="H1115" s="462" t="n"/>
    </row>
    <row r="1116">
      <c r="A1116" s="672" t="inlineStr">
        <is>
          <t>E101178</t>
        </is>
      </c>
      <c r="B1116" s="767">
        <f>ROW()</f>
        <v/>
      </c>
      <c r="C1116" s="182" t="inlineStr">
        <is>
          <t>北京市昌平区颐寿轩养老服务中心</t>
        </is>
      </c>
      <c r="D1116" s="182" t="inlineStr">
        <is>
          <t>ZI029E100346</t>
        </is>
      </c>
      <c r="E1116" s="182" t="inlineStr">
        <is>
          <t>北京颐寿轩敬老院</t>
        </is>
      </c>
      <c r="F1116" s="716" t="n"/>
      <c r="G1116" s="716" t="n"/>
      <c r="H1116" s="462" t="n"/>
    </row>
    <row r="1117">
      <c r="A1117" s="672" t="inlineStr">
        <is>
          <t>E101332</t>
        </is>
      </c>
      <c r="B1117" s="767">
        <f>ROW()</f>
        <v/>
      </c>
      <c r="C1117" s="182" t="inlineStr">
        <is>
          <t>北京市昌平区颐寿轩护理院</t>
        </is>
      </c>
      <c r="D1117" s="182" t="inlineStr">
        <is>
          <t>ZI029E100346</t>
        </is>
      </c>
      <c r="E1117" s="182" t="inlineStr">
        <is>
          <t>北京颐寿轩敬老院</t>
        </is>
      </c>
      <c r="F1117" s="716" t="n"/>
      <c r="G1117" s="716" t="n"/>
      <c r="H1117" s="462" t="n"/>
    </row>
    <row r="1118">
      <c r="A1118" s="672" t="inlineStr">
        <is>
          <t>E101162</t>
        </is>
      </c>
      <c r="B1118" s="767">
        <f>ROW()</f>
        <v/>
      </c>
      <c r="C1118" s="182" t="inlineStr">
        <is>
          <t>京能科技（易县）有限公司</t>
        </is>
      </c>
      <c r="D1118" s="182" t="inlineStr">
        <is>
          <t>ZI029E100371</t>
        </is>
      </c>
      <c r="E1118" s="182" t="inlineStr">
        <is>
          <t>北京京能科技有限公司</t>
        </is>
      </c>
      <c r="F1118" s="716" t="n"/>
      <c r="G1118" s="716" t="n"/>
      <c r="H1118" s="462" t="n"/>
    </row>
    <row r="1119">
      <c r="A1119" s="672" t="inlineStr">
        <is>
          <t>E101173</t>
        </is>
      </c>
      <c r="B1119" s="767">
        <f>ROW()</f>
        <v/>
      </c>
      <c r="C1119" s="182" t="inlineStr">
        <is>
          <t>监利县浩丰绿色能源科技有限公司</t>
        </is>
      </c>
      <c r="D1119" s="182" t="inlineStr">
        <is>
          <t>ZI029E100001</t>
        </is>
      </c>
      <c r="E1119" s="182" t="inlineStr">
        <is>
          <t>北京京能清洁能源电力股份有限公司</t>
        </is>
      </c>
      <c r="F1119" s="716" t="n"/>
      <c r="G1119" s="716" t="n"/>
      <c r="H1119" s="462" t="n"/>
    </row>
    <row r="1120">
      <c r="A1120" s="672" t="inlineStr">
        <is>
          <t>E101175</t>
        </is>
      </c>
      <c r="B1120" s="767">
        <f>ROW()</f>
        <v/>
      </c>
      <c r="C1120" s="182" t="inlineStr">
        <is>
          <t>乌鲁木齐鑫禾光晟电力科技有限公司</t>
        </is>
      </c>
      <c r="D1120" s="182" t="inlineStr">
        <is>
          <t>ZI029E100001</t>
        </is>
      </c>
      <c r="E1120" s="182" t="inlineStr">
        <is>
          <t>北京京能清洁能源电力股份有限公司</t>
        </is>
      </c>
      <c r="F1120" s="716" t="n"/>
      <c r="G1120" s="716" t="n"/>
      <c r="H1120" s="462" t="n"/>
    </row>
    <row r="1121">
      <c r="A1121" s="672" t="inlineStr">
        <is>
          <t>E101176</t>
        </is>
      </c>
      <c r="B1121" s="767">
        <f>ROW()</f>
        <v/>
      </c>
      <c r="C1121" s="182" t="inlineStr">
        <is>
          <t>霍城县光晟光伏发电有限公司</t>
        </is>
      </c>
      <c r="D1121" s="182" t="inlineStr">
        <is>
          <t>ZI029E101175</t>
        </is>
      </c>
      <c r="E1121" s="182" t="inlineStr">
        <is>
          <t>乌鲁木齐鑫禾光晟电力科技有限公司</t>
        </is>
      </c>
      <c r="F1121" s="716" t="n"/>
      <c r="G1121" s="716" t="n"/>
      <c r="H1121" s="462" t="n"/>
    </row>
    <row r="1122">
      <c r="A1122" s="672" t="inlineStr">
        <is>
          <t>E101177</t>
        </is>
      </c>
      <c r="B1122" s="767">
        <f>ROW()</f>
        <v/>
      </c>
      <c r="C1122" s="182" t="inlineStr">
        <is>
          <t>宁夏泽华新能源有限公司</t>
        </is>
      </c>
      <c r="D1122" s="182" t="inlineStr">
        <is>
          <t>ZI029E100001</t>
        </is>
      </c>
      <c r="E1122" s="182" t="inlineStr">
        <is>
          <t>北京京能清洁能源电力股份有限公司</t>
        </is>
      </c>
      <c r="F1122" s="716" t="n"/>
      <c r="G1122" s="716" t="n"/>
      <c r="H1122" s="462" t="n"/>
    </row>
    <row r="1123">
      <c r="A1123" s="672" t="inlineStr">
        <is>
          <t>E101174</t>
        </is>
      </c>
      <c r="B1123" s="767">
        <f>ROW()</f>
        <v/>
      </c>
      <c r="C1123" s="182" t="inlineStr">
        <is>
          <t>北京京能综合能源有限公司</t>
        </is>
      </c>
      <c r="D1123" s="182" t="inlineStr">
        <is>
          <t>ZI029E100001</t>
        </is>
      </c>
      <c r="E1123" s="182" t="inlineStr">
        <is>
          <t>北京京能清洁能源电力股份有限公司</t>
        </is>
      </c>
      <c r="F1123" s="716" t="n"/>
      <c r="G1123" s="716" t="n"/>
      <c r="H1123" s="462" t="n"/>
    </row>
    <row r="1124">
      <c r="A1124" s="672" t="inlineStr">
        <is>
          <t>E101182</t>
        </is>
      </c>
      <c r="B1124" s="767">
        <f>ROW()</f>
        <v/>
      </c>
      <c r="C1124" s="182" t="inlineStr">
        <is>
          <t>北京瑞和保险经纪有限公司</t>
        </is>
      </c>
      <c r="D1124" s="182" t="inlineStr">
        <is>
          <t>ZI029E100000</t>
        </is>
      </c>
      <c r="E1124" s="182" t="inlineStr">
        <is>
          <t>北京能源集团有限责任公司</t>
        </is>
      </c>
      <c r="F1124" s="716" t="n"/>
      <c r="G1124" s="716" t="n"/>
      <c r="H1124" s="462" t="n"/>
    </row>
    <row r="1125">
      <c r="A1125" s="672" t="inlineStr">
        <is>
          <t>E101160</t>
        </is>
      </c>
      <c r="B1125" s="767">
        <f>ROW()</f>
        <v/>
      </c>
      <c r="C1125" s="182" t="inlineStr">
        <is>
          <t>横峰县晶能电力有限公司</t>
        </is>
      </c>
      <c r="D1125" s="182" t="inlineStr">
        <is>
          <t>ZI029E100001</t>
        </is>
      </c>
      <c r="E1125" s="182" t="inlineStr">
        <is>
          <t>北京京能清洁能源电力股份有限公司</t>
        </is>
      </c>
      <c r="F1125" s="716" t="n"/>
      <c r="G1125" s="716" t="n"/>
      <c r="H1125" s="462" t="n"/>
    </row>
    <row r="1126">
      <c r="A1126" s="672" t="inlineStr">
        <is>
          <t>E101144</t>
        </is>
      </c>
      <c r="B1126" s="767">
        <f>ROW()</f>
        <v/>
      </c>
      <c r="C1126" s="182" t="inlineStr">
        <is>
          <t>横峰县晶源电力有限公司</t>
        </is>
      </c>
      <c r="D1126" s="182" t="inlineStr">
        <is>
          <t>ZI029E100001</t>
        </is>
      </c>
      <c r="E1126" s="182" t="inlineStr">
        <is>
          <t>北京京能清洁能源电力股份有限公司</t>
        </is>
      </c>
      <c r="F1126" s="716" t="n"/>
      <c r="G1126" s="716" t="n"/>
      <c r="H1126" s="462" t="n"/>
    </row>
    <row r="1127">
      <c r="A1127" s="672" t="inlineStr">
        <is>
          <t>E101188</t>
        </is>
      </c>
      <c r="B1127" s="767">
        <f>ROW()</f>
        <v/>
      </c>
      <c r="C1127" s="182" t="inlineStr">
        <is>
          <t>亚洲新能源（宝应）风力发电有限公司</t>
        </is>
      </c>
      <c r="D1127" s="182" t="inlineStr">
        <is>
          <t>ZI029E100730</t>
        </is>
      </c>
      <c r="E1127" s="182" t="inlineStr">
        <is>
          <t>京能国际能源发展（北京）有限公司</t>
        </is>
      </c>
      <c r="F1127" s="716" t="n"/>
      <c r="G1127" s="716" t="n"/>
      <c r="H1127" s="462" t="n"/>
    </row>
    <row r="1128">
      <c r="A1128" s="672" t="inlineStr">
        <is>
          <t>E101191</t>
        </is>
      </c>
      <c r="B1128" s="767">
        <f>ROW()</f>
        <v/>
      </c>
      <c r="C1128" s="182" t="inlineStr">
        <is>
          <t>云南保山槟榔江水电开发有限公司</t>
        </is>
      </c>
      <c r="D1128" s="182" t="inlineStr">
        <is>
          <t>ZI029E101190</t>
        </is>
      </c>
      <c r="E1128" s="182" t="inlineStr">
        <is>
          <t>保山能源发展股份有限公司</t>
        </is>
      </c>
      <c r="F1128" s="716" t="n"/>
      <c r="G1128" s="716" t="n"/>
      <c r="H1128" s="462" t="n"/>
    </row>
    <row r="1129">
      <c r="A1129" s="672" t="inlineStr">
        <is>
          <t>E101192</t>
        </is>
      </c>
      <c r="B1129" s="767">
        <f>ROW()</f>
        <v/>
      </c>
      <c r="C1129" s="182" t="inlineStr">
        <is>
          <t>保山龙川江水电开发有限公司</t>
        </is>
      </c>
      <c r="D1129" s="182" t="inlineStr">
        <is>
          <t>ZI029E101190</t>
        </is>
      </c>
      <c r="E1129" s="182" t="inlineStr">
        <is>
          <t>保山能源发展股份有限公司</t>
        </is>
      </c>
      <c r="F1129" s="716" t="n"/>
      <c r="G1129" s="716" t="n"/>
      <c r="H1129" s="462" t="n"/>
    </row>
    <row r="1130">
      <c r="A1130" s="672" t="inlineStr">
        <is>
          <t>E101190</t>
        </is>
      </c>
      <c r="B1130" s="767">
        <f>ROW()</f>
        <v/>
      </c>
      <c r="C1130" s="182" t="inlineStr">
        <is>
          <t>保山能源发展股份有限公司</t>
        </is>
      </c>
      <c r="D1130" s="182" t="inlineStr">
        <is>
          <t>ZI029E101184</t>
        </is>
      </c>
      <c r="E1130" s="182" t="inlineStr">
        <is>
          <t>北京云保能源开发有限公司</t>
        </is>
      </c>
      <c r="F1130" s="716" t="n"/>
      <c r="G1130" s="716" t="n"/>
      <c r="H1130" s="462" t="n"/>
    </row>
    <row r="1131">
      <c r="A1131" s="672" t="inlineStr">
        <is>
          <t>E101164</t>
        </is>
      </c>
      <c r="B1131" s="767">
        <f>ROW()</f>
        <v/>
      </c>
      <c r="C1131" s="182" t="inlineStr">
        <is>
          <t>广东安晟新能源有限公司</t>
        </is>
      </c>
      <c r="D1131" s="182" t="inlineStr">
        <is>
          <t>ZI029E100001</t>
        </is>
      </c>
      <c r="E1131" s="182" t="inlineStr">
        <is>
          <t>北京清洁能源电力股份有限公司</t>
        </is>
      </c>
      <c r="F1131" s="716" t="n"/>
      <c r="G1131" s="716" t="n"/>
      <c r="H1131" s="462" t="n"/>
    </row>
    <row r="1132">
      <c r="A1132" s="672" t="inlineStr">
        <is>
          <t>E101163</t>
        </is>
      </c>
      <c r="B1132" s="767">
        <f>ROW()</f>
        <v/>
      </c>
      <c r="C1132" s="182" t="inlineStr">
        <is>
          <t>广东耀胜新能源有限公司</t>
        </is>
      </c>
      <c r="D1132" s="182" t="inlineStr">
        <is>
          <t>ZI029E101164</t>
        </is>
      </c>
      <c r="E1132" s="182" t="inlineStr">
        <is>
          <t>广东安晟新能源有限公司</t>
        </is>
      </c>
      <c r="F1132" s="716" t="n"/>
      <c r="G1132" s="716" t="n"/>
      <c r="H1132" s="462" t="n"/>
    </row>
    <row r="1133">
      <c r="A1133" s="672" t="inlineStr">
        <is>
          <t>E101166</t>
        </is>
      </c>
      <c r="B1133" s="767">
        <f>ROW()</f>
        <v/>
      </c>
      <c r="C1133" s="182" t="inlineStr">
        <is>
          <t>厦门阳万丈清洁能源有限公司</t>
        </is>
      </c>
      <c r="D1133" s="182" t="inlineStr">
        <is>
          <t>ZI029E100001</t>
        </is>
      </c>
      <c r="E1133" s="182" t="inlineStr">
        <is>
          <t>北京清洁能源电力股份有限公司</t>
        </is>
      </c>
      <c r="F1133" s="716" t="n"/>
      <c r="G1133" s="716" t="n"/>
      <c r="H1133" s="462" t="n"/>
    </row>
    <row r="1134">
      <c r="A1134" s="672" t="inlineStr">
        <is>
          <t>E101161</t>
        </is>
      </c>
      <c r="B1134" s="767">
        <f>ROW()</f>
        <v/>
      </c>
      <c r="C1134" s="182" t="inlineStr">
        <is>
          <t>泉州市立欢清洁能源有限公司</t>
        </is>
      </c>
      <c r="D1134" s="182" t="inlineStr">
        <is>
          <t>ZI029E101166</t>
        </is>
      </c>
      <c r="E1134" s="182" t="inlineStr">
        <is>
          <t>厦门阳万丈清洁能源有限公司</t>
        </is>
      </c>
      <c r="F1134" s="716" t="n"/>
      <c r="G1134" s="716" t="n"/>
      <c r="H1134" s="462" t="n"/>
    </row>
    <row r="1135">
      <c r="A1135" s="672" t="inlineStr">
        <is>
          <t>E101181</t>
        </is>
      </c>
      <c r="B1135" s="767">
        <f>ROW()</f>
        <v/>
      </c>
      <c r="C1135" s="182" t="inlineStr">
        <is>
          <t>化州京智新能源有限公司</t>
        </is>
      </c>
      <c r="D1135" s="182" t="inlineStr">
        <is>
          <t>ZI029E100001</t>
        </is>
      </c>
      <c r="E1135" s="182" t="inlineStr">
        <is>
          <t>北京清洁能源电力股份有限公司</t>
        </is>
      </c>
      <c r="F1135" s="716" t="n"/>
      <c r="G1135" s="716" t="n"/>
      <c r="H1135" s="462" t="n"/>
    </row>
    <row r="1136">
      <c r="A1136" s="672" t="inlineStr">
        <is>
          <t>E101187</t>
        </is>
      </c>
      <c r="B1136" s="767">
        <f>ROW()</f>
        <v/>
      </c>
      <c r="C1136" s="182" t="inlineStr">
        <is>
          <t>横峰县晶泰电力有限公司</t>
        </is>
      </c>
      <c r="D1136" s="182" t="inlineStr">
        <is>
          <t>ZI029E100001</t>
        </is>
      </c>
      <c r="E1136" s="182" t="inlineStr">
        <is>
          <t>北京清洁能源电力股份有限公司</t>
        </is>
      </c>
      <c r="F1136" s="716" t="n"/>
      <c r="G1136" s="716" t="n"/>
      <c r="H1136" s="462" t="n"/>
    </row>
    <row r="1137">
      <c r="A1137" s="672" t="inlineStr">
        <is>
          <t>E101148</t>
        </is>
      </c>
      <c r="B1137" s="767">
        <f>ROW()</f>
        <v/>
      </c>
      <c r="C1137" s="672" t="inlineStr">
        <is>
          <t>桂林京能清洁能源有限公司</t>
        </is>
      </c>
      <c r="D1137" s="182" t="inlineStr">
        <is>
          <t>ZI029E100001</t>
        </is>
      </c>
      <c r="E1137" s="182" t="inlineStr">
        <is>
          <t>北京清洁能源电力股份有限公司</t>
        </is>
      </c>
      <c r="F1137" s="716" t="n"/>
      <c r="G1137" s="716" t="n"/>
      <c r="H1137" s="462" t="n"/>
    </row>
    <row r="1138">
      <c r="A1138" s="672" t="inlineStr">
        <is>
          <t>E100846</t>
        </is>
      </c>
      <c r="B1138" s="767">
        <f>ROW()</f>
        <v/>
      </c>
      <c r="C1138" s="672" t="inlineStr">
        <is>
          <t>内蒙古京能准旗新能源有限公司</t>
        </is>
      </c>
      <c r="D1138" s="672" t="inlineStr">
        <is>
          <t>ZI029E100145</t>
        </is>
      </c>
      <c r="E1138" s="672" t="inlineStr">
        <is>
          <t>北京京能电力股份有限公司</t>
        </is>
      </c>
      <c r="F1138" s="716" t="n"/>
      <c r="G1138" s="716" t="n"/>
      <c r="H1138" s="462" t="n"/>
    </row>
    <row r="1139">
      <c r="A1139" s="672" t="inlineStr">
        <is>
          <t>E101203</t>
        </is>
      </c>
      <c r="B1139" s="767">
        <f>ROW()</f>
        <v/>
      </c>
      <c r="C1139" s="672" t="inlineStr">
        <is>
          <t>南京津美宇新能源有限公司</t>
        </is>
      </c>
      <c r="D1139" s="672" t="inlineStr">
        <is>
          <t>ZI029E100001</t>
        </is>
      </c>
      <c r="E1139" s="672" t="inlineStr">
        <is>
          <t>北京京能清洁能源电力股份有限公司</t>
        </is>
      </c>
      <c r="F1139" s="716" t="n"/>
      <c r="G1139" s="716" t="n"/>
      <c r="H1139" s="462" t="n"/>
    </row>
    <row r="1140">
      <c r="A1140" s="672" t="inlineStr">
        <is>
          <t>E101204</t>
        </is>
      </c>
      <c r="B1140" s="767">
        <f>ROW()</f>
        <v/>
      </c>
      <c r="C1140" s="672" t="inlineStr">
        <is>
          <t>天津美达光伏发电有限公司</t>
        </is>
      </c>
      <c r="D1140" s="672" t="inlineStr">
        <is>
          <t>ZI029E101203</t>
        </is>
      </c>
      <c r="E1140" s="672" t="inlineStr">
        <is>
          <t>南京津美宇新能源有限公司</t>
        </is>
      </c>
      <c r="F1140" s="716" t="n"/>
      <c r="G1140" s="716" t="n"/>
      <c r="H1140" s="462" t="n"/>
    </row>
    <row r="1141">
      <c r="A1141" s="672" t="inlineStr">
        <is>
          <t>E101194</t>
        </is>
      </c>
      <c r="B1141" s="767">
        <f>ROW()</f>
        <v/>
      </c>
      <c r="C1141" s="182" t="inlineStr">
        <is>
          <t>京能（昆明）新能源有限公司</t>
        </is>
      </c>
      <c r="D1141" s="182" t="inlineStr">
        <is>
          <t>ZI029E100883</t>
        </is>
      </c>
      <c r="E1141" s="182" t="inlineStr">
        <is>
          <t>Beijing Energy International Investment Limited</t>
        </is>
      </c>
      <c r="F1141" s="716" t="n"/>
      <c r="G1141" s="716" t="n"/>
      <c r="H1141" s="462" t="n"/>
    </row>
    <row r="1142">
      <c r="A1142" s="672" t="inlineStr">
        <is>
          <t>E101137</t>
        </is>
      </c>
      <c r="B1142" s="767">
        <f>ROW()</f>
        <v/>
      </c>
      <c r="C1142" s="182" t="inlineStr">
        <is>
          <t>内蒙古京海煤矸石发电有限责任公司水泥分公司</t>
        </is>
      </c>
      <c r="D1142" s="672" t="inlineStr">
        <is>
          <t>ZI029E100145</t>
        </is>
      </c>
      <c r="E1142" s="182" t="inlineStr">
        <is>
          <t>北京京能电力股份有限公司</t>
        </is>
      </c>
      <c r="F1142" s="716" t="n"/>
      <c r="G1142" s="716" t="n"/>
      <c r="H1142" s="462" t="n"/>
    </row>
    <row r="1143">
      <c r="A1143" s="672" t="inlineStr">
        <is>
          <t>E101197</t>
        </is>
      </c>
      <c r="B1143" s="767">
        <f>ROW()</f>
        <v/>
      </c>
      <c r="C1143" s="182" t="inlineStr">
        <is>
          <t>Moorabool Wind Farm (Holding) Pty Ltd</t>
        </is>
      </c>
      <c r="D1143" s="182" t="inlineStr">
        <is>
          <t>ZI029E101045</t>
        </is>
      </c>
      <c r="E1143" s="182" t="inlineStr">
        <is>
          <t>Beijing Energy International （Australia） Holding Pty Ltd</t>
        </is>
      </c>
      <c r="F1143" s="716" t="n"/>
      <c r="G1143" s="716" t="n"/>
      <c r="H1143" s="462" t="n"/>
    </row>
    <row r="1144">
      <c r="A1144" s="672" t="inlineStr">
        <is>
          <t>E101196</t>
        </is>
      </c>
      <c r="B1144" s="767">
        <f>ROW()</f>
        <v/>
      </c>
      <c r="C1144" s="182" t="inlineStr">
        <is>
          <t>Moorabool South Wind Farm (Holding) Pty Ltd</t>
        </is>
      </c>
      <c r="D1144" s="182" t="inlineStr">
        <is>
          <t>ZI029E101045</t>
        </is>
      </c>
      <c r="E1144" s="182" t="inlineStr">
        <is>
          <t>Beijing Energy International （Australia） Holding Pty Ltd</t>
        </is>
      </c>
      <c r="F1144" s="716" t="n"/>
      <c r="G1144" s="716" t="n"/>
      <c r="H1144" s="462" t="n"/>
    </row>
    <row r="1145">
      <c r="A1145" s="672" t="inlineStr">
        <is>
          <t>E101198</t>
        </is>
      </c>
      <c r="B1145" s="767">
        <f>ROW()</f>
        <v/>
      </c>
      <c r="C1145" s="182" t="inlineStr">
        <is>
          <t>Moorabool Wind Farm Pty Ltd</t>
        </is>
      </c>
      <c r="D1145" s="182" t="inlineStr">
        <is>
          <t>ZI029E101045</t>
        </is>
      </c>
      <c r="E1145" s="182" t="inlineStr">
        <is>
          <t>Beijing Energy International （Australia） Holding Pty Ltd</t>
        </is>
      </c>
      <c r="F1145" s="716" t="n"/>
      <c r="G1145" s="716" t="n"/>
      <c r="H1145" s="462" t="n"/>
    </row>
    <row r="1146">
      <c r="A1146" s="672" t="inlineStr">
        <is>
          <t>E101200</t>
        </is>
      </c>
      <c r="B1146" s="767">
        <f>ROW()</f>
        <v/>
      </c>
      <c r="C1146" s="182" t="inlineStr">
        <is>
          <t>Moorabool Interface Company Pty Ltd</t>
        </is>
      </c>
      <c r="D1146" s="182" t="inlineStr">
        <is>
          <t>ZI029E101045</t>
        </is>
      </c>
      <c r="E1146" s="182" t="inlineStr">
        <is>
          <t>Beijing Energy International （Australia） Holding Pty Ltd</t>
        </is>
      </c>
      <c r="F1146" s="716" t="n"/>
      <c r="G1146" s="716" t="n"/>
      <c r="H1146" s="462" t="n"/>
    </row>
    <row r="1147">
      <c r="A1147" s="672" t="inlineStr">
        <is>
          <t>E101199</t>
        </is>
      </c>
      <c r="B1147" s="767">
        <f>ROW()</f>
        <v/>
      </c>
      <c r="C1147" s="182" t="inlineStr">
        <is>
          <t>Moorabool South Wind Farm Pty Ltd</t>
        </is>
      </c>
      <c r="D1147" s="182" t="inlineStr">
        <is>
          <t>ZI029E101045</t>
        </is>
      </c>
      <c r="E1147" s="182" t="inlineStr">
        <is>
          <t>Beijing Energy International （Australia） Holding Pty Ltd</t>
        </is>
      </c>
      <c r="F1147" s="716" t="n"/>
      <c r="G1147" s="716" t="n"/>
      <c r="H1147" s="462" t="n"/>
    </row>
    <row r="1148">
      <c r="A1148" s="672" t="inlineStr">
        <is>
          <t>E101202</t>
        </is>
      </c>
      <c r="B1148" s="767">
        <f>ROW()</f>
        <v/>
      </c>
      <c r="C1148" s="182" t="inlineStr">
        <is>
          <t>北京京润仁康医疗器械有限公司</t>
        </is>
      </c>
      <c r="D1148" s="182" t="inlineStr">
        <is>
          <t>ZI029E100704</t>
        </is>
      </c>
      <c r="E1148" s="182" t="inlineStr">
        <is>
          <t>北京京润仁康控股有限公司</t>
        </is>
      </c>
      <c r="F1148" s="716" t="n"/>
      <c r="G1148" s="716" t="n"/>
      <c r="H1148" s="462" t="n"/>
    </row>
    <row r="1149">
      <c r="A1149" s="672" t="inlineStr">
        <is>
          <t>E101071</t>
        </is>
      </c>
      <c r="B1149" s="767">
        <f>ROW()</f>
        <v/>
      </c>
      <c r="C1149" s="672" t="inlineStr">
        <is>
          <t>京能（阳西）综合能源有限公司</t>
        </is>
      </c>
      <c r="D1149" s="672" t="inlineStr">
        <is>
          <t>ZI029E100748</t>
        </is>
      </c>
      <c r="E1149" s="182" t="inlineStr">
        <is>
          <t>北京京能国际综合智慧能源有限公司</t>
        </is>
      </c>
      <c r="F1149" s="716" t="n"/>
      <c r="G1149" s="716" t="n"/>
      <c r="H1149" s="462" t="n"/>
    </row>
    <row r="1150">
      <c r="A1150" s="672" t="inlineStr">
        <is>
          <t>E101071</t>
        </is>
      </c>
      <c r="B1150" s="767">
        <f>ROW()</f>
        <v/>
      </c>
      <c r="C1150" s="672" t="inlineStr">
        <is>
          <t>京能（阳西）综合能源有限公司</t>
        </is>
      </c>
      <c r="D1150" s="672" t="inlineStr">
        <is>
          <t>ZI029E100729</t>
        </is>
      </c>
      <c r="E1150" s="672" t="inlineStr">
        <is>
          <t>北京京能国际控股有限公司</t>
        </is>
      </c>
      <c r="F1150" s="716" t="n"/>
      <c r="G1150" s="716" t="n"/>
      <c r="H1150" s="462" t="n"/>
    </row>
    <row r="1151">
      <c r="A1151" s="672" t="inlineStr">
        <is>
          <t>E101207</t>
        </is>
      </c>
      <c r="B1151" s="767">
        <f>ROW()</f>
        <v/>
      </c>
      <c r="C1151" s="672" t="inlineStr">
        <is>
          <t>京盟润龙（通辽市）新能源有限公司</t>
        </is>
      </c>
      <c r="D1151" s="672" t="inlineStr">
        <is>
          <t>ZI029E100730</t>
        </is>
      </c>
      <c r="E1151" s="672" t="inlineStr">
        <is>
          <t>京能国际能源发展（北京）有限公司</t>
        </is>
      </c>
      <c r="F1151" s="716" t="n"/>
      <c r="G1151" s="716" t="n"/>
      <c r="H1151" s="462" t="n"/>
    </row>
    <row r="1152">
      <c r="A1152" s="672" t="inlineStr">
        <is>
          <t>E101336</t>
        </is>
      </c>
      <c r="B1152" s="767">
        <f>ROW()</f>
        <v/>
      </c>
      <c r="C1152" s="672" t="inlineStr">
        <is>
          <t>盛唐贰号（天津）企业管理合伙企业（有限合伙）</t>
        </is>
      </c>
      <c r="D1152" s="672" t="inlineStr">
        <is>
          <t>ZI029E100730</t>
        </is>
      </c>
      <c r="E1152" s="672" t="inlineStr">
        <is>
          <t>京能国际能源发展（北京）有限公司</t>
        </is>
      </c>
      <c r="F1152" s="716" t="n"/>
      <c r="G1152" s="716" t="n"/>
      <c r="H1152" s="462" t="n"/>
    </row>
    <row r="1153">
      <c r="A1153" s="672" t="inlineStr">
        <is>
          <t>E101336</t>
        </is>
      </c>
      <c r="B1153" s="767">
        <f>ROW()</f>
        <v/>
      </c>
      <c r="C1153" s="182" t="inlineStr">
        <is>
          <t>盛唐壹号(天津) 企业管理合伙企业(有限合伙）</t>
        </is>
      </c>
      <c r="D1153" s="182" t="inlineStr">
        <is>
          <t>ZI029E100941</t>
        </is>
      </c>
      <c r="E1153" s="182" t="inlineStr">
        <is>
          <t>北京国电盛唐科技发展有限公司</t>
        </is>
      </c>
      <c r="F1153" s="716" t="n"/>
      <c r="G1153" s="716" t="n"/>
      <c r="H1153" s="462" t="n"/>
    </row>
    <row r="1154">
      <c r="A1154" s="672" t="inlineStr">
        <is>
          <t>E101090</t>
        </is>
      </c>
      <c r="B1154" s="767">
        <f>ROW()</f>
        <v/>
      </c>
      <c r="C1154" s="182" t="inlineStr">
        <is>
          <t>广西百色京耀综合能源服务有限公司</t>
        </is>
      </c>
      <c r="D1154" s="672" t="inlineStr">
        <is>
          <t>ZI029E100748</t>
        </is>
      </c>
      <c r="E1154" s="182" t="inlineStr">
        <is>
          <t>北京京能国际综合智慧能源有限公司</t>
        </is>
      </c>
      <c r="F1154" s="716" t="n"/>
      <c r="G1154" s="716" t="n"/>
      <c r="H1154" s="462" t="n"/>
    </row>
    <row r="1155">
      <c r="A1155" s="672" t="inlineStr">
        <is>
          <t>E101150</t>
        </is>
      </c>
      <c r="B1155" s="767">
        <f>ROW()</f>
        <v/>
      </c>
      <c r="C1155" s="672" t="inlineStr">
        <is>
          <t>西良周（北京）农业科技有限公司</t>
        </is>
      </c>
      <c r="D1155" s="672" t="inlineStr">
        <is>
          <t>ZI029E100748</t>
        </is>
      </c>
      <c r="E1155" s="182" t="inlineStr">
        <is>
          <t>北京京能国际综合智慧能源有限公司</t>
        </is>
      </c>
      <c r="F1155" s="716" t="n"/>
      <c r="G1155" s="716" t="n"/>
      <c r="H1155" s="462" t="n"/>
    </row>
    <row r="1156">
      <c r="A1156" s="672" t="inlineStr">
        <is>
          <t>E101211</t>
        </is>
      </c>
      <c r="B1156" s="767">
        <f>ROW()</f>
        <v/>
      </c>
      <c r="C1156" s="672" t="inlineStr">
        <is>
          <t>航远5号集合资金信托计划</t>
        </is>
      </c>
      <c r="D1156" s="182" t="inlineStr">
        <is>
          <t>ZI029E100191</t>
        </is>
      </c>
      <c r="E1156" s="182" t="inlineStr">
        <is>
          <t>北京乐多港发展有限公司</t>
        </is>
      </c>
      <c r="F1156" s="716" t="n"/>
      <c r="G1156" s="716" t="n"/>
      <c r="H1156" s="462" t="n"/>
    </row>
    <row r="1157">
      <c r="A1157" s="672" t="inlineStr">
        <is>
          <t>E101211</t>
        </is>
      </c>
      <c r="B1157" s="767">
        <f>ROW()</f>
        <v/>
      </c>
      <c r="C1157" s="672" t="inlineStr">
        <is>
          <t>航远5号集合资金信托计划</t>
        </is>
      </c>
      <c r="D1157" s="182" t="inlineStr">
        <is>
          <t>ZI029E100268</t>
        </is>
      </c>
      <c r="E1157" s="182" t="inlineStr">
        <is>
          <t>北京京煤集团有限责任公司</t>
        </is>
      </c>
      <c r="F1157" s="716" t="n"/>
      <c r="G1157" s="716" t="n"/>
      <c r="H1157" s="462" t="n"/>
    </row>
    <row r="1158">
      <c r="A1158" s="672" t="inlineStr">
        <is>
          <t>E101143</t>
        </is>
      </c>
      <c r="B1158" s="767">
        <f>ROW()</f>
        <v/>
      </c>
      <c r="C1158" s="672" t="inlineStr">
        <is>
          <t>灵寿县京实智慧新能源科技有限公司</t>
        </is>
      </c>
      <c r="D1158" s="182" t="inlineStr">
        <is>
          <t>ZI029E101142</t>
        </is>
      </c>
      <c r="E1158" s="182" t="inlineStr">
        <is>
          <t>灵寿县清智新能源科技有限公司</t>
        </is>
      </c>
      <c r="F1158" s="716" t="n"/>
      <c r="G1158" s="716" t="n"/>
      <c r="H1158" s="462" t="n"/>
    </row>
    <row r="1159">
      <c r="A1159" s="672" t="inlineStr">
        <is>
          <t>E101215</t>
        </is>
      </c>
      <c r="B1159" s="767">
        <f>ROW()</f>
        <v/>
      </c>
      <c r="C1159" s="182" t="inlineStr">
        <is>
          <t>北京京热兴怀能源有限责任公司</t>
        </is>
      </c>
      <c r="D1159" s="182" t="inlineStr">
        <is>
          <t>ZI029E100222</t>
        </is>
      </c>
      <c r="E1159" s="182" t="inlineStr">
        <is>
          <t>北京市热力集团有限责任公司</t>
        </is>
      </c>
      <c r="F1159" s="716" t="n"/>
      <c r="G1159" s="716" t="n"/>
      <c r="H1159" s="462" t="n"/>
    </row>
    <row r="1160">
      <c r="A1160" s="672" t="inlineStr">
        <is>
          <t>E101337</t>
        </is>
      </c>
      <c r="B1160" s="767">
        <f>ROW()</f>
        <v/>
      </c>
      <c r="C1160" s="182" t="inlineStr">
        <is>
          <t>北京铭泰能源管理科技有限公司</t>
        </is>
      </c>
      <c r="D1160" s="182" t="inlineStr">
        <is>
          <t>ZI029E100222</t>
        </is>
      </c>
      <c r="E1160" s="182" t="inlineStr">
        <is>
          <t>北京市热力集团有限责任公司</t>
        </is>
      </c>
      <c r="F1160" s="716" t="n"/>
      <c r="G1160" s="716" t="n"/>
      <c r="H1160" s="462" t="n"/>
    </row>
    <row r="1161">
      <c r="A1161" s="672" t="inlineStr">
        <is>
          <t>E101216</t>
        </is>
      </c>
      <c r="B1161" s="767">
        <f>ROW()</f>
        <v/>
      </c>
      <c r="C1161" s="182" t="inlineStr">
        <is>
          <t>航远6号集合资金信托计划</t>
        </is>
      </c>
      <c r="D1161" s="182" t="inlineStr">
        <is>
          <t>ZI029E100191</t>
        </is>
      </c>
      <c r="E1161" s="182" t="inlineStr">
        <is>
          <t>北京乐多港发展有限公司</t>
        </is>
      </c>
      <c r="F1161" s="716" t="n"/>
      <c r="G1161" s="716" t="n"/>
      <c r="H1161" s="462" t="n"/>
    </row>
    <row r="1162">
      <c r="A1162" s="672" t="inlineStr">
        <is>
          <t>E101216</t>
        </is>
      </c>
      <c r="B1162" s="767">
        <f>ROW()</f>
        <v/>
      </c>
      <c r="C1162" s="182" t="inlineStr">
        <is>
          <t>航远6号集合资金信托计划</t>
        </is>
      </c>
      <c r="D1162" s="182" t="inlineStr">
        <is>
          <t>ZI029E100268</t>
        </is>
      </c>
      <c r="E1162" s="182" t="inlineStr">
        <is>
          <t>北京京煤集团有限责任公司</t>
        </is>
      </c>
      <c r="F1162" s="716" t="n"/>
      <c r="G1162" s="716" t="n"/>
      <c r="H1162" s="462" t="n"/>
    </row>
    <row r="1163">
      <c r="A1163" s="672" t="inlineStr">
        <is>
          <t>E101206</t>
        </is>
      </c>
      <c r="B1163" s="767">
        <f>ROW()</f>
        <v/>
      </c>
      <c r="C1163" s="182" t="inlineStr">
        <is>
          <t>杭州有瑞电力科技有限公司</t>
        </is>
      </c>
      <c r="D1163" s="182" t="inlineStr">
        <is>
          <t>ZI029E100308</t>
        </is>
      </c>
      <c r="E1163" s="182" t="inlineStr">
        <is>
          <t>京能源深（苏州）能源科技有限公司</t>
        </is>
      </c>
      <c r="F1163" s="716" t="n"/>
      <c r="G1163" s="716" t="n"/>
      <c r="H1163" s="462" t="n"/>
    </row>
    <row r="1164">
      <c r="A1164" s="672" t="inlineStr">
        <is>
          <t>E101350</t>
        </is>
      </c>
      <c r="B1164" s="767">
        <f>ROW()</f>
        <v/>
      </c>
      <c r="C1164" s="182" t="inlineStr">
        <is>
          <t>海盐鸿禧电力有限公司</t>
        </is>
      </c>
      <c r="D1164" s="182" t="inlineStr">
        <is>
          <t>ZI029E100308</t>
        </is>
      </c>
      <c r="E1164" s="182" t="inlineStr">
        <is>
          <t>京能源深（苏州）能源科技有限公司</t>
        </is>
      </c>
      <c r="F1164" s="716" t="n"/>
      <c r="G1164" s="716" t="n"/>
      <c r="H1164" s="462" t="n"/>
    </row>
    <row r="1165">
      <c r="A1165" s="672" t="inlineStr">
        <is>
          <t>E101351</t>
        </is>
      </c>
      <c r="B1165" s="767">
        <f>ROW()</f>
        <v/>
      </c>
      <c r="C1165" s="182" t="inlineStr">
        <is>
          <t>海盐鸿旺电力有限责任公司</t>
        </is>
      </c>
      <c r="D1165" s="182" t="inlineStr">
        <is>
          <t>ZI029E100308</t>
        </is>
      </c>
      <c r="E1165" s="182" t="inlineStr">
        <is>
          <t>京能源深（苏州）能源科技有限公司</t>
        </is>
      </c>
      <c r="F1165" s="716" t="n"/>
      <c r="G1165" s="716" t="n"/>
      <c r="H1165" s="462" t="n"/>
    </row>
    <row r="1166">
      <c r="A1166" s="672" t="inlineStr">
        <is>
          <t>E101352</t>
        </is>
      </c>
      <c r="B1166" s="767">
        <f>ROW()</f>
        <v/>
      </c>
      <c r="C1166" s="182" t="inlineStr">
        <is>
          <t>金华鸿禧电力有限公司</t>
        </is>
      </c>
      <c r="D1166" s="182" t="inlineStr">
        <is>
          <t>ZI029E100308</t>
        </is>
      </c>
      <c r="E1166" s="182" t="inlineStr">
        <is>
          <t>京能源深（苏州）能源科技有限公司</t>
        </is>
      </c>
      <c r="F1166" s="716" t="n"/>
      <c r="G1166" s="716" t="n"/>
      <c r="H1166" s="462" t="n"/>
    </row>
    <row r="1167">
      <c r="A1167" s="672" t="inlineStr">
        <is>
          <t>E101355</t>
        </is>
      </c>
      <c r="B1167" s="767">
        <f>ROW()</f>
        <v/>
      </c>
      <c r="C1167" s="182" t="inlineStr">
        <is>
          <t>常州市允民新能源有限公司</t>
        </is>
      </c>
      <c r="D1167" s="182" t="inlineStr">
        <is>
          <t>ZI029E100308</t>
        </is>
      </c>
      <c r="E1167" s="182" t="inlineStr">
        <is>
          <t>京能源深（苏州）能源科技有限公司</t>
        </is>
      </c>
      <c r="F1167" s="716" t="n"/>
      <c r="G1167" s="716" t="n"/>
      <c r="H1167" s="462" t="n"/>
    </row>
    <row r="1168">
      <c r="A1168" s="672" t="inlineStr">
        <is>
          <t>E101356</t>
        </is>
      </c>
      <c r="B1168" s="767">
        <f>ROW()</f>
        <v/>
      </c>
      <c r="C1168" s="182" t="inlineStr">
        <is>
          <t>靖江市新合新能源有限公司</t>
        </is>
      </c>
      <c r="D1168" s="182" t="inlineStr">
        <is>
          <t>ZI029E100308</t>
        </is>
      </c>
      <c r="E1168" s="182" t="inlineStr">
        <is>
          <t>京能源深（苏州）能源科技有限公司</t>
        </is>
      </c>
      <c r="F1168" s="716" t="n"/>
      <c r="G1168" s="716" t="n"/>
      <c r="H1168" s="462" t="n"/>
    </row>
    <row r="1169">
      <c r="A1169" s="672" t="inlineStr">
        <is>
          <t>E101210</t>
        </is>
      </c>
      <c r="B1169" s="767">
        <f>ROW()</f>
        <v/>
      </c>
      <c r="C1169" s="182" t="inlineStr">
        <is>
          <t>阿巴嘎旗中天环保有限公司</t>
        </is>
      </c>
      <c r="D1169" s="182" t="inlineStr">
        <is>
          <t>ZI029E100189</t>
        </is>
      </c>
      <c r="E1169" s="182" t="inlineStr">
        <is>
          <t>京能锡林郭勒能源有限公司</t>
        </is>
      </c>
      <c r="F1169" s="716" t="n"/>
      <c r="G1169" s="716" t="n"/>
      <c r="H1169" s="462" t="n"/>
    </row>
    <row r="1170">
      <c r="A1170" s="672" t="inlineStr">
        <is>
          <t>E101186</t>
        </is>
      </c>
      <c r="B1170" s="767">
        <f>ROW()</f>
        <v/>
      </c>
      <c r="C1170" s="182" t="inlineStr">
        <is>
          <t>京南（北京）新能源有限公司</t>
        </is>
      </c>
      <c r="D1170" s="672" t="inlineStr">
        <is>
          <t>ZI029E100748</t>
        </is>
      </c>
      <c r="E1170" s="182" t="inlineStr">
        <is>
          <t>北京京能国际综合智慧能源有限公司</t>
        </is>
      </c>
      <c r="F1170" s="716" t="n"/>
      <c r="G1170" s="716" t="n"/>
      <c r="H1170" s="462" t="n"/>
    </row>
    <row r="1171">
      <c r="A1171" s="672" t="inlineStr">
        <is>
          <t>E101201</t>
        </is>
      </c>
      <c r="B1171" s="767">
        <f>ROW()</f>
        <v/>
      </c>
      <c r="C1171" s="182" t="inlineStr">
        <is>
          <t>京伏（上海）新能源有限公司</t>
        </is>
      </c>
      <c r="D1171" s="672" t="inlineStr">
        <is>
          <t>ZI029E100748</t>
        </is>
      </c>
      <c r="E1171" s="182" t="inlineStr">
        <is>
          <t>北京京能国际综合智慧能源有限公司</t>
        </is>
      </c>
      <c r="F1171" s="716" t="n"/>
      <c r="G1171" s="716" t="n"/>
      <c r="H1171" s="462" t="n"/>
    </row>
    <row r="1172">
      <c r="A1172" s="672" t="inlineStr">
        <is>
          <t>E101223</t>
        </is>
      </c>
      <c r="B1172" s="767">
        <f>ROW()</f>
        <v/>
      </c>
      <c r="C1172" s="182" t="inlineStr">
        <is>
          <t>亚洲新能源（金湖）风力发电有限公司</t>
        </is>
      </c>
      <c r="D1172" s="672" t="inlineStr">
        <is>
          <t>ZI029E100730</t>
        </is>
      </c>
      <c r="E1172" s="672" t="inlineStr">
        <is>
          <t>京能国际能源发展（北京）有限公司</t>
        </is>
      </c>
      <c r="F1172" s="716" t="n"/>
      <c r="G1172" s="716" t="n"/>
      <c r="H1172" s="462" t="n"/>
    </row>
    <row r="1173">
      <c r="A1173" s="672" t="inlineStr">
        <is>
          <t>E101084</t>
        </is>
      </c>
      <c r="B1173" s="767">
        <f>ROW()</f>
        <v/>
      </c>
      <c r="C1173" s="182" t="inlineStr">
        <is>
          <t>永登京能新能源电力有限公司</t>
        </is>
      </c>
      <c r="D1173" s="672" t="inlineStr">
        <is>
          <t>ZI029E100730</t>
        </is>
      </c>
      <c r="E1173" s="672" t="inlineStr">
        <is>
          <t>京能国际能源发展（北京）有限公司</t>
        </is>
      </c>
      <c r="F1173" s="716" t="n"/>
      <c r="G1173" s="716" t="n"/>
      <c r="H1173" s="462" t="n"/>
    </row>
    <row r="1174">
      <c r="A1174" s="672" t="inlineStr">
        <is>
          <t>E101184</t>
        </is>
      </c>
      <c r="B1174" s="767">
        <f>ROW()</f>
        <v/>
      </c>
      <c r="C1174" s="182" t="inlineStr">
        <is>
          <t>北京云保能源开发有限公司</t>
        </is>
      </c>
      <c r="D1174" s="672" t="inlineStr">
        <is>
          <t>ZI029E100729</t>
        </is>
      </c>
      <c r="E1174" s="672" t="inlineStr">
        <is>
          <t>北京京能国际控股有限公司</t>
        </is>
      </c>
      <c r="F1174" s="716" t="n"/>
      <c r="G1174" s="716" t="n"/>
      <c r="H1174" s="462" t="n"/>
    </row>
    <row r="1175">
      <c r="A1175" s="672" t="inlineStr">
        <is>
          <t>E101205</t>
        </is>
      </c>
      <c r="B1175" s="767">
        <f>ROW()</f>
        <v/>
      </c>
      <c r="C1175" s="182" t="inlineStr">
        <is>
          <t>黑龙江京望新能源有限公司</t>
        </is>
      </c>
      <c r="D1175" s="672" t="inlineStr">
        <is>
          <t>ZI029E100001</t>
        </is>
      </c>
      <c r="E1175" s="672" t="inlineStr">
        <is>
          <t>北京京能国际控股有限公司</t>
        </is>
      </c>
      <c r="F1175" s="716" t="n"/>
      <c r="G1175" s="716" t="n"/>
      <c r="H1175" s="462" t="n"/>
    </row>
    <row r="1176" ht="17" customHeight="1" s="1181">
      <c r="A1176" s="672" t="inlineStr">
        <is>
          <t>E101214</t>
        </is>
      </c>
      <c r="B1176" s="767">
        <f>ROW()</f>
        <v/>
      </c>
      <c r="C1176" s="771" t="inlineStr">
        <is>
          <t>河南省京能储能科技有限责任公司</t>
        </is>
      </c>
      <c r="D1176" s="672" t="inlineStr">
        <is>
          <t>ZI029E100145</t>
        </is>
      </c>
      <c r="E1176" s="672" t="inlineStr">
        <is>
          <t>北京京能电力股份有限公司</t>
        </is>
      </c>
      <c r="F1176" s="716" t="n"/>
      <c r="G1176" s="716" t="n"/>
      <c r="H1176" s="462" t="n"/>
    </row>
    <row r="1177">
      <c r="A1177" s="672" t="inlineStr">
        <is>
          <t>E101231</t>
        </is>
      </c>
      <c r="B1177" s="767">
        <f>ROW()</f>
        <v/>
      </c>
      <c r="C1177" s="182" t="inlineStr">
        <is>
          <t>京能（嘉兴）光伏发电有限公司</t>
        </is>
      </c>
      <c r="D1177" s="672" t="inlineStr">
        <is>
          <t>ZI029E100883</t>
        </is>
      </c>
      <c r="E1177" s="672" t="inlineStr">
        <is>
          <t>Beijing Energy International Investment Limited</t>
        </is>
      </c>
      <c r="F1177" s="716" t="n"/>
      <c r="G1177" s="716" t="n"/>
      <c r="H1177" s="462" t="n"/>
    </row>
    <row r="1178">
      <c r="A1178" s="672" t="inlineStr">
        <is>
          <t>E101219</t>
        </is>
      </c>
      <c r="B1178" s="767">
        <f>ROW()</f>
        <v/>
      </c>
      <c r="C1178" s="182" t="inlineStr">
        <is>
          <t>北京颐寿轩通和养老服务有限公司</t>
        </is>
      </c>
      <c r="D1178" s="672" t="inlineStr">
        <is>
          <t>ZI029E100776</t>
        </is>
      </c>
      <c r="E1178" s="672" t="inlineStr">
        <is>
          <t>北京健康养老集团有限公司</t>
        </is>
      </c>
      <c r="F1178" s="716" t="n"/>
      <c r="G1178" s="716" t="n"/>
      <c r="H1178" s="462" t="n"/>
    </row>
    <row r="1179">
      <c r="A1179" s="672" t="inlineStr">
        <is>
          <t>E101220</t>
        </is>
      </c>
      <c r="B1179" s="767">
        <f>ROW()</f>
        <v/>
      </c>
      <c r="C1179" s="182" t="inlineStr">
        <is>
          <t>北京颐寿轩养老产业有限公司</t>
        </is>
      </c>
      <c r="D1179" s="672" t="inlineStr">
        <is>
          <t>ZI029E100776</t>
        </is>
      </c>
      <c r="E1179" s="672" t="inlineStr">
        <is>
          <t>北京健康养老集团有限公司</t>
        </is>
      </c>
      <c r="F1179" s="716" t="n"/>
      <c r="G1179" s="716" t="n"/>
      <c r="H1179" s="462" t="n"/>
    </row>
    <row r="1180">
      <c r="A1180" s="672" t="inlineStr">
        <is>
          <t>E101221</t>
        </is>
      </c>
      <c r="B1180" s="767">
        <f>ROW()</f>
        <v/>
      </c>
      <c r="C1180" s="182" t="inlineStr">
        <is>
          <t>北京颐寿轩滨和养老服务有限公司</t>
        </is>
      </c>
      <c r="D1180" s="672" t="inlineStr">
        <is>
          <t>ZI029E100776</t>
        </is>
      </c>
      <c r="E1180" s="672" t="inlineStr">
        <is>
          <t>北京健康养老集团有限公司</t>
        </is>
      </c>
      <c r="F1180" s="716" t="n"/>
      <c r="G1180" s="716" t="n"/>
      <c r="H1180" s="462" t="n"/>
    </row>
    <row r="1181">
      <c r="A1181" s="672" t="inlineStr">
        <is>
          <t>E101222</t>
        </is>
      </c>
      <c r="B1181" s="767">
        <f>ROW()</f>
        <v/>
      </c>
      <c r="C1181" s="182" t="inlineStr">
        <is>
          <t>北京颐寿轩泰和养老服务有限公司</t>
        </is>
      </c>
      <c r="D1181" s="672" t="inlineStr">
        <is>
          <t>ZI029E100776</t>
        </is>
      </c>
      <c r="E1181" s="672" t="inlineStr">
        <is>
          <t>北京健康养老集团有限公司</t>
        </is>
      </c>
      <c r="F1181" s="716" t="n"/>
      <c r="G1181" s="716" t="n"/>
      <c r="H1181" s="462" t="n"/>
    </row>
    <row r="1182">
      <c r="A1182" s="672" t="inlineStr">
        <is>
          <t>E101235</t>
        </is>
      </c>
      <c r="B1182" s="767">
        <f>ROW()</f>
        <v/>
      </c>
      <c r="C1182" s="182" t="inlineStr">
        <is>
          <t>广东巨通新能源有限公司</t>
        </is>
      </c>
      <c r="D1182" s="182" t="inlineStr">
        <is>
          <t>ZI029E100001</t>
        </is>
      </c>
      <c r="E1182" s="182" t="inlineStr">
        <is>
          <t>北京京能清洁能源电力股份有限公司</t>
        </is>
      </c>
      <c r="F1182" s="716" t="n"/>
      <c r="G1182" s="716" t="n"/>
      <c r="H1182" s="462" t="n"/>
    </row>
    <row r="1183">
      <c r="A1183" s="672" t="inlineStr">
        <is>
          <t>E101236</t>
        </is>
      </c>
      <c r="B1183" s="767">
        <f>ROW()</f>
        <v/>
      </c>
      <c r="C1183" s="182" t="inlineStr">
        <is>
          <t>广东鹏泰新能源有限公司</t>
        </is>
      </c>
      <c r="D1183" s="182" t="inlineStr">
        <is>
          <t>ZI029E101235</t>
        </is>
      </c>
      <c r="E1183" s="182" t="inlineStr">
        <is>
          <t>广东巨通新能源有限公司</t>
        </is>
      </c>
      <c r="F1183" s="716" t="n"/>
      <c r="G1183" s="716" t="n"/>
      <c r="H1183" s="462" t="n"/>
    </row>
    <row r="1184">
      <c r="A1184" s="672" t="inlineStr">
        <is>
          <t>E101063</t>
        </is>
      </c>
      <c r="B1184" s="767">
        <f>ROW()</f>
        <v/>
      </c>
      <c r="C1184" s="182" t="inlineStr">
        <is>
          <t>通辽市铭龙新能源有限公司</t>
        </is>
      </c>
      <c r="D1184" s="672" t="inlineStr">
        <is>
          <t>ZI029E100730</t>
        </is>
      </c>
      <c r="E1184" s="672" t="inlineStr">
        <is>
          <t>京能国际能源发展（北京）有限公司</t>
        </is>
      </c>
      <c r="F1184" s="716" t="n"/>
      <c r="G1184" s="716" t="n"/>
      <c r="H1184" s="462" t="n"/>
    </row>
    <row r="1185">
      <c r="A1185" s="672" t="inlineStr">
        <is>
          <t>E101086</t>
        </is>
      </c>
      <c r="B1185" s="767">
        <f>ROW()</f>
        <v/>
      </c>
      <c r="C1185" s="182" t="inlineStr">
        <is>
          <t>京能（荣成）综合能源服务有限公司</t>
        </is>
      </c>
      <c r="D1185" s="182" t="inlineStr">
        <is>
          <t>ZI029E100748</t>
        </is>
      </c>
      <c r="E1185" s="182" t="inlineStr">
        <is>
          <t>北京京能国际综合智慧能源有限公司</t>
        </is>
      </c>
      <c r="F1185" s="716" t="n"/>
      <c r="G1185" s="716" t="n"/>
      <c r="H1185" s="462" t="n"/>
    </row>
    <row r="1186">
      <c r="A1186" s="672" t="inlineStr">
        <is>
          <t>E101208</t>
        </is>
      </c>
      <c r="B1186" s="767">
        <f>ROW()</f>
        <v/>
      </c>
      <c r="C1186" s="182" t="inlineStr">
        <is>
          <t>保山施甸焯阳新能源开发有限公司</t>
        </is>
      </c>
      <c r="D1186" s="182" t="inlineStr">
        <is>
          <t>ZI029E101190</t>
        </is>
      </c>
      <c r="E1186" s="182" t="inlineStr">
        <is>
          <t>保山能源发展股份有限公司</t>
        </is>
      </c>
      <c r="F1186" s="716" t="n"/>
      <c r="G1186" s="716" t="n"/>
      <c r="H1186" s="462" t="n"/>
    </row>
    <row r="1187">
      <c r="A1187" s="672" t="inlineStr">
        <is>
          <t>E101190G</t>
        </is>
      </c>
      <c r="B1187" s="767">
        <f>ROW()</f>
        <v/>
      </c>
      <c r="C1187" s="182" t="inlineStr">
        <is>
          <t>保山能源发展股份有限公司（合并）</t>
        </is>
      </c>
      <c r="D1187" s="182" t="inlineStr">
        <is>
          <t>ZI029E101190</t>
        </is>
      </c>
      <c r="E1187" s="182" t="inlineStr">
        <is>
          <t>保山能源发展股份有限公司</t>
        </is>
      </c>
      <c r="F1187" s="716" t="n"/>
      <c r="G1187" s="716" t="n"/>
      <c r="H1187" s="462" t="n"/>
    </row>
    <row r="1188">
      <c r="A1188" s="672" t="inlineStr">
        <is>
          <t>E101153</t>
        </is>
      </c>
      <c r="B1188" s="767">
        <f>ROW()</f>
        <v/>
      </c>
      <c r="C1188" s="182" t="inlineStr">
        <is>
          <t>京源（襄阳）清洁能源有限公司</t>
        </is>
      </c>
      <c r="D1188" s="182" t="inlineStr">
        <is>
          <t>ZI029E100001</t>
        </is>
      </c>
      <c r="E1188" s="182" t="inlineStr">
        <is>
          <t>北京清洁能源电力股份有限公司</t>
        </is>
      </c>
      <c r="F1188" s="716" t="n"/>
      <c r="G1188" s="716" t="n"/>
      <c r="H1188" s="462" t="n"/>
    </row>
    <row r="1189">
      <c r="A1189" s="672" t="inlineStr">
        <is>
          <t>E101248</t>
        </is>
      </c>
      <c r="B1189" s="767">
        <f>ROW()</f>
        <v/>
      </c>
      <c r="C1189" s="182" t="inlineStr">
        <is>
          <t>昌黎金海湾度假村有限责任公司</t>
        </is>
      </c>
      <c r="D1189" s="672" t="inlineStr">
        <is>
          <t>ZI029E100776</t>
        </is>
      </c>
      <c r="E1189" s="182" t="inlineStr">
        <is>
          <t>北京健康养老集团有限公司</t>
        </is>
      </c>
      <c r="F1189" s="716" t="n"/>
      <c r="G1189" s="716" t="n"/>
      <c r="H1189" s="462" t="n"/>
    </row>
    <row r="1190">
      <c r="A1190" s="672" t="inlineStr">
        <is>
          <t>E101217</t>
        </is>
      </c>
      <c r="B1190" s="767">
        <f>ROW()</f>
        <v/>
      </c>
      <c r="C1190" s="182" t="inlineStr">
        <is>
          <t>内蒙古京荣新能源有限公司</t>
        </is>
      </c>
      <c r="D1190" s="182" t="inlineStr">
        <is>
          <t>ZI029E100145</t>
        </is>
      </c>
      <c r="E1190" s="182" t="inlineStr">
        <is>
          <t>北京京能电力股份有限公司</t>
        </is>
      </c>
      <c r="F1190" s="716" t="n"/>
      <c r="G1190" s="716" t="n"/>
      <c r="H1190" s="462" t="n"/>
    </row>
    <row r="1191">
      <c r="A1191" s="672" t="inlineStr">
        <is>
          <t>E101209</t>
        </is>
      </c>
      <c r="B1191" s="767">
        <f>ROW()</f>
        <v/>
      </c>
      <c r="C1191" s="182" t="inlineStr">
        <is>
          <t>山西京武新能源有限公司</t>
        </is>
      </c>
      <c r="D1191" s="182" t="inlineStr">
        <is>
          <t>ZI029E100145</t>
        </is>
      </c>
      <c r="E1191" s="182" t="inlineStr">
        <is>
          <t>北京京能电力股份有限公司</t>
        </is>
      </c>
      <c r="F1191" s="716" t="n"/>
      <c r="G1191" s="716" t="n"/>
      <c r="H1191" s="462" t="n"/>
    </row>
    <row r="1192">
      <c r="A1192" s="672" t="inlineStr">
        <is>
          <t>E101251</t>
        </is>
      </c>
      <c r="B1192" s="767">
        <f>ROW()</f>
        <v/>
      </c>
      <c r="C1192" s="182" t="inlineStr">
        <is>
          <t>瑞信新能源（信丰）有限公司</t>
        </is>
      </c>
      <c r="D1192" s="182" t="inlineStr">
        <is>
          <t>ZI029E100001</t>
        </is>
      </c>
      <c r="E1192" s="182" t="inlineStr">
        <is>
          <t>北京京能清洁能源电力股份有限公司</t>
        </is>
      </c>
      <c r="F1192" s="716" t="n"/>
      <c r="G1192" s="716" t="n"/>
      <c r="H1192" s="462" t="n"/>
    </row>
    <row r="1193">
      <c r="A1193" s="672" t="inlineStr">
        <is>
          <t>E101250</t>
        </is>
      </c>
      <c r="B1193" s="767">
        <f>ROW()</f>
        <v/>
      </c>
      <c r="C1193" s="182" t="inlineStr">
        <is>
          <t>达州万源京能风力发电有限公司</t>
        </is>
      </c>
      <c r="D1193" s="672" t="inlineStr">
        <is>
          <t>ZI029E100883</t>
        </is>
      </c>
      <c r="E1193" s="672" t="inlineStr">
        <is>
          <t>Beijing Energy International Investment Limited</t>
        </is>
      </c>
      <c r="F1193" s="716" t="n"/>
      <c r="G1193" s="716" t="n"/>
      <c r="H1193" s="462" t="n"/>
    </row>
    <row r="1194">
      <c r="A1194" s="672" t="inlineStr">
        <is>
          <t>E101240</t>
        </is>
      </c>
      <c r="B1194" s="767">
        <f>ROW()</f>
        <v/>
      </c>
      <c r="C1194" s="182" t="inlineStr">
        <is>
          <t>京龙（烟台龙口市）新能源有限公司</t>
        </is>
      </c>
      <c r="D1194" s="672" t="inlineStr">
        <is>
          <t>ZI029E100883</t>
        </is>
      </c>
      <c r="E1194" s="672" t="inlineStr">
        <is>
          <t>Beijing Energy International Investment Limited</t>
        </is>
      </c>
      <c r="F1194" s="716" t="n"/>
      <c r="G1194" s="716" t="n"/>
      <c r="H1194" s="462" t="n"/>
    </row>
    <row r="1195">
      <c r="A1195" s="672" t="inlineStr">
        <is>
          <t>E101093</t>
        </is>
      </c>
      <c r="B1195" s="767">
        <f>ROW()</f>
        <v/>
      </c>
      <c r="C1195" s="182" t="inlineStr">
        <is>
          <t>通辽市新通风能有限公司</t>
        </is>
      </c>
      <c r="D1195" s="672" t="inlineStr">
        <is>
          <t>ZI029E100730</t>
        </is>
      </c>
      <c r="E1195" s="182" t="inlineStr">
        <is>
          <t>京能国际能源发展（北京）有限公司</t>
        </is>
      </c>
      <c r="F1195" s="716" t="n"/>
      <c r="G1195" s="716" t="n"/>
      <c r="H1195" s="462" t="n"/>
    </row>
    <row r="1196">
      <c r="A1196" s="672" t="inlineStr">
        <is>
          <t>E100040</t>
        </is>
      </c>
      <c r="B1196" s="767">
        <f>ROW()</f>
        <v/>
      </c>
      <c r="C1196" s="182" t="inlineStr">
        <is>
          <t>北京市天银地热开发有限责任公司</t>
        </is>
      </c>
      <c r="D1196" s="182" t="inlineStr">
        <is>
          <t>ZI029E100222</t>
        </is>
      </c>
      <c r="E1196" s="182" t="inlineStr">
        <is>
          <t>北京市热力集团有限责任公司</t>
        </is>
      </c>
      <c r="F1196" s="716" t="n"/>
      <c r="G1196" s="716" t="n"/>
      <c r="H1196" s="462" t="n"/>
    </row>
    <row r="1197">
      <c r="A1197" s="672" t="inlineStr">
        <is>
          <t>E101255</t>
        </is>
      </c>
      <c r="B1197" s="767">
        <f>ROW()</f>
        <v/>
      </c>
      <c r="C1197" s="182" t="inlineStr">
        <is>
          <t>北京京能清洁能源电力股份有限公司华中分公司</t>
        </is>
      </c>
      <c r="D1197" s="182" t="inlineStr">
        <is>
          <t>ZI029E100001</t>
        </is>
      </c>
      <c r="E1197" s="182" t="inlineStr">
        <is>
          <t>北京京能清洁能源电力股份有限公司</t>
        </is>
      </c>
      <c r="F1197" s="716" t="n"/>
      <c r="G1197" s="716" t="n"/>
      <c r="H1197" s="462" t="n"/>
    </row>
    <row r="1198">
      <c r="A1198" s="672" t="inlineStr">
        <is>
          <t>E101256</t>
        </is>
      </c>
      <c r="B1198" s="767">
        <f>ROW()</f>
        <v/>
      </c>
      <c r="C1198" s="182" t="inlineStr">
        <is>
          <t>京能（武汉）清洁能源有限公司</t>
        </is>
      </c>
      <c r="D1198" s="182" t="inlineStr">
        <is>
          <t>ZI029E100001</t>
        </is>
      </c>
      <c r="E1198" s="182" t="inlineStr">
        <is>
          <t>北京京能清洁能源电力股份有限公司</t>
        </is>
      </c>
      <c r="F1198" s="716" t="n"/>
      <c r="G1198" s="716" t="n"/>
      <c r="H1198" s="462" t="n"/>
    </row>
    <row r="1199">
      <c r="A1199" s="672" t="inlineStr">
        <is>
          <t>E101226</t>
        </is>
      </c>
      <c r="B1199" s="767">
        <f>ROW()</f>
        <v/>
      </c>
      <c r="C1199" s="182" t="inlineStr">
        <is>
          <t>京能（秭归）清洁能源有限公司</t>
        </is>
      </c>
      <c r="D1199" s="182" t="inlineStr">
        <is>
          <t>ZI029E100543</t>
        </is>
      </c>
      <c r="E1199" s="182" t="inlineStr">
        <is>
          <t>北京京能清洁能源电力股份(香港)有限公司</t>
        </is>
      </c>
      <c r="F1199" s="716" t="n"/>
      <c r="G1199" s="716" t="n"/>
      <c r="H1199" s="462" t="n"/>
    </row>
    <row r="1200">
      <c r="A1200" s="672" t="inlineStr">
        <is>
          <t>E101226</t>
        </is>
      </c>
      <c r="B1200" s="767">
        <f>ROW()</f>
        <v/>
      </c>
      <c r="C1200" s="182" t="inlineStr">
        <is>
          <t>京能（秭归）清洁能源有限公司</t>
        </is>
      </c>
      <c r="D1200" s="182" t="inlineStr">
        <is>
          <t>ZI029E100001</t>
        </is>
      </c>
      <c r="E1200" s="182" t="inlineStr">
        <is>
          <t>北京京能清洁能源电力股份有限公司</t>
        </is>
      </c>
      <c r="F1200" s="716" t="n"/>
      <c r="G1200" s="716" t="n"/>
      <c r="H1200" s="462" t="n"/>
    </row>
    <row r="1201">
      <c r="A1201" s="672" t="inlineStr">
        <is>
          <t>E101260</t>
        </is>
      </c>
      <c r="B1201" s="767">
        <f>ROW()</f>
        <v/>
      </c>
      <c r="C1201" s="182" t="inlineStr">
        <is>
          <t>萨迦县京能新能源有限公司</t>
        </is>
      </c>
      <c r="D1201" s="672" t="inlineStr">
        <is>
          <t>ZI029E100730</t>
        </is>
      </c>
      <c r="E1201" s="182" t="inlineStr">
        <is>
          <t>京能国际能源发展（北京）有限公司</t>
        </is>
      </c>
      <c r="F1201" s="716" t="n"/>
      <c r="G1201" s="716" t="n"/>
      <c r="H1201" s="462" t="n"/>
    </row>
    <row r="1202">
      <c r="A1202" s="672" t="inlineStr">
        <is>
          <t>E101263</t>
        </is>
      </c>
      <c r="B1202" s="767">
        <f>ROW()</f>
        <v/>
      </c>
      <c r="C1202" s="182" t="inlineStr">
        <is>
          <t>京能泗阳清洁能源有限公司</t>
        </is>
      </c>
      <c r="D1202" s="182" t="inlineStr">
        <is>
          <t>ZI029E100543</t>
        </is>
      </c>
      <c r="E1202" s="182" t="inlineStr">
        <is>
          <t>北京京能清洁能源电力股份(香港)有限公司</t>
        </is>
      </c>
      <c r="F1202" s="716" t="n"/>
      <c r="G1202" s="716" t="n"/>
      <c r="H1202" s="462" t="n"/>
    </row>
    <row r="1203">
      <c r="A1203" s="672" t="inlineStr">
        <is>
          <t>E101263</t>
        </is>
      </c>
      <c r="B1203" s="767">
        <f>ROW()</f>
        <v/>
      </c>
      <c r="C1203" s="182" t="inlineStr">
        <is>
          <t>京能泗阳清洁能源有限公司</t>
        </is>
      </c>
      <c r="D1203" s="672" t="inlineStr">
        <is>
          <t>ZI029E100883</t>
        </is>
      </c>
      <c r="E1203" s="182" t="inlineStr">
        <is>
          <t>北京京能清洁能源电力股份有限公司</t>
        </is>
      </c>
      <c r="F1203" s="716" t="n"/>
      <c r="G1203" s="716" t="n"/>
      <c r="H1203" s="462" t="n"/>
    </row>
    <row r="1204">
      <c r="A1204" s="672" t="inlineStr">
        <is>
          <t>E100898</t>
        </is>
      </c>
      <c r="B1204" s="767">
        <f>ROW()</f>
        <v/>
      </c>
      <c r="C1204" s="182" t="inlineStr">
        <is>
          <t>京莱 (张家口) 新能源有限公司</t>
        </is>
      </c>
      <c r="D1204" s="672" t="inlineStr">
        <is>
          <t>ZI029E100730</t>
        </is>
      </c>
      <c r="E1204" s="182" t="inlineStr">
        <is>
          <t>京能国际能源发展 (北京) 有限公司</t>
        </is>
      </c>
      <c r="F1204" s="716" t="n"/>
      <c r="G1204" s="716" t="n"/>
      <c r="H1204" s="462" t="n"/>
    </row>
    <row r="1205">
      <c r="A1205" s="672" t="inlineStr">
        <is>
          <t>E101077</t>
        </is>
      </c>
      <c r="B1205" s="767">
        <f>ROW()</f>
        <v/>
      </c>
      <c r="C1205" s="182" t="inlineStr">
        <is>
          <t>京能 (哈尔滨) 光伏发电有限公司</t>
        </is>
      </c>
      <c r="D1205" s="672" t="inlineStr">
        <is>
          <t>ZI029E100730</t>
        </is>
      </c>
      <c r="E1205" s="182" t="inlineStr">
        <is>
          <t>京能国际能源发展 (北京) 有限公司</t>
        </is>
      </c>
      <c r="F1205" s="716" t="n"/>
      <c r="G1205" s="716" t="n"/>
      <c r="H1205" s="462" t="n"/>
    </row>
    <row r="1206">
      <c r="A1206" s="672" t="inlineStr">
        <is>
          <t>E101243</t>
        </is>
      </c>
      <c r="B1206" s="767">
        <f>ROW()</f>
        <v/>
      </c>
      <c r="C1206" s="182" t="inlineStr">
        <is>
          <t>京瑞 (哈尔滨市) 新能源有限公司</t>
        </is>
      </c>
      <c r="D1206" s="672" t="inlineStr">
        <is>
          <t>ZI029E100883</t>
        </is>
      </c>
      <c r="E1206" s="672" t="inlineStr">
        <is>
          <t>Beijing Energy International Investment Limited</t>
        </is>
      </c>
      <c r="F1206" s="716" t="n"/>
      <c r="G1206" s="716" t="n"/>
      <c r="H1206" s="462" t="n"/>
    </row>
    <row r="1207">
      <c r="A1207" s="672" t="inlineStr">
        <is>
          <t>E101213</t>
        </is>
      </c>
      <c r="B1207" s="767">
        <f>ROW()</f>
        <v/>
      </c>
      <c r="C1207" s="182" t="inlineStr">
        <is>
          <t>京耀（北京）新能源有限公司</t>
        </is>
      </c>
      <c r="D1207" s="672" t="inlineStr">
        <is>
          <t>ZI029E100748</t>
        </is>
      </c>
      <c r="E1207" s="182" t="inlineStr">
        <is>
          <t>北京京能国际综合智慧能源有限公司</t>
        </is>
      </c>
      <c r="F1207" s="716" t="n"/>
      <c r="G1207" s="716" t="n"/>
      <c r="H1207" s="462" t="n"/>
    </row>
    <row r="1208">
      <c r="A1208" s="672" t="inlineStr">
        <is>
          <t>E101225</t>
        </is>
      </c>
      <c r="B1208" s="767">
        <f>ROW()</f>
        <v/>
      </c>
      <c r="C1208" s="182" t="inlineStr">
        <is>
          <t>罗山县京能新能源有限公司</t>
        </is>
      </c>
      <c r="D1208" s="672" t="inlineStr">
        <is>
          <t>ZI029E100748</t>
        </is>
      </c>
      <c r="E1208" s="182" t="inlineStr">
        <is>
          <t>北京京能国际综合智慧能源有限公司</t>
        </is>
      </c>
      <c r="F1208" s="716" t="n"/>
      <c r="G1208" s="716" t="n"/>
      <c r="H1208" s="462" t="n"/>
    </row>
    <row r="1209">
      <c r="A1209" s="672" t="inlineStr">
        <is>
          <t>E101224</t>
        </is>
      </c>
      <c r="B1209" s="767">
        <f>ROW()</f>
        <v/>
      </c>
      <c r="C1209" s="182" t="inlineStr">
        <is>
          <t>京能（株洲）综合能源有限公司</t>
        </is>
      </c>
      <c r="D1209" s="672" t="inlineStr">
        <is>
          <t>ZI029E100748</t>
        </is>
      </c>
      <c r="E1209" s="182" t="inlineStr">
        <is>
          <t>北京京能国际综合智慧能源有限公司</t>
        </is>
      </c>
      <c r="F1209" s="716" t="n"/>
      <c r="G1209" s="716" t="n"/>
      <c r="H1209" s="462" t="n"/>
    </row>
    <row r="1210">
      <c r="A1210" s="672" t="inlineStr">
        <is>
          <t>E101242</t>
        </is>
      </c>
      <c r="B1210" s="767">
        <f>ROW()</f>
        <v/>
      </c>
      <c r="C1210" s="182" t="inlineStr">
        <is>
          <t>京维（高密）新能源有限公司</t>
        </is>
      </c>
      <c r="D1210" s="672" t="inlineStr">
        <is>
          <t>ZI029E100883</t>
        </is>
      </c>
      <c r="E1210" s="672" t="inlineStr">
        <is>
          <t>Beijing Energy International Investment Limited</t>
        </is>
      </c>
      <c r="F1210" s="716" t="n"/>
      <c r="G1210" s="716" t="n"/>
      <c r="H1210" s="462" t="n"/>
    </row>
    <row r="1211">
      <c r="A1211" s="672" t="inlineStr">
        <is>
          <t>E101257</t>
        </is>
      </c>
      <c r="B1211" s="767">
        <f>ROW()</f>
        <v/>
      </c>
      <c r="C1211" s="182" t="inlineStr">
        <is>
          <t>京远（烟台招远市）新能源有限公司</t>
        </is>
      </c>
      <c r="D1211" s="672" t="inlineStr">
        <is>
          <t>ZI029E100883</t>
        </is>
      </c>
      <c r="E1211" s="182" t="inlineStr">
        <is>
          <t>Beijing Energy International Investment Limited</t>
        </is>
      </c>
      <c r="F1211" s="716" t="n"/>
      <c r="G1211" s="716" t="n"/>
      <c r="H1211" s="462" t="n"/>
    </row>
    <row r="1212">
      <c r="A1212" s="672" t="inlineStr">
        <is>
          <t>E101185</t>
        </is>
      </c>
      <c r="B1212" s="767">
        <f>ROW()</f>
        <v/>
      </c>
      <c r="C1212" s="182" t="inlineStr">
        <is>
          <t>京沧（东光县）新能源科技有限公司</t>
        </is>
      </c>
      <c r="D1212" s="672" t="inlineStr">
        <is>
          <t>ZI029E100730</t>
        </is>
      </c>
      <c r="E1212" s="182" t="inlineStr">
        <is>
          <t>京能国际能源发展（北京）有限公司</t>
        </is>
      </c>
      <c r="F1212" s="716" t="n"/>
      <c r="G1212" s="716" t="n"/>
      <c r="H1212" s="462" t="n"/>
    </row>
    <row r="1213">
      <c r="A1213" s="672" t="inlineStr">
        <is>
          <t>E101229</t>
        </is>
      </c>
      <c r="B1213" s="767">
        <f>ROW()</f>
        <v/>
      </c>
      <c r="C1213" s="182" t="inlineStr">
        <is>
          <t>京能（烟台蓬莱区）新能源有限公司</t>
        </is>
      </c>
      <c r="D1213" s="672" t="inlineStr">
        <is>
          <t>ZI029E100730</t>
        </is>
      </c>
      <c r="E1213" s="182" t="inlineStr">
        <is>
          <t>京能国际能源发展（北京）有限公司</t>
        </is>
      </c>
      <c r="F1213" s="716" t="n"/>
      <c r="G1213" s="716" t="n"/>
      <c r="H1213" s="462" t="n"/>
    </row>
    <row r="1214">
      <c r="A1214" s="672" t="inlineStr">
        <is>
          <t>E100921</t>
        </is>
      </c>
      <c r="B1214" s="767">
        <f>ROW()</f>
        <v/>
      </c>
      <c r="C1214" s="182" t="inlineStr">
        <is>
          <t>北京京能绿通新能源有限公司</t>
        </is>
      </c>
      <c r="D1214" s="672" t="inlineStr">
        <is>
          <t>ZI029E100730</t>
        </is>
      </c>
      <c r="E1214" s="182" t="inlineStr">
        <is>
          <t>京能国际能源发展（北京）有限公司</t>
        </is>
      </c>
      <c r="F1214" s="716" t="n"/>
      <c r="G1214" s="716" t="n"/>
      <c r="H1214" s="462" t="n"/>
    </row>
    <row r="1215">
      <c r="A1215" s="672" t="inlineStr">
        <is>
          <t>E100897</t>
        </is>
      </c>
      <c r="B1215" s="767">
        <f>ROW()</f>
        <v/>
      </c>
      <c r="C1215" s="182" t="inlineStr">
        <is>
          <t>京能（承德县）新能源有限公司</t>
        </is>
      </c>
      <c r="D1215" s="672" t="inlineStr">
        <is>
          <t>ZI029E100730</t>
        </is>
      </c>
      <c r="E1215" s="182" t="inlineStr">
        <is>
          <t>京能国际能源发展（北京）有限公司</t>
        </is>
      </c>
      <c r="F1215" s="716" t="n"/>
      <c r="G1215" s="716" t="n"/>
      <c r="H1215" s="462" t="n"/>
    </row>
    <row r="1216">
      <c r="A1216" s="672" t="inlineStr">
        <is>
          <t>E101239</t>
        </is>
      </c>
      <c r="B1216" s="767">
        <f>ROW()</f>
        <v/>
      </c>
      <c r="C1216" s="182" t="inlineStr">
        <is>
          <t>京卜（天津）新能源有限公司</t>
        </is>
      </c>
      <c r="D1216" s="672" t="inlineStr">
        <is>
          <t>ZI029E100730</t>
        </is>
      </c>
      <c r="E1216" s="182" t="inlineStr">
        <is>
          <t>京能国际能源发展（北京）有限公司</t>
        </is>
      </c>
      <c r="F1216" s="716" t="n"/>
      <c r="G1216" s="716" t="n"/>
      <c r="H1216" s="462" t="n"/>
    </row>
    <row r="1217">
      <c r="A1217" s="672" t="inlineStr">
        <is>
          <t>E101092</t>
        </is>
      </c>
      <c r="B1217" s="767">
        <f>ROW()</f>
        <v/>
      </c>
      <c r="C1217" s="182" t="inlineStr">
        <is>
          <t>北京京昌新能源有限公司</t>
        </is>
      </c>
      <c r="D1217" s="672" t="inlineStr">
        <is>
          <t>ZI029E100730</t>
        </is>
      </c>
      <c r="E1217" s="182" t="inlineStr">
        <is>
          <t>京能国际能源发展（北京）有限公司</t>
        </is>
      </c>
      <c r="F1217" s="716" t="n"/>
      <c r="G1217" s="716" t="n"/>
      <c r="H1217" s="462" t="n"/>
    </row>
    <row r="1218">
      <c r="A1218" s="672" t="inlineStr">
        <is>
          <t>E101165</t>
        </is>
      </c>
      <c r="B1218" s="767">
        <f>ROW()</f>
        <v/>
      </c>
      <c r="C1218" s="182" t="inlineStr">
        <is>
          <t>信阳京能清洁能源有限公司</t>
        </is>
      </c>
      <c r="D1218" s="182" t="inlineStr">
        <is>
          <t>ZI029E100001</t>
        </is>
      </c>
      <c r="E1218" s="182" t="inlineStr">
        <is>
          <t>北京京能清洁能源电力股份有限公司</t>
        </is>
      </c>
      <c r="F1218" s="716" t="n"/>
      <c r="G1218" s="716" t="n"/>
      <c r="H1218" s="462" t="n"/>
    </row>
    <row r="1219">
      <c r="A1219" s="672" t="inlineStr">
        <is>
          <t>E101228</t>
        </is>
      </c>
      <c r="B1219" s="767">
        <f>ROW()</f>
        <v/>
      </c>
      <c r="C1219" s="182" t="inlineStr">
        <is>
          <t>宜丰县京宜新能源有限公司</t>
        </is>
      </c>
      <c r="D1219" s="672" t="inlineStr">
        <is>
          <t>ZI029E100730</t>
        </is>
      </c>
      <c r="E1219" s="182" t="inlineStr">
        <is>
          <t>京能国际能源发展 (北京) 有限公司</t>
        </is>
      </c>
      <c r="F1219" s="716" t="n"/>
      <c r="G1219" s="716" t="n"/>
      <c r="H1219" s="462" t="n"/>
    </row>
    <row r="1220">
      <c r="A1220" s="672" t="inlineStr">
        <is>
          <t>E101249</t>
        </is>
      </c>
      <c r="B1220" s="767">
        <f>ROW()</f>
        <v/>
      </c>
      <c r="C1220" s="182" t="inlineStr">
        <is>
          <t>京丰（宜丰）光伏发电有限公司</t>
        </is>
      </c>
      <c r="D1220" s="672" t="inlineStr">
        <is>
          <t>ZI029E100883</t>
        </is>
      </c>
      <c r="E1220" s="182" t="inlineStr">
        <is>
          <t>Beijing Energy International Investment Limited</t>
        </is>
      </c>
      <c r="F1220" s="716" t="n"/>
      <c r="G1220" s="716" t="n"/>
      <c r="H1220" s="462" t="n"/>
    </row>
    <row r="1221">
      <c r="A1221" s="672" t="inlineStr">
        <is>
          <t>E101261</t>
        </is>
      </c>
      <c r="B1221" s="767">
        <f>ROW()</f>
        <v/>
      </c>
      <c r="C1221" s="182" t="inlineStr">
        <is>
          <t>江达县英利金码新能源开发有限公司</t>
        </is>
      </c>
      <c r="D1221" s="672" t="inlineStr">
        <is>
          <t>ZI029E100730</t>
        </is>
      </c>
      <c r="E1221" s="182" t="inlineStr">
        <is>
          <t>京能国际能源发展（北京）有限公司</t>
        </is>
      </c>
      <c r="F1221" s="716" t="n"/>
      <c r="G1221" s="716" t="n"/>
      <c r="H1221" s="462" t="n"/>
    </row>
    <row r="1222">
      <c r="A1222" s="672" t="inlineStr">
        <is>
          <t>E101155</t>
        </is>
      </c>
      <c r="B1222" s="767">
        <f>ROW()</f>
        <v/>
      </c>
      <c r="C1222" s="182" t="inlineStr">
        <is>
          <t>京江（双柏）新能源有限公司</t>
        </is>
      </c>
      <c r="D1222" s="672" t="inlineStr">
        <is>
          <t>ZI029E100730</t>
        </is>
      </c>
      <c r="E1222" s="182" t="inlineStr">
        <is>
          <t>京能国际能源发展（北京）有限公司</t>
        </is>
      </c>
      <c r="F1222" s="716" t="n"/>
      <c r="G1222" s="716" t="n"/>
      <c r="H1222" s="462" t="n"/>
    </row>
    <row r="1223">
      <c r="A1223" s="672" t="inlineStr">
        <is>
          <t>E101252</t>
        </is>
      </c>
      <c r="B1223" s="767">
        <f>ROW()</f>
        <v/>
      </c>
      <c r="C1223" s="182" t="inlineStr">
        <is>
          <t>保山隆阳区保能国泰光伏发电有限公司</t>
        </is>
      </c>
      <c r="D1223" s="672" t="inlineStr">
        <is>
          <t>ZI029E100883</t>
        </is>
      </c>
      <c r="E1223" s="182" t="inlineStr">
        <is>
          <t>Beijing Energy International Investment Limited</t>
        </is>
      </c>
      <c r="F1223" s="716" t="n"/>
      <c r="G1223" s="716" t="n"/>
      <c r="H1223" s="462" t="n"/>
    </row>
    <row r="1224">
      <c r="A1224" s="672" t="inlineStr">
        <is>
          <t>E101253</t>
        </is>
      </c>
      <c r="B1224" s="767">
        <f>ROW()</f>
        <v/>
      </c>
      <c r="C1224" s="182" t="inlineStr">
        <is>
          <t>无锡碳惠综合能源服务有限公司</t>
        </is>
      </c>
      <c r="D1224" s="182" t="inlineStr">
        <is>
          <t>ZI029E100308</t>
        </is>
      </c>
      <c r="E1224" s="182" t="inlineStr">
        <is>
          <t>京能源深（苏州）能源科技有限公司</t>
        </is>
      </c>
      <c r="F1224" s="716" t="n"/>
      <c r="G1224" s="716" t="n"/>
      <c r="H1224" s="462" t="n"/>
    </row>
    <row r="1225">
      <c r="A1225" s="672" t="inlineStr">
        <is>
          <t>E101258</t>
        </is>
      </c>
      <c r="B1225" s="767">
        <f>ROW()</f>
        <v/>
      </c>
      <c r="C1225" s="182" t="inlineStr">
        <is>
          <t>佛山市凯宁新能源有限公司</t>
        </is>
      </c>
      <c r="D1225" s="182" t="inlineStr">
        <is>
          <t>ZI029E100308</t>
        </is>
      </c>
      <c r="E1225" s="182" t="inlineStr">
        <is>
          <t>京能源深（苏州）能源科技有限公司</t>
        </is>
      </c>
      <c r="F1225" s="716" t="n"/>
      <c r="G1225" s="716" t="n"/>
      <c r="H1225" s="462" t="n"/>
    </row>
    <row r="1226">
      <c r="A1226" s="672" t="inlineStr">
        <is>
          <t>E101259</t>
        </is>
      </c>
      <c r="B1226" s="767">
        <f>ROW()</f>
        <v/>
      </c>
      <c r="C1226" s="182" t="inlineStr">
        <is>
          <t>南京万芒新能源有限公司</t>
        </is>
      </c>
      <c r="D1226" s="182" t="inlineStr">
        <is>
          <t>ZI029E100308</t>
        </is>
      </c>
      <c r="E1226" s="182" t="inlineStr">
        <is>
          <t>京能源深（苏州）能源科技有限公司</t>
        </is>
      </c>
      <c r="F1226" s="716" t="n"/>
      <c r="G1226" s="716" t="n"/>
      <c r="H1226" s="462" t="n"/>
    </row>
    <row r="1227">
      <c r="A1227" s="672" t="inlineStr">
        <is>
          <t>E101272</t>
        </is>
      </c>
      <c r="B1227" s="767">
        <f>ROW()</f>
        <v/>
      </c>
      <c r="C1227" s="672" t="inlineStr">
        <is>
          <t>北京京能能加科技有限公司</t>
        </is>
      </c>
      <c r="D1227" s="182" t="inlineStr">
        <is>
          <t>ZI029E100268</t>
        </is>
      </c>
      <c r="E1227" s="182" t="inlineStr">
        <is>
          <t>北京京煤集团有限责任公司</t>
        </is>
      </c>
      <c r="F1227" s="716" t="n"/>
      <c r="G1227" s="716" t="n"/>
      <c r="H1227" s="462" t="n"/>
    </row>
    <row r="1228">
      <c r="A1228" s="672" t="inlineStr">
        <is>
          <t>E101271</t>
        </is>
      </c>
      <c r="B1228" s="767">
        <f>ROW()</f>
        <v/>
      </c>
      <c r="C1228" s="182" t="inlineStr">
        <is>
          <t>京马（北京）新能源有限公司</t>
        </is>
      </c>
      <c r="D1228" s="182" t="inlineStr">
        <is>
          <t>ZI029E100748</t>
        </is>
      </c>
      <c r="E1228" s="182" t="inlineStr">
        <is>
          <t>北京京能国际综合智慧能源有限公司</t>
        </is>
      </c>
      <c r="F1228" s="716" t="n"/>
      <c r="G1228" s="716" t="n"/>
      <c r="H1228" s="462" t="n"/>
    </row>
    <row r="1229">
      <c r="A1229" s="672" t="inlineStr">
        <is>
          <t>E101265</t>
        </is>
      </c>
      <c r="B1229" s="767">
        <f>ROW()</f>
        <v/>
      </c>
      <c r="C1229" s="182" t="inlineStr">
        <is>
          <t>大庆市盛步电力有限公司</t>
        </is>
      </c>
      <c r="D1229" s="182" t="inlineStr">
        <is>
          <t>ZI029E100730</t>
        </is>
      </c>
      <c r="E1229" s="182" t="inlineStr">
        <is>
          <t>京能国际能源发展（北京）有限公司</t>
        </is>
      </c>
      <c r="F1229" s="716" t="n"/>
      <c r="G1229" s="716" t="n"/>
      <c r="H1229" s="462" t="n"/>
    </row>
    <row r="1230">
      <c r="A1230" s="672" t="inlineStr">
        <is>
          <t>E101264</t>
        </is>
      </c>
      <c r="B1230" s="767">
        <f>ROW()</f>
        <v/>
      </c>
      <c r="C1230" s="182" t="inlineStr">
        <is>
          <t>天津汇通新能源有限公司</t>
        </is>
      </c>
      <c r="D1230" s="182" t="inlineStr">
        <is>
          <t>ZI029E100730</t>
        </is>
      </c>
      <c r="E1230" s="182" t="inlineStr">
        <is>
          <t>京能国际能源发展（北京）有限公司</t>
        </is>
      </c>
      <c r="F1230" s="716" t="n"/>
      <c r="G1230" s="716" t="n"/>
      <c r="H1230" s="462" t="n"/>
    </row>
    <row r="1231">
      <c r="A1231" s="672" t="inlineStr">
        <is>
          <t>E101269</t>
        </is>
      </c>
      <c r="B1231" s="767">
        <f>ROW()</f>
        <v/>
      </c>
      <c r="C1231" s="182" t="inlineStr">
        <is>
          <t>阜新鸿昇太阳能发电有限公司</t>
        </is>
      </c>
      <c r="D1231" s="182" t="inlineStr">
        <is>
          <t>ZI029E101264</t>
        </is>
      </c>
      <c r="E1231" s="182" t="inlineStr">
        <is>
          <t>天津汇通新能源有限公司</t>
        </is>
      </c>
      <c r="F1231" s="716" t="n"/>
      <c r="G1231" s="716" t="n"/>
      <c r="H1231" s="462" t="n"/>
    </row>
    <row r="1232">
      <c r="A1232" s="672" t="inlineStr">
        <is>
          <t>E101268</t>
        </is>
      </c>
      <c r="B1232" s="767">
        <f>ROW()</f>
        <v/>
      </c>
      <c r="C1232" s="182" t="inlineStr">
        <is>
          <t>阜新市盛步太阳能发电有限公司</t>
        </is>
      </c>
      <c r="D1232" s="182" t="inlineStr">
        <is>
          <t>ZI029E101265</t>
        </is>
      </c>
      <c r="E1232" s="182" t="inlineStr">
        <is>
          <t>大庆市盛步电力有限公司</t>
        </is>
      </c>
      <c r="F1232" s="716" t="n"/>
      <c r="G1232" s="716" t="n"/>
      <c r="H1232" s="462" t="n"/>
    </row>
    <row r="1233">
      <c r="A1233" s="672" t="inlineStr">
        <is>
          <t>E101254</t>
        </is>
      </c>
      <c r="B1233" s="767">
        <f>ROW()</f>
        <v/>
      </c>
      <c r="C1233" s="182" t="inlineStr">
        <is>
          <t>漯河京新清洁能源有限公司</t>
        </is>
      </c>
      <c r="D1233" s="182" t="inlineStr">
        <is>
          <t>ZI029E100001</t>
        </is>
      </c>
      <c r="E1233" s="182" t="inlineStr">
        <is>
          <t>北京京能清洁能源电力股份有限公司</t>
        </is>
      </c>
      <c r="F1233" s="716" t="n"/>
      <c r="G1233" s="716" t="n"/>
      <c r="H1233" s="462" t="n"/>
    </row>
    <row r="1234">
      <c r="A1234" s="672" t="inlineStr">
        <is>
          <t>E101276</t>
        </is>
      </c>
      <c r="B1234" s="767">
        <f>ROW()</f>
        <v/>
      </c>
      <c r="C1234" s="182" t="inlineStr">
        <is>
          <t>桃江京能清洁能源有限公司</t>
        </is>
      </c>
      <c r="D1234" s="182" t="inlineStr">
        <is>
          <t>ZI029E100001</t>
        </is>
      </c>
      <c r="E1234" s="182" t="inlineStr">
        <is>
          <t>北京京能清洁能源电力股份有限公司</t>
        </is>
      </c>
      <c r="F1234" s="716" t="n"/>
      <c r="G1234" s="716" t="n"/>
      <c r="H1234" s="462" t="n"/>
    </row>
    <row r="1235">
      <c r="A1235" s="672" t="inlineStr">
        <is>
          <t>E101274</t>
        </is>
      </c>
      <c r="B1235" s="767">
        <f>ROW()</f>
        <v/>
      </c>
      <c r="C1235" s="182" t="inlineStr">
        <is>
          <t>北京丰璟房地产开发有限公司</t>
        </is>
      </c>
      <c r="D1235" s="182" t="inlineStr">
        <is>
          <t>ZI029E100420</t>
        </is>
      </c>
      <c r="E1235" s="182" t="inlineStr">
        <is>
          <t>京能置业股份有限公司</t>
        </is>
      </c>
      <c r="F1235" s="716" t="n"/>
      <c r="G1235" s="716" t="n"/>
      <c r="H1235" s="462" t="n"/>
    </row>
    <row r="1236">
      <c r="A1236" s="672" t="inlineStr">
        <is>
          <t>E101218</t>
        </is>
      </c>
      <c r="B1236" s="767">
        <f>ROW()</f>
        <v/>
      </c>
      <c r="C1236" s="182" t="inlineStr">
        <is>
          <t>保山隆阳区保能晶泰光伏发电有限公司</t>
        </is>
      </c>
      <c r="D1236" s="182" t="inlineStr">
        <is>
          <t>ZI029E101190</t>
        </is>
      </c>
      <c r="E1236" s="182" t="inlineStr">
        <is>
          <t>保山能源发展股份有限公司</t>
        </is>
      </c>
      <c r="F1236" s="716" t="n"/>
      <c r="G1236" s="716" t="n"/>
      <c r="H1236" s="462" t="n"/>
    </row>
    <row r="1237">
      <c r="A1237" s="672" t="inlineStr">
        <is>
          <t>E101244</t>
        </is>
      </c>
      <c r="B1237" s="767">
        <f>ROW()</f>
        <v/>
      </c>
      <c r="C1237" s="182" t="inlineStr">
        <is>
          <t>盛唐壹号(天津) 企业管理合伙企业(有限合伙）</t>
        </is>
      </c>
      <c r="D1237" s="182" t="inlineStr">
        <is>
          <t>ZI029E100730</t>
        </is>
      </c>
      <c r="E1237" s="182" t="inlineStr">
        <is>
          <t>京能国际能源发展（北京）有限公司</t>
        </is>
      </c>
      <c r="F1237" s="716" t="n"/>
      <c r="G1237" s="716" t="n"/>
      <c r="H1237" s="462" t="n"/>
    </row>
    <row r="1238">
      <c r="A1238" s="672" t="inlineStr">
        <is>
          <t>E101244</t>
        </is>
      </c>
      <c r="B1238" s="767">
        <f>ROW()</f>
        <v/>
      </c>
      <c r="C1238" s="182" t="inlineStr">
        <is>
          <t>盛唐壹号(天津) 企业管理合伙企业(有限合伙）</t>
        </is>
      </c>
      <c r="D1238" s="182" t="inlineStr">
        <is>
          <t>ZI029E100941</t>
        </is>
      </c>
      <c r="E1238" s="182" t="inlineStr">
        <is>
          <t>北京国电盛唐科技发展有限公司</t>
        </is>
      </c>
      <c r="F1238" s="716" t="n"/>
      <c r="G1238" s="716" t="n"/>
      <c r="H1238" s="462" t="n"/>
    </row>
    <row r="1239">
      <c r="A1239" s="672" t="inlineStr">
        <is>
          <t>E100894</t>
        </is>
      </c>
      <c r="B1239" s="767">
        <f>ROW()</f>
        <v/>
      </c>
      <c r="C1239" s="182" t="inlineStr">
        <is>
          <t>京能国际（高邮）新能源有限公司</t>
        </is>
      </c>
      <c r="D1239" s="182" t="inlineStr">
        <is>
          <t>ZI029E100883</t>
        </is>
      </c>
      <c r="E1239" s="182" t="inlineStr">
        <is>
          <t>Beijing Energy International Investment Limited</t>
        </is>
      </c>
      <c r="F1239" s="716" t="n"/>
      <c r="G1239" s="716" t="n"/>
      <c r="H1239" s="462" t="n"/>
    </row>
    <row r="1240">
      <c r="A1240" s="672" t="inlineStr">
        <is>
          <t>E101277</t>
        </is>
      </c>
      <c r="B1240" s="767">
        <f>ROW()</f>
        <v/>
      </c>
      <c r="C1240" s="182" t="inlineStr">
        <is>
          <t>百色市右江区京能新能源有限公司</t>
        </is>
      </c>
      <c r="D1240" s="182" t="inlineStr">
        <is>
          <t>ZI029E100883</t>
        </is>
      </c>
      <c r="E1240" s="182" t="inlineStr">
        <is>
          <t>Beijing Energy International Investment Limited</t>
        </is>
      </c>
      <c r="F1240" s="716" t="n"/>
      <c r="G1240" s="716" t="n"/>
      <c r="H1240" s="462" t="n"/>
    </row>
    <row r="1241">
      <c r="A1241" s="672" t="inlineStr">
        <is>
          <t>E101155</t>
        </is>
      </c>
      <c r="B1241" s="767">
        <f>ROW()</f>
        <v/>
      </c>
      <c r="C1241" s="182" t="inlineStr">
        <is>
          <t>京江（双柏）新能源有限公司</t>
        </is>
      </c>
      <c r="D1241" s="182" t="inlineStr">
        <is>
          <t>ZI0290020148</t>
        </is>
      </c>
      <c r="E1241" s="182" t="inlineStr">
        <is>
          <t>楚雄州金江能源开发有限公司</t>
        </is>
      </c>
      <c r="F1241" s="716" t="n"/>
      <c r="G1241" s="716" t="n"/>
      <c r="H1241" s="462" t="n"/>
    </row>
    <row r="1242">
      <c r="A1242" s="672" t="inlineStr">
        <is>
          <t>E100890</t>
        </is>
      </c>
      <c r="B1242" s="767">
        <f>ROW()</f>
        <v/>
      </c>
      <c r="C1242" s="182" t="inlineStr">
        <is>
          <t>德州聚盛新能源科技有限公司</t>
        </is>
      </c>
      <c r="D1242" s="182" t="inlineStr">
        <is>
          <t>ZI029E100889</t>
        </is>
      </c>
      <c r="E1242" s="182" t="inlineStr">
        <is>
          <t>京能（德城区）新能源科技有限公司</t>
        </is>
      </c>
      <c r="F1242" s="716" t="n"/>
      <c r="G1242" s="716" t="n"/>
      <c r="H1242" s="462" t="n"/>
    </row>
    <row r="1243">
      <c r="A1243" s="672" t="inlineStr">
        <is>
          <t>E100935</t>
        </is>
      </c>
      <c r="B1243" s="767">
        <f>ROW()</f>
        <v/>
      </c>
      <c r="C1243" s="182" t="inlineStr">
        <is>
          <t>诸城维奥新能源有限公司</t>
        </is>
      </c>
      <c r="D1243" s="182" t="inlineStr">
        <is>
          <t>ZI029E101074</t>
        </is>
      </c>
      <c r="E1243" s="182" t="inlineStr">
        <is>
          <t>南京安晟新能源有限公司</t>
        </is>
      </c>
      <c r="F1243" s="716" t="n"/>
      <c r="G1243" s="716" t="n"/>
      <c r="H1243" s="462" t="n"/>
    </row>
    <row r="1244">
      <c r="A1244" s="672" t="inlineStr">
        <is>
          <t>E101283</t>
        </is>
      </c>
      <c r="B1244" s="767">
        <f>ROW()</f>
        <v/>
      </c>
      <c r="C1244" s="182" t="inlineStr">
        <is>
          <t>北京京能电力新能源有限公司</t>
        </is>
      </c>
      <c r="D1244" s="182" t="inlineStr">
        <is>
          <t>ZI029E100145</t>
        </is>
      </c>
      <c r="E1244" s="182" t="inlineStr">
        <is>
          <t>北京京能电力股份有限公司</t>
        </is>
      </c>
      <c r="F1244" s="716" t="n"/>
      <c r="G1244" s="716" t="n"/>
      <c r="H1244" s="462" t="n"/>
    </row>
    <row r="1245">
      <c r="A1245" s="672" t="inlineStr">
        <is>
          <t>E101291</t>
        </is>
      </c>
      <c r="B1245" s="767">
        <f>ROW()</f>
        <v/>
      </c>
      <c r="C1245" s="182" t="inlineStr">
        <is>
          <t>京能（杭州萧山）综合能源有限公司</t>
        </is>
      </c>
      <c r="D1245" s="182" t="inlineStr">
        <is>
          <t>ZI029E100748</t>
        </is>
      </c>
      <c r="E1245" s="182" t="inlineStr">
        <is>
          <t>北京京能国际综合智慧能源有限公司</t>
        </is>
      </c>
      <c r="F1245" s="716" t="n"/>
      <c r="G1245" s="716" t="n"/>
      <c r="H1245" s="462" t="n"/>
    </row>
    <row r="1246">
      <c r="A1246" s="672" t="inlineStr">
        <is>
          <t>E101290</t>
        </is>
      </c>
      <c r="B1246" s="767">
        <f>ROW()</f>
        <v/>
      </c>
      <c r="C1246" s="182" t="inlineStr">
        <is>
          <t>曲靖沾益京西新能源有限公司</t>
        </is>
      </c>
      <c r="D1246" s="182" t="inlineStr">
        <is>
          <t>ZI029E100730</t>
        </is>
      </c>
      <c r="E1246" s="182" t="inlineStr">
        <is>
          <t>京能国际能源发展（北京）有限公司</t>
        </is>
      </c>
      <c r="F1246" s="716" t="n"/>
      <c r="G1246" s="716" t="n"/>
      <c r="H1246" s="462" t="n"/>
    </row>
    <row r="1247">
      <c r="A1247" s="672" t="inlineStr">
        <is>
          <t>E101288</t>
        </is>
      </c>
      <c r="B1247" s="767">
        <f>ROW()</f>
        <v/>
      </c>
      <c r="C1247" s="182" t="inlineStr">
        <is>
          <t>平泉市邦诚新能源科技有限公司</t>
        </is>
      </c>
      <c r="D1247" s="182" t="inlineStr">
        <is>
          <t>ZI029E100730</t>
        </is>
      </c>
      <c r="E1247" s="182" t="inlineStr">
        <is>
          <t>京能国际能源发展（北京）有限公司</t>
        </is>
      </c>
      <c r="F1247" s="716" t="n"/>
      <c r="G1247" s="716" t="n"/>
      <c r="H1247" s="462" t="n"/>
    </row>
    <row r="1248">
      <c r="A1248" s="672" t="inlineStr">
        <is>
          <t>E101075</t>
        </is>
      </c>
      <c r="B1248" s="767">
        <f>ROW()</f>
        <v/>
      </c>
      <c r="C1248" s="182" t="inlineStr">
        <is>
          <t>兰西晟晖发电有限公司</t>
        </is>
      </c>
      <c r="D1248" s="182" t="inlineStr">
        <is>
          <t>ZI029E100730</t>
        </is>
      </c>
      <c r="E1248" s="182" t="inlineStr">
        <is>
          <t>京能国际能源发展（北京）有限公司</t>
        </is>
      </c>
      <c r="F1248" s="716" t="n"/>
      <c r="G1248" s="716" t="n"/>
      <c r="H1248" s="462" t="n"/>
    </row>
    <row r="1249">
      <c r="A1249" s="672" t="inlineStr">
        <is>
          <t>E101275</t>
        </is>
      </c>
      <c r="B1249" s="767">
        <f>ROW()</f>
        <v/>
      </c>
      <c r="C1249" s="182" t="inlineStr">
        <is>
          <t>保山腾冲保能和顺能源科技有限公司</t>
        </is>
      </c>
      <c r="D1249" s="672" t="inlineStr">
        <is>
          <t>ZI029E101190</t>
        </is>
      </c>
      <c r="E1249" s="182" t="inlineStr">
        <is>
          <t>保山能源发展股份有限公司</t>
        </is>
      </c>
      <c r="F1249" s="716" t="n"/>
      <c r="G1249" s="716" t="n"/>
      <c r="H1249" s="462" t="n"/>
    </row>
    <row r="1250">
      <c r="A1250" s="672" t="inlineStr">
        <is>
          <t>E101067</t>
        </is>
      </c>
      <c r="B1250" s="767">
        <f>ROW()</f>
        <v/>
      </c>
      <c r="C1250" s="182" t="inlineStr">
        <is>
          <t>京能（元江）新能源有限公司</t>
        </is>
      </c>
      <c r="D1250" s="182" t="inlineStr">
        <is>
          <t>ZI029E100730</t>
        </is>
      </c>
      <c r="E1250" s="182" t="inlineStr">
        <is>
          <t>京能国际能源发展（北京）有限公司</t>
        </is>
      </c>
      <c r="F1250" s="716" t="n"/>
      <c r="G1250" s="716" t="n"/>
      <c r="H1250" s="462" t="n"/>
    </row>
    <row r="1251">
      <c r="A1251" s="672" t="inlineStr">
        <is>
          <t>E101293</t>
        </is>
      </c>
      <c r="B1251" s="767">
        <f>ROW()</f>
        <v/>
      </c>
      <c r="C1251" s="182" t="inlineStr">
        <is>
          <t>和顺润能新能源有限公司</t>
        </is>
      </c>
      <c r="D1251" s="182" t="inlineStr">
        <is>
          <t>ZI029E100734</t>
        </is>
      </c>
      <c r="E1251" s="182" t="inlineStr">
        <is>
          <t>联合光伏（常州）投资集团有限公司</t>
        </is>
      </c>
      <c r="F1251" s="716" t="n"/>
      <c r="G1251" s="716" t="n"/>
      <c r="H1251" s="462" t="n"/>
    </row>
    <row r="1252">
      <c r="A1252" s="672" t="inlineStr">
        <is>
          <t>E101237</t>
        </is>
      </c>
      <c r="B1252" s="767">
        <f>ROW()</f>
        <v/>
      </c>
      <c r="C1252" s="182" t="inlineStr">
        <is>
          <t>岳阳京能清洁能源有限公司</t>
        </is>
      </c>
      <c r="D1252" s="182" t="inlineStr">
        <is>
          <t>ZI029E100001</t>
        </is>
      </c>
      <c r="E1252" s="182" t="inlineStr">
        <is>
          <t>北京京能清洁能源电力股份有限公司</t>
        </is>
      </c>
      <c r="F1252" s="716" t="n"/>
      <c r="G1252" s="716" t="n"/>
      <c r="H1252" s="462" t="n"/>
    </row>
    <row r="1253">
      <c r="A1253" s="672" t="inlineStr">
        <is>
          <t>E101241</t>
        </is>
      </c>
      <c r="B1253" s="767">
        <f>ROW()</f>
        <v/>
      </c>
      <c r="C1253" s="182" t="inlineStr">
        <is>
          <t>北屯市枫煜风能开发有限公司</t>
        </is>
      </c>
      <c r="D1253" s="182" t="inlineStr">
        <is>
          <t>ZI029E100730</t>
        </is>
      </c>
      <c r="E1253" s="182" t="inlineStr">
        <is>
          <t>京能国际能源发展（北京）有限公司</t>
        </is>
      </c>
      <c r="F1253" s="716" t="n"/>
      <c r="G1253" s="716" t="n"/>
      <c r="H1253" s="462" t="n"/>
    </row>
    <row r="1254">
      <c r="A1254" s="672" t="inlineStr">
        <is>
          <t>E101295</t>
        </is>
      </c>
      <c r="B1254" s="767">
        <f>ROW()</f>
        <v/>
      </c>
      <c r="C1254" s="182" t="inlineStr">
        <is>
          <t>京能（锡林郭勒）可再生能源发展有限公司</t>
        </is>
      </c>
      <c r="D1254" s="182" t="inlineStr">
        <is>
          <t>ZI029E100145</t>
        </is>
      </c>
      <c r="E1254" s="182" t="inlineStr">
        <is>
          <t>北京京能电力股份有限公司</t>
        </is>
      </c>
      <c r="F1254" s="716" t="n"/>
      <c r="G1254" s="716" t="n"/>
      <c r="H1254" s="462" t="n"/>
    </row>
    <row r="1255">
      <c r="A1255" s="672" t="inlineStr">
        <is>
          <t>E101285</t>
        </is>
      </c>
      <c r="B1255" s="767">
        <f>ROW()</f>
        <v/>
      </c>
      <c r="C1255" s="182" t="inlineStr">
        <is>
          <t>广州番禺控日新能源开发有限公司</t>
        </is>
      </c>
      <c r="D1255" s="182" t="inlineStr">
        <is>
          <t>ZI029E100308</t>
        </is>
      </c>
      <c r="E1255" s="182" t="inlineStr">
        <is>
          <t>京能源深（苏州）能源科技有限公司</t>
        </is>
      </c>
      <c r="F1255" s="716" t="n"/>
      <c r="G1255" s="716" t="n"/>
      <c r="H1255" s="462" t="n"/>
    </row>
    <row r="1256">
      <c r="A1256" s="672" t="inlineStr">
        <is>
          <t>E101284</t>
        </is>
      </c>
      <c r="B1256" s="767">
        <f>ROW()</f>
        <v/>
      </c>
      <c r="C1256" s="182" t="inlineStr">
        <is>
          <t>碳禾（清远）新能源技术有限公司</t>
        </is>
      </c>
      <c r="D1256" s="182" t="inlineStr">
        <is>
          <t>ZI029E100308</t>
        </is>
      </c>
      <c r="E1256" s="182" t="inlineStr">
        <is>
          <t>京能源深（苏州）能源科技有限公司</t>
        </is>
      </c>
      <c r="F1256" s="716" t="n"/>
      <c r="G1256" s="716" t="n"/>
      <c r="H1256" s="462" t="n"/>
    </row>
    <row r="1257">
      <c r="A1257" s="672" t="inlineStr">
        <is>
          <t>E101286</t>
        </is>
      </c>
      <c r="B1257" s="767">
        <f>ROW()</f>
        <v/>
      </c>
      <c r="C1257" s="182" t="inlineStr">
        <is>
          <t>佛山紫竹顺美新能源有限公司</t>
        </is>
      </c>
      <c r="D1257" s="182" t="inlineStr">
        <is>
          <t>ZI029E100308</t>
        </is>
      </c>
      <c r="E1257" s="182" t="inlineStr">
        <is>
          <t>京能源深（苏州）能源科技有限公司</t>
        </is>
      </c>
      <c r="F1257" s="716" t="n"/>
      <c r="G1257" s="716" t="n"/>
      <c r="H1257" s="462" t="n"/>
    </row>
    <row r="1258">
      <c r="A1258" s="672" t="inlineStr">
        <is>
          <t>E101239</t>
        </is>
      </c>
      <c r="B1258" s="767">
        <f>ROW()</f>
        <v/>
      </c>
      <c r="C1258" s="182" t="inlineStr">
        <is>
          <t>京卜（天津）新能源有限公司</t>
        </is>
      </c>
      <c r="D1258" s="182" t="inlineStr">
        <is>
          <t>ZI029E100730</t>
        </is>
      </c>
      <c r="E1258" s="182" t="inlineStr">
        <is>
          <t>京能国际能源发展（北京）有限公司</t>
        </is>
      </c>
      <c r="F1258" s="716" t="n"/>
      <c r="G1258" s="716" t="n"/>
      <c r="H1258" s="462" t="n"/>
    </row>
    <row r="1259">
      <c r="A1259" s="672" t="inlineStr">
        <is>
          <t>E101281</t>
        </is>
      </c>
      <c r="B1259" s="767">
        <f>ROW()</f>
        <v/>
      </c>
      <c r="C1259" s="182" t="inlineStr">
        <is>
          <t>京桥(奉节县)新能源有限公司</t>
        </is>
      </c>
      <c r="D1259" s="672" t="inlineStr">
        <is>
          <t>ZI029E101279</t>
        </is>
      </c>
      <c r="E1259" s="182" t="inlineStr">
        <is>
          <t>京能（重庆）能源有限公司</t>
        </is>
      </c>
      <c r="F1259" s="716" t="n"/>
      <c r="G1259" s="716" t="n"/>
      <c r="H1259" s="462" t="n"/>
    </row>
    <row r="1260">
      <c r="A1260" s="672" t="inlineStr">
        <is>
          <t>E101279</t>
        </is>
      </c>
      <c r="B1260" s="767">
        <f>ROW()</f>
        <v/>
      </c>
      <c r="C1260" s="182" t="inlineStr">
        <is>
          <t>京能(重庆)能源有限公司</t>
        </is>
      </c>
      <c r="D1260" s="182" t="inlineStr">
        <is>
          <t>ZI029E100730</t>
        </is>
      </c>
      <c r="E1260" s="182" t="inlineStr">
        <is>
          <t>京能国际能源发展（北京）有限公司</t>
        </is>
      </c>
      <c r="F1260" s="716" t="n"/>
      <c r="G1260" s="716" t="n"/>
      <c r="H1260" s="462" t="n"/>
    </row>
    <row r="1261">
      <c r="A1261" s="672" t="inlineStr">
        <is>
          <t>E100808</t>
        </is>
      </c>
      <c r="B1261" s="767">
        <f>ROW()</f>
        <v/>
      </c>
      <c r="C1261" s="182" t="inlineStr">
        <is>
          <t>广西平果京能联合新能源有限公司</t>
        </is>
      </c>
      <c r="D1261" s="182" t="inlineStr">
        <is>
          <t>ZI029E100764</t>
        </is>
      </c>
      <c r="E1261" s="182" t="inlineStr">
        <is>
          <t>联合光伏（深圳）有限公司</t>
        </is>
      </c>
      <c r="F1261" s="716" t="n"/>
      <c r="G1261" s="716" t="n"/>
      <c r="H1261" s="462" t="n"/>
    </row>
    <row r="1262">
      <c r="A1262" s="672" t="inlineStr">
        <is>
          <t>E101193</t>
        </is>
      </c>
      <c r="B1262" s="767">
        <f>ROW()</f>
        <v/>
      </c>
      <c r="C1262" s="182" t="inlineStr">
        <is>
          <t>上海京桓光伏电力有限公司</t>
        </is>
      </c>
      <c r="D1262" s="182" t="inlineStr">
        <is>
          <t>ZI029E100730</t>
        </is>
      </c>
      <c r="E1262" s="182" t="inlineStr">
        <is>
          <t>京能国际能源发展（北京）有限公司</t>
        </is>
      </c>
      <c r="F1262" s="716" t="n"/>
      <c r="G1262" s="716" t="n"/>
      <c r="H1262" s="462" t="n"/>
    </row>
    <row r="1263">
      <c r="A1263" s="672" t="inlineStr">
        <is>
          <t>E101292</t>
        </is>
      </c>
      <c r="B1263" s="767">
        <f>ROW()</f>
        <v/>
      </c>
      <c r="C1263" s="182" t="inlineStr">
        <is>
          <t>北京延庆京能清洁能源有限公司</t>
        </is>
      </c>
      <c r="D1263" s="182" t="inlineStr">
        <is>
          <t>ZI029E100001</t>
        </is>
      </c>
      <c r="E1263" s="182" t="inlineStr">
        <is>
          <t>北京京能清洁能源电力股份有限公司</t>
        </is>
      </c>
      <c r="F1263" s="716" t="n"/>
      <c r="G1263" s="716" t="n"/>
      <c r="H1263" s="462" t="n"/>
    </row>
    <row r="1264">
      <c r="A1264" s="672" t="inlineStr">
        <is>
          <t>E101280</t>
        </is>
      </c>
      <c r="B1264" s="767">
        <f>ROW()</f>
        <v/>
      </c>
      <c r="C1264" s="182" t="inlineStr">
        <is>
          <t>京能查干淖尔（锡林郭勒）新能源有限公司</t>
        </is>
      </c>
      <c r="D1264" s="182" t="inlineStr">
        <is>
          <t>ZI029E100000</t>
        </is>
      </c>
      <c r="E1264" s="182" t="inlineStr">
        <is>
          <t>北京能源集团有限责任公司</t>
        </is>
      </c>
      <c r="F1264" s="716" t="n"/>
      <c r="G1264" s="716" t="n"/>
      <c r="H1264" s="462" t="n"/>
    </row>
    <row r="1265">
      <c r="A1265" s="672" t="inlineStr">
        <is>
          <t>E101296</t>
        </is>
      </c>
      <c r="B1265" s="767">
        <f>ROW()</f>
        <v/>
      </c>
      <c r="C1265" s="672" t="inlineStr">
        <is>
          <t>京月（仪征）新能源发电有限公司</t>
        </is>
      </c>
      <c r="D1265" s="182" t="inlineStr">
        <is>
          <t>ZI029E100883</t>
        </is>
      </c>
      <c r="E1265" s="182" t="inlineStr">
        <is>
          <t>Beijing Energy International Investment Limited</t>
        </is>
      </c>
      <c r="F1265" s="716" t="n"/>
      <c r="G1265" s="716" t="n"/>
      <c r="H1265" s="462" t="n"/>
    </row>
    <row r="1266">
      <c r="A1266" s="672" t="inlineStr">
        <is>
          <t>E101299</t>
        </is>
      </c>
      <c r="B1266" s="767">
        <f>ROW()</f>
        <v/>
      </c>
      <c r="C1266" s="672" t="inlineStr">
        <is>
          <t>呼和浩特京数蒙算能源科技有限公司</t>
        </is>
      </c>
      <c r="D1266" s="182" t="inlineStr">
        <is>
          <t>ZI029E100734</t>
        </is>
      </c>
      <c r="E1266" s="182" t="inlineStr">
        <is>
          <t>联合光伏（常州）投资集团有限公司</t>
        </is>
      </c>
      <c r="F1266" s="716" t="n"/>
      <c r="G1266" s="716" t="n"/>
      <c r="H1266" s="462" t="n"/>
    </row>
    <row r="1267">
      <c r="A1267" s="672" t="inlineStr">
        <is>
          <t>E101227</t>
        </is>
      </c>
      <c r="B1267" s="767">
        <f>ROW()</f>
        <v/>
      </c>
      <c r="C1267" s="182" t="inlineStr">
        <is>
          <t>京能智汇（锡林郭勒）新能源有限公司</t>
        </is>
      </c>
      <c r="D1267" s="182" t="inlineStr">
        <is>
          <t>ZI029E100145</t>
        </is>
      </c>
      <c r="E1267" s="182" t="inlineStr">
        <is>
          <t>北京京能电力股份有限公司</t>
        </is>
      </c>
      <c r="F1267" s="716" t="n"/>
      <c r="G1267" s="716" t="n"/>
      <c r="H1267" s="462" t="n"/>
    </row>
    <row r="1268">
      <c r="A1268" s="672" t="inlineStr">
        <is>
          <t>E101266</t>
        </is>
      </c>
      <c r="B1268" s="767">
        <f>ROW()</f>
        <v/>
      </c>
      <c r="C1268" s="182" t="inlineStr">
        <is>
          <t>京原（北京）新能源有限公司</t>
        </is>
      </c>
      <c r="D1268" s="182" t="inlineStr">
        <is>
          <t>ZI029E100730</t>
        </is>
      </c>
      <c r="E1268" s="182" t="inlineStr">
        <is>
          <t>京能国际能源发展（北京）有限公司</t>
        </is>
      </c>
      <c r="F1268" s="716" t="n"/>
      <c r="G1268" s="716" t="n"/>
      <c r="H1268" s="462" t="n"/>
    </row>
    <row r="1269">
      <c r="A1269" s="672" t="inlineStr">
        <is>
          <t>E101307</t>
        </is>
      </c>
      <c r="B1269" s="767">
        <f>ROW()</f>
        <v/>
      </c>
      <c r="C1269" s="182" t="inlineStr">
        <is>
          <t>北京市顺义区颐寿轩养老服务中心</t>
        </is>
      </c>
      <c r="D1269" s="182" t="inlineStr">
        <is>
          <t>ZI029E100346</t>
        </is>
      </c>
      <c r="E1269" s="182" t="inlineStr">
        <is>
          <t>北京颐寿轩敬老院</t>
        </is>
      </c>
      <c r="F1269" s="716" t="n"/>
      <c r="G1269" s="716" t="n"/>
      <c r="H1269" s="462" t="n"/>
    </row>
    <row r="1270">
      <c r="A1270" s="672" t="inlineStr">
        <is>
          <t>E101289</t>
        </is>
      </c>
      <c r="B1270" s="767">
        <f>ROW()</f>
        <v/>
      </c>
      <c r="C1270" s="182" t="inlineStr">
        <is>
          <t>锡林郭勒京能清洁能源有限公司</t>
        </is>
      </c>
      <c r="D1270" s="182" t="inlineStr">
        <is>
          <t>ZI029E100001</t>
        </is>
      </c>
      <c r="E1270" s="182" t="inlineStr">
        <is>
          <t>北京京能清洁能源电力股份有限公司</t>
        </is>
      </c>
      <c r="F1270" s="716" t="n"/>
      <c r="G1270" s="716" t="n"/>
      <c r="H1270" s="462" t="n"/>
    </row>
    <row r="1271">
      <c r="A1271" s="672" t="inlineStr">
        <is>
          <t>E101311</t>
        </is>
      </c>
      <c r="B1271" s="767">
        <f>ROW()</f>
        <v/>
      </c>
      <c r="C1271" s="182" t="inlineStr">
        <is>
          <t>镶黄旗京能智汇清洁能源有限公司</t>
        </is>
      </c>
      <c r="D1271" s="182" t="inlineStr">
        <is>
          <t>ZI029E101289</t>
        </is>
      </c>
      <c r="E1271" s="182" t="inlineStr">
        <is>
          <t>锡林郭勒京能清洁能源有限公司</t>
        </is>
      </c>
      <c r="F1271" s="716" t="n"/>
      <c r="G1271" s="716" t="n"/>
      <c r="H1271" s="462" t="n"/>
    </row>
    <row r="1272">
      <c r="A1272" s="672" t="inlineStr">
        <is>
          <t>E101310</t>
        </is>
      </c>
      <c r="B1272" s="767">
        <f>ROW()</f>
        <v/>
      </c>
      <c r="C1272" s="182" t="inlineStr">
        <is>
          <t>苏尼特右旗京能智汇清洁能源有限公司</t>
        </is>
      </c>
      <c r="D1272" s="182" t="inlineStr">
        <is>
          <t>ZI029E101289</t>
        </is>
      </c>
      <c r="E1272" s="182" t="inlineStr">
        <is>
          <t>锡林郭勒京能清洁能源有限公司</t>
        </is>
      </c>
      <c r="F1272" s="716" t="n"/>
      <c r="G1272" s="716" t="n"/>
      <c r="H1272" s="462" t="n"/>
    </row>
    <row r="1273">
      <c r="A1273" s="672" t="inlineStr">
        <is>
          <t>E101309</t>
        </is>
      </c>
      <c r="B1273" s="767">
        <f>ROW()</f>
        <v/>
      </c>
      <c r="C1273" s="182" t="inlineStr">
        <is>
          <t>锡林浩特市京能智汇清洁能源有限公司</t>
        </is>
      </c>
      <c r="D1273" s="182" t="inlineStr">
        <is>
          <t>ZI029E101289</t>
        </is>
      </c>
      <c r="E1273" s="182" t="inlineStr">
        <is>
          <t>锡林郭勒京能清洁能源有限公司</t>
        </is>
      </c>
      <c r="F1273" s="716" t="n"/>
      <c r="G1273" s="716" t="n"/>
      <c r="H1273" s="462" t="n"/>
    </row>
    <row r="1274">
      <c r="A1274" s="672" t="inlineStr">
        <is>
          <t>E101313</t>
        </is>
      </c>
      <c r="B1274" s="767">
        <f>ROW()</f>
        <v/>
      </c>
      <c r="C1274" s="182" t="inlineStr">
        <is>
          <t>阿巴嘎旗京能智汇清洁能源有限公司</t>
        </is>
      </c>
      <c r="D1274" s="182" t="inlineStr">
        <is>
          <t>ZI029E101289</t>
        </is>
      </c>
      <c r="E1274" s="182" t="inlineStr">
        <is>
          <t>锡林郭勒京能清洁能源有限公司</t>
        </is>
      </c>
      <c r="F1274" s="716" t="n"/>
      <c r="G1274" s="716" t="n"/>
      <c r="H1274" s="462" t="n"/>
    </row>
    <row r="1275">
      <c r="A1275" s="672" t="inlineStr">
        <is>
          <t>E101312</t>
        </is>
      </c>
      <c r="B1275" s="767">
        <f>ROW()</f>
        <v/>
      </c>
      <c r="C1275" s="182" t="inlineStr">
        <is>
          <t>正镶白旗京能智汇清洁能源有限公司</t>
        </is>
      </c>
      <c r="D1275" s="182" t="inlineStr">
        <is>
          <t>ZI029E101289</t>
        </is>
      </c>
      <c r="E1275" s="182" t="inlineStr">
        <is>
          <t>锡林郭勒京能清洁能源有限公司</t>
        </is>
      </c>
      <c r="F1275" s="716" t="n"/>
      <c r="G1275" s="716" t="n"/>
      <c r="H1275" s="462" t="n"/>
    </row>
    <row r="1276">
      <c r="A1276" s="672" t="inlineStr">
        <is>
          <t>E101305</t>
        </is>
      </c>
      <c r="B1276" s="767">
        <f>ROW()</f>
        <v/>
      </c>
      <c r="C1276" s="182" t="inlineStr">
        <is>
          <t>平湖鸿禧电力有限公司</t>
        </is>
      </c>
      <c r="D1276" s="182" t="inlineStr">
        <is>
          <t>ZI029E100308</t>
        </is>
      </c>
      <c r="E1276" s="182" t="inlineStr">
        <is>
          <t>京能源深（苏州）能源科技有限公司</t>
        </is>
      </c>
      <c r="F1276" s="716" t="n"/>
      <c r="G1276" s="716" t="n"/>
      <c r="H1276" s="462" t="n"/>
    </row>
    <row r="1277" ht="17" customHeight="1" s="1181">
      <c r="A1277" s="672" t="inlineStr">
        <is>
          <t>E101314</t>
        </is>
      </c>
      <c r="B1277" s="767">
        <f>ROW()</f>
        <v/>
      </c>
      <c r="C1277" s="182" t="inlineStr">
        <is>
          <t>保山腾冲保能景泰新能源开发有限公司</t>
        </is>
      </c>
      <c r="D1277" s="182" t="inlineStr">
        <is>
          <t>ZI029E101190</t>
        </is>
      </c>
      <c r="E1277" s="772" t="inlineStr">
        <is>
          <t>保山能源发展股份有限公司</t>
        </is>
      </c>
      <c r="F1277" s="716" t="n"/>
      <c r="G1277" s="716" t="n"/>
      <c r="H1277" s="462" t="n"/>
    </row>
    <row r="1278" ht="17" customHeight="1" s="1181">
      <c r="A1278" s="672" t="inlineStr">
        <is>
          <t>E101321</t>
        </is>
      </c>
      <c r="B1278" s="767">
        <f>ROW()</f>
        <v/>
      </c>
      <c r="C1278" s="182" t="inlineStr">
        <is>
          <t>京翠（威海环翠区）新能源有限公司</t>
        </is>
      </c>
      <c r="D1278" s="182" t="inlineStr">
        <is>
          <t>ZI029E100883</t>
        </is>
      </c>
      <c r="E1278" s="772" t="inlineStr">
        <is>
          <t>Beijing Energy International Investment Limited</t>
        </is>
      </c>
      <c r="F1278" s="716" t="n"/>
      <c r="G1278" s="716" t="n"/>
      <c r="H1278" s="462" t="n"/>
    </row>
    <row r="1279">
      <c r="A1279" s="672" t="inlineStr">
        <is>
          <t>E101308</t>
        </is>
      </c>
      <c r="B1279" s="767">
        <f>ROW()</f>
        <v/>
      </c>
      <c r="C1279" s="182" t="inlineStr">
        <is>
          <t>内蒙古京能察右后旗新能源有限公司</t>
        </is>
      </c>
      <c r="D1279" s="182" t="inlineStr">
        <is>
          <t>ZI029E100145</t>
        </is>
      </c>
      <c r="E1279" s="182" t="inlineStr">
        <is>
          <t>北京京能电力股份有限公司</t>
        </is>
      </c>
      <c r="F1279" s="716" t="n"/>
      <c r="G1279" s="716" t="n"/>
      <c r="H1279" s="462" t="n"/>
    </row>
    <row r="1280">
      <c r="A1280" s="672" t="inlineStr">
        <is>
          <t>E101319</t>
        </is>
      </c>
      <c r="B1280" s="767">
        <f>ROW()</f>
        <v/>
      </c>
      <c r="C1280" s="182" t="inlineStr">
        <is>
          <t>内蒙古京能算力科技有限公司</t>
        </is>
      </c>
      <c r="D1280" s="182" t="inlineStr">
        <is>
          <t>ZI029E101212</t>
        </is>
      </c>
      <c r="E1280" s="182" t="inlineStr">
        <is>
          <t>京能数字产业有限公司</t>
        </is>
      </c>
      <c r="F1280" s="716" t="n"/>
      <c r="G1280" s="716" t="n"/>
      <c r="H1280" s="462" t="n"/>
    </row>
    <row r="1281">
      <c r="A1281" s="672" t="inlineStr">
        <is>
          <t>E101245</t>
        </is>
      </c>
      <c r="B1281" s="767">
        <f>ROW()</f>
        <v/>
      </c>
      <c r="C1281" s="182" t="inlineStr">
        <is>
          <t>北京京能海北算力科技有限公司</t>
        </is>
      </c>
      <c r="D1281" s="182" t="inlineStr">
        <is>
          <t>ZI029E101212</t>
        </is>
      </c>
      <c r="E1281" s="182" t="inlineStr">
        <is>
          <t>京能数字产业有限公司</t>
        </is>
      </c>
      <c r="F1281" s="716" t="n"/>
      <c r="G1281" s="716" t="n"/>
      <c r="H1281" s="462" t="n"/>
    </row>
    <row r="1282">
      <c r="A1282" s="672" t="inlineStr">
        <is>
          <t>E101328</t>
        </is>
      </c>
      <c r="B1282" s="767">
        <f>ROW()</f>
        <v/>
      </c>
      <c r="C1282" s="182" t="inlineStr">
        <is>
          <t>江门市新会区古井能源服务有限公司</t>
        </is>
      </c>
      <c r="D1282" s="182" t="inlineStr">
        <is>
          <t>ZI029E100730</t>
        </is>
      </c>
      <c r="E1282" s="182" t="inlineStr">
        <is>
          <t>京能国际能源发展（北京）有限公司</t>
        </is>
      </c>
      <c r="F1282" s="716" t="n"/>
      <c r="G1282" s="716" t="n"/>
      <c r="H1282" s="462" t="n"/>
    </row>
    <row r="1283">
      <c r="A1283" s="672" t="inlineStr">
        <is>
          <t>E101089</t>
        </is>
      </c>
      <c r="B1283" s="767">
        <f>ROW()</f>
        <v/>
      </c>
      <c r="C1283" s="182" t="inlineStr">
        <is>
          <t>长沙京能双碳新能源有限公司</t>
        </is>
      </c>
      <c r="D1283" s="182" t="inlineStr">
        <is>
          <t>ZI029E100730</t>
        </is>
      </c>
      <c r="E1283" s="182" t="inlineStr">
        <is>
          <t>京能国际能源发展（北京）有限公司</t>
        </is>
      </c>
      <c r="F1283" s="716" t="n"/>
      <c r="G1283" s="716" t="n"/>
      <c r="H1283" s="462" t="n"/>
    </row>
    <row r="1284">
      <c r="A1284" s="672" t="inlineStr">
        <is>
          <t>E101333</t>
        </is>
      </c>
      <c r="B1284" s="767">
        <f>ROW()</f>
        <v/>
      </c>
      <c r="C1284" s="182" t="inlineStr">
        <is>
          <t>丹阳市协众新能源有限责任公司</t>
        </is>
      </c>
      <c r="D1284" s="182" t="inlineStr">
        <is>
          <t>ZI029E100001</t>
        </is>
      </c>
      <c r="E1284" s="182" t="inlineStr">
        <is>
          <t>北京京能清洁能源电力股份有限公司</t>
        </is>
      </c>
      <c r="F1284" s="716" t="n"/>
      <c r="G1284" s="716" t="n"/>
      <c r="H1284" s="462" t="n"/>
    </row>
    <row r="1285">
      <c r="A1285" s="716" t="inlineStr">
        <is>
          <t>E101324</t>
        </is>
      </c>
      <c r="B1285" s="767">
        <f>ROW()</f>
        <v/>
      </c>
      <c r="C1285" s="716" t="inlineStr">
        <is>
          <t>内蒙古京康新能源有限公司</t>
        </is>
      </c>
      <c r="D1285" s="182" t="inlineStr">
        <is>
          <t>ZI029E100145</t>
        </is>
      </c>
      <c r="E1285" s="716" t="inlineStr">
        <is>
          <t>北京京能电力股份有限公司</t>
        </is>
      </c>
      <c r="F1285" s="716" t="n"/>
      <c r="G1285" s="716" t="n"/>
      <c r="H1285" s="462" t="n"/>
    </row>
    <row r="1286">
      <c r="A1286" s="716" t="inlineStr">
        <is>
          <t>E101278</t>
        </is>
      </c>
      <c r="B1286" s="767">
        <f>ROW()</f>
        <v/>
      </c>
      <c r="C1286" s="716" t="inlineStr">
        <is>
          <t>云南保山腾冲市京能两河水电开发有限责任公司</t>
        </is>
      </c>
      <c r="D1286" s="182" t="inlineStr">
        <is>
          <t>ZI029E101191</t>
        </is>
      </c>
      <c r="E1286" s="716" t="inlineStr">
        <is>
          <t>云南保山槟榔江水电开发有限公司</t>
        </is>
      </c>
      <c r="F1286" s="716" t="n"/>
      <c r="G1286" s="716" t="n"/>
      <c r="H1286" s="462" t="n"/>
    </row>
    <row r="1287">
      <c r="A1287" s="672" t="inlineStr">
        <is>
          <t>E101339</t>
        </is>
      </c>
      <c r="B1287" s="767">
        <f>ROW()</f>
        <v/>
      </c>
      <c r="C1287" s="182" t="inlineStr">
        <is>
          <t>天津绿光新能源有限公司</t>
        </is>
      </c>
      <c r="D1287" s="182" t="inlineStr">
        <is>
          <t>ZI029E100001</t>
        </is>
      </c>
      <c r="E1287" s="182" t="inlineStr">
        <is>
          <t>北京京能清洁能源电力股份有限公司</t>
        </is>
      </c>
      <c r="F1287" s="716" t="n"/>
      <c r="G1287" s="716" t="n"/>
      <c r="H1287" s="462" t="n"/>
    </row>
    <row r="1288">
      <c r="A1288" s="672" t="inlineStr">
        <is>
          <t>E101341</t>
        </is>
      </c>
      <c r="B1288" s="767">
        <f>ROW()</f>
        <v/>
      </c>
      <c r="C1288" s="182" t="inlineStr">
        <is>
          <t>天津凯胜悦景新能源科技有限公司</t>
        </is>
      </c>
      <c r="D1288" s="182" t="inlineStr">
        <is>
          <t>ZI029E101339</t>
        </is>
      </c>
      <c r="E1288" s="182" t="inlineStr">
        <is>
          <t>天津绿光新能源有限公司</t>
        </is>
      </c>
      <c r="F1288" s="716" t="n"/>
      <c r="G1288" s="716" t="n"/>
      <c r="H1288" s="462" t="n"/>
    </row>
    <row r="1289">
      <c r="A1289" s="672" t="inlineStr">
        <is>
          <t>E100851</t>
        </is>
      </c>
      <c r="B1289" s="767">
        <f>ROW()</f>
        <v/>
      </c>
      <c r="C1289" s="182" t="inlineStr">
        <is>
          <t>河北盈坤新能源开发有限公司</t>
        </is>
      </c>
      <c r="D1289" s="182" t="inlineStr">
        <is>
          <t>ZI029E100908</t>
        </is>
      </c>
      <c r="E1289" s="182" t="inlineStr">
        <is>
          <t>北京通力日昇新能源科技有限公司</t>
        </is>
      </c>
      <c r="F1289" s="716" t="n"/>
      <c r="G1289" s="716" t="n"/>
      <c r="H1289" s="462" t="n"/>
    </row>
    <row r="1290">
      <c r="A1290" s="672" t="inlineStr">
        <is>
          <t>E100913</t>
        </is>
      </c>
      <c r="B1290" s="767">
        <f>ROW()</f>
        <v/>
      </c>
      <c r="C1290" s="182" t="inlineStr">
        <is>
          <t>隆尧县烁昇新能源科技有限公司</t>
        </is>
      </c>
      <c r="D1290" s="182" t="inlineStr">
        <is>
          <t>ZI029E100908</t>
        </is>
      </c>
      <c r="E1290" s="182" t="inlineStr">
        <is>
          <t>北京通力日昇新能源科技有限公司</t>
        </is>
      </c>
      <c r="F1290" s="716" t="n"/>
      <c r="G1290" s="716" t="n"/>
      <c r="H1290" s="462" t="n"/>
    </row>
    <row r="1291">
      <c r="A1291" s="672" t="inlineStr">
        <is>
          <t>E100850</t>
        </is>
      </c>
      <c r="B1291" s="767">
        <f>ROW()</f>
        <v/>
      </c>
      <c r="C1291" s="182" t="inlineStr">
        <is>
          <t>邢台信诺新能源开发有限公司</t>
        </is>
      </c>
      <c r="D1291" s="182" t="inlineStr">
        <is>
          <t>ZI029E100908</t>
        </is>
      </c>
      <c r="E1291" s="182" t="inlineStr">
        <is>
          <t>北京通力日昇新能源科技有限公司</t>
        </is>
      </c>
      <c r="F1291" s="716" t="n"/>
      <c r="G1291" s="716" t="n"/>
      <c r="H1291" s="462" t="n"/>
    </row>
    <row r="1292">
      <c r="A1292" s="672" t="inlineStr">
        <is>
          <t>E100911</t>
        </is>
      </c>
      <c r="B1292" s="767">
        <f>ROW()</f>
        <v/>
      </c>
      <c r="C1292" s="182" t="inlineStr">
        <is>
          <t>河北度凯新能源科技有限公司</t>
        </is>
      </c>
      <c r="D1292" s="182" t="inlineStr">
        <is>
          <t>ZI029E100908</t>
        </is>
      </c>
      <c r="E1292" s="182" t="inlineStr">
        <is>
          <t>北京通力日昇新能源科技有限公司</t>
        </is>
      </c>
      <c r="F1292" s="716" t="n"/>
      <c r="G1292" s="716" t="n"/>
      <c r="H1292" s="462" t="n"/>
    </row>
    <row r="1293">
      <c r="A1293" s="672" t="inlineStr">
        <is>
          <t>E100852</t>
        </is>
      </c>
      <c r="B1293" s="767">
        <f>ROW()</f>
        <v/>
      </c>
      <c r="C1293" s="182" t="inlineStr">
        <is>
          <t>成安县华辉新能源科技有限公司</t>
        </is>
      </c>
      <c r="D1293" s="182" t="inlineStr">
        <is>
          <t>ZI029E100908</t>
        </is>
      </c>
      <c r="E1293" s="182" t="inlineStr">
        <is>
          <t>北京通力日昇新能源科技有限公司</t>
        </is>
      </c>
      <c r="F1293" s="716" t="n"/>
      <c r="G1293" s="716" t="n"/>
      <c r="H1293" s="462" t="n"/>
    </row>
    <row r="1294">
      <c r="A1294" s="672" t="inlineStr">
        <is>
          <t>E100915</t>
        </is>
      </c>
      <c r="B1294" s="767">
        <f>ROW()</f>
        <v/>
      </c>
      <c r="C1294" s="182" t="inlineStr">
        <is>
          <t>涉县耀光新能源科技有限公司</t>
        </is>
      </c>
      <c r="D1294" s="182" t="inlineStr">
        <is>
          <t>ZI029E100908</t>
        </is>
      </c>
      <c r="E1294" s="182" t="inlineStr">
        <is>
          <t>北京通力日昇新能源科技有限公司</t>
        </is>
      </c>
      <c r="F1294" s="716" t="n"/>
      <c r="G1294" s="716" t="n"/>
      <c r="H1294" s="462" t="n"/>
    </row>
    <row r="1295">
      <c r="A1295" s="672" t="inlineStr">
        <is>
          <t>E100914</t>
        </is>
      </c>
      <c r="B1295" s="767">
        <f>ROW()</f>
        <v/>
      </c>
      <c r="C1295" s="182" t="inlineStr">
        <is>
          <t>邢台市邦力新能源科技有限公司</t>
        </is>
      </c>
      <c r="D1295" s="182" t="inlineStr">
        <is>
          <t>ZI029E100908</t>
        </is>
      </c>
      <c r="E1295" s="182" t="inlineStr">
        <is>
          <t>北京通力日昇新能源科技有限公司</t>
        </is>
      </c>
      <c r="F1295" s="716" t="n"/>
      <c r="G1295" s="716" t="n"/>
      <c r="H1295" s="462" t="n"/>
    </row>
    <row r="1296">
      <c r="A1296" s="672" t="inlineStr">
        <is>
          <t>E100849</t>
        </is>
      </c>
      <c r="B1296" s="767">
        <f>ROW()</f>
        <v/>
      </c>
      <c r="C1296" s="182" t="inlineStr">
        <is>
          <t>正定启阳光伏发电有限公司</t>
        </is>
      </c>
      <c r="D1296" s="182" t="inlineStr">
        <is>
          <t>ZI029E100908</t>
        </is>
      </c>
      <c r="E1296" s="182" t="inlineStr">
        <is>
          <t>北京通力日昇新能源科技有限公司</t>
        </is>
      </c>
      <c r="F1296" s="716" t="n"/>
      <c r="G1296" s="716" t="n"/>
      <c r="H1296" s="462" t="n"/>
    </row>
    <row r="1297">
      <c r="A1297" s="672" t="inlineStr">
        <is>
          <t>E100918</t>
        </is>
      </c>
      <c r="B1297" s="767">
        <f>ROW()</f>
        <v/>
      </c>
      <c r="C1297" s="182" t="inlineStr">
        <is>
          <t>绍兴上虞昱煌新能源科技有限公司</t>
        </is>
      </c>
      <c r="D1297" s="182" t="inlineStr">
        <is>
          <t>ZI029E100908</t>
        </is>
      </c>
      <c r="E1297" s="182" t="inlineStr">
        <is>
          <t>北京通力日昇新能源科技有限公司</t>
        </is>
      </c>
      <c r="F1297" s="716" t="n"/>
      <c r="G1297" s="716" t="n"/>
      <c r="H1297" s="462" t="n"/>
    </row>
    <row r="1298">
      <c r="A1298" s="672" t="inlineStr">
        <is>
          <t>E101238</t>
        </is>
      </c>
      <c r="B1298" s="767">
        <f>ROW()</f>
        <v/>
      </c>
      <c r="C1298" s="182" t="inlineStr">
        <is>
          <t>京滨（滨州邹平）新能源有限公司</t>
        </is>
      </c>
      <c r="D1298" s="182" t="inlineStr">
        <is>
          <t>ZI029E100730</t>
        </is>
      </c>
      <c r="E1298" s="182" t="inlineStr">
        <is>
          <t>京能国际能源发展（北京）有限公司</t>
        </is>
      </c>
      <c r="F1298" s="716" t="n"/>
      <c r="G1298" s="716" t="n"/>
      <c r="H1298" s="462" t="n"/>
    </row>
    <row r="1299">
      <c r="A1299" s="672" t="inlineStr">
        <is>
          <t>E101271</t>
        </is>
      </c>
      <c r="B1299" s="767">
        <f>ROW()</f>
        <v/>
      </c>
      <c r="C1299" s="182" t="inlineStr">
        <is>
          <t>京马（北京）新能源有限公司</t>
        </is>
      </c>
      <c r="D1299" s="182" t="inlineStr">
        <is>
          <t>ZI029E100748</t>
        </is>
      </c>
      <c r="E1299" s="182" t="inlineStr">
        <is>
          <t>北京京能国际综合智慧能源有限公司</t>
        </is>
      </c>
      <c r="F1299" s="716" t="n"/>
      <c r="G1299" s="716" t="n"/>
      <c r="H1299" s="462" t="n"/>
    </row>
    <row r="1300">
      <c r="A1300" s="672" t="inlineStr">
        <is>
          <t>E101335</t>
        </is>
      </c>
      <c r="B1300" s="767">
        <f>ROW()</f>
        <v/>
      </c>
      <c r="C1300" s="182" t="inlineStr">
        <is>
          <t>宁夏京能智算科技有限公司</t>
        </is>
      </c>
      <c r="D1300" s="182" t="inlineStr">
        <is>
          <t>ZI029E101212</t>
        </is>
      </c>
      <c r="E1300" s="182" t="inlineStr">
        <is>
          <t>京能数字产业有限公司</t>
        </is>
      </c>
      <c r="F1300" s="716" t="n"/>
      <c r="G1300" s="716" t="n"/>
      <c r="H1300" s="462" t="n"/>
    </row>
    <row r="1301">
      <c r="A1301" s="672" t="inlineStr">
        <is>
          <t>E101340</t>
        </is>
      </c>
      <c r="B1301" s="767">
        <f>ROW()</f>
        <v/>
      </c>
      <c r="C1301" s="182" t="inlineStr">
        <is>
          <t>泰州赫炎能源科技有限公司</t>
        </is>
      </c>
      <c r="D1301" s="182" t="inlineStr">
        <is>
          <t>ZI029E101338</t>
        </is>
      </c>
      <c r="E1301" s="182" t="inlineStr">
        <is>
          <t>泰州姜堰区福日能源科技有限公司</t>
        </is>
      </c>
      <c r="F1301" s="716" t="n"/>
      <c r="G1301" s="716" t="n"/>
      <c r="H1301" s="462" t="n"/>
    </row>
    <row r="1302">
      <c r="A1302" s="672" t="inlineStr">
        <is>
          <t>E101347</t>
        </is>
      </c>
      <c r="B1302" s="767">
        <f>ROW()</f>
        <v/>
      </c>
      <c r="C1302" s="182" t="inlineStr">
        <is>
          <t>宁波镇海锦能太阳能科技有限公司</t>
        </is>
      </c>
      <c r="D1302" s="182" t="inlineStr">
        <is>
          <t>ZI029E100308</t>
        </is>
      </c>
      <c r="E1302" s="182" t="inlineStr">
        <is>
          <t>京能源深（苏州）能源科技有限公司</t>
        </is>
      </c>
      <c r="F1302" s="716" t="n"/>
      <c r="G1302" s="716" t="n"/>
      <c r="H1302" s="462" t="n"/>
    </row>
    <row r="1303">
      <c r="A1303" s="672" t="inlineStr">
        <is>
          <t>E101346</t>
        </is>
      </c>
      <c r="B1303" s="767">
        <f>ROW()</f>
        <v/>
      </c>
      <c r="C1303" s="182" t="inlineStr">
        <is>
          <t>池州市贵池区菲尚新能源有限公司</t>
        </is>
      </c>
      <c r="D1303" s="182" t="inlineStr">
        <is>
          <t>ZI029E100308</t>
        </is>
      </c>
      <c r="E1303" s="182" t="inlineStr">
        <is>
          <t>京能源深（苏州）能源科技有限公司</t>
        </is>
      </c>
      <c r="F1303" s="716" t="n"/>
      <c r="G1303" s="716" t="n"/>
      <c r="H1303" s="462" t="n"/>
    </row>
    <row r="1304">
      <c r="A1304" s="672" t="inlineStr">
        <is>
          <t>E101327</t>
        </is>
      </c>
      <c r="B1304" s="767">
        <f>ROW()</f>
        <v/>
      </c>
      <c r="C1304" s="182" t="inlineStr">
        <is>
          <t>北京京能金海湖文旅发展有限公司</t>
        </is>
      </c>
      <c r="D1304" s="182" t="inlineStr">
        <is>
          <t>ZI029E100268</t>
        </is>
      </c>
      <c r="E1304" s="182" t="inlineStr">
        <is>
          <t>北京京煤集团有限责任公司</t>
        </is>
      </c>
      <c r="F1304" s="716" t="n"/>
      <c r="G1304" s="716" t="n"/>
      <c r="H1304" s="462" t="n"/>
    </row>
    <row r="1305">
      <c r="A1305" s="672" t="inlineStr">
        <is>
          <t>E101343</t>
        </is>
      </c>
      <c r="B1305" s="767">
        <f>ROW()</f>
        <v/>
      </c>
      <c r="C1305" s="182" t="inlineStr">
        <is>
          <t>北京山水金海湖旅游文化发展有限责任公司</t>
        </is>
      </c>
      <c r="D1305" s="182" t="inlineStr">
        <is>
          <t>ZI029E101327</t>
        </is>
      </c>
      <c r="E1305" s="182" t="inlineStr">
        <is>
          <t>北京京能金海湖文旅发展有限公司</t>
        </is>
      </c>
      <c r="F1305" s="716" t="n"/>
      <c r="G1305" s="716" t="n"/>
      <c r="H1305" s="462" t="n"/>
    </row>
    <row r="1306">
      <c r="A1306" s="672" t="inlineStr">
        <is>
          <t>E101353</t>
        </is>
      </c>
      <c r="B1306" s="767">
        <f>ROW()</f>
        <v/>
      </c>
      <c r="C1306" s="182" t="inlineStr">
        <is>
          <t>如东晟能能源有限公司</t>
        </is>
      </c>
      <c r="D1306" s="182" t="inlineStr">
        <is>
          <t>ZI029E100406</t>
        </is>
      </c>
      <c r="E1306" s="182" t="inlineStr">
        <is>
          <t>北京京能数字科技有限公司</t>
        </is>
      </c>
      <c r="F1306" s="716" t="n"/>
      <c r="G1306" s="716" t="n"/>
      <c r="H1306" s="462" t="n"/>
    </row>
    <row r="1307">
      <c r="A1307" s="672" t="inlineStr">
        <is>
          <t>E101354</t>
        </is>
      </c>
      <c r="B1307" s="767">
        <f>ROW()</f>
        <v/>
      </c>
      <c r="C1307" s="182" t="inlineStr">
        <is>
          <t>淮安合淮储能科技有限公司</t>
        </is>
      </c>
      <c r="D1307" s="182" t="inlineStr">
        <is>
          <t>ZI029E100406</t>
        </is>
      </c>
      <c r="E1307" s="182" t="inlineStr">
        <is>
          <t>北京京能数字科技有限公司</t>
        </is>
      </c>
      <c r="F1307" s="716" t="n"/>
      <c r="G1307" s="716" t="n"/>
      <c r="H1307" s="462" t="n"/>
    </row>
    <row r="1308">
      <c r="A1308" s="672" t="inlineStr">
        <is>
          <t>E101344</t>
        </is>
      </c>
      <c r="B1308" s="767">
        <f>ROW()</f>
        <v/>
      </c>
      <c r="C1308" s="182" t="inlineStr">
        <is>
          <t>北京市天朗技贸有限公司</t>
        </is>
      </c>
      <c r="D1308" s="182" t="inlineStr">
        <is>
          <t>ZI029E100776</t>
        </is>
      </c>
      <c r="E1308" s="182" t="inlineStr">
        <is>
          <t>北京健康养老集团有限公司</t>
        </is>
      </c>
      <c r="F1308" s="716" t="n"/>
      <c r="G1308" s="716" t="n"/>
      <c r="H1308" s="462" t="n"/>
    </row>
  </sheetData>
  <sheetProtection selectLockedCells="0" selectUnlockedCells="0" algorithmName="SHA-512" sheet="1" objects="0" insertRows="1" insertHyperlinks="1" autoFilter="1" scenarios="1" formatColumns="1" deleteColumns="1" insertColumns="1" pivotTables="1" deleteRows="1" formatCells="1" saltValue="I2s55F0dr2rMu3+nReozkg==" formatRows="1" sort="1" spinCount="100000" hashValue="NtPVtD2FMHMX75MQGxUUJPDMXKIhLbGTJx3VmnJW8vT1NgboTDix4xplsDMxpLTqkuWrfLKdia8P9Z4mbazVKA=="/>
  <autoFilter ref="A1:H238"/>
  <mergeCells count="1">
    <mergeCell ref="G1:H1"/>
  </mergeCells>
  <pageMargins left="0.7" right="0.7" top="0.75" bottom="0.75" header="0.3" footer="0.3"/>
  <pageSetup orientation="portrait" paperSize="9"/>
</worksheet>
</file>

<file path=xl/worksheets/sheet17.xml><?xml version="1.0" encoding="utf-8"?>
<worksheet xmlns="http://schemas.openxmlformats.org/spreadsheetml/2006/main">
  <sheetPr codeName="Sheet10">
    <outlinePr summaryBelow="1" summaryRight="1"/>
    <pageSetUpPr/>
  </sheetPr>
  <dimension ref="A1:H1279"/>
  <sheetViews>
    <sheetView zoomScale="90" zoomScaleNormal="90" workbookViewId="0">
      <pane ySplit="2" topLeftCell="A293" activePane="bottomLeft" state="frozen"/>
      <selection activeCell="A1" sqref="A1"/>
      <selection pane="bottomLeft" activeCell="AD50" sqref="AD50"/>
    </sheetView>
  </sheetViews>
  <sheetFormatPr baseColWidth="8" defaultColWidth="8.375" defaultRowHeight="15.2"/>
  <cols>
    <col width="20" customWidth="1" style="672" min="1" max="1"/>
    <col width="8.375" customWidth="1" style="767" min="2" max="2"/>
    <col width="35.375" customWidth="1" style="182" min="3" max="3"/>
    <col width="16.375" customWidth="1" style="182" min="4" max="4"/>
    <col width="63.375" customWidth="1" style="182" min="5" max="5"/>
    <col width="8.375" customWidth="1" style="716" min="6" max="6"/>
    <col width="14" customWidth="1" style="716" min="7" max="7"/>
    <col width="16.375" customWidth="1" style="462" min="8" max="8"/>
    <col width="8.375" customWidth="1" style="716" min="9" max="16384"/>
  </cols>
  <sheetData>
    <row r="1" customFormat="1" s="760">
      <c r="A1" s="761" t="inlineStr">
        <is>
          <t>实收资本-集团外-公司</t>
        </is>
      </c>
      <c r="B1" s="762" t="n"/>
      <c r="C1" s="763" t="n"/>
      <c r="D1" s="178" t="n"/>
      <c r="E1" s="763" t="n"/>
      <c r="F1" s="760" t="n"/>
      <c r="G1" s="762" t="inlineStr">
        <is>
          <t>取值</t>
        </is>
      </c>
      <c r="H1" s="1183" t="n"/>
    </row>
    <row r="2" customFormat="1" s="760">
      <c r="A2" s="764" t="inlineStr">
        <is>
          <t>Entity</t>
        </is>
      </c>
      <c r="B2" s="765" t="inlineStr">
        <is>
          <t>行号</t>
        </is>
      </c>
      <c r="C2" s="766" t="inlineStr">
        <is>
          <t>实体名称</t>
        </is>
      </c>
      <c r="D2" s="766" t="inlineStr">
        <is>
          <t>出资方编码</t>
        </is>
      </c>
      <c r="E2" s="766" t="inlineStr">
        <is>
          <t>出资方</t>
        </is>
      </c>
      <c r="F2" s="760" t="n"/>
      <c r="G2" s="768" t="inlineStr">
        <is>
          <t>Entity</t>
        </is>
      </c>
      <c r="H2" s="672">
        <f>#REF!</f>
        <v/>
      </c>
    </row>
    <row r="3">
      <c r="A3" s="672" t="inlineStr">
        <is>
          <t>E100333</t>
        </is>
      </c>
      <c r="B3" s="767">
        <f>ROW()</f>
        <v/>
      </c>
      <c r="C3" s="182" t="inlineStr">
        <is>
          <t>安徽马钢智能立体停车设备有限公司</t>
        </is>
      </c>
      <c r="D3" s="182" t="inlineStr">
        <is>
          <t>ZI0290020003</t>
        </is>
      </c>
      <c r="E3" s="182" t="inlineStr">
        <is>
          <t>马钢集团投资有限公司</t>
        </is>
      </c>
      <c r="F3" s="716" t="n"/>
      <c r="G3" s="768" t="inlineStr">
        <is>
          <t>集团外公司-行号</t>
        </is>
      </c>
      <c r="H3" s="672">
        <f>VLOOKUP($H$2,A3:B233,2,FALSE)</f>
        <v/>
      </c>
    </row>
    <row r="4">
      <c r="A4" s="672" t="inlineStr">
        <is>
          <t>E101039</t>
        </is>
      </c>
      <c r="B4" s="767">
        <f>ROW()</f>
        <v/>
      </c>
      <c r="C4" s="182" t="inlineStr">
        <is>
          <t>巴塘县溪河水电开发有限责任公司</t>
        </is>
      </c>
      <c r="D4" s="182" t="inlineStr">
        <is>
          <t>ZI0290020004</t>
        </is>
      </c>
      <c r="E4" s="182" t="inlineStr">
        <is>
          <t>巴塘县国有资产管理委员会</t>
        </is>
      </c>
      <c r="F4" s="716" t="n"/>
      <c r="G4" s="768" t="inlineStr">
        <is>
          <t>集团外个人-行号</t>
        </is>
      </c>
      <c r="H4" s="672">
        <f>VLOOKUP($H$2,A234:B258,2,FALSE)</f>
        <v/>
      </c>
    </row>
    <row r="5">
      <c r="A5" s="672" t="inlineStr">
        <is>
          <t>E100709</t>
        </is>
      </c>
      <c r="B5" s="767">
        <f>ROW()</f>
        <v/>
      </c>
      <c r="C5" s="182" t="inlineStr">
        <is>
          <t>巴彦淖尔京能清洁能源电力有限公司</t>
        </is>
      </c>
      <c r="D5" s="182" t="inlineStr">
        <is>
          <t>ZI0290020005</t>
        </is>
      </c>
      <c r="E5" s="182" t="inlineStr">
        <is>
          <t>首欣建设集团有限公司</t>
        </is>
      </c>
      <c r="F5" s="716" t="n"/>
      <c r="G5" s="768" t="inlineStr">
        <is>
          <t>集团外其他-行号</t>
        </is>
      </c>
      <c r="H5" s="672">
        <f>VLOOKUP($H$2,A259:B271,2,FALSE)</f>
        <v/>
      </c>
    </row>
    <row r="6">
      <c r="A6" s="672" t="inlineStr">
        <is>
          <t>E100217</t>
        </is>
      </c>
      <c r="B6" s="767">
        <f>ROW()</f>
        <v/>
      </c>
      <c r="C6" s="182" t="inlineStr">
        <is>
          <t>包头市盛华煤炭销售有限公司</t>
        </is>
      </c>
      <c r="D6" s="182" t="inlineStr">
        <is>
          <t>ZI0290020006</t>
        </is>
      </c>
      <c r="E6" s="182" t="inlineStr">
        <is>
          <t>北京银行股份有限公司南京分行</t>
        </is>
      </c>
      <c r="F6" s="716" t="n"/>
      <c r="G6" s="768" t="inlineStr">
        <is>
          <t>集团内-行号</t>
        </is>
      </c>
      <c r="H6" s="672">
        <f>VLOOKUP($H$2,A273:B3033,2,FALSE)</f>
        <v/>
      </c>
    </row>
    <row r="7">
      <c r="A7" s="672" t="inlineStr">
        <is>
          <t>E100447</t>
        </is>
      </c>
      <c r="B7" s="767">
        <f>ROW()</f>
        <v/>
      </c>
      <c r="C7" s="182" t="inlineStr">
        <is>
          <t>保定市金泰宏孚房地产开发有限公司</t>
        </is>
      </c>
      <c r="D7" s="182" t="inlineStr">
        <is>
          <t>ZI0290020007</t>
        </is>
      </c>
      <c r="E7" s="182" t="inlineStr">
        <is>
          <t>保定市宏孚房地产开发有限责任公司</t>
        </is>
      </c>
      <c r="F7" s="716" t="n"/>
      <c r="G7" s="716" t="n"/>
      <c r="H7" s="462" t="n"/>
    </row>
    <row r="8">
      <c r="A8" s="672" t="inlineStr">
        <is>
          <t>E100447</t>
        </is>
      </c>
      <c r="B8" s="767">
        <f>ROW()</f>
        <v/>
      </c>
      <c r="C8" s="182" t="inlineStr">
        <is>
          <t>保定市金泰宏孚房地产开发有限公司</t>
        </is>
      </c>
      <c r="D8" s="182" t="inlineStr">
        <is>
          <t>ZI0290020008</t>
        </is>
      </c>
      <c r="E8" s="182" t="inlineStr">
        <is>
          <t>北京宏宝源投资有限公司</t>
        </is>
      </c>
      <c r="F8" s="716" t="n"/>
      <c r="G8" s="716" t="n"/>
      <c r="H8" s="462" t="n"/>
    </row>
    <row r="9">
      <c r="A9" s="672" t="inlineStr">
        <is>
          <t>E100274</t>
        </is>
      </c>
      <c r="B9" s="767">
        <f>ROW()</f>
        <v/>
      </c>
      <c r="C9" s="182" t="inlineStr">
        <is>
          <t>北京乘美乡居文化旅游发展有限公司</t>
        </is>
      </c>
      <c r="D9" s="182" t="inlineStr">
        <is>
          <t>ZI0290020009</t>
        </is>
      </c>
      <c r="E9" s="182" t="inlineStr">
        <is>
          <t>北京城建设计发展集团股份有限公司</t>
        </is>
      </c>
      <c r="F9" s="716" t="n"/>
      <c r="G9" s="716" t="n"/>
      <c r="H9" s="462" t="n"/>
    </row>
    <row r="10">
      <c r="A10" s="672" t="inlineStr">
        <is>
          <t>E100201</t>
        </is>
      </c>
      <c r="B10" s="767">
        <f>ROW()</f>
        <v/>
      </c>
      <c r="C10" s="182" t="inlineStr">
        <is>
          <t>北京昊华能源股份有限公司</t>
        </is>
      </c>
      <c r="D10" s="182" t="inlineStr">
        <is>
          <t>ZI0290020010</t>
        </is>
      </c>
      <c r="E10" s="182" t="inlineStr">
        <is>
          <t>中国中煤能源集团有限公司</t>
        </is>
      </c>
      <c r="F10" s="716" t="n"/>
      <c r="G10" s="716" t="n"/>
      <c r="H10" s="462" t="n"/>
    </row>
    <row r="11">
      <c r="A11" s="672" t="inlineStr">
        <is>
          <t>E100201</t>
        </is>
      </c>
      <c r="B11" s="767">
        <f>ROW()</f>
        <v/>
      </c>
      <c r="C11" s="182" t="inlineStr">
        <is>
          <t>北京昊华能源股份有限公司</t>
        </is>
      </c>
      <c r="D11" s="182" t="inlineStr">
        <is>
          <t>ZI0290020011</t>
        </is>
      </c>
      <c r="E11" s="182" t="inlineStr">
        <is>
          <t>中国银行股份有限公司-招商中证煤炭等权指数分级证券投资基金</t>
        </is>
      </c>
      <c r="F11" s="716" t="n"/>
      <c r="G11" s="716" t="n"/>
      <c r="H11" s="462" t="n"/>
    </row>
    <row r="12">
      <c r="A12" s="672" t="inlineStr">
        <is>
          <t>E100201</t>
        </is>
      </c>
      <c r="B12" s="767">
        <f>ROW()</f>
        <v/>
      </c>
      <c r="C12" s="182" t="inlineStr">
        <is>
          <t>北京昊华能源股份有限公司</t>
        </is>
      </c>
      <c r="D12" s="182" t="inlineStr">
        <is>
          <t>ZI0290020012</t>
        </is>
      </c>
      <c r="E12" s="182" t="inlineStr">
        <is>
          <t>中国工商银行股份有限公司-国泰中证煤炭交易型开放式指数证券投资基金</t>
        </is>
      </c>
      <c r="F12" s="716" t="n"/>
      <c r="G12" s="716" t="n"/>
      <c r="H12" s="462" t="n"/>
    </row>
    <row r="13">
      <c r="A13" s="672" t="inlineStr">
        <is>
          <t>E100201</t>
        </is>
      </c>
      <c r="B13" s="767">
        <f>ROW()</f>
        <v/>
      </c>
      <c r="C13" s="182" t="inlineStr">
        <is>
          <t>北京昊华能源股份有限公司</t>
        </is>
      </c>
      <c r="D13" s="182" t="inlineStr">
        <is>
          <t>ZI0290020013</t>
        </is>
      </c>
      <c r="E13" s="182" t="inlineStr">
        <is>
          <t>国泰君安证券股份有限公司-富国中证煤炭指数型证券投资基金</t>
        </is>
      </c>
      <c r="F13" s="716" t="n"/>
      <c r="G13" s="716" t="n"/>
      <c r="H13" s="462" t="n"/>
    </row>
    <row r="14">
      <c r="A14" s="672" t="inlineStr">
        <is>
          <t>E100201</t>
        </is>
      </c>
      <c r="B14" s="767">
        <f>ROW()</f>
        <v/>
      </c>
      <c r="C14" s="182" t="inlineStr">
        <is>
          <t>北京昊华能源股份有限公司</t>
        </is>
      </c>
      <c r="D14" s="182" t="inlineStr">
        <is>
          <t>ZI0290020014</t>
        </is>
      </c>
      <c r="E14" s="182" t="inlineStr">
        <is>
          <t>UBS AG</t>
        </is>
      </c>
      <c r="F14" s="716" t="n"/>
      <c r="G14" s="716" t="n"/>
      <c r="H14" s="462" t="n"/>
    </row>
    <row r="15">
      <c r="A15" s="672" t="inlineStr">
        <is>
          <t>E100201</t>
        </is>
      </c>
      <c r="B15" s="767">
        <f>ROW()</f>
        <v/>
      </c>
      <c r="C15" s="182" t="inlineStr">
        <is>
          <t>北京昊华能源股份有限公司</t>
        </is>
      </c>
      <c r="D15" s="182" t="inlineStr">
        <is>
          <t>ZI0290020015</t>
        </is>
      </c>
      <c r="E15" s="182" t="inlineStr">
        <is>
          <t>中国建设银行股份有限公司-中银证券价值精选灵活配置混合型证券投资基金</t>
        </is>
      </c>
      <c r="F15" s="716" t="n"/>
      <c r="G15" s="716" t="n"/>
      <c r="H15" s="462" t="n"/>
    </row>
    <row r="16">
      <c r="A16" s="672" t="inlineStr">
        <is>
          <t>E100201G</t>
        </is>
      </c>
      <c r="B16" s="767">
        <f>ROW()</f>
        <v/>
      </c>
      <c r="C16" s="182" t="inlineStr">
        <is>
          <t>北京昊华能源股份有限公司（合并）</t>
        </is>
      </c>
      <c r="D16" s="182" t="inlineStr">
        <is>
          <t>ZI0290020010</t>
        </is>
      </c>
      <c r="E16" s="182" t="inlineStr">
        <is>
          <t>中国中煤能源集团有限公司</t>
        </is>
      </c>
      <c r="F16" s="716" t="n"/>
      <c r="G16" s="716" t="n"/>
      <c r="H16" s="462" t="n"/>
    </row>
    <row r="17">
      <c r="A17" s="672" t="inlineStr">
        <is>
          <t>E100201G</t>
        </is>
      </c>
      <c r="B17" s="767">
        <f>ROW()</f>
        <v/>
      </c>
      <c r="C17" s="182" t="inlineStr">
        <is>
          <t>北京昊华能源股份有限公司（合并）</t>
        </is>
      </c>
      <c r="D17" s="182" t="inlineStr">
        <is>
          <t>ZI0290020011</t>
        </is>
      </c>
      <c r="E17" s="182" t="inlineStr">
        <is>
          <t>中国银行股份有限公司-招商中证煤炭等权指数分级证券投资基金</t>
        </is>
      </c>
      <c r="F17" s="716" t="n"/>
      <c r="G17" s="716" t="n"/>
      <c r="H17" s="462" t="n"/>
    </row>
    <row r="18">
      <c r="A18" s="672" t="inlineStr">
        <is>
          <t>E100201G</t>
        </is>
      </c>
      <c r="B18" s="767">
        <f>ROW()</f>
        <v/>
      </c>
      <c r="C18" s="182" t="inlineStr">
        <is>
          <t>北京昊华能源股份有限公司（合并）</t>
        </is>
      </c>
      <c r="D18" s="182" t="inlineStr">
        <is>
          <t>ZI0290020012</t>
        </is>
      </c>
      <c r="E18" s="182" t="inlineStr">
        <is>
          <t>中国工商银行股份有限公司-国泰中证煤炭交易型开放式指数证券投资基金</t>
        </is>
      </c>
      <c r="F18" s="716" t="n"/>
      <c r="G18" s="716" t="n"/>
      <c r="H18" s="462" t="n"/>
    </row>
    <row r="19">
      <c r="A19" s="672" t="inlineStr">
        <is>
          <t>E100201G</t>
        </is>
      </c>
      <c r="B19" s="767">
        <f>ROW()</f>
        <v/>
      </c>
      <c r="C19" s="182" t="inlineStr">
        <is>
          <t>北京昊华能源股份有限公司（合并）</t>
        </is>
      </c>
      <c r="D19" s="182" t="inlineStr">
        <is>
          <t>ZI0290020013</t>
        </is>
      </c>
      <c r="E19" s="182" t="inlineStr">
        <is>
          <t>国泰君安证券股份有限公司-富国中证煤炭指数型证券投资基金</t>
        </is>
      </c>
      <c r="F19" s="716" t="n"/>
      <c r="G19" s="716" t="n"/>
      <c r="H19" s="462" t="n"/>
    </row>
    <row r="20">
      <c r="A20" s="672" t="inlineStr">
        <is>
          <t>E100201G</t>
        </is>
      </c>
      <c r="B20" s="767">
        <f>ROW()</f>
        <v/>
      </c>
      <c r="C20" s="182" t="inlineStr">
        <is>
          <t>北京昊华能源股份有限公司（合并）</t>
        </is>
      </c>
      <c r="D20" s="182" t="inlineStr">
        <is>
          <t>ZI0290020014</t>
        </is>
      </c>
      <c r="E20" s="182" t="inlineStr">
        <is>
          <t>UBS AG</t>
        </is>
      </c>
      <c r="F20" s="716" t="n"/>
      <c r="G20" s="716" t="n"/>
      <c r="H20" s="462" t="n"/>
    </row>
    <row r="21">
      <c r="A21" s="672" t="inlineStr">
        <is>
          <t>E100201G</t>
        </is>
      </c>
      <c r="B21" s="767">
        <f>ROW()</f>
        <v/>
      </c>
      <c r="C21" s="182" t="inlineStr">
        <is>
          <t>北京昊华能源股份有限公司（合并）</t>
        </is>
      </c>
      <c r="D21" s="182" t="inlineStr">
        <is>
          <t>ZI0290020015</t>
        </is>
      </c>
      <c r="E21" s="182" t="inlineStr">
        <is>
          <t>中国建设银行股份有限公司-中银证券价值精选灵活配置混合型证券投资基金</t>
        </is>
      </c>
      <c r="F21" s="716" t="n"/>
      <c r="G21" s="716" t="n"/>
      <c r="H21" s="462" t="n"/>
    </row>
    <row r="22">
      <c r="A22" s="672" t="inlineStr">
        <is>
          <t>E100201H</t>
        </is>
      </c>
      <c r="B22" s="767">
        <f>ROW()</f>
        <v/>
      </c>
      <c r="C22" s="182" t="inlineStr">
        <is>
          <t>北京昊华能源股份有限公司（母公司）</t>
        </is>
      </c>
      <c r="D22" s="182" t="inlineStr">
        <is>
          <t>ZI0290020010</t>
        </is>
      </c>
      <c r="E22" s="182" t="inlineStr">
        <is>
          <t>中国中煤能源集团有限公司</t>
        </is>
      </c>
      <c r="F22" s="716" t="n"/>
      <c r="G22" s="716" t="n"/>
      <c r="H22" s="462" t="n"/>
    </row>
    <row r="23">
      <c r="A23" s="672" t="inlineStr">
        <is>
          <t>E100201H</t>
        </is>
      </c>
      <c r="B23" s="767">
        <f>ROW()</f>
        <v/>
      </c>
      <c r="C23" s="182" t="inlineStr">
        <is>
          <t>北京昊华能源股份有限公司（母公司）</t>
        </is>
      </c>
      <c r="D23" s="182" t="inlineStr">
        <is>
          <t>ZI0290020011</t>
        </is>
      </c>
      <c r="E23" s="182" t="inlineStr">
        <is>
          <t>中国银行股份有限公司-招商中证煤炭等权指数分级证券投资基金</t>
        </is>
      </c>
      <c r="F23" s="716" t="n"/>
      <c r="G23" s="716" t="n"/>
      <c r="H23" s="462" t="n"/>
    </row>
    <row r="24">
      <c r="A24" s="672" t="inlineStr">
        <is>
          <t>E100201H</t>
        </is>
      </c>
      <c r="B24" s="767">
        <f>ROW()</f>
        <v/>
      </c>
      <c r="C24" s="182" t="inlineStr">
        <is>
          <t>北京昊华能源股份有限公司（母公司）</t>
        </is>
      </c>
      <c r="D24" s="182" t="inlineStr">
        <is>
          <t>ZI0290020012</t>
        </is>
      </c>
      <c r="E24" s="182" t="inlineStr">
        <is>
          <t>中国工商银行股份有限公司-国泰中证煤炭交易型开放式指数证券投资基金</t>
        </is>
      </c>
      <c r="F24" s="716" t="n"/>
      <c r="G24" s="716" t="n"/>
      <c r="H24" s="462" t="n"/>
    </row>
    <row r="25">
      <c r="A25" s="672" t="inlineStr">
        <is>
          <t>E100201H</t>
        </is>
      </c>
      <c r="B25" s="767">
        <f>ROW()</f>
        <v/>
      </c>
      <c r="C25" s="182" t="inlineStr">
        <is>
          <t>北京昊华能源股份有限公司（母公司）</t>
        </is>
      </c>
      <c r="D25" s="182" t="inlineStr">
        <is>
          <t>ZI0290020013</t>
        </is>
      </c>
      <c r="E25" s="182" t="inlineStr">
        <is>
          <t>国泰君安证券股份有限公司-富国中证煤炭指数型证券投资基金</t>
        </is>
      </c>
      <c r="F25" s="716" t="n"/>
      <c r="G25" s="716" t="n"/>
      <c r="H25" s="462" t="n"/>
    </row>
    <row r="26">
      <c r="A26" s="672" t="inlineStr">
        <is>
          <t>E100201H</t>
        </is>
      </c>
      <c r="B26" s="767">
        <f>ROW()</f>
        <v/>
      </c>
      <c r="C26" s="182" t="inlineStr">
        <is>
          <t>北京昊华能源股份有限公司（母公司）</t>
        </is>
      </c>
      <c r="D26" s="182" t="inlineStr">
        <is>
          <t>ZI0290020014</t>
        </is>
      </c>
      <c r="E26" s="182" t="inlineStr">
        <is>
          <t>UBS AG</t>
        </is>
      </c>
      <c r="F26" s="716" t="n"/>
      <c r="G26" s="716" t="n"/>
      <c r="H26" s="462" t="n"/>
    </row>
    <row r="27">
      <c r="A27" s="672" t="inlineStr">
        <is>
          <t>E100201H</t>
        </is>
      </c>
      <c r="B27" s="767">
        <f>ROW()</f>
        <v/>
      </c>
      <c r="C27" s="182" t="inlineStr">
        <is>
          <t>北京昊华能源股份有限公司（母公司）</t>
        </is>
      </c>
      <c r="D27" s="182" t="inlineStr">
        <is>
          <t>ZI0290020015</t>
        </is>
      </c>
      <c r="E27" s="182" t="inlineStr">
        <is>
          <t>中国建设银行股份有限公司-中银证券价值精选灵活配置混合型证券投资基金</t>
        </is>
      </c>
      <c r="F27" s="716" t="n"/>
      <c r="G27" s="716" t="n"/>
      <c r="H27" s="462" t="n"/>
    </row>
    <row r="28">
      <c r="A28" s="672" t="inlineStr">
        <is>
          <t>E100255</t>
        </is>
      </c>
      <c r="B28" s="767">
        <f>ROW()</f>
        <v/>
      </c>
      <c r="C28" s="182" t="inlineStr">
        <is>
          <t>北京华热科技发展有限公司</t>
        </is>
      </c>
      <c r="D28" s="182" t="inlineStr">
        <is>
          <t>ZI0290020016</t>
        </is>
      </c>
      <c r="E28" s="182" t="inlineStr">
        <is>
          <t>北京华大智宝电子系统有限公司</t>
        </is>
      </c>
      <c r="F28" s="716" t="n"/>
      <c r="G28" s="716" t="n"/>
      <c r="H28" s="462" t="n"/>
    </row>
    <row r="29">
      <c r="A29" s="672" t="inlineStr">
        <is>
          <t>E100255</t>
        </is>
      </c>
      <c r="B29" s="767">
        <f>ROW()</f>
        <v/>
      </c>
      <c r="C29" s="182" t="inlineStr">
        <is>
          <t>北京华热科技发展有限公司</t>
        </is>
      </c>
      <c r="D29" s="182" t="inlineStr">
        <is>
          <t>ZI0290020017</t>
        </is>
      </c>
      <c r="E29" s="182" t="inlineStr">
        <is>
          <t>北京白云联盟科技中心（有限合伙）</t>
        </is>
      </c>
      <c r="F29" s="716" t="n"/>
      <c r="G29" s="716" t="n"/>
      <c r="H29" s="462" t="n"/>
    </row>
    <row r="30">
      <c r="A30" s="672" t="inlineStr">
        <is>
          <t>E100446</t>
        </is>
      </c>
      <c r="B30" s="767">
        <f>ROW()</f>
        <v/>
      </c>
      <c r="C30" s="182" t="inlineStr">
        <is>
          <t>北京金泰（辽宁）房地产开发有限责任公司</t>
        </is>
      </c>
      <c r="D30" s="182" t="inlineStr">
        <is>
          <t>ZI0290020018</t>
        </is>
      </c>
      <c r="E30" s="182" t="inlineStr">
        <is>
          <t>北京盛金投资有限公司</t>
        </is>
      </c>
      <c r="F30" s="716" t="n"/>
      <c r="G30" s="716" t="n"/>
      <c r="H30" s="462" t="n"/>
    </row>
    <row r="31">
      <c r="A31" s="672" t="inlineStr">
        <is>
          <t>E100366</t>
        </is>
      </c>
      <c r="B31" s="767">
        <f>ROW()</f>
        <v/>
      </c>
      <c r="C31" s="182" t="inlineStr">
        <is>
          <t>北京金泰新钢联科贸有限公司</t>
        </is>
      </c>
      <c r="D31" s="182" t="inlineStr">
        <is>
          <t>ZI0290020019</t>
        </is>
      </c>
      <c r="E31" s="182" t="inlineStr">
        <is>
          <t>北京首钢新钢联科贸有限公司</t>
        </is>
      </c>
      <c r="F31" s="716" t="n"/>
      <c r="G31" s="716" t="n"/>
      <c r="H31" s="462" t="n"/>
    </row>
    <row r="32">
      <c r="A32" s="672" t="inlineStr">
        <is>
          <t>E100450</t>
        </is>
      </c>
      <c r="B32" s="767">
        <f>ROW()</f>
        <v/>
      </c>
      <c r="C32" s="182" t="inlineStr">
        <is>
          <t>北京金泰中阳房地产开发有限公司</t>
        </is>
      </c>
      <c r="D32" s="182" t="inlineStr">
        <is>
          <t>ZI0290020020</t>
        </is>
      </c>
      <c r="E32" s="182" t="inlineStr">
        <is>
          <t>北京中阳奥华国际房地产有限公司</t>
        </is>
      </c>
      <c r="F32" s="716" t="n"/>
      <c r="G32" s="716" t="n"/>
      <c r="H32" s="462" t="n"/>
    </row>
    <row r="33">
      <c r="A33" s="672" t="inlineStr">
        <is>
          <t>E100258</t>
        </is>
      </c>
      <c r="B33" s="767">
        <f>ROW()</f>
        <v/>
      </c>
      <c r="C33" s="182" t="inlineStr">
        <is>
          <t>北京京诚供热有限责任公司</t>
        </is>
      </c>
      <c r="D33" s="182" t="inlineStr">
        <is>
          <t>ZI0290020021</t>
        </is>
      </c>
      <c r="E33" s="182" t="inlineStr">
        <is>
          <t>北京京通恒欣科技发展有限公司</t>
        </is>
      </c>
      <c r="F33" s="716" t="n"/>
      <c r="G33" s="716" t="n"/>
      <c r="H33" s="462" t="n"/>
    </row>
    <row r="34">
      <c r="A34" s="672" t="inlineStr">
        <is>
          <t>E100806</t>
        </is>
      </c>
      <c r="B34" s="767">
        <f>ROW()</f>
        <v/>
      </c>
      <c r="C34" s="182" t="inlineStr">
        <is>
          <t>北京京珑置业有限公司</t>
        </is>
      </c>
      <c r="D34" s="182" t="inlineStr">
        <is>
          <t>ZI0290020022</t>
        </is>
      </c>
      <c r="E34" s="182" t="inlineStr">
        <is>
          <t>北京龙湖中佰置业有限公司</t>
        </is>
      </c>
      <c r="F34" s="716" t="n"/>
      <c r="G34" s="716" t="n"/>
      <c r="H34" s="462" t="n"/>
    </row>
    <row r="35">
      <c r="A35" s="672" t="inlineStr">
        <is>
          <t>E100538</t>
        </is>
      </c>
      <c r="B35" s="767">
        <f>ROW()</f>
        <v/>
      </c>
      <c r="C35" s="182" t="inlineStr">
        <is>
          <t>北京京煤集团地质勘探队</t>
        </is>
      </c>
      <c r="D35" s="182" t="inlineStr">
        <is>
          <t>ZI0290020002</t>
        </is>
      </c>
      <c r="E35" s="182" t="inlineStr">
        <is>
          <t>北京市财政局</t>
        </is>
      </c>
      <c r="F35" s="716" t="n"/>
      <c r="G35" s="716" t="n"/>
      <c r="H35" s="462" t="n"/>
    </row>
    <row r="36">
      <c r="A36" s="672" t="inlineStr">
        <is>
          <t>E100268G</t>
        </is>
      </c>
      <c r="B36" s="767">
        <f>ROW()</f>
        <v/>
      </c>
      <c r="C36" s="182" t="inlineStr">
        <is>
          <t>北京京煤集团有限责任公司（合并）</t>
        </is>
      </c>
      <c r="D36" s="182" t="inlineStr">
        <is>
          <t>ZI0290020002</t>
        </is>
      </c>
      <c r="E36" s="182" t="inlineStr">
        <is>
          <t>北京市财政局</t>
        </is>
      </c>
      <c r="F36" s="716" t="n"/>
      <c r="G36" s="716" t="n"/>
      <c r="H36" s="462" t="n"/>
    </row>
    <row r="37">
      <c r="A37" s="672" t="inlineStr">
        <is>
          <t>E100199</t>
        </is>
      </c>
      <c r="B37" s="767">
        <f>ROW()</f>
        <v/>
      </c>
      <c r="C37" s="182" t="inlineStr">
        <is>
          <t>北京京能国际能源技术有限公司</t>
        </is>
      </c>
      <c r="D37" s="182" t="inlineStr">
        <is>
          <t>ZI0290020024</t>
        </is>
      </c>
      <c r="E37" s="182" t="inlineStr">
        <is>
          <t>西门子（中国）有限公司</t>
        </is>
      </c>
      <c r="F37" s="716" t="n"/>
      <c r="G37" s="716" t="n"/>
      <c r="H37" s="462" t="n"/>
    </row>
    <row r="38">
      <c r="A38" s="672" t="inlineStr">
        <is>
          <t>E100199</t>
        </is>
      </c>
      <c r="B38" s="767">
        <f>ROW()</f>
        <v/>
      </c>
      <c r="C38" s="182" t="inlineStr">
        <is>
          <t>北京京能国际能源技术有限公司</t>
        </is>
      </c>
      <c r="D38" s="182" t="inlineStr">
        <is>
          <t>ZI0290020025</t>
        </is>
      </c>
      <c r="E38" s="182" t="inlineStr">
        <is>
          <t>西门子能源有限公司</t>
        </is>
      </c>
      <c r="F38" s="716" t="n"/>
      <c r="G38" s="716" t="n"/>
      <c r="H38" s="462" t="n"/>
    </row>
    <row r="39">
      <c r="A39" s="672" t="inlineStr">
        <is>
          <t>E100427</t>
        </is>
      </c>
      <c r="B39" s="767">
        <f>ROW()</f>
        <v/>
      </c>
      <c r="C39" s="182" t="inlineStr">
        <is>
          <t>北京京能海赋置业有限公司</t>
        </is>
      </c>
      <c r="D39" s="182" t="inlineStr">
        <is>
          <t>ZI0290020026</t>
        </is>
      </c>
      <c r="E39" s="182" t="inlineStr">
        <is>
          <t>中国电建地产集团有限公司</t>
        </is>
      </c>
      <c r="F39" s="716" t="n"/>
      <c r="G39" s="716" t="n"/>
      <c r="H39" s="462" t="n"/>
    </row>
    <row r="40">
      <c r="A40" s="672" t="inlineStr">
        <is>
          <t>E100261</t>
        </is>
      </c>
      <c r="B40" s="767">
        <f>ROW()</f>
        <v/>
      </c>
      <c r="C40" s="182" t="inlineStr">
        <is>
          <t>北京京能恒星能源科技有限公司</t>
        </is>
      </c>
      <c r="D40" s="182" t="inlineStr">
        <is>
          <t>ZI0290020027</t>
        </is>
      </c>
      <c r="E40" s="182" t="inlineStr">
        <is>
          <t>恒星能源亚洲投资有限公司</t>
        </is>
      </c>
      <c r="F40" s="716" t="n"/>
      <c r="G40" s="716" t="n"/>
      <c r="H40" s="462" t="n"/>
    </row>
    <row r="41">
      <c r="A41" s="672" t="inlineStr">
        <is>
          <t>E100545</t>
        </is>
      </c>
      <c r="B41" s="767">
        <f>ROW()</f>
        <v/>
      </c>
      <c r="C41" s="182" t="inlineStr">
        <is>
          <t>北京京能京通新能源有限公司</t>
        </is>
      </c>
      <c r="D41" s="182" t="inlineStr">
        <is>
          <t>ZI0290020028</t>
        </is>
      </c>
      <c r="E41" s="182" t="inlineStr">
        <is>
          <t>北京中恺能源发展有限公司</t>
        </is>
      </c>
      <c r="F41" s="716" t="n"/>
      <c r="G41" s="716" t="n"/>
      <c r="H41" s="462" t="n"/>
    </row>
    <row r="42">
      <c r="A42" s="672" t="inlineStr">
        <is>
          <t>E100200</t>
        </is>
      </c>
      <c r="B42" s="767">
        <f>ROW()</f>
        <v/>
      </c>
      <c r="C42" s="182" t="inlineStr">
        <is>
          <t>北京京能能源技术研究有限责任公司</t>
        </is>
      </c>
      <c r="D42" s="182" t="inlineStr">
        <is>
          <t>ZI0290020029</t>
        </is>
      </c>
      <c r="E42" s="182" t="inlineStr">
        <is>
          <t>首航高科能源技术股份有限公司</t>
        </is>
      </c>
      <c r="F42" s="716" t="n"/>
      <c r="G42" s="716" t="n"/>
      <c r="H42" s="462" t="n"/>
    </row>
    <row r="43">
      <c r="A43" s="672" t="inlineStr">
        <is>
          <t>E100200G</t>
        </is>
      </c>
      <c r="B43" s="767">
        <f>ROW()</f>
        <v/>
      </c>
      <c r="C43" s="182" t="inlineStr">
        <is>
          <t>北京京能能源技术研究有限责任公司（合并）</t>
        </is>
      </c>
      <c r="D43" s="182" t="inlineStr">
        <is>
          <t>ZI0290020029</t>
        </is>
      </c>
      <c r="E43" s="182" t="inlineStr">
        <is>
          <t>首航高科能源技术股份有限公司</t>
        </is>
      </c>
      <c r="F43" s="716" t="n"/>
      <c r="G43" s="716" t="n"/>
      <c r="H43" s="462" t="n"/>
    </row>
    <row r="44">
      <c r="A44" s="672" t="inlineStr">
        <is>
          <t>E100858</t>
        </is>
      </c>
      <c r="B44" s="767">
        <f>ROW()</f>
        <v/>
      </c>
      <c r="C44" s="182" t="inlineStr">
        <is>
          <t>北京京能能源科技并购投资基金（有限合伙）</t>
        </is>
      </c>
      <c r="D44" s="182" t="inlineStr">
        <is>
          <t>ZI0290020030</t>
        </is>
      </c>
      <c r="E44" s="182" t="inlineStr">
        <is>
          <t>孚能科技产业投资（北京）有限责任公司</t>
        </is>
      </c>
      <c r="F44" s="716" t="n"/>
      <c r="G44" s="716" t="n"/>
      <c r="H44" s="462" t="n"/>
    </row>
    <row r="45">
      <c r="A45" s="672" t="inlineStr">
        <is>
          <t>E100858</t>
        </is>
      </c>
      <c r="B45" s="767">
        <f>ROW()</f>
        <v/>
      </c>
      <c r="C45" s="182" t="inlineStr">
        <is>
          <t>北京京能能源科技并购投资基金（有限合伙）</t>
        </is>
      </c>
      <c r="D45" s="182" t="inlineStr">
        <is>
          <t>ZI0290020031</t>
        </is>
      </c>
      <c r="E45" s="182" t="inlineStr">
        <is>
          <t>首正泽富创新投资（北京）有限公司</t>
        </is>
      </c>
      <c r="F45" s="716" t="n"/>
      <c r="G45" s="716" t="n"/>
      <c r="H45" s="462" t="n"/>
    </row>
    <row r="46">
      <c r="A46" s="672" t="inlineStr">
        <is>
          <t>E100858</t>
        </is>
      </c>
      <c r="B46" s="767">
        <f>ROW()</f>
        <v/>
      </c>
      <c r="C46" s="182" t="inlineStr">
        <is>
          <t>北京京能能源科技并购投资基金（有限合伙）</t>
        </is>
      </c>
      <c r="D46" s="182" t="inlineStr">
        <is>
          <t>ZI0290020032</t>
        </is>
      </c>
      <c r="E46" s="182" t="inlineStr">
        <is>
          <t>深圳市雄韬电源科技股份有限公司</t>
        </is>
      </c>
      <c r="F46" s="716" t="n"/>
      <c r="G46" s="716" t="n"/>
      <c r="H46" s="462" t="n"/>
    </row>
    <row r="47">
      <c r="A47" s="672" t="inlineStr">
        <is>
          <t>E100725</t>
        </is>
      </c>
      <c r="B47" s="767">
        <f>ROW()</f>
        <v/>
      </c>
      <c r="C47" s="182" t="inlineStr">
        <is>
          <t>北京京能氢源科技有限公司</t>
        </is>
      </c>
      <c r="D47" s="182" t="inlineStr">
        <is>
          <t>ZI0290020033</t>
        </is>
      </c>
      <c r="E47" s="182" t="inlineStr">
        <is>
          <t>山西美锦能源股份有限公司</t>
        </is>
      </c>
      <c r="F47" s="716" t="n"/>
      <c r="G47" s="716" t="n"/>
      <c r="H47" s="462" t="n"/>
    </row>
    <row r="48">
      <c r="A48" s="672" t="inlineStr">
        <is>
          <t>E100001</t>
        </is>
      </c>
      <c r="B48" s="767">
        <f>ROW()</f>
        <v/>
      </c>
      <c r="C48" s="182" t="inlineStr">
        <is>
          <t>北京京能清洁能源电力股份有限公司</t>
        </is>
      </c>
      <c r="D48" s="182" t="inlineStr">
        <is>
          <t>ZI0290020001</t>
        </is>
      </c>
      <c r="E48" s="182" t="inlineStr">
        <is>
          <t>北京国有资本运营管理有限公司</t>
        </is>
      </c>
      <c r="F48" s="716" t="n"/>
      <c r="G48" s="716" t="n"/>
      <c r="H48" s="462" t="n"/>
    </row>
    <row r="49">
      <c r="A49" s="672" t="inlineStr">
        <is>
          <t>E100001G</t>
        </is>
      </c>
      <c r="B49" s="767">
        <f>ROW()</f>
        <v/>
      </c>
      <c r="C49" s="182" t="inlineStr">
        <is>
          <t>北京京能清洁能源电力股份有限公司（合并）</t>
        </is>
      </c>
      <c r="D49" s="182" t="inlineStr">
        <is>
          <t>ZI0290020001</t>
        </is>
      </c>
      <c r="E49" s="182" t="inlineStr">
        <is>
          <t>北京国有资本运营管理有限公司</t>
        </is>
      </c>
      <c r="F49" s="716" t="n"/>
      <c r="G49" s="716" t="n"/>
      <c r="H49" s="462" t="n"/>
    </row>
    <row r="50">
      <c r="A50" s="672" t="inlineStr">
        <is>
          <t>E100001H</t>
        </is>
      </c>
      <c r="B50" s="767">
        <f>ROW()</f>
        <v/>
      </c>
      <c r="C50" s="182" t="inlineStr">
        <is>
          <t>北京京能清洁能源电力股份有限公司（合并）本部</t>
        </is>
      </c>
      <c r="D50" s="182" t="inlineStr">
        <is>
          <t>ZI0290020001</t>
        </is>
      </c>
      <c r="E50" s="182" t="inlineStr">
        <is>
          <t>北京国有资本运营管理有限公司</t>
        </is>
      </c>
      <c r="F50" s="716" t="n"/>
      <c r="G50" s="716" t="n"/>
      <c r="H50" s="462" t="n"/>
    </row>
    <row r="51">
      <c r="A51" s="672" t="inlineStr">
        <is>
          <t>E100375</t>
        </is>
      </c>
      <c r="B51" s="767">
        <f>ROW()</f>
        <v/>
      </c>
      <c r="C51" s="182" t="inlineStr">
        <is>
          <t>北京京能碳资产管理有限公司</t>
        </is>
      </c>
      <c r="D51" s="182" t="inlineStr">
        <is>
          <t>ZI0290020034</t>
        </is>
      </c>
      <c r="E51" s="182" t="inlineStr">
        <is>
          <t>中竞同创能源环境科技集团股份有限公司</t>
        </is>
      </c>
      <c r="F51" s="716" t="n"/>
      <c r="G51" s="716" t="n"/>
      <c r="H51" s="462" t="n"/>
    </row>
    <row r="52">
      <c r="A52" s="672" t="inlineStr">
        <is>
          <t>E100704</t>
        </is>
      </c>
      <c r="B52" s="767">
        <f>ROW()</f>
        <v/>
      </c>
      <c r="C52" s="182" t="inlineStr">
        <is>
          <t>北京京润仁康控股有限公司</t>
        </is>
      </c>
      <c r="D52" s="182" t="inlineStr">
        <is>
          <t>ZI0290020035</t>
        </is>
      </c>
      <c r="E52" s="182" t="inlineStr">
        <is>
          <t>华润医院控股有限公司</t>
        </is>
      </c>
      <c r="F52" s="716" t="n"/>
      <c r="G52" s="716" t="n"/>
      <c r="H52" s="462" t="n"/>
    </row>
    <row r="53">
      <c r="A53" s="672" t="inlineStr">
        <is>
          <t>E100704G</t>
        </is>
      </c>
      <c r="B53" s="767">
        <f>ROW()</f>
        <v/>
      </c>
      <c r="C53" s="182" t="inlineStr">
        <is>
          <t>北京京润仁康控股有限公司（合并）</t>
        </is>
      </c>
      <c r="D53" s="182" t="inlineStr">
        <is>
          <t>ZI0290020035</t>
        </is>
      </c>
      <c r="E53" s="182" t="inlineStr">
        <is>
          <t>华润医院控股有限公司</t>
        </is>
      </c>
      <c r="F53" s="716" t="n"/>
      <c r="G53" s="716" t="n"/>
      <c r="H53" s="462" t="n"/>
    </row>
    <row r="54">
      <c r="A54" s="672" t="inlineStr">
        <is>
          <t>E100705</t>
        </is>
      </c>
      <c r="B54" s="767">
        <f>ROW()</f>
        <v/>
      </c>
      <c r="C54" s="182" t="inlineStr">
        <is>
          <t>北京京润仁康医院管理有限公司</t>
        </is>
      </c>
      <c r="D54" s="182" t="inlineStr">
        <is>
          <t>ZI0290020035</t>
        </is>
      </c>
      <c r="E54" s="182" t="inlineStr">
        <is>
          <t>华润医院控股有限公司</t>
        </is>
      </c>
      <c r="F54" s="716" t="n"/>
      <c r="G54" s="716" t="n"/>
      <c r="H54" s="462" t="n"/>
    </row>
    <row r="55">
      <c r="A55" s="672" t="inlineStr">
        <is>
          <t>E100428</t>
        </is>
      </c>
      <c r="B55" s="767">
        <f>ROW()</f>
        <v/>
      </c>
      <c r="C55" s="182" t="inlineStr">
        <is>
          <t>北京京石融宁房地产开发有限公司</t>
        </is>
      </c>
      <c r="D55" s="182" t="inlineStr">
        <is>
          <t>ZI0290020036</t>
        </is>
      </c>
      <c r="E55" s="182" t="inlineStr">
        <is>
          <t>金融街融辰（北京）置业有限公司</t>
        </is>
      </c>
      <c r="F55" s="716" t="n"/>
      <c r="G55" s="716" t="n"/>
      <c r="H55" s="462" t="n"/>
    </row>
    <row r="56">
      <c r="A56" s="672" t="inlineStr">
        <is>
          <t>E100728</t>
        </is>
      </c>
      <c r="B56" s="767">
        <f>ROW()</f>
        <v/>
      </c>
      <c r="C56" s="182" t="inlineStr">
        <is>
          <t>北京京西生态文旅投资有限公司</t>
        </is>
      </c>
      <c r="D56" s="182" t="inlineStr">
        <is>
          <t>ZI0290020009</t>
        </is>
      </c>
      <c r="E56" s="182" t="inlineStr">
        <is>
          <t>北京城建设计发展集团股份有限公司</t>
        </is>
      </c>
      <c r="F56" s="716" t="n"/>
      <c r="G56" s="716" t="n"/>
      <c r="H56" s="462" t="n"/>
    </row>
    <row r="57">
      <c r="A57" s="672" t="inlineStr">
        <is>
          <t>E100728</t>
        </is>
      </c>
      <c r="B57" s="767">
        <f>ROW()</f>
        <v/>
      </c>
      <c r="C57" s="182" t="inlineStr">
        <is>
          <t>北京京西生态文旅投资有限公司</t>
        </is>
      </c>
      <c r="D57" s="182" t="inlineStr">
        <is>
          <t>ZI0290020037</t>
        </is>
      </c>
      <c r="E57" s="182" t="inlineStr">
        <is>
          <t>北京金隅集团股份有限公司</t>
        </is>
      </c>
      <c r="F57" s="716" t="n"/>
      <c r="G57" s="716" t="n"/>
      <c r="H57" s="462" t="n"/>
    </row>
    <row r="58">
      <c r="A58" s="672" t="inlineStr">
        <is>
          <t>E100728</t>
        </is>
      </c>
      <c r="B58" s="767">
        <f>ROW()</f>
        <v/>
      </c>
      <c r="C58" s="182" t="inlineStr">
        <is>
          <t>北京京西生态文旅投资有限公司</t>
        </is>
      </c>
      <c r="D58" s="182" t="inlineStr">
        <is>
          <t>ZI0290020038</t>
        </is>
      </c>
      <c r="E58" s="182" t="inlineStr">
        <is>
          <t>永定河流域投资有限公司</t>
        </is>
      </c>
      <c r="F58" s="716" t="n"/>
      <c r="G58" s="716" t="n"/>
      <c r="H58" s="462" t="n"/>
    </row>
    <row r="59">
      <c r="A59" s="672" t="inlineStr">
        <is>
          <t>E100728</t>
        </is>
      </c>
      <c r="B59" s="767">
        <f>ROW()</f>
        <v/>
      </c>
      <c r="C59" s="182" t="inlineStr">
        <is>
          <t>北京京西生态文旅投资有限公司</t>
        </is>
      </c>
      <c r="D59" s="182" t="inlineStr">
        <is>
          <t>ZI0290020039</t>
        </is>
      </c>
      <c r="E59" s="182" t="inlineStr">
        <is>
          <t>北京首都旅游集团有限责任公司</t>
        </is>
      </c>
      <c r="F59" s="716" t="n"/>
      <c r="G59" s="716" t="n"/>
      <c r="H59" s="462" t="n"/>
    </row>
    <row r="60">
      <c r="A60" s="672" t="inlineStr">
        <is>
          <t>E100728</t>
        </is>
      </c>
      <c r="B60" s="767">
        <f>ROW()</f>
        <v/>
      </c>
      <c r="C60" s="182" t="inlineStr">
        <is>
          <t>北京京西生态文旅投资有限公司</t>
        </is>
      </c>
      <c r="D60" s="182" t="inlineStr">
        <is>
          <t>ZI0290020040</t>
        </is>
      </c>
      <c r="E60" s="182" t="inlineStr">
        <is>
          <t>北京京西山水文化旅游投资控股有限公司</t>
        </is>
      </c>
      <c r="F60" s="716" t="n"/>
      <c r="G60" s="716" t="n"/>
      <c r="H60" s="462" t="n"/>
    </row>
    <row r="61">
      <c r="A61" s="672" t="inlineStr">
        <is>
          <t>E100830</t>
        </is>
      </c>
      <c r="B61" s="767">
        <f>ROW()</f>
        <v/>
      </c>
      <c r="C61" s="182" t="inlineStr">
        <is>
          <t>北京九樾房地产开发有限公司</t>
        </is>
      </c>
      <c r="D61" s="182" t="inlineStr">
        <is>
          <t>ZI0290020041</t>
        </is>
      </c>
      <c r="E61" s="182" t="inlineStr">
        <is>
          <t>北京城谷恒泰房地产开发有限公司</t>
        </is>
      </c>
      <c r="F61" s="716" t="n"/>
      <c r="G61" s="716" t="n"/>
      <c r="H61" s="462" t="n"/>
    </row>
    <row r="62">
      <c r="A62" s="672" t="inlineStr">
        <is>
          <t>E100288</t>
        </is>
      </c>
      <c r="B62" s="767">
        <f>ROW()</f>
        <v/>
      </c>
      <c r="C62" s="182" t="inlineStr">
        <is>
          <t>北京科技高级技术学校</t>
        </is>
      </c>
      <c r="D62" s="182" t="inlineStr">
        <is>
          <t>ZI0290020002</t>
        </is>
      </c>
      <c r="E62" s="182" t="inlineStr">
        <is>
          <t>北京市财政局</t>
        </is>
      </c>
      <c r="F62" s="716" t="n"/>
      <c r="G62" s="716" t="n"/>
      <c r="H62" s="462" t="n"/>
    </row>
    <row r="63">
      <c r="A63" s="672" t="inlineStr">
        <is>
          <t>E100191</t>
        </is>
      </c>
      <c r="B63" s="767">
        <f>ROW()</f>
        <v/>
      </c>
      <c r="C63" s="182" t="inlineStr">
        <is>
          <t>北京乐多港发展有限公司</t>
        </is>
      </c>
      <c r="D63" s="182" t="inlineStr">
        <is>
          <t>ZI0290020042</t>
        </is>
      </c>
      <c r="E63" s="182" t="inlineStr">
        <is>
          <t>中国农发重点建设基金有限公司</t>
        </is>
      </c>
      <c r="F63" s="716" t="n"/>
      <c r="G63" s="716" t="n"/>
      <c r="H63" s="462" t="n"/>
    </row>
    <row r="64">
      <c r="A64" s="672" t="inlineStr">
        <is>
          <t>E100558</t>
        </is>
      </c>
      <c r="B64" s="767">
        <f>ROW()</f>
        <v/>
      </c>
      <c r="C64" s="182" t="inlineStr">
        <is>
          <t>北京能工荟智机器人有限责任公司</t>
        </is>
      </c>
      <c r="D64" s="182" t="inlineStr">
        <is>
          <t>ZI0290020043</t>
        </is>
      </c>
      <c r="E64" s="182" t="inlineStr">
        <is>
          <t>京能工荟创科技中心（有限合伙）</t>
        </is>
      </c>
      <c r="F64" s="716" t="n"/>
      <c r="G64" s="716" t="n"/>
      <c r="H64" s="462" t="n"/>
    </row>
    <row r="65">
      <c r="A65" s="672" t="inlineStr">
        <is>
          <t>E100558</t>
        </is>
      </c>
      <c r="B65" s="767">
        <f>ROW()</f>
        <v/>
      </c>
      <c r="C65" s="182" t="inlineStr">
        <is>
          <t>北京能工荟智机器人有限责任公司</t>
        </is>
      </c>
      <c r="D65" s="182" t="inlineStr">
        <is>
          <t>ZI0290020044</t>
        </is>
      </c>
      <c r="E65" s="182" t="inlineStr">
        <is>
          <t>湖南哈工机器人研究院有限公司</t>
        </is>
      </c>
      <c r="F65" s="716" t="n"/>
      <c r="G65" s="716" t="n"/>
      <c r="H65" s="462" t="n"/>
    </row>
    <row r="66">
      <c r="A66" s="672" t="inlineStr">
        <is>
          <t>E100724</t>
        </is>
      </c>
      <c r="B66" s="767">
        <f>ROW()</f>
        <v/>
      </c>
      <c r="C66" s="182" t="inlineStr">
        <is>
          <t>北京能锐大数据有限责任公司</t>
        </is>
      </c>
      <c r="D66" s="182" t="inlineStr">
        <is>
          <t>ZI0290020045</t>
        </is>
      </c>
      <c r="E66" s="182" t="inlineStr">
        <is>
          <t>深圳鹏锐信息技术股份有限公司</t>
        </is>
      </c>
      <c r="F66" s="716" t="n"/>
      <c r="G66" s="716" t="n"/>
      <c r="H66" s="462" t="n"/>
    </row>
    <row r="67">
      <c r="A67" s="672" t="inlineStr">
        <is>
          <t>E100000</t>
        </is>
      </c>
      <c r="B67" s="767">
        <f>ROW()</f>
        <v/>
      </c>
      <c r="C67" s="182" t="inlineStr">
        <is>
          <t>北京能源集团有限责任公司</t>
        </is>
      </c>
      <c r="D67" s="182" t="inlineStr">
        <is>
          <t>ZI0290020001</t>
        </is>
      </c>
      <c r="E67" s="182" t="inlineStr">
        <is>
          <t>北京国有资本运营管理有限公司</t>
        </is>
      </c>
      <c r="F67" s="716" t="n"/>
      <c r="G67" s="716" t="n"/>
      <c r="H67" s="462" t="n"/>
    </row>
    <row r="68">
      <c r="A68" s="672" t="inlineStr">
        <is>
          <t>E100000G</t>
        </is>
      </c>
      <c r="B68" s="767">
        <f>ROW()</f>
        <v/>
      </c>
      <c r="C68" s="182" t="inlineStr">
        <is>
          <t>北京能源集团有限责任公司（合并）</t>
        </is>
      </c>
      <c r="D68" s="182" t="inlineStr">
        <is>
          <t>ZI0290020001</t>
        </is>
      </c>
      <c r="E68" s="182" t="inlineStr">
        <is>
          <t>北京国有资本运营管理有限公司</t>
        </is>
      </c>
      <c r="F68" s="716" t="n"/>
      <c r="G68" s="716" t="n"/>
      <c r="H68" s="462" t="n"/>
    </row>
    <row r="69">
      <c r="A69" s="672" t="inlineStr">
        <is>
          <t>E100000H</t>
        </is>
      </c>
      <c r="B69" s="767">
        <f>ROW()</f>
        <v/>
      </c>
      <c r="C69" s="182" t="inlineStr">
        <is>
          <t>北京能源集团有限责任公司（母公司）</t>
        </is>
      </c>
      <c r="D69" s="182" t="inlineStr">
        <is>
          <t>ZI0290020001</t>
        </is>
      </c>
      <c r="E69" s="182" t="inlineStr">
        <is>
          <t>北京国有资本运营管理有限公司</t>
        </is>
      </c>
      <c r="F69" s="716" t="n"/>
      <c r="G69" s="716" t="n"/>
      <c r="H69" s="462" t="n"/>
    </row>
    <row r="70">
      <c r="A70" s="672" t="inlineStr">
        <is>
          <t>E100009</t>
        </is>
      </c>
      <c r="B70" s="767">
        <f>ROW()</f>
        <v/>
      </c>
      <c r="C70" s="182" t="inlineStr">
        <is>
          <t>北京上庄燃气热电有限公司</t>
        </is>
      </c>
      <c r="D70" s="182" t="inlineStr">
        <is>
          <t>ZI0290020042</t>
        </is>
      </c>
      <c r="E70" s="182" t="inlineStr">
        <is>
          <t>中国农发重点建设基金有限公司</t>
        </is>
      </c>
      <c r="F70" s="716" t="n"/>
      <c r="G70" s="716" t="n"/>
      <c r="H70" s="462" t="n"/>
    </row>
    <row r="71">
      <c r="A71" s="672" t="inlineStr">
        <is>
          <t>E100008</t>
        </is>
      </c>
      <c r="B71" s="767">
        <f>ROW()</f>
        <v/>
      </c>
      <c r="C71" s="182" t="inlineStr">
        <is>
          <t>北京太阳宫燃气热电有限公司</t>
        </is>
      </c>
      <c r="D71" s="182" t="inlineStr">
        <is>
          <t>ZI0290020046</t>
        </is>
      </c>
      <c r="E71" s="182" t="inlineStr">
        <is>
          <t>国电电力发展股份有限公司</t>
        </is>
      </c>
      <c r="F71" s="716" t="n"/>
      <c r="G71" s="716" t="n"/>
      <c r="H71" s="462" t="n"/>
    </row>
    <row r="72">
      <c r="A72" s="672" t="inlineStr">
        <is>
          <t>E100424</t>
        </is>
      </c>
      <c r="B72" s="767">
        <f>ROW()</f>
        <v/>
      </c>
      <c r="C72" s="182" t="inlineStr">
        <is>
          <t>北京天创世缘房地产开发有限公司</t>
        </is>
      </c>
      <c r="D72" s="182" t="inlineStr">
        <is>
          <t>ZI0290020047</t>
        </is>
      </c>
      <c r="E72" s="182" t="inlineStr">
        <is>
          <t>北京鑫福海工贸集团公司</t>
        </is>
      </c>
      <c r="F72" s="716" t="n"/>
      <c r="G72" s="716" t="n"/>
      <c r="H72" s="462" t="n"/>
    </row>
    <row r="73">
      <c r="A73" s="672" t="inlineStr">
        <is>
          <t>E100374</t>
        </is>
      </c>
      <c r="B73" s="767">
        <f>ROW()</f>
        <v/>
      </c>
      <c r="C73" s="182" t="inlineStr">
        <is>
          <t>北京源深联众环保科技有限责任公司</t>
        </is>
      </c>
      <c r="D73" s="182" t="inlineStr">
        <is>
          <t>ZI0290020048</t>
        </is>
      </c>
      <c r="E73" s="182" t="inlineStr">
        <is>
          <t>北京舒文环保科技有限公司</t>
        </is>
      </c>
      <c r="F73" s="716" t="n"/>
      <c r="G73" s="716" t="n"/>
      <c r="H73" s="462" t="n"/>
    </row>
    <row r="74">
      <c r="A74" s="672" t="inlineStr">
        <is>
          <t>E100404</t>
        </is>
      </c>
      <c r="B74" s="767">
        <f>ROW()</f>
        <v/>
      </c>
      <c r="C74" s="182" t="inlineStr">
        <is>
          <t>北京源深能源科技有限责任公司</t>
        </is>
      </c>
      <c r="D74" s="182" t="inlineStr">
        <is>
          <t>ZI0290020049</t>
        </is>
      </c>
      <c r="E74" s="182" t="inlineStr">
        <is>
          <t>晟源高科（北京）科技有限公司</t>
        </is>
      </c>
      <c r="F74" s="716" t="n"/>
      <c r="G74" s="716" t="n"/>
      <c r="H74" s="462" t="n"/>
    </row>
    <row r="75">
      <c r="A75" s="672" t="inlineStr">
        <is>
          <t>E100404</t>
        </is>
      </c>
      <c r="B75" s="767">
        <f>ROW()</f>
        <v/>
      </c>
      <c r="C75" s="182" t="inlineStr">
        <is>
          <t>北京源深能源科技有限责任公司</t>
        </is>
      </c>
      <c r="D75" s="182" t="inlineStr">
        <is>
          <t>ZI0290020050</t>
        </is>
      </c>
      <c r="E75" s="182" t="inlineStr">
        <is>
          <t>北京众鑫源科技发展中心（有限合伙）</t>
        </is>
      </c>
      <c r="F75" s="716" t="n"/>
      <c r="G75" s="716" t="n"/>
      <c r="H75" s="462" t="n"/>
    </row>
    <row r="76">
      <c r="A76" s="672" t="inlineStr">
        <is>
          <t>E100431</t>
        </is>
      </c>
      <c r="B76" s="767">
        <f>ROW()</f>
        <v/>
      </c>
      <c r="C76" s="182" t="inlineStr">
        <is>
          <t>大连京能阳光房地产开发有限公司</t>
        </is>
      </c>
      <c r="D76" s="182" t="inlineStr">
        <is>
          <t>ZI0290020051</t>
        </is>
      </c>
      <c r="E76" s="182" t="inlineStr">
        <is>
          <t>大连阳光世界发展有限公司</t>
        </is>
      </c>
      <c r="F76" s="716" t="n"/>
      <c r="G76" s="716" t="n"/>
      <c r="H76" s="462" t="n"/>
    </row>
    <row r="77">
      <c r="A77" s="672" t="inlineStr">
        <is>
          <t>E100208</t>
        </is>
      </c>
      <c r="B77" s="767">
        <f>ROW()</f>
        <v/>
      </c>
      <c r="C77" s="182" t="inlineStr">
        <is>
          <t>鄂尔多斯市东铜铁路物流有限公司</t>
        </is>
      </c>
      <c r="D77" s="182" t="inlineStr">
        <is>
          <t>ZI0290020052</t>
        </is>
      </c>
      <c r="E77" s="182" t="inlineStr">
        <is>
          <t>新奥集团股份有限公司</t>
        </is>
      </c>
      <c r="F77" s="716" t="n"/>
      <c r="G77" s="716" t="n"/>
      <c r="H77" s="462" t="n"/>
    </row>
    <row r="78">
      <c r="A78" s="672" t="inlineStr">
        <is>
          <t>E100208</t>
        </is>
      </c>
      <c r="B78" s="767">
        <f>ROW()</f>
        <v/>
      </c>
      <c r="C78" s="182" t="inlineStr">
        <is>
          <t>鄂尔多斯市东铜铁路物流有限公司</t>
        </is>
      </c>
      <c r="D78" s="182" t="inlineStr">
        <is>
          <t>ZI0290020053</t>
        </is>
      </c>
      <c r="E78" s="182" t="inlineStr">
        <is>
          <t>鄂尔多斯市国有资产投资控股集团有限公司</t>
        </is>
      </c>
      <c r="F78" s="716" t="n"/>
      <c r="G78" s="716" t="n"/>
      <c r="H78" s="462" t="n"/>
    </row>
    <row r="79">
      <c r="A79" s="672" t="inlineStr">
        <is>
          <t>E100208</t>
        </is>
      </c>
      <c r="B79" s="767">
        <f>ROW()</f>
        <v/>
      </c>
      <c r="C79" s="182" t="inlineStr">
        <is>
          <t>鄂尔多斯市东铜铁路物流有限公司</t>
        </is>
      </c>
      <c r="D79" s="182" t="inlineStr">
        <is>
          <t>ZI0290020054</t>
        </is>
      </c>
      <c r="E79" s="182" t="inlineStr">
        <is>
          <t>鄂尔多斯市华研经贸集团有限责任公司</t>
        </is>
      </c>
      <c r="F79" s="716" t="n"/>
      <c r="G79" s="716" t="n"/>
      <c r="H79" s="462" t="n"/>
    </row>
    <row r="80">
      <c r="A80" s="672" t="inlineStr">
        <is>
          <t>E100208</t>
        </is>
      </c>
      <c r="B80" s="767">
        <f>ROW()</f>
        <v/>
      </c>
      <c r="C80" s="182" t="inlineStr">
        <is>
          <t>鄂尔多斯市东铜铁路物流有限公司</t>
        </is>
      </c>
      <c r="D80" s="182" t="inlineStr">
        <is>
          <t>ZI0290020055</t>
        </is>
      </c>
      <c r="E80" s="182" t="inlineStr">
        <is>
          <t>内蒙古蒙泰集团有限公司</t>
        </is>
      </c>
      <c r="F80" s="716" t="n"/>
      <c r="G80" s="716" t="n"/>
      <c r="H80" s="462" t="n"/>
    </row>
    <row r="81">
      <c r="A81" s="672" t="inlineStr">
        <is>
          <t>E100208</t>
        </is>
      </c>
      <c r="B81" s="767">
        <f>ROW()</f>
        <v/>
      </c>
      <c r="C81" s="182" t="inlineStr">
        <is>
          <t>鄂尔多斯市东铜铁路物流有限公司</t>
        </is>
      </c>
      <c r="D81" s="182" t="inlineStr">
        <is>
          <t>ZI0290020056</t>
        </is>
      </c>
      <c r="E81" s="182" t="inlineStr">
        <is>
          <t>内蒙古特弘投资集团有限责任公司</t>
        </is>
      </c>
      <c r="F81" s="716" t="n"/>
      <c r="G81" s="716" t="n"/>
      <c r="H81" s="462" t="n"/>
    </row>
    <row r="82">
      <c r="A82" s="672" t="inlineStr">
        <is>
          <t>E100207</t>
        </is>
      </c>
      <c r="B82" s="767">
        <f>ROW()</f>
        <v/>
      </c>
      <c r="C82" s="182" t="inlineStr">
        <is>
          <t>鄂尔多斯市昊华国泰化工有限公司</t>
        </is>
      </c>
      <c r="D82" s="182" t="inlineStr">
        <is>
          <t>ZI0290020057</t>
        </is>
      </c>
      <c r="E82" s="182" t="inlineStr">
        <is>
          <t>南京诚志清洁能源有限公司</t>
        </is>
      </c>
      <c r="F82" s="716" t="n"/>
      <c r="G82" s="716" t="n"/>
      <c r="H82" s="462" t="n"/>
    </row>
    <row r="83">
      <c r="A83" s="672" t="inlineStr">
        <is>
          <t>E100202</t>
        </is>
      </c>
      <c r="B83" s="767">
        <f>ROW()</f>
        <v/>
      </c>
      <c r="C83" s="182" t="inlineStr">
        <is>
          <t>鄂尔多斯市昊华精煤有限责任公司</t>
        </is>
      </c>
      <c r="D83" s="182" t="inlineStr">
        <is>
          <t>ZI0290020053</t>
        </is>
      </c>
      <c r="E83" s="182" t="inlineStr">
        <is>
          <t>鄂尔多斯市国有资产投资控股集团有限公司</t>
        </is>
      </c>
      <c r="F83" s="716" t="n"/>
      <c r="G83" s="716" t="n"/>
      <c r="H83" s="462" t="n"/>
    </row>
    <row r="84">
      <c r="A84" s="672" t="inlineStr">
        <is>
          <t>E100253</t>
        </is>
      </c>
      <c r="B84" s="767">
        <f>ROW()</f>
        <v/>
      </c>
      <c r="C84" s="182" t="inlineStr">
        <is>
          <t>抚松京热热力有限责任公司</t>
        </is>
      </c>
      <c r="D84" s="182" t="inlineStr">
        <is>
          <t>ZI0290020058</t>
        </is>
      </c>
      <c r="E84" s="182" t="inlineStr">
        <is>
          <t>抚松发展投资集团有限公司</t>
        </is>
      </c>
      <c r="F84" s="716" t="n"/>
      <c r="G84" s="716" t="n"/>
      <c r="H84" s="462" t="n"/>
    </row>
    <row r="85">
      <c r="A85" s="672" t="inlineStr">
        <is>
          <t>E101009</t>
        </is>
      </c>
      <c r="B85" s="767">
        <f>ROW()</f>
        <v/>
      </c>
      <c r="C85" s="182" t="inlineStr">
        <is>
          <t>国电察哈尔右翼前旗第二光伏发电有限公司</t>
        </is>
      </c>
      <c r="D85" s="182" t="inlineStr">
        <is>
          <t>ZI0290020059</t>
        </is>
      </c>
      <c r="E85" s="182" t="inlineStr">
        <is>
          <t>国能内蒙古电力蒙西新能源有限公司</t>
        </is>
      </c>
      <c r="F85" s="716" t="n"/>
      <c r="G85" s="716" t="n"/>
      <c r="H85" s="462" t="n"/>
    </row>
    <row r="86">
      <c r="A86" s="672" t="inlineStr">
        <is>
          <t>E100968</t>
        </is>
      </c>
      <c r="B86" s="767">
        <f>ROW()</f>
        <v/>
      </c>
      <c r="C86" s="182" t="inlineStr">
        <is>
          <t>国电察哈尔右翼前旗光伏发电有限公司</t>
        </is>
      </c>
      <c r="D86" s="182" t="inlineStr">
        <is>
          <t>ZI0290020059</t>
        </is>
      </c>
      <c r="E86" s="182" t="inlineStr">
        <is>
          <t>国能内蒙古电力蒙西新能源有限公司</t>
        </is>
      </c>
      <c r="F86" s="716" t="n"/>
      <c r="G86" s="716" t="n"/>
      <c r="H86" s="462" t="n"/>
    </row>
    <row r="87">
      <c r="A87" s="672" t="inlineStr">
        <is>
          <t>E101010</t>
        </is>
      </c>
      <c r="B87" s="767">
        <f>ROW()</f>
        <v/>
      </c>
      <c r="C87" s="182" t="inlineStr">
        <is>
          <t>国电科左中旗光伏发电有限公司</t>
        </is>
      </c>
      <c r="D87" s="182" t="inlineStr">
        <is>
          <t>ZI0290020060</t>
        </is>
      </c>
      <c r="E87" s="182" t="inlineStr">
        <is>
          <t>国电奈曼风电有限公司</t>
        </is>
      </c>
      <c r="F87" s="716" t="n"/>
      <c r="G87" s="716" t="n"/>
      <c r="H87" s="462" t="n"/>
    </row>
    <row r="88">
      <c r="A88" s="672" t="inlineStr">
        <is>
          <t>E101011</t>
        </is>
      </c>
      <c r="B88" s="767">
        <f>ROW()</f>
        <v/>
      </c>
      <c r="C88" s="182" t="inlineStr">
        <is>
          <t>国电商都县第二光伏发电有限公司</t>
        </is>
      </c>
      <c r="D88" s="182" t="inlineStr">
        <is>
          <t>ZI0290020059</t>
        </is>
      </c>
      <c r="E88" s="182" t="inlineStr">
        <is>
          <t>国能内蒙古电力蒙西新能源有限公司</t>
        </is>
      </c>
      <c r="F88" s="716" t="n"/>
      <c r="G88" s="716" t="n"/>
      <c r="H88" s="462" t="n"/>
    </row>
    <row r="89">
      <c r="A89" s="672" t="inlineStr">
        <is>
          <t>E100969</t>
        </is>
      </c>
      <c r="B89" s="767">
        <f>ROW()</f>
        <v/>
      </c>
      <c r="C89" s="182" t="inlineStr">
        <is>
          <t>国电托克托县光伏发电有限公司</t>
        </is>
      </c>
      <c r="D89" s="182" t="inlineStr">
        <is>
          <t>ZI0290020059</t>
        </is>
      </c>
      <c r="E89" s="182" t="inlineStr">
        <is>
          <t>国能内蒙古电力蒙西新能源有限公司</t>
        </is>
      </c>
      <c r="F89" s="716" t="n"/>
      <c r="G89" s="716" t="n"/>
      <c r="H89" s="462" t="n"/>
    </row>
    <row r="90">
      <c r="A90" s="672" t="inlineStr">
        <is>
          <t>E100967</t>
        </is>
      </c>
      <c r="B90" s="767">
        <f>ROW()</f>
        <v/>
      </c>
      <c r="C90" s="182" t="inlineStr">
        <is>
          <t>国电乌拉特后旗光伏发电有限公司</t>
        </is>
      </c>
      <c r="D90" s="182" t="inlineStr">
        <is>
          <t>ZI0290020059</t>
        </is>
      </c>
      <c r="E90" s="182" t="inlineStr">
        <is>
          <t>国能内蒙古电力蒙西新能源有限公司</t>
        </is>
      </c>
      <c r="F90" s="716" t="n"/>
      <c r="G90" s="716" t="n"/>
      <c r="H90" s="462" t="n"/>
    </row>
    <row r="91">
      <c r="A91" s="672" t="inlineStr">
        <is>
          <t>E100017</t>
        </is>
      </c>
      <c r="B91" s="767">
        <f>ROW()</f>
        <v/>
      </c>
      <c r="C91" s="182" t="inlineStr">
        <is>
          <t>海兴京兴新能源有限公司</t>
        </is>
      </c>
      <c r="D91" s="182" t="inlineStr">
        <is>
          <t>ZI0290020061</t>
        </is>
      </c>
      <c r="E91" s="182" t="inlineStr">
        <is>
          <t>横峰县晶泰电力有限公司</t>
        </is>
      </c>
      <c r="F91" s="716" t="n"/>
      <c r="G91" s="716" t="n"/>
      <c r="H91" s="462" t="n"/>
    </row>
    <row r="92">
      <c r="A92" s="672" t="inlineStr">
        <is>
          <t>E100976</t>
        </is>
      </c>
      <c r="B92" s="767">
        <f>ROW()</f>
        <v/>
      </c>
      <c r="C92" s="182" t="inlineStr">
        <is>
          <t>杭锦后旗国电光伏发电有限公司</t>
        </is>
      </c>
      <c r="D92" s="182" t="inlineStr">
        <is>
          <t>ZI0290020062</t>
        </is>
      </c>
      <c r="E92" s="182" t="inlineStr">
        <is>
          <t>国电电力内蒙古新能源开发有限公司</t>
        </is>
      </c>
      <c r="F92" s="716" t="n"/>
      <c r="G92" s="716" t="n"/>
      <c r="H92" s="462" t="n"/>
    </row>
    <row r="93">
      <c r="A93" s="672" t="inlineStr">
        <is>
          <t>E100203</t>
        </is>
      </c>
      <c r="B93" s="767">
        <f>ROW()</f>
        <v/>
      </c>
      <c r="C93" s="182" t="inlineStr">
        <is>
          <t>杭锦旗西部能源开发有限公司</t>
        </is>
      </c>
      <c r="D93" s="182" t="inlineStr">
        <is>
          <t>ZI0290020063</t>
        </is>
      </c>
      <c r="E93" s="182" t="inlineStr">
        <is>
          <t>山西中博房地产开发有限公司</t>
        </is>
      </c>
      <c r="F93" s="716" t="n"/>
      <c r="G93" s="716" t="n"/>
      <c r="H93" s="462" t="n"/>
    </row>
    <row r="94">
      <c r="A94" s="672" t="inlineStr">
        <is>
          <t>E100203G</t>
        </is>
      </c>
      <c r="B94" s="767">
        <f>ROW()</f>
        <v/>
      </c>
      <c r="C94" s="182" t="inlineStr">
        <is>
          <t>杭锦旗西部能源开发有限公司（合并）</t>
        </is>
      </c>
      <c r="D94" s="182" t="inlineStr">
        <is>
          <t>ZI0290020063</t>
        </is>
      </c>
      <c r="E94" s="182" t="inlineStr">
        <is>
          <t>山西中博房地产开发有限公司</t>
        </is>
      </c>
      <c r="F94" s="716" t="n"/>
      <c r="G94" s="716" t="n"/>
      <c r="H94" s="462" t="n"/>
    </row>
    <row r="95">
      <c r="A95" s="672" t="inlineStr">
        <is>
          <t>E100185</t>
        </is>
      </c>
      <c r="B95" s="767">
        <f>ROW()</f>
        <v/>
      </c>
      <c r="C95" s="182" t="inlineStr">
        <is>
          <t>河南通源热力有限公司</t>
        </is>
      </c>
      <c r="D95" s="182" t="inlineStr">
        <is>
          <t>ZI0290020064</t>
        </is>
      </c>
      <c r="E95" s="182" t="inlineStr">
        <is>
          <t>河南中锐环科清洁能源集团有限公司</t>
        </is>
      </c>
      <c r="F95" s="716" t="n"/>
      <c r="G95" s="716" t="n"/>
      <c r="H95" s="462" t="n"/>
    </row>
    <row r="96">
      <c r="A96" s="672" t="inlineStr">
        <is>
          <t>E100188</t>
        </is>
      </c>
      <c r="B96" s="767">
        <f>ROW()</f>
        <v/>
      </c>
      <c r="C96" s="182" t="inlineStr">
        <is>
          <t>呼伦贝尔京能能源发展有限公司</t>
        </is>
      </c>
      <c r="D96" s="182" t="inlineStr">
        <is>
          <t>ZI0290020065</t>
        </is>
      </c>
      <c r="E96" s="182" t="inlineStr">
        <is>
          <t>沈阳建设投资资产经营有限公司</t>
        </is>
      </c>
      <c r="F96" s="716" t="n"/>
      <c r="G96" s="716" t="n"/>
      <c r="H96" s="462" t="n"/>
    </row>
    <row r="97">
      <c r="A97" s="672" t="inlineStr">
        <is>
          <t>E100400</t>
        </is>
      </c>
      <c r="B97" s="767">
        <f>ROW()</f>
        <v/>
      </c>
      <c r="C97" s="182" t="inlineStr">
        <is>
          <t>湖州源兴能源有限公司</t>
        </is>
      </c>
      <c r="D97" s="182" t="inlineStr">
        <is>
          <t>ZI0290020066</t>
        </is>
      </c>
      <c r="E97" s="182" t="inlineStr">
        <is>
          <t>浙江昇茂新能源科技股份有限公司</t>
        </is>
      </c>
      <c r="F97" s="716" t="n"/>
      <c r="G97" s="716" t="n"/>
      <c r="H97" s="462" t="n"/>
    </row>
    <row r="98">
      <c r="A98" s="672" t="inlineStr">
        <is>
          <t>E100400</t>
        </is>
      </c>
      <c r="B98" s="767">
        <f>ROW()</f>
        <v/>
      </c>
      <c r="C98" s="182" t="inlineStr">
        <is>
          <t>湖州源兴能源有限公司</t>
        </is>
      </c>
      <c r="D98" s="182" t="inlineStr">
        <is>
          <t>ZI0290020067</t>
        </is>
      </c>
      <c r="E98" s="182" t="inlineStr">
        <is>
          <t>浙江诺欧博新能源股份有限公司</t>
        </is>
      </c>
      <c r="F98" s="716" t="n"/>
      <c r="G98" s="716" t="n"/>
      <c r="H98" s="462" t="n"/>
    </row>
    <row r="99">
      <c r="A99" s="672" t="inlineStr">
        <is>
          <t>E100401</t>
        </is>
      </c>
      <c r="B99" s="767">
        <f>ROW()</f>
        <v/>
      </c>
      <c r="C99" s="182" t="inlineStr">
        <is>
          <t>湖州源浔能源科技有限公司</t>
        </is>
      </c>
      <c r="D99" s="182" t="inlineStr">
        <is>
          <t>ZI0290020066</t>
        </is>
      </c>
      <c r="E99" s="182" t="inlineStr">
        <is>
          <t>海宁科茂微电网技术有限公司</t>
        </is>
      </c>
      <c r="F99" s="716" t="n"/>
      <c r="G99" s="716" t="n"/>
      <c r="H99" s="462" t="n"/>
    </row>
    <row r="100">
      <c r="A100" s="672" t="inlineStr">
        <is>
          <t>E100401</t>
        </is>
      </c>
      <c r="B100" s="767">
        <f>ROW()</f>
        <v/>
      </c>
      <c r="C100" s="182" t="inlineStr">
        <is>
          <t>湖州源浔能源科技有限公司</t>
        </is>
      </c>
      <c r="D100" s="182" t="inlineStr">
        <is>
          <t>ZI0290020067</t>
        </is>
      </c>
      <c r="E100" s="182" t="inlineStr">
        <is>
          <t>浙江诺欧博新能源股份有限公司</t>
        </is>
      </c>
      <c r="F100" s="716" t="n"/>
      <c r="G100" s="716" t="n"/>
      <c r="H100" s="462" t="n"/>
    </row>
    <row r="101">
      <c r="A101" s="672" t="inlineStr">
        <is>
          <t>E100822</t>
        </is>
      </c>
      <c r="B101" s="767">
        <f>ROW()</f>
        <v/>
      </c>
      <c r="C101" s="182" t="inlineStr">
        <is>
          <t>嘉燕（北京）新能源有限公司</t>
        </is>
      </c>
      <c r="D101" s="182" t="inlineStr">
        <is>
          <t>ZI0290020068</t>
        </is>
      </c>
      <c r="E101" s="182" t="inlineStr">
        <is>
          <t>新杰诺风光（北京）新能源有限责任公司</t>
        </is>
      </c>
      <c r="F101" s="716" t="n"/>
      <c r="G101" s="716" t="n"/>
      <c r="H101" s="462" t="n"/>
    </row>
    <row r="102">
      <c r="A102" s="672" t="inlineStr">
        <is>
          <t>E100443</t>
        </is>
      </c>
      <c r="B102" s="767">
        <f>ROW()</f>
        <v/>
      </c>
      <c r="C102" s="182" t="inlineStr">
        <is>
          <t>金泰丽城（天津）置业投资有限公司</t>
        </is>
      </c>
      <c r="D102" s="182" t="inlineStr">
        <is>
          <t>ZI0290020069</t>
        </is>
      </c>
      <c r="E102" s="182" t="inlineStr">
        <is>
          <t>北京鸿睿达投资有限公司</t>
        </is>
      </c>
      <c r="F102" s="716" t="n"/>
      <c r="G102" s="716" t="n"/>
      <c r="H102" s="462" t="n"/>
    </row>
    <row r="103">
      <c r="A103" s="672" t="inlineStr">
        <is>
          <t>E100770</t>
        </is>
      </c>
      <c r="B103" s="767">
        <f>ROW()</f>
        <v/>
      </c>
      <c r="C103" s="182" t="inlineStr">
        <is>
          <t>金泰壹号（天津）企业管理合伙企业（有限合伙）</t>
        </is>
      </c>
      <c r="D103" s="182" t="inlineStr">
        <is>
          <t>ZI0290020070</t>
        </is>
      </c>
      <c r="E103" s="182" t="inlineStr">
        <is>
          <t>中铁信托有限责任公司</t>
        </is>
      </c>
      <c r="F103" s="716" t="n"/>
      <c r="G103" s="716" t="n"/>
      <c r="H103" s="462" t="n"/>
    </row>
    <row r="104">
      <c r="A104" s="672" t="inlineStr">
        <is>
          <t>E100170</t>
        </is>
      </c>
      <c r="B104" s="767">
        <f>ROW()</f>
        <v/>
      </c>
      <c r="C104" s="182" t="inlineStr">
        <is>
          <t>京能（赤峰）能源发展有限公司</t>
        </is>
      </c>
      <c r="D104" s="182" t="inlineStr">
        <is>
          <t>ZI0290020071</t>
        </is>
      </c>
      <c r="E104" s="182" t="inlineStr">
        <is>
          <t>内蒙古平庄煤业（集团）有限责任公司</t>
        </is>
      </c>
      <c r="F104" s="716" t="n"/>
      <c r="G104" s="716" t="n"/>
      <c r="H104" s="462" t="n"/>
    </row>
    <row r="105">
      <c r="A105" s="672" t="inlineStr">
        <is>
          <t>E100023</t>
        </is>
      </c>
      <c r="B105" s="767">
        <f>ROW()</f>
        <v/>
      </c>
      <c r="C105" s="182" t="inlineStr">
        <is>
          <t>京能（迁西）发电有限公司</t>
        </is>
      </c>
      <c r="D105" s="182" t="inlineStr">
        <is>
          <t>ZI0290020072</t>
        </is>
      </c>
      <c r="E105" s="182" t="inlineStr">
        <is>
          <t>青岛东方铁塔股份有限公司</t>
        </is>
      </c>
      <c r="F105" s="716" t="n"/>
      <c r="G105" s="716" t="n"/>
      <c r="H105" s="462" t="n"/>
    </row>
    <row r="106">
      <c r="A106" s="672" t="inlineStr">
        <is>
          <t>E100156</t>
        </is>
      </c>
      <c r="B106" s="767">
        <f>ROW()</f>
        <v/>
      </c>
      <c r="C106" s="182" t="inlineStr">
        <is>
          <t>京能（锡林郭勒）发电有限公司</t>
        </is>
      </c>
      <c r="D106" s="182" t="inlineStr">
        <is>
          <t>ZI0290020073</t>
        </is>
      </c>
      <c r="E106" s="182" t="inlineStr">
        <is>
          <t>华润电力投资有限公司</t>
        </is>
      </c>
      <c r="F106" s="716" t="n"/>
      <c r="G106" s="716" t="n"/>
      <c r="H106" s="462" t="n"/>
    </row>
    <row r="107">
      <c r="A107" s="672" t="inlineStr">
        <is>
          <t>E100861</t>
        </is>
      </c>
      <c r="B107" s="767">
        <f>ROW()</f>
        <v/>
      </c>
      <c r="C107" s="182" t="inlineStr">
        <is>
          <t>京能阿巴嘎旗生态科技有限公司</t>
        </is>
      </c>
      <c r="D107" s="182" t="inlineStr">
        <is>
          <t>ZI0290020074</t>
        </is>
      </c>
      <c r="E107" s="182" t="inlineStr">
        <is>
          <t>阿巴嘎旗宝格达投资经营有限责任公司</t>
        </is>
      </c>
      <c r="F107" s="716" t="n"/>
      <c r="G107" s="716" t="n"/>
      <c r="H107" s="462" t="n"/>
    </row>
    <row r="108">
      <c r="A108" s="672" t="inlineStr">
        <is>
          <t>E100254</t>
        </is>
      </c>
      <c r="B108" s="767">
        <f>ROW()</f>
        <v/>
      </c>
      <c r="C108" s="182" t="inlineStr">
        <is>
          <t>京能大同热力有限公司</t>
        </is>
      </c>
      <c r="D108" s="182" t="inlineStr">
        <is>
          <t>ZI0290020075</t>
        </is>
      </c>
      <c r="E108" s="182" t="inlineStr">
        <is>
          <t>大同市经济建设投资集团有限责任公司</t>
        </is>
      </c>
      <c r="F108" s="716" t="n"/>
      <c r="G108" s="716" t="n"/>
      <c r="H108" s="462" t="n"/>
    </row>
    <row r="109">
      <c r="A109" s="672" t="inlineStr">
        <is>
          <t>E100254G</t>
        </is>
      </c>
      <c r="B109" s="767">
        <f>ROW()</f>
        <v/>
      </c>
      <c r="C109" s="182" t="inlineStr">
        <is>
          <t>京能大同热力有限公司（合并）</t>
        </is>
      </c>
      <c r="D109" s="182" t="inlineStr">
        <is>
          <t>ZI0290020075</t>
        </is>
      </c>
      <c r="E109" s="182" t="inlineStr">
        <is>
          <t>大同市经济建设投资集团有限责任公司</t>
        </is>
      </c>
      <c r="F109" s="716" t="n"/>
      <c r="G109" s="716" t="n"/>
      <c r="H109" s="462" t="n"/>
    </row>
    <row r="110">
      <c r="A110" s="672" t="inlineStr">
        <is>
          <t>E100254H</t>
        </is>
      </c>
      <c r="B110" s="767">
        <f>ROW()</f>
        <v/>
      </c>
      <c r="C110" s="182" t="inlineStr">
        <is>
          <t>京能大同热力有限公司（合并）本部</t>
        </is>
      </c>
      <c r="D110" s="182" t="inlineStr">
        <is>
          <t>ZI0290020075</t>
        </is>
      </c>
      <c r="E110" s="182" t="inlineStr">
        <is>
          <t>大同市经济建设投资集团有限责任公司</t>
        </is>
      </c>
      <c r="F110" s="716" t="n"/>
      <c r="G110" s="716" t="n"/>
      <c r="H110" s="462" t="n"/>
    </row>
    <row r="111">
      <c r="A111" s="672" t="inlineStr">
        <is>
          <t>E100189</t>
        </is>
      </c>
      <c r="B111" s="767">
        <f>ROW()</f>
        <v/>
      </c>
      <c r="C111" s="182" t="inlineStr">
        <is>
          <t>京能锡林郭勒能源有限公司</t>
        </is>
      </c>
      <c r="D111" s="182" t="inlineStr">
        <is>
          <t>ZI0290020076</t>
        </is>
      </c>
      <c r="E111" s="182" t="inlineStr">
        <is>
          <t>冀中能源峰峰集团有限公司</t>
        </is>
      </c>
      <c r="F111" s="716" t="n"/>
      <c r="G111" s="716" t="n"/>
      <c r="H111" s="462" t="n"/>
    </row>
    <row r="112">
      <c r="A112" s="672" t="inlineStr">
        <is>
          <t>E100399</t>
        </is>
      </c>
      <c r="B112" s="767">
        <f>ROW()</f>
        <v/>
      </c>
      <c r="C112" s="182" t="inlineStr">
        <is>
          <t>京能源深（嘉兴）能源科技有限公司</t>
        </is>
      </c>
      <c r="D112" s="182" t="inlineStr">
        <is>
          <t>ZI0290020066</t>
        </is>
      </c>
      <c r="E112" s="182" t="inlineStr">
        <is>
          <t>海宁科茂微电网技术有限公司</t>
        </is>
      </c>
      <c r="F112" s="716" t="n"/>
      <c r="G112" s="716" t="n"/>
      <c r="H112" s="462" t="n"/>
    </row>
    <row r="113">
      <c r="A113" s="672" t="inlineStr">
        <is>
          <t>E100399</t>
        </is>
      </c>
      <c r="B113" s="767">
        <f>ROW()</f>
        <v/>
      </c>
      <c r="C113" s="182" t="inlineStr">
        <is>
          <t>京能源深（嘉兴）能源科技有限公司</t>
        </is>
      </c>
      <c r="D113" s="182" t="inlineStr">
        <is>
          <t>ZI0290020067</t>
        </is>
      </c>
      <c r="E113" s="182" t="inlineStr">
        <is>
          <t>浙江诺欧博新能源股份有限公司</t>
        </is>
      </c>
      <c r="F113" s="716" t="n"/>
      <c r="G113" s="716" t="n"/>
      <c r="H113" s="462" t="n"/>
    </row>
    <row r="114">
      <c r="A114" s="672" t="inlineStr">
        <is>
          <t>E100262</t>
        </is>
      </c>
      <c r="B114" s="767">
        <f>ROW()</f>
        <v/>
      </c>
      <c r="C114" s="182" t="inlineStr">
        <is>
          <t>廊坊市华源盛世热力有限公司</t>
        </is>
      </c>
      <c r="D114" s="182" t="inlineStr">
        <is>
          <t>ZI0290020077</t>
        </is>
      </c>
      <c r="E114" s="182" t="inlineStr">
        <is>
          <t>廊坊市宏泰产业市镇投资有限公司</t>
        </is>
      </c>
      <c r="F114" s="716" t="n"/>
      <c r="G114" s="716" t="n"/>
      <c r="H114" s="462" t="n"/>
    </row>
    <row r="115">
      <c r="A115" s="672" t="inlineStr">
        <is>
          <t>E100810</t>
        </is>
      </c>
      <c r="B115" s="767">
        <f>ROW()</f>
        <v/>
      </c>
      <c r="C115" s="182" t="inlineStr">
        <is>
          <t>乐多港光穗（天津）投资合伙企业（有限合伙）</t>
        </is>
      </c>
      <c r="D115" s="182" t="inlineStr">
        <is>
          <t>ZI0290020078</t>
        </is>
      </c>
      <c r="E115" s="182" t="inlineStr">
        <is>
          <t>光大兴陇信托有限责任公司</t>
        </is>
      </c>
      <c r="F115" s="716" t="n"/>
      <c r="G115" s="716" t="n"/>
      <c r="H115" s="462" t="n"/>
    </row>
    <row r="116">
      <c r="A116" s="672" t="inlineStr">
        <is>
          <t>E100734</t>
        </is>
      </c>
      <c r="B116" s="767">
        <f>ROW()</f>
        <v/>
      </c>
      <c r="C116" s="182" t="inlineStr">
        <is>
          <t>联合光伏（常州）投资集团有限公司</t>
        </is>
      </c>
      <c r="D116" s="182" t="inlineStr">
        <is>
          <t>ZI0290020079</t>
        </is>
      </c>
      <c r="E116" s="182" t="inlineStr">
        <is>
          <t>工银金融资产投资有限公司</t>
        </is>
      </c>
      <c r="F116" s="716" t="n"/>
      <c r="G116" s="716" t="n"/>
      <c r="H116" s="462" t="n"/>
    </row>
    <row r="117">
      <c r="A117" s="672" t="inlineStr">
        <is>
          <t>E100750</t>
        </is>
      </c>
      <c r="B117" s="767">
        <f>ROW()</f>
        <v/>
      </c>
      <c r="C117" s="182" t="inlineStr">
        <is>
          <t>民丰县昂立光伏科技有限公司</t>
        </is>
      </c>
      <c r="D117" s="182" t="inlineStr">
        <is>
          <t>ZI0290020080</t>
        </is>
      </c>
      <c r="E117" s="182" t="inlineStr">
        <is>
          <t>正信光伏有限公司</t>
        </is>
      </c>
      <c r="F117" s="716" t="n"/>
      <c r="G117" s="716" t="n"/>
      <c r="H117" s="462" t="n"/>
    </row>
    <row r="118">
      <c r="A118" s="672" t="inlineStr">
        <is>
          <t>E100150</t>
        </is>
      </c>
      <c r="B118" s="767">
        <f>ROW()</f>
        <v/>
      </c>
      <c r="C118" s="182" t="inlineStr">
        <is>
          <t>内蒙古岱海发电有限责任公司</t>
        </is>
      </c>
      <c r="D118" s="182" t="inlineStr">
        <is>
          <t>ZI0290020081</t>
        </is>
      </c>
      <c r="E118" s="182" t="inlineStr">
        <is>
          <t>内蒙古蒙电华能热电股份有限公司</t>
        </is>
      </c>
      <c r="F118" s="716" t="n"/>
      <c r="G118" s="716" t="n"/>
      <c r="H118" s="462" t="n"/>
    </row>
    <row r="119">
      <c r="A119" s="672" t="inlineStr">
        <is>
          <t>E100155</t>
        </is>
      </c>
      <c r="B119" s="767">
        <f>ROW()</f>
        <v/>
      </c>
      <c r="C119" s="182" t="inlineStr">
        <is>
          <t>内蒙古华宁热电有限公司</t>
        </is>
      </c>
      <c r="D119" s="182" t="inlineStr">
        <is>
          <t>ZI0290020082</t>
        </is>
      </c>
      <c r="E119" s="182" t="inlineStr">
        <is>
          <t>内蒙古电力(集团)有限责任公司</t>
        </is>
      </c>
      <c r="F119" s="716" t="n"/>
      <c r="G119" s="716" t="n"/>
      <c r="H119" s="462" t="n"/>
    </row>
    <row r="120">
      <c r="A120" s="672" t="inlineStr">
        <is>
          <t>E100159</t>
        </is>
      </c>
      <c r="B120" s="767">
        <f>ROW()</f>
        <v/>
      </c>
      <c r="C120" s="182" t="inlineStr">
        <is>
          <t>内蒙古京海煤矸石发电有限责任公司</t>
        </is>
      </c>
      <c r="D120" s="182" t="inlineStr">
        <is>
          <t>ZI0290020083</t>
        </is>
      </c>
      <c r="E120" s="182" t="inlineStr">
        <is>
          <t>内蒙古广纳煤业（集团）有限责任公司</t>
        </is>
      </c>
      <c r="F120" s="716" t="n"/>
      <c r="G120" s="716" t="n"/>
      <c r="H120" s="462" t="n"/>
    </row>
    <row r="121">
      <c r="A121" s="672" t="inlineStr">
        <is>
          <t>E100165</t>
        </is>
      </c>
      <c r="B121" s="767">
        <f>ROW()</f>
        <v/>
      </c>
      <c r="C121" s="182" t="inlineStr">
        <is>
          <t>内蒙古京能康巴什热电有限公司</t>
        </is>
      </c>
      <c r="D121" s="182" t="inlineStr">
        <is>
          <t>ZI0290020084</t>
        </is>
      </c>
      <c r="E121" s="182" t="inlineStr">
        <is>
          <t>鄂尔多斯市裕鑫投资有限公司</t>
        </is>
      </c>
      <c r="F121" s="716" t="n"/>
      <c r="G121" s="716" t="n"/>
      <c r="H121" s="462" t="n"/>
    </row>
    <row r="122">
      <c r="A122" s="672" t="inlineStr">
        <is>
          <t>E100180</t>
        </is>
      </c>
      <c r="B122" s="767">
        <f>ROW()</f>
        <v/>
      </c>
      <c r="C122" s="182" t="inlineStr">
        <is>
          <t>内蒙古京能能源开发有限责任公司</t>
        </is>
      </c>
      <c r="D122" s="182" t="inlineStr">
        <is>
          <t>ZI0290020085</t>
        </is>
      </c>
      <c r="E122" s="182" t="inlineStr">
        <is>
          <t>内蒙古和林格尔新区基础设施开发建设投资有限公司</t>
        </is>
      </c>
      <c r="F122" s="716" t="n"/>
      <c r="G122" s="716" t="n"/>
      <c r="H122" s="462" t="n"/>
    </row>
    <row r="123">
      <c r="A123" s="672" t="inlineStr">
        <is>
          <t>E100180</t>
        </is>
      </c>
      <c r="B123" s="767">
        <f>ROW()</f>
        <v/>
      </c>
      <c r="C123" s="182" t="inlineStr">
        <is>
          <t>内蒙古京能能源开发有限责任公司</t>
        </is>
      </c>
      <c r="D123" s="182" t="inlineStr">
        <is>
          <t>ZI0290020147</t>
        </is>
      </c>
      <c r="E123" s="182" t="inlineStr">
        <is>
          <t>内蒙古和林格尔新区建设管理咨询有限公司</t>
        </is>
      </c>
      <c r="F123" s="716" t="n"/>
      <c r="G123" s="716" t="n"/>
      <c r="H123" s="462" t="n"/>
    </row>
    <row r="124">
      <c r="A124" s="672" t="inlineStr">
        <is>
          <t>E100171</t>
        </is>
      </c>
      <c r="B124" s="767">
        <f>ROW()</f>
        <v/>
      </c>
      <c r="C124" s="182" t="inlineStr">
        <is>
          <t>内蒙古京能双欣发电有限公司</t>
        </is>
      </c>
      <c r="D124" s="182" t="inlineStr">
        <is>
          <t>ZI0290020086</t>
        </is>
      </c>
      <c r="E124" s="182" t="inlineStr">
        <is>
          <t>中国能源建设集团天津电力建设有限公司</t>
        </is>
      </c>
      <c r="F124" s="716" t="n"/>
      <c r="G124" s="716" t="n"/>
      <c r="H124" s="462" t="n"/>
    </row>
    <row r="125">
      <c r="A125" s="672" t="inlineStr">
        <is>
          <t>E100171</t>
        </is>
      </c>
      <c r="B125" s="767">
        <f>ROW()</f>
        <v/>
      </c>
      <c r="C125" s="182" t="inlineStr">
        <is>
          <t>内蒙古京能双欣发电有限公司</t>
        </is>
      </c>
      <c r="D125" s="182" t="inlineStr">
        <is>
          <t>ZI0290020087</t>
        </is>
      </c>
      <c r="E125" s="182" t="inlineStr">
        <is>
          <t>鄂尔多斯市双欣化学工业有限责任公司</t>
        </is>
      </c>
      <c r="F125" s="716" t="n"/>
      <c r="G125" s="716" t="n"/>
      <c r="H125" s="462" t="n"/>
    </row>
    <row r="126">
      <c r="A126" s="672" t="inlineStr">
        <is>
          <t>E100157</t>
        </is>
      </c>
      <c r="B126" s="767">
        <f>ROW()</f>
        <v/>
      </c>
      <c r="C126" s="182" t="inlineStr">
        <is>
          <t>内蒙古京泰发电有限责任公司</t>
        </is>
      </c>
      <c r="D126" s="182" t="inlineStr">
        <is>
          <t>ZI0290020088</t>
        </is>
      </c>
      <c r="E126" s="182" t="inlineStr">
        <is>
          <t>内蒙古伊泰煤炭股份有限公司</t>
        </is>
      </c>
      <c r="F126" s="716" t="n"/>
      <c r="G126" s="716" t="n"/>
      <c r="H126" s="462" t="n"/>
    </row>
    <row r="127">
      <c r="A127" s="672" t="inlineStr">
        <is>
          <t>E100157</t>
        </is>
      </c>
      <c r="B127" s="767">
        <f>ROW()</f>
        <v/>
      </c>
      <c r="C127" s="182" t="inlineStr">
        <is>
          <t>内蒙古京泰发电有限责任公司</t>
        </is>
      </c>
      <c r="D127" s="182" t="inlineStr">
        <is>
          <t>ZI0290020089</t>
        </is>
      </c>
      <c r="E127" s="182" t="inlineStr">
        <is>
          <t>山西粤电能源有限公司</t>
        </is>
      </c>
      <c r="F127" s="716" t="n"/>
      <c r="G127" s="716" t="n"/>
      <c r="H127" s="462" t="n"/>
    </row>
    <row r="128">
      <c r="A128" s="672" t="inlineStr">
        <is>
          <t>E100205</t>
        </is>
      </c>
      <c r="B128" s="767">
        <f>ROW()</f>
        <v/>
      </c>
      <c r="C128" s="182" t="inlineStr">
        <is>
          <t>宁夏红墩子煤业有限公司</t>
        </is>
      </c>
      <c r="D128" s="182" t="inlineStr">
        <is>
          <t>ZI0290020090</t>
        </is>
      </c>
      <c r="E128" s="182" t="inlineStr">
        <is>
          <t>国家电投集团宁夏能源铝业有限公司</t>
        </is>
      </c>
      <c r="F128" s="716" t="n"/>
      <c r="G128" s="716" t="n"/>
      <c r="H128" s="462" t="n"/>
    </row>
    <row r="129">
      <c r="A129" s="672" t="inlineStr">
        <is>
          <t>E100205</t>
        </is>
      </c>
      <c r="B129" s="767">
        <f>ROW()</f>
        <v/>
      </c>
      <c r="C129" s="182" t="inlineStr">
        <is>
          <t>宁夏红墩子煤业有限公司</t>
        </is>
      </c>
      <c r="D129" s="182" t="inlineStr">
        <is>
          <t>ZI0290020131</t>
        </is>
      </c>
      <c r="E129" s="182" t="inlineStr">
        <is>
          <t>宁夏宝丰能源集团股份有限公司</t>
        </is>
      </c>
      <c r="F129" s="716" t="n"/>
      <c r="G129" s="716" t="n"/>
      <c r="H129" s="462" t="n"/>
    </row>
    <row r="130">
      <c r="A130" s="672" t="inlineStr">
        <is>
          <t>E100152</t>
        </is>
      </c>
      <c r="B130" s="767">
        <f>ROW()</f>
        <v/>
      </c>
      <c r="C130" s="182" t="inlineStr">
        <is>
          <t>宁夏京能宁东发电有限责任公司</t>
        </is>
      </c>
      <c r="D130" s="182" t="inlineStr">
        <is>
          <t>ZI0290020091</t>
        </is>
      </c>
      <c r="E130" s="182" t="inlineStr">
        <is>
          <t>中铝宁夏能源集团有限公司</t>
        </is>
      </c>
      <c r="F130" s="716" t="n"/>
      <c r="G130" s="716" t="n"/>
      <c r="H130" s="462" t="n"/>
    </row>
    <row r="131">
      <c r="A131" s="672" t="inlineStr">
        <is>
          <t>E100176</t>
        </is>
      </c>
      <c r="B131" s="767">
        <f>ROW()</f>
        <v/>
      </c>
      <c r="C131" s="182" t="inlineStr">
        <is>
          <t>宁夏太阳山京智综合能源（售电）有限公司</t>
        </is>
      </c>
      <c r="D131" s="182" t="inlineStr">
        <is>
          <t>ZI0290020092</t>
        </is>
      </c>
      <c r="E131" s="182" t="inlineStr">
        <is>
          <t>中宁县工业（物流）园区物业管理有限公司</t>
        </is>
      </c>
      <c r="F131" s="716" t="n"/>
      <c r="G131" s="716" t="n"/>
      <c r="H131" s="462" t="n"/>
    </row>
    <row r="132">
      <c r="A132" s="672" t="inlineStr">
        <is>
          <t>E100176</t>
        </is>
      </c>
      <c r="B132" s="767">
        <f>ROW()</f>
        <v/>
      </c>
      <c r="C132" s="182" t="inlineStr">
        <is>
          <t>宁夏太阳山京智综合能源（售电）有限公司</t>
        </is>
      </c>
      <c r="D132" s="182" t="inlineStr">
        <is>
          <t>ZI0290020093</t>
        </is>
      </c>
      <c r="E132" s="182" t="inlineStr">
        <is>
          <t>北京国网电力技术有限公司</t>
        </is>
      </c>
      <c r="F132" s="716" t="n"/>
      <c r="G132" s="716" t="n"/>
      <c r="H132" s="462" t="n"/>
    </row>
    <row r="133">
      <c r="A133" s="672" t="inlineStr">
        <is>
          <t>E100177</t>
        </is>
      </c>
      <c r="B133" s="767">
        <f>ROW()</f>
        <v/>
      </c>
      <c r="C133" s="182" t="inlineStr">
        <is>
          <t>青岛京能智汇综合能源有限公司</t>
        </is>
      </c>
      <c r="D133" s="182" t="inlineStr">
        <is>
          <t>ZI0290020094</t>
        </is>
      </c>
      <c r="E133" s="182" t="inlineStr">
        <is>
          <t>青岛有住投资控股有限公司</t>
        </is>
      </c>
      <c r="F133" s="716" t="n"/>
      <c r="G133" s="716" t="n"/>
      <c r="H133" s="462" t="n"/>
    </row>
    <row r="134">
      <c r="A134" s="672" t="inlineStr">
        <is>
          <t>E100953</t>
        </is>
      </c>
      <c r="B134" s="767">
        <f>ROW()</f>
        <v/>
      </c>
      <c r="C134" s="182" t="inlineStr">
        <is>
          <t>清水河县惠民光伏发电有限公司</t>
        </is>
      </c>
      <c r="D134" s="182" t="inlineStr">
        <is>
          <t>ZI0290020095</t>
        </is>
      </c>
      <c r="E134" s="182" t="inlineStr">
        <is>
          <t>呼和浩特市城乡建设投资有限责任公司</t>
        </is>
      </c>
      <c r="F134" s="716" t="n"/>
      <c r="G134" s="716" t="n"/>
      <c r="H134" s="462" t="n"/>
    </row>
    <row r="135">
      <c r="A135" s="672" t="inlineStr">
        <is>
          <t>E100172</t>
        </is>
      </c>
      <c r="B135" s="767">
        <f>ROW()</f>
        <v/>
      </c>
      <c r="C135" s="182" t="inlineStr">
        <is>
          <t>山西京能吕临发电有限公司</t>
        </is>
      </c>
      <c r="D135" s="182" t="inlineStr">
        <is>
          <t>ZI0290020096</t>
        </is>
      </c>
      <c r="E135" s="182" t="inlineStr">
        <is>
          <t>霍州煤电集团有限责任公司</t>
        </is>
      </c>
      <c r="F135" s="716" t="n"/>
      <c r="G135" s="716" t="n"/>
      <c r="H135" s="462" t="n"/>
    </row>
    <row r="136">
      <c r="A136" s="672" t="inlineStr">
        <is>
          <t>E101135</t>
        </is>
      </c>
      <c r="B136" s="767">
        <f>ROW()</f>
        <v/>
      </c>
      <c r="C136" s="182" t="inlineStr">
        <is>
          <t>山西鑫华源智能立体停车设备制造有限责任公司</t>
        </is>
      </c>
      <c r="D136" s="182" t="inlineStr">
        <is>
          <t>ZI0290020097</t>
        </is>
      </c>
      <c r="E136" s="182" t="inlineStr">
        <is>
          <t>山西电机制造有限公司</t>
        </is>
      </c>
      <c r="F136" s="716" t="n"/>
      <c r="G136" s="716" t="n"/>
      <c r="H136" s="462" t="n"/>
    </row>
    <row r="137">
      <c r="A137" s="672" t="inlineStr">
        <is>
          <t>E100219</t>
        </is>
      </c>
      <c r="B137" s="767">
        <f>ROW()</f>
        <v/>
      </c>
      <c r="C137" s="182" t="inlineStr">
        <is>
          <t>唐山京曹天然气有限公司</t>
        </is>
      </c>
      <c r="D137" s="182" t="inlineStr">
        <is>
          <t>ZI0290020098</t>
        </is>
      </c>
      <c r="E137" s="182" t="inlineStr">
        <is>
          <t>唐山曹妃甸发展投资集团有限公司</t>
        </is>
      </c>
      <c r="F137" s="716" t="n"/>
      <c r="G137" s="716" t="n"/>
      <c r="H137" s="462" t="n"/>
    </row>
    <row r="138">
      <c r="A138" s="672" t="inlineStr">
        <is>
          <t>E100430</t>
        </is>
      </c>
      <c r="B138" s="767">
        <f>ROW()</f>
        <v/>
      </c>
      <c r="C138" s="182" t="inlineStr">
        <is>
          <t>天津海航东海岸发展有限公司</t>
        </is>
      </c>
      <c r="D138" s="182" t="inlineStr">
        <is>
          <t>ZI0290020099</t>
        </is>
      </c>
      <c r="E138" s="182" t="inlineStr">
        <is>
          <t>康因投资控股有限公司</t>
        </is>
      </c>
      <c r="F138" s="716" t="n"/>
      <c r="G138" s="716" t="n"/>
      <c r="H138" s="462" t="n"/>
    </row>
    <row r="139">
      <c r="A139" s="672" t="inlineStr">
        <is>
          <t>E100430</t>
        </is>
      </c>
      <c r="B139" s="767">
        <f>ROW()</f>
        <v/>
      </c>
      <c r="C139" s="182" t="inlineStr">
        <is>
          <t>天津海航东海岸发展有限公司</t>
        </is>
      </c>
      <c r="D139" s="182" t="inlineStr">
        <is>
          <t>ZI0290020100</t>
        </is>
      </c>
      <c r="E139" s="182" t="inlineStr">
        <is>
          <t>天津通合投资有限公司</t>
        </is>
      </c>
      <c r="F139" s="716" t="n"/>
      <c r="G139" s="716" t="n"/>
      <c r="H139" s="462" t="n"/>
    </row>
    <row r="140">
      <c r="A140" s="672" t="inlineStr">
        <is>
          <t>E100442</t>
        </is>
      </c>
      <c r="B140" s="767">
        <f>ROW()</f>
        <v/>
      </c>
      <c r="C140" s="182" t="inlineStr">
        <is>
          <t>天津津浦伟业地产有限公司</t>
        </is>
      </c>
      <c r="D140" s="182" t="inlineStr">
        <is>
          <t>ZI0290020101</t>
        </is>
      </c>
      <c r="E140" s="182" t="inlineStr">
        <is>
          <t>天津懿嘉园林绿化工程有限公司</t>
        </is>
      </c>
      <c r="F140" s="716" t="n"/>
      <c r="G140" s="716" t="n"/>
      <c r="H140" s="462" t="n"/>
    </row>
    <row r="141">
      <c r="A141" s="672" t="inlineStr">
        <is>
          <t>E100483</t>
        </is>
      </c>
      <c r="B141" s="767">
        <f>ROW()</f>
        <v/>
      </c>
      <c r="C141" s="182" t="inlineStr">
        <is>
          <t>投资北京国际有限公司</t>
        </is>
      </c>
      <c r="D141" s="182" t="inlineStr">
        <is>
          <t>ZI0290020102</t>
        </is>
      </c>
      <c r="E141" s="182" t="inlineStr">
        <is>
          <t>北京市工程咨询有限公司</t>
        </is>
      </c>
      <c r="F141" s="716" t="n"/>
      <c r="G141" s="716" t="n"/>
      <c r="H141" s="462" t="n"/>
    </row>
    <row r="142">
      <c r="A142" s="672" t="inlineStr">
        <is>
          <t>E100995</t>
        </is>
      </c>
      <c r="B142" s="767">
        <f>ROW()</f>
        <v/>
      </c>
      <c r="C142" s="182" t="inlineStr">
        <is>
          <t>阳春市光晏光伏发电有限公司</t>
        </is>
      </c>
      <c r="D142" s="182" t="inlineStr">
        <is>
          <t>ZI0290020103</t>
        </is>
      </c>
      <c r="E142" s="182" t="inlineStr">
        <is>
          <t>常州市光晏新能源有限公司</t>
        </is>
      </c>
      <c r="F142" s="716" t="n"/>
      <c r="G142" s="716" t="n"/>
      <c r="H142" s="462" t="n"/>
    </row>
    <row r="143">
      <c r="A143" s="672" t="inlineStr">
        <is>
          <t>E100995</t>
        </is>
      </c>
      <c r="B143" s="767">
        <f>ROW()</f>
        <v/>
      </c>
      <c r="C143" s="182" t="inlineStr">
        <is>
          <t>阳春市光晏光伏发电有限公司</t>
        </is>
      </c>
      <c r="D143" s="182" t="inlineStr">
        <is>
          <t>ZI0290020126</t>
        </is>
      </c>
      <c r="E143" s="182" t="inlineStr">
        <is>
          <t>阳春市春州扶贫资产投资有限公司</t>
        </is>
      </c>
      <c r="F143" s="716" t="n"/>
      <c r="G143" s="716" t="n"/>
      <c r="H143" s="462" t="n"/>
    </row>
    <row r="144">
      <c r="A144" s="672" t="inlineStr">
        <is>
          <t>E100854</t>
        </is>
      </c>
      <c r="B144" s="767">
        <f>ROW()</f>
        <v/>
      </c>
      <c r="C144" s="182" t="inlineStr">
        <is>
          <t>阳春市招联绿辉光伏发电有限公司</t>
        </is>
      </c>
      <c r="D144" s="182" t="inlineStr">
        <is>
          <t>ZI0290020104</t>
        </is>
      </c>
      <c r="E144" s="182" t="inlineStr">
        <is>
          <t>阳春市春州扶贫资产投资有限公司</t>
        </is>
      </c>
      <c r="F144" s="716" t="n"/>
      <c r="G144" s="716" t="n"/>
      <c r="H144" s="462" t="n"/>
    </row>
    <row r="145">
      <c r="A145" s="672" t="inlineStr">
        <is>
          <t>E100727</t>
        </is>
      </c>
      <c r="B145" s="767">
        <f>ROW()</f>
        <v/>
      </c>
      <c r="C145" s="182" t="inlineStr">
        <is>
          <t>宜昌市夷陵区中基热电有限公司</t>
        </is>
      </c>
      <c r="D145" s="182" t="inlineStr">
        <is>
          <t>ZI0290020105</t>
        </is>
      </c>
      <c r="E145" s="182" t="inlineStr">
        <is>
          <t>中基能源（深圳）有限公司</t>
        </is>
      </c>
      <c r="F145" s="716" t="n"/>
      <c r="G145" s="716" t="n"/>
      <c r="H145" s="462" t="n"/>
    </row>
    <row r="146">
      <c r="A146" s="672" t="inlineStr">
        <is>
          <t>E100741</t>
        </is>
      </c>
      <c r="B146" s="767">
        <f>ROW()</f>
        <v/>
      </c>
      <c r="C146" s="182" t="inlineStr">
        <is>
          <t>永胜惠光光伏发电有限公司</t>
        </is>
      </c>
      <c r="D146" s="182" t="inlineStr">
        <is>
          <t>ZI0290020106</t>
        </is>
      </c>
      <c r="E146" s="182" t="inlineStr">
        <is>
          <t>招商局漳州开发区丝路新能源有限公司</t>
        </is>
      </c>
      <c r="F146" s="716" t="n"/>
      <c r="G146" s="716" t="n"/>
      <c r="H146" s="462" t="n"/>
    </row>
    <row r="147">
      <c r="A147" s="672" t="inlineStr">
        <is>
          <t>E100012</t>
        </is>
      </c>
      <c r="B147" s="767">
        <f>ROW()</f>
        <v/>
      </c>
      <c r="C147" s="182" t="inlineStr">
        <is>
          <t>珠海市钰海电力有限公司</t>
        </is>
      </c>
      <c r="D147" s="182" t="inlineStr">
        <is>
          <t>ZI0290020107</t>
        </is>
      </c>
      <c r="E147" s="182" t="inlineStr">
        <is>
          <t xml:space="preserve">深圳市利联太阳百货有限公司 </t>
        </is>
      </c>
      <c r="F147" s="716" t="n"/>
      <c r="G147" s="716" t="n"/>
      <c r="H147" s="462" t="n"/>
    </row>
    <row r="148">
      <c r="A148" s="672" t="inlineStr">
        <is>
          <t>E100803</t>
        </is>
      </c>
      <c r="B148" s="767">
        <f>ROW()</f>
        <v/>
      </c>
      <c r="C148" s="182" t="inlineStr">
        <is>
          <t>北京京能颐寿轩康养有限公司（原名东竹园康养）</t>
        </is>
      </c>
      <c r="D148" s="182" t="inlineStr">
        <is>
          <t>ZI0290020108</t>
        </is>
      </c>
      <c r="E148" s="182" t="inlineStr">
        <is>
          <t>北京市物价局培训中心</t>
        </is>
      </c>
      <c r="F148" s="716" t="n"/>
      <c r="G148" s="716" t="n"/>
      <c r="H148" s="462" t="n"/>
    </row>
    <row r="149">
      <c r="A149" s="672" t="inlineStr">
        <is>
          <t>E100083</t>
        </is>
      </c>
      <c r="B149" s="767">
        <f>ROW()</f>
        <v/>
      </c>
      <c r="C149" s="182" t="inlineStr">
        <is>
          <t>浑源京晶新能源有限公司</t>
        </is>
      </c>
      <c r="D149" s="182" t="inlineStr">
        <is>
          <t>ZI0290020124</t>
        </is>
      </c>
      <c r="E149" s="182" t="inlineStr">
        <is>
          <t>横峰县晶源电力有限公司</t>
        </is>
      </c>
      <c r="F149" s="716" t="n"/>
      <c r="G149" s="716" t="n"/>
      <c r="H149" s="462" t="n"/>
    </row>
    <row r="150">
      <c r="A150" s="672" t="inlineStr">
        <is>
          <t>E100084</t>
        </is>
      </c>
      <c r="B150" s="767">
        <f>ROW()</f>
        <v/>
      </c>
      <c r="C150" s="182" t="inlineStr">
        <is>
          <t>寿阳京寿光伏发电有限公司</t>
        </is>
      </c>
      <c r="D150" s="182" t="inlineStr">
        <is>
          <t>ZI0290020109</t>
        </is>
      </c>
      <c r="E150" s="182" t="inlineStr">
        <is>
          <t>横峰县晶能电力有限公司</t>
        </is>
      </c>
      <c r="F150" s="716" t="n"/>
      <c r="G150" s="716" t="n"/>
      <c r="H150" s="462" t="n"/>
    </row>
    <row r="151">
      <c r="A151" s="672" t="inlineStr">
        <is>
          <t>E101139</t>
        </is>
      </c>
      <c r="B151" s="767">
        <f>ROW()</f>
        <v/>
      </c>
      <c r="C151" s="182" t="inlineStr">
        <is>
          <t>天创科技发展有限公司</t>
        </is>
      </c>
      <c r="D151" s="182" t="inlineStr">
        <is>
          <t>ZI0290020110</t>
        </is>
      </c>
      <c r="E151" s="182" t="inlineStr">
        <is>
          <t>辽宁兴源资产管理有限公司</t>
        </is>
      </c>
      <c r="F151" s="716" t="n"/>
      <c r="G151" s="716" t="n"/>
      <c r="H151" s="462" t="n"/>
    </row>
    <row r="152">
      <c r="A152" s="672" t="inlineStr">
        <is>
          <t>E101139</t>
        </is>
      </c>
      <c r="B152" s="767">
        <f>ROW()</f>
        <v/>
      </c>
      <c r="C152" s="182" t="inlineStr">
        <is>
          <t>天创科技发展有限公司</t>
        </is>
      </c>
      <c r="D152" s="182" t="inlineStr">
        <is>
          <t>ZI0290020111</t>
        </is>
      </c>
      <c r="E152" s="182" t="inlineStr">
        <is>
          <t>北京威滋德投资咨询有限公司</t>
        </is>
      </c>
      <c r="F152" s="716" t="n"/>
      <c r="G152" s="716" t="n"/>
      <c r="H152" s="462" t="n"/>
    </row>
    <row r="153">
      <c r="A153" s="672" t="inlineStr">
        <is>
          <t>E100145</t>
        </is>
      </c>
      <c r="B153" s="767">
        <f>ROW()</f>
        <v/>
      </c>
      <c r="C153" s="182" t="inlineStr">
        <is>
          <t>北京京能电力股份有限公司</t>
        </is>
      </c>
      <c r="D153" s="182" t="inlineStr">
        <is>
          <t>ZI0290020112</t>
        </is>
      </c>
      <c r="E153" s="182" t="inlineStr">
        <is>
          <t>山西国际电力集团有限公司</t>
        </is>
      </c>
      <c r="F153" s="716" t="n"/>
      <c r="G153" s="716" t="n"/>
      <c r="H153" s="462" t="n"/>
    </row>
    <row r="154">
      <c r="A154" s="672" t="inlineStr">
        <is>
          <t>E101069</t>
        </is>
      </c>
      <c r="B154" s="767">
        <f>ROW()</f>
        <v/>
      </c>
      <c r="C154" s="182" t="inlineStr">
        <is>
          <t>昌都市中电建新能源开发有限公司</t>
        </is>
      </c>
      <c r="D154" s="182" t="inlineStr">
        <is>
          <t>ZI0290020113</t>
        </is>
      </c>
      <c r="E154" s="182" t="inlineStr">
        <is>
          <t>定日县联合光伏有限公司</t>
        </is>
      </c>
      <c r="F154" s="716" t="n"/>
      <c r="G154" s="716" t="n"/>
      <c r="H154" s="462" t="n"/>
    </row>
    <row r="155">
      <c r="A155" s="672" t="inlineStr">
        <is>
          <t>E100738</t>
        </is>
      </c>
      <c r="B155" s="767">
        <f>ROW()</f>
        <v/>
      </c>
      <c r="C155" s="182" t="inlineStr">
        <is>
          <t>西藏藏能股份有限公司</t>
        </is>
      </c>
      <c r="D155" s="182" t="inlineStr">
        <is>
          <t>ZI0290020114</t>
        </is>
      </c>
      <c r="E155" s="182" t="inlineStr">
        <is>
          <t>西藏自治区国有资产经营公司</t>
        </is>
      </c>
      <c r="F155" s="716" t="n"/>
      <c r="G155" s="716" t="n"/>
      <c r="H155" s="462" t="n"/>
    </row>
    <row r="156">
      <c r="A156" s="672" t="inlineStr">
        <is>
          <t>E100738</t>
        </is>
      </c>
      <c r="B156" s="767">
        <f>ROW()</f>
        <v/>
      </c>
      <c r="C156" s="182" t="inlineStr">
        <is>
          <t>西藏藏能股份有限公司</t>
        </is>
      </c>
      <c r="D156" s="182" t="inlineStr">
        <is>
          <t>ZI0290020115</t>
        </is>
      </c>
      <c r="E156" s="182" t="inlineStr">
        <is>
          <t>西藏自治区投资有限公司</t>
        </is>
      </c>
      <c r="F156" s="716" t="n"/>
      <c r="G156" s="716" t="n"/>
      <c r="H156" s="462" t="n"/>
    </row>
    <row r="157">
      <c r="A157" s="672" t="inlineStr">
        <is>
          <t>E100571</t>
        </is>
      </c>
      <c r="B157" s="767">
        <f>ROW()</f>
        <v/>
      </c>
      <c r="C157" s="182" t="inlineStr">
        <is>
          <t>京能远景领金智汇（北京）科技有限公司</t>
        </is>
      </c>
      <c r="D157" s="182" t="inlineStr">
        <is>
          <t>ZI0290020116</t>
        </is>
      </c>
      <c r="E157" s="182" t="inlineStr">
        <is>
          <t>上海远景科创智能科技有限公司</t>
        </is>
      </c>
      <c r="F157" s="716" t="n"/>
      <c r="G157" s="716" t="n"/>
      <c r="H157" s="462" t="n"/>
    </row>
    <row r="158">
      <c r="A158" s="672" t="inlineStr">
        <is>
          <t>E100571</t>
        </is>
      </c>
      <c r="B158" s="767">
        <f>ROW()</f>
        <v/>
      </c>
      <c r="C158" s="182" t="inlineStr">
        <is>
          <t>京能远景领金智汇（北京）科技有限公司</t>
        </is>
      </c>
      <c r="D158" s="182" t="inlineStr">
        <is>
          <t>ZI0290020117</t>
        </is>
      </c>
      <c r="E158" s="182" t="inlineStr">
        <is>
          <t>北京领金智汇科技合伙企业（有限合伙）</t>
        </is>
      </c>
      <c r="F158" s="716" t="n"/>
      <c r="G158" s="716" t="n"/>
      <c r="H158" s="462" t="n"/>
    </row>
    <row r="159">
      <c r="A159" s="672" t="inlineStr">
        <is>
          <t>E100566</t>
        </is>
      </c>
      <c r="B159" s="767">
        <f>ROW()</f>
        <v/>
      </c>
      <c r="C159" s="182" t="inlineStr">
        <is>
          <t>北京京能燕开综合能源服务有限公司</t>
        </is>
      </c>
      <c r="D159" s="182" t="inlineStr">
        <is>
          <t>ZI0290020118</t>
        </is>
      </c>
      <c r="E159" s="182" t="inlineStr">
        <is>
          <t>燕开电气股份有限公司</t>
        </is>
      </c>
      <c r="F159" s="716" t="n"/>
      <c r="G159" s="716" t="n"/>
      <c r="H159" s="462" t="n"/>
    </row>
    <row r="160">
      <c r="A160" s="672" t="inlineStr">
        <is>
          <t>E100566</t>
        </is>
      </c>
      <c r="B160" s="767">
        <f>ROW()</f>
        <v/>
      </c>
      <c r="C160" s="182" t="inlineStr">
        <is>
          <t>北京京能燕开综合能源服务有限公司</t>
        </is>
      </c>
      <c r="D160" s="182" t="inlineStr">
        <is>
          <t>ZI0290020119</t>
        </is>
      </c>
      <c r="E160" s="182" t="inlineStr">
        <is>
          <t>北京鑫源合盛电气技术有限公司</t>
        </is>
      </c>
      <c r="F160" s="716" t="n"/>
      <c r="G160" s="716" t="n"/>
      <c r="H160" s="462" t="n"/>
    </row>
    <row r="161">
      <c r="A161" s="672" t="inlineStr">
        <is>
          <t>E101141</t>
        </is>
      </c>
      <c r="B161" s="767">
        <f>ROW()</f>
        <v/>
      </c>
      <c r="C161" s="182" t="inlineStr">
        <is>
          <t>锡林郭勒峰峰能源有限公司</t>
        </is>
      </c>
      <c r="D161" s="182" t="inlineStr">
        <is>
          <t>ZI0290020076</t>
        </is>
      </c>
      <c r="E161" s="182" t="inlineStr">
        <is>
          <t>冀中能源峰峰集团有限公司</t>
        </is>
      </c>
      <c r="F161" s="716" t="n"/>
      <c r="G161" s="716" t="n"/>
      <c r="H161" s="462" t="n"/>
    </row>
    <row r="162">
      <c r="A162" s="672" t="inlineStr">
        <is>
          <t>E100163</t>
        </is>
      </c>
      <c r="B162" s="767">
        <f>ROW()</f>
        <v/>
      </c>
      <c r="C162" s="182" t="inlineStr">
        <is>
          <t>右玉县京玉污水处理有限责任公司</t>
        </is>
      </c>
      <c r="D162" s="182" t="inlineStr">
        <is>
          <t>ZI0290020120</t>
        </is>
      </c>
      <c r="E162" s="182" t="inlineStr">
        <is>
          <t>右玉县通顺城乡建设投资管理有限公司</t>
        </is>
      </c>
      <c r="F162" s="716" t="n"/>
      <c r="G162" s="716" t="n"/>
      <c r="H162" s="462" t="n"/>
    </row>
    <row r="163">
      <c r="A163" s="672" t="inlineStr">
        <is>
          <t>E100162</t>
        </is>
      </c>
      <c r="B163" s="767">
        <f>ROW()</f>
        <v/>
      </c>
      <c r="C163" s="182" t="inlineStr">
        <is>
          <t>山西京玉发电有限责任公司</t>
        </is>
      </c>
      <c r="D163" s="182" t="inlineStr">
        <is>
          <t>ZI0290020121</t>
        </is>
      </c>
      <c r="E163" s="182" t="inlineStr">
        <is>
          <t>格盟国际能源投资有限公司</t>
        </is>
      </c>
      <c r="F163" s="716" t="n"/>
      <c r="G163" s="716" t="n"/>
      <c r="H163" s="462" t="n"/>
    </row>
    <row r="164">
      <c r="A164" s="672" t="inlineStr">
        <is>
          <t>E100407</t>
        </is>
      </c>
      <c r="B164" s="767">
        <f>ROW()</f>
        <v/>
      </c>
      <c r="C164" s="182" t="inlineStr">
        <is>
          <t>北京华源高洁能源供应技术有限责任公司</t>
        </is>
      </c>
      <c r="D164" s="182" t="inlineStr">
        <is>
          <t>ZI0290020122</t>
        </is>
      </c>
      <c r="E164" s="182" t="inlineStr">
        <is>
          <t>文津国际投资（北京）有限公司</t>
        </is>
      </c>
      <c r="F164" s="716" t="n"/>
      <c r="G164" s="716" t="n"/>
      <c r="H164" s="462" t="n"/>
    </row>
    <row r="165">
      <c r="A165" s="672" t="inlineStr">
        <is>
          <t>E100257</t>
        </is>
      </c>
      <c r="B165" s="767">
        <f>ROW()</f>
        <v/>
      </c>
      <c r="C165" s="182" t="inlineStr">
        <is>
          <t>北京金马特诚供暖有限责任公司</t>
        </is>
      </c>
      <c r="D165" s="182" t="inlineStr">
        <is>
          <t>ZI0290020123</t>
        </is>
      </c>
      <c r="E165" s="182" t="inlineStr">
        <is>
          <t>北京金马驹开发建设有限公司</t>
        </is>
      </c>
      <c r="F165" s="716" t="n"/>
      <c r="G165" s="716" t="n"/>
      <c r="H165" s="462" t="n"/>
    </row>
    <row r="166">
      <c r="A166" s="672" t="inlineStr">
        <is>
          <t>E100000G</t>
        </is>
      </c>
      <c r="B166" s="767">
        <f>ROW()</f>
        <v/>
      </c>
      <c r="C166" s="182" t="inlineStr">
        <is>
          <t>北京能源集团有限责任公司（合并）</t>
        </is>
      </c>
      <c r="D166" s="182" t="inlineStr">
        <is>
          <t>ZI0290020001</t>
        </is>
      </c>
      <c r="E166" s="182" t="inlineStr">
        <is>
          <t>北京国有资本运营管理有限公司</t>
        </is>
      </c>
      <c r="F166" s="716" t="n"/>
      <c r="G166" s="716" t="n"/>
      <c r="H166" s="462" t="n"/>
    </row>
    <row r="167">
      <c r="A167" s="672" t="inlineStr">
        <is>
          <t>E100000H</t>
        </is>
      </c>
      <c r="B167" s="767">
        <f>ROW()</f>
        <v/>
      </c>
      <c r="C167" s="182" t="inlineStr">
        <is>
          <t>北京能源集团有限责任公司（母公司）</t>
        </is>
      </c>
      <c r="D167" s="182" t="inlineStr">
        <is>
          <t>ZI0290020001</t>
        </is>
      </c>
      <c r="E167" s="182" t="inlineStr">
        <is>
          <t>北京国有资本运营管理有限公司</t>
        </is>
      </c>
      <c r="F167" s="716" t="n"/>
      <c r="G167" s="716" t="n"/>
      <c r="H167" s="462" t="n"/>
    </row>
    <row r="168">
      <c r="A168" s="672" t="inlineStr">
        <is>
          <t>E100001G</t>
        </is>
      </c>
      <c r="B168" s="767">
        <f>ROW()</f>
        <v/>
      </c>
      <c r="C168" s="182" t="inlineStr">
        <is>
          <t>北京京能清洁能源电力股份有限公司（合并）</t>
        </is>
      </c>
      <c r="D168" s="182" t="inlineStr">
        <is>
          <t>ZI0290020001</t>
        </is>
      </c>
      <c r="E168" s="182" t="inlineStr">
        <is>
          <t>北京国有资本运营管理有限公司</t>
        </is>
      </c>
      <c r="F168" s="716" t="n"/>
      <c r="G168" s="716" t="n"/>
      <c r="H168" s="462" t="n"/>
    </row>
    <row r="169">
      <c r="A169" s="672" t="inlineStr">
        <is>
          <t>E100001H</t>
        </is>
      </c>
      <c r="B169" s="767">
        <f>ROW()</f>
        <v/>
      </c>
      <c r="C169" s="182" t="inlineStr">
        <is>
          <t>北京京能清洁能源电力股份有限公司（母公司）</t>
        </is>
      </c>
      <c r="D169" s="182" t="inlineStr">
        <is>
          <t>ZI0290020001</t>
        </is>
      </c>
      <c r="E169" s="182" t="inlineStr">
        <is>
          <t>北京国有资本运营管理有限公司</t>
        </is>
      </c>
      <c r="F169" s="716" t="n"/>
      <c r="G169" s="716" t="n"/>
      <c r="H169" s="462" t="n"/>
    </row>
    <row r="170">
      <c r="A170" s="672" t="inlineStr">
        <is>
          <t>E100145G</t>
        </is>
      </c>
      <c r="B170" s="767">
        <f>ROW()</f>
        <v/>
      </c>
      <c r="C170" s="182" t="inlineStr">
        <is>
          <t>北京京能电力股份有限公司（合并）上市</t>
        </is>
      </c>
      <c r="D170" s="182" t="inlineStr">
        <is>
          <t>ZI0290020112</t>
        </is>
      </c>
      <c r="E170" s="182" t="inlineStr">
        <is>
          <t>山西国际电力集团有限公司</t>
        </is>
      </c>
      <c r="F170" s="716" t="n"/>
      <c r="G170" s="716" t="n"/>
      <c r="H170" s="462" t="n"/>
    </row>
    <row r="171">
      <c r="A171" s="672" t="inlineStr">
        <is>
          <t>E100145H</t>
        </is>
      </c>
      <c r="B171" s="767">
        <f>ROW()</f>
        <v/>
      </c>
      <c r="C171" s="182" t="inlineStr">
        <is>
          <t>北京京能电力股份有限公司（合并）本部</t>
        </is>
      </c>
      <c r="D171" s="182" t="inlineStr">
        <is>
          <t>ZI0290020112</t>
        </is>
      </c>
      <c r="E171" s="182" t="inlineStr">
        <is>
          <t>山西国际电力集团有限公司</t>
        </is>
      </c>
      <c r="F171" s="716" t="n"/>
      <c r="G171" s="716" t="n"/>
      <c r="H171" s="462" t="n"/>
    </row>
    <row r="172">
      <c r="A172" s="672" t="inlineStr">
        <is>
          <t>E100162G</t>
        </is>
      </c>
      <c r="B172" s="767">
        <f>ROW()</f>
        <v/>
      </c>
      <c r="C172" s="182" t="inlineStr">
        <is>
          <t>山西京玉发电有限责任公司（合并）</t>
        </is>
      </c>
      <c r="D172" s="182" t="inlineStr">
        <is>
          <t>ZI0290020121</t>
        </is>
      </c>
      <c r="E172" s="182" t="inlineStr">
        <is>
          <t>格盟国际能源投资有限公司</t>
        </is>
      </c>
      <c r="F172" s="716" t="n"/>
      <c r="G172" s="716" t="n"/>
      <c r="H172" s="462" t="n"/>
    </row>
    <row r="173">
      <c r="A173" s="672" t="inlineStr">
        <is>
          <t>E100189G</t>
        </is>
      </c>
      <c r="B173" s="767">
        <f>ROW()</f>
        <v/>
      </c>
      <c r="C173" s="182" t="inlineStr">
        <is>
          <t>京能锡林郭勒能源有限公司（合并）</t>
        </is>
      </c>
      <c r="D173" s="182" t="inlineStr">
        <is>
          <t>ZI0290020076</t>
        </is>
      </c>
      <c r="E173" s="182" t="inlineStr">
        <is>
          <t>冀中能源峰峰集团有限公司</t>
        </is>
      </c>
      <c r="F173" s="716" t="n"/>
      <c r="G173" s="716" t="n"/>
      <c r="H173" s="462" t="n"/>
    </row>
    <row r="174">
      <c r="A174" s="672" t="inlineStr">
        <is>
          <t>E100191G</t>
        </is>
      </c>
      <c r="B174" s="767">
        <f>ROW()</f>
        <v/>
      </c>
      <c r="C174" s="182" t="inlineStr">
        <is>
          <t>北京乐多港发展有限公司（合并）</t>
        </is>
      </c>
      <c r="D174" s="182" t="inlineStr">
        <is>
          <t>ZI0290020042</t>
        </is>
      </c>
      <c r="E174" s="182" t="inlineStr">
        <is>
          <t>中国农发重点建设基金有限公司</t>
        </is>
      </c>
      <c r="F174" s="716" t="n"/>
      <c r="G174" s="716" t="n"/>
      <c r="H174" s="462" t="n"/>
    </row>
    <row r="175">
      <c r="A175" s="672" t="inlineStr">
        <is>
          <t>E100191H</t>
        </is>
      </c>
      <c r="B175" s="767">
        <f>ROW()</f>
        <v/>
      </c>
      <c r="C175" s="182" t="inlineStr">
        <is>
          <t>北京乐多港发展有限公司（母公司合并）</t>
        </is>
      </c>
      <c r="D175" s="182" t="inlineStr">
        <is>
          <t>ZI0290020042</t>
        </is>
      </c>
      <c r="E175" s="182" t="inlineStr">
        <is>
          <t>中国农发重点建设基金有限公司</t>
        </is>
      </c>
      <c r="F175" s="716" t="n"/>
      <c r="G175" s="716" t="n"/>
      <c r="H175" s="462" t="n"/>
    </row>
    <row r="176">
      <c r="A176" s="672" t="inlineStr">
        <is>
          <t>E100200G</t>
        </is>
      </c>
      <c r="B176" s="767">
        <f>ROW()</f>
        <v/>
      </c>
      <c r="C176" s="182" t="inlineStr">
        <is>
          <t>北京京能能源技术研究有限责任公司（合并）</t>
        </is>
      </c>
      <c r="D176" s="182" t="inlineStr">
        <is>
          <t>ZI0290020029</t>
        </is>
      </c>
      <c r="E176" s="182" t="inlineStr">
        <is>
          <t>首航高科能源技术股份有限公司</t>
        </is>
      </c>
      <c r="F176" s="716" t="n"/>
      <c r="G176" s="716" t="n"/>
      <c r="H176" s="462" t="n"/>
    </row>
    <row r="177">
      <c r="A177" s="672" t="inlineStr">
        <is>
          <t>E100201G</t>
        </is>
      </c>
      <c r="B177" s="767">
        <f>ROW()</f>
        <v/>
      </c>
      <c r="C177" s="182" t="inlineStr">
        <is>
          <t>北京昊华能源股份有限公司（合并）</t>
        </is>
      </c>
      <c r="D177" s="182" t="inlineStr">
        <is>
          <t>ZI0290020010</t>
        </is>
      </c>
      <c r="E177" s="182" t="inlineStr">
        <is>
          <t>中国中煤能源集团有限公司</t>
        </is>
      </c>
      <c r="F177" s="716" t="n"/>
      <c r="G177" s="716" t="n"/>
      <c r="H177" s="462" t="n"/>
    </row>
    <row r="178">
      <c r="A178" s="672" t="inlineStr">
        <is>
          <t>E100201H</t>
        </is>
      </c>
      <c r="B178" s="767">
        <f>ROW()</f>
        <v/>
      </c>
      <c r="C178" s="182" t="inlineStr">
        <is>
          <t>北京昊华能源股份有限公司（母公司）</t>
        </is>
      </c>
      <c r="D178" s="182" t="inlineStr">
        <is>
          <t>ZI0290020010</t>
        </is>
      </c>
      <c r="E178" s="182" t="inlineStr">
        <is>
          <t>中国中煤能源集团有限公司</t>
        </is>
      </c>
      <c r="F178" s="716" t="n"/>
      <c r="G178" s="716" t="n"/>
      <c r="H178" s="462" t="n"/>
    </row>
    <row r="179">
      <c r="A179" s="672" t="inlineStr">
        <is>
          <t>E100203G</t>
        </is>
      </c>
      <c r="B179" s="767">
        <f>ROW()</f>
        <v/>
      </c>
      <c r="C179" s="182" t="inlineStr">
        <is>
          <t>杭锦旗西部能源开发有限公司（合并）</t>
        </is>
      </c>
      <c r="D179" s="182" t="inlineStr">
        <is>
          <t>ZI0290020063</t>
        </is>
      </c>
      <c r="E179" s="182" t="inlineStr">
        <is>
          <t>山西中博房地产开发有限公司</t>
        </is>
      </c>
      <c r="F179" s="716" t="n"/>
      <c r="G179" s="716" t="n"/>
      <c r="H179" s="462" t="n"/>
    </row>
    <row r="180">
      <c r="A180" s="672" t="inlineStr">
        <is>
          <t>E100254G</t>
        </is>
      </c>
      <c r="B180" s="767">
        <f>ROW()</f>
        <v/>
      </c>
      <c r="C180" s="182" t="inlineStr">
        <is>
          <t>京能大同热力有限公司（合并）</t>
        </is>
      </c>
      <c r="D180" s="182" t="inlineStr">
        <is>
          <t>ZI0290020075</t>
        </is>
      </c>
      <c r="E180" s="182" t="inlineStr">
        <is>
          <t>大同市经济建设投资集团有限责任公司</t>
        </is>
      </c>
      <c r="F180" s="716" t="n"/>
      <c r="G180" s="716" t="n"/>
      <c r="H180" s="462" t="n"/>
    </row>
    <row r="181">
      <c r="A181" s="672" t="inlineStr">
        <is>
          <t>E100254H</t>
        </is>
      </c>
      <c r="B181" s="767">
        <f>ROW()</f>
        <v/>
      </c>
      <c r="C181" s="182" t="inlineStr">
        <is>
          <t>京能大同热力有限公司（合并）本部</t>
        </is>
      </c>
      <c r="D181" s="182" t="inlineStr">
        <is>
          <t>ZI0290020075</t>
        </is>
      </c>
      <c r="E181" s="182" t="inlineStr">
        <is>
          <t>大同市经济建设投资集团有限责任公司</t>
        </is>
      </c>
      <c r="F181" s="716" t="n"/>
      <c r="G181" s="716" t="n"/>
      <c r="H181" s="462" t="n"/>
    </row>
    <row r="182">
      <c r="A182" s="672" t="inlineStr">
        <is>
          <t>E100443H</t>
        </is>
      </c>
      <c r="B182" s="767">
        <f>ROW()</f>
        <v/>
      </c>
      <c r="C182" s="182" t="inlineStr">
        <is>
          <t>金泰丽城（天津）置业投资有限公司（汇总）</t>
        </is>
      </c>
      <c r="D182" s="182" t="inlineStr">
        <is>
          <t>ZI0290020069</t>
        </is>
      </c>
      <c r="E182" s="182" t="inlineStr">
        <is>
          <t>北京鸿睿达投资有限公司</t>
        </is>
      </c>
      <c r="F182" s="716" t="n"/>
      <c r="G182" s="716" t="n"/>
      <c r="H182" s="462" t="n"/>
    </row>
    <row r="183">
      <c r="A183" s="672" t="inlineStr">
        <is>
          <t>E100483G</t>
        </is>
      </c>
      <c r="B183" s="767">
        <f>ROW()</f>
        <v/>
      </c>
      <c r="C183" s="182" t="inlineStr">
        <is>
          <t>投资北京国际有限公司（合并）</t>
        </is>
      </c>
      <c r="D183" s="182" t="inlineStr">
        <is>
          <t>ZI0290020102</t>
        </is>
      </c>
      <c r="E183" s="182" t="inlineStr">
        <is>
          <t>北京市工程咨询有限公司</t>
        </is>
      </c>
      <c r="F183" s="716" t="n"/>
      <c r="G183" s="716" t="n"/>
      <c r="H183" s="462" t="n"/>
    </row>
    <row r="184">
      <c r="A184" s="672" t="inlineStr">
        <is>
          <t>E100538G</t>
        </is>
      </c>
      <c r="B184" s="767">
        <f>ROW()</f>
        <v/>
      </c>
      <c r="C184" s="182" t="inlineStr">
        <is>
          <t>北京京煤集团地质勘探队（合并）</t>
        </is>
      </c>
      <c r="D184" s="182" t="inlineStr">
        <is>
          <t>ZI0290020002</t>
        </is>
      </c>
      <c r="E184" s="182" t="inlineStr">
        <is>
          <t>北京市财政局</t>
        </is>
      </c>
      <c r="F184" s="716" t="n"/>
      <c r="G184" s="716" t="n"/>
      <c r="H184" s="462" t="n"/>
    </row>
    <row r="185">
      <c r="A185" s="672" t="inlineStr">
        <is>
          <t>E100704G</t>
        </is>
      </c>
      <c r="B185" s="767">
        <f>ROW()</f>
        <v/>
      </c>
      <c r="C185" s="182" t="inlineStr">
        <is>
          <t>北京京润仁康控股有限公司（合并）</t>
        </is>
      </c>
      <c r="D185" s="182" t="inlineStr">
        <is>
          <t>ZI0290020035</t>
        </is>
      </c>
      <c r="E185" s="182" t="inlineStr">
        <is>
          <t>华润医院控股有限公司</t>
        </is>
      </c>
      <c r="F185" s="716" t="n"/>
      <c r="G185" s="716" t="n"/>
      <c r="H185" s="462" t="n"/>
    </row>
    <row r="186">
      <c r="A186" s="672" t="inlineStr">
        <is>
          <t>E100734G</t>
        </is>
      </c>
      <c r="B186" s="767">
        <f>ROW()</f>
        <v/>
      </c>
      <c r="C186" s="182" t="inlineStr">
        <is>
          <t>联合光伏（常州）投资集团有限公司（合并）</t>
        </is>
      </c>
      <c r="D186" s="182" t="inlineStr">
        <is>
          <t>ZI0290020079</t>
        </is>
      </c>
      <c r="E186" s="182" t="inlineStr">
        <is>
          <t>工银金融资产投资有限公司</t>
        </is>
      </c>
      <c r="F186" s="716" t="n"/>
      <c r="G186" s="716" t="n"/>
      <c r="H186" s="462" t="n"/>
    </row>
    <row r="187">
      <c r="A187" s="672" t="inlineStr">
        <is>
          <t>E100738G</t>
        </is>
      </c>
      <c r="B187" s="767">
        <f>ROW()</f>
        <v/>
      </c>
      <c r="C187" s="182" t="inlineStr">
        <is>
          <t>西藏藏能股份有限公司（合并）</t>
        </is>
      </c>
      <c r="D187" s="182" t="inlineStr">
        <is>
          <t>ZI0290020114</t>
        </is>
      </c>
      <c r="E187" s="182" t="inlineStr">
        <is>
          <t>西藏自治区国有资产经营公司</t>
        </is>
      </c>
      <c r="F187" s="716" t="n"/>
      <c r="G187" s="716" t="n"/>
      <c r="H187" s="462" t="n"/>
    </row>
    <row r="188">
      <c r="A188" s="672" t="inlineStr">
        <is>
          <t>E100171</t>
        </is>
      </c>
      <c r="B188" s="767">
        <f>ROW()</f>
        <v/>
      </c>
      <c r="C188" s="182" t="inlineStr">
        <is>
          <t>内蒙古京能双欣发电有限公司</t>
        </is>
      </c>
      <c r="D188" s="182" t="inlineStr">
        <is>
          <t>ZI0290020087</t>
        </is>
      </c>
      <c r="E188" s="182" t="inlineStr">
        <is>
          <t>鄂尔多斯市双欣化学工业有限责任公司</t>
        </is>
      </c>
      <c r="F188" s="716" t="n"/>
      <c r="G188" s="716" t="n"/>
      <c r="H188" s="462" t="n"/>
    </row>
    <row r="189">
      <c r="A189" s="672" t="inlineStr">
        <is>
          <t>E100171</t>
        </is>
      </c>
      <c r="B189" s="767">
        <f>ROW()</f>
        <v/>
      </c>
      <c r="C189" s="182" t="inlineStr">
        <is>
          <t>内蒙古京能双欣发电有限公司</t>
        </is>
      </c>
      <c r="D189" s="182" t="inlineStr">
        <is>
          <t>ZI0290020086</t>
        </is>
      </c>
      <c r="E189" s="182" t="inlineStr">
        <is>
          <t>中国能源建设集团天津电力建设有限公司</t>
        </is>
      </c>
      <c r="F189" s="716" t="n"/>
      <c r="G189" s="716" t="n"/>
      <c r="H189" s="462" t="n"/>
    </row>
    <row r="190">
      <c r="A190" s="672" t="inlineStr">
        <is>
          <t>E100171</t>
        </is>
      </c>
      <c r="B190" s="767">
        <f>ROW()</f>
        <v/>
      </c>
      <c r="C190" s="182" t="inlineStr">
        <is>
          <t>内蒙古京能双欣发电有限公司</t>
        </is>
      </c>
      <c r="D190" s="182" t="inlineStr">
        <is>
          <t>ZI0290020125</t>
        </is>
      </c>
      <c r="E190" s="182" t="inlineStr">
        <is>
          <t>内蒙古双欣能源化工有限公司</t>
        </is>
      </c>
      <c r="F190" s="716" t="n"/>
      <c r="G190" s="716" t="n"/>
      <c r="H190" s="462" t="n"/>
    </row>
    <row r="191">
      <c r="A191" s="182" t="inlineStr">
        <is>
          <t>E101059</t>
        </is>
      </c>
      <c r="B191" s="767">
        <f>ROW()</f>
        <v/>
      </c>
      <c r="C191" s="182" t="inlineStr">
        <is>
          <t>迁西富龙热力有限责任公司</t>
        </is>
      </c>
      <c r="D191" s="182" t="inlineStr">
        <is>
          <t>ZI0290020127</t>
        </is>
      </c>
      <c r="E191" s="182" t="inlineStr">
        <is>
          <t>迁西县建城热力有限责任公司</t>
        </is>
      </c>
      <c r="F191" s="716" t="n"/>
      <c r="G191" s="716" t="n"/>
      <c r="H191" s="462" t="n"/>
    </row>
    <row r="192">
      <c r="A192" s="672" t="inlineStr">
        <is>
          <t>E101076</t>
        </is>
      </c>
      <c r="B192" s="767">
        <f>ROW()</f>
        <v/>
      </c>
      <c r="C192" s="182" t="inlineStr">
        <is>
          <t>京能胜科（海南）国际能源有限公司</t>
        </is>
      </c>
      <c r="D192" s="182" t="inlineStr">
        <is>
          <t>ZI0290020128</t>
        </is>
      </c>
      <c r="E192" s="182" t="inlineStr">
        <is>
          <t>胜科能源投资（上海）有限公司</t>
        </is>
      </c>
      <c r="F192" s="716" t="n"/>
      <c r="G192" s="716" t="n"/>
      <c r="H192" s="462" t="n"/>
    </row>
    <row r="193">
      <c r="A193" s="672" t="inlineStr">
        <is>
          <t>E100921</t>
        </is>
      </c>
      <c r="B193" s="767">
        <f>ROW()</f>
        <v/>
      </c>
      <c r="C193" s="182" t="inlineStr">
        <is>
          <t>北京京能绿通新能源有限公司</t>
        </is>
      </c>
      <c r="D193" s="182" t="inlineStr">
        <is>
          <t>ZI0290020129</t>
        </is>
      </c>
      <c r="E193" s="182" t="inlineStr">
        <is>
          <t>北京中恺能源发展有限公司</t>
        </is>
      </c>
      <c r="F193" s="716" t="n"/>
      <c r="G193" s="716" t="n"/>
      <c r="H193" s="462" t="n"/>
    </row>
    <row r="194">
      <c r="A194" s="672" t="inlineStr">
        <is>
          <t>E100921</t>
        </is>
      </c>
      <c r="B194" s="767">
        <f>ROW()</f>
        <v/>
      </c>
      <c r="C194" s="182" t="inlineStr">
        <is>
          <t>北京京能绿通新能源有限公司</t>
        </is>
      </c>
      <c r="D194" s="182" t="inlineStr">
        <is>
          <t>ZI0290020130</t>
        </is>
      </c>
      <c r="E194" s="182" t="inlineStr">
        <is>
          <t>北京云智优胜通讯科技发展有限公司</t>
        </is>
      </c>
      <c r="F194" s="716" t="n"/>
      <c r="G194" s="716" t="n"/>
      <c r="H194" s="462" t="n"/>
    </row>
    <row r="195">
      <c r="A195" s="672" t="inlineStr">
        <is>
          <t>E101188</t>
        </is>
      </c>
      <c r="B195" s="767">
        <f>ROW()</f>
        <v/>
      </c>
      <c r="C195" s="182" t="inlineStr">
        <is>
          <t>亚洲新能源（宝应）风力发电有限公司</t>
        </is>
      </c>
      <c r="D195" s="182" t="inlineStr">
        <is>
          <t>ZI0290020132</t>
        </is>
      </c>
      <c r="E195" s="182" t="inlineStr">
        <is>
          <t>哈尔滨九洲能源投资有限责任公司</t>
        </is>
      </c>
      <c r="F195" s="716" t="n"/>
      <c r="G195" s="716" t="n"/>
      <c r="H195" s="462" t="n"/>
    </row>
    <row r="196">
      <c r="A196" s="672" t="inlineStr">
        <is>
          <t>E101190</t>
        </is>
      </c>
      <c r="B196" s="767">
        <f>ROW()</f>
        <v/>
      </c>
      <c r="C196" s="182" t="inlineStr">
        <is>
          <t>保山能源发展股份有限公司</t>
        </is>
      </c>
      <c r="D196" s="182" t="inlineStr">
        <is>
          <t>ZI0290020133</t>
        </is>
      </c>
      <c r="E196" s="182" t="inlineStr">
        <is>
          <t>保山市国有资产经营有限责任公司</t>
        </is>
      </c>
      <c r="F196" s="716" t="n"/>
      <c r="G196" s="716" t="n"/>
      <c r="H196" s="462" t="n"/>
    </row>
    <row r="197">
      <c r="A197" s="672" t="inlineStr">
        <is>
          <t>E101190</t>
        </is>
      </c>
      <c r="B197" s="767">
        <f>ROW()</f>
        <v/>
      </c>
      <c r="C197" s="182" t="inlineStr">
        <is>
          <t>保山能源发展股份有限公司</t>
        </is>
      </c>
      <c r="D197" s="182" t="inlineStr">
        <is>
          <t>ZI0290020134</t>
        </is>
      </c>
      <c r="E197" s="182" t="inlineStr">
        <is>
          <t>腾冲县国有资产经营有限责任公司</t>
        </is>
      </c>
      <c r="F197" s="716" t="n"/>
      <c r="G197" s="716" t="n"/>
      <c r="H197" s="462" t="n"/>
    </row>
    <row r="198">
      <c r="A198" s="672" t="inlineStr">
        <is>
          <t>E101190</t>
        </is>
      </c>
      <c r="B198" s="767">
        <f>ROW()</f>
        <v/>
      </c>
      <c r="C198" s="182" t="inlineStr">
        <is>
          <t>保山能源发展股份有限公司</t>
        </is>
      </c>
      <c r="D198" s="182" t="inlineStr">
        <is>
          <t>ZI0290020135</t>
        </is>
      </c>
      <c r="E198" s="182" t="inlineStr">
        <is>
          <t>龙陵县国有资产经营有限责任公司</t>
        </is>
      </c>
      <c r="F198" s="716" t="n"/>
      <c r="G198" s="716" t="n"/>
      <c r="H198" s="462" t="n"/>
    </row>
    <row r="199" ht="16" customHeight="1" s="1181">
      <c r="A199" s="672" t="inlineStr">
        <is>
          <t>E101190</t>
        </is>
      </c>
      <c r="B199" s="767">
        <f>ROW()</f>
        <v/>
      </c>
      <c r="C199" s="182" t="inlineStr">
        <is>
          <t>保山能源发展股份有限公司</t>
        </is>
      </c>
      <c r="D199" s="182" t="inlineStr">
        <is>
          <t>ZI0290020136</t>
        </is>
      </c>
      <c r="E199" s="769" t="inlineStr">
        <is>
          <t>施甸县国有资产经营集团有限责任公司</t>
        </is>
      </c>
      <c r="F199" s="716" t="n"/>
      <c r="G199" s="716" t="n"/>
      <c r="H199" s="462" t="n"/>
    </row>
    <row r="200" ht="16" customHeight="1" s="1181">
      <c r="A200" s="672" t="inlineStr">
        <is>
          <t>E101190</t>
        </is>
      </c>
      <c r="B200" s="767">
        <f>ROW()</f>
        <v/>
      </c>
      <c r="C200" s="182" t="inlineStr">
        <is>
          <t>保山能源发展股份有限公司</t>
        </is>
      </c>
      <c r="D200" s="182" t="inlineStr">
        <is>
          <t>ZI0290020137</t>
        </is>
      </c>
      <c r="E200" s="769" t="inlineStr">
        <is>
          <t>保山市隆阳区国有资产经营有限责任公司</t>
        </is>
      </c>
      <c r="F200" s="716" t="n"/>
      <c r="G200" s="716" t="n"/>
      <c r="H200" s="462" t="n"/>
    </row>
    <row r="201">
      <c r="A201" s="672" t="inlineStr">
        <is>
          <t>E101190</t>
        </is>
      </c>
      <c r="B201" s="767">
        <f>ROW()</f>
        <v/>
      </c>
      <c r="C201" s="182" t="inlineStr">
        <is>
          <t>保山能源发展股份有限公司</t>
        </is>
      </c>
      <c r="D201" s="182" t="inlineStr">
        <is>
          <t>ZI0290020138</t>
        </is>
      </c>
      <c r="E201" s="182" t="inlineStr">
        <is>
          <t>昌宁县国有资产经营有限责任公司</t>
        </is>
      </c>
      <c r="F201" s="716" t="n"/>
      <c r="G201" s="716" t="n"/>
      <c r="H201" s="462" t="n"/>
    </row>
    <row r="202">
      <c r="A202" s="672" t="inlineStr">
        <is>
          <t>E101190</t>
        </is>
      </c>
      <c r="B202" s="767">
        <f>ROW()</f>
        <v/>
      </c>
      <c r="C202" s="182" t="inlineStr">
        <is>
          <t>保山能源发展股份有限公司</t>
        </is>
      </c>
      <c r="D202" s="182" t="inlineStr">
        <is>
          <t>ZI0290020139</t>
        </is>
      </c>
      <c r="E202" s="182" t="inlineStr">
        <is>
          <t>云南省地方电力实业开发有限公司</t>
        </is>
      </c>
      <c r="F202" s="716" t="n"/>
      <c r="G202" s="716" t="n"/>
      <c r="H202" s="462" t="n"/>
    </row>
    <row r="203" ht="16" customHeight="1" s="1181">
      <c r="A203" s="672" t="inlineStr">
        <is>
          <t>E101190</t>
        </is>
      </c>
      <c r="B203" s="767">
        <f>ROW()</f>
        <v/>
      </c>
      <c r="C203" s="182" t="inlineStr">
        <is>
          <t>保山能源发展股份有限公司</t>
        </is>
      </c>
      <c r="D203" s="182" t="inlineStr">
        <is>
          <t>ZI0290020140</t>
        </is>
      </c>
      <c r="E203" s="769" t="inlineStr">
        <is>
          <t>中国三峡新能源(集团)股份有限公司</t>
        </is>
      </c>
      <c r="F203" s="716" t="n"/>
      <c r="G203" s="716" t="n"/>
      <c r="H203" s="462" t="n"/>
    </row>
    <row r="204">
      <c r="A204" s="672" t="inlineStr">
        <is>
          <t>E101192</t>
        </is>
      </c>
      <c r="B204" s="767">
        <f>ROW()</f>
        <v/>
      </c>
      <c r="C204" s="182" t="inlineStr">
        <is>
          <t>保山龙川江水电开发有限公司</t>
        </is>
      </c>
      <c r="D204" s="182" t="inlineStr">
        <is>
          <t>ZI0290020141</t>
        </is>
      </c>
      <c r="E204" s="182" t="inlineStr">
        <is>
          <t>国家电投集团云南国际电力投资有限公司</t>
        </is>
      </c>
      <c r="F204" s="716" t="n"/>
      <c r="G204" s="716" t="n"/>
      <c r="H204" s="462" t="n"/>
    </row>
    <row r="205">
      <c r="A205" s="672" t="inlineStr">
        <is>
          <t>E100846</t>
        </is>
      </c>
      <c r="B205" s="767">
        <f>ROW()</f>
        <v/>
      </c>
      <c r="C205" s="182" t="inlineStr">
        <is>
          <t>内蒙古京能准旗新能源有限公司</t>
        </is>
      </c>
      <c r="D205" s="182" t="inlineStr">
        <is>
          <t>ZI0290020142</t>
        </is>
      </c>
      <c r="E205" s="182" t="inlineStr">
        <is>
          <t>阳光新能源开发股份有限公司</t>
        </is>
      </c>
      <c r="F205" s="716" t="n"/>
      <c r="G205" s="716" t="n"/>
      <c r="H205" s="462" t="n"/>
    </row>
    <row r="206">
      <c r="A206" s="672" t="inlineStr">
        <is>
          <t>E101152</t>
        </is>
      </c>
      <c r="B206" s="767">
        <f>ROW()</f>
        <v/>
      </c>
      <c r="C206" s="182" t="inlineStr">
        <is>
          <t>广西忻城京能新能源有限公司</t>
        </is>
      </c>
      <c r="D206" s="182" t="inlineStr">
        <is>
          <t>ZI0290020143</t>
        </is>
      </c>
      <c r="E206" s="182" t="inlineStr">
        <is>
          <t>广西忻城京海新能源有限公司</t>
        </is>
      </c>
      <c r="F206" s="716" t="n"/>
      <c r="G206" s="716" t="n"/>
      <c r="H206" s="462" t="n"/>
    </row>
    <row r="207">
      <c r="A207" s="672" t="inlineStr">
        <is>
          <t>E101137</t>
        </is>
      </c>
      <c r="B207" s="767">
        <f>ROW()</f>
        <v/>
      </c>
      <c r="C207" s="182" t="inlineStr">
        <is>
          <t>内蒙古京海煤矸石发电有限责任公司水泥分公司</t>
        </is>
      </c>
      <c r="D207" s="182" t="inlineStr">
        <is>
          <t>ZI0290020083</t>
        </is>
      </c>
      <c r="E207" s="182" t="inlineStr">
        <is>
          <t>内蒙古广纳煤业（集团）有限责任公司</t>
        </is>
      </c>
      <c r="F207" s="716" t="n"/>
      <c r="G207" s="716" t="n"/>
      <c r="H207" s="462" t="n"/>
    </row>
    <row r="208">
      <c r="A208" s="672" t="inlineStr">
        <is>
          <t>E101211</t>
        </is>
      </c>
      <c r="B208" s="767">
        <f>ROW()</f>
        <v/>
      </c>
      <c r="C208" s="672" t="inlineStr">
        <is>
          <t>航远5号集合资金信托计划</t>
        </is>
      </c>
      <c r="D208" s="182" t="inlineStr">
        <is>
          <t>ZI0290020144</t>
        </is>
      </c>
      <c r="E208" s="182" t="inlineStr">
        <is>
          <t>泰康资产管理有限责任公司</t>
        </is>
      </c>
      <c r="F208" s="716" t="n"/>
      <c r="G208" s="716" t="n"/>
      <c r="H208" s="462" t="n"/>
    </row>
    <row r="209">
      <c r="A209" s="672" t="inlineStr">
        <is>
          <t>E101216</t>
        </is>
      </c>
      <c r="B209" s="767">
        <f>ROW()</f>
        <v/>
      </c>
      <c r="C209" s="182" t="inlineStr">
        <is>
          <t>航远6号集合资金信托计划</t>
        </is>
      </c>
      <c r="D209" s="182" t="inlineStr">
        <is>
          <t>ZI0290020145</t>
        </is>
      </c>
      <c r="E209" s="182" t="inlineStr">
        <is>
          <t>国寿投资保险资产管理有限公司</t>
        </is>
      </c>
      <c r="F209" s="716" t="n"/>
      <c r="G209" s="716" t="n"/>
      <c r="H209" s="462" t="n"/>
    </row>
    <row r="210">
      <c r="A210" s="182" t="inlineStr">
        <is>
          <t>E101223</t>
        </is>
      </c>
      <c r="B210" s="767">
        <f>ROW()</f>
        <v/>
      </c>
      <c r="C210" s="182" t="inlineStr">
        <is>
          <t>亚洲新能源（金湖）风力发电有限公司</t>
        </is>
      </c>
      <c r="D210" s="182" t="inlineStr">
        <is>
          <t>ZI0290020132</t>
        </is>
      </c>
      <c r="E210" s="182" t="inlineStr">
        <is>
          <t>哈尔滨九洲能源投资有限责任公司</t>
        </is>
      </c>
      <c r="F210" s="716" t="n"/>
      <c r="G210" s="716" t="n"/>
      <c r="H210" s="462" t="n"/>
    </row>
    <row r="211">
      <c r="A211" s="672" t="inlineStr">
        <is>
          <t>E101215</t>
        </is>
      </c>
      <c r="B211" s="767">
        <f>ROW()</f>
        <v/>
      </c>
      <c r="C211" s="182" t="inlineStr">
        <is>
          <t>北京京热兴怀能源有限责任公司</t>
        </is>
      </c>
      <c r="D211" s="182" t="inlineStr">
        <is>
          <t>ZI0290020146</t>
        </is>
      </c>
      <c r="E211" s="182" t="inlineStr">
        <is>
          <t>北京怀胜城市建设开发有限公司</t>
        </is>
      </c>
      <c r="F211" s="716" t="n"/>
      <c r="G211" s="716" t="n"/>
      <c r="H211" s="462" t="n"/>
    </row>
    <row r="212">
      <c r="A212" s="672" t="inlineStr">
        <is>
          <t>E101336</t>
        </is>
      </c>
      <c r="B212" s="767">
        <f>ROW()</f>
        <v/>
      </c>
      <c r="C212" s="182" t="inlineStr">
        <is>
          <t>盛唐壹号(天津) 企业管理合伙企业(有限合伙）</t>
        </is>
      </c>
      <c r="D212" s="182" t="inlineStr">
        <is>
          <t>ZI0290020070</t>
        </is>
      </c>
      <c r="E212" s="182" t="inlineStr">
        <is>
          <t>中铁信托有限责任公司</t>
        </is>
      </c>
      <c r="F212" s="716" t="n"/>
      <c r="G212" s="716" t="n"/>
      <c r="H212" s="462" t="n"/>
    </row>
    <row r="213">
      <c r="A213" s="672" t="inlineStr">
        <is>
          <t>E101245</t>
        </is>
      </c>
      <c r="B213" s="767">
        <f>ROW()</f>
        <v/>
      </c>
      <c r="C213" s="182" t="inlineStr">
        <is>
          <t>盛唐贰号（天津）企业管理合伙企业（有限合伙）</t>
        </is>
      </c>
      <c r="D213" s="182" t="inlineStr">
        <is>
          <t>ZI0290020070</t>
        </is>
      </c>
      <c r="E213" s="182" t="inlineStr">
        <is>
          <t>中铁信托有限责任公司</t>
        </is>
      </c>
      <c r="F213" s="716" t="n"/>
      <c r="G213" s="716" t="n"/>
      <c r="H213" s="462" t="n"/>
    </row>
    <row r="214">
      <c r="A214" s="672" t="inlineStr">
        <is>
          <t>E101155</t>
        </is>
      </c>
      <c r="B214" s="767">
        <f>ROW()</f>
        <v/>
      </c>
      <c r="C214" s="182" t="inlineStr">
        <is>
          <t>京江（双柏）新能源有限公司</t>
        </is>
      </c>
      <c r="D214" s="182" t="inlineStr">
        <is>
          <t>ZI0290020148</t>
        </is>
      </c>
      <c r="E214" s="182" t="inlineStr">
        <is>
          <t>楚雄州金江能源开发有限公司</t>
        </is>
      </c>
      <c r="F214" s="716" t="n"/>
      <c r="G214" s="716" t="n"/>
      <c r="H214" s="462" t="n"/>
    </row>
    <row r="215">
      <c r="A215" s="672" t="inlineStr">
        <is>
          <t>E101288</t>
        </is>
      </c>
      <c r="B215" s="767">
        <f>ROW()</f>
        <v/>
      </c>
      <c r="C215" s="182" t="inlineStr">
        <is>
          <t>平泉市邦诚新能源科技有限公司</t>
        </is>
      </c>
      <c r="D215" s="182" t="inlineStr">
        <is>
          <t>ZI0290020149</t>
        </is>
      </c>
      <c r="E215" s="182" t="inlineStr">
        <is>
          <t>承德创时新能源科技有限公司</t>
        </is>
      </c>
      <c r="F215" s="716" t="n"/>
      <c r="G215" s="716" t="n"/>
      <c r="H215" s="462" t="n"/>
    </row>
    <row r="216">
      <c r="A216" s="672" t="inlineStr">
        <is>
          <t>E100713</t>
        </is>
      </c>
      <c r="B216" s="767">
        <f>ROW()</f>
        <v/>
      </c>
      <c r="C216" s="182" t="inlineStr">
        <is>
          <t>黑龙江京庆风力发电有限公司</t>
        </is>
      </c>
      <c r="D216" s="182" t="inlineStr">
        <is>
          <t>ZI0290020150</t>
        </is>
      </c>
      <c r="E216" s="182" t="inlineStr">
        <is>
          <t>慧莱能源科技发展（北京）有限公司</t>
        </is>
      </c>
      <c r="F216" s="716" t="n"/>
      <c r="G216" s="716" t="n"/>
      <c r="H216" s="462" t="n"/>
    </row>
    <row r="217">
      <c r="A217" s="672" t="inlineStr">
        <is>
          <t>E101132</t>
        </is>
      </c>
      <c r="B217" s="767">
        <f>ROW()</f>
        <v/>
      </c>
      <c r="C217" s="182" t="inlineStr">
        <is>
          <t>内蒙古京能岱海新能源有限公司</t>
        </is>
      </c>
      <c r="D217" s="182" t="inlineStr">
        <is>
          <t>ZI0290020151</t>
        </is>
      </c>
      <c r="E217" s="182" t="inlineStr">
        <is>
          <t>乌兰察布市能源投资开发有限责任公司</t>
        </is>
      </c>
      <c r="F217" s="716" t="n"/>
      <c r="G217" s="716" t="n"/>
      <c r="H217" s="462" t="n"/>
    </row>
    <row r="218">
      <c r="A218" s="672" t="inlineStr">
        <is>
          <t>E101227</t>
        </is>
      </c>
      <c r="B218" s="767">
        <f>ROW()</f>
        <v/>
      </c>
      <c r="C218" s="182" t="inlineStr">
        <is>
          <t>京能智汇（锡林郭勒）新能源有限公司</t>
        </is>
      </c>
      <c r="D218" s="672" t="inlineStr">
        <is>
          <t>ZI0290020155</t>
        </is>
      </c>
      <c r="E218" s="182" t="inlineStr">
        <is>
          <t>锡林郭勒盟智汇新能源有限公司</t>
        </is>
      </c>
      <c r="F218" s="716" t="n"/>
      <c r="G218" s="716" t="n"/>
      <c r="H218" s="462" t="n"/>
    </row>
    <row r="219">
      <c r="A219" s="672" t="inlineStr">
        <is>
          <t>E101279</t>
        </is>
      </c>
      <c r="B219" s="767">
        <f>ROW()</f>
        <v/>
      </c>
      <c r="C219" s="182" t="inlineStr">
        <is>
          <t>京能（重庆）能源有限公司</t>
        </is>
      </c>
      <c r="D219" s="182" t="inlineStr">
        <is>
          <t>ZI0290020152</t>
        </is>
      </c>
      <c r="E219" s="182" t="inlineStr">
        <is>
          <t>北京金桥能源有限公司</t>
        </is>
      </c>
      <c r="F219" s="716" t="n"/>
      <c r="G219" s="716" t="n"/>
      <c r="H219" s="462" t="n"/>
    </row>
    <row r="220">
      <c r="A220" s="672" t="inlineStr">
        <is>
          <t>E100862</t>
        </is>
      </c>
      <c r="B220" s="767">
        <f>ROW()</f>
        <v/>
      </c>
      <c r="C220" s="182" t="inlineStr">
        <is>
          <t>京能玉门新能源有限公司</t>
        </is>
      </c>
      <c r="D220" s="182" t="inlineStr">
        <is>
          <t>ZI0290020153</t>
        </is>
      </c>
      <c r="E220" s="182" t="inlineStr">
        <is>
          <t>酒泉市农业发展集团有限公司</t>
        </is>
      </c>
      <c r="F220" s="716" t="n"/>
      <c r="G220" s="716" t="n"/>
      <c r="H220" s="462" t="n"/>
    </row>
    <row r="221">
      <c r="A221" s="672" t="inlineStr">
        <is>
          <t>E100253</t>
        </is>
      </c>
      <c r="B221" s="767">
        <f>ROW()</f>
        <v/>
      </c>
      <c r="C221" s="182" t="inlineStr">
        <is>
          <t>抚松京热热力有限责任公司</t>
        </is>
      </c>
      <c r="D221" s="672" t="inlineStr">
        <is>
          <t>ZI0290020154</t>
        </is>
      </c>
      <c r="E221" s="182" t="inlineStr">
        <is>
          <t>抚松全域文化旅游集团有限公司</t>
        </is>
      </c>
      <c r="F221" s="716" t="n"/>
      <c r="G221" s="716" t="n"/>
      <c r="H221" s="462" t="n"/>
    </row>
    <row r="222" customFormat="1" s="672">
      <c r="A222" s="672" t="inlineStr">
        <is>
          <t>E101311</t>
        </is>
      </c>
      <c r="B222" s="767">
        <f>ROW()</f>
        <v/>
      </c>
      <c r="C222" s="672" t="inlineStr">
        <is>
          <t>镶黄旗京能智汇清洁能源有限公司</t>
        </is>
      </c>
      <c r="D222" s="672" t="inlineStr">
        <is>
          <t>ZI0290020155</t>
        </is>
      </c>
      <c r="E222" s="672" t="inlineStr">
        <is>
          <t>锡林郭勒盟智汇新能源有限公司</t>
        </is>
      </c>
      <c r="F222" s="672" t="n"/>
      <c r="G222" s="672" t="n"/>
      <c r="H222" s="672" t="n"/>
    </row>
    <row r="223" customFormat="1" s="672">
      <c r="A223" s="672" t="inlineStr">
        <is>
          <t>E101310</t>
        </is>
      </c>
      <c r="B223" s="767">
        <f>ROW()</f>
        <v/>
      </c>
      <c r="C223" s="672" t="inlineStr">
        <is>
          <t>苏尼特右旗京能智汇清洁能源有限公司</t>
        </is>
      </c>
      <c r="D223" s="672" t="inlineStr">
        <is>
          <t>ZI0290020155</t>
        </is>
      </c>
      <c r="E223" s="672" t="inlineStr">
        <is>
          <t>锡林郭勒盟智汇新能源有限公司</t>
        </is>
      </c>
      <c r="F223" s="672" t="n"/>
      <c r="G223" s="672" t="n"/>
      <c r="H223" s="672" t="n"/>
    </row>
    <row r="224" customFormat="1" s="672">
      <c r="A224" s="672" t="inlineStr">
        <is>
          <t>E101309</t>
        </is>
      </c>
      <c r="B224" s="767">
        <f>ROW()</f>
        <v/>
      </c>
      <c r="C224" s="672" t="inlineStr">
        <is>
          <t>锡林浩特市京能智汇清洁能源有限公司</t>
        </is>
      </c>
      <c r="D224" s="672" t="inlineStr">
        <is>
          <t>ZI0290020155</t>
        </is>
      </c>
      <c r="E224" s="672" t="inlineStr">
        <is>
          <t>锡林郭勒盟智汇新能源有限公司</t>
        </is>
      </c>
      <c r="F224" s="672" t="n"/>
      <c r="G224" s="672" t="n"/>
      <c r="H224" s="672" t="n"/>
    </row>
    <row r="225" customFormat="1" s="672">
      <c r="A225" s="672" t="inlineStr">
        <is>
          <t>E101313</t>
        </is>
      </c>
      <c r="B225" s="767">
        <f>ROW()</f>
        <v/>
      </c>
      <c r="C225" s="672" t="inlineStr">
        <is>
          <t>阿巴嘎旗京能智汇清洁能源有限公司</t>
        </is>
      </c>
      <c r="D225" s="672" t="inlineStr">
        <is>
          <t>ZI0290020155</t>
        </is>
      </c>
      <c r="E225" s="672" t="inlineStr">
        <is>
          <t>锡林郭勒盟智汇新能源有限公司</t>
        </is>
      </c>
      <c r="F225" s="672" t="n"/>
      <c r="G225" s="672" t="n"/>
      <c r="H225" s="672" t="n"/>
    </row>
    <row r="226" customFormat="1" s="672">
      <c r="A226" s="672" t="inlineStr">
        <is>
          <t>E101312</t>
        </is>
      </c>
      <c r="B226" s="767">
        <f>ROW()</f>
        <v/>
      </c>
      <c r="C226" s="672" t="inlineStr">
        <is>
          <t>正镶白旗京能智汇清洁能源有限公司</t>
        </is>
      </c>
      <c r="D226" s="672" t="inlineStr">
        <is>
          <t>ZI0290020155</t>
        </is>
      </c>
      <c r="E226" s="672" t="inlineStr">
        <is>
          <t>锡林郭勒盟智汇新能源有限公司</t>
        </is>
      </c>
      <c r="F226" s="672" t="n"/>
      <c r="G226" s="672" t="n"/>
      <c r="H226" s="672" t="n"/>
    </row>
    <row r="227">
      <c r="A227" s="672" t="inlineStr">
        <is>
          <t>E101328</t>
        </is>
      </c>
      <c r="B227" s="767">
        <f>ROW()</f>
        <v/>
      </c>
      <c r="C227" s="182" t="inlineStr">
        <is>
          <t>江门市新会区古井能源服务有限公司</t>
        </is>
      </c>
      <c r="D227" s="672" t="inlineStr">
        <is>
          <t>ZI0290020156</t>
        </is>
      </c>
      <c r="E227" s="182" t="inlineStr">
        <is>
          <t>江门市新会银洲湖能源有限公司</t>
        </is>
      </c>
      <c r="F227" s="716" t="n"/>
      <c r="G227" s="716" t="n"/>
      <c r="H227" s="462" t="n"/>
    </row>
    <row r="228">
      <c r="A228" s="672" t="inlineStr">
        <is>
          <t>E101328</t>
        </is>
      </c>
      <c r="B228" s="767">
        <f>ROW()</f>
        <v/>
      </c>
      <c r="C228" s="182" t="inlineStr">
        <is>
          <t>江门市新会区古井能源服务有限公司</t>
        </is>
      </c>
      <c r="D228" s="672" t="inlineStr">
        <is>
          <t>ZI0290020157</t>
        </is>
      </c>
      <c r="E228" s="182" t="inlineStr">
        <is>
          <t>江门市新会古井珠西新材料集聚区开发有限公司</t>
        </is>
      </c>
      <c r="F228" s="716" t="n"/>
      <c r="G228" s="716" t="n"/>
      <c r="H228" s="462" t="n"/>
    </row>
    <row r="229">
      <c r="A229" s="672" t="inlineStr">
        <is>
          <t>E101328</t>
        </is>
      </c>
      <c r="B229" s="767">
        <f>ROW()</f>
        <v/>
      </c>
      <c r="C229" s="182" t="inlineStr">
        <is>
          <t>江门市新会区古井能源服务有限公司</t>
        </is>
      </c>
      <c r="D229" s="672" t="inlineStr">
        <is>
          <t>ZI0290020158</t>
        </is>
      </c>
      <c r="E229" s="182" t="inlineStr">
        <is>
          <t>江门市新会区古井源丰资产管理有限公司</t>
        </is>
      </c>
      <c r="F229" s="716" t="n"/>
      <c r="G229" s="716" t="n"/>
      <c r="H229" s="462" t="n"/>
    </row>
    <row r="230">
      <c r="A230" s="672" t="inlineStr">
        <is>
          <t>E101323</t>
        </is>
      </c>
      <c r="B230" s="767">
        <f>ROW()</f>
        <v/>
      </c>
      <c r="C230" s="182" t="inlineStr">
        <is>
          <t>北京京能大成新能源有限公司</t>
        </is>
      </c>
      <c r="D230" s="672" t="inlineStr">
        <is>
          <t>ZI0290020160</t>
        </is>
      </c>
      <c r="E230" s="182" t="inlineStr">
        <is>
          <t>北京金隅资产经营管理有限责任公司</t>
        </is>
      </c>
      <c r="F230" s="716" t="n"/>
      <c r="G230" s="716" t="n"/>
      <c r="H230" s="462" t="n"/>
    </row>
    <row r="231">
      <c r="A231" s="672" t="inlineStr">
        <is>
          <t>E101317</t>
        </is>
      </c>
      <c r="B231" s="767">
        <f>ROW()</f>
        <v/>
      </c>
      <c r="C231" s="182" t="inlineStr">
        <is>
          <t>北京京能未来能源科技有限公司</t>
        </is>
      </c>
      <c r="D231" s="672" t="inlineStr">
        <is>
          <t>ZI0290020159</t>
        </is>
      </c>
      <c r="E231" s="182" t="inlineStr">
        <is>
          <t>北京未来科学城智慧能源有限公司</t>
        </is>
      </c>
      <c r="F231" s="716" t="n"/>
      <c r="G231" s="716" t="n"/>
      <c r="H231" s="462" t="n"/>
    </row>
    <row r="232">
      <c r="A232" s="716" t="n"/>
      <c r="B232" s="716" t="n"/>
      <c r="C232" s="716" t="n"/>
      <c r="D232" s="716" t="n"/>
      <c r="E232" s="716" t="n"/>
      <c r="F232" s="716" t="n"/>
      <c r="G232" s="716" t="n"/>
      <c r="H232" s="462" t="n"/>
    </row>
    <row r="233">
      <c r="A233" s="672" t="n"/>
      <c r="B233" s="767" t="n"/>
      <c r="C233" s="182" t="n"/>
      <c r="D233" s="672" t="n"/>
      <c r="E233" s="182" t="n"/>
      <c r="F233" s="716" t="n"/>
      <c r="G233" s="716" t="n"/>
      <c r="H233" s="462" t="n"/>
    </row>
    <row r="234">
      <c r="A234" s="761" t="inlineStr">
        <is>
          <t>实收资本-集团外-个人</t>
        </is>
      </c>
      <c r="B234" s="767">
        <f>ROW()</f>
        <v/>
      </c>
      <c r="C234" s="763" t="n"/>
      <c r="D234" s="178" t="n"/>
      <c r="E234" s="763" t="n"/>
      <c r="F234" s="716" t="n"/>
      <c r="G234" s="716" t="n"/>
      <c r="H234" s="462" t="n"/>
    </row>
    <row r="235">
      <c r="A235" s="672" t="inlineStr">
        <is>
          <t>E100333</t>
        </is>
      </c>
      <c r="B235" s="767">
        <f>ROW()</f>
        <v/>
      </c>
      <c r="C235" s="182" t="inlineStr">
        <is>
          <t>安徽马钢智能立体停车设备有限公司</t>
        </is>
      </c>
      <c r="D235" s="182" t="inlineStr">
        <is>
          <t>ZI0290030001</t>
        </is>
      </c>
      <c r="E235" s="182" t="inlineStr">
        <is>
          <t>周庄</t>
        </is>
      </c>
      <c r="F235" s="716" t="n"/>
      <c r="G235" s="716" t="n"/>
      <c r="H235" s="462" t="n"/>
    </row>
    <row r="236">
      <c r="A236" s="672" t="inlineStr">
        <is>
          <t>E100311</t>
        </is>
      </c>
      <c r="B236" s="767">
        <f>ROW()</f>
        <v/>
      </c>
      <c r="C236" s="182" t="inlineStr">
        <is>
          <t>北京奥之旅汽车销售服务有限公司</t>
        </is>
      </c>
      <c r="D236" s="182" t="inlineStr">
        <is>
          <t>ZI0290030002</t>
        </is>
      </c>
      <c r="E236" s="182" t="inlineStr">
        <is>
          <t>刘春启</t>
        </is>
      </c>
      <c r="F236" s="716" t="n"/>
      <c r="G236" s="716" t="n"/>
      <c r="H236" s="462" t="n"/>
    </row>
    <row r="237">
      <c r="A237" s="672" t="inlineStr">
        <is>
          <t>E100201</t>
        </is>
      </c>
      <c r="B237" s="767">
        <f>ROW()</f>
        <v/>
      </c>
      <c r="C237" s="182" t="inlineStr">
        <is>
          <t>北京昊华能源股份有限公司</t>
        </is>
      </c>
      <c r="D237" s="182" t="inlineStr">
        <is>
          <t>ZI0290030003</t>
        </is>
      </c>
      <c r="E237" s="182" t="inlineStr">
        <is>
          <t>王嘉苓</t>
        </is>
      </c>
      <c r="F237" s="716" t="n"/>
      <c r="G237" s="716" t="n"/>
      <c r="H237" s="462" t="n"/>
    </row>
    <row r="238">
      <c r="A238" s="672" t="inlineStr">
        <is>
          <t>E100201</t>
        </is>
      </c>
      <c r="B238" s="767">
        <f>ROW()</f>
        <v/>
      </c>
      <c r="C238" s="182" t="inlineStr">
        <is>
          <t>北京昊华能源股份有限公司</t>
        </is>
      </c>
      <c r="D238" s="182" t="inlineStr">
        <is>
          <t>ZI0290030004</t>
        </is>
      </c>
      <c r="E238" s="182" t="inlineStr">
        <is>
          <t>李加平</t>
        </is>
      </c>
      <c r="F238" s="716" t="n"/>
      <c r="G238" s="716" t="n"/>
      <c r="H238" s="462" t="n"/>
    </row>
    <row r="239">
      <c r="A239" s="672" t="inlineStr">
        <is>
          <t>E100201</t>
        </is>
      </c>
      <c r="B239" s="767">
        <f>ROW()</f>
        <v/>
      </c>
      <c r="C239" s="182" t="inlineStr">
        <is>
          <t>北京昊华能源股份有限公司</t>
        </is>
      </c>
      <c r="D239" s="182" t="inlineStr">
        <is>
          <t>ZI0290030005</t>
        </is>
      </c>
      <c r="E239" s="182" t="inlineStr">
        <is>
          <t>蒋建芬</t>
        </is>
      </c>
      <c r="F239" s="716" t="n"/>
      <c r="G239" s="716" t="n"/>
      <c r="H239" s="462" t="n"/>
    </row>
    <row r="240">
      <c r="A240" s="672" t="inlineStr">
        <is>
          <t>E100201G</t>
        </is>
      </c>
      <c r="B240" s="767">
        <f>ROW()</f>
        <v/>
      </c>
      <c r="C240" s="182" t="inlineStr">
        <is>
          <t>北京昊华能源股份有限公司（合并）</t>
        </is>
      </c>
      <c r="D240" s="182" t="inlineStr">
        <is>
          <t>ZI0290030003</t>
        </is>
      </c>
      <c r="E240" s="182" t="inlineStr">
        <is>
          <t>王嘉苓</t>
        </is>
      </c>
      <c r="F240" s="716" t="n"/>
      <c r="G240" s="716" t="n"/>
      <c r="H240" s="462" t="n"/>
    </row>
    <row r="241">
      <c r="A241" s="672" t="inlineStr">
        <is>
          <t>E100201G</t>
        </is>
      </c>
      <c r="B241" s="767">
        <f>ROW()</f>
        <v/>
      </c>
      <c r="C241" s="182" t="inlineStr">
        <is>
          <t>北京昊华能源股份有限公司（合并）</t>
        </is>
      </c>
      <c r="D241" s="182" t="inlineStr">
        <is>
          <t>ZI0290030004</t>
        </is>
      </c>
      <c r="E241" s="182" t="inlineStr">
        <is>
          <t>李加平</t>
        </is>
      </c>
      <c r="F241" s="716" t="n"/>
      <c r="G241" s="716" t="n"/>
      <c r="H241" s="462" t="n"/>
    </row>
    <row r="242">
      <c r="A242" s="672" t="inlineStr">
        <is>
          <t>E100201G</t>
        </is>
      </c>
      <c r="B242" s="767">
        <f>ROW()</f>
        <v/>
      </c>
      <c r="C242" s="182" t="inlineStr">
        <is>
          <t>北京昊华能源股份有限公司（合并）</t>
        </is>
      </c>
      <c r="D242" s="182" t="inlineStr">
        <is>
          <t>ZI0290030005</t>
        </is>
      </c>
      <c r="E242" s="182" t="inlineStr">
        <is>
          <t>蒋建芬</t>
        </is>
      </c>
      <c r="F242" s="716" t="n"/>
      <c r="G242" s="716" t="n"/>
      <c r="H242" s="462" t="n"/>
    </row>
    <row r="243">
      <c r="A243" s="672" t="inlineStr">
        <is>
          <t>E100201H</t>
        </is>
      </c>
      <c r="B243" s="767">
        <f>ROW()</f>
        <v/>
      </c>
      <c r="C243" s="182" t="inlineStr">
        <is>
          <t>北京昊华能源股份有限公司（母公司）</t>
        </is>
      </c>
      <c r="D243" s="182" t="inlineStr">
        <is>
          <t>ZI0290030003</t>
        </is>
      </c>
      <c r="E243" s="182" t="inlineStr">
        <is>
          <t>王嘉苓</t>
        </is>
      </c>
      <c r="F243" s="716" t="n"/>
      <c r="G243" s="716" t="n"/>
      <c r="H243" s="462" t="n"/>
    </row>
    <row r="244">
      <c r="A244" s="672" t="inlineStr">
        <is>
          <t>E100201H</t>
        </is>
      </c>
      <c r="B244" s="767">
        <f>ROW()</f>
        <v/>
      </c>
      <c r="C244" s="182" t="inlineStr">
        <is>
          <t>北京昊华能源股份有限公司（母公司）</t>
        </is>
      </c>
      <c r="D244" s="182" t="inlineStr">
        <is>
          <t>ZI0290030004</t>
        </is>
      </c>
      <c r="E244" s="182" t="inlineStr">
        <is>
          <t>李加平</t>
        </is>
      </c>
      <c r="F244" s="716" t="n"/>
      <c r="G244" s="716" t="n"/>
      <c r="H244" s="462" t="n"/>
    </row>
    <row r="245">
      <c r="A245" s="672" t="inlineStr">
        <is>
          <t>E100201H</t>
        </is>
      </c>
      <c r="B245" s="767">
        <f>ROW()</f>
        <v/>
      </c>
      <c r="C245" s="182" t="inlineStr">
        <is>
          <t>北京昊华能源股份有限公司（母公司）</t>
        </is>
      </c>
      <c r="D245" s="182" t="inlineStr">
        <is>
          <t>ZI0290030005</t>
        </is>
      </c>
      <c r="E245" s="182" t="inlineStr">
        <is>
          <t>蒋建芬</t>
        </is>
      </c>
      <c r="F245" s="716" t="n"/>
      <c r="G245" s="716" t="n"/>
      <c r="H245" s="462" t="n"/>
    </row>
    <row r="246">
      <c r="A246" s="672" t="inlineStr">
        <is>
          <t>E100281G</t>
        </is>
      </c>
      <c r="B246" s="767">
        <f>ROW()</f>
        <v/>
      </c>
      <c r="C246" s="182" t="inlineStr">
        <is>
          <t>北京京煤化工有限公司（合并）</t>
        </is>
      </c>
      <c r="D246" s="182" t="inlineStr">
        <is>
          <t>ZI0290030006</t>
        </is>
      </c>
      <c r="E246" s="182" t="inlineStr">
        <is>
          <t>坡.严吉玛</t>
        </is>
      </c>
      <c r="F246" s="716" t="n"/>
      <c r="G246" s="716" t="n"/>
      <c r="H246" s="462" t="n"/>
    </row>
    <row r="247">
      <c r="A247" s="672" t="inlineStr">
        <is>
          <t>E100281G</t>
        </is>
      </c>
      <c r="B247" s="767">
        <f>ROW()</f>
        <v/>
      </c>
      <c r="C247" s="182" t="inlineStr">
        <is>
          <t>北京京煤化工有限公司（合并）</t>
        </is>
      </c>
      <c r="D247" s="182" t="inlineStr">
        <is>
          <t>ZI0290030007</t>
        </is>
      </c>
      <c r="E247" s="182" t="inlineStr">
        <is>
          <t>宾巴苏荣</t>
        </is>
      </c>
      <c r="F247" s="716" t="n"/>
      <c r="G247" s="716" t="n"/>
      <c r="H247" s="462" t="n"/>
    </row>
    <row r="248">
      <c r="A248" s="672" t="inlineStr">
        <is>
          <t>E100332</t>
        </is>
      </c>
      <c r="B248" s="767">
        <f>ROW()</f>
        <v/>
      </c>
      <c r="C248" s="182" t="inlineStr">
        <is>
          <t>北京鑫华源机械制造有限责任公司</t>
        </is>
      </c>
      <c r="D248" s="182" t="inlineStr">
        <is>
          <t>ZI0290030008</t>
        </is>
      </c>
      <c r="E248" s="182" t="inlineStr">
        <is>
          <t>北京华源科创智能停车设备销售中心（有限合伙）</t>
        </is>
      </c>
      <c r="F248" s="716" t="n"/>
      <c r="G248" s="716" t="n"/>
      <c r="H248" s="462" t="n"/>
    </row>
    <row r="249">
      <c r="A249" s="672" t="inlineStr">
        <is>
          <t>E100332</t>
        </is>
      </c>
      <c r="B249" s="767">
        <f>ROW()</f>
        <v/>
      </c>
      <c r="C249" s="182" t="inlineStr">
        <is>
          <t>北京鑫华源机械制造有限责任公司</t>
        </is>
      </c>
      <c r="D249" s="182" t="inlineStr">
        <is>
          <t>ZI0290030009</t>
        </is>
      </c>
      <c r="E249" s="182" t="inlineStr">
        <is>
          <t>北京鑫华科创智能停车科技中心（有限合伙）</t>
        </is>
      </c>
      <c r="F249" s="716" t="n"/>
      <c r="G249" s="716" t="n"/>
      <c r="H249" s="462" t="n"/>
    </row>
    <row r="250">
      <c r="A250" s="672" t="inlineStr">
        <is>
          <t>E100332G</t>
        </is>
      </c>
      <c r="B250" s="767">
        <f>ROW()</f>
        <v/>
      </c>
      <c r="C250" s="182" t="inlineStr">
        <is>
          <t>北京鑫华源机械制造有限责任公司（合并）</t>
        </is>
      </c>
      <c r="D250" s="182" t="inlineStr">
        <is>
          <t>ZI0290030008</t>
        </is>
      </c>
      <c r="E250" s="182" t="inlineStr">
        <is>
          <t>北京华源科创智能停车设备销售中心（有限合伙）</t>
        </is>
      </c>
      <c r="F250" s="716" t="n"/>
      <c r="G250" s="716" t="n"/>
      <c r="H250" s="462" t="n"/>
    </row>
    <row r="251">
      <c r="A251" s="672" t="inlineStr">
        <is>
          <t>E100332G</t>
        </is>
      </c>
      <c r="B251" s="767">
        <f>ROW()</f>
        <v/>
      </c>
      <c r="C251" s="182" t="inlineStr">
        <is>
          <t>北京鑫华源机械制造有限责任公司（合并）</t>
        </is>
      </c>
      <c r="D251" s="182" t="inlineStr">
        <is>
          <t>ZI0290030009</t>
        </is>
      </c>
      <c r="E251" s="182" t="inlineStr">
        <is>
          <t>北京鑫华科创智能停车科技中心（有限合伙）</t>
        </is>
      </c>
      <c r="F251" s="716" t="n"/>
      <c r="G251" s="716" t="n"/>
      <c r="H251" s="462" t="n"/>
    </row>
    <row r="252">
      <c r="A252" s="672" t="inlineStr">
        <is>
          <t>E100287</t>
        </is>
      </c>
      <c r="B252" s="767">
        <f>ROW()</f>
        <v/>
      </c>
      <c r="C252" s="182" t="inlineStr">
        <is>
          <t>达瓦满度拉外商投资有限责任公司</t>
        </is>
      </c>
      <c r="D252" s="182" t="inlineStr">
        <is>
          <t>ZI0290030006</t>
        </is>
      </c>
      <c r="E252" s="182" t="inlineStr">
        <is>
          <t>坡.严吉玛</t>
        </is>
      </c>
      <c r="F252" s="716" t="n"/>
      <c r="G252" s="716" t="n"/>
      <c r="H252" s="462" t="n"/>
    </row>
    <row r="253">
      <c r="A253" s="672" t="inlineStr">
        <is>
          <t>E100287</t>
        </is>
      </c>
      <c r="B253" s="767">
        <f>ROW()</f>
        <v/>
      </c>
      <c r="C253" s="182" t="inlineStr">
        <is>
          <t>达瓦满度拉外商投资有限责任公司</t>
        </is>
      </c>
      <c r="D253" s="182" t="inlineStr">
        <is>
          <t>ZI0290030007</t>
        </is>
      </c>
      <c r="E253" s="182" t="inlineStr">
        <is>
          <t>宾巴苏荣</t>
        </is>
      </c>
      <c r="F253" s="716" t="n"/>
      <c r="G253" s="716" t="n"/>
      <c r="H253" s="462" t="n"/>
    </row>
    <row r="254">
      <c r="A254" s="672" t="inlineStr">
        <is>
          <t>E100537</t>
        </is>
      </c>
      <c r="B254" s="767">
        <f>ROW()</f>
        <v/>
      </c>
      <c r="C254" s="182" t="inlineStr">
        <is>
          <t>怀来昊璟矿建房地产开发有限公司</t>
        </is>
      </c>
      <c r="D254" s="182" t="inlineStr">
        <is>
          <t>ZI0290030010</t>
        </is>
      </c>
      <c r="E254" s="182" t="inlineStr">
        <is>
          <t>周文军</t>
        </is>
      </c>
      <c r="F254" s="716" t="n"/>
      <c r="G254" s="716" t="n"/>
      <c r="H254" s="462" t="n"/>
    </row>
    <row r="255">
      <c r="A255" s="672" t="inlineStr">
        <is>
          <t>E100332G</t>
        </is>
      </c>
      <c r="B255" s="767">
        <f>ROW()</f>
        <v/>
      </c>
      <c r="C255" s="182" t="inlineStr">
        <is>
          <t>北京鑫华源机械制造有限责任公司（合并）</t>
        </is>
      </c>
      <c r="D255" s="182" t="inlineStr">
        <is>
          <t>ZI0290030008</t>
        </is>
      </c>
      <c r="E255" s="182" t="inlineStr">
        <is>
          <t>北京华源科创智能停车设备销售中心（有限合伙）</t>
        </is>
      </c>
      <c r="F255" s="716" t="n"/>
      <c r="G255" s="716" t="n"/>
      <c r="H255" s="462" t="n"/>
    </row>
    <row r="256">
      <c r="A256" s="672" t="n"/>
      <c r="B256" s="767">
        <f>ROW()</f>
        <v/>
      </c>
      <c r="C256" s="182" t="n"/>
      <c r="D256" s="182" t="n"/>
      <c r="E256" s="182" t="n"/>
      <c r="F256" s="716" t="n"/>
      <c r="G256" s="716" t="n"/>
      <c r="H256" s="462" t="n"/>
    </row>
    <row r="257">
      <c r="A257" s="672" t="n"/>
      <c r="B257" s="767">
        <f>ROW()</f>
        <v/>
      </c>
      <c r="C257" s="182" t="n"/>
      <c r="D257" s="182" t="n"/>
      <c r="E257" s="182" t="n"/>
      <c r="F257" s="716" t="n"/>
      <c r="G257" s="716" t="n"/>
      <c r="H257" s="462" t="n"/>
    </row>
    <row r="258">
      <c r="A258" s="672" t="n"/>
      <c r="B258" s="767">
        <f>ROW()</f>
        <v/>
      </c>
      <c r="C258" s="182" t="n"/>
      <c r="D258" s="182" t="n"/>
      <c r="E258" s="182" t="n"/>
      <c r="F258" s="716" t="n"/>
      <c r="G258" s="716" t="n"/>
      <c r="H258" s="462" t="n"/>
    </row>
    <row r="259">
      <c r="A259" s="761" t="inlineStr">
        <is>
          <t>实收资本-集团外-其他</t>
        </is>
      </c>
      <c r="B259" s="767">
        <f>ROW()</f>
        <v/>
      </c>
      <c r="C259" s="763" t="n"/>
      <c r="D259" s="178" t="n"/>
      <c r="E259" s="763" t="n"/>
      <c r="F259" s="716" t="n"/>
      <c r="G259" s="716" t="n"/>
      <c r="H259" s="462" t="n"/>
    </row>
    <row r="260">
      <c r="A260" s="672" t="inlineStr">
        <is>
          <t>E100333</t>
        </is>
      </c>
      <c r="B260" s="767">
        <f>ROW()</f>
        <v/>
      </c>
      <c r="C260" s="182" t="inlineStr">
        <is>
          <t>安徽马钢智能立体停车设备有限公司</t>
        </is>
      </c>
      <c r="D260" s="182" t="inlineStr">
        <is>
          <t>ZI0299990001</t>
        </is>
      </c>
      <c r="E260" s="182" t="inlineStr">
        <is>
          <t>安徽马钢智能立体停车设备有限公司工会委员会</t>
        </is>
      </c>
      <c r="F260" s="716" t="n"/>
      <c r="G260" s="716" t="n"/>
      <c r="H260" s="462" t="n"/>
    </row>
    <row r="261">
      <c r="A261" s="672" t="inlineStr">
        <is>
          <t>E100001</t>
        </is>
      </c>
      <c r="B261" s="767">
        <f>ROW()</f>
        <v/>
      </c>
      <c r="C261" s="182" t="inlineStr">
        <is>
          <t>北京京能清洁能源电力股份有限公司</t>
        </is>
      </c>
      <c r="D261" s="182" t="inlineStr">
        <is>
          <t>ZI0299990002</t>
        </is>
      </c>
      <c r="E261" s="182" t="inlineStr">
        <is>
          <t>公众股本（H股）</t>
        </is>
      </c>
      <c r="F261" s="716" t="n"/>
      <c r="G261" s="716" t="n"/>
      <c r="H261" s="462" t="n"/>
    </row>
    <row r="262">
      <c r="A262" s="672" t="inlineStr">
        <is>
          <t>E100001G</t>
        </is>
      </c>
      <c r="B262" s="767">
        <f>ROW()</f>
        <v/>
      </c>
      <c r="C262" s="182" t="inlineStr">
        <is>
          <t>北京京能清洁能源电力股份有限公司（合并）</t>
        </is>
      </c>
      <c r="D262" s="182" t="inlineStr">
        <is>
          <t>ZI0299990002</t>
        </is>
      </c>
      <c r="E262" s="182" t="inlineStr">
        <is>
          <t>公众股本（H股）</t>
        </is>
      </c>
      <c r="F262" s="716" t="n"/>
      <c r="G262" s="716" t="n"/>
      <c r="H262" s="462" t="n"/>
    </row>
    <row r="263">
      <c r="A263" s="672" t="inlineStr">
        <is>
          <t>E100001H</t>
        </is>
      </c>
      <c r="B263" s="767">
        <f>ROW()</f>
        <v/>
      </c>
      <c r="C263" s="182" t="inlineStr">
        <is>
          <t>北京京能清洁能源电力股份有限公司（合并）本部</t>
        </is>
      </c>
      <c r="D263" s="182" t="inlineStr">
        <is>
          <t>ZI0299990002</t>
        </is>
      </c>
      <c r="E263" s="182" t="inlineStr">
        <is>
          <t>公众股本（H股）</t>
        </is>
      </c>
      <c r="F263" s="716" t="n"/>
      <c r="G263" s="716" t="n"/>
      <c r="H263" s="462" t="n"/>
    </row>
    <row r="264">
      <c r="A264" s="672" t="inlineStr">
        <is>
          <t>E100747</t>
        </is>
      </c>
      <c r="B264" s="767">
        <f>ROW()</f>
        <v/>
      </c>
      <c r="C264" s="182" t="inlineStr">
        <is>
          <t>北京能源国际控股有限公司</t>
        </is>
      </c>
      <c r="D264" s="182" t="inlineStr">
        <is>
          <t>ZI0299990003</t>
        </is>
      </c>
      <c r="E264" s="182" t="inlineStr">
        <is>
          <t>其他流通股股东</t>
        </is>
      </c>
      <c r="F264" s="716" t="n"/>
      <c r="G264" s="716" t="n"/>
      <c r="H264" s="462" t="n"/>
    </row>
    <row r="265">
      <c r="A265" s="672" t="inlineStr">
        <is>
          <t>E100420</t>
        </is>
      </c>
      <c r="B265" s="767">
        <f>ROW()</f>
        <v/>
      </c>
      <c r="C265" s="182" t="inlineStr">
        <is>
          <t>京能置业股份有限公司</t>
        </is>
      </c>
      <c r="D265" s="182" t="inlineStr">
        <is>
          <t>ZI0299990003</t>
        </is>
      </c>
      <c r="E265" s="182" t="inlineStr">
        <is>
          <t>其他流通股股东</t>
        </is>
      </c>
      <c r="F265" s="716" t="n"/>
      <c r="G265" s="716" t="n"/>
      <c r="H265" s="462" t="n"/>
    </row>
    <row r="266">
      <c r="A266" s="672" t="inlineStr">
        <is>
          <t>E100145</t>
        </is>
      </c>
      <c r="B266" s="767">
        <f>ROW()</f>
        <v/>
      </c>
      <c r="C266" s="182" t="inlineStr">
        <is>
          <t>北京京能电力股份有限公司</t>
        </is>
      </c>
      <c r="D266" s="182" t="inlineStr">
        <is>
          <t>ZI0299990003</t>
        </is>
      </c>
      <c r="E266" s="182" t="inlineStr">
        <is>
          <t>其他流通股股东</t>
        </is>
      </c>
      <c r="F266" s="716" t="n"/>
      <c r="G266" s="716" t="n"/>
      <c r="H266" s="462" t="n"/>
    </row>
    <row r="267">
      <c r="A267" s="672" t="inlineStr">
        <is>
          <t>E100201</t>
        </is>
      </c>
      <c r="B267" s="767">
        <f>ROW()</f>
        <v/>
      </c>
      <c r="C267" s="182" t="inlineStr">
        <is>
          <t>北京昊华能源股份有限公司</t>
        </is>
      </c>
      <c r="D267" s="182" t="inlineStr">
        <is>
          <t>ZI0299990003</t>
        </is>
      </c>
      <c r="E267" s="182" t="inlineStr">
        <is>
          <t>其他流通股股东</t>
        </is>
      </c>
      <c r="F267" s="716" t="n"/>
      <c r="G267" s="716" t="n"/>
      <c r="H267" s="462" t="n"/>
    </row>
    <row r="268">
      <c r="A268" s="672" t="inlineStr">
        <is>
          <t>E100420G</t>
        </is>
      </c>
      <c r="B268" s="767">
        <f>ROW()</f>
        <v/>
      </c>
      <c r="C268" s="182" t="inlineStr">
        <is>
          <t>京能置业股份有限公司（合并）</t>
        </is>
      </c>
      <c r="D268" s="182" t="inlineStr">
        <is>
          <t>ZI0299990003</t>
        </is>
      </c>
      <c r="E268" s="182" t="inlineStr">
        <is>
          <t>其他流通股股东</t>
        </is>
      </c>
      <c r="F268" s="716" t="n"/>
      <c r="G268" s="716" t="n"/>
      <c r="H268" s="462" t="n"/>
    </row>
    <row r="269">
      <c r="A269" s="672" t="inlineStr">
        <is>
          <t>E100747G</t>
        </is>
      </c>
      <c r="B269" s="767">
        <f>ROW()</f>
        <v/>
      </c>
      <c r="C269" s="182" t="inlineStr">
        <is>
          <t>北京能源国际控股有限公司（合并）</t>
        </is>
      </c>
      <c r="D269" s="182" t="inlineStr">
        <is>
          <t>ZI0299990003</t>
        </is>
      </c>
      <c r="E269" s="182" t="inlineStr">
        <is>
          <t>其他流通股股东</t>
        </is>
      </c>
      <c r="F269" s="716" t="n"/>
      <c r="G269" s="716" t="n"/>
      <c r="H269" s="462" t="n"/>
    </row>
    <row r="270">
      <c r="A270" s="672" t="inlineStr">
        <is>
          <t>E101054</t>
        </is>
      </c>
      <c r="B270" s="767">
        <f>ROW()</f>
        <v/>
      </c>
      <c r="C270" s="182" t="inlineStr">
        <is>
          <t>北京京能热力股份有限公司</t>
        </is>
      </c>
      <c r="D270" s="182" t="inlineStr">
        <is>
          <t>ZI0299990003</t>
        </is>
      </c>
      <c r="E270" s="182" t="inlineStr">
        <is>
          <t>其他流通股股东</t>
        </is>
      </c>
      <c r="F270" s="716" t="n"/>
      <c r="G270" s="716" t="n"/>
      <c r="H270" s="462" t="n"/>
    </row>
    <row r="271">
      <c r="A271" s="672" t="n"/>
      <c r="B271" s="767">
        <f>ROW()</f>
        <v/>
      </c>
      <c r="C271" s="182" t="n"/>
      <c r="D271" s="182" t="n"/>
      <c r="E271" s="182" t="n"/>
      <c r="F271" s="716" t="n"/>
      <c r="G271" s="716" t="n"/>
      <c r="H271" s="462" t="n"/>
    </row>
    <row r="272">
      <c r="A272" s="761" t="inlineStr">
        <is>
          <t>实收资本-集团内</t>
        </is>
      </c>
      <c r="B272" s="767">
        <f>ROW()</f>
        <v/>
      </c>
      <c r="C272" s="761" t="n"/>
      <c r="D272" s="27" t="n"/>
      <c r="E272" s="761" t="n"/>
      <c r="F272" s="716" t="n"/>
      <c r="G272" s="716" t="n"/>
      <c r="H272" s="462" t="n"/>
    </row>
    <row r="273">
      <c r="A273" s="672" t="inlineStr">
        <is>
          <t>E100883</t>
        </is>
      </c>
      <c r="B273" s="767">
        <f>ROW()</f>
        <v/>
      </c>
      <c r="C273" s="672" t="inlineStr">
        <is>
          <t>Beijing Energy International Investment Limited</t>
        </is>
      </c>
      <c r="D273" s="770" t="inlineStr">
        <is>
          <t>ZI029E100882</t>
        </is>
      </c>
      <c r="E273" s="672" t="inlineStr">
        <is>
          <t>China Technology New Energy Limited</t>
        </is>
      </c>
      <c r="F273" s="716" t="n"/>
      <c r="G273" s="716" t="n"/>
      <c r="H273" s="462" t="n"/>
    </row>
    <row r="274">
      <c r="A274" s="672" t="inlineStr">
        <is>
          <t>E101000</t>
        </is>
      </c>
      <c r="B274" s="767">
        <f>ROW()</f>
        <v/>
      </c>
      <c r="C274" s="672" t="inlineStr">
        <is>
          <t>China Merchants New Energy Limited</t>
        </is>
      </c>
      <c r="D274" s="672" t="inlineStr">
        <is>
          <t>ZI029E100882</t>
        </is>
      </c>
      <c r="E274" s="672" t="inlineStr">
        <is>
          <t>China Technology New Energy Limited</t>
        </is>
      </c>
      <c r="F274" s="716" t="n"/>
      <c r="G274" s="716" t="n"/>
      <c r="H274" s="462" t="n"/>
    </row>
    <row r="275">
      <c r="A275" s="672" t="inlineStr">
        <is>
          <t>E101041</t>
        </is>
      </c>
      <c r="B275" s="767">
        <f>ROW()</f>
        <v/>
      </c>
      <c r="C275" s="672" t="inlineStr">
        <is>
          <t>China New Energy Group （Hong Kong） Limited</t>
        </is>
      </c>
      <c r="D275" s="770" t="inlineStr">
        <is>
          <t>ZI029E101040</t>
        </is>
      </c>
      <c r="E275" s="672" t="inlineStr">
        <is>
          <t>Tibet Energy Investment Group （Hong Kong） Limited</t>
        </is>
      </c>
      <c r="F275" s="716" t="n"/>
      <c r="G275" s="716" t="n"/>
      <c r="H275" s="462" t="n"/>
    </row>
    <row r="276">
      <c r="A276" s="672" t="inlineStr">
        <is>
          <t>E101032</t>
        </is>
      </c>
      <c r="B276" s="767">
        <f>ROW()</f>
        <v/>
      </c>
      <c r="C276" s="672" t="inlineStr">
        <is>
          <t>China New Energy Holdings （Hong Kong） Limited</t>
        </is>
      </c>
      <c r="D276" s="672" t="inlineStr">
        <is>
          <t>ZI029E101031</t>
        </is>
      </c>
      <c r="E276" s="672" t="inlineStr">
        <is>
          <t>Panda Green Power Group Limited</t>
        </is>
      </c>
      <c r="F276" s="716" t="n"/>
      <c r="G276" s="716" t="n"/>
      <c r="H276" s="462" t="n"/>
    </row>
    <row r="277">
      <c r="A277" s="672" t="inlineStr">
        <is>
          <t>E100881</t>
        </is>
      </c>
      <c r="B277" s="767">
        <f>ROW()</f>
        <v/>
      </c>
      <c r="C277" s="672" t="inlineStr">
        <is>
          <t>China Solar Power Group Limited</t>
        </is>
      </c>
      <c r="D277" s="672" t="inlineStr">
        <is>
          <t>ZI029E100747</t>
        </is>
      </c>
      <c r="E277" s="672" t="inlineStr">
        <is>
          <t>北京能源国际控股有限公司</t>
        </is>
      </c>
      <c r="F277" s="716" t="n"/>
      <c r="G277" s="716" t="n"/>
      <c r="H277" s="462" t="n"/>
    </row>
    <row r="278">
      <c r="A278" s="672" t="inlineStr">
        <is>
          <t>E100882</t>
        </is>
      </c>
      <c r="B278" s="767">
        <f>ROW()</f>
        <v/>
      </c>
      <c r="C278" s="182" t="inlineStr">
        <is>
          <t>China Technology New Energy Limited</t>
        </is>
      </c>
      <c r="D278" s="182" t="inlineStr">
        <is>
          <t>ZI029E100881</t>
        </is>
      </c>
      <c r="E278" s="182" t="inlineStr">
        <is>
          <t>China Solar Power Group Limited</t>
        </is>
      </c>
      <c r="F278" s="716" t="n"/>
      <c r="G278" s="716" t="n"/>
      <c r="H278" s="462" t="n"/>
    </row>
    <row r="279">
      <c r="A279" s="672" t="inlineStr">
        <is>
          <t>E101003</t>
        </is>
      </c>
      <c r="B279" s="767">
        <f>ROW()</f>
        <v/>
      </c>
      <c r="C279" s="182" t="inlineStr">
        <is>
          <t>Driven Green Holdings Limited</t>
        </is>
      </c>
      <c r="D279" s="182" t="inlineStr">
        <is>
          <t>ZI029E101002</t>
        </is>
      </c>
      <c r="E279" s="182" t="inlineStr">
        <is>
          <t>Driven Noble Limited</t>
        </is>
      </c>
      <c r="F279" s="716" t="n"/>
      <c r="G279" s="716" t="n"/>
      <c r="H279" s="462" t="n"/>
    </row>
    <row r="280">
      <c r="A280" s="672" t="inlineStr">
        <is>
          <t>E101002</t>
        </is>
      </c>
      <c r="B280" s="767">
        <f>ROW()</f>
        <v/>
      </c>
      <c r="C280" s="182" t="inlineStr">
        <is>
          <t>Driven Noble Limited</t>
        </is>
      </c>
      <c r="D280" s="182" t="inlineStr">
        <is>
          <t>ZI029E101001</t>
        </is>
      </c>
      <c r="E280" s="182" t="inlineStr">
        <is>
          <t>Faster Assets Limited</t>
        </is>
      </c>
      <c r="F280" s="716" t="n"/>
      <c r="G280" s="716" t="n"/>
      <c r="H280" s="462" t="n"/>
    </row>
    <row r="281">
      <c r="A281" s="672" t="inlineStr">
        <is>
          <t>E101033</t>
        </is>
      </c>
      <c r="B281" s="767">
        <f>ROW()</f>
        <v/>
      </c>
      <c r="C281" s="182" t="inlineStr">
        <is>
          <t>East Asia New Energy Group Limited</t>
        </is>
      </c>
      <c r="D281" s="182" t="inlineStr">
        <is>
          <t>ZI029E101032</t>
        </is>
      </c>
      <c r="E281" s="182" t="inlineStr">
        <is>
          <t>China New Energy Holdings （Hong Kong） Limited</t>
        </is>
      </c>
      <c r="F281" s="716" t="n"/>
      <c r="G281" s="716" t="n"/>
      <c r="H281" s="462" t="n"/>
    </row>
    <row r="282">
      <c r="A282" s="672" t="inlineStr">
        <is>
          <t>E101027</t>
        </is>
      </c>
      <c r="B282" s="767">
        <f>ROW()</f>
        <v/>
      </c>
      <c r="C282" s="182" t="inlineStr">
        <is>
          <t>Ecoworld Global Limited</t>
        </is>
      </c>
      <c r="D282" s="182" t="inlineStr">
        <is>
          <t>ZI029E101022</t>
        </is>
      </c>
      <c r="E282" s="182" t="inlineStr">
        <is>
          <t>Global Renewable Energy Holdings Limited</t>
        </is>
      </c>
      <c r="F282" s="716" t="n"/>
      <c r="G282" s="716" t="n"/>
      <c r="H282" s="462" t="n"/>
    </row>
    <row r="283">
      <c r="A283" s="672" t="inlineStr">
        <is>
          <t>E101001</t>
        </is>
      </c>
      <c r="B283" s="767">
        <f>ROW()</f>
        <v/>
      </c>
      <c r="C283" s="182" t="inlineStr">
        <is>
          <t>Faster Assets Limited</t>
        </is>
      </c>
      <c r="D283" s="182" t="inlineStr">
        <is>
          <t>ZI029E100881</t>
        </is>
      </c>
      <c r="E283" s="182" t="inlineStr">
        <is>
          <t>China Solar Power Group Limited</t>
        </is>
      </c>
      <c r="F283" s="716" t="n"/>
      <c r="G283" s="716" t="n"/>
      <c r="H283" s="462" t="n"/>
    </row>
    <row r="284">
      <c r="A284" s="672" t="inlineStr">
        <is>
          <t>E101024</t>
        </is>
      </c>
      <c r="B284" s="767">
        <f>ROW()</f>
        <v/>
      </c>
      <c r="C284" s="182" t="inlineStr">
        <is>
          <t>Fortune Wheel Holdings Limited</t>
        </is>
      </c>
      <c r="D284" s="182" t="inlineStr">
        <is>
          <t>ZI029E101023</t>
        </is>
      </c>
      <c r="E284" s="182" t="inlineStr">
        <is>
          <t>Sino Delight Developments Limited</t>
        </is>
      </c>
      <c r="F284" s="716" t="n"/>
      <c r="G284" s="716" t="n"/>
      <c r="H284" s="462" t="n"/>
    </row>
    <row r="285">
      <c r="A285" s="672" t="inlineStr">
        <is>
          <t>E101022</t>
        </is>
      </c>
      <c r="B285" s="767">
        <f>ROW()</f>
        <v/>
      </c>
      <c r="C285" s="182" t="inlineStr">
        <is>
          <t>Global Renewable Energy Holdings Limited</t>
        </is>
      </c>
      <c r="D285" s="182" t="inlineStr">
        <is>
          <t>ZI029E101021</t>
        </is>
      </c>
      <c r="E285" s="182" t="inlineStr">
        <is>
          <t>Global Renewable Energy Limited</t>
        </is>
      </c>
      <c r="F285" s="716" t="n"/>
      <c r="G285" s="716" t="n"/>
      <c r="H285" s="462" t="n"/>
    </row>
    <row r="286">
      <c r="A286" s="672" t="inlineStr">
        <is>
          <t>E101021</t>
        </is>
      </c>
      <c r="B286" s="767">
        <f>ROW()</f>
        <v/>
      </c>
      <c r="C286" s="182" t="inlineStr">
        <is>
          <t>Global Renewable Energy Limited</t>
        </is>
      </c>
      <c r="D286" s="182" t="inlineStr">
        <is>
          <t>ZI029E100747</t>
        </is>
      </c>
      <c r="E286" s="182" t="inlineStr">
        <is>
          <t>北京能源国际控股有限公司</t>
        </is>
      </c>
      <c r="F286" s="716" t="n"/>
      <c r="G286" s="716" t="n"/>
      <c r="H286" s="462" t="n"/>
    </row>
    <row r="287">
      <c r="A287" s="672" t="inlineStr">
        <is>
          <t>E101014</t>
        </is>
      </c>
      <c r="B287" s="767">
        <f>ROW()</f>
        <v/>
      </c>
      <c r="C287" s="182" t="inlineStr">
        <is>
          <t>Green Horizon Developments Limited</t>
        </is>
      </c>
      <c r="D287" s="182" t="inlineStr">
        <is>
          <t>ZI029E101001</t>
        </is>
      </c>
      <c r="E287" s="182" t="inlineStr">
        <is>
          <t>Faster Assets Limited</t>
        </is>
      </c>
      <c r="F287" s="716" t="n"/>
      <c r="G287" s="716" t="n"/>
      <c r="H287" s="462" t="n"/>
    </row>
    <row r="288">
      <c r="A288" s="672" t="inlineStr">
        <is>
          <t>E101044</t>
        </is>
      </c>
      <c r="B288" s="767">
        <f>ROW()</f>
        <v/>
      </c>
      <c r="C288" s="182" t="inlineStr">
        <is>
          <t>JingNeng Renewable Energy International Group Limited</t>
        </is>
      </c>
      <c r="D288" s="182" t="inlineStr">
        <is>
          <t>ZI029E100747</t>
        </is>
      </c>
      <c r="E288" s="182" t="inlineStr">
        <is>
          <t>北京能源国际控股有限公司</t>
        </is>
      </c>
      <c r="F288" s="716" t="n"/>
      <c r="G288" s="716" t="n"/>
      <c r="H288" s="462" t="n"/>
    </row>
    <row r="289">
      <c r="A289" s="672" t="inlineStr">
        <is>
          <t>E101015</t>
        </is>
      </c>
      <c r="B289" s="767">
        <f>ROW()</f>
        <v/>
      </c>
      <c r="C289" s="182" t="inlineStr">
        <is>
          <t>New Light Assets Limited</t>
        </is>
      </c>
      <c r="D289" s="182" t="inlineStr">
        <is>
          <t>ZI029E101014</t>
        </is>
      </c>
      <c r="E289" s="182" t="inlineStr">
        <is>
          <t>Green Horizon Developments Limited</t>
        </is>
      </c>
      <c r="F289" s="716" t="n"/>
      <c r="G289" s="716" t="n"/>
      <c r="H289" s="462" t="n"/>
    </row>
    <row r="290">
      <c r="A290" s="672" t="inlineStr">
        <is>
          <t>E101043</t>
        </is>
      </c>
      <c r="B290" s="767">
        <f>ROW()</f>
        <v/>
      </c>
      <c r="C290" s="182" t="inlineStr">
        <is>
          <t>Panda Green Energy Group Limited</t>
        </is>
      </c>
      <c r="D290" s="182" t="inlineStr">
        <is>
          <t>ZI029E101042</t>
        </is>
      </c>
      <c r="E290" s="182" t="inlineStr">
        <is>
          <t>Panda Solar Power Holdings Limited</t>
        </is>
      </c>
      <c r="F290" s="716" t="n"/>
      <c r="G290" s="716" t="n"/>
      <c r="H290" s="462" t="n"/>
    </row>
    <row r="291">
      <c r="A291" s="672" t="inlineStr">
        <is>
          <t>E101031</t>
        </is>
      </c>
      <c r="B291" s="767">
        <f>ROW()</f>
        <v/>
      </c>
      <c r="C291" s="182" t="inlineStr">
        <is>
          <t>Panda Green Power Group Limited</t>
        </is>
      </c>
      <c r="D291" s="182" t="inlineStr">
        <is>
          <t>ZI029E100747</t>
        </is>
      </c>
      <c r="E291" s="182" t="inlineStr">
        <is>
          <t>北京能源国际控股有限公司</t>
        </is>
      </c>
      <c r="F291" s="716" t="n"/>
      <c r="G291" s="716" t="n"/>
      <c r="H291" s="462" t="n"/>
    </row>
    <row r="292">
      <c r="A292" s="672" t="inlineStr">
        <is>
          <t>E101042</t>
        </is>
      </c>
      <c r="B292" s="767">
        <f>ROW()</f>
        <v/>
      </c>
      <c r="C292" s="182" t="inlineStr">
        <is>
          <t>Panda Solar Power Holdings Limited</t>
        </is>
      </c>
      <c r="D292" s="182" t="inlineStr">
        <is>
          <t>ZI029E101031</t>
        </is>
      </c>
      <c r="E292" s="182" t="inlineStr">
        <is>
          <t>Panda Green Power Group Limited</t>
        </is>
      </c>
      <c r="F292" s="716" t="n"/>
      <c r="G292" s="716" t="n"/>
      <c r="H292" s="462" t="n"/>
    </row>
    <row r="293">
      <c r="A293" s="672" t="inlineStr">
        <is>
          <t>E101006</t>
        </is>
      </c>
      <c r="B293" s="767">
        <f>ROW()</f>
        <v/>
      </c>
      <c r="C293" s="182" t="inlineStr">
        <is>
          <t>Premier Yield Holdings Limited</t>
        </is>
      </c>
      <c r="D293" s="182" t="inlineStr">
        <is>
          <t>ZI029E101005</t>
        </is>
      </c>
      <c r="E293" s="182" t="inlineStr">
        <is>
          <t>Silver Yield Investments Limited</t>
        </is>
      </c>
      <c r="F293" s="716" t="n"/>
      <c r="G293" s="716" t="n"/>
      <c r="H293" s="462" t="n"/>
    </row>
    <row r="294">
      <c r="A294" s="672" t="inlineStr">
        <is>
          <t>E101028</t>
        </is>
      </c>
      <c r="B294" s="767">
        <f>ROW()</f>
        <v/>
      </c>
      <c r="C294" s="182" t="inlineStr">
        <is>
          <t>Renewable Energy UK Portfolio Limited</t>
        </is>
      </c>
      <c r="D294" s="182" t="inlineStr">
        <is>
          <t>ZI029E101027</t>
        </is>
      </c>
      <c r="E294" s="182" t="inlineStr">
        <is>
          <t>Ecoworld Global Limited</t>
        </is>
      </c>
      <c r="F294" s="716" t="n"/>
      <c r="G294" s="716" t="n"/>
      <c r="H294" s="462" t="n"/>
    </row>
    <row r="295">
      <c r="A295" s="672" t="inlineStr">
        <is>
          <t>E101005</t>
        </is>
      </c>
      <c r="B295" s="767">
        <f>ROW()</f>
        <v/>
      </c>
      <c r="C295" s="182" t="inlineStr">
        <is>
          <t>Silver Yield Investments Limited</t>
        </is>
      </c>
      <c r="D295" s="182" t="inlineStr">
        <is>
          <t>ZI029E101001</t>
        </is>
      </c>
      <c r="E295" s="182" t="inlineStr">
        <is>
          <t>Faster Assets Limited</t>
        </is>
      </c>
      <c r="F295" s="716" t="n"/>
      <c r="G295" s="716" t="n"/>
      <c r="H295" s="462" t="n"/>
    </row>
    <row r="296">
      <c r="A296" s="672" t="inlineStr">
        <is>
          <t>E101023</t>
        </is>
      </c>
      <c r="B296" s="767">
        <f>ROW()</f>
        <v/>
      </c>
      <c r="C296" s="182" t="inlineStr">
        <is>
          <t>Sino Delight Developments Limited</t>
        </is>
      </c>
      <c r="D296" s="182" t="inlineStr">
        <is>
          <t>ZI029E101022</t>
        </is>
      </c>
      <c r="E296" s="182" t="inlineStr">
        <is>
          <t>Global Renewable Energy Holdings Limited</t>
        </is>
      </c>
      <c r="F296" s="716" t="n"/>
      <c r="G296" s="716" t="n"/>
      <c r="H296" s="462" t="n"/>
    </row>
    <row r="297">
      <c r="A297" s="672" t="inlineStr">
        <is>
          <t>E101040</t>
        </is>
      </c>
      <c r="B297" s="767">
        <f>ROW()</f>
        <v/>
      </c>
      <c r="C297" s="182" t="inlineStr">
        <is>
          <t>Tibet Energy Investment Group （Hong Kong） Limited</t>
        </is>
      </c>
      <c r="D297" s="182" t="inlineStr">
        <is>
          <t>ZI029E101022</t>
        </is>
      </c>
      <c r="E297" s="182" t="inlineStr">
        <is>
          <t>Global Renewable Energy Holdings Limited</t>
        </is>
      </c>
      <c r="F297" s="716" t="n"/>
      <c r="G297" s="716" t="n"/>
      <c r="H297" s="462" t="n"/>
    </row>
    <row r="298">
      <c r="A298" s="672" t="inlineStr">
        <is>
          <t>E101040</t>
        </is>
      </c>
      <c r="B298" s="767">
        <f>ROW()</f>
        <v/>
      </c>
      <c r="C298" s="182" t="inlineStr">
        <is>
          <t>Tibet Energy Investment Group （Hong Kong） Limited</t>
        </is>
      </c>
      <c r="D298" s="182" t="inlineStr">
        <is>
          <t>ZI029E100738</t>
        </is>
      </c>
      <c r="E298" s="182" t="inlineStr">
        <is>
          <t>西藏藏能股份有限公司</t>
        </is>
      </c>
      <c r="F298" s="716" t="n"/>
      <c r="G298" s="716" t="n"/>
      <c r="H298" s="462" t="n"/>
    </row>
    <row r="299">
      <c r="A299" s="672" t="inlineStr">
        <is>
          <t>E100333</t>
        </is>
      </c>
      <c r="B299" s="767">
        <f>ROW()</f>
        <v/>
      </c>
      <c r="C299" s="182" t="inlineStr">
        <is>
          <t>安徽马钢智能立体停车设备有限公司</t>
        </is>
      </c>
      <c r="D299" s="182" t="inlineStr">
        <is>
          <t>ZI029E100332</t>
        </is>
      </c>
      <c r="E299" s="182" t="inlineStr">
        <is>
          <t>北京鑫华源机械制造有限责任公司</t>
        </is>
      </c>
      <c r="F299" s="716" t="n"/>
      <c r="G299" s="716" t="n"/>
      <c r="H299" s="462" t="n"/>
    </row>
    <row r="300">
      <c r="A300" s="672" t="inlineStr">
        <is>
          <t>E100994</t>
        </is>
      </c>
      <c r="B300" s="767">
        <f>ROW()</f>
        <v/>
      </c>
      <c r="C300" s="182" t="inlineStr">
        <is>
          <t>安徽招联清洁能源有限公司</t>
        </is>
      </c>
      <c r="D300" s="182" t="inlineStr">
        <is>
          <t>ZI029E100993</t>
        </is>
      </c>
      <c r="E300" s="182" t="inlineStr">
        <is>
          <t>常州市招联绿晖新能源有限公司</t>
        </is>
      </c>
      <c r="F300" s="716" t="n"/>
      <c r="G300" s="716" t="n"/>
      <c r="H300" s="462" t="n"/>
    </row>
    <row r="301">
      <c r="A301" s="672" t="inlineStr">
        <is>
          <t>E100709</t>
        </is>
      </c>
      <c r="B301" s="767">
        <f>ROW()</f>
        <v/>
      </c>
      <c r="C301" s="182" t="inlineStr">
        <is>
          <t>巴彦淖尔京能清洁能源电力有限公司</t>
        </is>
      </c>
      <c r="D301" s="182" t="inlineStr">
        <is>
          <t>ZI029E100001</t>
        </is>
      </c>
      <c r="E301" s="182" t="inlineStr">
        <is>
          <t>北京京能清洁能源电力股份有限公司</t>
        </is>
      </c>
      <c r="F301" s="716" t="n"/>
      <c r="G301" s="716" t="n"/>
      <c r="H301" s="462" t="n"/>
    </row>
    <row r="302">
      <c r="A302" s="672" t="inlineStr">
        <is>
          <t>E100924</t>
        </is>
      </c>
      <c r="B302" s="767">
        <f>ROW()</f>
        <v/>
      </c>
      <c r="C302" s="182" t="inlineStr">
        <is>
          <t>白城市华儒新能源开发有限公司</t>
        </is>
      </c>
      <c r="D302" s="182" t="inlineStr">
        <is>
          <t>ZI029E100730</t>
        </is>
      </c>
      <c r="E302" s="182" t="inlineStr">
        <is>
          <t>京能国际能源发展（北京）有限公司</t>
        </is>
      </c>
      <c r="F302" s="716" t="n"/>
      <c r="G302" s="716" t="n"/>
      <c r="H302" s="462" t="n"/>
    </row>
    <row r="303">
      <c r="A303" s="672" t="inlineStr">
        <is>
          <t>E101038</t>
        </is>
      </c>
      <c r="B303" s="767">
        <f>ROW()</f>
        <v/>
      </c>
      <c r="C303" s="182" t="inlineStr">
        <is>
          <t>白玉县赠曲河水电开发有限公司</t>
        </is>
      </c>
      <c r="D303" s="182" t="inlineStr">
        <is>
          <t>ZI029E100738</t>
        </is>
      </c>
      <c r="E303" s="182" t="inlineStr">
        <is>
          <t>西藏藏能股份有限公司</t>
        </is>
      </c>
      <c r="F303" s="716" t="n"/>
      <c r="G303" s="716" t="n"/>
      <c r="H303" s="462" t="n"/>
    </row>
    <row r="304">
      <c r="A304" s="672" t="inlineStr">
        <is>
          <t>E100564</t>
        </is>
      </c>
      <c r="B304" s="767">
        <f>ROW()</f>
        <v/>
      </c>
      <c r="C304" s="182" t="inlineStr">
        <is>
          <t>拜亚拉风电项目公司</t>
        </is>
      </c>
      <c r="D304" s="182" t="inlineStr">
        <is>
          <t>ZI029E100561</t>
        </is>
      </c>
      <c r="E304" s="182" t="inlineStr">
        <is>
          <t>北京京能清洁能源（澳洲）控股有限公司</t>
        </is>
      </c>
      <c r="F304" s="716" t="n"/>
      <c r="G304" s="716" t="n"/>
      <c r="H304" s="462" t="n"/>
    </row>
    <row r="305">
      <c r="A305" s="672" t="inlineStr">
        <is>
          <t>E100745</t>
        </is>
      </c>
      <c r="B305" s="767">
        <f>ROW()</f>
        <v/>
      </c>
      <c r="C305" s="182" t="inlineStr">
        <is>
          <t>包头市京能新能源科技有限公司</t>
        </is>
      </c>
      <c r="D305" s="182" t="inlineStr">
        <is>
          <t>ZI029E100145</t>
        </is>
      </c>
      <c r="E305" s="182" t="inlineStr">
        <is>
          <t>北京京能电力股份有限公司</t>
        </is>
      </c>
      <c r="F305" s="716" t="n"/>
      <c r="G305" s="716" t="n"/>
      <c r="H305" s="462" t="n"/>
    </row>
    <row r="306">
      <c r="A306" s="672" t="inlineStr">
        <is>
          <t>E101323</t>
        </is>
      </c>
      <c r="B306" s="767">
        <f>ROW()</f>
        <v/>
      </c>
      <c r="C306" s="182" t="inlineStr">
        <is>
          <t>北京京能大成新能源有限公司</t>
        </is>
      </c>
      <c r="D306" s="182" t="inlineStr">
        <is>
          <t>ZI029E100145</t>
        </is>
      </c>
      <c r="E306" s="182" t="inlineStr">
        <is>
          <t>北京京能电力股份有限公司</t>
        </is>
      </c>
      <c r="F306" s="716" t="n"/>
      <c r="G306" s="716" t="n"/>
      <c r="H306" s="462" t="n"/>
    </row>
    <row r="307">
      <c r="A307" s="672" t="inlineStr">
        <is>
          <t>E100217</t>
        </is>
      </c>
      <c r="B307" s="767">
        <f>ROW()</f>
        <v/>
      </c>
      <c r="C307" s="182" t="inlineStr">
        <is>
          <t>包头市盛华煤炭销售有限公司</t>
        </is>
      </c>
      <c r="D307" s="182" t="inlineStr">
        <is>
          <t>ZI029E100000</t>
        </is>
      </c>
      <c r="E307" s="182" t="inlineStr">
        <is>
          <t>北京能源集团有限责任公司</t>
        </is>
      </c>
      <c r="F307" s="716" t="n"/>
      <c r="G307" s="716" t="n"/>
      <c r="H307" s="462" t="n"/>
    </row>
    <row r="308">
      <c r="A308" s="672" t="inlineStr">
        <is>
          <t>E100447</t>
        </is>
      </c>
      <c r="B308" s="767">
        <f>ROW()</f>
        <v/>
      </c>
      <c r="C308" s="182" t="inlineStr">
        <is>
          <t>保定市金泰宏孚房地产开发有限公司</t>
        </is>
      </c>
      <c r="D308" s="182" t="inlineStr">
        <is>
          <t>ZI029E100421</t>
        </is>
      </c>
      <c r="E308" s="182" t="inlineStr">
        <is>
          <t>北京金泰房地产开发有限责任公司</t>
        </is>
      </c>
      <c r="F308" s="716" t="n"/>
      <c r="G308" s="716" t="n"/>
      <c r="H308" s="462" t="n"/>
    </row>
    <row r="309">
      <c r="A309" s="672" t="inlineStr">
        <is>
          <t>E100311</t>
        </is>
      </c>
      <c r="B309" s="767">
        <f>ROW()</f>
        <v/>
      </c>
      <c r="C309" s="182" t="inlineStr">
        <is>
          <t>北京奥之旅汽车销售服务有限公司</t>
        </is>
      </c>
      <c r="D309" s="182" t="inlineStr">
        <is>
          <t>ZI029E100353</t>
        </is>
      </c>
      <c r="E309" s="182" t="inlineStr">
        <is>
          <t>北京京能房产租赁经营有限责任公司</t>
        </is>
      </c>
      <c r="F309" s="716" t="n"/>
      <c r="G309" s="716" t="n"/>
      <c r="H309" s="462" t="n"/>
    </row>
    <row r="310">
      <c r="A310" s="672" t="inlineStr">
        <is>
          <t>E100406</t>
        </is>
      </c>
      <c r="B310" s="767">
        <f>ROW()</f>
        <v/>
      </c>
      <c r="C310" s="182" t="inlineStr">
        <is>
          <t>北京博尔节能设备技术开发有限责任公司</t>
        </is>
      </c>
      <c r="D310" s="182" t="inlineStr">
        <is>
          <t>ZI029E100405</t>
        </is>
      </c>
      <c r="E310" s="182" t="inlineStr">
        <is>
          <t>北京高新技术创业投资有限公司</t>
        </is>
      </c>
      <c r="F310" s="716" t="n"/>
      <c r="G310" s="716" t="n"/>
      <c r="H310" s="462" t="n"/>
    </row>
    <row r="311">
      <c r="A311" s="672" t="inlineStr">
        <is>
          <t>E100406</t>
        </is>
      </c>
      <c r="B311" s="767">
        <f>ROW()</f>
        <v/>
      </c>
      <c r="C311" s="182" t="inlineStr">
        <is>
          <t>北京博尔节能设备技术开发有限责任公司</t>
        </is>
      </c>
      <c r="D311" s="182" t="inlineStr">
        <is>
          <t>ZI029E100371</t>
        </is>
      </c>
      <c r="E311" s="182" t="inlineStr">
        <is>
          <t>北京京能科技有限公司</t>
        </is>
      </c>
      <c r="F311" s="716" t="n"/>
      <c r="G311" s="716" t="n"/>
      <c r="H311" s="462" t="n"/>
    </row>
    <row r="312">
      <c r="A312" s="672" t="inlineStr">
        <is>
          <t>E100406</t>
        </is>
      </c>
      <c r="B312" s="767">
        <f>ROW()</f>
        <v/>
      </c>
      <c r="C312" s="182" t="inlineStr">
        <is>
          <t>北京博尔节能设备技术开发有限责任公司</t>
        </is>
      </c>
      <c r="D312" s="182" t="inlineStr">
        <is>
          <t>ZI029E100222</t>
        </is>
      </c>
      <c r="E312" s="182" t="inlineStr">
        <is>
          <t>北京市热力集团有限责任公司</t>
        </is>
      </c>
      <c r="F312" s="716" t="n"/>
      <c r="G312" s="716" t="n"/>
      <c r="H312" s="462" t="n"/>
    </row>
    <row r="313">
      <c r="A313" s="672" t="inlineStr">
        <is>
          <t>E100814</t>
        </is>
      </c>
      <c r="B313" s="767">
        <f>ROW()</f>
        <v/>
      </c>
      <c r="C313" s="182" t="inlineStr">
        <is>
          <t>北京诚和敬投资有限责任公司</t>
        </is>
      </c>
      <c r="D313" s="182" t="inlineStr">
        <is>
          <t>ZI029E100776</t>
        </is>
      </c>
      <c r="E313" s="182" t="inlineStr">
        <is>
          <t>北京健康养老集团有限公司</t>
        </is>
      </c>
      <c r="F313" s="716" t="n"/>
      <c r="G313" s="716" t="n"/>
      <c r="H313" s="462" t="n"/>
    </row>
    <row r="314">
      <c r="A314" s="672" t="inlineStr">
        <is>
          <t>E100859</t>
        </is>
      </c>
      <c r="B314" s="767">
        <f>ROW()</f>
        <v/>
      </c>
      <c r="C314" s="182" t="inlineStr">
        <is>
          <t>北京诚和敬驿站养老服务有限公司</t>
        </is>
      </c>
      <c r="D314" s="182" t="inlineStr">
        <is>
          <t>ZI029E100814</t>
        </is>
      </c>
      <c r="E314" s="182" t="inlineStr">
        <is>
          <t>北京诚和敬投资有限责任公司</t>
        </is>
      </c>
      <c r="F314" s="716" t="n"/>
      <c r="G314" s="716" t="n"/>
      <c r="H314" s="462" t="n"/>
    </row>
    <row r="315">
      <c r="A315" s="672" t="inlineStr">
        <is>
          <t>E100274</t>
        </is>
      </c>
      <c r="B315" s="767">
        <f>ROW()</f>
        <v/>
      </c>
      <c r="C315" s="182" t="inlineStr">
        <is>
          <t>北京乘美乡居文化旅游发展有限公司</t>
        </is>
      </c>
      <c r="D315" s="182" t="inlineStr">
        <is>
          <t>ZI029E100268</t>
        </is>
      </c>
      <c r="E315" s="182" t="inlineStr">
        <is>
          <t>北京京煤集团有限责任公司</t>
        </is>
      </c>
      <c r="F315" s="716" t="n"/>
      <c r="G315" s="716" t="n"/>
      <c r="H315" s="462" t="n"/>
    </row>
    <row r="316">
      <c r="A316" s="672" t="inlineStr">
        <is>
          <t>E100274</t>
        </is>
      </c>
      <c r="B316" s="767">
        <f>ROW()</f>
        <v/>
      </c>
      <c r="C316" s="182" t="inlineStr">
        <is>
          <t>北京乘美乡居文化旅游发展有限公司</t>
        </is>
      </c>
      <c r="D316" s="182" t="inlineStr">
        <is>
          <t>ZI029E100320</t>
        </is>
      </c>
      <c r="E316" s="182" t="inlineStr">
        <is>
          <t>北京市天创房地产开发有限公司</t>
        </is>
      </c>
      <c r="F316" s="716" t="n"/>
      <c r="G316" s="716" t="n"/>
      <c r="H316" s="462" t="n"/>
    </row>
    <row r="317">
      <c r="A317" s="672" t="inlineStr">
        <is>
          <t>E100328</t>
        </is>
      </c>
      <c r="B317" s="767">
        <f>ROW()</f>
        <v/>
      </c>
      <c r="C317" s="182" t="inlineStr">
        <is>
          <t>北京稻香村花市食品有限责任公司</t>
        </is>
      </c>
      <c r="D317" s="182" t="inlineStr">
        <is>
          <t>ZI029E100353</t>
        </is>
      </c>
      <c r="E317" s="182" t="inlineStr">
        <is>
          <t>北京京能房产租赁经营有限责任公司</t>
        </is>
      </c>
      <c r="F317" s="716" t="n"/>
      <c r="G317" s="716" t="n"/>
      <c r="H317" s="462" t="n"/>
    </row>
    <row r="318">
      <c r="A318" s="672" t="inlineStr">
        <is>
          <t>E100405</t>
        </is>
      </c>
      <c r="B318" s="767">
        <f>ROW()</f>
        <v/>
      </c>
      <c r="C318" s="182" t="inlineStr">
        <is>
          <t>北京高新技术创业投资有限公司</t>
        </is>
      </c>
      <c r="D318" s="182" t="inlineStr">
        <is>
          <t>ZI029E100000</t>
        </is>
      </c>
      <c r="E318" s="182" t="inlineStr">
        <is>
          <t>北京能源集团有限责任公司</t>
        </is>
      </c>
      <c r="F318" s="716" t="n"/>
      <c r="G318" s="716" t="n"/>
      <c r="H318" s="462" t="n"/>
    </row>
    <row r="319">
      <c r="A319" s="672" t="inlineStr">
        <is>
          <t>E100405</t>
        </is>
      </c>
      <c r="B319" s="767">
        <f>ROW()</f>
        <v/>
      </c>
      <c r="C319" s="182" t="inlineStr">
        <is>
          <t>北京高新技术创业投资有限公司</t>
        </is>
      </c>
      <c r="D319" s="182" t="inlineStr">
        <is>
          <t>ZI029E100371</t>
        </is>
      </c>
      <c r="E319" s="182" t="inlineStr">
        <is>
          <t>北京京能科技有限公司</t>
        </is>
      </c>
      <c r="F319" s="716" t="n"/>
      <c r="G319" s="716" t="n"/>
      <c r="H319" s="462" t="n"/>
    </row>
    <row r="320">
      <c r="A320" s="672" t="inlineStr">
        <is>
          <t>E100425</t>
        </is>
      </c>
      <c r="B320" s="767">
        <f>ROW()</f>
        <v/>
      </c>
      <c r="C320" s="182" t="inlineStr">
        <is>
          <t>北京国电房地产开发有限公司</t>
        </is>
      </c>
      <c r="D320" s="182" t="inlineStr">
        <is>
          <t>ZI029E100420</t>
        </is>
      </c>
      <c r="E320" s="182" t="inlineStr">
        <is>
          <t>京能置业股份有限公司</t>
        </is>
      </c>
      <c r="F320" s="716" t="n"/>
      <c r="G320" s="716" t="n"/>
      <c r="H320" s="462" t="n"/>
    </row>
    <row r="321">
      <c r="A321" s="672" t="inlineStr">
        <is>
          <t>E100425</t>
        </is>
      </c>
      <c r="B321" s="767">
        <f>ROW()</f>
        <v/>
      </c>
      <c r="C321" s="182" t="inlineStr">
        <is>
          <t>北京国电房地产开发有限公司</t>
        </is>
      </c>
      <c r="D321" s="182" t="inlineStr">
        <is>
          <t>ZI029E100000</t>
        </is>
      </c>
      <c r="E321" s="182" t="inlineStr">
        <is>
          <t>北京能源集团有限责任公司</t>
        </is>
      </c>
      <c r="F321" s="716" t="n"/>
      <c r="G321" s="716" t="n"/>
      <c r="H321" s="462" t="n"/>
    </row>
    <row r="322">
      <c r="A322" s="672" t="inlineStr">
        <is>
          <t>E100941</t>
        </is>
      </c>
      <c r="B322" s="767">
        <f>ROW()</f>
        <v/>
      </c>
      <c r="C322" s="182" t="inlineStr">
        <is>
          <t>北京国电盛唐科技发展有限公司</t>
        </is>
      </c>
      <c r="D322" s="182" t="inlineStr">
        <is>
          <t>ZI029E100730</t>
        </is>
      </c>
      <c r="E322" s="182" t="inlineStr">
        <is>
          <t>京能国际能源发展（北京）有限公司</t>
        </is>
      </c>
      <c r="F322" s="716" t="n"/>
      <c r="G322" s="716" t="n"/>
      <c r="H322" s="462" t="n"/>
    </row>
    <row r="323">
      <c r="A323" s="672" t="inlineStr">
        <is>
          <t>E100197</t>
        </is>
      </c>
      <c r="B323" s="767">
        <f>ROW()</f>
        <v/>
      </c>
      <c r="C323" s="182" t="inlineStr">
        <is>
          <t>北京国际电气工程有限责任公司</t>
        </is>
      </c>
      <c r="D323" s="182" t="inlineStr">
        <is>
          <t>ZI029E100000</t>
        </is>
      </c>
      <c r="E323" s="182" t="inlineStr">
        <is>
          <t>北京能源集团有限责任公司</t>
        </is>
      </c>
      <c r="F323" s="716" t="n"/>
      <c r="G323" s="716" t="n"/>
      <c r="H323" s="462" t="n"/>
    </row>
    <row r="324">
      <c r="A324" s="672" t="inlineStr">
        <is>
          <t>E100201</t>
        </is>
      </c>
      <c r="B324" s="767">
        <f>ROW()</f>
        <v/>
      </c>
      <c r="C324" s="182" t="inlineStr">
        <is>
          <t>北京昊华能源股份有限公司</t>
        </is>
      </c>
      <c r="D324" s="182" t="inlineStr">
        <is>
          <t>ZI029E100000</t>
        </is>
      </c>
      <c r="E324" s="182" t="inlineStr">
        <is>
          <t>北京能源集团有限责任公司</t>
        </is>
      </c>
      <c r="F324" s="716" t="n"/>
      <c r="G324" s="716" t="n"/>
      <c r="H324" s="462" t="n"/>
    </row>
    <row r="325">
      <c r="A325" s="672" t="inlineStr">
        <is>
          <t>E100201G</t>
        </is>
      </c>
      <c r="B325" s="767">
        <f>ROW()</f>
        <v/>
      </c>
      <c r="C325" s="182" t="inlineStr">
        <is>
          <t>北京昊华能源股份有限公司（合并）</t>
        </is>
      </c>
      <c r="D325" s="182" t="inlineStr">
        <is>
          <t>ZI029E100000</t>
        </is>
      </c>
      <c r="E325" s="182" t="inlineStr">
        <is>
          <t>北京能源集团有限责任公司</t>
        </is>
      </c>
      <c r="F325" s="716" t="n"/>
      <c r="G325" s="716" t="n"/>
      <c r="H325" s="462" t="n"/>
    </row>
    <row r="326">
      <c r="A326" s="672" t="inlineStr">
        <is>
          <t>E100201H</t>
        </is>
      </c>
      <c r="B326" s="767">
        <f>ROW()</f>
        <v/>
      </c>
      <c r="C326" s="182" t="inlineStr">
        <is>
          <t>北京昊华能源股份有限公司（母公司）</t>
        </is>
      </c>
      <c r="D326" s="182" t="inlineStr">
        <is>
          <t>ZI029E100000</t>
        </is>
      </c>
      <c r="E326" s="182" t="inlineStr">
        <is>
          <t>北京能源集团有限责任公司</t>
        </is>
      </c>
      <c r="F326" s="716" t="n"/>
      <c r="G326" s="716" t="n"/>
      <c r="H326" s="462" t="n"/>
    </row>
    <row r="327">
      <c r="A327" s="672" t="inlineStr">
        <is>
          <t>E100210</t>
        </is>
      </c>
      <c r="B327" s="767">
        <f>ROW()</f>
        <v/>
      </c>
      <c r="C327" s="182" t="inlineStr">
        <is>
          <t>北京昊华鑫达商贸有限公司</t>
        </is>
      </c>
      <c r="D327" s="182" t="inlineStr">
        <is>
          <t>ZI029E100201</t>
        </is>
      </c>
      <c r="E327" s="182" t="inlineStr">
        <is>
          <t>北京昊华能源股份有限公司</t>
        </is>
      </c>
      <c r="F327" s="716" t="n"/>
      <c r="G327" s="716" t="n"/>
      <c r="H327" s="462" t="n"/>
    </row>
    <row r="328">
      <c r="A328" s="672" t="inlineStr">
        <is>
          <t>E100434</t>
        </is>
      </c>
      <c r="B328" s="767">
        <f>ROW()</f>
        <v/>
      </c>
      <c r="C328" s="182" t="inlineStr">
        <is>
          <t>北京昊泰房地产开发有限公司</t>
        </is>
      </c>
      <c r="D328" s="182" t="inlineStr">
        <is>
          <t>ZI029E100268</t>
        </is>
      </c>
      <c r="E328" s="182" t="inlineStr">
        <is>
          <t>北京京煤集团有限责任公司</t>
        </is>
      </c>
      <c r="F328" s="716" t="n"/>
      <c r="G328" s="716" t="n"/>
      <c r="H328" s="462" t="n"/>
    </row>
    <row r="329">
      <c r="A329" s="672" t="inlineStr">
        <is>
          <t>E100255</t>
        </is>
      </c>
      <c r="B329" s="767">
        <f>ROW()</f>
        <v/>
      </c>
      <c r="C329" s="182" t="inlineStr">
        <is>
          <t>北京华热科技发展有限公司</t>
        </is>
      </c>
      <c r="D329" s="182" t="inlineStr">
        <is>
          <t>ZI029E100222</t>
        </is>
      </c>
      <c r="E329" s="182" t="inlineStr">
        <is>
          <t>北京市热力集团有限责任公司</t>
        </is>
      </c>
      <c r="F329" s="716" t="n"/>
      <c r="G329" s="716" t="n"/>
      <c r="H329" s="462" t="n"/>
    </row>
    <row r="330">
      <c r="A330" s="672" t="inlineStr">
        <is>
          <t>E101057</t>
        </is>
      </c>
      <c r="B330" s="767">
        <f>ROW()</f>
        <v/>
      </c>
      <c r="C330" s="182" t="inlineStr">
        <is>
          <t>北京华通兴远节能技术有限公司</t>
        </is>
      </c>
      <c r="D330" s="182" t="inlineStr">
        <is>
          <t>ZI029E101054</t>
        </is>
      </c>
      <c r="E330" s="182" t="inlineStr">
        <is>
          <t>北京京能热力股份有限公司</t>
        </is>
      </c>
      <c r="F330" s="716" t="n"/>
      <c r="G330" s="716" t="n"/>
      <c r="H330" s="462" t="n"/>
    </row>
    <row r="331">
      <c r="A331" s="672" t="inlineStr">
        <is>
          <t>E101056</t>
        </is>
      </c>
      <c r="B331" s="767">
        <f>ROW()</f>
        <v/>
      </c>
      <c r="C331" s="182" t="inlineStr">
        <is>
          <t>北京华意龙达科技发展有限公司</t>
        </is>
      </c>
      <c r="D331" s="182" t="inlineStr">
        <is>
          <t>ZI029E101054</t>
        </is>
      </c>
      <c r="E331" s="182" t="inlineStr">
        <is>
          <t>北京京能热力股份有限公司</t>
        </is>
      </c>
      <c r="F331" s="716" t="n"/>
      <c r="G331" s="716" t="n"/>
      <c r="H331" s="182" t="n"/>
    </row>
    <row r="332">
      <c r="A332" s="672" t="inlineStr">
        <is>
          <t>E101056G</t>
        </is>
      </c>
      <c r="B332" s="767">
        <f>ROW()</f>
        <v/>
      </c>
      <c r="C332" s="182" t="inlineStr">
        <is>
          <t>北京华意龙达科技发展有限公司（合并）</t>
        </is>
      </c>
      <c r="D332" s="182" t="inlineStr">
        <is>
          <t>ZI029E101054</t>
        </is>
      </c>
      <c r="E332" s="182" t="inlineStr">
        <is>
          <t>北京京能热力股份有限公司</t>
        </is>
      </c>
      <c r="F332" s="716" t="n"/>
      <c r="G332" s="716" t="n"/>
      <c r="H332" s="462" t="n"/>
    </row>
    <row r="333">
      <c r="A333" s="672" t="inlineStr">
        <is>
          <t>E101316</t>
        </is>
      </c>
      <c r="B333" s="767">
        <f>ROW()</f>
        <v/>
      </c>
      <c r="C333" s="182" t="inlineStr">
        <is>
          <t>北京京能未来能源科技有限公司</t>
        </is>
      </c>
      <c r="D333" s="182" t="inlineStr">
        <is>
          <t>ZI029E101054</t>
        </is>
      </c>
      <c r="E333" s="182" t="inlineStr">
        <is>
          <t>北京京能热力股份有限公司</t>
        </is>
      </c>
      <c r="F333" s="716" t="n"/>
      <c r="G333" s="716" t="n"/>
      <c r="H333" s="462" t="n"/>
    </row>
    <row r="334">
      <c r="A334" s="672" t="inlineStr">
        <is>
          <t>E100407</t>
        </is>
      </c>
      <c r="B334" s="767">
        <f>ROW()</f>
        <v/>
      </c>
      <c r="C334" s="182" t="inlineStr">
        <is>
          <t>北京华源高洁能源供应技术有限责任公司</t>
        </is>
      </c>
      <c r="D334" s="182" t="inlineStr">
        <is>
          <t>ZI029E100405</t>
        </is>
      </c>
      <c r="E334" s="182" t="inlineStr">
        <is>
          <t>北京高新技术创业投资有限公司</t>
        </is>
      </c>
      <c r="F334" s="716" t="n"/>
      <c r="G334" s="716" t="n"/>
      <c r="H334" s="462" t="n"/>
    </row>
    <row r="335">
      <c r="A335" s="672" t="inlineStr">
        <is>
          <t>E100407</t>
        </is>
      </c>
      <c r="B335" s="767">
        <f>ROW()</f>
        <v/>
      </c>
      <c r="C335" s="182" t="inlineStr">
        <is>
          <t>北京华源高洁能源供应技术有限责任公司</t>
        </is>
      </c>
      <c r="D335" s="182" t="inlineStr">
        <is>
          <t>ZI029E100371</t>
        </is>
      </c>
      <c r="E335" s="182" t="inlineStr">
        <is>
          <t>北京京能科技有限公司</t>
        </is>
      </c>
      <c r="F335" s="716" t="n"/>
      <c r="G335" s="716" t="n"/>
      <c r="H335" s="462" t="n"/>
    </row>
    <row r="336">
      <c r="A336" s="672" t="inlineStr">
        <is>
          <t>E101058</t>
        </is>
      </c>
      <c r="B336" s="767">
        <f>ROW()</f>
        <v/>
      </c>
      <c r="C336" s="182" t="inlineStr">
        <is>
          <t>北京华远意通节能科技发展有限公司</t>
        </is>
      </c>
      <c r="D336" s="182" t="inlineStr">
        <is>
          <t>ZI029E101054</t>
        </is>
      </c>
      <c r="E336" s="182" t="inlineStr">
        <is>
          <t>北京京能热力股份有限公司</t>
        </is>
      </c>
      <c r="F336" s="716" t="n"/>
      <c r="G336" s="716" t="n"/>
      <c r="H336" s="462" t="n"/>
    </row>
    <row r="337">
      <c r="A337" s="672" t="inlineStr">
        <is>
          <t>E101054</t>
        </is>
      </c>
      <c r="B337" s="767">
        <f>ROW()</f>
        <v/>
      </c>
      <c r="C337" s="182" t="inlineStr">
        <is>
          <t>北京华远意通热力科技股份有限公司</t>
        </is>
      </c>
      <c r="D337" s="182" t="inlineStr">
        <is>
          <t>ZI029E100000</t>
        </is>
      </c>
      <c r="E337" s="182" t="inlineStr">
        <is>
          <t>北京能源集团有限责任公司</t>
        </is>
      </c>
      <c r="F337" s="716" t="n"/>
      <c r="G337" s="716" t="n"/>
      <c r="H337" s="462" t="n"/>
    </row>
    <row r="338">
      <c r="A338" s="672" t="inlineStr">
        <is>
          <t>E101054G</t>
        </is>
      </c>
      <c r="B338" s="767">
        <f>ROW()</f>
        <v/>
      </c>
      <c r="C338" s="182" t="inlineStr">
        <is>
          <t>北京华远意通热力科技股份有限公司（合并）</t>
        </is>
      </c>
      <c r="D338" s="182" t="inlineStr">
        <is>
          <t>ZI029E100000</t>
        </is>
      </c>
      <c r="E338" s="182" t="inlineStr">
        <is>
          <t>北京能源集团有限责任公司</t>
        </is>
      </c>
      <c r="F338" s="716" t="n"/>
      <c r="G338" s="716" t="n"/>
      <c r="H338" s="462" t="n"/>
    </row>
    <row r="339">
      <c r="A339" s="672" t="inlineStr">
        <is>
          <t>E101054H</t>
        </is>
      </c>
      <c r="B339" s="767">
        <f>ROW()</f>
        <v/>
      </c>
      <c r="C339" s="182" t="inlineStr">
        <is>
          <t>北京华远意通热力科技股份有限公司（母公司）</t>
        </is>
      </c>
      <c r="D339" s="182" t="inlineStr">
        <is>
          <t>ZI029E101054</t>
        </is>
      </c>
      <c r="E339" s="182" t="inlineStr">
        <is>
          <t>北京京能热力股份有限公司</t>
        </is>
      </c>
      <c r="F339" s="716" t="n"/>
      <c r="G339" s="716" t="n"/>
      <c r="H339" s="462" t="n"/>
    </row>
    <row r="340">
      <c r="A340" s="672" t="inlineStr">
        <is>
          <t>E101055</t>
        </is>
      </c>
      <c r="B340" s="767">
        <f>ROW()</f>
        <v/>
      </c>
      <c r="C340" s="182" t="inlineStr">
        <is>
          <t>北京华远意通热力科技股份有限公司平谷分公司</t>
        </is>
      </c>
      <c r="D340" s="182" t="inlineStr">
        <is>
          <t>ZI029E101054</t>
        </is>
      </c>
      <c r="E340" s="182" t="inlineStr">
        <is>
          <t>北京京能热力股份有限公司</t>
        </is>
      </c>
      <c r="F340" s="716" t="n"/>
      <c r="G340" s="716" t="n"/>
      <c r="H340" s="462" t="n"/>
    </row>
    <row r="341">
      <c r="A341" s="672" t="inlineStr">
        <is>
          <t>E100451</t>
        </is>
      </c>
      <c r="B341" s="767">
        <f>ROW()</f>
        <v/>
      </c>
      <c r="C341" s="182" t="inlineStr">
        <is>
          <t>北京吉平劳务分包有限公司</t>
        </is>
      </c>
      <c r="D341" s="182" t="inlineStr">
        <is>
          <t>ZI029E100422</t>
        </is>
      </c>
      <c r="E341" s="182" t="inlineStr">
        <is>
          <t>北京京能建设集团有限公司</t>
        </is>
      </c>
      <c r="F341" s="716" t="n"/>
      <c r="G341" s="716" t="n"/>
      <c r="H341" s="462" t="n"/>
    </row>
    <row r="342">
      <c r="A342" s="672" t="inlineStr">
        <is>
          <t>E100776</t>
        </is>
      </c>
      <c r="B342" s="767">
        <f>ROW()</f>
        <v/>
      </c>
      <c r="C342" s="182" t="inlineStr">
        <is>
          <t>北京健康养老集团有限公司</t>
        </is>
      </c>
      <c r="D342" s="182" t="inlineStr">
        <is>
          <t>ZI029E100000</t>
        </is>
      </c>
      <c r="E342" s="182" t="inlineStr">
        <is>
          <t>北京能源集团有限责任公司</t>
        </is>
      </c>
      <c r="F342" s="716" t="n"/>
      <c r="G342" s="716" t="n"/>
      <c r="H342" s="462" t="n"/>
    </row>
    <row r="343">
      <c r="A343" s="672" t="inlineStr">
        <is>
          <t>E100377</t>
        </is>
      </c>
      <c r="B343" s="767">
        <f>ROW()</f>
        <v/>
      </c>
      <c r="C343" s="182" t="inlineStr">
        <is>
          <t>北京节能技术监测中心</t>
        </is>
      </c>
      <c r="D343" s="182" t="inlineStr">
        <is>
          <t>ZI029E100371</t>
        </is>
      </c>
      <c r="E343" s="182" t="inlineStr">
        <is>
          <t>北京京能科技有限公司</t>
        </is>
      </c>
      <c r="F343" s="716" t="n"/>
      <c r="G343" s="716" t="n"/>
      <c r="H343" s="462" t="n"/>
    </row>
    <row r="344">
      <c r="A344" s="672" t="inlineStr">
        <is>
          <t>E100237</t>
        </is>
      </c>
      <c r="B344" s="767">
        <f>ROW()</f>
        <v/>
      </c>
      <c r="C344" s="182" t="inlineStr">
        <is>
          <t>北京金光眼特种设备检验检测有限公司</t>
        </is>
      </c>
      <c r="D344" s="182" t="inlineStr">
        <is>
          <t>ZI029E100222</t>
        </is>
      </c>
      <c r="E344" s="182" t="inlineStr">
        <is>
          <t>北京市热力集团有限责任公司</t>
        </is>
      </c>
      <c r="F344" s="716" t="n"/>
      <c r="G344" s="716" t="n"/>
      <c r="H344" s="462" t="n"/>
    </row>
    <row r="345">
      <c r="A345" s="672" t="inlineStr">
        <is>
          <t>E100257</t>
        </is>
      </c>
      <c r="B345" s="767">
        <f>ROW()</f>
        <v/>
      </c>
      <c r="C345" s="182" t="inlineStr">
        <is>
          <t>北京金马特诚供暖有限责任公司</t>
        </is>
      </c>
      <c r="D345" s="182" t="inlineStr">
        <is>
          <t>ZI029E100245</t>
        </is>
      </c>
      <c r="E345" s="182" t="inlineStr">
        <is>
          <t>北京市特诚热力有限责任公司</t>
        </is>
      </c>
      <c r="F345" s="716" t="n"/>
      <c r="G345" s="716" t="n"/>
      <c r="H345" s="462" t="n"/>
    </row>
    <row r="346">
      <c r="A346" s="672" t="inlineStr">
        <is>
          <t>E100446</t>
        </is>
      </c>
      <c r="B346" s="767">
        <f>ROW()</f>
        <v/>
      </c>
      <c r="C346" s="182" t="inlineStr">
        <is>
          <t>北京金泰（辽宁）房地产开发有限责任公司</t>
        </is>
      </c>
      <c r="D346" s="182" t="inlineStr">
        <is>
          <t>ZI029E100421</t>
        </is>
      </c>
      <c r="E346" s="182" t="inlineStr">
        <is>
          <t>北京金泰房地产开发有限责任公司</t>
        </is>
      </c>
      <c r="F346" s="716" t="n"/>
      <c r="G346" s="716" t="n"/>
      <c r="H346" s="462" t="n"/>
    </row>
    <row r="347">
      <c r="A347" s="672" t="inlineStr">
        <is>
          <t>E100327</t>
        </is>
      </c>
      <c r="B347" s="767">
        <f>ROW()</f>
        <v/>
      </c>
      <c r="C347" s="182" t="inlineStr">
        <is>
          <t>北京金泰诚信经贸有限公司</t>
        </is>
      </c>
      <c r="D347" s="182" t="inlineStr">
        <is>
          <t>ZI029E100353</t>
        </is>
      </c>
      <c r="E347" s="182" t="inlineStr">
        <is>
          <t>北京京能房产租赁经营有限责任公司</t>
        </is>
      </c>
      <c r="F347" s="716" t="n"/>
      <c r="G347" s="716" t="n"/>
      <c r="H347" s="462" t="n"/>
    </row>
    <row r="348">
      <c r="A348" s="672" t="inlineStr">
        <is>
          <t>E100421</t>
        </is>
      </c>
      <c r="B348" s="767">
        <f>ROW()</f>
        <v/>
      </c>
      <c r="C348" s="182" t="inlineStr">
        <is>
          <t>北京金泰房地产开发有限责任公司</t>
        </is>
      </c>
      <c r="D348" s="182" t="inlineStr">
        <is>
          <t>ZI029E100000</t>
        </is>
      </c>
      <c r="E348" s="182" t="inlineStr">
        <is>
          <t>北京能源集团有限责任公司</t>
        </is>
      </c>
      <c r="F348" s="716" t="n"/>
      <c r="G348" s="716" t="n"/>
      <c r="H348" s="462" t="n"/>
    </row>
    <row r="349">
      <c r="A349" s="672" t="inlineStr">
        <is>
          <t>E100299</t>
        </is>
      </c>
      <c r="B349" s="767">
        <f>ROW()</f>
        <v/>
      </c>
      <c r="C349" s="182" t="inlineStr">
        <is>
          <t>北京金泰福龙餐饮有限公司</t>
        </is>
      </c>
      <c r="D349" s="182" t="inlineStr">
        <is>
          <t>ZI029E100293</t>
        </is>
      </c>
      <c r="E349" s="182" t="inlineStr">
        <is>
          <t>北京京能酒店管理有限公司</t>
        </is>
      </c>
      <c r="F349" s="716" t="n"/>
      <c r="G349" s="716" t="n"/>
      <c r="H349" s="462" t="n"/>
    </row>
    <row r="350">
      <c r="A350" s="672" t="inlineStr">
        <is>
          <t>E100364</t>
        </is>
      </c>
      <c r="B350" s="767">
        <f>ROW()</f>
        <v/>
      </c>
      <c r="C350" s="182" t="inlineStr">
        <is>
          <t>北京金泰港物流有限公司</t>
        </is>
      </c>
      <c r="D350" s="182" t="inlineStr">
        <is>
          <t>ZI029E100268</t>
        </is>
      </c>
      <c r="E350" s="182" t="inlineStr">
        <is>
          <t>北京京煤集团有限责任公司</t>
        </is>
      </c>
      <c r="F350" s="716" t="n"/>
      <c r="G350" s="716" t="n"/>
      <c r="H350" s="462" t="n"/>
    </row>
    <row r="351">
      <c r="A351" s="672" t="inlineStr">
        <is>
          <t>E100294</t>
        </is>
      </c>
      <c r="B351" s="767">
        <f>ROW()</f>
        <v/>
      </c>
      <c r="C351" s="182" t="inlineStr">
        <is>
          <t>北京金泰国际会展有限公司</t>
        </is>
      </c>
      <c r="D351" s="182" t="inlineStr">
        <is>
          <t>ZI029E100293</t>
        </is>
      </c>
      <c r="E351" s="182" t="inlineStr">
        <is>
          <t>北京京能酒店管理有限公司</t>
        </is>
      </c>
      <c r="F351" s="716" t="n"/>
      <c r="G351" s="716" t="n"/>
      <c r="H351" s="462" t="n"/>
    </row>
    <row r="352">
      <c r="A352" s="672" t="inlineStr">
        <is>
          <t>E100294G</t>
        </is>
      </c>
      <c r="B352" s="767">
        <f>ROW()</f>
        <v/>
      </c>
      <c r="C352" s="182" t="inlineStr">
        <is>
          <t>北京金泰国际会展有限公司（合并）</t>
        </is>
      </c>
      <c r="D352" s="182" t="inlineStr">
        <is>
          <t>ZI029E100293</t>
        </is>
      </c>
      <c r="E352" s="182" t="inlineStr">
        <is>
          <t>北京京能酒店管理有限公司</t>
        </is>
      </c>
      <c r="F352" s="716" t="n"/>
      <c r="G352" s="716" t="n"/>
      <c r="H352" s="462" t="n"/>
    </row>
    <row r="353">
      <c r="A353" s="672" t="inlineStr">
        <is>
          <t>E100294H</t>
        </is>
      </c>
      <c r="B353" s="767">
        <f>ROW()</f>
        <v/>
      </c>
      <c r="C353" s="182" t="inlineStr">
        <is>
          <t>北京金泰国际会展有限公司（母公司）</t>
        </is>
      </c>
      <c r="D353" s="182" t="inlineStr">
        <is>
          <t>ZI029E100293</t>
        </is>
      </c>
      <c r="E353" s="182" t="inlineStr">
        <is>
          <t>北京京能酒店管理有限公司</t>
        </is>
      </c>
      <c r="F353" s="716" t="n"/>
      <c r="G353" s="716" t="n"/>
      <c r="H353" s="462" t="n"/>
    </row>
    <row r="354">
      <c r="A354" s="672" t="inlineStr">
        <is>
          <t>E100349</t>
        </is>
      </c>
      <c r="B354" s="767">
        <f>ROW()</f>
        <v/>
      </c>
      <c r="C354" s="182" t="inlineStr">
        <is>
          <t>北京金泰恒业晟通商贸有限公司</t>
        </is>
      </c>
      <c r="D354" s="182" t="inlineStr">
        <is>
          <t>ZI029E100353</t>
        </is>
      </c>
      <c r="E354" s="182" t="inlineStr">
        <is>
          <t>北京京能房产租赁经营有限责任公司</t>
        </is>
      </c>
      <c r="F354" s="716" t="n"/>
      <c r="G354" s="716" t="n"/>
      <c r="H354" s="462" t="n"/>
    </row>
    <row r="355">
      <c r="A355" s="672" t="inlineStr">
        <is>
          <t>E100293</t>
        </is>
      </c>
      <c r="B355" s="767">
        <f>ROW()</f>
        <v/>
      </c>
      <c r="C355" s="182" t="inlineStr">
        <is>
          <t>北京京能酒店管理有限公司</t>
        </is>
      </c>
      <c r="D355" s="182" t="inlineStr">
        <is>
          <t>ZI029E100268</t>
        </is>
      </c>
      <c r="E355" s="182" t="inlineStr">
        <is>
          <t>北京京煤集团有限责任公司</t>
        </is>
      </c>
      <c r="F355" s="716" t="n"/>
      <c r="G355" s="716" t="n"/>
      <c r="H355" s="462" t="n"/>
    </row>
    <row r="356">
      <c r="A356" s="672" t="inlineStr">
        <is>
          <t>E100293G</t>
        </is>
      </c>
      <c r="B356" s="767">
        <f>ROW()</f>
        <v/>
      </c>
      <c r="C356" s="182" t="inlineStr">
        <is>
          <t>北京京能酒店管理有限公司（合并）</t>
        </is>
      </c>
      <c r="D356" s="182" t="inlineStr">
        <is>
          <t>ZI029E100268</t>
        </is>
      </c>
      <c r="E356" s="182" t="inlineStr">
        <is>
          <t>北京京煤集团有限责任公司</t>
        </is>
      </c>
      <c r="F356" s="716" t="n"/>
      <c r="G356" s="716" t="n"/>
      <c r="H356" s="462" t="n"/>
    </row>
    <row r="357">
      <c r="A357" s="672" t="inlineStr">
        <is>
          <t>E100293H</t>
        </is>
      </c>
      <c r="B357" s="767">
        <f>ROW()</f>
        <v/>
      </c>
      <c r="C357" s="182" t="inlineStr">
        <is>
          <t>北京京能酒店管理有限公司（母公司）</t>
        </is>
      </c>
      <c r="D357" s="182" t="inlineStr">
        <is>
          <t>ZI029E100268</t>
        </is>
      </c>
      <c r="E357" s="182" t="inlineStr">
        <is>
          <t>北京京煤集团有限责任公司</t>
        </is>
      </c>
      <c r="F357" s="716" t="n"/>
      <c r="G357" s="716" t="n"/>
      <c r="H357" s="462" t="n"/>
    </row>
    <row r="358">
      <c r="A358" s="672" t="inlineStr">
        <is>
          <t>E100314</t>
        </is>
      </c>
      <c r="B358" s="767">
        <f>ROW()</f>
        <v/>
      </c>
      <c r="C358" s="182" t="inlineStr">
        <is>
          <t>北京金泰恒业燃料有限公司</t>
        </is>
      </c>
      <c r="D358" s="182" t="inlineStr">
        <is>
          <t>ZI029E100353</t>
        </is>
      </c>
      <c r="E358" s="182" t="inlineStr">
        <is>
          <t>北京京能房产租赁经营有限责任公司</t>
        </is>
      </c>
      <c r="F358" s="716" t="n"/>
      <c r="G358" s="716" t="n"/>
      <c r="H358" s="462" t="n"/>
    </row>
    <row r="359">
      <c r="A359" s="672" t="inlineStr">
        <is>
          <t>E100298</t>
        </is>
      </c>
      <c r="B359" s="767">
        <f>ROW()</f>
        <v/>
      </c>
      <c r="C359" s="182" t="inlineStr">
        <is>
          <t>北京金泰汇民出租汽车有限公司</t>
        </is>
      </c>
      <c r="D359" s="182" t="inlineStr">
        <is>
          <t>ZI029E100353</t>
        </is>
      </c>
      <c r="E359" s="182" t="inlineStr">
        <is>
          <t>北京京能房产租赁经营有限责任公司</t>
        </is>
      </c>
      <c r="F359" s="716" t="n"/>
      <c r="G359" s="716" t="n"/>
      <c r="H359" s="462" t="n"/>
    </row>
    <row r="360">
      <c r="A360" s="672" t="inlineStr">
        <is>
          <t>E100329</t>
        </is>
      </c>
      <c r="B360" s="767">
        <f>ROW()</f>
        <v/>
      </c>
      <c r="C360" s="182" t="inlineStr">
        <is>
          <t>北京金泰汇通商贸有限公司</t>
        </is>
      </c>
      <c r="D360" s="182" t="inlineStr">
        <is>
          <t>ZI029E100353</t>
        </is>
      </c>
      <c r="E360" s="182" t="inlineStr">
        <is>
          <t>北京京能房产租赁经营有限责任公司</t>
        </is>
      </c>
      <c r="F360" s="716" t="n"/>
      <c r="G360" s="716" t="n"/>
      <c r="H360" s="462" t="n"/>
    </row>
    <row r="361">
      <c r="A361" s="672" t="inlineStr">
        <is>
          <t>E100313</t>
        </is>
      </c>
      <c r="B361" s="767">
        <f>ROW()</f>
        <v/>
      </c>
      <c r="C361" s="182" t="inlineStr">
        <is>
          <t>北京金泰开润旧机动车经纪有限公司</t>
        </is>
      </c>
      <c r="D361" s="182" t="inlineStr">
        <is>
          <t>ZI029E100353</t>
        </is>
      </c>
      <c r="E361" s="182" t="inlineStr">
        <is>
          <t>北京京能房产租赁经营有限责任公司</t>
        </is>
      </c>
      <c r="F361" s="716" t="n"/>
      <c r="G361" s="716" t="n"/>
      <c r="H361" s="462" t="n"/>
    </row>
    <row r="362">
      <c r="A362" s="672" t="inlineStr">
        <is>
          <t>E100308</t>
        </is>
      </c>
      <c r="B362" s="767">
        <f>ROW()</f>
        <v/>
      </c>
      <c r="C362" s="182" t="inlineStr">
        <is>
          <t>北京金泰开元汽车销售服务有限公司</t>
        </is>
      </c>
      <c r="D362" s="182" t="inlineStr">
        <is>
          <t>ZI029E100353</t>
        </is>
      </c>
      <c r="E362" s="182" t="inlineStr">
        <is>
          <t>北京京能房产租赁经营有限责任公司</t>
        </is>
      </c>
      <c r="F362" s="716" t="n"/>
      <c r="G362" s="716" t="n"/>
      <c r="H362" s="462" t="n"/>
    </row>
    <row r="363">
      <c r="A363" s="672" t="inlineStr">
        <is>
          <t>E100309</t>
        </is>
      </c>
      <c r="B363" s="767">
        <f>ROW()</f>
        <v/>
      </c>
      <c r="C363" s="182" t="inlineStr">
        <is>
          <t>北京金泰凯迪汽车销售服务有限公司</t>
        </is>
      </c>
      <c r="D363" s="182" t="inlineStr">
        <is>
          <t>ZI029E100353</t>
        </is>
      </c>
      <c r="E363" s="182" t="inlineStr">
        <is>
          <t>北京京能房产租赁经营有限责任公司</t>
        </is>
      </c>
      <c r="F363" s="716" t="n"/>
      <c r="G363" s="716" t="n"/>
      <c r="H363" s="462" t="n"/>
    </row>
    <row r="364">
      <c r="A364" s="672" t="inlineStr">
        <is>
          <t>E100310</t>
        </is>
      </c>
      <c r="B364" s="767">
        <f>ROW()</f>
        <v/>
      </c>
      <c r="C364" s="182" t="inlineStr">
        <is>
          <t>北京金泰凯盛汽车销售服务有限公司</t>
        </is>
      </c>
      <c r="D364" s="182" t="inlineStr">
        <is>
          <t>ZI029E100353</t>
        </is>
      </c>
      <c r="E364" s="182" t="inlineStr">
        <is>
          <t>北京京能房产租赁经营有限责任公司</t>
        </is>
      </c>
      <c r="F364" s="716" t="n"/>
      <c r="G364" s="716" t="n"/>
      <c r="H364" s="462" t="n"/>
    </row>
    <row r="365">
      <c r="A365" s="672" t="inlineStr">
        <is>
          <t>E100277</t>
        </is>
      </c>
      <c r="B365" s="767">
        <f>ROW()</f>
        <v/>
      </c>
      <c r="C365" s="182" t="inlineStr">
        <is>
          <t>北京金泰利达房屋租赁有限公司</t>
        </is>
      </c>
      <c r="D365" s="182" t="inlineStr">
        <is>
          <t>ZI029E100353</t>
        </is>
      </c>
      <c r="E365" s="182" t="inlineStr">
        <is>
          <t>北京京能房产租赁经营有限责任公司</t>
        </is>
      </c>
      <c r="F365" s="716" t="n"/>
      <c r="G365" s="716" t="n"/>
      <c r="H365" s="462" t="n"/>
    </row>
    <row r="366">
      <c r="A366" s="672" t="inlineStr">
        <is>
          <t>E100301</t>
        </is>
      </c>
      <c r="B366" s="767">
        <f>ROW()</f>
        <v/>
      </c>
      <c r="C366" s="182" t="inlineStr">
        <is>
          <t>北京金泰梅苑宾馆有限公司</t>
        </is>
      </c>
      <c r="D366" s="182" t="inlineStr">
        <is>
          <t>ZI029E100293</t>
        </is>
      </c>
      <c r="E366" s="182" t="inlineStr">
        <is>
          <t>北京京能酒店管理有限公司</t>
        </is>
      </c>
      <c r="F366" s="716" t="n"/>
      <c r="G366" s="716" t="n"/>
      <c r="H366" s="462" t="n"/>
    </row>
    <row r="367">
      <c r="A367" s="672" t="inlineStr">
        <is>
          <t>E100378</t>
        </is>
      </c>
      <c r="B367" s="767">
        <f>ROW()</f>
        <v/>
      </c>
      <c r="C367" s="182" t="inlineStr">
        <is>
          <t>北京金泰明达节能科技有限公司</t>
        </is>
      </c>
      <c r="D367" s="182" t="inlineStr">
        <is>
          <t>ZI029E100371</t>
        </is>
      </c>
      <c r="E367" s="182" t="inlineStr">
        <is>
          <t>北京京能科技有限公司</t>
        </is>
      </c>
      <c r="F367" s="716" t="n"/>
      <c r="G367" s="716" t="n"/>
      <c r="H367" s="462" t="n"/>
    </row>
    <row r="368">
      <c r="A368" s="672" t="inlineStr">
        <is>
          <t>E100326</t>
        </is>
      </c>
      <c r="B368" s="767">
        <f>ROW()</f>
        <v/>
      </c>
      <c r="C368" s="182" t="inlineStr">
        <is>
          <t>北京金泰通华商贸有限责任公司</t>
        </is>
      </c>
      <c r="D368" s="182" t="inlineStr">
        <is>
          <t>ZI029E100353</t>
        </is>
      </c>
      <c r="E368" s="182" t="inlineStr">
        <is>
          <t>北京京能房产租赁经营有限责任公司</t>
        </is>
      </c>
      <c r="F368" s="716" t="n"/>
      <c r="G368" s="716" t="n"/>
      <c r="H368" s="462" t="n"/>
    </row>
    <row r="369">
      <c r="A369" s="672" t="inlineStr">
        <is>
          <t>E100362</t>
        </is>
      </c>
      <c r="B369" s="767">
        <f>ROW()</f>
        <v/>
      </c>
      <c r="C369" s="182" t="inlineStr">
        <is>
          <t>北京金泰物业管理有限公司</t>
        </is>
      </c>
      <c r="D369" s="182" t="inlineStr">
        <is>
          <t>ZI029E100268</t>
        </is>
      </c>
      <c r="E369" s="182" t="inlineStr">
        <is>
          <t>北京京煤集团有限责任公司</t>
        </is>
      </c>
      <c r="F369" s="716" t="n"/>
      <c r="G369" s="716" t="n"/>
      <c r="H369" s="462" t="n"/>
    </row>
    <row r="370">
      <c r="A370" s="672" t="inlineStr">
        <is>
          <t>E100362G</t>
        </is>
      </c>
      <c r="B370" s="767">
        <f>ROW()</f>
        <v/>
      </c>
      <c r="C370" s="182" t="inlineStr">
        <is>
          <t>北京金泰物业管理有限公司（合并）</t>
        </is>
      </c>
      <c r="D370" s="182" t="inlineStr">
        <is>
          <t>ZI029E100268</t>
        </is>
      </c>
      <c r="E370" s="182" t="inlineStr">
        <is>
          <t>北京京煤集团有限责任公司</t>
        </is>
      </c>
      <c r="F370" s="716" t="n"/>
      <c r="G370" s="716" t="n"/>
      <c r="H370" s="462" t="n"/>
    </row>
    <row r="371">
      <c r="A371" s="672" t="inlineStr">
        <is>
          <t>E100362H</t>
        </is>
      </c>
      <c r="B371" s="767">
        <f>ROW()</f>
        <v/>
      </c>
      <c r="C371" s="182" t="inlineStr">
        <is>
          <t>北京金泰物业管理有限公司（汇总）</t>
        </is>
      </c>
      <c r="D371" s="182" t="inlineStr">
        <is>
          <t>ZI029E100268</t>
        </is>
      </c>
      <c r="E371" s="182" t="inlineStr">
        <is>
          <t>北京京煤集团有限责任公司</t>
        </is>
      </c>
      <c r="F371" s="716" t="n"/>
      <c r="G371" s="716" t="n"/>
      <c r="H371" s="462" t="n"/>
    </row>
    <row r="372">
      <c r="A372" s="672" t="inlineStr">
        <is>
          <t>E100279</t>
        </is>
      </c>
      <c r="B372" s="767">
        <f>ROW()</f>
        <v/>
      </c>
      <c r="C372" s="182" t="inlineStr">
        <is>
          <t>北京金泰翔达投资管理有限公司</t>
        </is>
      </c>
      <c r="D372" s="182" t="inlineStr">
        <is>
          <t>ZI029E100353</t>
        </is>
      </c>
      <c r="E372" s="182" t="inlineStr">
        <is>
          <t>北京京能房产租赁经营有限责任公司</t>
        </is>
      </c>
      <c r="F372" s="716" t="n"/>
      <c r="G372" s="716" t="n"/>
      <c r="H372" s="462" t="n"/>
    </row>
    <row r="373">
      <c r="A373" s="672" t="inlineStr">
        <is>
          <t>E100366</t>
        </is>
      </c>
      <c r="B373" s="767">
        <f>ROW()</f>
        <v/>
      </c>
      <c r="C373" s="182" t="inlineStr">
        <is>
          <t>北京金泰新钢联科贸有限公司</t>
        </is>
      </c>
      <c r="D373" s="182" t="inlineStr">
        <is>
          <t>ZI029E100353</t>
        </is>
      </c>
      <c r="E373" s="182" t="inlineStr">
        <is>
          <t>北京京能房产租赁经营有限责任公司</t>
        </is>
      </c>
      <c r="F373" s="716" t="n"/>
      <c r="G373" s="716" t="n"/>
      <c r="H373" s="462" t="n"/>
    </row>
    <row r="374">
      <c r="A374" s="672" t="inlineStr">
        <is>
          <t>E100346</t>
        </is>
      </c>
      <c r="B374" s="767">
        <f>ROW()</f>
        <v/>
      </c>
      <c r="C374" s="182" t="inlineStr">
        <is>
          <t>北京金泰颐寿轩敬老院</t>
        </is>
      </c>
      <c r="D374" s="182" t="inlineStr">
        <is>
          <t>ZI029E100353</t>
        </is>
      </c>
      <c r="E374" s="182" t="inlineStr">
        <is>
          <t>北京京能房产租赁经营有限责任公司</t>
        </is>
      </c>
      <c r="F374" s="716" t="n"/>
      <c r="G374" s="716" t="n"/>
      <c r="H374" s="462" t="n"/>
    </row>
    <row r="375">
      <c r="A375" s="672" t="inlineStr">
        <is>
          <t>E100296</t>
        </is>
      </c>
      <c r="B375" s="767">
        <f>ROW()</f>
        <v/>
      </c>
      <c r="C375" s="182" t="inlineStr">
        <is>
          <t>北京金泰之家宾馆有限公司</t>
        </is>
      </c>
      <c r="D375" s="182" t="inlineStr">
        <is>
          <t>ZI029E100293</t>
        </is>
      </c>
      <c r="E375" s="182" t="inlineStr">
        <is>
          <t>北京京能酒店管理有限公司</t>
        </is>
      </c>
      <c r="F375" s="716" t="n"/>
      <c r="G375" s="716" t="n"/>
      <c r="H375" s="462" t="n"/>
    </row>
    <row r="376">
      <c r="A376" s="672" t="inlineStr">
        <is>
          <t>E100296G</t>
        </is>
      </c>
      <c r="B376" s="767">
        <f>ROW()</f>
        <v/>
      </c>
      <c r="C376" s="182" t="inlineStr">
        <is>
          <t>北京金泰之家宾馆有限公司（合并）</t>
        </is>
      </c>
      <c r="D376" s="182" t="inlineStr">
        <is>
          <t>ZI029E100293</t>
        </is>
      </c>
      <c r="E376" s="182" t="inlineStr">
        <is>
          <t>北京京能酒店管理有限公司</t>
        </is>
      </c>
      <c r="F376" s="716" t="n"/>
      <c r="G376" s="716" t="n"/>
      <c r="H376" s="462" t="n"/>
    </row>
    <row r="377">
      <c r="A377" s="672" t="inlineStr">
        <is>
          <t>E100296H</t>
        </is>
      </c>
      <c r="B377" s="767">
        <f>ROW()</f>
        <v/>
      </c>
      <c r="C377" s="182" t="inlineStr">
        <is>
          <t>北京金泰之家宾馆有限公司（母公司）</t>
        </is>
      </c>
      <c r="D377" s="182" t="inlineStr">
        <is>
          <t>ZI029E100293</t>
        </is>
      </c>
      <c r="E377" s="182" t="inlineStr">
        <is>
          <t>北京京能酒店管理有限公司</t>
        </is>
      </c>
      <c r="F377" s="716" t="n"/>
      <c r="G377" s="716" t="n"/>
      <c r="H377" s="462" t="n"/>
    </row>
    <row r="378">
      <c r="A378" s="672" t="inlineStr">
        <is>
          <t>E100278</t>
        </is>
      </c>
      <c r="B378" s="767">
        <f>ROW()</f>
        <v/>
      </c>
      <c r="C378" s="182" t="inlineStr">
        <is>
          <t>北京金泰之家聚隆宾馆有限公司</t>
        </is>
      </c>
      <c r="D378" s="182" t="inlineStr">
        <is>
          <t>ZI029E100293</t>
        </is>
      </c>
      <c r="E378" s="182" t="inlineStr">
        <is>
          <t>北京京能酒店管理有限公司</t>
        </is>
      </c>
      <c r="F378" s="716" t="n"/>
      <c r="G378" s="716" t="n"/>
      <c r="H378" s="462" t="n"/>
    </row>
    <row r="379">
      <c r="A379" s="672" t="inlineStr">
        <is>
          <t>E100305</t>
        </is>
      </c>
      <c r="B379" s="767">
        <f>ROW()</f>
        <v/>
      </c>
      <c r="C379" s="182" t="inlineStr">
        <is>
          <t>北京金泰之家通华苑饭店有限公司</t>
        </is>
      </c>
      <c r="D379" s="182" t="inlineStr">
        <is>
          <t>ZI029E100293</t>
        </is>
      </c>
      <c r="E379" s="182" t="inlineStr">
        <is>
          <t>北京京能酒店管理有限公司</t>
        </is>
      </c>
      <c r="F379" s="716" t="n"/>
      <c r="G379" s="716" t="n"/>
      <c r="H379" s="462" t="n"/>
    </row>
    <row r="380">
      <c r="A380" s="672" t="inlineStr">
        <is>
          <t>E100305G</t>
        </is>
      </c>
      <c r="B380" s="767">
        <f>ROW()</f>
        <v/>
      </c>
      <c r="C380" s="182" t="inlineStr">
        <is>
          <t>北京金泰之家通华苑饭店有限公司（合并）</t>
        </is>
      </c>
      <c r="D380" s="182" t="inlineStr">
        <is>
          <t>ZI029E100293</t>
        </is>
      </c>
      <c r="E380" s="182" t="inlineStr">
        <is>
          <t>北京京能酒店管理有限公司</t>
        </is>
      </c>
      <c r="F380" s="716" t="n"/>
      <c r="G380" s="716" t="n"/>
      <c r="H380" s="462" t="n"/>
    </row>
    <row r="381">
      <c r="A381" s="672" t="inlineStr">
        <is>
          <t>E100305H</t>
        </is>
      </c>
      <c r="B381" s="767">
        <f>ROW()</f>
        <v/>
      </c>
      <c r="C381" s="182" t="inlineStr">
        <is>
          <t>北京金泰之家通华苑饭店有限公司（母公司）</t>
        </is>
      </c>
      <c r="D381" s="182" t="inlineStr">
        <is>
          <t>ZI029E100293</t>
        </is>
      </c>
      <c r="E381" s="182" t="inlineStr">
        <is>
          <t>北京京能酒店管理有限公司</t>
        </is>
      </c>
      <c r="F381" s="716" t="n"/>
      <c r="G381" s="716" t="n"/>
      <c r="H381" s="462" t="n"/>
    </row>
    <row r="382">
      <c r="A382" s="672" t="inlineStr">
        <is>
          <t>E100450</t>
        </is>
      </c>
      <c r="B382" s="767">
        <f>ROW()</f>
        <v/>
      </c>
      <c r="C382" s="182" t="inlineStr">
        <is>
          <t>北京金泰中阳房地产开发有限公司</t>
        </is>
      </c>
      <c r="D382" s="182" t="inlineStr">
        <is>
          <t>ZI029E100421</t>
        </is>
      </c>
      <c r="E382" s="182" t="inlineStr">
        <is>
          <t>北京金泰房地产开发有限责任公司</t>
        </is>
      </c>
      <c r="F382" s="716" t="n"/>
      <c r="G382" s="716" t="n"/>
      <c r="H382" s="462" t="n"/>
    </row>
    <row r="383">
      <c r="A383" s="672" t="inlineStr">
        <is>
          <t>E100448</t>
        </is>
      </c>
      <c r="B383" s="767">
        <f>ROW()</f>
        <v/>
      </c>
      <c r="C383" s="182" t="inlineStr">
        <is>
          <t>北京金泰卓越物业管理有限公司</t>
        </is>
      </c>
      <c r="D383" s="182" t="inlineStr">
        <is>
          <t>ZI029E100421</t>
        </is>
      </c>
      <c r="E383" s="182" t="inlineStr">
        <is>
          <t>北京金泰房地产开发有限责任公司</t>
        </is>
      </c>
      <c r="F383" s="716" t="n"/>
      <c r="G383" s="716" t="n"/>
      <c r="H383" s="462" t="n"/>
    </row>
    <row r="384">
      <c r="A384" s="672" t="inlineStr">
        <is>
          <t>E100354</t>
        </is>
      </c>
      <c r="B384" s="767">
        <f>ROW()</f>
        <v/>
      </c>
      <c r="C384" s="182" t="inlineStr">
        <is>
          <t>北京金质生活商贸有限责任公司</t>
        </is>
      </c>
      <c r="D384" s="182" t="inlineStr">
        <is>
          <t>ZI029E100353</t>
        </is>
      </c>
      <c r="E384" s="182" t="inlineStr">
        <is>
          <t>北京京能房产租赁经营有限责任公司</t>
        </is>
      </c>
      <c r="F384" s="716" t="n"/>
      <c r="G384" s="716" t="n"/>
      <c r="H384" s="462" t="n"/>
    </row>
    <row r="385">
      <c r="A385" s="672" t="inlineStr">
        <is>
          <t>E100258</t>
        </is>
      </c>
      <c r="B385" s="767">
        <f>ROW()</f>
        <v/>
      </c>
      <c r="C385" s="182" t="inlineStr">
        <is>
          <t>北京京诚供热有限责任公司</t>
        </is>
      </c>
      <c r="D385" s="182" t="inlineStr">
        <is>
          <t>ZI029E100245</t>
        </is>
      </c>
      <c r="E385" s="182" t="inlineStr">
        <is>
          <t>北京市特诚热力有限责任公司</t>
        </is>
      </c>
      <c r="F385" s="716" t="n"/>
      <c r="G385" s="716" t="n"/>
      <c r="H385" s="462" t="n"/>
    </row>
    <row r="386">
      <c r="A386" s="672" t="inlineStr">
        <is>
          <t>E100003</t>
        </is>
      </c>
      <c r="B386" s="767">
        <f>ROW()</f>
        <v/>
      </c>
      <c r="C386" s="182" t="inlineStr">
        <is>
          <t>北京京丰燃气发电有限责任公司</t>
        </is>
      </c>
      <c r="D386" s="182" t="inlineStr">
        <is>
          <t>ZI029E100001</t>
        </is>
      </c>
      <c r="E386" s="182" t="inlineStr">
        <is>
          <t>北京京能清洁能源电力股份有限公司</t>
        </is>
      </c>
      <c r="F386" s="716" t="n"/>
      <c r="G386" s="716" t="n"/>
      <c r="H386" s="462" t="n"/>
    </row>
    <row r="387">
      <c r="A387" s="672" t="inlineStr">
        <is>
          <t>E100004</t>
        </is>
      </c>
      <c r="B387" s="767">
        <f>ROW()</f>
        <v/>
      </c>
      <c r="C387" s="182" t="inlineStr">
        <is>
          <t>北京京丰热电有限责任公司</t>
        </is>
      </c>
      <c r="D387" s="182" t="inlineStr">
        <is>
          <t>ZI029E100000</t>
        </is>
      </c>
      <c r="E387" s="182" t="inlineStr">
        <is>
          <t>北京能源集团有限责任公司</t>
        </is>
      </c>
      <c r="F387" s="716" t="n"/>
      <c r="G387" s="716" t="n"/>
      <c r="H387" s="462" t="n"/>
    </row>
    <row r="388">
      <c r="A388" s="672" t="inlineStr">
        <is>
          <t>E100302</t>
        </is>
      </c>
      <c r="B388" s="767">
        <f>ROW()</f>
        <v/>
      </c>
      <c r="C388" s="182" t="inlineStr">
        <is>
          <t>北京京辉高尔夫俱乐部有限公司</t>
        </is>
      </c>
      <c r="D388" s="182" t="inlineStr">
        <is>
          <t>ZI029E100320</t>
        </is>
      </c>
      <c r="E388" s="182" t="inlineStr">
        <is>
          <t>北京市天创房地产开发有限公司</t>
        </is>
      </c>
      <c r="F388" s="716" t="n"/>
      <c r="G388" s="716" t="n"/>
      <c r="H388" s="462" t="n"/>
    </row>
    <row r="389">
      <c r="A389" s="672" t="inlineStr">
        <is>
          <t>E100302</t>
        </is>
      </c>
      <c r="B389" s="767">
        <f>ROW()</f>
        <v/>
      </c>
      <c r="C389" s="182" t="inlineStr">
        <is>
          <t>北京京辉高尔夫俱乐部有限公司</t>
        </is>
      </c>
      <c r="D389" s="182" t="inlineStr">
        <is>
          <t>ZI029E100268</t>
        </is>
      </c>
      <c r="E389" s="182" t="inlineStr">
        <is>
          <t>北京京煤集团有限责任公司</t>
        </is>
      </c>
      <c r="F389" s="716" t="n"/>
      <c r="G389" s="716" t="n"/>
      <c r="H389" s="462" t="n"/>
    </row>
    <row r="390">
      <c r="A390" s="672" t="inlineStr">
        <is>
          <t>E100302</t>
        </is>
      </c>
      <c r="B390" s="767">
        <f>ROW()</f>
        <v/>
      </c>
      <c r="C390" s="182" t="inlineStr">
        <is>
          <t>北京京辉高尔夫俱乐部有限公司</t>
        </is>
      </c>
      <c r="D390" s="182" t="inlineStr">
        <is>
          <t>ZI029E100000</t>
        </is>
      </c>
      <c r="E390" s="182" t="inlineStr">
        <is>
          <t>北京能源集团有限责任公司</t>
        </is>
      </c>
      <c r="F390" s="716" t="n"/>
      <c r="G390" s="716" t="n"/>
      <c r="H390" s="462" t="n"/>
    </row>
    <row r="391">
      <c r="A391" s="672" t="inlineStr">
        <is>
          <t>E100302G</t>
        </is>
      </c>
      <c r="B391" s="767">
        <f>ROW()</f>
        <v/>
      </c>
      <c r="C391" s="182" t="inlineStr">
        <is>
          <t>北京京辉高尔夫俱乐部有限公司（合并）</t>
        </is>
      </c>
      <c r="D391" s="182" t="inlineStr">
        <is>
          <t>ZI029E100320</t>
        </is>
      </c>
      <c r="E391" s="182" t="inlineStr">
        <is>
          <t>北京市天创房地产开发有限公司</t>
        </is>
      </c>
      <c r="F391" s="716" t="n"/>
      <c r="G391" s="716" t="n"/>
      <c r="H391" s="462" t="n"/>
    </row>
    <row r="392">
      <c r="A392" s="672" t="inlineStr">
        <is>
          <t>E100302G</t>
        </is>
      </c>
      <c r="B392" s="767">
        <f>ROW()</f>
        <v/>
      </c>
      <c r="C392" s="182" t="inlineStr">
        <is>
          <t>北京京辉高尔夫俱乐部有限公司（合并）</t>
        </is>
      </c>
      <c r="D392" s="182" t="inlineStr">
        <is>
          <t>ZI029E100000</t>
        </is>
      </c>
      <c r="E392" s="182" t="inlineStr">
        <is>
          <t>北京能源集团有限责任公司</t>
        </is>
      </c>
      <c r="F392" s="716" t="n"/>
      <c r="G392" s="716" t="n"/>
      <c r="H392" s="462" t="n"/>
    </row>
    <row r="393">
      <c r="A393" s="672" t="inlineStr">
        <is>
          <t>E100302G</t>
        </is>
      </c>
      <c r="B393" s="767">
        <f>ROW()</f>
        <v/>
      </c>
      <c r="C393" s="182" t="inlineStr">
        <is>
          <t>北京京辉高尔夫俱乐部有限公司（合并）</t>
        </is>
      </c>
      <c r="D393" s="182" t="inlineStr">
        <is>
          <t>ZI029E100268</t>
        </is>
      </c>
      <c r="E393" s="182" t="inlineStr">
        <is>
          <t>北京京煤集团有限责任公司</t>
        </is>
      </c>
      <c r="F393" s="716" t="n"/>
      <c r="G393" s="716" t="n"/>
      <c r="H393" s="462" t="n"/>
    </row>
    <row r="394">
      <c r="A394" s="672" t="inlineStr">
        <is>
          <t>E100281</t>
        </is>
      </c>
      <c r="B394" s="767">
        <f>ROW()</f>
        <v/>
      </c>
      <c r="C394" s="182" t="inlineStr">
        <is>
          <t>北京京煤化工有限公司</t>
        </is>
      </c>
      <c r="D394" s="182" t="inlineStr">
        <is>
          <t>ZI029E100268</t>
        </is>
      </c>
      <c r="E394" s="182" t="inlineStr">
        <is>
          <t>北京京煤集团有限责任公司</t>
        </is>
      </c>
      <c r="F394" s="716" t="n"/>
      <c r="G394" s="716" t="n"/>
      <c r="H394" s="462" t="n"/>
    </row>
    <row r="395">
      <c r="A395" s="672" t="inlineStr">
        <is>
          <t>E100281G</t>
        </is>
      </c>
      <c r="B395" s="767">
        <f>ROW()</f>
        <v/>
      </c>
      <c r="C395" s="182" t="inlineStr">
        <is>
          <t>北京京煤化工有限公司（合并）</t>
        </is>
      </c>
      <c r="D395" s="182" t="inlineStr">
        <is>
          <t>ZI029E100268</t>
        </is>
      </c>
      <c r="E395" s="182" t="inlineStr">
        <is>
          <t>北京京煤集团有限责任公司</t>
        </is>
      </c>
      <c r="F395" s="716" t="n"/>
      <c r="G395" s="716" t="n"/>
      <c r="H395" s="462" t="n"/>
    </row>
    <row r="396">
      <c r="A396" s="672" t="inlineStr">
        <is>
          <t>E100268</t>
        </is>
      </c>
      <c r="B396" s="767">
        <f>ROW()</f>
        <v/>
      </c>
      <c r="C396" s="182" t="inlineStr">
        <is>
          <t>北京京煤集团有限责任公司</t>
        </is>
      </c>
      <c r="D396" s="182" t="inlineStr">
        <is>
          <t>ZI029E100000</t>
        </is>
      </c>
      <c r="E396" s="182" t="inlineStr">
        <is>
          <t>北京能源集团有限责任公司</t>
        </is>
      </c>
      <c r="F396" s="716" t="n"/>
      <c r="G396" s="716" t="n"/>
      <c r="H396" s="462" t="n"/>
    </row>
    <row r="397">
      <c r="A397" s="672" t="inlineStr">
        <is>
          <t>E100268G</t>
        </is>
      </c>
      <c r="B397" s="767">
        <f>ROW()</f>
        <v/>
      </c>
      <c r="C397" s="182" t="inlineStr">
        <is>
          <t>北京京煤集团有限责任公司（合并）</t>
        </is>
      </c>
      <c r="D397" s="182" t="inlineStr">
        <is>
          <t>ZI029E100000</t>
        </is>
      </c>
      <c r="E397" s="182" t="inlineStr">
        <is>
          <t>北京能源集团有限责任公司</t>
        </is>
      </c>
      <c r="F397" s="716" t="n"/>
      <c r="G397" s="716" t="n"/>
      <c r="H397" s="462" t="n"/>
    </row>
    <row r="398">
      <c r="A398" s="672" t="inlineStr">
        <is>
          <t>E100268H</t>
        </is>
      </c>
      <c r="B398" s="767">
        <f>ROW()</f>
        <v/>
      </c>
      <c r="C398" s="182" t="inlineStr">
        <is>
          <t>北京京煤集团有限责任公司（母公司）</t>
        </is>
      </c>
      <c r="D398" s="182" t="inlineStr">
        <is>
          <t>ZI029E100000</t>
        </is>
      </c>
      <c r="E398" s="182" t="inlineStr">
        <is>
          <t>北京能源集团有限责任公司</t>
        </is>
      </c>
      <c r="F398" s="716" t="n"/>
      <c r="G398" s="716" t="n"/>
      <c r="H398" s="462" t="n"/>
    </row>
    <row r="399">
      <c r="A399" s="672" t="inlineStr">
        <is>
          <t>E100317</t>
        </is>
      </c>
      <c r="B399" s="767">
        <f>ROW()</f>
        <v/>
      </c>
      <c r="C399" s="182" t="inlineStr">
        <is>
          <t>北京京煤文旅发展有限公司</t>
        </is>
      </c>
      <c r="D399" s="182" t="inlineStr">
        <is>
          <t>ZI029E100268</t>
        </is>
      </c>
      <c r="E399" s="182" t="inlineStr">
        <is>
          <t>北京京煤集团有限责任公司</t>
        </is>
      </c>
      <c r="F399" s="716" t="n"/>
      <c r="G399" s="716" t="n"/>
      <c r="H399" s="462" t="n"/>
    </row>
    <row r="400">
      <c r="A400" s="672" t="inlineStr">
        <is>
          <t>E100457</t>
        </is>
      </c>
      <c r="B400" s="767">
        <f>ROW()</f>
        <v/>
      </c>
      <c r="C400" s="182" t="inlineStr">
        <is>
          <t>北京京能地质工程有限公司</t>
        </is>
      </c>
      <c r="D400" s="182" t="inlineStr">
        <is>
          <t>ZI029E100538</t>
        </is>
      </c>
      <c r="E400" s="182" t="inlineStr">
        <is>
          <t>北京京煤集团地质勘探队</t>
        </is>
      </c>
      <c r="F400" s="716" t="n"/>
      <c r="G400" s="716" t="n"/>
      <c r="H400" s="462" t="n"/>
    </row>
    <row r="401">
      <c r="A401" s="672" t="inlineStr">
        <is>
          <t>E100145</t>
        </is>
      </c>
      <c r="B401" s="767">
        <f>ROW()</f>
        <v/>
      </c>
      <c r="C401" s="182" t="inlineStr">
        <is>
          <t>北京京能电力股份有限公司</t>
        </is>
      </c>
      <c r="D401" s="182" t="inlineStr">
        <is>
          <t>ZI029E100142</t>
        </is>
      </c>
      <c r="E401" s="182" t="inlineStr">
        <is>
          <t>北京京能国际能源股份有限公司</t>
        </is>
      </c>
      <c r="F401" s="716" t="n"/>
      <c r="G401" s="716" t="n"/>
      <c r="H401" s="462" t="n"/>
    </row>
    <row r="402">
      <c r="A402" s="672" t="inlineStr">
        <is>
          <t>E100145</t>
        </is>
      </c>
      <c r="B402" s="767">
        <f>ROW()</f>
        <v/>
      </c>
      <c r="C402" s="182" t="inlineStr">
        <is>
          <t>北京京能电力股份有限公司</t>
        </is>
      </c>
      <c r="D402" s="182" t="inlineStr">
        <is>
          <t>ZI029E100000</t>
        </is>
      </c>
      <c r="E402" s="182" t="inlineStr">
        <is>
          <t>北京能源集团有限责任公司</t>
        </is>
      </c>
      <c r="F402" s="716" t="n"/>
      <c r="G402" s="716" t="n"/>
      <c r="H402" s="462" t="n"/>
    </row>
    <row r="403">
      <c r="A403" s="672" t="inlineStr">
        <is>
          <t>E100149</t>
        </is>
      </c>
      <c r="B403" s="767">
        <f>ROW()</f>
        <v/>
      </c>
      <c r="C403" s="182" t="inlineStr">
        <is>
          <t>北京京能电力燃料有限公司</t>
        </is>
      </c>
      <c r="D403" s="182" t="inlineStr">
        <is>
          <t>ZI029E100145</t>
        </is>
      </c>
      <c r="E403" s="182" t="inlineStr">
        <is>
          <t>北京京能电力股份有限公司</t>
        </is>
      </c>
      <c r="F403" s="716" t="n"/>
      <c r="G403" s="716" t="n"/>
      <c r="H403" s="462" t="n"/>
    </row>
    <row r="404">
      <c r="A404" s="672" t="inlineStr">
        <is>
          <t>E100353</t>
        </is>
      </c>
      <c r="B404" s="767">
        <f>ROW()</f>
        <v/>
      </c>
      <c r="C404" s="182" t="inlineStr">
        <is>
          <t>北京京能房产租赁经营有限责任公司</t>
        </is>
      </c>
      <c r="D404" s="182" t="inlineStr">
        <is>
          <t>ZI029E100268</t>
        </is>
      </c>
      <c r="E404" s="182" t="inlineStr">
        <is>
          <t>北京京煤集团有限责任公司</t>
        </is>
      </c>
      <c r="F404" s="716" t="n"/>
      <c r="G404" s="716" t="n"/>
      <c r="H404" s="462" t="n"/>
    </row>
    <row r="405">
      <c r="A405" s="672" t="inlineStr">
        <is>
          <t>E100353G</t>
        </is>
      </c>
      <c r="B405" s="767">
        <f>ROW()</f>
        <v/>
      </c>
      <c r="C405" s="182" t="inlineStr">
        <is>
          <t>北京京能房产租赁经营有限责任公司（合并）</t>
        </is>
      </c>
      <c r="D405" s="182" t="inlineStr">
        <is>
          <t>ZI029E100268</t>
        </is>
      </c>
      <c r="E405" s="182" t="inlineStr">
        <is>
          <t>北京京煤集团有限责任公司</t>
        </is>
      </c>
      <c r="F405" s="716" t="n"/>
      <c r="G405" s="716" t="n"/>
      <c r="H405" s="462" t="n"/>
    </row>
    <row r="406">
      <c r="A406" s="672" t="inlineStr">
        <is>
          <t>E100353T</t>
        </is>
      </c>
      <c r="B406" s="767">
        <f>ROW()</f>
        <v/>
      </c>
      <c r="C406" s="182" t="inlineStr">
        <is>
          <t>北京京能房产租赁经营有限责任公司（合并）本部</t>
        </is>
      </c>
      <c r="D406" s="182" t="inlineStr">
        <is>
          <t>ZI029E100268</t>
        </is>
      </c>
      <c r="E406" s="182" t="inlineStr">
        <is>
          <t>北京京煤集团有限责任公司</t>
        </is>
      </c>
      <c r="F406" s="716" t="n"/>
      <c r="G406" s="716" t="n"/>
      <c r="H406" s="462" t="n"/>
    </row>
    <row r="407">
      <c r="A407" s="672" t="inlineStr">
        <is>
          <t>E100353H</t>
        </is>
      </c>
      <c r="B407" s="767">
        <f>ROW()</f>
        <v/>
      </c>
      <c r="C407" s="182" t="inlineStr">
        <is>
          <t>北京京能房产租赁经营有限责任公司（母公司）</t>
        </is>
      </c>
      <c r="D407" s="182" t="inlineStr">
        <is>
          <t>ZI029E100268</t>
        </is>
      </c>
      <c r="E407" s="182" t="inlineStr">
        <is>
          <t>北京京煤集团有限责任公司</t>
        </is>
      </c>
      <c r="F407" s="716" t="n"/>
      <c r="G407" s="716" t="n"/>
      <c r="H407" s="462" t="n"/>
    </row>
    <row r="408">
      <c r="A408" s="672" t="inlineStr">
        <is>
          <t>E100260</t>
        </is>
      </c>
      <c r="B408" s="767">
        <f>ROW()</f>
        <v/>
      </c>
      <c r="C408" s="182" t="inlineStr">
        <is>
          <t>北京京能房山热力供应有限公司</t>
        </is>
      </c>
      <c r="D408" s="182" t="inlineStr">
        <is>
          <t>ZI029E100259</t>
        </is>
      </c>
      <c r="E408" s="182" t="inlineStr">
        <is>
          <t>北京京能热力发展有限公司</t>
        </is>
      </c>
      <c r="F408" s="716" t="n"/>
      <c r="G408" s="716" t="n"/>
      <c r="H408" s="462" t="n"/>
    </row>
    <row r="409">
      <c r="A409" s="672" t="inlineStr">
        <is>
          <t>E100002</t>
        </is>
      </c>
      <c r="B409" s="767">
        <f>ROW()</f>
        <v/>
      </c>
      <c r="C409" s="182" t="inlineStr">
        <is>
          <t>北京京能高安屯燃气热电有限责任公司</t>
        </is>
      </c>
      <c r="D409" s="182" t="inlineStr">
        <is>
          <t>ZI029E100001</t>
        </is>
      </c>
      <c r="E409" s="182" t="inlineStr">
        <is>
          <t>北京京能清洁能源电力股份有限公司</t>
        </is>
      </c>
      <c r="F409" s="716" t="n"/>
      <c r="G409" s="716" t="n"/>
      <c r="H409" s="462" t="n"/>
    </row>
    <row r="410">
      <c r="A410" s="672" t="inlineStr">
        <is>
          <t>E100195</t>
        </is>
      </c>
      <c r="B410" s="767">
        <f>ROW()</f>
        <v/>
      </c>
      <c r="C410" s="182" t="inlineStr">
        <is>
          <t>北京京能高新能源科技有限公司</t>
        </is>
      </c>
      <c r="D410" s="182" t="inlineStr">
        <is>
          <t>ZI029E100405</t>
        </is>
      </c>
      <c r="E410" s="182" t="inlineStr">
        <is>
          <t>北京高新技术创业投资有限公司</t>
        </is>
      </c>
      <c r="F410" s="716" t="n"/>
      <c r="G410" s="716" t="n"/>
      <c r="H410" s="462" t="n"/>
    </row>
    <row r="411">
      <c r="A411" s="672" t="inlineStr">
        <is>
          <t>E100195</t>
        </is>
      </c>
      <c r="B411" s="767">
        <f>ROW()</f>
        <v/>
      </c>
      <c r="C411" s="182" t="inlineStr">
        <is>
          <t>北京京能高新能源科技有限公司</t>
        </is>
      </c>
      <c r="D411" s="182" t="inlineStr">
        <is>
          <t>ZI029E100191</t>
        </is>
      </c>
      <c r="E411" s="182" t="inlineStr">
        <is>
          <t>北京乐多港发展有限公司</t>
        </is>
      </c>
      <c r="F411" s="716" t="n"/>
      <c r="G411" s="716" t="n"/>
      <c r="H411" s="462" t="n"/>
    </row>
    <row r="412">
      <c r="A412" s="672" t="inlineStr">
        <is>
          <t>E100195</t>
        </is>
      </c>
      <c r="B412" s="767">
        <f>ROW()</f>
        <v/>
      </c>
      <c r="C412" s="182" t="inlineStr">
        <is>
          <t>北京京能高新能源科技有限公司</t>
        </is>
      </c>
      <c r="D412" s="182" t="inlineStr">
        <is>
          <t>ZI029E100371</t>
        </is>
      </c>
      <c r="E412" s="182" t="inlineStr">
        <is>
          <t>北京京能科技有限公司</t>
        </is>
      </c>
      <c r="F412" s="716" t="n"/>
      <c r="G412" s="716" t="n"/>
      <c r="H412" s="462" t="n"/>
    </row>
    <row r="413">
      <c r="A413" s="672" t="inlineStr">
        <is>
          <t>E100142</t>
        </is>
      </c>
      <c r="B413" s="767">
        <f>ROW()</f>
        <v/>
      </c>
      <c r="C413" s="182" t="inlineStr">
        <is>
          <t>北京京能国际能源股份有限公司</t>
        </is>
      </c>
      <c r="D413" s="182" t="inlineStr">
        <is>
          <t>ZI029E100000</t>
        </is>
      </c>
      <c r="E413" s="182" t="inlineStr">
        <is>
          <t>北京能源集团有限责任公司</t>
        </is>
      </c>
      <c r="F413" s="716" t="n"/>
      <c r="G413" s="716" t="n"/>
      <c r="H413" s="462" t="n"/>
    </row>
    <row r="414">
      <c r="A414" s="672" t="inlineStr">
        <is>
          <t>E100142</t>
        </is>
      </c>
      <c r="B414" s="767">
        <f>ROW()</f>
        <v/>
      </c>
      <c r="C414" s="182" t="inlineStr">
        <is>
          <t>北京京能国际能源股份有限公司</t>
        </is>
      </c>
      <c r="D414" s="182" t="inlineStr">
        <is>
          <t>ZI029E100001</t>
        </is>
      </c>
      <c r="E414" s="182" t="inlineStr">
        <is>
          <t>北京京能清洁能源电力股份有限公司</t>
        </is>
      </c>
      <c r="F414" s="716" t="n"/>
      <c r="G414" s="716" t="n"/>
      <c r="H414" s="462" t="n"/>
    </row>
    <row r="415">
      <c r="A415" s="672" t="inlineStr">
        <is>
          <t>E100199</t>
        </is>
      </c>
      <c r="B415" s="767">
        <f>ROW()</f>
        <v/>
      </c>
      <c r="C415" s="182" t="inlineStr">
        <is>
          <t>北京京能国际能源技术有限公司</t>
        </is>
      </c>
      <c r="D415" s="182" t="inlineStr">
        <is>
          <t>ZI029E100197</t>
        </is>
      </c>
      <c r="E415" s="182" t="inlineStr">
        <is>
          <t>北京国际电气工程有限责任公司</t>
        </is>
      </c>
      <c r="F415" s="716" t="n"/>
      <c r="G415" s="716" t="n"/>
      <c r="H415" s="462" t="n"/>
    </row>
    <row r="416">
      <c r="A416" s="672" t="inlineStr">
        <is>
          <t>E100199</t>
        </is>
      </c>
      <c r="B416" s="767">
        <f>ROW()</f>
        <v/>
      </c>
      <c r="C416" s="182" t="inlineStr">
        <is>
          <t>北京京能国际能源技术有限公司</t>
        </is>
      </c>
      <c r="D416" s="182" t="inlineStr">
        <is>
          <t>ZI029E100001</t>
        </is>
      </c>
      <c r="E416" s="182" t="inlineStr">
        <is>
          <t>北京京能清洁能源电力股份有限公司</t>
        </is>
      </c>
      <c r="F416" s="716" t="n"/>
      <c r="G416" s="716" t="n"/>
      <c r="H416" s="462" t="n"/>
    </row>
    <row r="417">
      <c r="A417" s="672" t="inlineStr">
        <is>
          <t>E100261</t>
        </is>
      </c>
      <c r="B417" s="767">
        <f>ROW()</f>
        <v/>
      </c>
      <c r="C417" s="182" t="inlineStr">
        <is>
          <t>北京京能恒星能源科技有限公司</t>
        </is>
      </c>
      <c r="D417" s="182" t="inlineStr">
        <is>
          <t>ZI029E100259</t>
        </is>
      </c>
      <c r="E417" s="182" t="inlineStr">
        <is>
          <t>北京京能热力发展有限公司</t>
        </is>
      </c>
      <c r="F417" s="716" t="n"/>
      <c r="G417" s="716" t="n"/>
      <c r="H417" s="462" t="n"/>
    </row>
    <row r="418">
      <c r="A418" s="672" t="inlineStr">
        <is>
          <t>E100453</t>
        </is>
      </c>
      <c r="B418" s="767">
        <f>ROW()</f>
        <v/>
      </c>
      <c r="C418" s="182" t="inlineStr">
        <is>
          <t>北京京能建设机械安装有限公司</t>
        </is>
      </c>
      <c r="D418" s="182" t="inlineStr">
        <is>
          <t>ZI029E100422</t>
        </is>
      </c>
      <c r="E418" s="182" t="inlineStr">
        <is>
          <t>北京京能建设集团有限公司</t>
        </is>
      </c>
      <c r="F418" s="716" t="n"/>
      <c r="G418" s="716" t="n"/>
      <c r="H418" s="462" t="n"/>
    </row>
    <row r="419">
      <c r="A419" s="672" t="inlineStr">
        <is>
          <t>E100422</t>
        </is>
      </c>
      <c r="B419" s="767">
        <f>ROW()</f>
        <v/>
      </c>
      <c r="C419" s="182" t="inlineStr">
        <is>
          <t>北京京能建设集团有限公司</t>
        </is>
      </c>
      <c r="D419" s="182" t="inlineStr">
        <is>
          <t>ZI029E100000</t>
        </is>
      </c>
      <c r="E419" s="182" t="inlineStr">
        <is>
          <t>北京能源集团有限责任公司</t>
        </is>
      </c>
      <c r="F419" s="716" t="n"/>
      <c r="G419" s="716" t="n"/>
      <c r="H419" s="462" t="n"/>
    </row>
    <row r="420">
      <c r="A420" s="672" t="inlineStr">
        <is>
          <t>E100545</t>
        </is>
      </c>
      <c r="B420" s="767">
        <f>ROW()</f>
        <v/>
      </c>
      <c r="C420" s="182" t="inlineStr">
        <is>
          <t>北京京能京通新能源有限公司</t>
        </is>
      </c>
      <c r="D420" s="182" t="inlineStr">
        <is>
          <t>ZI029E100001</t>
        </is>
      </c>
      <c r="E420" s="182" t="inlineStr">
        <is>
          <t>北京京能清洁能源电力股份有限公司</t>
        </is>
      </c>
      <c r="F420" s="716" t="n"/>
      <c r="G420" s="716" t="n"/>
      <c r="H420" s="462" t="n"/>
    </row>
    <row r="421">
      <c r="A421" s="672" t="inlineStr">
        <is>
          <t>E100371</t>
        </is>
      </c>
      <c r="B421" s="767">
        <f>ROW()</f>
        <v/>
      </c>
      <c r="C421" s="182" t="inlineStr">
        <is>
          <t>北京京能科技有限公司</t>
        </is>
      </c>
      <c r="D421" s="182" t="inlineStr">
        <is>
          <t>ZI029E100000</t>
        </is>
      </c>
      <c r="E421" s="182" t="inlineStr">
        <is>
          <t>北京能源集团有限责任公司</t>
        </is>
      </c>
      <c r="F421" s="716" t="n"/>
      <c r="G421" s="716" t="n"/>
      <c r="H421" s="462" t="n"/>
    </row>
    <row r="422">
      <c r="A422" s="672" t="inlineStr">
        <is>
          <t>E100860</t>
        </is>
      </c>
      <c r="B422" s="767">
        <f>ROW()</f>
        <v/>
      </c>
      <c r="C422" s="182" t="inlineStr">
        <is>
          <t>北京京能绿色能源并购投资基金（有限合伙）</t>
        </is>
      </c>
      <c r="D422" s="182" t="inlineStr">
        <is>
          <t>ZI029E100000</t>
        </is>
      </c>
      <c r="E422" s="182" t="inlineStr">
        <is>
          <t>北京能源集团有限责任公司</t>
        </is>
      </c>
      <c r="F422" s="716" t="n"/>
      <c r="G422" s="716" t="n"/>
      <c r="H422" s="462" t="n"/>
    </row>
    <row r="423">
      <c r="A423" s="672" t="inlineStr">
        <is>
          <t>E100860</t>
        </is>
      </c>
      <c r="B423" s="767">
        <f>ROW()</f>
        <v/>
      </c>
      <c r="C423" s="182" t="inlineStr">
        <is>
          <t>北京京能绿色能源并购投资基金（有限合伙）</t>
        </is>
      </c>
      <c r="D423" s="182" t="inlineStr">
        <is>
          <t>ZI029E100484</t>
        </is>
      </c>
      <c r="E423" s="182" t="inlineStr">
        <is>
          <t>北京京能同鑫投资管理有限公司</t>
        </is>
      </c>
      <c r="F423" s="716" t="n"/>
      <c r="G423" s="716" t="n"/>
      <c r="H423" s="462" t="n"/>
    </row>
    <row r="424">
      <c r="A424" s="672" t="inlineStr">
        <is>
          <t>E100823</t>
        </is>
      </c>
      <c r="B424" s="767">
        <f>ROW()</f>
        <v/>
      </c>
      <c r="C424" s="182" t="inlineStr">
        <is>
          <t>北京京能马坊新能源科技有限公司</t>
        </is>
      </c>
      <c r="D424" s="182" t="inlineStr">
        <is>
          <t>ZI029E100730</t>
        </is>
      </c>
      <c r="E424" s="182" t="inlineStr">
        <is>
          <t>京能国际能源发展（北京）有限公司</t>
        </is>
      </c>
      <c r="F424" s="716" t="n"/>
      <c r="G424" s="716" t="n"/>
      <c r="H424" s="462" t="n"/>
    </row>
    <row r="425">
      <c r="A425" s="672" t="inlineStr">
        <is>
          <t>E100200</t>
        </is>
      </c>
      <c r="B425" s="767">
        <f>ROW()</f>
        <v/>
      </c>
      <c r="C425" s="182" t="inlineStr">
        <is>
          <t>北京京能能源技术研究有限责任公司</t>
        </is>
      </c>
      <c r="D425" s="182" t="inlineStr">
        <is>
          <t>ZI029E100000</t>
        </is>
      </c>
      <c r="E425" s="182" t="inlineStr">
        <is>
          <t>北京能源集团有限责任公司</t>
        </is>
      </c>
      <c r="F425" s="716" t="n"/>
      <c r="G425" s="716" t="n"/>
      <c r="H425" s="462" t="n"/>
    </row>
    <row r="426">
      <c r="A426" s="672" t="inlineStr">
        <is>
          <t>E100200G</t>
        </is>
      </c>
      <c r="B426" s="767">
        <f>ROW()</f>
        <v/>
      </c>
      <c r="C426" s="182" t="inlineStr">
        <is>
          <t>北京京能能源技术研究有限责任公司（合并）</t>
        </is>
      </c>
      <c r="D426" s="182" t="inlineStr">
        <is>
          <t>ZI029E100000</t>
        </is>
      </c>
      <c r="E426" s="182" t="inlineStr">
        <is>
          <t>北京能源集团有限责任公司</t>
        </is>
      </c>
      <c r="F426" s="716" t="n"/>
      <c r="G426" s="716" t="n"/>
      <c r="H426" s="462" t="n"/>
    </row>
    <row r="427">
      <c r="A427" s="672" t="inlineStr">
        <is>
          <t>E100858</t>
        </is>
      </c>
      <c r="B427" s="767">
        <f>ROW()</f>
        <v/>
      </c>
      <c r="C427" s="182" t="inlineStr">
        <is>
          <t>北京京能能源科技并购投资基金（有限合伙）</t>
        </is>
      </c>
      <c r="D427" s="182" t="inlineStr">
        <is>
          <t>ZI029E100000</t>
        </is>
      </c>
      <c r="E427" s="182" t="inlineStr">
        <is>
          <t>北京能源集团有限责任公司</t>
        </is>
      </c>
      <c r="F427" s="716" t="n"/>
      <c r="G427" s="716" t="n"/>
      <c r="H427" s="462" t="n"/>
    </row>
    <row r="428">
      <c r="A428" s="672" t="inlineStr">
        <is>
          <t>E100858</t>
        </is>
      </c>
      <c r="B428" s="767">
        <f>ROW()</f>
        <v/>
      </c>
      <c r="C428" s="182" t="inlineStr">
        <is>
          <t>北京京能能源科技并购投资基金（有限合伙）</t>
        </is>
      </c>
      <c r="D428" s="182" t="inlineStr">
        <is>
          <t>ZI029E100484</t>
        </is>
      </c>
      <c r="E428" s="182" t="inlineStr">
        <is>
          <t>北京京能同鑫投资管理有限公司</t>
        </is>
      </c>
      <c r="F428" s="716" t="n"/>
      <c r="G428" s="716" t="n"/>
      <c r="H428" s="462" t="n"/>
    </row>
    <row r="429">
      <c r="A429" s="672" t="inlineStr">
        <is>
          <t>E100725</t>
        </is>
      </c>
      <c r="B429" s="767">
        <f>ROW()</f>
        <v/>
      </c>
      <c r="C429" s="182" t="inlineStr">
        <is>
          <t>北京京能氢源科技有限公司</t>
        </is>
      </c>
      <c r="D429" s="182" t="inlineStr">
        <is>
          <t>ZI029E100371</t>
        </is>
      </c>
      <c r="E429" s="182" t="inlineStr">
        <is>
          <t>北京京能科技有限公司</t>
        </is>
      </c>
      <c r="F429" s="716" t="n"/>
      <c r="G429" s="716" t="n"/>
      <c r="H429" s="462" t="n"/>
    </row>
    <row r="430">
      <c r="A430" s="672" t="inlineStr">
        <is>
          <t>E100725</t>
        </is>
      </c>
      <c r="B430" s="767">
        <f>ROW()</f>
        <v/>
      </c>
      <c r="C430" s="182" t="inlineStr">
        <is>
          <t>北京京能氢源科技有限公司</t>
        </is>
      </c>
      <c r="D430" s="182" t="inlineStr">
        <is>
          <t>ZI029E100000</t>
        </is>
      </c>
      <c r="E430" s="182" t="inlineStr">
        <is>
          <t>北京能源集团有限责任公司</t>
        </is>
      </c>
      <c r="F430" s="716" t="n"/>
      <c r="G430" s="716" t="n"/>
      <c r="H430" s="462" t="n"/>
    </row>
    <row r="431">
      <c r="A431" s="672" t="inlineStr">
        <is>
          <t>E100561</t>
        </is>
      </c>
      <c r="B431" s="767">
        <f>ROW()</f>
        <v/>
      </c>
      <c r="C431" s="182" t="inlineStr">
        <is>
          <t>北京京能清洁能源（澳洲）控股有限公司</t>
        </is>
      </c>
      <c r="D431" s="182" t="inlineStr">
        <is>
          <t>ZI029E100543</t>
        </is>
      </c>
      <c r="E431" s="182" t="inlineStr">
        <is>
          <t>北京京能清洁能源电力股份（香港）有限公司</t>
        </is>
      </c>
      <c r="F431" s="716" t="n"/>
      <c r="G431" s="716" t="n"/>
      <c r="H431" s="462" t="n"/>
    </row>
    <row r="432">
      <c r="A432" s="672" t="inlineStr">
        <is>
          <t>E100561</t>
        </is>
      </c>
      <c r="B432" s="767">
        <f>ROW()</f>
        <v/>
      </c>
      <c r="C432" s="182" t="inlineStr">
        <is>
          <t>北京京能清洁能源（澳洲）控股有限公司</t>
        </is>
      </c>
      <c r="D432" s="182" t="inlineStr">
        <is>
          <t>ZI029E101045</t>
        </is>
      </c>
      <c r="E432" s="182" t="inlineStr">
        <is>
          <t>Beijing Energy International （Australia） Holding Pty Ltd</t>
        </is>
      </c>
      <c r="F432" s="716" t="n"/>
      <c r="G432" s="716" t="n"/>
      <c r="H432" s="462" t="n"/>
    </row>
    <row r="433">
      <c r="A433" s="672" t="inlineStr">
        <is>
          <t>E100543</t>
        </is>
      </c>
      <c r="B433" s="767">
        <f>ROW()</f>
        <v/>
      </c>
      <c r="C433" s="182" t="inlineStr">
        <is>
          <t>北京京能清洁能源电力股份（香港）有限公司</t>
        </is>
      </c>
      <c r="D433" s="182" t="inlineStr">
        <is>
          <t>ZI029E100001</t>
        </is>
      </c>
      <c r="E433" s="182" t="inlineStr">
        <is>
          <t>北京京能清洁能源电力股份有限公司</t>
        </is>
      </c>
      <c r="F433" s="716" t="n"/>
      <c r="G433" s="716" t="n"/>
      <c r="H433" s="462" t="n"/>
    </row>
    <row r="434">
      <c r="A434" s="672" t="inlineStr">
        <is>
          <t>E100543G</t>
        </is>
      </c>
      <c r="B434" s="767">
        <f>ROW()</f>
        <v/>
      </c>
      <c r="C434" s="182" t="inlineStr">
        <is>
          <t>北京京能清洁能源电力股份（香港）有限公司（合并）</t>
        </is>
      </c>
      <c r="D434" s="182" t="inlineStr">
        <is>
          <t>ZI029E100001</t>
        </is>
      </c>
      <c r="E434" s="182" t="inlineStr">
        <is>
          <t>北京京能清洁能源电力股份有限公司</t>
        </is>
      </c>
      <c r="F434" s="716" t="n"/>
      <c r="G434" s="716" t="n"/>
      <c r="H434" s="462" t="n"/>
    </row>
    <row r="435">
      <c r="A435" s="672" t="inlineStr">
        <is>
          <t>E100001</t>
        </is>
      </c>
      <c r="B435" s="767">
        <f>ROW()</f>
        <v/>
      </c>
      <c r="C435" s="182" t="inlineStr">
        <is>
          <t>北京京能清洁能源电力股份有限公司</t>
        </is>
      </c>
      <c r="D435" s="182" t="inlineStr">
        <is>
          <t>ZI029E100000</t>
        </is>
      </c>
      <c r="E435" s="182" t="inlineStr">
        <is>
          <t>北京能源集团有限责任公司</t>
        </is>
      </c>
      <c r="F435" s="716" t="n"/>
      <c r="G435" s="716" t="n"/>
      <c r="H435" s="462" t="n"/>
    </row>
    <row r="436">
      <c r="A436" s="672" t="inlineStr">
        <is>
          <t>E100001</t>
        </is>
      </c>
      <c r="B436" s="767">
        <f>ROW()</f>
        <v/>
      </c>
      <c r="C436" s="182" t="inlineStr">
        <is>
          <t>北京京能清洁能源电力股份有限公司</t>
        </is>
      </c>
      <c r="D436" s="182" t="inlineStr">
        <is>
          <t>ZI029E100197</t>
        </is>
      </c>
      <c r="E436" s="182" t="inlineStr">
        <is>
          <t>北京国际电气工程有限责任公司</t>
        </is>
      </c>
      <c r="F436" s="716" t="n"/>
      <c r="G436" s="716" t="n"/>
      <c r="H436" s="462" t="n"/>
    </row>
    <row r="437">
      <c r="A437" s="672" t="inlineStr">
        <is>
          <t>E100001</t>
        </is>
      </c>
      <c r="B437" s="767">
        <f>ROW()</f>
        <v/>
      </c>
      <c r="C437" s="182" t="inlineStr">
        <is>
          <t>北京京能清洁能源电力股份有限公司</t>
        </is>
      </c>
      <c r="D437" s="182" t="inlineStr">
        <is>
          <t>ZI029E100222</t>
        </is>
      </c>
      <c r="E437" s="182" t="inlineStr">
        <is>
          <t>北京市热力集团有限责任公司</t>
        </is>
      </c>
      <c r="F437" s="716" t="n"/>
      <c r="G437" s="716" t="n"/>
      <c r="H437" s="462" t="n"/>
    </row>
    <row r="438">
      <c r="A438" s="672" t="inlineStr">
        <is>
          <t>E100001</t>
        </is>
      </c>
      <c r="B438" s="767">
        <f>ROW()</f>
        <v/>
      </c>
      <c r="C438" s="182" t="inlineStr">
        <is>
          <t>北京京能清洁能源电力股份有限公司</t>
        </is>
      </c>
      <c r="D438" s="182" t="inlineStr">
        <is>
          <t>ZI029E100559</t>
        </is>
      </c>
      <c r="E438" s="182" t="inlineStr">
        <is>
          <t>北京能源投资集团（香港）有限公司</t>
        </is>
      </c>
      <c r="F438" s="716" t="n"/>
      <c r="G438" s="716" t="n"/>
      <c r="H438" s="462" t="n"/>
    </row>
    <row r="439">
      <c r="A439" s="672" t="inlineStr">
        <is>
          <t>E100001G</t>
        </is>
      </c>
      <c r="B439" s="767">
        <f>ROW()</f>
        <v/>
      </c>
      <c r="C439" s="182" t="inlineStr">
        <is>
          <t>北京京能清洁能源电力股份有限公司（合并）</t>
        </is>
      </c>
      <c r="D439" s="182" t="inlineStr">
        <is>
          <t>ZI029E100000</t>
        </is>
      </c>
      <c r="E439" s="182" t="inlineStr">
        <is>
          <t>北京能源集团有限责任公司</t>
        </is>
      </c>
      <c r="F439" s="716" t="n"/>
      <c r="G439" s="716" t="n"/>
      <c r="H439" s="462" t="n"/>
    </row>
    <row r="440">
      <c r="A440" s="672" t="inlineStr">
        <is>
          <t>E100001G</t>
        </is>
      </c>
      <c r="B440" s="767">
        <f>ROW()</f>
        <v/>
      </c>
      <c r="C440" s="182" t="inlineStr">
        <is>
          <t>北京京能清洁能源电力股份有限公司（合并）</t>
        </is>
      </c>
      <c r="D440" s="182" t="inlineStr">
        <is>
          <t>ZI029E100197</t>
        </is>
      </c>
      <c r="E440" s="182" t="inlineStr">
        <is>
          <t>北京国际电气工程有限责任公司</t>
        </is>
      </c>
      <c r="F440" s="716" t="n"/>
      <c r="G440" s="716" t="n"/>
      <c r="H440" s="462" t="n"/>
    </row>
    <row r="441">
      <c r="A441" s="672" t="inlineStr">
        <is>
          <t>E100001G</t>
        </is>
      </c>
      <c r="B441" s="767">
        <f>ROW()</f>
        <v/>
      </c>
      <c r="C441" s="182" t="inlineStr">
        <is>
          <t>北京京能清洁能源电力股份有限公司（合并）</t>
        </is>
      </c>
      <c r="D441" s="182" t="inlineStr">
        <is>
          <t>ZI029E100222</t>
        </is>
      </c>
      <c r="E441" s="182" t="inlineStr">
        <is>
          <t>北京市热力集团有限责任公司</t>
        </is>
      </c>
      <c r="F441" s="716" t="n"/>
      <c r="G441" s="716" t="n"/>
      <c r="H441" s="462" t="n"/>
    </row>
    <row r="442">
      <c r="A442" s="672" t="inlineStr">
        <is>
          <t>E100001G</t>
        </is>
      </c>
      <c r="B442" s="767">
        <f>ROW()</f>
        <v/>
      </c>
      <c r="C442" s="182" t="inlineStr">
        <is>
          <t>北京京能清洁能源电力股份有限公司（合并）</t>
        </is>
      </c>
      <c r="D442" s="182" t="inlineStr">
        <is>
          <t>ZI029E100559</t>
        </is>
      </c>
      <c r="E442" s="182" t="inlineStr">
        <is>
          <t>北京能源投资集团（香港）有限公司</t>
        </is>
      </c>
      <c r="F442" s="716" t="n"/>
      <c r="G442" s="716" t="n"/>
      <c r="H442" s="462" t="n"/>
    </row>
    <row r="443">
      <c r="A443" s="672" t="inlineStr">
        <is>
          <t>E100001H</t>
        </is>
      </c>
      <c r="B443" s="767">
        <f>ROW()</f>
        <v/>
      </c>
      <c r="C443" s="182" t="inlineStr">
        <is>
          <t>北京京能清洁能源电力股份有限公司（合并）本部</t>
        </is>
      </c>
      <c r="D443" s="182" t="inlineStr">
        <is>
          <t>ZI029E100000</t>
        </is>
      </c>
      <c r="E443" s="182" t="inlineStr">
        <is>
          <t>北京能源集团有限责任公司</t>
        </is>
      </c>
      <c r="F443" s="716" t="n"/>
      <c r="G443" s="716" t="n"/>
      <c r="H443" s="462" t="n"/>
    </row>
    <row r="444">
      <c r="A444" s="672" t="inlineStr">
        <is>
          <t>E100001H</t>
        </is>
      </c>
      <c r="B444" s="767">
        <f>ROW()</f>
        <v/>
      </c>
      <c r="C444" s="182" t="inlineStr">
        <is>
          <t>北京京能清洁能源电力股份有限公司（合并）本部</t>
        </is>
      </c>
      <c r="D444" s="182" t="inlineStr">
        <is>
          <t>ZI029E100197</t>
        </is>
      </c>
      <c r="E444" s="182" t="inlineStr">
        <is>
          <t>北京国际电气工程有限责任公司</t>
        </is>
      </c>
      <c r="F444" s="716" t="n"/>
      <c r="G444" s="716" t="n"/>
      <c r="H444" s="462" t="n"/>
    </row>
    <row r="445">
      <c r="A445" s="672" t="inlineStr">
        <is>
          <t>E100001H</t>
        </is>
      </c>
      <c r="B445" s="767">
        <f>ROW()</f>
        <v/>
      </c>
      <c r="C445" s="182" t="inlineStr">
        <is>
          <t>北京京能清洁能源电力股份有限公司（合并）本部</t>
        </is>
      </c>
      <c r="D445" s="182" t="inlineStr">
        <is>
          <t>ZI029E100222</t>
        </is>
      </c>
      <c r="E445" s="182" t="inlineStr">
        <is>
          <t>北京市热力集团有限责任公司</t>
        </is>
      </c>
      <c r="F445" s="716" t="n"/>
      <c r="G445" s="716" t="n"/>
      <c r="H445" s="462" t="n"/>
    </row>
    <row r="446">
      <c r="A446" s="672" t="inlineStr">
        <is>
          <t>E100001H</t>
        </is>
      </c>
      <c r="B446" s="767">
        <f>ROW()</f>
        <v/>
      </c>
      <c r="C446" s="182" t="inlineStr">
        <is>
          <t>北京京能清洁能源电力股份有限公司（合并）本部</t>
        </is>
      </c>
      <c r="D446" s="182" t="inlineStr">
        <is>
          <t>ZI029E100559</t>
        </is>
      </c>
      <c r="E446" s="182" t="inlineStr">
        <is>
          <t>北京能源投资集团（香港）有限公司</t>
        </is>
      </c>
      <c r="F446" s="716" t="n"/>
      <c r="G446" s="716" t="n"/>
      <c r="H446" s="462" t="n"/>
    </row>
    <row r="447">
      <c r="A447" s="672" t="inlineStr">
        <is>
          <t>E100792</t>
        </is>
      </c>
      <c r="B447" s="767">
        <f>ROW()</f>
        <v/>
      </c>
      <c r="C447" s="182" t="inlineStr">
        <is>
          <t>北京京能清洁能源电力股份有限公司新疆分公司</t>
        </is>
      </c>
      <c r="D447" s="182" t="inlineStr">
        <is>
          <t>ZI029E100001</t>
        </is>
      </c>
      <c r="E447" s="182" t="inlineStr">
        <is>
          <t>北京京能清洁能源电力股份有限公司</t>
        </is>
      </c>
      <c r="F447" s="716" t="n"/>
      <c r="G447" s="716" t="n"/>
      <c r="H447" s="462" t="n"/>
    </row>
    <row r="448">
      <c r="A448" s="672" t="inlineStr">
        <is>
          <t>E100259</t>
        </is>
      </c>
      <c r="B448" s="767">
        <f>ROW()</f>
        <v/>
      </c>
      <c r="C448" s="182" t="inlineStr">
        <is>
          <t>北京京能热力发展有限公司</t>
        </is>
      </c>
      <c r="D448" s="182" t="inlineStr">
        <is>
          <t>ZI029E100000</t>
        </is>
      </c>
      <c r="E448" s="182" t="inlineStr">
        <is>
          <t>北京能源集团有限责任公司</t>
        </is>
      </c>
      <c r="F448" s="716" t="n"/>
      <c r="G448" s="716" t="n"/>
      <c r="H448" s="462" t="n"/>
    </row>
    <row r="449">
      <c r="A449" s="672" t="inlineStr">
        <is>
          <t>E100259</t>
        </is>
      </c>
      <c r="B449" s="767">
        <f>ROW()</f>
        <v/>
      </c>
      <c r="C449" s="182" t="inlineStr">
        <is>
          <t>北京京能热力发展有限公司</t>
        </is>
      </c>
      <c r="D449" s="182" t="inlineStr">
        <is>
          <t>ZI029E100222</t>
        </is>
      </c>
      <c r="E449" s="182" t="inlineStr">
        <is>
          <t>北京市热力集团有限责任公司</t>
        </is>
      </c>
      <c r="F449" s="716" t="n"/>
      <c r="G449" s="716" t="n"/>
      <c r="H449" s="462" t="n"/>
    </row>
    <row r="450">
      <c r="A450" s="672" t="inlineStr">
        <is>
          <t>E100259G</t>
        </is>
      </c>
      <c r="B450" s="767">
        <f>ROW()</f>
        <v/>
      </c>
      <c r="C450" s="182" t="inlineStr">
        <is>
          <t>北京京能热力发展有限公司（合并）</t>
        </is>
      </c>
      <c r="D450" s="182" t="inlineStr">
        <is>
          <t>ZI029E100000</t>
        </is>
      </c>
      <c r="E450" s="182" t="inlineStr">
        <is>
          <t>北京能源集团有限责任公司</t>
        </is>
      </c>
      <c r="F450" s="716" t="n"/>
      <c r="G450" s="716" t="n"/>
      <c r="H450" s="462" t="n"/>
    </row>
    <row r="451">
      <c r="A451" s="672" t="inlineStr">
        <is>
          <t>E100259G</t>
        </is>
      </c>
      <c r="B451" s="767">
        <f>ROW()</f>
        <v/>
      </c>
      <c r="C451" s="182" t="inlineStr">
        <is>
          <t>北京京能热力发展有限公司（合并）</t>
        </is>
      </c>
      <c r="D451" s="182" t="inlineStr">
        <is>
          <t>ZI029E100222</t>
        </is>
      </c>
      <c r="E451" s="182" t="inlineStr">
        <is>
          <t>北京市热力集团有限责任公司</t>
        </is>
      </c>
      <c r="F451" s="716" t="n"/>
      <c r="G451" s="716" t="n"/>
      <c r="H451" s="462" t="n"/>
    </row>
    <row r="452">
      <c r="A452" s="672" t="inlineStr">
        <is>
          <t>E100196</t>
        </is>
      </c>
      <c r="B452" s="767">
        <f>ROW()</f>
        <v/>
      </c>
      <c r="C452" s="182" t="inlineStr">
        <is>
          <t>北京京能人力资源服务有限公司</t>
        </is>
      </c>
      <c r="D452" s="182" t="inlineStr">
        <is>
          <t>ZI029E100000</t>
        </is>
      </c>
      <c r="E452" s="182" t="inlineStr">
        <is>
          <t>北京能源集团有限责任公司</t>
        </is>
      </c>
      <c r="F452" s="716" t="n"/>
      <c r="G452" s="716" t="n"/>
      <c r="H452" s="462" t="n"/>
    </row>
    <row r="453">
      <c r="A453" s="672" t="inlineStr">
        <is>
          <t>E100106</t>
        </is>
      </c>
      <c r="B453" s="767">
        <f>ROW()</f>
        <v/>
      </c>
      <c r="C453" s="182" t="inlineStr">
        <is>
          <t>北京京能融资租赁有限公司</t>
        </is>
      </c>
      <c r="D453" s="182" t="inlineStr">
        <is>
          <t>ZI029E100000</t>
        </is>
      </c>
      <c r="E453" s="182" t="inlineStr">
        <is>
          <t>北京能源集团有限责任公司</t>
        </is>
      </c>
      <c r="F453" s="716" t="n"/>
      <c r="G453" s="716" t="n"/>
      <c r="H453" s="462" t="n"/>
    </row>
    <row r="454">
      <c r="A454" s="672" t="inlineStr">
        <is>
          <t>E100484</t>
        </is>
      </c>
      <c r="B454" s="767">
        <f>ROW()</f>
        <v/>
      </c>
      <c r="C454" s="182" t="inlineStr">
        <is>
          <t>北京京能同鑫投资管理有限公司</t>
        </is>
      </c>
      <c r="D454" s="182" t="inlineStr">
        <is>
          <t>ZI029E100000</t>
        </is>
      </c>
      <c r="E454" s="182" t="inlineStr">
        <is>
          <t>北京能源集团有限责任公司</t>
        </is>
      </c>
      <c r="F454" s="716" t="n"/>
      <c r="G454" s="716" t="n"/>
      <c r="H454" s="462" t="n"/>
    </row>
    <row r="455">
      <c r="A455" s="672" t="inlineStr">
        <is>
          <t>E100010</t>
        </is>
      </c>
      <c r="B455" s="767">
        <f>ROW()</f>
        <v/>
      </c>
      <c r="C455" s="182" t="inlineStr">
        <is>
          <t>北京京能未来燃气热电有限公司</t>
        </is>
      </c>
      <c r="D455" s="182" t="inlineStr">
        <is>
          <t>ZI029E100001</t>
        </is>
      </c>
      <c r="E455" s="182" t="inlineStr">
        <is>
          <t>北京京能清洁能源电力股份有限公司</t>
        </is>
      </c>
      <c r="F455" s="716" t="n"/>
      <c r="G455" s="716" t="n"/>
      <c r="H455" s="462" t="n"/>
    </row>
    <row r="456">
      <c r="A456" s="672" t="inlineStr">
        <is>
          <t>E100014</t>
        </is>
      </c>
      <c r="B456" s="767">
        <f>ROW()</f>
        <v/>
      </c>
      <c r="C456" s="182" t="inlineStr">
        <is>
          <t>北京京能新能源有限公司</t>
        </is>
      </c>
      <c r="D456" s="182" t="inlineStr">
        <is>
          <t>ZI029E100001</t>
        </is>
      </c>
      <c r="E456" s="182" t="inlineStr">
        <is>
          <t>北京京能清洁能源电力股份有限公司</t>
        </is>
      </c>
      <c r="F456" s="716" t="n"/>
      <c r="G456" s="716" t="n"/>
      <c r="H456" s="462" t="n"/>
    </row>
    <row r="457">
      <c r="A457" s="672" t="inlineStr">
        <is>
          <t>E100014G</t>
        </is>
      </c>
      <c r="B457" s="767">
        <f>ROW()</f>
        <v/>
      </c>
      <c r="C457" s="182" t="inlineStr">
        <is>
          <t>北京京能新能源有限公司（合并）</t>
        </is>
      </c>
      <c r="D457" s="182" t="inlineStr">
        <is>
          <t>ZI029E100001</t>
        </is>
      </c>
      <c r="E457" s="182" t="inlineStr">
        <is>
          <t>北京京能清洁能源电力股份有限公司</t>
        </is>
      </c>
      <c r="F457" s="716" t="n"/>
      <c r="G457" s="716" t="n"/>
      <c r="H457" s="462" t="n"/>
    </row>
    <row r="458">
      <c r="A458" s="672" t="inlineStr">
        <is>
          <t>E100014H</t>
        </is>
      </c>
      <c r="B458" s="767">
        <f>ROW()</f>
        <v/>
      </c>
      <c r="C458" s="182" t="inlineStr">
        <is>
          <t>北京京能新能源有限公司（合并）</t>
        </is>
      </c>
      <c r="D458" s="182" t="inlineStr">
        <is>
          <t>ZI029E100001</t>
        </is>
      </c>
      <c r="E458" s="182" t="inlineStr">
        <is>
          <t>北京京能清洁能源电力股份有限公司</t>
        </is>
      </c>
      <c r="F458" s="716" t="n"/>
      <c r="G458" s="716" t="n"/>
      <c r="H458" s="462" t="n"/>
    </row>
    <row r="459">
      <c r="A459" s="672" t="inlineStr">
        <is>
          <t>E100198</t>
        </is>
      </c>
      <c r="B459" s="767">
        <f>ROW()</f>
        <v/>
      </c>
      <c r="C459" s="182" t="inlineStr">
        <is>
          <t>北京京能信息技术有限公司</t>
        </is>
      </c>
      <c r="D459" s="182" t="inlineStr">
        <is>
          <t>ZI029E100000</t>
        </is>
      </c>
      <c r="E459" s="182" t="inlineStr">
        <is>
          <t>北京能源集团有限责任公司</t>
        </is>
      </c>
      <c r="F459" s="716" t="n"/>
      <c r="G459" s="716" t="n"/>
      <c r="H459" s="462" t="n"/>
    </row>
    <row r="460">
      <c r="A460" s="672" t="inlineStr">
        <is>
          <t>E100198</t>
        </is>
      </c>
      <c r="B460" s="767">
        <f>ROW()</f>
        <v/>
      </c>
      <c r="C460" s="182" t="inlineStr">
        <is>
          <t>北京京能信息技术有限公司</t>
        </is>
      </c>
      <c r="D460" s="182" t="inlineStr">
        <is>
          <t>ZI029E100197</t>
        </is>
      </c>
      <c r="E460" s="182" t="inlineStr">
        <is>
          <t>北京国际电气工程有限责任公司</t>
        </is>
      </c>
      <c r="F460" s="716" t="n"/>
      <c r="G460" s="716" t="n"/>
      <c r="H460" s="462" t="n"/>
    </row>
    <row r="461">
      <c r="A461" s="672" t="inlineStr">
        <is>
          <t>E100244</t>
        </is>
      </c>
      <c r="B461" s="767">
        <f>ROW()</f>
        <v/>
      </c>
      <c r="C461" s="182" t="inlineStr">
        <is>
          <t>北京京能延庆热力有限责任公司</t>
        </is>
      </c>
      <c r="D461" s="182" t="inlineStr">
        <is>
          <t>ZI029E100259</t>
        </is>
      </c>
      <c r="E461" s="182" t="inlineStr">
        <is>
          <t>北京京能热力发展有限公司</t>
        </is>
      </c>
      <c r="F461" s="716" t="n"/>
      <c r="G461" s="716" t="n"/>
      <c r="H461" s="462" t="n"/>
    </row>
    <row r="462">
      <c r="A462" s="672" t="inlineStr">
        <is>
          <t>E100946</t>
        </is>
      </c>
      <c r="B462" s="767">
        <f>ROW()</f>
        <v/>
      </c>
      <c r="C462" s="182" t="inlineStr">
        <is>
          <t>北京京能雁栖新能源技术有限公司</t>
        </is>
      </c>
      <c r="D462" s="182" t="inlineStr">
        <is>
          <t>ZI029E100730</t>
        </is>
      </c>
      <c r="E462" s="182" t="inlineStr">
        <is>
          <t>京能国际能源发展（北京）有限公司</t>
        </is>
      </c>
      <c r="F462" s="716" t="n"/>
      <c r="G462" s="716" t="n"/>
      <c r="H462" s="462" t="n"/>
    </row>
    <row r="463">
      <c r="A463" s="672" t="inlineStr">
        <is>
          <t>E100566</t>
        </is>
      </c>
      <c r="B463" s="767">
        <f>ROW()</f>
        <v/>
      </c>
      <c r="C463" s="182" t="inlineStr">
        <is>
          <t>北京京能燕开综合能源服务有限公司</t>
        </is>
      </c>
      <c r="D463" s="182" t="inlineStr">
        <is>
          <t>ZI029E100405</t>
        </is>
      </c>
      <c r="E463" s="182" t="inlineStr">
        <is>
          <t>北京高新技术创业投资有限公司</t>
        </is>
      </c>
      <c r="F463" s="716" t="n"/>
      <c r="G463" s="716" t="n"/>
      <c r="H463" s="462" t="n"/>
    </row>
    <row r="464">
      <c r="A464" s="672" t="inlineStr">
        <is>
          <t>E100345</t>
        </is>
      </c>
      <c r="B464" s="767">
        <f>ROW()</f>
        <v/>
      </c>
      <c r="C464" s="182" t="inlineStr">
        <is>
          <t>北京京能颐寿养老服务有限公司</t>
        </is>
      </c>
      <c r="D464" s="182" t="inlineStr">
        <is>
          <t>ZI029E100268</t>
        </is>
      </c>
      <c r="E464" s="182" t="inlineStr">
        <is>
          <t>北京京煤集团有限责任公司</t>
        </is>
      </c>
      <c r="F464" s="716" t="n"/>
      <c r="G464" s="716" t="n"/>
      <c r="H464" s="462" t="n"/>
    </row>
    <row r="465">
      <c r="A465" s="672" t="inlineStr">
        <is>
          <t>E100218</t>
        </is>
      </c>
      <c r="B465" s="767">
        <f>ROW()</f>
        <v/>
      </c>
      <c r="C465" s="182" t="inlineStr">
        <is>
          <t>北京京能油气资源开发有限公司</t>
        </is>
      </c>
      <c r="D465" s="182" t="inlineStr">
        <is>
          <t>ZI029E100000</t>
        </is>
      </c>
      <c r="E465" s="182" t="inlineStr">
        <is>
          <t>北京能源集团有限责任公司</t>
        </is>
      </c>
      <c r="F465" s="716" t="n"/>
      <c r="G465" s="716" t="n"/>
      <c r="H465" s="462" t="n"/>
    </row>
    <row r="466">
      <c r="A466" s="672" t="inlineStr">
        <is>
          <t>E100218G</t>
        </is>
      </c>
      <c r="B466" s="767">
        <f>ROW()</f>
        <v/>
      </c>
      <c r="C466" s="182" t="inlineStr">
        <is>
          <t>北京京能油气资源开发有限公司（合并）</t>
        </is>
      </c>
      <c r="D466" s="182" t="inlineStr">
        <is>
          <t>ZI029E100000</t>
        </is>
      </c>
      <c r="E466" s="182" t="inlineStr">
        <is>
          <t>北京能源集团有限责任公司</t>
        </is>
      </c>
      <c r="F466" s="716" t="n"/>
      <c r="G466" s="716" t="n"/>
      <c r="H466" s="462" t="n"/>
    </row>
    <row r="467">
      <c r="A467" s="672" t="inlineStr">
        <is>
          <t>E100426</t>
        </is>
      </c>
      <c r="B467" s="767">
        <f>ROW()</f>
        <v/>
      </c>
      <c r="C467" s="182" t="inlineStr">
        <is>
          <t>北京京能云泰房地产开发有限公司</t>
        </is>
      </c>
      <c r="D467" s="182" t="inlineStr">
        <is>
          <t>ZI029E100000</t>
        </is>
      </c>
      <c r="E467" s="182" t="inlineStr">
        <is>
          <t>北京能源集团有限责任公司</t>
        </is>
      </c>
      <c r="F467" s="716" t="n"/>
      <c r="G467" s="716" t="n"/>
      <c r="H467" s="462" t="n"/>
    </row>
    <row r="468">
      <c r="A468" s="672" t="inlineStr">
        <is>
          <t>E100426</t>
        </is>
      </c>
      <c r="B468" s="767">
        <f>ROW()</f>
        <v/>
      </c>
      <c r="C468" s="182" t="inlineStr">
        <is>
          <t>北京京能云泰房地产开发有限公司</t>
        </is>
      </c>
      <c r="D468" s="182" t="inlineStr">
        <is>
          <t>ZI029E100420</t>
        </is>
      </c>
      <c r="E468" s="182" t="inlineStr">
        <is>
          <t>京能置业股份有限公司</t>
        </is>
      </c>
      <c r="F468" s="716" t="n"/>
      <c r="G468" s="716" t="n"/>
      <c r="H468" s="462" t="n"/>
    </row>
    <row r="469">
      <c r="A469" s="672" t="inlineStr">
        <is>
          <t>E100102</t>
        </is>
      </c>
      <c r="B469" s="767">
        <f>ROW()</f>
        <v/>
      </c>
      <c r="C469" s="182" t="inlineStr">
        <is>
          <t>北京京能招标集采中心有限责任公司</t>
        </is>
      </c>
      <c r="D469" s="182" t="inlineStr">
        <is>
          <t>ZI029E100000</t>
        </is>
      </c>
      <c r="E469" s="182" t="inlineStr">
        <is>
          <t>北京能源集团有限责任公司</t>
        </is>
      </c>
      <c r="F469" s="716" t="n"/>
      <c r="G469" s="716" t="n"/>
      <c r="H469" s="462" t="n"/>
    </row>
    <row r="470">
      <c r="A470" s="672" t="inlineStr">
        <is>
          <t>E100005</t>
        </is>
      </c>
      <c r="B470" s="767">
        <f>ROW()</f>
        <v/>
      </c>
      <c r="C470" s="182" t="inlineStr">
        <is>
          <t>北京京桥热电有限责任公司</t>
        </is>
      </c>
      <c r="D470" s="182" t="inlineStr">
        <is>
          <t>ZI029E100001</t>
        </is>
      </c>
      <c r="E470" s="182" t="inlineStr">
        <is>
          <t>北京京能清洁能源电力股份有限公司</t>
        </is>
      </c>
      <c r="F470" s="716" t="n"/>
      <c r="G470" s="716" t="n"/>
      <c r="H470" s="462" t="n"/>
    </row>
    <row r="471">
      <c r="A471" s="672" t="inlineStr">
        <is>
          <t>E100300</t>
        </is>
      </c>
      <c r="B471" s="767">
        <f>ROW()</f>
        <v/>
      </c>
      <c r="C471" s="182" t="inlineStr">
        <is>
          <t>北京京西晨光饭店有限责任公司</t>
        </is>
      </c>
      <c r="D471" s="182" t="inlineStr">
        <is>
          <t>ZI029E100293</t>
        </is>
      </c>
      <c r="E471" s="182" t="inlineStr">
        <is>
          <t>北京京能酒店管理有限公司</t>
        </is>
      </c>
      <c r="F471" s="716" t="n"/>
      <c r="G471" s="716" t="n"/>
      <c r="H471" s="462" t="n"/>
    </row>
    <row r="472">
      <c r="A472" s="672" t="inlineStr">
        <is>
          <t>E100007</t>
        </is>
      </c>
      <c r="B472" s="767">
        <f>ROW()</f>
        <v/>
      </c>
      <c r="C472" s="182" t="inlineStr">
        <is>
          <t>北京京西发电有限责任公司</t>
        </is>
      </c>
      <c r="D472" s="182" t="inlineStr">
        <is>
          <t>ZI029E100000</t>
        </is>
      </c>
      <c r="E472" s="182" t="inlineStr">
        <is>
          <t>北京能源集团有限责任公司</t>
        </is>
      </c>
      <c r="F472" s="716" t="n"/>
      <c r="G472" s="716" t="n"/>
      <c r="H472" s="462" t="n"/>
    </row>
    <row r="473">
      <c r="A473" s="672" t="inlineStr">
        <is>
          <t>E100454</t>
        </is>
      </c>
      <c r="B473" s="767">
        <f>ROW()</f>
        <v/>
      </c>
      <c r="C473" s="182" t="inlineStr">
        <is>
          <t>北京京西建筑勘察设计院有限公司</t>
        </is>
      </c>
      <c r="D473" s="182" t="inlineStr">
        <is>
          <t>ZI029E100422</t>
        </is>
      </c>
      <c r="E473" s="182" t="inlineStr">
        <is>
          <t>北京京能建设集团有限公司</t>
        </is>
      </c>
      <c r="F473" s="716" t="n"/>
      <c r="G473" s="716" t="n"/>
      <c r="H473" s="462" t="n"/>
    </row>
    <row r="474">
      <c r="A474" s="672" t="inlineStr">
        <is>
          <t>E100006</t>
        </is>
      </c>
      <c r="B474" s="767">
        <f>ROW()</f>
        <v/>
      </c>
      <c r="C474" s="182" t="inlineStr">
        <is>
          <t>北京京西燃气热电有限公司</t>
        </is>
      </c>
      <c r="D474" s="182" t="inlineStr">
        <is>
          <t>ZI029E100001</t>
        </is>
      </c>
      <c r="E474" s="182" t="inlineStr">
        <is>
          <t>北京京能清洁能源电力股份有限公司</t>
        </is>
      </c>
      <c r="F474" s="716" t="n"/>
      <c r="G474" s="716" t="n"/>
      <c r="H474" s="462" t="n"/>
    </row>
    <row r="475">
      <c r="A475" s="672" t="inlineStr">
        <is>
          <t>E100728</t>
        </is>
      </c>
      <c r="B475" s="767">
        <f>ROW()</f>
        <v/>
      </c>
      <c r="C475" s="182" t="inlineStr">
        <is>
          <t>北京京西生态文旅投资有限公司</t>
        </is>
      </c>
      <c r="D475" s="182" t="inlineStr">
        <is>
          <t>ZI029E100000</t>
        </is>
      </c>
      <c r="E475" s="182" t="inlineStr">
        <is>
          <t>北京能源集团有限责任公司</t>
        </is>
      </c>
      <c r="F475" s="716" t="n"/>
      <c r="G475" s="716" t="n"/>
      <c r="H475" s="462" t="n"/>
    </row>
    <row r="476">
      <c r="A476" s="672" t="inlineStr">
        <is>
          <t>E100728</t>
        </is>
      </c>
      <c r="B476" s="767">
        <f>ROW()</f>
        <v/>
      </c>
      <c r="C476" s="182" t="inlineStr">
        <is>
          <t>北京京西生态文旅投资有限公司</t>
        </is>
      </c>
      <c r="D476" s="182" t="inlineStr">
        <is>
          <t>ZI029E100268</t>
        </is>
      </c>
      <c r="E476" s="182" t="inlineStr">
        <is>
          <t>北京京煤集团有限责任公司</t>
        </is>
      </c>
      <c r="F476" s="716" t="n"/>
      <c r="G476" s="716" t="n"/>
      <c r="H476" s="462" t="n"/>
    </row>
    <row r="477">
      <c r="A477" s="672" t="inlineStr">
        <is>
          <t>E100243</t>
        </is>
      </c>
      <c r="B477" s="767">
        <f>ROW()</f>
        <v/>
      </c>
      <c r="C477" s="182" t="inlineStr">
        <is>
          <t>北京科利源热电有限公司</t>
        </is>
      </c>
      <c r="D477" s="182" t="inlineStr">
        <is>
          <t>ZI029E100259</t>
        </is>
      </c>
      <c r="E477" s="182" t="inlineStr">
        <is>
          <t>北京京能热力发展有限公司</t>
        </is>
      </c>
      <c r="F477" s="716" t="n"/>
      <c r="G477" s="716" t="n"/>
      <c r="H477" s="462" t="n"/>
    </row>
    <row r="478">
      <c r="A478" s="672" t="inlineStr">
        <is>
          <t>E100191</t>
        </is>
      </c>
      <c r="B478" s="767">
        <f>ROW()</f>
        <v/>
      </c>
      <c r="C478" s="182" t="inlineStr">
        <is>
          <t>北京乐多港发展有限公司</t>
        </is>
      </c>
      <c r="D478" s="182" t="inlineStr">
        <is>
          <t>ZI029E100000</t>
        </is>
      </c>
      <c r="E478" s="182" t="inlineStr">
        <is>
          <t>北京能源集团有限责任公司</t>
        </is>
      </c>
      <c r="F478" s="716" t="n"/>
      <c r="G478" s="716" t="n"/>
      <c r="H478" s="462" t="n"/>
    </row>
    <row r="479">
      <c r="A479" s="672" t="inlineStr">
        <is>
          <t>E100191G</t>
        </is>
      </c>
      <c r="B479" s="767">
        <f>ROW()</f>
        <v/>
      </c>
      <c r="C479" s="182" t="inlineStr">
        <is>
          <t>北京乐多港发展有限公司（合并）</t>
        </is>
      </c>
      <c r="D479" s="182" t="inlineStr">
        <is>
          <t>ZI029E100000</t>
        </is>
      </c>
      <c r="E479" s="182" t="inlineStr">
        <is>
          <t>北京能源集团有限责任公司</t>
        </is>
      </c>
      <c r="F479" s="716" t="n"/>
      <c r="G479" s="716" t="n"/>
      <c r="H479" s="462" t="n"/>
    </row>
    <row r="480">
      <c r="A480" s="672" t="inlineStr">
        <is>
          <t>E100194</t>
        </is>
      </c>
      <c r="B480" s="767">
        <f>ROW()</f>
        <v/>
      </c>
      <c r="C480" s="182" t="inlineStr">
        <is>
          <t>北京乐多港发展有限公司乐多港万豪酒店分公司</t>
        </is>
      </c>
      <c r="D480" s="182" t="inlineStr">
        <is>
          <t>ZI029E100191</t>
        </is>
      </c>
      <c r="E480" s="182" t="inlineStr">
        <is>
          <t>北京乐多港发展有限公司</t>
        </is>
      </c>
      <c r="F480" s="716" t="n"/>
      <c r="G480" s="716" t="n"/>
      <c r="H480" s="462" t="n"/>
    </row>
    <row r="481">
      <c r="A481" s="672" t="inlineStr">
        <is>
          <t>E100193</t>
        </is>
      </c>
      <c r="B481" s="767">
        <f>ROW()</f>
        <v/>
      </c>
      <c r="C481" s="182" t="inlineStr">
        <is>
          <t>北京乐多港发展有限公司商业分公司</t>
        </is>
      </c>
      <c r="D481" s="182" t="inlineStr">
        <is>
          <t>ZI029E100191</t>
        </is>
      </c>
      <c r="E481" s="182" t="inlineStr">
        <is>
          <t>北京乐多港发展有限公司</t>
        </is>
      </c>
      <c r="F481" s="716" t="n"/>
      <c r="G481" s="716" t="n"/>
      <c r="H481" s="462" t="n"/>
    </row>
    <row r="482">
      <c r="A482" s="672" t="inlineStr">
        <is>
          <t>E100192</t>
        </is>
      </c>
      <c r="B482" s="767">
        <f>ROW()</f>
        <v/>
      </c>
      <c r="C482" s="182" t="inlineStr">
        <is>
          <t>北京乐多港发展有限公司文化旅游分公司</t>
        </is>
      </c>
      <c r="D482" s="182" t="inlineStr">
        <is>
          <t>ZI029E100191</t>
        </is>
      </c>
      <c r="E482" s="182" t="inlineStr">
        <is>
          <t>北京乐多港发展有限公司</t>
        </is>
      </c>
      <c r="F482" s="716" t="n"/>
      <c r="G482" s="716" t="n"/>
      <c r="H482" s="462" t="n"/>
    </row>
    <row r="483">
      <c r="A483" s="672" t="inlineStr">
        <is>
          <t>E100558</t>
        </is>
      </c>
      <c r="B483" s="767">
        <f>ROW()</f>
        <v/>
      </c>
      <c r="C483" s="182" t="inlineStr">
        <is>
          <t>北京能工荟智机器人有限责任公司</t>
        </is>
      </c>
      <c r="D483" s="182" t="inlineStr">
        <is>
          <t>ZI029E100200</t>
        </is>
      </c>
      <c r="E483" s="182" t="inlineStr">
        <is>
          <t>北京京能能源技术研究有限责任公司</t>
        </is>
      </c>
      <c r="F483" s="716" t="n"/>
      <c r="G483" s="716" t="n"/>
      <c r="H483" s="462" t="n"/>
    </row>
    <row r="484">
      <c r="A484" s="672" t="inlineStr">
        <is>
          <t>E100724</t>
        </is>
      </c>
      <c r="B484" s="767">
        <f>ROW()</f>
        <v/>
      </c>
      <c r="C484" s="182" t="inlineStr">
        <is>
          <t>北京能锐大数据有限责任公司</t>
        </is>
      </c>
      <c r="D484" s="182" t="inlineStr">
        <is>
          <t>ZI029E100200</t>
        </is>
      </c>
      <c r="E484" s="182" t="inlineStr">
        <is>
          <t>北京京能能源技术研究有限责任公司</t>
        </is>
      </c>
      <c r="F484" s="716" t="n"/>
      <c r="G484" s="716" t="n"/>
      <c r="H484" s="462" t="n"/>
    </row>
    <row r="485">
      <c r="A485" s="672" t="inlineStr">
        <is>
          <t>E100747</t>
        </is>
      </c>
      <c r="B485" s="767">
        <f>ROW()</f>
        <v/>
      </c>
      <c r="C485" s="182" t="inlineStr">
        <is>
          <t>北京能源国际控股有限公司</t>
        </is>
      </c>
      <c r="D485" s="182" t="inlineStr">
        <is>
          <t>ZI029E100559</t>
        </is>
      </c>
      <c r="E485" s="182" t="inlineStr">
        <is>
          <t>北京能源投资(香港)有限公司</t>
        </is>
      </c>
      <c r="F485" s="716" t="n"/>
      <c r="G485" s="716" t="n"/>
      <c r="H485" s="462" t="n"/>
    </row>
    <row r="486">
      <c r="A486" s="672" t="inlineStr">
        <is>
          <t>E100235</t>
        </is>
      </c>
      <c r="B486" s="767">
        <f>ROW()</f>
        <v/>
      </c>
      <c r="C486" s="182" t="inlineStr">
        <is>
          <t>北京热力市政工程建设有限公司</t>
        </is>
      </c>
      <c r="D486" s="182" t="inlineStr">
        <is>
          <t>ZI029E100222</t>
        </is>
      </c>
      <c r="E486" s="182" t="inlineStr">
        <is>
          <t>北京市热力集团有限责任公司</t>
        </is>
      </c>
      <c r="F486" s="716" t="n"/>
      <c r="G486" s="716" t="n"/>
      <c r="H486" s="462" t="n"/>
    </row>
    <row r="487">
      <c r="A487" s="672" t="inlineStr">
        <is>
          <t>E100241</t>
        </is>
      </c>
      <c r="B487" s="767">
        <f>ROW()</f>
        <v/>
      </c>
      <c r="C487" s="182" t="inlineStr">
        <is>
          <t>北京热力特佳物业管理有限责任公司</t>
        </is>
      </c>
      <c r="D487" s="182" t="inlineStr">
        <is>
          <t>ZI029E100222</t>
        </is>
      </c>
      <c r="E487" s="182" t="inlineStr">
        <is>
          <t>北京市热力集团有限责任公司</t>
        </is>
      </c>
      <c r="F487" s="716" t="n"/>
      <c r="G487" s="716" t="n"/>
      <c r="H487" s="462" t="n"/>
    </row>
    <row r="488">
      <c r="A488" s="672" t="inlineStr">
        <is>
          <t>E100236</t>
        </is>
      </c>
      <c r="B488" s="767">
        <f>ROW()</f>
        <v/>
      </c>
      <c r="C488" s="182" t="inlineStr">
        <is>
          <t>北京热力智能控制技术有限责任公司</t>
        </is>
      </c>
      <c r="D488" s="182" t="inlineStr">
        <is>
          <t>ZI029E100222</t>
        </is>
      </c>
      <c r="E488" s="182" t="inlineStr">
        <is>
          <t>北京市热力集团有限责任公司</t>
        </is>
      </c>
      <c r="F488" s="716" t="n"/>
      <c r="G488" s="716" t="n"/>
      <c r="H488" s="462" t="n"/>
    </row>
    <row r="489">
      <c r="A489" s="672" t="inlineStr">
        <is>
          <t>E100238</t>
        </is>
      </c>
      <c r="B489" s="767">
        <f>ROW()</f>
        <v/>
      </c>
      <c r="C489" s="182" t="inlineStr">
        <is>
          <t>北京热力装备制造有限公司</t>
        </is>
      </c>
      <c r="D489" s="182" t="inlineStr">
        <is>
          <t>ZI029E100222</t>
        </is>
      </c>
      <c r="E489" s="182" t="inlineStr">
        <is>
          <t>北京市热力集团有限责任公司</t>
        </is>
      </c>
      <c r="F489" s="716" t="n"/>
      <c r="G489" s="716" t="n"/>
      <c r="H489" s="462" t="n"/>
    </row>
    <row r="490">
      <c r="A490" s="672" t="inlineStr">
        <is>
          <t>E100238G</t>
        </is>
      </c>
      <c r="B490" s="767">
        <f>ROW()</f>
        <v/>
      </c>
      <c r="C490" s="182" t="inlineStr">
        <is>
          <t>北京热力装备制造有限公司（合并）</t>
        </is>
      </c>
      <c r="D490" s="182" t="inlineStr">
        <is>
          <t>ZI029E100222</t>
        </is>
      </c>
      <c r="E490" s="182" t="inlineStr">
        <is>
          <t>北京市热力集团有限责任公司</t>
        </is>
      </c>
      <c r="F490" s="716" t="n"/>
      <c r="G490" s="716" t="n"/>
      <c r="H490" s="462" t="n"/>
    </row>
    <row r="491">
      <c r="A491" s="672" t="inlineStr">
        <is>
          <t>E100238H</t>
        </is>
      </c>
      <c r="B491" s="767">
        <f>ROW()</f>
        <v/>
      </c>
      <c r="C491" s="182" t="inlineStr">
        <is>
          <t>北京热力装备制造有限公司（母公司）</t>
        </is>
      </c>
      <c r="D491" s="182" t="inlineStr">
        <is>
          <t>ZI029E100222</t>
        </is>
      </c>
      <c r="E491" s="182" t="inlineStr">
        <is>
          <t>北京市热力集团有限责任公司</t>
        </is>
      </c>
      <c r="F491" s="716" t="n"/>
      <c r="G491" s="716" t="n"/>
      <c r="H491" s="462" t="n"/>
    </row>
    <row r="492">
      <c r="A492" s="672" t="inlineStr">
        <is>
          <t>E100009</t>
        </is>
      </c>
      <c r="B492" s="767">
        <f>ROW()</f>
        <v/>
      </c>
      <c r="C492" s="182" t="inlineStr">
        <is>
          <t>北京上庄燃气热电有限公司</t>
        </is>
      </c>
      <c r="D492" s="182" t="inlineStr">
        <is>
          <t>ZI029E100001</t>
        </is>
      </c>
      <c r="E492" s="182" t="inlineStr">
        <is>
          <t>北京京能清洁能源电力股份有限公司</t>
        </is>
      </c>
      <c r="F492" s="716" t="n"/>
      <c r="G492" s="716" t="n"/>
      <c r="H492" s="462" t="n"/>
    </row>
    <row r="493">
      <c r="A493" s="672" t="inlineStr">
        <is>
          <t>E100347</t>
        </is>
      </c>
      <c r="B493" s="767">
        <f>ROW()</f>
        <v/>
      </c>
      <c r="C493" s="182" t="inlineStr">
        <is>
          <t>北京市丰台区金泰福寿老年公寓</t>
        </is>
      </c>
      <c r="D493" s="182" t="inlineStr">
        <is>
          <t>ZI029E100353</t>
        </is>
      </c>
      <c r="E493" s="182" t="inlineStr">
        <is>
          <t>北京京能房产租赁经营有限责任公司</t>
        </is>
      </c>
      <c r="F493" s="716" t="n"/>
      <c r="G493" s="716" t="n"/>
      <c r="H493" s="462" t="n"/>
    </row>
    <row r="494">
      <c r="A494" s="672" t="inlineStr">
        <is>
          <t>E100233</t>
        </is>
      </c>
      <c r="B494" s="767">
        <f>ROW()</f>
        <v/>
      </c>
      <c r="C494" s="182" t="inlineStr">
        <is>
          <t>北京市热力工程设计有限责任公司</t>
        </is>
      </c>
      <c r="D494" s="182" t="inlineStr">
        <is>
          <t>ZI029E100222</t>
        </is>
      </c>
      <c r="E494" s="182" t="inlineStr">
        <is>
          <t>北京市热力集团有限责任公司</t>
        </is>
      </c>
      <c r="F494" s="716" t="n"/>
      <c r="G494" s="716" t="n"/>
      <c r="H494" s="462" t="n"/>
    </row>
    <row r="495">
      <c r="A495" s="672" t="inlineStr">
        <is>
          <t>E100233G</t>
        </is>
      </c>
      <c r="B495" s="767">
        <f>ROW()</f>
        <v/>
      </c>
      <c r="C495" s="182" t="inlineStr">
        <is>
          <t>北京市热力工程设计有限责任公司（合并）</t>
        </is>
      </c>
      <c r="D495" s="182" t="inlineStr">
        <is>
          <t>ZI029E100222</t>
        </is>
      </c>
      <c r="E495" s="182" t="inlineStr">
        <is>
          <t>北京市热力集团有限责任公司</t>
        </is>
      </c>
      <c r="F495" s="716" t="n"/>
      <c r="G495" s="716" t="n"/>
      <c r="H495" s="462" t="n"/>
    </row>
    <row r="496">
      <c r="A496" s="672" t="inlineStr">
        <is>
          <t>E100233H</t>
        </is>
      </c>
      <c r="B496" s="767">
        <f>ROW()</f>
        <v/>
      </c>
      <c r="C496" s="182" t="inlineStr">
        <is>
          <t>北京市热力工程设计有限责任公司（合并）本部</t>
        </is>
      </c>
      <c r="D496" s="182" t="inlineStr">
        <is>
          <t>ZI029E100222</t>
        </is>
      </c>
      <c r="E496" s="182" t="inlineStr">
        <is>
          <t>北京市热力集团有限责任公司</t>
        </is>
      </c>
      <c r="F496" s="716" t="n"/>
      <c r="G496" s="716" t="n"/>
      <c r="H496" s="462" t="n"/>
    </row>
    <row r="497">
      <c r="A497" s="672" t="inlineStr">
        <is>
          <t>E100222</t>
        </is>
      </c>
      <c r="B497" s="767">
        <f>ROW()</f>
        <v/>
      </c>
      <c r="C497" s="182" t="inlineStr">
        <is>
          <t>北京市热力集团有限责任公司</t>
        </is>
      </c>
      <c r="D497" s="182" t="inlineStr">
        <is>
          <t>ZI029E100000</t>
        </is>
      </c>
      <c r="E497" s="182" t="inlineStr">
        <is>
          <t>北京能源集团有限责任公司</t>
        </is>
      </c>
      <c r="F497" s="716" t="n"/>
      <c r="G497" s="716" t="n"/>
      <c r="H497" s="462" t="n"/>
    </row>
    <row r="498">
      <c r="A498" s="672" t="inlineStr">
        <is>
          <t>E100222G</t>
        </is>
      </c>
      <c r="B498" s="767">
        <f>ROW()</f>
        <v/>
      </c>
      <c r="C498" s="182" t="inlineStr">
        <is>
          <t>北京市热力集团有限责任公司（合并）</t>
        </is>
      </c>
      <c r="D498" s="182" t="inlineStr">
        <is>
          <t>ZI029E100000</t>
        </is>
      </c>
      <c r="E498" s="182" t="inlineStr">
        <is>
          <t>北京能源集团有限责任公司</t>
        </is>
      </c>
      <c r="F498" s="716" t="n"/>
      <c r="G498" s="716" t="n"/>
      <c r="H498" s="462" t="n"/>
    </row>
    <row r="499">
      <c r="A499" s="672" t="inlineStr">
        <is>
          <t>E100222H</t>
        </is>
      </c>
      <c r="B499" s="767">
        <f>ROW()</f>
        <v/>
      </c>
      <c r="C499" s="182" t="inlineStr">
        <is>
          <t>北京市热力集团有限责任公司（母公司）</t>
        </is>
      </c>
      <c r="D499" s="182" t="inlineStr">
        <is>
          <t>ZI029E100000</t>
        </is>
      </c>
      <c r="E499" s="182" t="inlineStr">
        <is>
          <t>北京能源集团有限责任公司</t>
        </is>
      </c>
      <c r="F499" s="716" t="n"/>
      <c r="G499" s="716" t="n"/>
      <c r="H499" s="462" t="n"/>
    </row>
    <row r="500">
      <c r="A500" s="672" t="inlineStr">
        <is>
          <t>E100250</t>
        </is>
      </c>
      <c r="B500" s="767">
        <f>ROW()</f>
        <v/>
      </c>
      <c r="C500" s="182" t="inlineStr">
        <is>
          <t>北京市热力集团有限责任公司培训中心</t>
        </is>
      </c>
      <c r="D500" s="182" t="inlineStr">
        <is>
          <t>ZI029E100222</t>
        </is>
      </c>
      <c r="E500" s="182" t="inlineStr">
        <is>
          <t>北京市热力集团有限责任公司</t>
        </is>
      </c>
      <c r="F500" s="716" t="n"/>
      <c r="G500" s="716" t="n"/>
      <c r="H500" s="462" t="n"/>
    </row>
    <row r="501">
      <c r="A501" s="672" t="inlineStr">
        <is>
          <t>E100251</t>
        </is>
      </c>
      <c r="B501" s="767">
        <f>ROW()</f>
        <v/>
      </c>
      <c r="C501" s="182" t="inlineStr">
        <is>
          <t>北京市热力职业技能培训学校</t>
        </is>
      </c>
      <c r="D501" s="182" t="inlineStr">
        <is>
          <t>ZI029E100222</t>
        </is>
      </c>
      <c r="E501" s="182" t="inlineStr">
        <is>
          <t>北京市热力集团有限责任公司</t>
        </is>
      </c>
      <c r="F501" s="716" t="n"/>
      <c r="G501" s="716" t="n"/>
      <c r="H501" s="462" t="n"/>
    </row>
    <row r="502">
      <c r="A502" s="672" t="inlineStr">
        <is>
          <t>E100245</t>
        </is>
      </c>
      <c r="B502" s="767">
        <f>ROW()</f>
        <v/>
      </c>
      <c r="C502" s="182" t="inlineStr">
        <is>
          <t>北京市特诚热力有限责任公司</t>
        </is>
      </c>
      <c r="D502" s="182" t="inlineStr">
        <is>
          <t>ZI029E100259</t>
        </is>
      </c>
      <c r="E502" s="182" t="inlineStr">
        <is>
          <t>北京京能热力发展有限公司</t>
        </is>
      </c>
      <c r="F502" s="716" t="n"/>
      <c r="G502" s="716" t="n"/>
      <c r="H502" s="462" t="n"/>
    </row>
    <row r="503">
      <c r="A503" s="672" t="inlineStr">
        <is>
          <t>E100245G</t>
        </is>
      </c>
      <c r="B503" s="767">
        <f>ROW()</f>
        <v/>
      </c>
      <c r="C503" s="182" t="inlineStr">
        <is>
          <t>北京市特诚热力有限责任公司（合并）</t>
        </is>
      </c>
      <c r="D503" s="182" t="inlineStr">
        <is>
          <t>ZI029E100259</t>
        </is>
      </c>
      <c r="E503" s="182" t="inlineStr">
        <is>
          <t>北京京能热力发展有限公司</t>
        </is>
      </c>
      <c r="F503" s="716" t="n"/>
      <c r="G503" s="716" t="n"/>
      <c r="H503" s="462" t="n"/>
    </row>
    <row r="504">
      <c r="A504" s="672" t="inlineStr">
        <is>
          <t>E100234</t>
        </is>
      </c>
      <c r="B504" s="767">
        <f>ROW()</f>
        <v/>
      </c>
      <c r="C504" s="182" t="inlineStr">
        <is>
          <t>北京市特得热力技术发展有限责任公司</t>
        </is>
      </c>
      <c r="D504" s="182" t="inlineStr">
        <is>
          <t>ZI029E100222</t>
        </is>
      </c>
      <c r="E504" s="182" t="inlineStr">
        <is>
          <t>北京市热力集团有限责任公司</t>
        </is>
      </c>
      <c r="F504" s="716" t="n"/>
      <c r="G504" s="716" t="n"/>
      <c r="H504" s="462" t="n"/>
    </row>
    <row r="505">
      <c r="A505" s="672" t="inlineStr">
        <is>
          <t>E100320</t>
        </is>
      </c>
      <c r="B505" s="767">
        <f>ROW()</f>
        <v/>
      </c>
      <c r="C505" s="182" t="inlineStr">
        <is>
          <t>北京市天创房地产开发有限公司</t>
        </is>
      </c>
      <c r="D505" s="182" t="inlineStr">
        <is>
          <t>ZI029E100268</t>
        </is>
      </c>
      <c r="E505" s="182" t="inlineStr">
        <is>
          <t>北京京煤集团有限责任公司</t>
        </is>
      </c>
      <c r="F505" s="716" t="n"/>
      <c r="G505" s="716" t="n"/>
      <c r="H505" s="462" t="n"/>
    </row>
    <row r="506">
      <c r="A506" s="672" t="inlineStr">
        <is>
          <t>E100435</t>
        </is>
      </c>
      <c r="B506" s="767">
        <f>ROW()</f>
        <v/>
      </c>
      <c r="C506" s="182" t="inlineStr">
        <is>
          <t>北京市西达房地产开发有限责任公司</t>
        </is>
      </c>
      <c r="D506" s="182" t="inlineStr">
        <is>
          <t>ZI029E100268</t>
        </is>
      </c>
      <c r="E506" s="182" t="inlineStr">
        <is>
          <t>北京京煤集团有限责任公司</t>
        </is>
      </c>
      <c r="F506" s="716" t="n"/>
      <c r="G506" s="716" t="n"/>
      <c r="H506" s="462" t="n"/>
    </row>
    <row r="507">
      <c r="A507" s="672" t="inlineStr">
        <is>
          <t>E100008</t>
        </is>
      </c>
      <c r="B507" s="767">
        <f>ROW()</f>
        <v/>
      </c>
      <c r="C507" s="182" t="inlineStr">
        <is>
          <t>北京太阳宫燃气热电有限公司</t>
        </is>
      </c>
      <c r="D507" s="182" t="inlineStr">
        <is>
          <t>ZI029E100001</t>
        </is>
      </c>
      <c r="E507" s="182" t="inlineStr">
        <is>
          <t>北京京能清洁能源电力股份有限公司</t>
        </is>
      </c>
      <c r="F507" s="716" t="n"/>
      <c r="G507" s="716" t="n"/>
      <c r="H507" s="462" t="n"/>
    </row>
    <row r="508">
      <c r="A508" s="672" t="inlineStr">
        <is>
          <t>E100239</t>
        </is>
      </c>
      <c r="B508" s="767">
        <f>ROW()</f>
        <v/>
      </c>
      <c r="C508" s="182" t="inlineStr">
        <is>
          <t>北京特洁能环保技术发展有限公司</t>
        </is>
      </c>
      <c r="D508" s="182" t="inlineStr">
        <is>
          <t>ZI029E100222</t>
        </is>
      </c>
      <c r="E508" s="182" t="inlineStr">
        <is>
          <t>北京市热力集团有限责任公司</t>
        </is>
      </c>
      <c r="F508" s="716" t="n"/>
      <c r="G508" s="716" t="n"/>
      <c r="H508" s="462" t="n"/>
    </row>
    <row r="509">
      <c r="A509" s="672" t="inlineStr">
        <is>
          <t>E100256</t>
        </is>
      </c>
      <c r="B509" s="767">
        <f>ROW()</f>
        <v/>
      </c>
      <c r="C509" s="182" t="inlineStr">
        <is>
          <t>北京特泽热力工程设计有限责任公司</t>
        </is>
      </c>
      <c r="D509" s="182" t="inlineStr">
        <is>
          <t>ZI029E100233</t>
        </is>
      </c>
      <c r="E509" s="182" t="inlineStr">
        <is>
          <t>北京市热力工程设计有限责任公司</t>
        </is>
      </c>
      <c r="F509" s="716" t="n"/>
      <c r="G509" s="716" t="n"/>
      <c r="H509" s="462" t="n"/>
    </row>
    <row r="510">
      <c r="A510" s="672" t="inlineStr">
        <is>
          <t>E100355</t>
        </is>
      </c>
      <c r="B510" s="767">
        <f>ROW()</f>
        <v/>
      </c>
      <c r="C510" s="182" t="inlineStr">
        <is>
          <t>北京天宁寺驻青园农副产品市场有限责任公司</t>
        </is>
      </c>
      <c r="D510" s="182" t="inlineStr">
        <is>
          <t>ZI029E100353</t>
        </is>
      </c>
      <c r="E510" s="182" t="inlineStr">
        <is>
          <t>北京京能房产租赁经营有限责任公司</t>
        </is>
      </c>
      <c r="F510" s="716" t="n"/>
      <c r="G510" s="716" t="n"/>
      <c r="H510" s="462" t="n"/>
    </row>
    <row r="511">
      <c r="A511" s="672" t="inlineStr">
        <is>
          <t>E100504</t>
        </is>
      </c>
      <c r="B511" s="767">
        <f>ROW()</f>
        <v/>
      </c>
      <c r="C511" s="182" t="inlineStr">
        <is>
          <t>北京天睿庄园商务中心有限公司</t>
        </is>
      </c>
      <c r="D511" s="182" t="inlineStr">
        <is>
          <t>ZI029E100302</t>
        </is>
      </c>
      <c r="E511" s="182" t="inlineStr">
        <is>
          <t>北京京辉高尔夫俱乐部有限公司</t>
        </is>
      </c>
      <c r="F511" s="716" t="n"/>
      <c r="G511" s="716" t="n"/>
      <c r="H511" s="462" t="n"/>
    </row>
    <row r="512">
      <c r="A512" s="672" t="inlineStr">
        <is>
          <t>E100504</t>
        </is>
      </c>
      <c r="B512" s="767">
        <f>ROW()</f>
        <v/>
      </c>
      <c r="C512" s="182" t="inlineStr">
        <is>
          <t>北京天睿庄园商务中心有限公司</t>
        </is>
      </c>
      <c r="D512" s="182" t="inlineStr">
        <is>
          <t>ZI029E100320</t>
        </is>
      </c>
      <c r="E512" s="182" t="inlineStr">
        <is>
          <t>北京市天创房地产开发有限公司</t>
        </is>
      </c>
      <c r="F512" s="716" t="n"/>
      <c r="G512" s="716" t="n"/>
      <c r="H512" s="462" t="n"/>
    </row>
    <row r="513">
      <c r="A513" s="672" t="inlineStr">
        <is>
          <t>E100490</t>
        </is>
      </c>
      <c r="B513" s="767">
        <f>ROW()</f>
        <v/>
      </c>
      <c r="C513" s="182" t="inlineStr">
        <is>
          <t>北京望京蓝天供热有限公司</t>
        </is>
      </c>
      <c r="D513" s="182" t="inlineStr">
        <is>
          <t>ZI029E100222</t>
        </is>
      </c>
      <c r="E513" s="182" t="inlineStr">
        <is>
          <t>北京市热力集团有限责任公司</t>
        </is>
      </c>
      <c r="F513" s="716" t="n"/>
      <c r="G513" s="716" t="n"/>
      <c r="H513" s="462" t="n"/>
    </row>
    <row r="514">
      <c r="A514" s="672" t="inlineStr">
        <is>
          <t>E100332</t>
        </is>
      </c>
      <c r="B514" s="767">
        <f>ROW()</f>
        <v/>
      </c>
      <c r="C514" s="182" t="inlineStr">
        <is>
          <t>北京鑫华源机械制造有限责任公司</t>
        </is>
      </c>
      <c r="D514" s="182" t="inlineStr">
        <is>
          <t>ZI029E100268</t>
        </is>
      </c>
      <c r="E514" s="182" t="inlineStr">
        <is>
          <t>北京京煤集团有限责任公司</t>
        </is>
      </c>
      <c r="F514" s="716" t="n"/>
      <c r="G514" s="716" t="n"/>
      <c r="H514" s="462" t="n"/>
    </row>
    <row r="515">
      <c r="A515" s="672" t="inlineStr">
        <is>
          <t>E100332G</t>
        </is>
      </c>
      <c r="B515" s="767">
        <f>ROW()</f>
        <v/>
      </c>
      <c r="C515" s="182" t="inlineStr">
        <is>
          <t>北京鑫华源机械制造有限责任公司（合并）</t>
        </is>
      </c>
      <c r="D515" s="182" t="inlineStr">
        <is>
          <t>ZI029E100268</t>
        </is>
      </c>
      <c r="E515" s="182" t="inlineStr">
        <is>
          <t>北京京煤集团有限责任公司</t>
        </is>
      </c>
      <c r="F515" s="716" t="n"/>
      <c r="G515" s="716" t="n"/>
      <c r="H515" s="462" t="n"/>
    </row>
    <row r="516">
      <c r="A516" s="672" t="inlineStr">
        <is>
          <t>E100374</t>
        </is>
      </c>
      <c r="B516" s="767">
        <f>ROW()</f>
        <v/>
      </c>
      <c r="C516" s="182" t="inlineStr">
        <is>
          <t>北京源深联众环保科技有限责任公司</t>
        </is>
      </c>
      <c r="D516" s="182" t="inlineStr">
        <is>
          <t>ZI029E100371</t>
        </is>
      </c>
      <c r="E516" s="182" t="inlineStr">
        <is>
          <t>北京京能科技有限公司</t>
        </is>
      </c>
      <c r="F516" s="716" t="n"/>
      <c r="G516" s="716" t="n"/>
      <c r="H516" s="462" t="n"/>
    </row>
    <row r="517">
      <c r="A517" s="672" t="inlineStr">
        <is>
          <t>E100404</t>
        </is>
      </c>
      <c r="B517" s="767">
        <f>ROW()</f>
        <v/>
      </c>
      <c r="C517" s="182" t="inlineStr">
        <is>
          <t>北京源深能源科技有限责任公司</t>
        </is>
      </c>
      <c r="D517" s="182" t="inlineStr">
        <is>
          <t>ZI029E100371</t>
        </is>
      </c>
      <c r="E517" s="182" t="inlineStr">
        <is>
          <t>北京京能科技有限公司</t>
        </is>
      </c>
      <c r="F517" s="716" t="n"/>
      <c r="G517" s="716" t="n"/>
      <c r="H517" s="462" t="n"/>
    </row>
    <row r="518">
      <c r="A518" s="672" t="inlineStr">
        <is>
          <t>E100572</t>
        </is>
      </c>
      <c r="B518" s="767">
        <f>ROW()</f>
        <v/>
      </c>
      <c r="C518" s="182" t="inlineStr">
        <is>
          <t>北京智慧互联能源有限公司</t>
        </is>
      </c>
      <c r="D518" s="182" t="inlineStr">
        <is>
          <t>ZI029E100405</t>
        </is>
      </c>
      <c r="E518" s="182" t="inlineStr">
        <is>
          <t>北京高新技术创业投资有限公司</t>
        </is>
      </c>
      <c r="F518" s="716" t="n"/>
      <c r="G518" s="716" t="n"/>
      <c r="H518" s="462" t="n"/>
    </row>
    <row r="519">
      <c r="A519" s="672" t="inlineStr">
        <is>
          <t>E100572</t>
        </is>
      </c>
      <c r="B519" s="767">
        <f>ROW()</f>
        <v/>
      </c>
      <c r="C519" s="182" t="inlineStr">
        <is>
          <t>北京智慧互联能源有限公司</t>
        </is>
      </c>
      <c r="D519" s="182" t="inlineStr">
        <is>
          <t>ZI029E100371</t>
        </is>
      </c>
      <c r="E519" s="182" t="inlineStr">
        <is>
          <t>北京京能科技有限公司</t>
        </is>
      </c>
      <c r="F519" s="716" t="n"/>
      <c r="G519" s="716" t="n"/>
      <c r="H519" s="462" t="n"/>
    </row>
    <row r="520">
      <c r="A520" s="672" t="inlineStr">
        <is>
          <t>E100565</t>
        </is>
      </c>
      <c r="B520" s="767">
        <f>ROW()</f>
        <v/>
      </c>
      <c r="C520" s="182" t="inlineStr">
        <is>
          <t>北京中观经济调查有限公司</t>
        </is>
      </c>
      <c r="D520" s="182" t="inlineStr">
        <is>
          <t>ZI029E100483</t>
        </is>
      </c>
      <c r="E520" s="182" t="inlineStr">
        <is>
          <t>投资北京国际有限公司</t>
        </is>
      </c>
      <c r="F520" s="716" t="n"/>
      <c r="G520" s="716" t="n"/>
      <c r="H520" s="462" t="n"/>
    </row>
    <row r="521">
      <c r="A521" s="672" t="inlineStr">
        <is>
          <t>E100380</t>
        </is>
      </c>
      <c r="B521" s="767">
        <f>ROW()</f>
        <v/>
      </c>
      <c r="C521" s="182" t="inlineStr">
        <is>
          <t>北京中冠宝新能源投资有限公司</t>
        </is>
      </c>
      <c r="D521" s="182" t="inlineStr">
        <is>
          <t>ZI029E100371</t>
        </is>
      </c>
      <c r="E521" s="182" t="inlineStr">
        <is>
          <t>北京京能科技有限公司</t>
        </is>
      </c>
      <c r="F521" s="716" t="n"/>
      <c r="G521" s="716" t="n"/>
      <c r="H521" s="462" t="n"/>
    </row>
    <row r="522">
      <c r="A522" s="672" t="inlineStr">
        <is>
          <t>E100048</t>
        </is>
      </c>
      <c r="B522" s="767">
        <f>ROW()</f>
        <v/>
      </c>
      <c r="C522" s="182" t="inlineStr">
        <is>
          <t>北票京能新能源有限公司</t>
        </is>
      </c>
      <c r="D522" s="182" t="inlineStr">
        <is>
          <t>ZI029E100001</t>
        </is>
      </c>
      <c r="E522" s="182" t="inlineStr">
        <is>
          <t>北京京能清洁能源电力股份有限公司</t>
        </is>
      </c>
      <c r="F522" s="716" t="n"/>
      <c r="G522" s="716" t="n"/>
      <c r="H522" s="462" t="n"/>
    </row>
    <row r="523">
      <c r="A523" s="672" t="inlineStr">
        <is>
          <t>E100813</t>
        </is>
      </c>
      <c r="B523" s="767">
        <f>ROW()</f>
        <v/>
      </c>
      <c r="C523" s="182" t="inlineStr">
        <is>
          <t>茶陵京能新能源有限公司</t>
        </is>
      </c>
      <c r="D523" s="182" t="inlineStr">
        <is>
          <t>ZI029E100730</t>
        </is>
      </c>
      <c r="E523" s="182" t="inlineStr">
        <is>
          <t>京能国际能源发展（北京）有限公司</t>
        </is>
      </c>
      <c r="F523" s="716" t="n"/>
      <c r="G523" s="716" t="n"/>
      <c r="H523" s="462" t="n"/>
    </row>
    <row r="524">
      <c r="A524" s="672" t="inlineStr">
        <is>
          <t>E100973</t>
        </is>
      </c>
      <c r="B524" s="767">
        <f>ROW()</f>
        <v/>
      </c>
      <c r="C524" s="182" t="inlineStr">
        <is>
          <t>察右前旗联合光伏发电有限公司</t>
        </is>
      </c>
      <c r="D524" s="182" t="inlineStr">
        <is>
          <t>ZI029E100735</t>
        </is>
      </c>
      <c r="E524" s="182" t="inlineStr">
        <is>
          <t>内蒙古京能新能源科技有限公司</t>
        </is>
      </c>
      <c r="F524" s="716" t="n"/>
      <c r="G524" s="716" t="n"/>
      <c r="H524" s="462" t="n"/>
    </row>
    <row r="525">
      <c r="A525" s="672" t="inlineStr">
        <is>
          <t>E100841</t>
        </is>
      </c>
      <c r="B525" s="767">
        <f>ROW()</f>
        <v/>
      </c>
      <c r="C525" s="182" t="inlineStr">
        <is>
          <t>昌吉亿晶光伏科技有限公司</t>
        </is>
      </c>
      <c r="D525" s="182" t="inlineStr">
        <is>
          <t>ZI029E100730</t>
        </is>
      </c>
      <c r="E525" s="182" t="inlineStr">
        <is>
          <t>京能国际能源发展（北京）有限公司</t>
        </is>
      </c>
      <c r="F525" s="716" t="n"/>
      <c r="G525" s="716" t="n"/>
      <c r="H525" s="462" t="n"/>
    </row>
    <row r="526">
      <c r="A526" s="672" t="inlineStr">
        <is>
          <t>E100064</t>
        </is>
      </c>
      <c r="B526" s="767">
        <f>ROW()</f>
        <v/>
      </c>
      <c r="C526" s="182" t="inlineStr">
        <is>
          <t>常德宏润新能源有限公司</t>
        </is>
      </c>
      <c r="D526" s="182" t="inlineStr">
        <is>
          <t>ZI029E100001</t>
        </is>
      </c>
      <c r="E526" s="182" t="inlineStr">
        <is>
          <t>北京京能清洁能源电力股份有限公司</t>
        </is>
      </c>
      <c r="F526" s="716" t="n"/>
      <c r="G526" s="716" t="n"/>
      <c r="H526" s="462" t="n"/>
    </row>
    <row r="527">
      <c r="A527" s="672" t="inlineStr">
        <is>
          <t>E100065</t>
        </is>
      </c>
      <c r="B527" s="767">
        <f>ROW()</f>
        <v/>
      </c>
      <c r="C527" s="182" t="inlineStr">
        <is>
          <t>常德瑞露新能源有限公司</t>
        </is>
      </c>
      <c r="D527" s="182" t="inlineStr">
        <is>
          <t>ZI029E100001</t>
        </is>
      </c>
      <c r="E527" s="182" t="inlineStr">
        <is>
          <t>北京京能清洁能源电力股份有限公司</t>
        </is>
      </c>
      <c r="F527" s="716" t="n"/>
      <c r="G527" s="716" t="n"/>
      <c r="H527" s="462" t="n"/>
    </row>
    <row r="528">
      <c r="A528" s="672" t="inlineStr">
        <is>
          <t>E100066</t>
        </is>
      </c>
      <c r="B528" s="767">
        <f>ROW()</f>
        <v/>
      </c>
      <c r="C528" s="182" t="inlineStr">
        <is>
          <t>常德润鹏新能源有限公司</t>
        </is>
      </c>
      <c r="D528" s="182" t="inlineStr">
        <is>
          <t>ZI029E100001</t>
        </is>
      </c>
      <c r="E528" s="182" t="inlineStr">
        <is>
          <t>北京京能清洁能源电力股份有限公司</t>
        </is>
      </c>
      <c r="F528" s="716" t="n"/>
      <c r="G528" s="716" t="n"/>
      <c r="H528" s="462" t="n"/>
    </row>
    <row r="529">
      <c r="A529" s="672" t="inlineStr">
        <is>
          <t>E100067</t>
        </is>
      </c>
      <c r="B529" s="767">
        <f>ROW()</f>
        <v/>
      </c>
      <c r="C529" s="182" t="inlineStr">
        <is>
          <t>常德润勇新能源有限公司</t>
        </is>
      </c>
      <c r="D529" s="182" t="inlineStr">
        <is>
          <t>ZI029E100001</t>
        </is>
      </c>
      <c r="E529" s="182" t="inlineStr">
        <is>
          <t>北京京能清洁能源电力股份有限公司</t>
        </is>
      </c>
      <c r="F529" s="716" t="n"/>
      <c r="G529" s="716" t="n"/>
      <c r="H529" s="462" t="n"/>
    </row>
    <row r="530">
      <c r="A530" s="672" t="inlineStr">
        <is>
          <t>E100069</t>
        </is>
      </c>
      <c r="B530" s="767">
        <f>ROW()</f>
        <v/>
      </c>
      <c r="C530" s="182" t="inlineStr">
        <is>
          <t>常宁光聚电力开发有限公司</t>
        </is>
      </c>
      <c r="D530" s="182" t="inlineStr">
        <is>
          <t>ZI029E100001</t>
        </is>
      </c>
      <c r="E530" s="182" t="inlineStr">
        <is>
          <t>北京京能清洁能源电力股份有限公司</t>
        </is>
      </c>
      <c r="F530" s="716" t="n"/>
      <c r="G530" s="716" t="n"/>
      <c r="H530" s="462" t="n"/>
    </row>
    <row r="531">
      <c r="A531" s="672" t="inlineStr">
        <is>
          <t>E100991</t>
        </is>
      </c>
      <c r="B531" s="767">
        <f>ROW()</f>
        <v/>
      </c>
      <c r="C531" s="182" t="inlineStr">
        <is>
          <t>常熟宏丰光伏电站开发有限公司</t>
        </is>
      </c>
      <c r="D531" s="182" t="inlineStr">
        <is>
          <t>ZI029E100988</t>
        </is>
      </c>
      <c r="E531" s="182" t="inlineStr">
        <is>
          <t>常州市招联绿睿新能源有限公司</t>
        </is>
      </c>
      <c r="F531" s="716" t="n"/>
      <c r="G531" s="716" t="n"/>
      <c r="H531" s="462" t="n"/>
    </row>
    <row r="532">
      <c r="A532" s="672" t="inlineStr">
        <is>
          <t>E100955</t>
        </is>
      </c>
      <c r="B532" s="767">
        <f>ROW()</f>
        <v/>
      </c>
      <c r="C532" s="182" t="inlineStr">
        <is>
          <t>常州鼎晖新能源有限公司</t>
        </is>
      </c>
      <c r="D532" s="182" t="inlineStr">
        <is>
          <t>ZI029E100734</t>
        </is>
      </c>
      <c r="E532" s="182" t="inlineStr">
        <is>
          <t>联合光伏（常州）投资集团有限公司</t>
        </is>
      </c>
      <c r="F532" s="716" t="n"/>
      <c r="G532" s="716" t="n"/>
      <c r="H532" s="462" t="n"/>
    </row>
    <row r="533">
      <c r="A533" s="672" t="inlineStr">
        <is>
          <t>E100956</t>
        </is>
      </c>
      <c r="B533" s="767">
        <f>ROW()</f>
        <v/>
      </c>
      <c r="C533" s="182" t="inlineStr">
        <is>
          <t>常州光昱新能源有限公司</t>
        </is>
      </c>
      <c r="D533" s="182" t="inlineStr">
        <is>
          <t>ZI029E100734</t>
        </is>
      </c>
      <c r="E533" s="182" t="inlineStr">
        <is>
          <t>联合光伏（常州）投资集团有限公司</t>
        </is>
      </c>
      <c r="F533" s="716" t="n"/>
      <c r="G533" s="716" t="n"/>
      <c r="H533" s="462" t="n"/>
    </row>
    <row r="534">
      <c r="A534" s="672" t="inlineStr">
        <is>
          <t>E100825</t>
        </is>
      </c>
      <c r="B534" s="767">
        <f>ROW()</f>
        <v/>
      </c>
      <c r="C534" s="182" t="inlineStr">
        <is>
          <t>常州晶恒光伏有限公司</t>
        </is>
      </c>
      <c r="D534" s="182" t="inlineStr">
        <is>
          <t>ZI029E100371</t>
        </is>
      </c>
      <c r="E534" s="182" t="inlineStr">
        <is>
          <t>北京京能科技有限公司</t>
        </is>
      </c>
      <c r="F534" s="716" t="n"/>
      <c r="G534" s="716" t="n"/>
      <c r="H534" s="462" t="n"/>
    </row>
    <row r="535">
      <c r="A535" s="672" t="inlineStr">
        <is>
          <t>E100960</t>
        </is>
      </c>
      <c r="B535" s="767">
        <f>ROW()</f>
        <v/>
      </c>
      <c r="C535" s="182" t="inlineStr">
        <is>
          <t>常州市晖达新能源有限公司</t>
        </is>
      </c>
      <c r="D535" s="182" t="inlineStr">
        <is>
          <t>ZI029E100958</t>
        </is>
      </c>
      <c r="E535" s="182" t="inlineStr">
        <is>
          <t>常州市招联绿港新能源有限公司</t>
        </is>
      </c>
      <c r="F535" s="716" t="n"/>
      <c r="G535" s="716" t="n"/>
      <c r="H535" s="462" t="n"/>
    </row>
    <row r="536">
      <c r="A536" s="672" t="inlineStr">
        <is>
          <t>E100985</t>
        </is>
      </c>
      <c r="B536" s="767">
        <f>ROW()</f>
        <v/>
      </c>
      <c r="C536" s="182" t="inlineStr">
        <is>
          <t>常州市招联绿邦新能源有限公司</t>
        </is>
      </c>
      <c r="D536" s="182" t="inlineStr">
        <is>
          <t>ZI029E100734</t>
        </is>
      </c>
      <c r="E536" s="182" t="inlineStr">
        <is>
          <t>联合光伏（常州）投资集团有限公司</t>
        </is>
      </c>
      <c r="F536" s="716" t="n"/>
      <c r="G536" s="716" t="n"/>
      <c r="H536" s="462" t="n"/>
    </row>
    <row r="537">
      <c r="A537" s="672" t="inlineStr">
        <is>
          <t>E101026</t>
        </is>
      </c>
      <c r="B537" s="767">
        <f>ROW()</f>
        <v/>
      </c>
      <c r="C537" s="182" t="inlineStr">
        <is>
          <t>常州市招联绿灿新能源有限公司</t>
        </is>
      </c>
      <c r="D537" s="182" t="inlineStr">
        <is>
          <t>ZI029E101025</t>
        </is>
      </c>
      <c r="E537" s="182" t="inlineStr">
        <is>
          <t>招联（珠海）清洁能源投资有限公司</t>
        </is>
      </c>
      <c r="F537" s="716" t="n"/>
      <c r="G537" s="716" t="n"/>
      <c r="H537" s="462" t="n"/>
    </row>
    <row r="538">
      <c r="A538" s="672" t="inlineStr">
        <is>
          <t>E100957</t>
        </is>
      </c>
      <c r="B538" s="767">
        <f>ROW()</f>
        <v/>
      </c>
      <c r="C538" s="182" t="inlineStr">
        <is>
          <t>常州市招联绿达新能源有限公司</t>
        </is>
      </c>
      <c r="D538" s="182" t="inlineStr">
        <is>
          <t>ZI029E100734</t>
        </is>
      </c>
      <c r="E538" s="182" t="inlineStr">
        <is>
          <t>联合光伏（常州）投资集团有限公司</t>
        </is>
      </c>
      <c r="F538" s="716" t="n"/>
      <c r="G538" s="716" t="n"/>
      <c r="H538" s="462" t="n"/>
    </row>
    <row r="539">
      <c r="A539" s="672" t="inlineStr">
        <is>
          <t>E101012</t>
        </is>
      </c>
      <c r="B539" s="767">
        <f>ROW()</f>
        <v/>
      </c>
      <c r="C539" s="182" t="inlineStr">
        <is>
          <t>常州市招联绿伏新能源有限公司</t>
        </is>
      </c>
      <c r="D539" s="182" t="inlineStr">
        <is>
          <t>ZI029E101008</t>
        </is>
      </c>
      <c r="E539" s="182" t="inlineStr">
        <is>
          <t>南京丝绸之路新能源有限公司</t>
        </is>
      </c>
      <c r="F539" s="716" t="n"/>
      <c r="G539" s="716" t="n"/>
      <c r="H539" s="462" t="n"/>
    </row>
    <row r="540">
      <c r="A540" s="672" t="inlineStr">
        <is>
          <t>E100958</t>
        </is>
      </c>
      <c r="B540" s="767">
        <f>ROW()</f>
        <v/>
      </c>
      <c r="C540" s="182" t="inlineStr">
        <is>
          <t>常州市招联绿港新能源有限公司</t>
        </is>
      </c>
      <c r="D540" s="182" t="inlineStr">
        <is>
          <t>ZI029E100734</t>
        </is>
      </c>
      <c r="E540" s="182" t="inlineStr">
        <is>
          <t>联合光伏（常州）投资集团有限公司</t>
        </is>
      </c>
      <c r="F540" s="716" t="n"/>
      <c r="G540" s="716" t="n"/>
      <c r="H540" s="462" t="n"/>
    </row>
    <row r="541">
      <c r="A541" s="672" t="inlineStr">
        <is>
          <t>E100983</t>
        </is>
      </c>
      <c r="B541" s="767">
        <f>ROW()</f>
        <v/>
      </c>
      <c r="C541" s="182" t="inlineStr">
        <is>
          <t>常州市招联绿格新能源有限公司</t>
        </is>
      </c>
      <c r="D541" s="182" t="inlineStr">
        <is>
          <t>ZI029E100734</t>
        </is>
      </c>
      <c r="E541" s="182" t="inlineStr">
        <is>
          <t>联合光伏（常州）投资集团有限公司</t>
        </is>
      </c>
      <c r="F541" s="716" t="n"/>
      <c r="G541" s="716" t="n"/>
      <c r="H541" s="462" t="n"/>
    </row>
    <row r="542">
      <c r="A542" s="672" t="inlineStr">
        <is>
          <t>E100993</t>
        </is>
      </c>
      <c r="B542" s="767">
        <f>ROW()</f>
        <v/>
      </c>
      <c r="C542" s="182" t="inlineStr">
        <is>
          <t>常州市招联绿晖新能源有限公司</t>
        </is>
      </c>
      <c r="D542" s="182" t="inlineStr">
        <is>
          <t>ZI029E100734</t>
        </is>
      </c>
      <c r="E542" s="182" t="inlineStr">
        <is>
          <t>联合光伏（常州）投资集团有限公司</t>
        </is>
      </c>
      <c r="F542" s="716" t="n"/>
      <c r="G542" s="716" t="n"/>
      <c r="H542" s="462" t="n"/>
    </row>
    <row r="543">
      <c r="A543" s="672" t="inlineStr">
        <is>
          <t>E100986</t>
        </is>
      </c>
      <c r="B543" s="767">
        <f>ROW()</f>
        <v/>
      </c>
      <c r="C543" s="182" t="inlineStr">
        <is>
          <t>常州市招联绿景新能源有限公司</t>
        </is>
      </c>
      <c r="D543" s="182" t="inlineStr">
        <is>
          <t>ZI029E100734</t>
        </is>
      </c>
      <c r="E543" s="182" t="inlineStr">
        <is>
          <t>联合光伏（常州）投资集团有限公司</t>
        </is>
      </c>
      <c r="F543" s="716" t="n"/>
      <c r="G543" s="716" t="n"/>
      <c r="H543" s="462" t="n"/>
    </row>
    <row r="544">
      <c r="A544" s="672" t="inlineStr">
        <is>
          <t>E100981</t>
        </is>
      </c>
      <c r="B544" s="767">
        <f>ROW()</f>
        <v/>
      </c>
      <c r="C544" s="182" t="inlineStr">
        <is>
          <t>常州市招联绿庆新能源有限公司</t>
        </is>
      </c>
      <c r="D544" s="182" t="inlineStr">
        <is>
          <t>ZI029E100734</t>
        </is>
      </c>
      <c r="E544" s="182" t="inlineStr">
        <is>
          <t>联合光伏（常州）投资集团有限公司</t>
        </is>
      </c>
      <c r="F544" s="716" t="n"/>
      <c r="G544" s="716" t="n"/>
      <c r="H544" s="462" t="n"/>
    </row>
    <row r="545">
      <c r="A545" s="672" t="inlineStr">
        <is>
          <t>E100988</t>
        </is>
      </c>
      <c r="B545" s="767">
        <f>ROW()</f>
        <v/>
      </c>
      <c r="C545" s="182" t="inlineStr">
        <is>
          <t>常州市招联绿睿新能源有限公司</t>
        </is>
      </c>
      <c r="D545" s="182" t="inlineStr">
        <is>
          <t>ZI029E100734</t>
        </is>
      </c>
      <c r="E545" s="182" t="inlineStr">
        <is>
          <t>联合光伏（常州）投资集团有限公司</t>
        </is>
      </c>
      <c r="F545" s="716" t="n"/>
      <c r="G545" s="716" t="n"/>
      <c r="H545" s="462" t="n"/>
    </row>
    <row r="546">
      <c r="A546" s="672" t="inlineStr">
        <is>
          <t>E100978</t>
        </is>
      </c>
      <c r="B546" s="767">
        <f>ROW()</f>
        <v/>
      </c>
      <c r="C546" s="182" t="inlineStr">
        <is>
          <t>常州市招联绿新新能源有限公司</t>
        </is>
      </c>
      <c r="D546" s="182" t="inlineStr">
        <is>
          <t>ZI029E100734</t>
        </is>
      </c>
      <c r="E546" s="182" t="inlineStr">
        <is>
          <t>联合光伏（常州）投资集团有限公司</t>
        </is>
      </c>
      <c r="F546" s="716" t="n"/>
      <c r="G546" s="716" t="n"/>
      <c r="H546" s="462" t="n"/>
    </row>
    <row r="547">
      <c r="A547" s="672" t="inlineStr">
        <is>
          <t>E100980</t>
        </is>
      </c>
      <c r="B547" s="767">
        <f>ROW()</f>
        <v/>
      </c>
      <c r="C547" s="182" t="inlineStr">
        <is>
          <t>常州市招联绿盈新能源有限公司</t>
        </is>
      </c>
      <c r="D547" s="182" t="inlineStr">
        <is>
          <t>ZI029E100734</t>
        </is>
      </c>
      <c r="E547" s="182" t="inlineStr">
        <is>
          <t>联合光伏（常州）投资集团有限公司</t>
        </is>
      </c>
      <c r="F547" s="716" t="n"/>
      <c r="G547" s="716" t="n"/>
      <c r="H547" s="462" t="n"/>
    </row>
    <row r="548">
      <c r="A548" s="672" t="inlineStr">
        <is>
          <t>E100987</t>
        </is>
      </c>
      <c r="B548" s="767">
        <f>ROW()</f>
        <v/>
      </c>
      <c r="C548" s="182" t="inlineStr">
        <is>
          <t>常州市招联绿臻新能源有限公司</t>
        </is>
      </c>
      <c r="D548" s="182" t="inlineStr">
        <is>
          <t>ZI029E100734</t>
        </is>
      </c>
      <c r="E548" s="182" t="inlineStr">
        <is>
          <t>联合光伏（常州）投资集团有限公司</t>
        </is>
      </c>
      <c r="F548" s="716" t="n"/>
      <c r="G548" s="716" t="n"/>
      <c r="H548" s="462" t="n"/>
    </row>
    <row r="549">
      <c r="A549" s="672" t="inlineStr">
        <is>
          <t>E100943</t>
        </is>
      </c>
      <c r="B549" s="767">
        <f>ROW()</f>
        <v/>
      </c>
      <c r="C549" s="182" t="inlineStr">
        <is>
          <t>常州市智晖新能源有限公司</t>
        </is>
      </c>
      <c r="D549" s="182" t="inlineStr">
        <is>
          <t>ZI029E100730</t>
        </is>
      </c>
      <c r="E549" s="182" t="inlineStr">
        <is>
          <t>京能国际能源发展（北京）有限公司</t>
        </is>
      </c>
      <c r="F549" s="716" t="n"/>
      <c r="G549" s="716" t="n"/>
      <c r="H549" s="462" t="n"/>
    </row>
    <row r="550">
      <c r="A550" s="672" t="inlineStr">
        <is>
          <t>E101017</t>
        </is>
      </c>
      <c r="B550" s="767">
        <f>ROW()</f>
        <v/>
      </c>
      <c r="C550" s="182" t="inlineStr">
        <is>
          <t>常州新光新能源有限公司</t>
        </is>
      </c>
      <c r="D550" s="182" t="inlineStr">
        <is>
          <t>ZI029E101016</t>
        </is>
      </c>
      <c r="E550" s="182" t="inlineStr">
        <is>
          <t>丝绸之路招商新能源（常州）有限公司</t>
        </is>
      </c>
      <c r="F550" s="716" t="n"/>
      <c r="G550" s="716" t="n"/>
      <c r="H550" s="462" t="n"/>
    </row>
    <row r="551">
      <c r="A551" s="672" t="inlineStr">
        <is>
          <t>E100053</t>
        </is>
      </c>
      <c r="B551" s="767">
        <f>ROW()</f>
        <v/>
      </c>
      <c r="C551" s="182" t="inlineStr">
        <is>
          <t>朝阳县京能新能源有限公司</t>
        </is>
      </c>
      <c r="D551" s="182" t="inlineStr">
        <is>
          <t>ZI029E100001</t>
        </is>
      </c>
      <c r="E551" s="182" t="inlineStr">
        <is>
          <t>北京京能清洁能源电力股份有限公司</t>
        </is>
      </c>
      <c r="F551" s="716" t="n"/>
      <c r="G551" s="716" t="n"/>
      <c r="H551" s="462" t="n"/>
    </row>
    <row r="552">
      <c r="A552" s="672" t="inlineStr">
        <is>
          <t>E100101</t>
        </is>
      </c>
      <c r="B552" s="767">
        <f>ROW()</f>
        <v/>
      </c>
      <c r="C552" s="182" t="inlineStr">
        <is>
          <t>成都金华能电力实业有限责任公司</t>
        </is>
      </c>
      <c r="D552" s="182" t="inlineStr">
        <is>
          <t>ZI029E100096</t>
        </is>
      </c>
      <c r="E552" s="182" t="inlineStr">
        <is>
          <t>四川大川电力有限公司</t>
        </is>
      </c>
      <c r="F552" s="716" t="n"/>
      <c r="G552" s="716" t="n"/>
      <c r="H552" s="462" t="n"/>
    </row>
    <row r="553">
      <c r="A553" s="672" t="inlineStr">
        <is>
          <t>E100101</t>
        </is>
      </c>
      <c r="B553" s="767">
        <f>ROW()</f>
        <v/>
      </c>
      <c r="C553" s="182" t="inlineStr">
        <is>
          <t>成都金华能电力实业有限责任公司</t>
        </is>
      </c>
      <c r="D553" s="182" t="inlineStr">
        <is>
          <t>ZI029E100097</t>
        </is>
      </c>
      <c r="E553" s="182" t="inlineStr">
        <is>
          <t>四川众能电力有限公司</t>
        </is>
      </c>
      <c r="F553" s="716" t="n"/>
      <c r="G553" s="716" t="n"/>
      <c r="H553" s="462" t="n"/>
    </row>
    <row r="554">
      <c r="A554" s="672" t="inlineStr">
        <is>
          <t>E100287</t>
        </is>
      </c>
      <c r="B554" s="767">
        <f>ROW()</f>
        <v/>
      </c>
      <c r="C554" s="182" t="inlineStr">
        <is>
          <t>达瓦满度拉外商投资有限责任公司</t>
        </is>
      </c>
      <c r="D554" s="182" t="inlineStr">
        <is>
          <t>ZI029E100281</t>
        </is>
      </c>
      <c r="E554" s="182" t="inlineStr">
        <is>
          <t>北京京煤化工有限公司</t>
        </is>
      </c>
      <c r="F554" s="716" t="n"/>
      <c r="G554" s="716" t="n"/>
      <c r="H554" s="462" t="n"/>
    </row>
    <row r="555">
      <c r="A555" s="672" t="inlineStr">
        <is>
          <t>E100082</t>
        </is>
      </c>
      <c r="B555" s="767">
        <f>ROW()</f>
        <v/>
      </c>
      <c r="C555" s="182" t="inlineStr">
        <is>
          <t>大同京能新能源有限公司</t>
        </is>
      </c>
      <c r="D555" s="182" t="inlineStr">
        <is>
          <t>ZI029E100001</t>
        </is>
      </c>
      <c r="E555" s="182" t="inlineStr">
        <is>
          <t>北京京能清洁能源电力股份有限公司</t>
        </is>
      </c>
      <c r="F555" s="716" t="n"/>
      <c r="G555" s="716" t="n"/>
      <c r="H555" s="462" t="n"/>
    </row>
    <row r="556">
      <c r="A556" s="672" t="inlineStr">
        <is>
          <t>E100954</t>
        </is>
      </c>
      <c r="B556" s="767">
        <f>ROW()</f>
        <v/>
      </c>
      <c r="C556" s="182" t="inlineStr">
        <is>
          <t>大同联合光伏新能源有限公司</t>
        </is>
      </c>
      <c r="D556" s="182" t="inlineStr">
        <is>
          <t>ZI029E100734</t>
        </is>
      </c>
      <c r="E556" s="182" t="inlineStr">
        <is>
          <t>联合光伏（常州）投资集团有限公司</t>
        </is>
      </c>
      <c r="F556" s="716" t="n"/>
      <c r="G556" s="716" t="n"/>
      <c r="H556" s="462" t="n"/>
    </row>
    <row r="557">
      <c r="A557" s="716" t="inlineStr">
        <is>
          <t>E100954</t>
        </is>
      </c>
      <c r="B557" s="767">
        <f>ROW()</f>
        <v/>
      </c>
      <c r="C557" s="182" t="inlineStr">
        <is>
          <t>大同联合光伏新能源有限公司</t>
        </is>
      </c>
      <c r="D557" s="182" t="inlineStr">
        <is>
          <t>ZI029E101336</t>
        </is>
      </c>
      <c r="E557" s="182" t="inlineStr">
        <is>
          <t>盛唐贰号（天津）企业管理合伙企业（有限合伙）</t>
        </is>
      </c>
      <c r="F557" s="716" t="n"/>
      <c r="G557" s="716" t="n"/>
      <c r="H557" s="462" t="n"/>
    </row>
    <row r="558">
      <c r="A558" s="672" t="inlineStr">
        <is>
          <t>E100811</t>
        </is>
      </c>
      <c r="B558" s="767">
        <f>ROW()</f>
        <v/>
      </c>
      <c r="C558" s="182" t="inlineStr">
        <is>
          <t>大同市云冈区京能新能源有限公司</t>
        </is>
      </c>
      <c r="D558" s="182" t="inlineStr">
        <is>
          <t>ZI029E100730</t>
        </is>
      </c>
      <c r="E558" s="182" t="inlineStr">
        <is>
          <t>京能国际能源发展（北京）有限公司</t>
        </is>
      </c>
      <c r="F558" s="716" t="n"/>
      <c r="G558" s="716" t="n"/>
      <c r="H558" s="462" t="n"/>
    </row>
    <row r="559">
      <c r="A559" s="672" t="inlineStr">
        <is>
          <t>E100491</t>
        </is>
      </c>
      <c r="B559" s="767">
        <f>ROW()</f>
        <v/>
      </c>
      <c r="C559" s="182" t="inlineStr">
        <is>
          <t>大同市云西热力有限责任公司</t>
        </is>
      </c>
      <c r="D559" s="182" t="inlineStr">
        <is>
          <t>ZI029E100254</t>
        </is>
      </c>
      <c r="E559" s="182" t="inlineStr">
        <is>
          <t>京能大同热力有限公司</t>
        </is>
      </c>
      <c r="F559" s="716" t="n"/>
      <c r="G559" s="716" t="n"/>
      <c r="H559" s="462" t="n"/>
    </row>
    <row r="560">
      <c r="A560" s="672" t="inlineStr">
        <is>
          <t>E100731</t>
        </is>
      </c>
      <c r="B560" s="767">
        <f>ROW()</f>
        <v/>
      </c>
      <c r="C560" s="182" t="inlineStr">
        <is>
          <t>大同熊猫光伏发电有限公司</t>
        </is>
      </c>
      <c r="D560" s="182" t="inlineStr">
        <is>
          <t>ZI029E100978</t>
        </is>
      </c>
      <c r="E560" s="182" t="inlineStr">
        <is>
          <t>常州市招联绿新新能源有限公司</t>
        </is>
      </c>
      <c r="F560" s="716" t="n"/>
      <c r="G560" s="716" t="n"/>
      <c r="H560" s="462" t="n"/>
    </row>
    <row r="561">
      <c r="A561" s="672" t="inlineStr">
        <is>
          <t>E100821</t>
        </is>
      </c>
      <c r="B561" s="767">
        <f>ROW()</f>
        <v/>
      </c>
      <c r="C561" s="182" t="inlineStr">
        <is>
          <t>德州市陵城区乾超兄弟能源科技有限公司</t>
        </is>
      </c>
      <c r="D561" s="182" t="inlineStr">
        <is>
          <t>ZI029E100730</t>
        </is>
      </c>
      <c r="E561" s="182" t="inlineStr">
        <is>
          <t>京能国际能源发展（北京）有限公司</t>
        </is>
      </c>
      <c r="F561" s="716" t="n"/>
      <c r="G561" s="716" t="n"/>
      <c r="H561" s="462" t="n"/>
    </row>
    <row r="562">
      <c r="A562" s="672" t="inlineStr">
        <is>
          <t>E100839</t>
        </is>
      </c>
      <c r="B562" s="767">
        <f>ROW()</f>
        <v/>
      </c>
      <c r="C562" s="182" t="inlineStr">
        <is>
          <t>东台市宏旭新能源科技有限公司</t>
        </is>
      </c>
      <c r="D562" s="182" t="inlineStr">
        <is>
          <t>ZI029E100371</t>
        </is>
      </c>
      <c r="E562" s="182" t="inlineStr">
        <is>
          <t>北京京能科技有限公司</t>
        </is>
      </c>
      <c r="F562" s="716" t="n"/>
      <c r="G562" s="716" t="n"/>
      <c r="H562" s="462" t="n"/>
    </row>
    <row r="563">
      <c r="A563" s="672" t="inlineStr">
        <is>
          <t>E100061</t>
        </is>
      </c>
      <c r="B563" s="767">
        <f>ROW()</f>
        <v/>
      </c>
      <c r="C563" s="182" t="inlineStr">
        <is>
          <t>东源天华阳光新能源电力有限公司</t>
        </is>
      </c>
      <c r="D563" s="182" t="inlineStr">
        <is>
          <t>ZI029E100001</t>
        </is>
      </c>
      <c r="E563" s="182" t="inlineStr">
        <is>
          <t>北京京能清洁能源电力股份有限公司</t>
        </is>
      </c>
      <c r="F563" s="716" t="n"/>
      <c r="G563" s="716" t="n"/>
      <c r="H563" s="462" t="n"/>
    </row>
    <row r="564">
      <c r="A564" s="672" t="inlineStr">
        <is>
          <t>E100962</t>
        </is>
      </c>
      <c r="B564" s="767">
        <f>ROW()</f>
        <v/>
      </c>
      <c r="C564" s="182" t="inlineStr">
        <is>
          <t>东源县老围光电科技有限公司</t>
        </is>
      </c>
      <c r="D564" s="182" t="inlineStr">
        <is>
          <t>ZI029E100961</t>
        </is>
      </c>
      <c r="E564" s="182" t="inlineStr">
        <is>
          <t>惠州市晟合光电科技有限公司</t>
        </is>
      </c>
      <c r="F564" s="716" t="n"/>
      <c r="G564" s="716" t="n"/>
      <c r="H564" s="462" t="n"/>
    </row>
    <row r="565">
      <c r="A565" s="672" t="inlineStr">
        <is>
          <t>E100815</t>
        </is>
      </c>
      <c r="B565" s="767">
        <f>ROW()</f>
        <v/>
      </c>
      <c r="C565" s="182" t="inlineStr">
        <is>
          <t>东源县顺风光电科技有限公司</t>
        </is>
      </c>
      <c r="D565" s="182" t="inlineStr">
        <is>
          <t>ZI029E100001</t>
        </is>
      </c>
      <c r="E565" s="182" t="inlineStr">
        <is>
          <t>北京京能清洁能源电力股份有限公司</t>
        </is>
      </c>
      <c r="F565" s="716" t="n"/>
      <c r="G565" s="716" t="n"/>
      <c r="H565" s="462" t="n"/>
    </row>
    <row r="566">
      <c r="A566" s="672" t="inlineStr">
        <is>
          <t>E100208</t>
        </is>
      </c>
      <c r="B566" s="767">
        <f>ROW()</f>
        <v/>
      </c>
      <c r="C566" s="182" t="inlineStr">
        <is>
          <t>鄂尔多斯市东铜铁路物流有限公司</t>
        </is>
      </c>
      <c r="D566" s="182" t="inlineStr">
        <is>
          <t>ZI029E100201</t>
        </is>
      </c>
      <c r="E566" s="182" t="inlineStr">
        <is>
          <t>北京昊华能源股份有限公司</t>
        </is>
      </c>
      <c r="F566" s="716" t="n"/>
      <c r="G566" s="716" t="n"/>
      <c r="H566" s="462" t="n"/>
    </row>
    <row r="567">
      <c r="A567" s="672" t="inlineStr">
        <is>
          <t>E100207</t>
        </is>
      </c>
      <c r="B567" s="767">
        <f>ROW()</f>
        <v/>
      </c>
      <c r="C567" s="182" t="inlineStr">
        <is>
          <t>鄂尔多斯市昊华国泰化工有限公司</t>
        </is>
      </c>
      <c r="D567" s="182" t="inlineStr">
        <is>
          <t>ZI029E100201</t>
        </is>
      </c>
      <c r="E567" s="182" t="inlineStr">
        <is>
          <t>北京昊华能源股份有限公司</t>
        </is>
      </c>
      <c r="F567" s="716" t="n"/>
      <c r="G567" s="716" t="n"/>
      <c r="H567" s="462" t="n"/>
    </row>
    <row r="568">
      <c r="A568" s="672" t="inlineStr">
        <is>
          <t>E100204</t>
        </is>
      </c>
      <c r="B568" s="767">
        <f>ROW()</f>
        <v/>
      </c>
      <c r="C568" s="182" t="inlineStr">
        <is>
          <t>鄂尔多斯市昊华红庆梁矿业有限公司</t>
        </is>
      </c>
      <c r="D568" s="182" t="inlineStr">
        <is>
          <t>ZI029E100203</t>
        </is>
      </c>
      <c r="E568" s="182" t="inlineStr">
        <is>
          <t>杭锦旗西部能源开发有限公司</t>
        </is>
      </c>
      <c r="F568" s="716" t="n"/>
      <c r="G568" s="716" t="n"/>
      <c r="H568" s="462" t="n"/>
    </row>
    <row r="569">
      <c r="A569" s="672" t="inlineStr">
        <is>
          <t>E100202</t>
        </is>
      </c>
      <c r="B569" s="767">
        <f>ROW()</f>
        <v/>
      </c>
      <c r="C569" s="182" t="inlineStr">
        <is>
          <t>鄂尔多斯市昊华精煤有限责任公司</t>
        </is>
      </c>
      <c r="D569" s="182" t="inlineStr">
        <is>
          <t>ZI029E100201</t>
        </is>
      </c>
      <c r="E569" s="182" t="inlineStr">
        <is>
          <t>北京昊华能源股份有限公司</t>
        </is>
      </c>
      <c r="F569" s="716" t="n"/>
      <c r="G569" s="716" t="n"/>
      <c r="H569" s="462" t="n"/>
    </row>
    <row r="570">
      <c r="A570" s="672" t="inlineStr">
        <is>
          <t>E100209</t>
        </is>
      </c>
      <c r="B570" s="767">
        <f>ROW()</f>
        <v/>
      </c>
      <c r="C570" s="182" t="inlineStr">
        <is>
          <t>鄂尔多斯市昊华鑫通物资有限责任公司</t>
        </is>
      </c>
      <c r="D570" s="182" t="inlineStr">
        <is>
          <t>ZI029E100201</t>
        </is>
      </c>
      <c r="E570" s="182" t="inlineStr">
        <is>
          <t>北京昊华能源股份有限公司</t>
        </is>
      </c>
      <c r="F570" s="716" t="n"/>
      <c r="G570" s="716" t="n"/>
      <c r="H570" s="462" t="n"/>
    </row>
    <row r="571">
      <c r="A571" s="672" t="inlineStr">
        <is>
          <t>E100753</t>
        </is>
      </c>
      <c r="B571" s="767">
        <f>ROW()</f>
        <v/>
      </c>
      <c r="C571" s="182" t="inlineStr">
        <is>
          <t>鄂尔多斯市京能新能源科技有限公司</t>
        </is>
      </c>
      <c r="D571" s="182" t="inlineStr">
        <is>
          <t>ZI029E100145</t>
        </is>
      </c>
      <c r="E571" s="182" t="inlineStr">
        <is>
          <t>北京京能电力股份有限公司</t>
        </is>
      </c>
      <c r="F571" s="716" t="n"/>
      <c r="G571" s="716" t="n"/>
      <c r="H571" s="462" t="n"/>
    </row>
    <row r="572">
      <c r="A572" s="672" t="inlineStr">
        <is>
          <t>E100711</t>
        </is>
      </c>
      <c r="B572" s="767">
        <f>ROW()</f>
        <v/>
      </c>
      <c r="C572" s="182" t="inlineStr">
        <is>
          <t>鄂托克前旗晟日新能源科技有限公司</t>
        </is>
      </c>
      <c r="D572" s="182" t="inlineStr">
        <is>
          <t>ZI029E100001</t>
        </is>
      </c>
      <c r="E572" s="182" t="inlineStr">
        <is>
          <t>北京京能清洁能源电力股份有限公司</t>
        </is>
      </c>
      <c r="F572" s="716" t="n"/>
      <c r="G572" s="716" t="n"/>
      <c r="H572" s="462" t="n"/>
    </row>
    <row r="573">
      <c r="A573" s="672" t="inlineStr">
        <is>
          <t>E100711G</t>
        </is>
      </c>
      <c r="B573" s="767">
        <f>ROW()</f>
        <v/>
      </c>
      <c r="C573" s="182" t="inlineStr">
        <is>
          <t>鄂托克前旗晟日新能源科技有限公司（合并）</t>
        </is>
      </c>
      <c r="D573" s="182" t="inlineStr">
        <is>
          <t>ZI029E100001</t>
        </is>
      </c>
      <c r="E573" s="182" t="inlineStr">
        <is>
          <t>北京京能清洁能源电力股份有限公司</t>
        </is>
      </c>
      <c r="F573" s="716" t="n"/>
      <c r="G573" s="716" t="n"/>
      <c r="H573" s="462" t="n"/>
    </row>
    <row r="574">
      <c r="A574" s="672" t="inlineStr">
        <is>
          <t>E100845</t>
        </is>
      </c>
      <c r="B574" s="767">
        <f>ROW()</f>
        <v/>
      </c>
      <c r="C574" s="182" t="inlineStr">
        <is>
          <t>二连浩特京能新能源有限公司</t>
        </is>
      </c>
      <c r="D574" s="182" t="inlineStr">
        <is>
          <t>ZI029E100145</t>
        </is>
      </c>
      <c r="E574" s="182" t="inlineStr">
        <is>
          <t>北京京能电力股份有限公司</t>
        </is>
      </c>
      <c r="F574" s="716" t="n"/>
      <c r="G574" s="716" t="n"/>
      <c r="H574" s="462" t="n"/>
    </row>
    <row r="575">
      <c r="A575" s="672" t="inlineStr">
        <is>
          <t>E100253</t>
        </is>
      </c>
      <c r="B575" s="767">
        <f>ROW()</f>
        <v/>
      </c>
      <c r="C575" s="182" t="inlineStr">
        <is>
          <t>抚松京热热力有限责任公司</t>
        </is>
      </c>
      <c r="D575" s="182" t="inlineStr">
        <is>
          <t>ZI029E100222</t>
        </is>
      </c>
      <c r="E575" s="182" t="inlineStr">
        <is>
          <t>北京市热力集团有限责任公司</t>
        </is>
      </c>
      <c r="F575" s="716" t="n"/>
      <c r="G575" s="716" t="n"/>
      <c r="H575" s="462" t="n"/>
    </row>
    <row r="576">
      <c r="A576" s="672" t="inlineStr">
        <is>
          <t>E100093</t>
        </is>
      </c>
      <c r="B576" s="767">
        <f>ROW()</f>
        <v/>
      </c>
      <c r="C576" s="182" t="inlineStr">
        <is>
          <t>府谷县京能新能源有限公司</t>
        </is>
      </c>
      <c r="D576" s="182" t="inlineStr">
        <is>
          <t>ZI029E100001</t>
        </is>
      </c>
      <c r="E576" s="182" t="inlineStr">
        <is>
          <t>北京京能清洁能源电力股份有限公司</t>
        </is>
      </c>
      <c r="F576" s="716" t="n"/>
      <c r="G576" s="716" t="n"/>
      <c r="H576" s="462" t="n"/>
    </row>
    <row r="577">
      <c r="A577" s="672" t="inlineStr">
        <is>
          <t>E100832</t>
        </is>
      </c>
      <c r="B577" s="767">
        <f>ROW()</f>
        <v/>
      </c>
      <c r="C577" s="182" t="inlineStr">
        <is>
          <t>阜新爱友新能源有限公司</t>
        </is>
      </c>
      <c r="D577" s="182" t="inlineStr">
        <is>
          <t>ZI029E100730</t>
        </is>
      </c>
      <c r="E577" s="182" t="inlineStr">
        <is>
          <t>京能国际能源发展（北京）有限公司</t>
        </is>
      </c>
      <c r="F577" s="716" t="n"/>
      <c r="G577" s="716" t="n"/>
      <c r="H577" s="462" t="n"/>
    </row>
    <row r="578">
      <c r="A578" s="672" t="inlineStr">
        <is>
          <t>E100833</t>
        </is>
      </c>
      <c r="B578" s="767">
        <f>ROW()</f>
        <v/>
      </c>
      <c r="C578" s="182" t="inlineStr">
        <is>
          <t>阜新东泰新能源有限公司</t>
        </is>
      </c>
      <c r="D578" s="182" t="inlineStr">
        <is>
          <t>ZI029E100730</t>
        </is>
      </c>
      <c r="E578" s="182" t="inlineStr">
        <is>
          <t>京能国际能源发展（北京）有限公司</t>
        </is>
      </c>
      <c r="F578" s="716" t="n"/>
      <c r="G578" s="716" t="n"/>
      <c r="H578" s="462" t="n"/>
    </row>
    <row r="579">
      <c r="A579" s="672" t="inlineStr">
        <is>
          <t>E100834</t>
        </is>
      </c>
      <c r="B579" s="767">
        <f>ROW()</f>
        <v/>
      </c>
      <c r="C579" s="182" t="inlineStr">
        <is>
          <t>阜新吉娅泰新能源有限公司</t>
        </is>
      </c>
      <c r="D579" s="182" t="inlineStr">
        <is>
          <t>ZI029E100730</t>
        </is>
      </c>
      <c r="E579" s="182" t="inlineStr">
        <is>
          <t>京能国际能源发展（北京）有限公司</t>
        </is>
      </c>
      <c r="F579" s="716" t="n"/>
      <c r="G579" s="716" t="n"/>
      <c r="H579" s="462" t="n"/>
    </row>
    <row r="580">
      <c r="A580" s="672" t="inlineStr">
        <is>
          <t>E100835</t>
        </is>
      </c>
      <c r="B580" s="767">
        <f>ROW()</f>
        <v/>
      </c>
      <c r="C580" s="182" t="inlineStr">
        <is>
          <t>阜新架木苏新能源有限公司</t>
        </is>
      </c>
      <c r="D580" s="182" t="inlineStr">
        <is>
          <t>ZI029E100730</t>
        </is>
      </c>
      <c r="E580" s="182" t="inlineStr">
        <is>
          <t>京能国际能源发展（北京）有限公司</t>
        </is>
      </c>
      <c r="F580" s="716" t="n"/>
      <c r="G580" s="716" t="n"/>
      <c r="H580" s="462" t="n"/>
    </row>
    <row r="581">
      <c r="A581" s="672" t="inlineStr">
        <is>
          <t>E100836</t>
        </is>
      </c>
      <c r="B581" s="767">
        <f>ROW()</f>
        <v/>
      </c>
      <c r="C581" s="182" t="inlineStr">
        <is>
          <t>阜新金元新能源有限公司</t>
        </is>
      </c>
      <c r="D581" s="182" t="inlineStr">
        <is>
          <t>ZI029E100730</t>
        </is>
      </c>
      <c r="E581" s="182" t="inlineStr">
        <is>
          <t>京能国际能源发展（北京）有限公司</t>
        </is>
      </c>
      <c r="F581" s="716" t="n"/>
      <c r="G581" s="716" t="n"/>
      <c r="H581" s="462" t="n"/>
    </row>
    <row r="582">
      <c r="A582" s="672" t="inlineStr">
        <is>
          <t>E100837</t>
        </is>
      </c>
      <c r="B582" s="767">
        <f>ROW()</f>
        <v/>
      </c>
      <c r="C582" s="182" t="inlineStr">
        <is>
          <t>阜新塞罕新能源有限公司</t>
        </is>
      </c>
      <c r="D582" s="182" t="inlineStr">
        <is>
          <t>ZI029E100730</t>
        </is>
      </c>
      <c r="E582" s="182" t="inlineStr">
        <is>
          <t>京能国际能源发展（北京）有限公司</t>
        </is>
      </c>
      <c r="F582" s="716" t="n"/>
      <c r="G582" s="716" t="n"/>
      <c r="H582" s="462" t="n"/>
    </row>
    <row r="583">
      <c r="A583" s="672" t="inlineStr">
        <is>
          <t>E100838</t>
        </is>
      </c>
      <c r="B583" s="767">
        <f>ROW()</f>
        <v/>
      </c>
      <c r="C583" s="182" t="inlineStr">
        <is>
          <t>阜新赛纳新能源有限公司</t>
        </is>
      </c>
      <c r="D583" s="182" t="inlineStr">
        <is>
          <t>ZI029E100730</t>
        </is>
      </c>
      <c r="E583" s="182" t="inlineStr">
        <is>
          <t>京能国际能源发展（北京）有限公司</t>
        </is>
      </c>
      <c r="F583" s="716" t="n"/>
      <c r="G583" s="716" t="n"/>
      <c r="H583" s="462" t="n"/>
    </row>
    <row r="584">
      <c r="A584" s="672" t="inlineStr">
        <is>
          <t>E100884</t>
        </is>
      </c>
      <c r="B584" s="767">
        <f>ROW()</f>
        <v/>
      </c>
      <c r="C584" s="182" t="inlineStr">
        <is>
          <t>高安京能赛拉弗光伏发电有限公司</t>
        </is>
      </c>
      <c r="D584" s="182" t="inlineStr">
        <is>
          <t>ZI029E100883</t>
        </is>
      </c>
      <c r="E584" s="182" t="inlineStr">
        <is>
          <t>Beijing Energy International Investment Limited</t>
        </is>
      </c>
      <c r="F584" s="716" t="n"/>
      <c r="G584" s="716" t="n"/>
      <c r="H584" s="462" t="n"/>
    </row>
    <row r="585">
      <c r="A585" s="672" t="inlineStr">
        <is>
          <t>E100016</t>
        </is>
      </c>
      <c r="B585" s="767">
        <f>ROW()</f>
        <v/>
      </c>
      <c r="C585" s="182" t="inlineStr">
        <is>
          <t>格尔木京能新能源有限公司</t>
        </is>
      </c>
      <c r="D585" s="182" t="inlineStr">
        <is>
          <t>ZI029E100001</t>
        </is>
      </c>
      <c r="E585" s="182" t="inlineStr">
        <is>
          <t>北京京能清洁能源电力股份有限公司</t>
        </is>
      </c>
      <c r="F585" s="716" t="n"/>
      <c r="G585" s="716" t="n"/>
      <c r="H585" s="462" t="n"/>
    </row>
    <row r="586">
      <c r="A586" s="672" t="inlineStr">
        <is>
          <t>E100563</t>
        </is>
      </c>
      <c r="B586" s="767">
        <f>ROW()</f>
        <v/>
      </c>
      <c r="C586" s="182" t="inlineStr">
        <is>
          <t>格伦光伏项目公司</t>
        </is>
      </c>
      <c r="D586" s="182" t="inlineStr">
        <is>
          <t>ZI029E100561</t>
        </is>
      </c>
      <c r="E586" s="182" t="inlineStr">
        <is>
          <t>北京京能清洁能源（澳洲）控股有限公司</t>
        </is>
      </c>
      <c r="F586" s="716" t="n"/>
      <c r="G586" s="716" t="n"/>
      <c r="H586" s="462" t="n"/>
    </row>
    <row r="587">
      <c r="A587" s="672" t="inlineStr">
        <is>
          <t>E100028</t>
        </is>
      </c>
      <c r="B587" s="767">
        <f>ROW()</f>
        <v/>
      </c>
      <c r="C587" s="182" t="inlineStr">
        <is>
          <t>共和京能清洁能源有限公司</t>
        </is>
      </c>
      <c r="D587" s="182" t="inlineStr">
        <is>
          <t>ZI029E100001</t>
        </is>
      </c>
      <c r="E587" s="182" t="inlineStr">
        <is>
          <t>北京京能清洁能源电力股份有限公司</t>
        </is>
      </c>
      <c r="F587" s="716" t="n"/>
      <c r="G587" s="716" t="n"/>
      <c r="H587" s="462" t="n"/>
    </row>
    <row r="588">
      <c r="A588" s="672" t="inlineStr">
        <is>
          <t>E100029</t>
        </is>
      </c>
      <c r="B588" s="767">
        <f>ROW()</f>
        <v/>
      </c>
      <c r="C588" s="182" t="inlineStr">
        <is>
          <t>共和源通光伏发电有限公司</t>
        </is>
      </c>
      <c r="D588" s="182" t="inlineStr">
        <is>
          <t>ZI029E100001</t>
        </is>
      </c>
      <c r="E588" s="182" t="inlineStr">
        <is>
          <t>北京京能清洁能源电力股份有限公司</t>
        </is>
      </c>
      <c r="F588" s="716" t="n"/>
      <c r="G588" s="716" t="n"/>
      <c r="H588" s="462" t="n"/>
    </row>
    <row r="589">
      <c r="A589" s="672" t="inlineStr">
        <is>
          <t>E100912</t>
        </is>
      </c>
      <c r="B589" s="767">
        <f>ROW()</f>
        <v/>
      </c>
      <c r="C589" s="182" t="inlineStr">
        <is>
          <t>光山县辉达新能源科技有限公司</t>
        </is>
      </c>
      <c r="D589" s="182" t="inlineStr">
        <is>
          <t>ZI029E100908</t>
        </is>
      </c>
      <c r="E589" s="182" t="inlineStr">
        <is>
          <t>北京通力日昇新能源科技有限公司</t>
        </is>
      </c>
      <c r="F589" s="716" t="n"/>
      <c r="G589" s="716" t="n"/>
      <c r="H589" s="462" t="n"/>
    </row>
    <row r="590">
      <c r="A590" s="672" t="inlineStr">
        <is>
          <t>E100781</t>
        </is>
      </c>
      <c r="B590" s="767">
        <f>ROW()</f>
        <v/>
      </c>
      <c r="C590" s="182" t="inlineStr">
        <is>
          <t>广东辉宇新能源投资有限公司</t>
        </is>
      </c>
      <c r="D590" s="182" t="inlineStr">
        <is>
          <t>ZI029E100001</t>
        </is>
      </c>
      <c r="E590" s="182" t="inlineStr">
        <is>
          <t>北京京能清洁能源电力股份有限公司</t>
        </is>
      </c>
      <c r="F590" s="716" t="n"/>
      <c r="G590" s="716" t="n"/>
      <c r="H590" s="462" t="n"/>
    </row>
    <row r="591">
      <c r="A591" s="672" t="inlineStr">
        <is>
          <t>E100781G</t>
        </is>
      </c>
      <c r="B591" s="767">
        <f>ROW()</f>
        <v/>
      </c>
      <c r="C591" s="182" t="inlineStr">
        <is>
          <t>广东辉宇新能源投资有限公司（合并）</t>
        </is>
      </c>
      <c r="D591" s="182" t="inlineStr">
        <is>
          <t>ZI029E100001</t>
        </is>
      </c>
      <c r="E591" s="182" t="inlineStr">
        <is>
          <t>北京京能清洁能源电力股份有限公司</t>
        </is>
      </c>
      <c r="F591" s="716" t="n"/>
      <c r="G591" s="716" t="n"/>
      <c r="H591" s="462" t="n"/>
    </row>
    <row r="592">
      <c r="A592" s="672" t="inlineStr">
        <is>
          <t>E100782</t>
        </is>
      </c>
      <c r="B592" s="767">
        <f>ROW()</f>
        <v/>
      </c>
      <c r="C592" s="182" t="inlineStr">
        <is>
          <t>广东万顺新能源有限公司</t>
        </is>
      </c>
      <c r="D592" s="182" t="inlineStr">
        <is>
          <t>ZI029E100781</t>
        </is>
      </c>
      <c r="E592" s="182" t="inlineStr">
        <is>
          <t>广东辉宇新能源投资有限公司</t>
        </is>
      </c>
      <c r="F592" s="716" t="n"/>
      <c r="G592" s="716" t="n"/>
      <c r="H592" s="462" t="n"/>
    </row>
    <row r="593">
      <c r="A593" s="672" t="inlineStr">
        <is>
          <t>E100756</t>
        </is>
      </c>
      <c r="B593" s="767">
        <f>ROW()</f>
        <v/>
      </c>
      <c r="C593" s="182" t="inlineStr">
        <is>
          <t>贵港市绿色方舟新能源有限公司</t>
        </is>
      </c>
      <c r="D593" s="182" t="inlineStr">
        <is>
          <t>ZI029E101026</t>
        </is>
      </c>
      <c r="E593" s="182" t="inlineStr">
        <is>
          <t>常州市招联绿灿新能源有限公司</t>
        </is>
      </c>
      <c r="F593" s="716" t="n"/>
      <c r="G593" s="716" t="n"/>
      <c r="H593" s="462" t="n"/>
    </row>
    <row r="594">
      <c r="A594" s="672" t="inlineStr">
        <is>
          <t>E100304</t>
        </is>
      </c>
      <c r="B594" s="767">
        <f>ROW()</f>
        <v/>
      </c>
      <c r="C594" s="182" t="inlineStr">
        <is>
          <t>贵州华联旅业有限责任公司</t>
        </is>
      </c>
      <c r="D594" s="182" t="inlineStr">
        <is>
          <t>ZI029E100293</t>
        </is>
      </c>
      <c r="E594" s="182" t="inlineStr">
        <is>
          <t>北京京能酒店管理有限公司</t>
        </is>
      </c>
      <c r="F594" s="716" t="n"/>
      <c r="G594" s="716" t="n"/>
      <c r="H594" s="462" t="n"/>
    </row>
    <row r="595">
      <c r="A595" s="672" t="inlineStr">
        <is>
          <t>E101009</t>
        </is>
      </c>
      <c r="B595" s="767">
        <f>ROW()</f>
        <v/>
      </c>
      <c r="C595" s="182" t="inlineStr">
        <is>
          <t>国电察哈尔右翼前旗第二光伏发电有限公司</t>
        </is>
      </c>
      <c r="D595" s="182" t="inlineStr">
        <is>
          <t>ZI029E101008</t>
        </is>
      </c>
      <c r="E595" s="182" t="inlineStr">
        <is>
          <t>南京丝绸之路新能源有限公司</t>
        </is>
      </c>
      <c r="F595" s="716" t="n"/>
      <c r="G595" s="716" t="n"/>
      <c r="H595" s="462" t="n"/>
    </row>
    <row r="596">
      <c r="A596" s="672" t="inlineStr">
        <is>
          <t>E100968</t>
        </is>
      </c>
      <c r="B596" s="767">
        <f>ROW()</f>
        <v/>
      </c>
      <c r="C596" s="182" t="inlineStr">
        <is>
          <t>国电察哈尔右翼前旗光伏发电有限公司</t>
        </is>
      </c>
      <c r="D596" s="182" t="inlineStr">
        <is>
          <t>ZI029E100735</t>
        </is>
      </c>
      <c r="E596" s="182" t="inlineStr">
        <is>
          <t>内蒙古京能新能源科技有限公司</t>
        </is>
      </c>
      <c r="F596" s="716" t="n"/>
      <c r="G596" s="716" t="n"/>
      <c r="H596" s="462" t="n"/>
    </row>
    <row r="597">
      <c r="A597" s="672" t="inlineStr">
        <is>
          <t>E101010</t>
        </is>
      </c>
      <c r="B597" s="767">
        <f>ROW()</f>
        <v/>
      </c>
      <c r="C597" s="182" t="inlineStr">
        <is>
          <t>国电科左中旗光伏发电有限公司</t>
        </is>
      </c>
      <c r="D597" s="182" t="inlineStr">
        <is>
          <t>ZI029E101008</t>
        </is>
      </c>
      <c r="E597" s="182" t="inlineStr">
        <is>
          <t>南京丝绸之路新能源有限公司</t>
        </is>
      </c>
      <c r="F597" s="716" t="n"/>
      <c r="G597" s="716" t="n"/>
      <c r="H597" s="462" t="n"/>
    </row>
    <row r="598">
      <c r="A598" s="672" t="inlineStr">
        <is>
          <t>E101011</t>
        </is>
      </c>
      <c r="B598" s="767">
        <f>ROW()</f>
        <v/>
      </c>
      <c r="C598" s="182" t="inlineStr">
        <is>
          <t>国电商都县第二光伏发电有限公司</t>
        </is>
      </c>
      <c r="D598" s="182" t="inlineStr">
        <is>
          <t>ZI029E101008</t>
        </is>
      </c>
      <c r="E598" s="182" t="inlineStr">
        <is>
          <t>南京丝绸之路新能源有限公司</t>
        </is>
      </c>
      <c r="F598" s="716" t="n"/>
      <c r="G598" s="716" t="n"/>
      <c r="H598" s="462" t="n"/>
    </row>
    <row r="599">
      <c r="A599" s="672" t="inlineStr">
        <is>
          <t>E100969</t>
        </is>
      </c>
      <c r="B599" s="767">
        <f>ROW()</f>
        <v/>
      </c>
      <c r="C599" s="182" t="inlineStr">
        <is>
          <t>国电托克托县光伏发电有限公司</t>
        </is>
      </c>
      <c r="D599" s="182" t="inlineStr">
        <is>
          <t>ZI029E100735</t>
        </is>
      </c>
      <c r="E599" s="182" t="inlineStr">
        <is>
          <t>内蒙古京能新能源科技有限公司</t>
        </is>
      </c>
      <c r="F599" s="716" t="n"/>
      <c r="G599" s="716" t="n"/>
      <c r="H599" s="462" t="n"/>
    </row>
    <row r="600">
      <c r="A600" s="672" t="inlineStr">
        <is>
          <t>E100967</t>
        </is>
      </c>
      <c r="B600" s="767">
        <f>ROW()</f>
        <v/>
      </c>
      <c r="C600" s="182" t="inlineStr">
        <is>
          <t>国电乌拉特后旗光伏发电有限公司</t>
        </is>
      </c>
      <c r="D600" s="182" t="inlineStr">
        <is>
          <t>ZI029E100735</t>
        </is>
      </c>
      <c r="E600" s="182" t="inlineStr">
        <is>
          <t>内蒙古京能新能源科技有限公司</t>
        </is>
      </c>
      <c r="F600" s="716" t="n"/>
      <c r="G600" s="716" t="n"/>
      <c r="H600" s="462" t="n"/>
    </row>
    <row r="601">
      <c r="A601" s="672" t="inlineStr">
        <is>
          <t>E100765</t>
        </is>
      </c>
      <c r="B601" s="767">
        <f>ROW()</f>
        <v/>
      </c>
      <c r="C601" s="182" t="inlineStr">
        <is>
          <t>哈密辉腾光伏电力有限公司</t>
        </is>
      </c>
      <c r="D601" s="182" t="inlineStr">
        <is>
          <t>ZI029E100956</t>
        </is>
      </c>
      <c r="E601" s="182" t="inlineStr">
        <is>
          <t>常州光昱新能源有限公司</t>
        </is>
      </c>
      <c r="F601" s="716" t="n"/>
      <c r="G601" s="716" t="n"/>
      <c r="H601" s="462" t="n"/>
    </row>
    <row r="602">
      <c r="A602" s="672" t="inlineStr">
        <is>
          <t>E100856</t>
        </is>
      </c>
      <c r="B602" s="767">
        <f>ROW()</f>
        <v/>
      </c>
      <c r="C602" s="182" t="inlineStr">
        <is>
          <t>海东市乐都区融智新能源开发有限公司</t>
        </is>
      </c>
      <c r="D602" s="182" t="inlineStr">
        <is>
          <t>ZI029E100932</t>
        </is>
      </c>
      <c r="E602" s="182" t="inlineStr">
        <is>
          <t>青海思迅新能源有限公司</t>
        </is>
      </c>
      <c r="F602" s="716" t="n"/>
      <c r="G602" s="716" t="n"/>
      <c r="H602" s="462" t="n"/>
    </row>
    <row r="603">
      <c r="A603" s="672" t="inlineStr">
        <is>
          <t>E100280</t>
        </is>
      </c>
      <c r="B603" s="767">
        <f>ROW()</f>
        <v/>
      </c>
      <c r="C603" s="182" t="inlineStr">
        <is>
          <t>海南金泰旅业开发有限公司</t>
        </is>
      </c>
      <c r="D603" s="182" t="inlineStr">
        <is>
          <t>ZI029E100353</t>
        </is>
      </c>
      <c r="E603" s="182" t="inlineStr">
        <is>
          <t>北京京能房产租赁经营有限责任公司</t>
        </is>
      </c>
      <c r="F603" s="716" t="n"/>
      <c r="G603" s="716" t="n"/>
      <c r="H603" s="462" t="n"/>
    </row>
    <row r="604">
      <c r="A604" s="672" t="inlineStr">
        <is>
          <t>E100732</t>
        </is>
      </c>
      <c r="B604" s="767">
        <f>ROW()</f>
        <v/>
      </c>
      <c r="C604" s="182" t="inlineStr">
        <is>
          <t>海南州亚晖新能源电力有限公司</t>
        </is>
      </c>
      <c r="D604" s="182" t="inlineStr">
        <is>
          <t>ZI029E100955</t>
        </is>
      </c>
      <c r="E604" s="182" t="inlineStr">
        <is>
          <t>常州鼎晖新能源有限公司</t>
        </is>
      </c>
      <c r="F604" s="716" t="n"/>
      <c r="G604" s="716" t="n"/>
      <c r="H604" s="462" t="n"/>
    </row>
    <row r="605">
      <c r="A605" s="672" t="inlineStr">
        <is>
          <t>E100017</t>
        </is>
      </c>
      <c r="B605" s="767">
        <f>ROW()</f>
        <v/>
      </c>
      <c r="C605" s="182" t="inlineStr">
        <is>
          <t>海兴京兴新能源有限公司</t>
        </is>
      </c>
      <c r="D605" s="182" t="inlineStr">
        <is>
          <t>ZI029E100001</t>
        </is>
      </c>
      <c r="E605" s="182" t="inlineStr">
        <is>
          <t>北京京能清洁能源电力股份有限公司</t>
        </is>
      </c>
      <c r="F605" s="716" t="n"/>
      <c r="G605" s="716" t="n"/>
      <c r="H605" s="462" t="n"/>
    </row>
    <row r="606">
      <c r="A606" s="672" t="inlineStr">
        <is>
          <t>E100017</t>
        </is>
      </c>
      <c r="B606" s="767">
        <f>ROW()</f>
        <v/>
      </c>
      <c r="C606" s="182" t="inlineStr">
        <is>
          <t>海兴京兴新能源有限公司</t>
        </is>
      </c>
      <c r="D606" s="182" t="inlineStr">
        <is>
          <t>ZI029E101187</t>
        </is>
      </c>
      <c r="E606" s="182" t="inlineStr">
        <is>
          <t>横峰县晶泰电力有限公司</t>
        </is>
      </c>
      <c r="F606" s="716" t="n"/>
      <c r="G606" s="716" t="n"/>
      <c r="H606" s="462" t="n"/>
    </row>
    <row r="607">
      <c r="A607" s="672" t="inlineStr">
        <is>
          <t>E101013</t>
        </is>
      </c>
      <c r="B607" s="767">
        <f>ROW()</f>
        <v/>
      </c>
      <c r="C607" s="182" t="inlineStr">
        <is>
          <t>海阳鑫顺风光电科技有限公司</t>
        </is>
      </c>
      <c r="D607" s="182" t="inlineStr">
        <is>
          <t>ZI029E101012</t>
        </is>
      </c>
      <c r="E607" s="182" t="inlineStr">
        <is>
          <t>常州市招联绿伏新能源有限公司</t>
        </is>
      </c>
      <c r="F607" s="716" t="n"/>
      <c r="G607" s="716" t="n"/>
      <c r="H607" s="462" t="n"/>
    </row>
    <row r="608">
      <c r="A608" s="672" t="inlineStr">
        <is>
          <t>E100783</t>
        </is>
      </c>
      <c r="B608" s="767">
        <f>ROW()</f>
        <v/>
      </c>
      <c r="C608" s="182" t="inlineStr">
        <is>
          <t>韩城京能清洁能源有限公司</t>
        </is>
      </c>
      <c r="D608" s="182" t="inlineStr">
        <is>
          <t>ZI029E100001</t>
        </is>
      </c>
      <c r="E608" s="182" t="inlineStr">
        <is>
          <t>北京京能清洁能源电力股份有限公司</t>
        </is>
      </c>
      <c r="F608" s="716" t="n"/>
      <c r="G608" s="716" t="n"/>
      <c r="H608" s="462" t="n"/>
    </row>
    <row r="609">
      <c r="A609" s="672" t="inlineStr">
        <is>
          <t>E100990</t>
        </is>
      </c>
      <c r="B609" s="767">
        <f>ROW()</f>
        <v/>
      </c>
      <c r="C609" s="182" t="inlineStr">
        <is>
          <t>汉寿昊晖太阳能发电有限公司</t>
        </is>
      </c>
      <c r="D609" s="182" t="inlineStr">
        <is>
          <t>ZI029E100988</t>
        </is>
      </c>
      <c r="E609" s="182" t="inlineStr">
        <is>
          <t>常州市招联绿睿新能源有限公司</t>
        </is>
      </c>
      <c r="F609" s="716" t="n"/>
      <c r="G609" s="716" t="n"/>
      <c r="H609" s="462" t="n"/>
    </row>
    <row r="610">
      <c r="A610" s="672" t="inlineStr">
        <is>
          <t>E100068</t>
        </is>
      </c>
      <c r="B610" s="767">
        <f>ROW()</f>
        <v/>
      </c>
      <c r="C610" s="182" t="inlineStr">
        <is>
          <t>汉寿县润鑫新能源有限公司</t>
        </is>
      </c>
      <c r="D610" s="182" t="inlineStr">
        <is>
          <t>ZI029E100001</t>
        </is>
      </c>
      <c r="E610" s="182" t="inlineStr">
        <is>
          <t>北京京能清洁能源电力股份有限公司</t>
        </is>
      </c>
      <c r="F610" s="716" t="n"/>
      <c r="G610" s="716" t="n"/>
      <c r="H610" s="462" t="n"/>
    </row>
    <row r="611">
      <c r="A611" s="672" t="inlineStr">
        <is>
          <t>E100992</t>
        </is>
      </c>
      <c r="B611" s="767">
        <f>ROW()</f>
        <v/>
      </c>
      <c r="C611" s="182" t="inlineStr">
        <is>
          <t>汉寿中晖太阳能发电有限公司</t>
        </is>
      </c>
      <c r="D611" s="182" t="inlineStr">
        <is>
          <t>ZI029E100991</t>
        </is>
      </c>
      <c r="E611" s="182" t="inlineStr">
        <is>
          <t>常熟宏丰光伏电站开发有限公司</t>
        </is>
      </c>
      <c r="F611" s="716" t="n"/>
      <c r="G611" s="716" t="n"/>
      <c r="H611" s="462" t="n"/>
    </row>
    <row r="612">
      <c r="A612" s="672" t="inlineStr">
        <is>
          <t>E100976</t>
        </is>
      </c>
      <c r="B612" s="767">
        <f>ROW()</f>
        <v/>
      </c>
      <c r="C612" s="182" t="inlineStr">
        <is>
          <t>杭锦后旗国电光伏发电有限公司</t>
        </is>
      </c>
      <c r="D612" s="182" t="inlineStr">
        <is>
          <t>ZI029E100973</t>
        </is>
      </c>
      <c r="E612" s="182" t="inlineStr">
        <is>
          <t>察右前旗联合光伏发电有限公司</t>
        </is>
      </c>
      <c r="F612" s="716" t="n"/>
      <c r="G612" s="716" t="n"/>
      <c r="H612" s="462" t="n"/>
    </row>
    <row r="613">
      <c r="A613" s="672" t="inlineStr">
        <is>
          <t>E100203</t>
        </is>
      </c>
      <c r="B613" s="767">
        <f>ROW()</f>
        <v/>
      </c>
      <c r="C613" s="182" t="inlineStr">
        <is>
          <t>杭锦旗西部能源开发有限公司</t>
        </is>
      </c>
      <c r="D613" s="182" t="inlineStr">
        <is>
          <t>ZI029E100201</t>
        </is>
      </c>
      <c r="E613" s="182" t="inlineStr">
        <is>
          <t>北京昊华能源股份有限公司</t>
        </is>
      </c>
      <c r="F613" s="716" t="n"/>
      <c r="G613" s="716" t="n"/>
      <c r="H613" s="462" t="n"/>
    </row>
    <row r="614">
      <c r="A614" s="672" t="inlineStr">
        <is>
          <t>E100203G</t>
        </is>
      </c>
      <c r="B614" s="767">
        <f>ROW()</f>
        <v/>
      </c>
      <c r="C614" s="182" t="inlineStr">
        <is>
          <t>杭锦旗西部能源开发有限公司（合并）</t>
        </is>
      </c>
      <c r="D614" s="182" t="inlineStr">
        <is>
          <t>ZI029E100201</t>
        </is>
      </c>
      <c r="E614" s="182" t="inlineStr">
        <is>
          <t>北京昊华能源股份有限公司</t>
        </is>
      </c>
      <c r="F614" s="716" t="n"/>
      <c r="G614" s="716" t="n"/>
      <c r="H614" s="462" t="n"/>
    </row>
    <row r="615">
      <c r="A615" s="672" t="inlineStr">
        <is>
          <t>E100984</t>
        </is>
      </c>
      <c r="B615" s="767">
        <f>ROW()</f>
        <v/>
      </c>
      <c r="C615" s="182" t="inlineStr">
        <is>
          <t>杭州灿鸿投资管理合伙企业（有限合伙）</t>
        </is>
      </c>
      <c r="D615" s="182" t="inlineStr">
        <is>
          <t>ZI029E100985</t>
        </is>
      </c>
      <c r="E615" s="182" t="inlineStr">
        <is>
          <t>常州市招联绿邦新能源有限公司</t>
        </is>
      </c>
      <c r="F615" s="716" t="n"/>
      <c r="G615" s="716" t="n"/>
      <c r="H615" s="462" t="n"/>
    </row>
    <row r="616">
      <c r="A616" s="672" t="inlineStr">
        <is>
          <t>E100402</t>
        </is>
      </c>
      <c r="B616" s="767">
        <f>ROW()</f>
        <v/>
      </c>
      <c r="C616" s="182" t="inlineStr">
        <is>
          <t>杭州源江能源科技有限公司</t>
        </is>
      </c>
      <c r="D616" s="182" t="inlineStr">
        <is>
          <t>ZI029E100371</t>
        </is>
      </c>
      <c r="E616" s="182" t="inlineStr">
        <is>
          <t>北京京能科技有限公司</t>
        </is>
      </c>
      <c r="F616" s="716" t="n"/>
      <c r="G616" s="716" t="n"/>
      <c r="H616" s="462" t="n"/>
    </row>
    <row r="617">
      <c r="A617" s="672" t="inlineStr">
        <is>
          <t>E100216</t>
        </is>
      </c>
      <c r="B617" s="767">
        <f>ROW()</f>
        <v/>
      </c>
      <c r="C617" s="182" t="inlineStr">
        <is>
          <t>昊华能源国际（香港）有限公司</t>
        </is>
      </c>
      <c r="D617" s="182" t="inlineStr">
        <is>
          <t>ZI029E100201</t>
        </is>
      </c>
      <c r="E617" s="182" t="inlineStr">
        <is>
          <t>北京昊华能源股份有限公司</t>
        </is>
      </c>
      <c r="F617" s="716" t="n"/>
      <c r="G617" s="716" t="n"/>
      <c r="H617" s="462" t="n"/>
    </row>
    <row r="618">
      <c r="A618" s="672" t="inlineStr">
        <is>
          <t>E100929</t>
        </is>
      </c>
      <c r="B618" s="767">
        <f>ROW()</f>
        <v/>
      </c>
      <c r="C618" s="182" t="inlineStr">
        <is>
          <t>和顺县斯能风电有限公司</t>
        </is>
      </c>
      <c r="D618" s="182" t="inlineStr">
        <is>
          <t>ZI029E100730</t>
        </is>
      </c>
      <c r="E618" s="182" t="inlineStr">
        <is>
          <t>京能国际能源发展（北京）有限公司</t>
        </is>
      </c>
      <c r="F618" s="716" t="n"/>
      <c r="G618" s="716" t="n"/>
      <c r="H618" s="462" t="n"/>
    </row>
    <row r="619">
      <c r="A619" s="672" t="inlineStr">
        <is>
          <t>E100708</t>
        </is>
      </c>
      <c r="B619" s="767">
        <f>ROW()</f>
        <v/>
      </c>
      <c r="C619" s="182" t="inlineStr">
        <is>
          <t>河北融智新源电力有限公司</t>
        </is>
      </c>
      <c r="D619" s="182" t="inlineStr">
        <is>
          <t>ZI029E100001</t>
        </is>
      </c>
      <c r="E619" s="182" t="inlineStr">
        <is>
          <t>北京京能清洁能源电力股份有限公司</t>
        </is>
      </c>
      <c r="F619" s="716" t="n"/>
      <c r="G619" s="716" t="n"/>
      <c r="H619" s="462" t="n"/>
    </row>
    <row r="620">
      <c r="A620" s="672" t="inlineStr">
        <is>
          <t>E100708G</t>
        </is>
      </c>
      <c r="B620" s="767">
        <f>ROW()</f>
        <v/>
      </c>
      <c r="C620" s="182" t="inlineStr">
        <is>
          <t>河北融智新源电力有限公司（合并）</t>
        </is>
      </c>
      <c r="D620" s="182" t="inlineStr">
        <is>
          <t>ZI029E100001</t>
        </is>
      </c>
      <c r="E620" s="182" t="inlineStr">
        <is>
          <t>北京京能清洁能源电力股份有限公司</t>
        </is>
      </c>
      <c r="F620" s="716" t="n"/>
      <c r="G620" s="716" t="n"/>
      <c r="H620" s="462" t="n"/>
    </row>
    <row r="621">
      <c r="A621" s="672" t="inlineStr">
        <is>
          <t>E100168</t>
        </is>
      </c>
      <c r="B621" s="767">
        <f>ROW()</f>
        <v/>
      </c>
      <c r="C621" s="182" t="inlineStr">
        <is>
          <t>河北涿州京源热电有限责任公司</t>
        </is>
      </c>
      <c r="D621" s="182" t="inlineStr">
        <is>
          <t>ZI029E100145</t>
        </is>
      </c>
      <c r="E621" s="182" t="inlineStr">
        <is>
          <t>北京京能电力股份有限公司</t>
        </is>
      </c>
      <c r="F621" s="716" t="n"/>
      <c r="G621" s="716" t="n"/>
      <c r="H621" s="462" t="n"/>
    </row>
    <row r="622">
      <c r="A622" s="672" t="inlineStr">
        <is>
          <t>E100168</t>
        </is>
      </c>
      <c r="B622" s="767">
        <f>ROW()</f>
        <v/>
      </c>
      <c r="C622" s="182" t="inlineStr">
        <is>
          <t>河北涿州京源热电有限责任公司</t>
        </is>
      </c>
      <c r="D622" s="182" t="inlineStr">
        <is>
          <t>ZI029E100000</t>
        </is>
      </c>
      <c r="E622" s="182" t="inlineStr">
        <is>
          <t>北京能源集团有限责任公司</t>
        </is>
      </c>
      <c r="F622" s="716" t="n"/>
      <c r="G622" s="716" t="n"/>
      <c r="H622" s="462" t="n"/>
    </row>
    <row r="623">
      <c r="A623" s="672" t="inlineStr">
        <is>
          <t>E101065</t>
        </is>
      </c>
      <c r="B623" s="767">
        <f>ROW()</f>
        <v/>
      </c>
      <c r="C623" s="182" t="inlineStr">
        <is>
          <t>河津市潞安毓华风力发电有限公司</t>
        </is>
      </c>
      <c r="D623" s="182" t="inlineStr">
        <is>
          <t>ZI029E101070</t>
        </is>
      </c>
      <c r="E623" s="182" t="inlineStr">
        <is>
          <t>深圳市前海毓华清洁能源投资有限公司</t>
        </is>
      </c>
      <c r="F623" s="716" t="n"/>
      <c r="G623" s="716" t="n"/>
      <c r="H623" s="462" t="n"/>
    </row>
    <row r="624">
      <c r="A624" s="672" t="inlineStr">
        <is>
          <t>E100174</t>
        </is>
      </c>
      <c r="B624" s="767">
        <f>ROW()</f>
        <v/>
      </c>
      <c r="C624" s="182" t="inlineStr">
        <is>
          <t>河南京能滑州热电有限责任公司</t>
        </is>
      </c>
      <c r="D624" s="182" t="inlineStr">
        <is>
          <t>ZI029E100145</t>
        </is>
      </c>
      <c r="E624" s="182" t="inlineStr">
        <is>
          <t>北京京能电力股份有限公司</t>
        </is>
      </c>
      <c r="F624" s="716" t="n"/>
      <c r="G624" s="716" t="n"/>
      <c r="H624" s="462" t="n"/>
    </row>
    <row r="625">
      <c r="A625" s="672" t="inlineStr">
        <is>
          <t>E100185</t>
        </is>
      </c>
      <c r="B625" s="767">
        <f>ROW()</f>
        <v/>
      </c>
      <c r="C625" s="182" t="inlineStr">
        <is>
          <t>河南通源热力有限公司</t>
        </is>
      </c>
      <c r="D625" s="182" t="inlineStr">
        <is>
          <t>ZI029E100145</t>
        </is>
      </c>
      <c r="E625" s="182" t="inlineStr">
        <is>
          <t>北京京能电力股份有限公司</t>
        </is>
      </c>
      <c r="F625" s="716" t="n"/>
      <c r="G625" s="716" t="n"/>
      <c r="H625" s="462" t="n"/>
    </row>
    <row r="626">
      <c r="A626" s="672" t="inlineStr">
        <is>
          <t>E100713</t>
        </is>
      </c>
      <c r="B626" s="767">
        <f>ROW()</f>
        <v/>
      </c>
      <c r="C626" s="182" t="inlineStr">
        <is>
          <t>黑龙江京庆风力发电有限公司</t>
        </is>
      </c>
      <c r="D626" s="182" t="inlineStr">
        <is>
          <t>ZI029E100001</t>
        </is>
      </c>
      <c r="E626" s="182" t="inlineStr">
        <is>
          <t>北京京能清洁能源电力股份有限公司</t>
        </is>
      </c>
      <c r="F626" s="716" t="n"/>
      <c r="G626" s="716" t="n"/>
      <c r="H626" s="462" t="n"/>
    </row>
    <row r="627">
      <c r="A627" s="672" t="inlineStr">
        <is>
          <t>E100098</t>
        </is>
      </c>
      <c r="B627" s="767">
        <f>ROW()</f>
        <v/>
      </c>
      <c r="C627" s="182" t="inlineStr">
        <is>
          <t>黑水县三联水电开发有限责任公司</t>
        </is>
      </c>
      <c r="D627" s="182" t="inlineStr">
        <is>
          <t>ZI029E100096</t>
        </is>
      </c>
      <c r="E627" s="182" t="inlineStr">
        <is>
          <t>四川大川电力有限公司</t>
        </is>
      </c>
      <c r="F627" s="716" t="n"/>
      <c r="G627" s="716" t="n"/>
      <c r="H627" s="462" t="n"/>
    </row>
    <row r="628">
      <c r="A628" s="672" t="inlineStr">
        <is>
          <t>E100098</t>
        </is>
      </c>
      <c r="B628" s="767">
        <f>ROW()</f>
        <v/>
      </c>
      <c r="C628" s="182" t="inlineStr">
        <is>
          <t>黑水县三联水电开发有限责任公司</t>
        </is>
      </c>
      <c r="D628" s="182" t="inlineStr">
        <is>
          <t>ZI029E100001</t>
        </is>
      </c>
      <c r="E628" s="182" t="inlineStr">
        <is>
          <t>北京京能清洁能源电力股份有限公司</t>
        </is>
      </c>
      <c r="F628" s="716" t="n"/>
      <c r="G628" s="716" t="n"/>
      <c r="H628" s="462" t="n"/>
    </row>
    <row r="629">
      <c r="A629" s="672" t="inlineStr">
        <is>
          <t>E100952</t>
        </is>
      </c>
      <c r="B629" s="767">
        <f>ROW()</f>
        <v/>
      </c>
      <c r="C629" s="182" t="inlineStr">
        <is>
          <t>呼和浩特市联合新能源开发有限公司</t>
        </is>
      </c>
      <c r="D629" s="182" t="inlineStr">
        <is>
          <t>ZI029E100950</t>
        </is>
      </c>
      <c r="E629" s="182" t="inlineStr">
        <is>
          <t>内蒙古明华新能源股份有限公司</t>
        </is>
      </c>
      <c r="F629" s="716" t="n"/>
      <c r="G629" s="716" t="n"/>
      <c r="H629" s="462" t="n"/>
    </row>
    <row r="630">
      <c r="A630" s="672" t="inlineStr">
        <is>
          <t>E100188</t>
        </is>
      </c>
      <c r="B630" s="767">
        <f>ROW()</f>
        <v/>
      </c>
      <c r="C630" s="182" t="inlineStr">
        <is>
          <t>呼伦贝尔京能能源发展有限公司</t>
        </is>
      </c>
      <c r="D630" s="182" t="inlineStr">
        <is>
          <t>ZI029E100000</t>
        </is>
      </c>
      <c r="E630" s="182" t="inlineStr">
        <is>
          <t>北京能源集团有限责任公司</t>
        </is>
      </c>
      <c r="F630" s="716" t="n"/>
      <c r="G630" s="716" t="n"/>
      <c r="H630" s="462" t="n"/>
    </row>
    <row r="631">
      <c r="A631" s="672" t="inlineStr">
        <is>
          <t>E100047</t>
        </is>
      </c>
      <c r="B631" s="767">
        <f>ROW()</f>
        <v/>
      </c>
      <c r="C631" s="182" t="inlineStr">
        <is>
          <t>葫芦岛南票京泰新能源有限公司</t>
        </is>
      </c>
      <c r="D631" s="182" t="inlineStr">
        <is>
          <t>ZI029E100001</t>
        </is>
      </c>
      <c r="E631" s="182" t="inlineStr">
        <is>
          <t>北京京能清洁能源电力股份有限公司</t>
        </is>
      </c>
      <c r="F631" s="716" t="n"/>
      <c r="G631" s="716" t="n"/>
      <c r="H631" s="462" t="n"/>
    </row>
    <row r="632">
      <c r="A632" s="672" t="inlineStr">
        <is>
          <t>E100054</t>
        </is>
      </c>
      <c r="B632" s="767">
        <f>ROW()</f>
        <v/>
      </c>
      <c r="C632" s="182" t="inlineStr">
        <is>
          <t>葫芦岛南票万和新能源有限公司</t>
        </is>
      </c>
      <c r="D632" s="182" t="inlineStr">
        <is>
          <t>ZI029E100001</t>
        </is>
      </c>
      <c r="E632" s="182" t="inlineStr">
        <is>
          <t>北京京能清洁能源电力股份有限公司</t>
        </is>
      </c>
      <c r="F632" s="716" t="n"/>
      <c r="G632" s="716" t="n"/>
      <c r="H632" s="462" t="n"/>
    </row>
    <row r="633">
      <c r="A633" s="672" t="inlineStr">
        <is>
          <t>E100799</t>
        </is>
      </c>
      <c r="B633" s="767">
        <f>ROW()</f>
        <v/>
      </c>
      <c r="C633" s="182" t="inlineStr">
        <is>
          <t>湖北京能京堰新能源有限公司</t>
        </is>
      </c>
      <c r="D633" s="182" t="inlineStr">
        <is>
          <t>ZI029E100145</t>
        </is>
      </c>
      <c r="E633" s="182" t="inlineStr">
        <is>
          <t>北京京能电力股份有限公司</t>
        </is>
      </c>
      <c r="F633" s="716" t="n"/>
      <c r="G633" s="716" t="n"/>
      <c r="H633" s="462" t="n"/>
    </row>
    <row r="634">
      <c r="A634" s="672" t="inlineStr">
        <is>
          <t>E100979</t>
        </is>
      </c>
      <c r="B634" s="767">
        <f>ROW()</f>
        <v/>
      </c>
      <c r="C634" s="182" t="inlineStr">
        <is>
          <t>湖北晶泰光伏电力有限公司</t>
        </is>
      </c>
      <c r="D634" s="182" t="inlineStr">
        <is>
          <t>ZI029E100734</t>
        </is>
      </c>
      <c r="E634" s="182" t="inlineStr">
        <is>
          <t>联合光伏（常州）投资集团有限公司</t>
        </is>
      </c>
      <c r="F634" s="716" t="n"/>
      <c r="G634" s="716" t="n"/>
      <c r="H634" s="462" t="n"/>
    </row>
    <row r="635">
      <c r="A635" s="672" t="inlineStr">
        <is>
          <t>E100384</t>
        </is>
      </c>
      <c r="B635" s="767">
        <f>ROW()</f>
        <v/>
      </c>
      <c r="C635" s="182" t="inlineStr">
        <is>
          <t>湖州源深太阳能科技有限公司</t>
        </is>
      </c>
      <c r="D635" s="182" t="inlineStr">
        <is>
          <t>ZI029E100371</t>
        </is>
      </c>
      <c r="E635" s="182" t="inlineStr">
        <is>
          <t>北京京能科技有限公司</t>
        </is>
      </c>
      <c r="F635" s="716" t="n"/>
      <c r="G635" s="716" t="n"/>
      <c r="H635" s="462" t="n"/>
    </row>
    <row r="636">
      <c r="A636" s="672" t="inlineStr">
        <is>
          <t>E100400</t>
        </is>
      </c>
      <c r="B636" s="767">
        <f>ROW()</f>
        <v/>
      </c>
      <c r="C636" s="182" t="inlineStr">
        <is>
          <t>湖州源兴能源有限公司</t>
        </is>
      </c>
      <c r="D636" s="182" t="inlineStr">
        <is>
          <t>ZI029E100371</t>
        </is>
      </c>
      <c r="E636" s="182" t="inlineStr">
        <is>
          <t>北京京能科技有限公司</t>
        </is>
      </c>
      <c r="F636" s="716" t="n"/>
      <c r="G636" s="716" t="n"/>
      <c r="H636" s="462" t="n"/>
    </row>
    <row r="637">
      <c r="A637" s="672" t="inlineStr">
        <is>
          <t>E100401</t>
        </is>
      </c>
      <c r="B637" s="767">
        <f>ROW()</f>
        <v/>
      </c>
      <c r="C637" s="182" t="inlineStr">
        <is>
          <t>湖州源浔能源科技有限公司</t>
        </is>
      </c>
      <c r="D637" s="182" t="inlineStr">
        <is>
          <t>ZI029E100371</t>
        </is>
      </c>
      <c r="E637" s="182" t="inlineStr">
        <is>
          <t>北京京能科技有限公司</t>
        </is>
      </c>
      <c r="F637" s="716" t="n"/>
      <c r="G637" s="716" t="n"/>
      <c r="H637" s="462" t="n"/>
    </row>
    <row r="638">
      <c r="A638" s="672" t="inlineStr">
        <is>
          <t>E100537</t>
        </is>
      </c>
      <c r="B638" s="767">
        <f>ROW()</f>
        <v/>
      </c>
      <c r="C638" s="182" t="inlineStr">
        <is>
          <t>怀来昊璟矿建房地产开发有限公司</t>
        </is>
      </c>
      <c r="D638" s="182" t="inlineStr">
        <is>
          <t>ZI029E100422</t>
        </is>
      </c>
      <c r="E638" s="182" t="inlineStr">
        <is>
          <t>北京京能建设集团有限公司</t>
        </is>
      </c>
      <c r="F638" s="716" t="n"/>
      <c r="G638" s="716" t="n"/>
      <c r="H638" s="462" t="n"/>
    </row>
    <row r="639">
      <c r="A639" s="672" t="inlineStr">
        <is>
          <t>E100455</t>
        </is>
      </c>
      <c r="B639" s="767">
        <f>ROW()</f>
        <v/>
      </c>
      <c r="C639" s="182" t="inlineStr">
        <is>
          <t>怀来矿建物业服务有限公司</t>
        </is>
      </c>
      <c r="D639" s="182" t="inlineStr">
        <is>
          <t>ZI029E100422</t>
        </is>
      </c>
      <c r="E639" s="182" t="inlineStr">
        <is>
          <t>北京京能建设集团有限公司</t>
        </is>
      </c>
      <c r="F639" s="716" t="n"/>
      <c r="G639" s="716" t="n"/>
      <c r="H639" s="462" t="n"/>
    </row>
    <row r="640">
      <c r="A640" s="672" t="inlineStr">
        <is>
          <t>E101131</t>
        </is>
      </c>
      <c r="B640" s="767">
        <f>ROW()</f>
        <v/>
      </c>
      <c r="C640" s="182" t="inlineStr">
        <is>
          <t>怀来中尚新能源科技有限公司</t>
        </is>
      </c>
      <c r="D640" s="182" t="inlineStr">
        <is>
          <t>ZI029E100001</t>
        </is>
      </c>
      <c r="E640" s="182" t="inlineStr">
        <is>
          <t>北京京能清洁能源电力股份有限公司</t>
        </is>
      </c>
      <c r="F640" s="716" t="n"/>
      <c r="G640" s="716" t="n"/>
      <c r="H640" s="462" t="n"/>
    </row>
    <row r="641">
      <c r="A641" s="672" t="inlineStr">
        <is>
          <t>E100961</t>
        </is>
      </c>
      <c r="B641" s="767">
        <f>ROW()</f>
        <v/>
      </c>
      <c r="C641" s="182" t="inlineStr">
        <is>
          <t>惠州市晟合光电科技有限公司</t>
        </is>
      </c>
      <c r="D641" s="182" t="inlineStr">
        <is>
          <t>ZI029E100960</t>
        </is>
      </c>
      <c r="E641" s="182" t="inlineStr">
        <is>
          <t>常州市晖达新能源有限公司</t>
        </is>
      </c>
      <c r="F641" s="716" t="n"/>
      <c r="G641" s="716" t="n"/>
      <c r="H641" s="462" t="n"/>
    </row>
    <row r="642">
      <c r="A642" s="672" t="inlineStr">
        <is>
          <t>E100070</t>
        </is>
      </c>
      <c r="B642" s="767">
        <f>ROW()</f>
        <v/>
      </c>
      <c r="C642" s="182" t="inlineStr">
        <is>
          <t>惠州市永景新能源科技有限公司</t>
        </is>
      </c>
      <c r="D642" s="182" t="inlineStr">
        <is>
          <t>ZI029E100001</t>
        </is>
      </c>
      <c r="E642" s="182" t="inlineStr">
        <is>
          <t>北京京能清洁能源电力股份有限公司</t>
        </is>
      </c>
      <c r="F642" s="716" t="n"/>
      <c r="G642" s="716" t="n"/>
      <c r="H642" s="462" t="n"/>
    </row>
    <row r="643">
      <c r="A643" s="672" t="inlineStr">
        <is>
          <t>E100083</t>
        </is>
      </c>
      <c r="B643" s="767">
        <f>ROW()</f>
        <v/>
      </c>
      <c r="C643" s="182" t="inlineStr">
        <is>
          <t>浑源京晶新能源有限公司</t>
        </is>
      </c>
      <c r="D643" s="182" t="inlineStr">
        <is>
          <t>ZI029E100001</t>
        </is>
      </c>
      <c r="E643" s="182" t="inlineStr">
        <is>
          <t>北京京能清洁能源电力股份有限公司</t>
        </is>
      </c>
      <c r="F643" s="716" t="n"/>
      <c r="G643" s="716" t="n"/>
      <c r="H643" s="462" t="n"/>
    </row>
    <row r="644" ht="16.8" customHeight="1" s="1181">
      <c r="A644" s="672" t="inlineStr">
        <is>
          <t>E100083</t>
        </is>
      </c>
      <c r="B644" s="767">
        <f>ROW()</f>
        <v/>
      </c>
      <c r="C644" s="182" t="inlineStr">
        <is>
          <t>浑源京晶新能源有限公司</t>
        </is>
      </c>
      <c r="D644" s="390" t="inlineStr">
        <is>
          <t>ZI029E101144</t>
        </is>
      </c>
      <c r="E644" s="390" t="inlineStr">
        <is>
          <t>横峰县晶源电力有限公司</t>
        </is>
      </c>
      <c r="F644" s="716" t="n"/>
      <c r="G644" s="716" t="n"/>
      <c r="H644" s="462" t="n"/>
    </row>
    <row r="645">
      <c r="A645" s="672" t="inlineStr">
        <is>
          <t>E100930</t>
        </is>
      </c>
      <c r="B645" s="767">
        <f>ROW()</f>
        <v/>
      </c>
      <c r="C645" s="182" t="inlineStr">
        <is>
          <t>浑源斯能新能源有限公司</t>
        </is>
      </c>
      <c r="D645" s="182" t="inlineStr">
        <is>
          <t>ZI029E100730</t>
        </is>
      </c>
      <c r="E645" s="182" t="inlineStr">
        <is>
          <t>京能国际能源发展（北京）有限公司</t>
        </is>
      </c>
      <c r="F645" s="716" t="n"/>
      <c r="G645" s="716" t="n"/>
      <c r="H645" s="462" t="n"/>
    </row>
    <row r="646">
      <c r="A646" s="672" t="inlineStr">
        <is>
          <t>E100910</t>
        </is>
      </c>
      <c r="B646" s="767">
        <f>ROW()</f>
        <v/>
      </c>
      <c r="C646" s="182" t="inlineStr">
        <is>
          <t>霍邱县华钦新能源有限公司</t>
        </is>
      </c>
      <c r="D646" s="182" t="inlineStr">
        <is>
          <t>ZI029E100909</t>
        </is>
      </c>
      <c r="E646" s="182" t="inlineStr">
        <is>
          <t>六安华钦新能源有限公司</t>
        </is>
      </c>
      <c r="F646" s="716" t="n"/>
      <c r="G646" s="716" t="n"/>
      <c r="H646" s="462" t="n"/>
    </row>
    <row r="647">
      <c r="A647" s="672" t="inlineStr">
        <is>
          <t>E100822</t>
        </is>
      </c>
      <c r="B647" s="767">
        <f>ROW()</f>
        <v/>
      </c>
      <c r="C647" s="182" t="inlineStr">
        <is>
          <t>嘉燕（北京）新能源有限公司</t>
        </is>
      </c>
      <c r="D647" s="182" t="inlineStr">
        <is>
          <t>ZI029E100748</t>
        </is>
      </c>
      <c r="E647" s="182" t="inlineStr">
        <is>
          <t>北京京能国际综合智慧能源有限公司</t>
        </is>
      </c>
      <c r="F647" s="716" t="n"/>
      <c r="G647" s="716" t="n"/>
      <c r="H647" s="462" t="n"/>
    </row>
    <row r="648">
      <c r="A648" s="672" t="inlineStr">
        <is>
          <t>E101094</t>
        </is>
      </c>
      <c r="B648" s="767">
        <f>ROW()</f>
        <v/>
      </c>
      <c r="C648" s="182" t="inlineStr">
        <is>
          <t>京宝（北京）综合能源服务有限公司</t>
        </is>
      </c>
      <c r="D648" s="182" t="inlineStr">
        <is>
          <t>ZI029E100748</t>
        </is>
      </c>
      <c r="E648" s="182" t="inlineStr">
        <is>
          <t>北京京能国际综合智慧能源有限公司</t>
        </is>
      </c>
      <c r="F648" s="716" t="n"/>
      <c r="G648" s="716" t="n"/>
      <c r="H648" s="462" t="n"/>
    </row>
    <row r="649">
      <c r="A649" s="672" t="inlineStr">
        <is>
          <t>E101342</t>
        </is>
      </c>
      <c r="B649" s="767">
        <f>ROW()</f>
        <v/>
      </c>
      <c r="C649" s="182" t="inlineStr">
        <is>
          <t>京海能航（北京）新能源有限公司</t>
        </is>
      </c>
      <c r="D649" s="182" t="inlineStr">
        <is>
          <t>ZI029E100748</t>
        </is>
      </c>
      <c r="E649" s="182" t="inlineStr">
        <is>
          <t>北京京能国际综合智慧能源有限公司</t>
        </is>
      </c>
      <c r="F649" s="716" t="n"/>
      <c r="G649" s="716" t="n"/>
      <c r="H649" s="462" t="n"/>
    </row>
    <row r="650">
      <c r="A650" s="672" t="inlineStr">
        <is>
          <t>E100026</t>
        </is>
      </c>
      <c r="B650" s="767">
        <f>ROW()</f>
        <v/>
      </c>
      <c r="C650" s="182" t="inlineStr">
        <is>
          <t>建湖京能新能源有限公司</t>
        </is>
      </c>
      <c r="D650" s="182" t="inlineStr">
        <is>
          <t>ZI029E100001</t>
        </is>
      </c>
      <c r="E650" s="182" t="inlineStr">
        <is>
          <t>北京京能清洁能源电力股份有限公司</t>
        </is>
      </c>
      <c r="F650" s="716" t="n"/>
      <c r="G650" s="716" t="n"/>
      <c r="H650" s="462" t="n"/>
    </row>
    <row r="651">
      <c r="A651" s="672" t="inlineStr">
        <is>
          <t>E100714</t>
        </is>
      </c>
      <c r="B651" s="767">
        <f>ROW()</f>
        <v/>
      </c>
      <c r="C651" s="182" t="inlineStr">
        <is>
          <t>建平京能风力发电有限公司</t>
        </is>
      </c>
      <c r="D651" s="182" t="inlineStr">
        <is>
          <t>ZI029E100001</t>
        </is>
      </c>
      <c r="E651" s="182" t="inlineStr">
        <is>
          <t>北京京能清洁能源电力股份有限公司</t>
        </is>
      </c>
      <c r="F651" s="716" t="n"/>
      <c r="G651" s="716" t="n"/>
      <c r="H651" s="462" t="n"/>
    </row>
    <row r="652">
      <c r="A652" s="672" t="inlineStr">
        <is>
          <t>E100175</t>
        </is>
      </c>
      <c r="B652" s="767">
        <f>ROW()</f>
        <v/>
      </c>
      <c r="C652" s="182" t="inlineStr">
        <is>
          <t>江西宜春京能热电有限责任公司</t>
        </is>
      </c>
      <c r="D652" s="182" t="inlineStr">
        <is>
          <t>ZI029E100145</t>
        </is>
      </c>
      <c r="E652" s="182" t="inlineStr">
        <is>
          <t>北京京能电力股份有限公司</t>
        </is>
      </c>
      <c r="F652" s="716" t="n"/>
      <c r="G652" s="716" t="n"/>
      <c r="H652" s="462" t="n"/>
    </row>
    <row r="653">
      <c r="A653" s="672" t="inlineStr">
        <is>
          <t>E100916</t>
        </is>
      </c>
      <c r="B653" s="767">
        <f>ROW()</f>
        <v/>
      </c>
      <c r="C653" s="182" t="inlineStr">
        <is>
          <t>焦作市盈聚新能源科技有限公司</t>
        </is>
      </c>
      <c r="D653" s="182" t="inlineStr">
        <is>
          <t>ZI029E100908</t>
        </is>
      </c>
      <c r="E653" s="182" t="inlineStr">
        <is>
          <t>北京通力日昇新能源科技有限公司</t>
        </is>
      </c>
      <c r="F653" s="716" t="n"/>
      <c r="G653" s="716" t="n"/>
      <c r="H653" s="462" t="n"/>
    </row>
    <row r="654">
      <c r="A654" s="672" t="inlineStr">
        <is>
          <t>E100443</t>
        </is>
      </c>
      <c r="B654" s="767">
        <f>ROW()</f>
        <v/>
      </c>
      <c r="C654" s="182" t="inlineStr">
        <is>
          <t>金泰丽城（天津）置业投资有限公司</t>
        </is>
      </c>
      <c r="D654" s="182" t="inlineStr">
        <is>
          <t>ZI029E100421</t>
        </is>
      </c>
      <c r="E654" s="182" t="inlineStr">
        <is>
          <t>北京金泰房地产开发有限责任公司</t>
        </is>
      </c>
      <c r="F654" s="716" t="n"/>
      <c r="G654" s="716" t="n"/>
      <c r="H654" s="462" t="n"/>
    </row>
    <row r="655">
      <c r="A655" s="672" t="inlineStr">
        <is>
          <t>E100770</t>
        </is>
      </c>
      <c r="B655" s="767">
        <f>ROW()</f>
        <v/>
      </c>
      <c r="C655" s="182" t="inlineStr">
        <is>
          <t>金泰壹号（天津）企业管理合伙企业（有限合伙）</t>
        </is>
      </c>
      <c r="D655" s="182" t="inlineStr">
        <is>
          <t>ZI029E100268</t>
        </is>
      </c>
      <c r="E655" s="182" t="inlineStr">
        <is>
          <t>北京京煤集团有限责任公司</t>
        </is>
      </c>
      <c r="F655" s="716" t="n"/>
      <c r="G655" s="716" t="n"/>
      <c r="H655" s="462" t="n"/>
    </row>
    <row r="656">
      <c r="A656" s="672" t="inlineStr">
        <is>
          <t>E100770</t>
        </is>
      </c>
      <c r="B656" s="767">
        <f>ROW()</f>
        <v/>
      </c>
      <c r="C656" s="182" t="inlineStr">
        <is>
          <t>金泰壹号（天津）企业管理合伙企业（有限合伙）</t>
        </is>
      </c>
      <c r="D656" s="182" t="inlineStr">
        <is>
          <t>ZI029E100353</t>
        </is>
      </c>
      <c r="E656" s="182" t="inlineStr">
        <is>
          <t>北京京能房产租赁经营有限责任公司</t>
        </is>
      </c>
      <c r="F656" s="716" t="n"/>
      <c r="G656" s="716" t="n"/>
      <c r="H656" s="462" t="n"/>
    </row>
    <row r="657">
      <c r="A657" s="672" t="inlineStr">
        <is>
          <t>E100733</t>
        </is>
      </c>
      <c r="B657" s="767">
        <f>ROW()</f>
        <v/>
      </c>
      <c r="C657" s="182" t="inlineStr">
        <is>
          <t>晋中晋合新能源有限公司</t>
        </is>
      </c>
      <c r="D657" s="182" t="inlineStr">
        <is>
          <t>ZI029E100949</t>
        </is>
      </c>
      <c r="E657" s="182" t="inlineStr">
        <is>
          <t>常州晋合新能源有限公司</t>
        </is>
      </c>
      <c r="F657" s="716" t="n"/>
      <c r="G657" s="716" t="n"/>
      <c r="H657" s="462" t="n"/>
    </row>
    <row r="658">
      <c r="A658" s="672" t="inlineStr">
        <is>
          <t>E100030</t>
        </is>
      </c>
      <c r="B658" s="767">
        <f>ROW()</f>
        <v/>
      </c>
      <c r="C658" s="182" t="inlineStr">
        <is>
          <t>缙云县京能新能源有限公司</t>
        </is>
      </c>
      <c r="D658" s="182" t="inlineStr">
        <is>
          <t>ZI029E100001</t>
        </is>
      </c>
      <c r="E658" s="182" t="inlineStr">
        <is>
          <t>北京京能清洁能源电力股份有限公司</t>
        </is>
      </c>
      <c r="F658" s="716" t="n"/>
      <c r="G658" s="716" t="n"/>
      <c r="H658" s="462" t="n"/>
    </row>
    <row r="659">
      <c r="A659" s="672" t="inlineStr">
        <is>
          <t>E100922</t>
        </is>
      </c>
      <c r="B659" s="767">
        <f>ROW()</f>
        <v/>
      </c>
      <c r="C659" s="182" t="inlineStr">
        <is>
          <t>京傲（达茂）新能源有限公司</t>
        </is>
      </c>
      <c r="D659" s="182" t="inlineStr">
        <is>
          <t>ZI029E100730</t>
        </is>
      </c>
      <c r="E659" s="182" t="inlineStr">
        <is>
          <t>京能国际能源发展（北京）有限公司</t>
        </is>
      </c>
      <c r="F659" s="716" t="n"/>
      <c r="G659" s="716" t="n"/>
      <c r="H659" s="462" t="n"/>
    </row>
    <row r="660">
      <c r="A660" s="672" t="inlineStr">
        <is>
          <t>E100888</t>
        </is>
      </c>
      <c r="B660" s="767">
        <f>ROW()</f>
        <v/>
      </c>
      <c r="C660" s="182" t="inlineStr">
        <is>
          <t>京济（临沂）新能源技术有限公司</t>
        </is>
      </c>
      <c r="D660" s="182" t="inlineStr">
        <is>
          <t>ZI029E100883</t>
        </is>
      </c>
      <c r="E660" s="182" t="inlineStr">
        <is>
          <t>Beijing Energy International Investment Limited</t>
        </is>
      </c>
      <c r="F660" s="716" t="n"/>
      <c r="G660" s="716" t="n"/>
      <c r="H660" s="462" t="n"/>
    </row>
    <row r="661">
      <c r="A661" s="672" t="inlineStr">
        <is>
          <t>E100895</t>
        </is>
      </c>
      <c r="B661" s="767">
        <f>ROW()</f>
        <v/>
      </c>
      <c r="C661" s="182" t="inlineStr">
        <is>
          <t>京临（沂水）新能源有限公司</t>
        </is>
      </c>
      <c r="D661" s="182" t="inlineStr">
        <is>
          <t>ZI029E100883</t>
        </is>
      </c>
      <c r="E661" s="182" t="inlineStr">
        <is>
          <t>Beijing Energy International Investment Limited</t>
        </is>
      </c>
      <c r="F661" s="716" t="n"/>
      <c r="G661" s="716" t="n"/>
      <c r="H661" s="462" t="n"/>
    </row>
    <row r="662">
      <c r="A662" s="672" t="inlineStr">
        <is>
          <t>E100886</t>
        </is>
      </c>
      <c r="B662" s="767">
        <f>ROW()</f>
        <v/>
      </c>
      <c r="C662" s="182" t="inlineStr">
        <is>
          <t>京能（鞍山）新能源有限公司</t>
        </is>
      </c>
      <c r="D662" s="182" t="inlineStr">
        <is>
          <t>ZI029E100883</t>
        </is>
      </c>
      <c r="E662" s="182" t="inlineStr">
        <is>
          <t>Beijing Energy International Investment Limited</t>
        </is>
      </c>
      <c r="F662" s="716" t="n"/>
      <c r="G662" s="716" t="n"/>
      <c r="H662" s="462" t="n"/>
    </row>
    <row r="663">
      <c r="A663" s="672" t="inlineStr">
        <is>
          <t>E100170</t>
        </is>
      </c>
      <c r="B663" s="767">
        <f>ROW()</f>
        <v/>
      </c>
      <c r="C663" s="182" t="inlineStr">
        <is>
          <t>京能（赤峰）能源发展有限公司</t>
        </is>
      </c>
      <c r="D663" s="182" t="inlineStr">
        <is>
          <t>ZI029E100145</t>
        </is>
      </c>
      <c r="E663" s="182" t="inlineStr">
        <is>
          <t>北京京能电力股份有限公司</t>
        </is>
      </c>
      <c r="F663" s="716" t="n"/>
      <c r="G663" s="716" t="n"/>
      <c r="H663" s="462" t="n"/>
    </row>
    <row r="664">
      <c r="A664" s="672" t="inlineStr">
        <is>
          <t>E100889</t>
        </is>
      </c>
      <c r="B664" s="767">
        <f>ROW()</f>
        <v/>
      </c>
      <c r="C664" s="182" t="inlineStr">
        <is>
          <t>京能（德城区）新能源科技有限公司</t>
        </is>
      </c>
      <c r="D664" s="182" t="inlineStr">
        <is>
          <t>ZI029E100883</t>
        </is>
      </c>
      <c r="E664" s="182" t="inlineStr">
        <is>
          <t>Beijing Energy International Investment Limited</t>
        </is>
      </c>
      <c r="F664" s="716" t="n"/>
      <c r="G664" s="716" t="n"/>
      <c r="H664" s="462" t="n"/>
    </row>
    <row r="665">
      <c r="A665" s="672" t="inlineStr">
        <is>
          <t>E100824</t>
        </is>
      </c>
      <c r="B665" s="767">
        <f>ROW()</f>
        <v/>
      </c>
      <c r="C665" s="182" t="inlineStr">
        <is>
          <t>京能（高碑店）新能源科技有限公司</t>
        </is>
      </c>
      <c r="D665" s="182" t="inlineStr">
        <is>
          <t>ZI029E100730</t>
        </is>
      </c>
      <c r="E665" s="182" t="inlineStr">
        <is>
          <t>京能国际能源发展（北京）有限公司</t>
        </is>
      </c>
      <c r="F665" s="716" t="n"/>
      <c r="G665" s="716" t="n"/>
      <c r="H665" s="462" t="n"/>
    </row>
    <row r="666">
      <c r="A666" s="672" t="inlineStr">
        <is>
          <t>E101061</t>
        </is>
      </c>
      <c r="B666" s="767">
        <f>ROW()</f>
        <v/>
      </c>
      <c r="C666" s="182" t="inlineStr">
        <is>
          <t>京能（故城）新能源有限公司</t>
        </is>
      </c>
      <c r="D666" s="182" t="inlineStr">
        <is>
          <t>ZI029E100730</t>
        </is>
      </c>
      <c r="E666" s="182" t="inlineStr">
        <is>
          <t>京能国际能源发展（北京）有限公司</t>
        </is>
      </c>
      <c r="F666" s="716" t="n"/>
      <c r="G666" s="716" t="n"/>
      <c r="H666" s="462" t="n"/>
    </row>
    <row r="667">
      <c r="A667" s="672" t="inlineStr">
        <is>
          <t>E100791</t>
        </is>
      </c>
      <c r="B667" s="767">
        <f>ROW()</f>
        <v/>
      </c>
      <c r="C667" s="182" t="inlineStr">
        <is>
          <t>京能（嘉兴秀洲）新能源有限公司</t>
        </is>
      </c>
      <c r="D667" s="182" t="inlineStr">
        <is>
          <t>ZI029E100730</t>
        </is>
      </c>
      <c r="E667" s="182" t="inlineStr">
        <is>
          <t>京能国际能源发展（北京）有限公司</t>
        </is>
      </c>
      <c r="F667" s="716" t="n"/>
      <c r="G667" s="716" t="n"/>
      <c r="H667" s="462" t="n"/>
    </row>
    <row r="668">
      <c r="A668" s="672" t="inlineStr">
        <is>
          <t>E100892</t>
        </is>
      </c>
      <c r="B668" s="767">
        <f>ROW()</f>
        <v/>
      </c>
      <c r="C668" s="182" t="inlineStr">
        <is>
          <t>京能（莱阳）新能源有限公司</t>
        </is>
      </c>
      <c r="D668" s="182" t="inlineStr">
        <is>
          <t>ZI029E100883</t>
        </is>
      </c>
      <c r="E668" s="182" t="inlineStr">
        <is>
          <t>Beijing Energy International Investment Limited</t>
        </is>
      </c>
      <c r="F668" s="716" t="n"/>
      <c r="G668" s="716" t="n"/>
      <c r="H668" s="462" t="n"/>
    </row>
    <row r="669">
      <c r="A669" s="672" t="inlineStr">
        <is>
          <t>E100891</t>
        </is>
      </c>
      <c r="B669" s="767">
        <f>ROW()</f>
        <v/>
      </c>
      <c r="C669" s="182" t="inlineStr">
        <is>
          <t>京能（莱州）新能源有限公司</t>
        </is>
      </c>
      <c r="D669" s="182" t="inlineStr">
        <is>
          <t>ZI029E100883</t>
        </is>
      </c>
      <c r="E669" s="182" t="inlineStr">
        <is>
          <t>Beijing Energy International Investment Limited</t>
        </is>
      </c>
      <c r="F669" s="716" t="n"/>
      <c r="G669" s="716" t="n"/>
      <c r="H669" s="462" t="n"/>
    </row>
    <row r="670">
      <c r="A670" s="672" t="inlineStr">
        <is>
          <t>E100998</t>
        </is>
      </c>
      <c r="B670" s="767">
        <f>ROW()</f>
        <v/>
      </c>
      <c r="C670" s="182" t="inlineStr">
        <is>
          <t>京能（聊城）风力发电有限公司</t>
        </is>
      </c>
      <c r="D670" s="182" t="inlineStr">
        <is>
          <t>ZI029E100883</t>
        </is>
      </c>
      <c r="E670" s="182" t="inlineStr">
        <is>
          <t>Beijing Energy International Investment Limited</t>
        </is>
      </c>
      <c r="F670" s="716" t="n"/>
      <c r="G670" s="716" t="n"/>
      <c r="H670" s="462" t="n"/>
    </row>
    <row r="671">
      <c r="A671" s="672" t="inlineStr">
        <is>
          <t>E100023</t>
        </is>
      </c>
      <c r="B671" s="767">
        <f>ROW()</f>
        <v/>
      </c>
      <c r="C671" s="182" t="inlineStr">
        <is>
          <t>京能（迁西）发电有限公司</t>
        </is>
      </c>
      <c r="D671" s="182" t="inlineStr">
        <is>
          <t>ZI029E100001</t>
        </is>
      </c>
      <c r="E671" s="182" t="inlineStr">
        <is>
          <t>北京京能清洁能源电力股份有限公司</t>
        </is>
      </c>
      <c r="F671" s="716" t="n"/>
      <c r="G671" s="716" t="n"/>
      <c r="H671" s="462" t="n"/>
    </row>
    <row r="672">
      <c r="A672" s="672" t="inlineStr">
        <is>
          <t>E100887</t>
        </is>
      </c>
      <c r="B672" s="767">
        <f>ROW()</f>
        <v/>
      </c>
      <c r="C672" s="182" t="inlineStr">
        <is>
          <t>京能（荣成）新能源有限公司</t>
        </is>
      </c>
      <c r="D672" s="182" t="inlineStr">
        <is>
          <t>ZI029E100883</t>
        </is>
      </c>
      <c r="E672" s="182" t="inlineStr">
        <is>
          <t>Beijing Energy International Investment Limited</t>
        </is>
      </c>
      <c r="F672" s="716" t="n"/>
      <c r="G672" s="716" t="n"/>
      <c r="H672" s="462" t="n"/>
    </row>
    <row r="673">
      <c r="A673" s="672" t="inlineStr">
        <is>
          <t>E100885</t>
        </is>
      </c>
      <c r="B673" s="767">
        <f>ROW()</f>
        <v/>
      </c>
      <c r="C673" s="182" t="inlineStr">
        <is>
          <t>京能（乳山）新能源有限公司</t>
        </is>
      </c>
      <c r="D673" s="182" t="inlineStr">
        <is>
          <t>ZI029E100883</t>
        </is>
      </c>
      <c r="E673" s="182" t="inlineStr">
        <is>
          <t>Beijing Energy International Investment Limited</t>
        </is>
      </c>
      <c r="F673" s="716" t="n"/>
      <c r="G673" s="716" t="n"/>
      <c r="H673" s="462" t="n"/>
    </row>
    <row r="674">
      <c r="A674" s="672" t="inlineStr">
        <is>
          <t>E100156</t>
        </is>
      </c>
      <c r="B674" s="767">
        <f>ROW()</f>
        <v/>
      </c>
      <c r="C674" s="182" t="inlineStr">
        <is>
          <t>京能（锡林郭勒）发电有限公司</t>
        </is>
      </c>
      <c r="D674" s="182" t="inlineStr">
        <is>
          <t>ZI029E100145</t>
        </is>
      </c>
      <c r="E674" s="182" t="inlineStr">
        <is>
          <t>北京京能电力股份有限公司</t>
        </is>
      </c>
      <c r="F674" s="716" t="n"/>
      <c r="G674" s="716" t="n"/>
      <c r="H674" s="462" t="n"/>
    </row>
    <row r="675">
      <c r="A675" s="672" t="inlineStr">
        <is>
          <t>E100896</t>
        </is>
      </c>
      <c r="B675" s="767">
        <f>ROW()</f>
        <v/>
      </c>
      <c r="C675" s="182" t="inlineStr">
        <is>
          <t>京能（兴城）新能源有限公司</t>
        </is>
      </c>
      <c r="D675" s="182" t="inlineStr">
        <is>
          <t>ZI029E100883</t>
        </is>
      </c>
      <c r="E675" s="182" t="inlineStr">
        <is>
          <t>Beijing Energy International Investment Limited</t>
        </is>
      </c>
      <c r="F675" s="716" t="n"/>
      <c r="G675" s="716" t="n"/>
      <c r="H675" s="462" t="n"/>
    </row>
    <row r="676">
      <c r="A676" s="672" t="inlineStr">
        <is>
          <t>E100997</t>
        </is>
      </c>
      <c r="B676" s="767">
        <f>ROW()</f>
        <v/>
      </c>
      <c r="C676" s="182" t="inlineStr">
        <is>
          <t>京能（烟台栖霞市）光伏发电有限公司</t>
        </is>
      </c>
      <c r="D676" s="182" t="inlineStr">
        <is>
          <t>ZI029E100730</t>
        </is>
      </c>
      <c r="E676" s="182" t="inlineStr">
        <is>
          <t>京能国际能源发展（北京）有限公司</t>
        </is>
      </c>
      <c r="F676" s="716" t="n"/>
      <c r="G676" s="716" t="n"/>
      <c r="H676" s="462" t="n"/>
    </row>
    <row r="677">
      <c r="A677" s="672" t="inlineStr">
        <is>
          <t>E100861</t>
        </is>
      </c>
      <c r="B677" s="767">
        <f>ROW()</f>
        <v/>
      </c>
      <c r="C677" s="182" t="inlineStr">
        <is>
          <t>京能阿巴嘎旗生态科技有限公司</t>
        </is>
      </c>
      <c r="D677" s="182" t="inlineStr">
        <is>
          <t>ZI029E100189</t>
        </is>
      </c>
      <c r="E677" s="182" t="inlineStr">
        <is>
          <t>京能锡林郭勒能源有限公司</t>
        </is>
      </c>
      <c r="F677" s="716" t="n"/>
      <c r="G677" s="716" t="n"/>
      <c r="H677" s="462" t="n"/>
    </row>
    <row r="678">
      <c r="A678" s="672" t="inlineStr">
        <is>
          <t>E100715</t>
        </is>
      </c>
      <c r="B678" s="767">
        <f>ROW()</f>
        <v/>
      </c>
      <c r="C678" s="182" t="inlineStr">
        <is>
          <t>京能保险经纪有限公司</t>
        </is>
      </c>
      <c r="D678" s="182" t="inlineStr">
        <is>
          <t>ZI029E100000</t>
        </is>
      </c>
      <c r="E678" s="182" t="inlineStr">
        <is>
          <t>北京能源集团有限责任公司</t>
        </is>
      </c>
      <c r="F678" s="716" t="n"/>
      <c r="G678" s="716" t="n"/>
      <c r="H678" s="462" t="n"/>
    </row>
    <row r="679">
      <c r="A679" s="672" t="inlineStr">
        <is>
          <t>E100254</t>
        </is>
      </c>
      <c r="B679" s="767">
        <f>ROW()</f>
        <v/>
      </c>
      <c r="C679" s="182" t="inlineStr">
        <is>
          <t>京能大同热力有限公司</t>
        </is>
      </c>
      <c r="D679" s="182" t="inlineStr">
        <is>
          <t>ZI029E100222</t>
        </is>
      </c>
      <c r="E679" s="182" t="inlineStr">
        <is>
          <t>北京市热力集团有限责任公司</t>
        </is>
      </c>
      <c r="F679" s="716" t="n"/>
      <c r="G679" s="716" t="n"/>
      <c r="H679" s="462" t="n"/>
    </row>
    <row r="680">
      <c r="A680" s="672" t="inlineStr">
        <is>
          <t>E100254G</t>
        </is>
      </c>
      <c r="B680" s="767">
        <f>ROW()</f>
        <v/>
      </c>
      <c r="C680" s="182" t="inlineStr">
        <is>
          <t>京能大同热力有限公司（合并）</t>
        </is>
      </c>
      <c r="D680" s="182" t="inlineStr">
        <is>
          <t>ZI029E100222</t>
        </is>
      </c>
      <c r="E680" s="182" t="inlineStr">
        <is>
          <t>北京市热力集团有限责任公司</t>
        </is>
      </c>
      <c r="F680" s="716" t="n"/>
      <c r="G680" s="716" t="n"/>
      <c r="H680" s="462" t="n"/>
    </row>
    <row r="681">
      <c r="A681" s="672" t="inlineStr">
        <is>
          <t>E100254H</t>
        </is>
      </c>
      <c r="B681" s="767">
        <f>ROW()</f>
        <v/>
      </c>
      <c r="C681" s="182" t="inlineStr">
        <is>
          <t>京能大同热力有限公司（合并）本部</t>
        </is>
      </c>
      <c r="D681" s="182" t="inlineStr">
        <is>
          <t>ZI029E100222</t>
        </is>
      </c>
      <c r="E681" s="182" t="inlineStr">
        <is>
          <t>北京市热力集团有限责任公司</t>
        </is>
      </c>
      <c r="F681" s="716" t="n"/>
      <c r="G681" s="716" t="n"/>
      <c r="H681" s="462" t="n"/>
    </row>
    <row r="682">
      <c r="A682" s="672" t="inlineStr">
        <is>
          <t>E100109</t>
        </is>
      </c>
      <c r="B682" s="767">
        <f>ROW()</f>
        <v/>
      </c>
      <c r="C682" s="182" t="inlineStr">
        <is>
          <t>京能电力后勤服务有限公司</t>
        </is>
      </c>
      <c r="D682" s="182" t="inlineStr">
        <is>
          <t>ZI029E100000</t>
        </is>
      </c>
      <c r="E682" s="182" t="inlineStr">
        <is>
          <t>北京能源集团有限责任公司</t>
        </is>
      </c>
      <c r="F682" s="716" t="n"/>
      <c r="G682" s="716" t="n"/>
      <c r="H682" s="462" t="n"/>
    </row>
    <row r="683">
      <c r="A683" s="672" t="inlineStr">
        <is>
          <t>E100109G</t>
        </is>
      </c>
      <c r="B683" s="767">
        <f>ROW()</f>
        <v/>
      </c>
      <c r="C683" s="182" t="inlineStr">
        <is>
          <t>京能电力后勤服务有限公司（合并）</t>
        </is>
      </c>
      <c r="D683" s="182" t="inlineStr">
        <is>
          <t>ZI029E100000</t>
        </is>
      </c>
      <c r="E683" s="182" t="inlineStr">
        <is>
          <t>北京能源集团有限责任公司</t>
        </is>
      </c>
      <c r="F683" s="716" t="n"/>
      <c r="G683" s="716" t="n"/>
      <c r="H683" s="462" t="n"/>
    </row>
    <row r="684">
      <c r="A684" s="672" t="inlineStr">
        <is>
          <t>E100128</t>
        </is>
      </c>
      <c r="B684" s="767">
        <f>ROW()</f>
        <v/>
      </c>
      <c r="C684" s="182" t="inlineStr">
        <is>
          <t>京能电力科技环保有限公司</t>
        </is>
      </c>
      <c r="D684" s="182" t="inlineStr">
        <is>
          <t>ZI029E100109</t>
        </is>
      </c>
      <c r="E684" s="182" t="inlineStr">
        <is>
          <t>京能电力后勤服务有限公司</t>
        </is>
      </c>
      <c r="F684" s="716" t="n"/>
      <c r="G684" s="716" t="n"/>
      <c r="H684" s="462" t="n"/>
    </row>
    <row r="685">
      <c r="A685" s="672" t="inlineStr">
        <is>
          <t>E100135</t>
        </is>
      </c>
      <c r="B685" s="767">
        <f>ROW()</f>
        <v/>
      </c>
      <c r="C685" s="182" t="inlineStr">
        <is>
          <t>京能电力涿州科技环保有限公司</t>
        </is>
      </c>
      <c r="D685" s="182" t="inlineStr">
        <is>
          <t>ZI029E100109</t>
        </is>
      </c>
      <c r="E685" s="182" t="inlineStr">
        <is>
          <t>京能电力后勤服务有限公司</t>
        </is>
      </c>
      <c r="F685" s="716" t="n"/>
      <c r="G685" s="716" t="n"/>
      <c r="H685" s="462" t="n"/>
    </row>
    <row r="686">
      <c r="A686" s="672" t="inlineStr">
        <is>
          <t>E100135G</t>
        </is>
      </c>
      <c r="B686" s="767">
        <f>ROW()</f>
        <v/>
      </c>
      <c r="C686" s="182" t="inlineStr">
        <is>
          <t>京能电力涿州科技环保有限公司（合并）</t>
        </is>
      </c>
      <c r="D686" s="182" t="inlineStr">
        <is>
          <t>ZI029E100109</t>
        </is>
      </c>
      <c r="E686" s="182" t="inlineStr">
        <is>
          <t>京能电力后勤服务有限公司</t>
        </is>
      </c>
      <c r="F686" s="716" t="n"/>
      <c r="G686" s="716" t="n"/>
      <c r="H686" s="462" t="n"/>
    </row>
    <row r="687">
      <c r="A687" s="672" t="inlineStr">
        <is>
          <t>E100186</t>
        </is>
      </c>
      <c r="B687" s="767">
        <f>ROW()</f>
        <v/>
      </c>
      <c r="C687" s="182" t="inlineStr">
        <is>
          <t>京能东风（十堰）能源发展有限公司</t>
        </is>
      </c>
      <c r="D687" s="182" t="inlineStr">
        <is>
          <t>ZI029E100000</t>
        </is>
      </c>
      <c r="E687" s="182" t="inlineStr">
        <is>
          <t>北京能源集团有限责任公司</t>
        </is>
      </c>
      <c r="F687" s="716" t="n"/>
      <c r="G687" s="716" t="n"/>
      <c r="H687" s="462" t="n"/>
    </row>
    <row r="688">
      <c r="A688" s="672" t="inlineStr">
        <is>
          <t>E100108</t>
        </is>
      </c>
      <c r="B688" s="767">
        <f>ROW()</f>
        <v/>
      </c>
      <c r="C688" s="182" t="inlineStr">
        <is>
          <t>京能服务管理有限公司</t>
        </is>
      </c>
      <c r="D688" s="182" t="inlineStr">
        <is>
          <t>ZI029E100000</t>
        </is>
      </c>
      <c r="E688" s="182" t="inlineStr">
        <is>
          <t>北京能源集团有限责任公司</t>
        </is>
      </c>
      <c r="F688" s="716" t="n"/>
      <c r="G688" s="716" t="n"/>
      <c r="H688" s="462" t="n"/>
    </row>
    <row r="689">
      <c r="A689" s="672" t="inlineStr">
        <is>
          <t>E100108H</t>
        </is>
      </c>
      <c r="B689" s="767">
        <f>ROW()</f>
        <v/>
      </c>
      <c r="C689" s="182" t="inlineStr">
        <is>
          <t>京能服务管理有限公司（合并）</t>
        </is>
      </c>
      <c r="D689" s="182" t="inlineStr">
        <is>
          <t>ZI029E100000</t>
        </is>
      </c>
      <c r="E689" s="182" t="inlineStr">
        <is>
          <t>北京能源集团有限责任公司</t>
        </is>
      </c>
      <c r="F689" s="716" t="n"/>
      <c r="G689" s="716" t="n"/>
      <c r="H689" s="462" t="n"/>
    </row>
    <row r="690">
      <c r="A690" s="672" t="inlineStr">
        <is>
          <t>E100894</t>
        </is>
      </c>
      <c r="B690" s="767">
        <f>ROW()</f>
        <v/>
      </c>
      <c r="C690" s="182" t="inlineStr">
        <is>
          <t>京能国际（高邮）新能源有限公司</t>
        </is>
      </c>
      <c r="D690" s="182" t="inlineStr">
        <is>
          <t>ZI029E100883</t>
        </is>
      </c>
      <c r="E690" s="182" t="inlineStr">
        <is>
          <t>Beijing Energy International Investment Limited</t>
        </is>
      </c>
      <c r="F690" s="716" t="n"/>
      <c r="G690" s="716" t="n"/>
      <c r="H690" s="462" t="n"/>
    </row>
    <row r="691">
      <c r="A691" s="672" t="inlineStr">
        <is>
          <t>E100730</t>
        </is>
      </c>
      <c r="B691" s="767">
        <f>ROW()</f>
        <v/>
      </c>
      <c r="C691" s="182" t="inlineStr">
        <is>
          <t>京能国际能源发展（北京）有限公司</t>
        </is>
      </c>
      <c r="D691" s="182" t="inlineStr">
        <is>
          <t>ZI029E100883</t>
        </is>
      </c>
      <c r="E691" s="182" t="inlineStr">
        <is>
          <t>Beijing Energy International Investment Limited</t>
        </is>
      </c>
      <c r="F691" s="716" t="n"/>
      <c r="G691" s="716" t="n"/>
      <c r="H691" s="462" t="n"/>
    </row>
    <row r="692">
      <c r="A692" s="672" t="inlineStr">
        <is>
          <t>E100730</t>
        </is>
      </c>
      <c r="B692" s="767">
        <f>ROW()</f>
        <v/>
      </c>
      <c r="C692" s="182" t="inlineStr">
        <is>
          <t>京能国际能源发展（北京）有限公司</t>
        </is>
      </c>
      <c r="D692" s="182" t="inlineStr">
        <is>
          <t>ZI029E100729</t>
        </is>
      </c>
      <c r="E692" s="182" t="inlineStr">
        <is>
          <t>北京京能国际控股有限公司</t>
        </is>
      </c>
      <c r="F692" s="716" t="n"/>
      <c r="G692" s="716" t="n"/>
      <c r="H692" s="462" t="n"/>
    </row>
    <row r="693">
      <c r="A693" s="672" t="inlineStr">
        <is>
          <t>E100730</t>
        </is>
      </c>
      <c r="B693" s="767">
        <f>ROW()</f>
        <v/>
      </c>
      <c r="C693" s="182" t="inlineStr">
        <is>
          <t>京能国际能源发展（北京）有限公司</t>
        </is>
      </c>
      <c r="D693" s="182" t="inlineStr">
        <is>
          <t>ZI029E100963</t>
        </is>
      </c>
      <c r="E693" s="182" t="inlineStr">
        <is>
          <t>丝绸之路新能源（常州）有限公司</t>
        </is>
      </c>
      <c r="F693" s="716" t="n"/>
      <c r="G693" s="716" t="n"/>
      <c r="H693" s="462" t="n"/>
    </row>
    <row r="694">
      <c r="A694" s="672" t="inlineStr">
        <is>
          <t>E100036</t>
        </is>
      </c>
      <c r="B694" s="767">
        <f>ROW()</f>
        <v/>
      </c>
      <c r="C694" s="182" t="inlineStr">
        <is>
          <t>京能怀南河北风电有限责任公司</t>
        </is>
      </c>
      <c r="D694" s="182" t="inlineStr">
        <is>
          <t>ZI029E100001</t>
        </is>
      </c>
      <c r="E694" s="182" t="inlineStr">
        <is>
          <t>北京京能清洁能源电力股份有限公司</t>
        </is>
      </c>
      <c r="F694" s="716" t="n"/>
      <c r="G694" s="716" t="n"/>
      <c r="H694" s="462" t="n"/>
    </row>
    <row r="695">
      <c r="A695" s="672" t="inlineStr">
        <is>
          <t>E100801</t>
        </is>
      </c>
      <c r="B695" s="767">
        <f>ROW()</f>
        <v/>
      </c>
      <c r="C695" s="182" t="inlineStr">
        <is>
          <t>京能浑源清洁能源有限公司</t>
        </is>
      </c>
      <c r="D695" s="182" t="inlineStr">
        <is>
          <t>ZI029E100001</t>
        </is>
      </c>
      <c r="E695" s="182" t="inlineStr">
        <is>
          <t>北京京能清洁能源电力股份有限公司</t>
        </is>
      </c>
      <c r="F695" s="716" t="n"/>
      <c r="G695" s="716" t="n"/>
      <c r="H695" s="462" t="n"/>
    </row>
    <row r="696">
      <c r="A696" s="672" t="inlineStr">
        <is>
          <t>E100104</t>
        </is>
      </c>
      <c r="B696" s="767">
        <f>ROW()</f>
        <v/>
      </c>
      <c r="C696" s="182" t="inlineStr">
        <is>
          <t>京能集团财务有限公司</t>
        </is>
      </c>
      <c r="D696" s="182" t="inlineStr">
        <is>
          <t>ZI029E100000</t>
        </is>
      </c>
      <c r="E696" s="182" t="inlineStr">
        <is>
          <t>北京能源集团有限责任公司</t>
        </is>
      </c>
      <c r="F696" s="716" t="n"/>
      <c r="G696" s="716" t="n"/>
      <c r="H696" s="462" t="n"/>
    </row>
    <row r="697">
      <c r="A697" s="672" t="inlineStr">
        <is>
          <t>E100104</t>
        </is>
      </c>
      <c r="B697" s="767">
        <f>ROW()</f>
        <v/>
      </c>
      <c r="C697" s="182" t="inlineStr">
        <is>
          <t>京能集团财务有限公司</t>
        </is>
      </c>
      <c r="D697" s="182" t="inlineStr">
        <is>
          <t>ZI029E100001</t>
        </is>
      </c>
      <c r="E697" s="182" t="inlineStr">
        <is>
          <t>北京京能清洁能源电力股份有限公司</t>
        </is>
      </c>
      <c r="F697" s="716" t="n"/>
      <c r="G697" s="716" t="n"/>
      <c r="H697" s="462" t="n"/>
    </row>
    <row r="698">
      <c r="A698" s="672" t="inlineStr">
        <is>
          <t>E100104</t>
        </is>
      </c>
      <c r="B698" s="767">
        <f>ROW()</f>
        <v/>
      </c>
      <c r="C698" s="182" t="inlineStr">
        <is>
          <t>京能集团财务有限公司</t>
        </is>
      </c>
      <c r="D698" s="182" t="inlineStr">
        <is>
          <t>ZI029E100145</t>
        </is>
      </c>
      <c r="E698" s="182" t="inlineStr">
        <is>
          <t>北京京能电力股份有限公司</t>
        </is>
      </c>
      <c r="F698" s="716" t="n"/>
      <c r="G698" s="716" t="n"/>
      <c r="H698" s="462" t="n"/>
    </row>
    <row r="699">
      <c r="A699" s="672" t="inlineStr">
        <is>
          <t>E100744</t>
        </is>
      </c>
      <c r="B699" s="767">
        <f>ROW()</f>
        <v/>
      </c>
      <c r="C699" s="182" t="inlineStr">
        <is>
          <t>京能酒泉新能源有限公司</t>
        </is>
      </c>
      <c r="D699" s="182" t="inlineStr">
        <is>
          <t>ZI029E100145</t>
        </is>
      </c>
      <c r="E699" s="182" t="inlineStr">
        <is>
          <t>北京京能电力股份有限公司</t>
        </is>
      </c>
      <c r="F699" s="716" t="n"/>
      <c r="G699" s="716" t="n"/>
      <c r="H699" s="462" t="n"/>
    </row>
    <row r="700">
      <c r="A700" s="672" t="inlineStr">
        <is>
          <t>E100817</t>
        </is>
      </c>
      <c r="B700" s="767">
        <f>ROW()</f>
        <v/>
      </c>
      <c r="C700" s="182" t="inlineStr">
        <is>
          <t>京能联合（琼海）新能源有限公司</t>
        </is>
      </c>
      <c r="D700" s="182" t="inlineStr">
        <is>
          <t>ZI029E100883</t>
        </is>
      </c>
      <c r="E700" s="182" t="inlineStr">
        <is>
          <t>Beijing Energy International Investment Limited</t>
        </is>
      </c>
      <c r="F700" s="716" t="n"/>
      <c r="G700" s="716" t="n"/>
      <c r="H700" s="462" t="n"/>
    </row>
    <row r="701">
      <c r="A701" s="672" t="inlineStr">
        <is>
          <t>E100816</t>
        </is>
      </c>
      <c r="B701" s="767">
        <f>ROW()</f>
        <v/>
      </c>
      <c r="C701" s="182" t="inlineStr">
        <is>
          <t>京能翎碳（上海）综合能源服务有限公司</t>
        </is>
      </c>
      <c r="D701" s="182" t="inlineStr">
        <is>
          <t>ZI029E100371</t>
        </is>
      </c>
      <c r="E701" s="182" t="inlineStr">
        <is>
          <t>北京京能科技有限公司</t>
        </is>
      </c>
      <c r="F701" s="716" t="n"/>
      <c r="G701" s="716" t="n"/>
      <c r="H701" s="462" t="n"/>
    </row>
    <row r="702">
      <c r="A702" s="672" t="inlineStr">
        <is>
          <t>E100173</t>
        </is>
      </c>
      <c r="B702" s="767">
        <f>ROW()</f>
        <v/>
      </c>
      <c r="C702" s="182" t="inlineStr">
        <is>
          <t>京能秦皇岛热电有限公司</t>
        </is>
      </c>
      <c r="D702" s="182" t="inlineStr">
        <is>
          <t>ZI029E100145</t>
        </is>
      </c>
      <c r="E702" s="182" t="inlineStr">
        <is>
          <t>北京京能电力股份有限公司</t>
        </is>
      </c>
      <c r="F702" s="716" t="n"/>
      <c r="G702" s="716" t="n"/>
      <c r="H702" s="462" t="n"/>
    </row>
    <row r="703">
      <c r="A703" s="672" t="inlineStr">
        <is>
          <t>E100169</t>
        </is>
      </c>
      <c r="B703" s="767">
        <f>ROW()</f>
        <v/>
      </c>
      <c r="C703" s="182" t="inlineStr">
        <is>
          <t>京能十堰热电有限公司</t>
        </is>
      </c>
      <c r="D703" s="182" t="inlineStr">
        <is>
          <t>ZI029E100145</t>
        </is>
      </c>
      <c r="E703" s="182" t="inlineStr">
        <is>
          <t>北京京能电力股份有限公司</t>
        </is>
      </c>
      <c r="F703" s="716" t="n"/>
      <c r="G703" s="716" t="n"/>
      <c r="H703" s="462" t="n"/>
    </row>
    <row r="704">
      <c r="A704" s="672" t="inlineStr">
        <is>
          <t>E100169</t>
        </is>
      </c>
      <c r="B704" s="767">
        <f>ROW()</f>
        <v/>
      </c>
      <c r="C704" s="182" t="inlineStr">
        <is>
          <t>京能十堰热电有限公司</t>
        </is>
      </c>
      <c r="D704" s="182" t="inlineStr">
        <is>
          <t>ZI029E100000</t>
        </is>
      </c>
      <c r="E704" s="182" t="inlineStr">
        <is>
          <t>北京能源集团有限责任公司</t>
        </is>
      </c>
      <c r="F704" s="716" t="n"/>
      <c r="G704" s="716" t="n"/>
      <c r="H704" s="462" t="n"/>
    </row>
    <row r="705">
      <c r="A705" s="672" t="inlineStr">
        <is>
          <t>E100189</t>
        </is>
      </c>
      <c r="B705" s="767">
        <f>ROW()</f>
        <v/>
      </c>
      <c r="C705" s="182" t="inlineStr">
        <is>
          <t>京能锡林郭勒能源有限公司</t>
        </is>
      </c>
      <c r="D705" s="182" t="inlineStr">
        <is>
          <t>ZI029E100000</t>
        </is>
      </c>
      <c r="E705" s="182" t="inlineStr">
        <is>
          <t>北京能源集团有限责任公司</t>
        </is>
      </c>
      <c r="F705" s="716" t="n"/>
      <c r="G705" s="716" t="n"/>
      <c r="H705" s="462" t="n"/>
    </row>
    <row r="706">
      <c r="A706" s="672" t="inlineStr">
        <is>
          <t>E100399</t>
        </is>
      </c>
      <c r="B706" s="767">
        <f>ROW()</f>
        <v/>
      </c>
      <c r="C706" s="182" t="inlineStr">
        <is>
          <t>京能源深（嘉兴）能源科技有限公司</t>
        </is>
      </c>
      <c r="D706" s="182" t="inlineStr">
        <is>
          <t>ZI029E100371</t>
        </is>
      </c>
      <c r="E706" s="182" t="inlineStr">
        <is>
          <t>北京京能科技有限公司</t>
        </is>
      </c>
      <c r="F706" s="716" t="n"/>
      <c r="G706" s="716" t="n"/>
      <c r="H706" s="462" t="n"/>
    </row>
    <row r="707">
      <c r="A707" s="672" t="inlineStr">
        <is>
          <t>E100381</t>
        </is>
      </c>
      <c r="B707" s="767">
        <f>ROW()</f>
        <v/>
      </c>
      <c r="C707" s="182" t="inlineStr">
        <is>
          <t>京能源深（苏州）能源科技有限公司</t>
        </is>
      </c>
      <c r="D707" s="182" t="inlineStr">
        <is>
          <t>ZI029E100371</t>
        </is>
      </c>
      <c r="E707" s="182" t="inlineStr">
        <is>
          <t>北京京能科技有限公司</t>
        </is>
      </c>
      <c r="F707" s="716" t="n"/>
      <c r="G707" s="716" t="n"/>
      <c r="H707" s="462" t="n"/>
    </row>
    <row r="708">
      <c r="A708" s="672" t="inlineStr">
        <is>
          <t>E100383</t>
        </is>
      </c>
      <c r="B708" s="767">
        <f>ROW()</f>
        <v/>
      </c>
      <c r="C708" s="182" t="inlineStr">
        <is>
          <t>京能源深能源科技盐城有限公司</t>
        </is>
      </c>
      <c r="D708" s="182" t="inlineStr">
        <is>
          <t>ZI029E100371</t>
        </is>
      </c>
      <c r="E708" s="182" t="inlineStr">
        <is>
          <t>北京京能科技有限公司</t>
        </is>
      </c>
      <c r="F708" s="716" t="n"/>
      <c r="G708" s="716" t="n"/>
      <c r="H708" s="462" t="n"/>
    </row>
    <row r="709">
      <c r="A709" s="672" t="inlineStr">
        <is>
          <t>E100382</t>
        </is>
      </c>
      <c r="B709" s="767">
        <f>ROW()</f>
        <v/>
      </c>
      <c r="C709" s="182" t="inlineStr">
        <is>
          <t>京能源深泰州能源科技有限公司</t>
        </is>
      </c>
      <c r="D709" s="182" t="inlineStr">
        <is>
          <t>ZI029E100371</t>
        </is>
      </c>
      <c r="E709" s="182" t="inlineStr">
        <is>
          <t>北京京能科技有限公司</t>
        </is>
      </c>
      <c r="F709" s="716" t="n"/>
      <c r="G709" s="716" t="n"/>
      <c r="H709" s="462" t="n"/>
    </row>
    <row r="710">
      <c r="A710" s="672" t="inlineStr">
        <is>
          <t>E100571</t>
        </is>
      </c>
      <c r="B710" s="767">
        <f>ROW()</f>
        <v/>
      </c>
      <c r="C710" s="182" t="inlineStr">
        <is>
          <t>京能远景领金智汇（北京）科技有限公司</t>
        </is>
      </c>
      <c r="D710" s="182" t="inlineStr">
        <is>
          <t>ZI029E100405</t>
        </is>
      </c>
      <c r="E710" s="182" t="inlineStr">
        <is>
          <t>北京高新技术创业投资有限公司</t>
        </is>
      </c>
      <c r="F710" s="716" t="n"/>
      <c r="G710" s="716" t="n"/>
      <c r="H710" s="462" t="n"/>
    </row>
    <row r="711">
      <c r="A711" s="672" t="inlineStr">
        <is>
          <t>E100429</t>
        </is>
      </c>
      <c r="B711" s="767">
        <f>ROW()</f>
        <v/>
      </c>
      <c r="C711" s="182" t="inlineStr">
        <is>
          <t>京能置业（天津）有限公司</t>
        </is>
      </c>
      <c r="D711" s="182" t="inlineStr">
        <is>
          <t>ZI029E100420</t>
        </is>
      </c>
      <c r="E711" s="182" t="inlineStr">
        <is>
          <t>京能置业股份有限公司</t>
        </is>
      </c>
      <c r="F711" s="716" t="n"/>
      <c r="G711" s="716" t="n"/>
      <c r="H711" s="462" t="n"/>
    </row>
    <row r="712">
      <c r="A712" s="672" t="inlineStr">
        <is>
          <t>E100429</t>
        </is>
      </c>
      <c r="B712" s="767">
        <f>ROW()</f>
        <v/>
      </c>
      <c r="C712" s="182" t="inlineStr">
        <is>
          <t>京能置业（天津）有限公司</t>
        </is>
      </c>
      <c r="D712" s="182" t="inlineStr">
        <is>
          <t>ZI029E100000</t>
        </is>
      </c>
      <c r="E712" s="182" t="inlineStr">
        <is>
          <t>北京能源集团有限责任公司</t>
        </is>
      </c>
      <c r="F712" s="716" t="n"/>
      <c r="G712" s="716" t="n"/>
      <c r="H712" s="462" t="n"/>
    </row>
    <row r="713">
      <c r="A713" s="672" t="inlineStr">
        <is>
          <t>E100420</t>
        </is>
      </c>
      <c r="B713" s="767">
        <f>ROW()</f>
        <v/>
      </c>
      <c r="C713" s="182" t="inlineStr">
        <is>
          <t>京能置业股份有限公司</t>
        </is>
      </c>
      <c r="D713" s="182" t="inlineStr">
        <is>
          <t>ZI029E100000</t>
        </is>
      </c>
      <c r="E713" s="182" t="inlineStr">
        <is>
          <t>北京能源集团有限责任公司</t>
        </is>
      </c>
      <c r="F713" s="716" t="n"/>
      <c r="G713" s="716" t="n"/>
      <c r="H713" s="462" t="n"/>
    </row>
    <row r="714">
      <c r="A714" s="672" t="inlineStr">
        <is>
          <t>E100248</t>
        </is>
      </c>
      <c r="B714" s="767">
        <f>ROW()</f>
        <v/>
      </c>
      <c r="C714" s="182" t="inlineStr">
        <is>
          <t>京热（阜平）热力有限责任公司</t>
        </is>
      </c>
      <c r="D714" s="182" t="inlineStr">
        <is>
          <t>ZI029E100259</t>
        </is>
      </c>
      <c r="E714" s="182" t="inlineStr">
        <is>
          <t>北京京能热力发展有限公司</t>
        </is>
      </c>
      <c r="F714" s="716" t="n"/>
      <c r="G714" s="716" t="n"/>
      <c r="H714" s="462" t="n"/>
    </row>
    <row r="715">
      <c r="A715" s="672" t="inlineStr">
        <is>
          <t>E100246</t>
        </is>
      </c>
      <c r="B715" s="767">
        <f>ROW()</f>
        <v/>
      </c>
      <c r="C715" s="182" t="inlineStr">
        <is>
          <t>京热（潜江）热力有限责任公司</t>
        </is>
      </c>
      <c r="D715" s="182" t="inlineStr">
        <is>
          <t>ZI029E100259</t>
        </is>
      </c>
      <c r="E715" s="182" t="inlineStr">
        <is>
          <t>北京京能热力发展有限公司</t>
        </is>
      </c>
      <c r="F715" s="716" t="n"/>
      <c r="G715" s="716" t="n"/>
      <c r="H715" s="462" t="n"/>
    </row>
    <row r="716">
      <c r="A716" s="672" t="inlineStr">
        <is>
          <t>E100249</t>
        </is>
      </c>
      <c r="B716" s="767">
        <f>ROW()</f>
        <v/>
      </c>
      <c r="C716" s="182" t="inlineStr">
        <is>
          <t>京热（乌兰察布）热力有限责任公司</t>
        </is>
      </c>
      <c r="D716" s="182" t="inlineStr">
        <is>
          <t>ZI029E100222</t>
        </is>
      </c>
      <c r="E716" s="182" t="inlineStr">
        <is>
          <t>北京市热力集团有限责任公司</t>
        </is>
      </c>
      <c r="F716" s="716" t="n"/>
      <c r="G716" s="716" t="n"/>
      <c r="H716" s="462" t="n"/>
    </row>
    <row r="717">
      <c r="A717" s="672" t="inlineStr">
        <is>
          <t>E101068</t>
        </is>
      </c>
      <c r="B717" s="767">
        <f>ROW()</f>
        <v/>
      </c>
      <c r="C717" s="182" t="inlineStr">
        <is>
          <t>京姚（林州）新能源有限公司</t>
        </is>
      </c>
      <c r="D717" s="182" t="inlineStr">
        <is>
          <t>ZI029E100883</t>
        </is>
      </c>
      <c r="E717" s="182" t="inlineStr">
        <is>
          <t>Beijing Energy International Investment Limited</t>
        </is>
      </c>
      <c r="F717" s="716" t="n"/>
      <c r="G717" s="716" t="n"/>
      <c r="H717" s="462" t="n"/>
    </row>
    <row r="718">
      <c r="A718" s="672" t="inlineStr">
        <is>
          <t>E100094</t>
        </is>
      </c>
      <c r="B718" s="767">
        <f>ROW()</f>
        <v/>
      </c>
      <c r="C718" s="182" t="inlineStr">
        <is>
          <t>靖远京能新能源有限公司</t>
        </is>
      </c>
      <c r="D718" s="182" t="inlineStr">
        <is>
          <t>ZI029E100001</t>
        </is>
      </c>
      <c r="E718" s="182" t="inlineStr">
        <is>
          <t>北京京能清洁能源电力股份有限公司</t>
        </is>
      </c>
      <c r="F718" s="716" t="n"/>
      <c r="G718" s="716" t="n"/>
      <c r="H718" s="462" t="n"/>
    </row>
    <row r="719">
      <c r="A719" s="672" t="inlineStr">
        <is>
          <t>E100034</t>
        </is>
      </c>
      <c r="B719" s="767">
        <f>ROW()</f>
        <v/>
      </c>
      <c r="C719" s="182" t="inlineStr">
        <is>
          <t>康保新京清洁能源有限公司</t>
        </is>
      </c>
      <c r="D719" s="182" t="inlineStr">
        <is>
          <t>ZI029E100001</t>
        </is>
      </c>
      <c r="E719" s="182" t="inlineStr">
        <is>
          <t>北京京能清洁能源电力股份有限公司</t>
        </is>
      </c>
      <c r="F719" s="716" t="n"/>
      <c r="G719" s="716" t="n"/>
      <c r="H719" s="716" t="n"/>
    </row>
    <row r="720">
      <c r="A720" s="672" t="inlineStr">
        <is>
          <t>E100959</t>
        </is>
      </c>
      <c r="B720" s="767">
        <f>ROW()</f>
        <v/>
      </c>
      <c r="C720" s="182" t="inlineStr">
        <is>
          <t>昆明邦业新能源发电有限公司</t>
        </is>
      </c>
      <c r="D720" s="182" t="inlineStr">
        <is>
          <t>ZI029E100958</t>
        </is>
      </c>
      <c r="E720" s="182" t="inlineStr">
        <is>
          <t>常州市招联绿港新能源有限公司</t>
        </is>
      </c>
      <c r="F720" s="716" t="n"/>
      <c r="G720" s="716" t="n"/>
      <c r="H720" s="462" t="n"/>
    </row>
    <row r="721">
      <c r="A721" s="672" t="inlineStr">
        <is>
          <t>E100262</t>
        </is>
      </c>
      <c r="B721" s="767">
        <f>ROW()</f>
        <v/>
      </c>
      <c r="C721" s="182" t="inlineStr">
        <is>
          <t>廊坊市华源盛世热力有限公司</t>
        </is>
      </c>
      <c r="D721" s="182" t="inlineStr">
        <is>
          <t>ZI029E100259</t>
        </is>
      </c>
      <c r="E721" s="182" t="inlineStr">
        <is>
          <t>北京京能热力发展有限公司</t>
        </is>
      </c>
      <c r="F721" s="716" t="n"/>
      <c r="G721" s="716" t="n"/>
      <c r="H721" s="462" t="n"/>
    </row>
    <row r="722">
      <c r="A722" s="672" t="inlineStr">
        <is>
          <t>E100810</t>
        </is>
      </c>
      <c r="B722" s="767">
        <f>ROW()</f>
        <v/>
      </c>
      <c r="C722" s="182" t="inlineStr">
        <is>
          <t>乐多港光穗（天津）投资合伙企业（有限合伙）</t>
        </is>
      </c>
      <c r="D722" s="182" t="inlineStr">
        <is>
          <t>ZI029E100000</t>
        </is>
      </c>
      <c r="E722" s="182" t="inlineStr">
        <is>
          <t>北京能源集团有限责任公司</t>
        </is>
      </c>
      <c r="F722" s="716" t="n"/>
      <c r="G722" s="716" t="n"/>
      <c r="H722" s="462" t="n"/>
    </row>
    <row r="723">
      <c r="A723" s="672" t="inlineStr">
        <is>
          <t>E100810</t>
        </is>
      </c>
      <c r="B723" s="767">
        <f>ROW()</f>
        <v/>
      </c>
      <c r="C723" s="182" t="inlineStr">
        <is>
          <t>乐多港光穗（天津）投资合伙企业（有限合伙）</t>
        </is>
      </c>
      <c r="D723" s="182" t="inlineStr">
        <is>
          <t>ZI029E100191</t>
        </is>
      </c>
      <c r="E723" s="182" t="inlineStr">
        <is>
          <t>北京乐多港发展有限公司</t>
        </is>
      </c>
      <c r="F723" s="716" t="n"/>
      <c r="G723" s="716" t="n"/>
      <c r="H723" s="462" t="n"/>
    </row>
    <row r="724">
      <c r="A724" s="672" t="inlineStr">
        <is>
          <t>E100734</t>
        </is>
      </c>
      <c r="B724" s="767">
        <f>ROW()</f>
        <v/>
      </c>
      <c r="C724" s="182" t="inlineStr">
        <is>
          <t>联合光伏（常州）投资集团有限公司</t>
        </is>
      </c>
      <c r="D724" s="182" t="inlineStr">
        <is>
          <t>ZI029E100883</t>
        </is>
      </c>
      <c r="E724" s="182" t="inlineStr">
        <is>
          <t>Beijing Energy International Investment Limited</t>
        </is>
      </c>
      <c r="F724" s="716" t="n"/>
      <c r="G724" s="716" t="n"/>
      <c r="H724" s="462" t="n"/>
    </row>
    <row r="725">
      <c r="A725" s="672" t="inlineStr">
        <is>
          <t>E100734</t>
        </is>
      </c>
      <c r="B725" s="767">
        <f>ROW()</f>
        <v/>
      </c>
      <c r="C725" s="182" t="inlineStr">
        <is>
          <t>联合光伏（常州）投资集团有限公司</t>
        </is>
      </c>
      <c r="D725" s="182" t="inlineStr">
        <is>
          <t>ZI029E100764</t>
        </is>
      </c>
      <c r="E725" s="182" t="inlineStr">
        <is>
          <t>联合光伏（深圳）有限公司</t>
        </is>
      </c>
      <c r="F725" s="716" t="n"/>
      <c r="G725" s="716" t="n"/>
      <c r="H725" s="462" t="n"/>
    </row>
    <row r="726">
      <c r="A726" s="672" t="inlineStr">
        <is>
          <t>E100734</t>
        </is>
      </c>
      <c r="B726" s="767">
        <f>ROW()</f>
        <v/>
      </c>
      <c r="C726" s="182" t="inlineStr">
        <is>
          <t>联合光伏(常州)投资集团有限公司</t>
        </is>
      </c>
      <c r="D726" s="182" t="inlineStr">
        <is>
          <t>ZI029E100729</t>
        </is>
      </c>
      <c r="E726" s="182" t="inlineStr">
        <is>
          <t>北京京能国际控股有限公司</t>
        </is>
      </c>
      <c r="F726" s="716" t="n"/>
      <c r="G726" s="716" t="n"/>
      <c r="H726" s="462" t="n"/>
    </row>
    <row r="727">
      <c r="A727" s="672" t="inlineStr">
        <is>
          <t>E100764</t>
        </is>
      </c>
      <c r="B727" s="767">
        <f>ROW()</f>
        <v/>
      </c>
      <c r="C727" s="182" t="inlineStr">
        <is>
          <t>联合光伏（深圳）有限公司</t>
        </is>
      </c>
      <c r="D727" s="182" t="inlineStr">
        <is>
          <t>ZI029E100883</t>
        </is>
      </c>
      <c r="E727" s="182" t="inlineStr">
        <is>
          <t>Beijing Energy International Investment Limited</t>
        </is>
      </c>
      <c r="F727" s="716" t="n"/>
      <c r="G727" s="716" t="n"/>
      <c r="H727" s="462" t="n"/>
    </row>
    <row r="728">
      <c r="A728" s="672" t="inlineStr">
        <is>
          <t>E100437</t>
        </is>
      </c>
      <c r="B728" s="767">
        <f>ROW()</f>
        <v/>
      </c>
      <c r="C728" s="182" t="inlineStr">
        <is>
          <t>辽宁金泰房地产开发有限公司</t>
        </is>
      </c>
      <c r="D728" s="182" t="inlineStr">
        <is>
          <t>ZI029E100421</t>
        </is>
      </c>
      <c r="E728" s="182" t="inlineStr">
        <is>
          <t>北京金泰房地产开发有限责任公司</t>
        </is>
      </c>
      <c r="F728" s="716" t="n"/>
      <c r="G728" s="716" t="n"/>
      <c r="H728" s="462" t="n"/>
    </row>
    <row r="729">
      <c r="A729" s="672" t="inlineStr">
        <is>
          <t>E100970</t>
        </is>
      </c>
      <c r="B729" s="767">
        <f>ROW()</f>
        <v/>
      </c>
      <c r="C729" s="182" t="inlineStr">
        <is>
          <t>林周藏电开发有限公司</t>
        </is>
      </c>
      <c r="D729" s="182" t="inlineStr">
        <is>
          <t>ZI029E100864</t>
        </is>
      </c>
      <c r="E729" s="182" t="inlineStr">
        <is>
          <t>西藏中自新能源技术有限公司</t>
        </is>
      </c>
      <c r="F729" s="716" t="n"/>
      <c r="G729" s="716" t="n"/>
      <c r="H729" s="462" t="n"/>
    </row>
    <row r="730">
      <c r="A730" s="672" t="inlineStr">
        <is>
          <t>E100904</t>
        </is>
      </c>
      <c r="B730" s="767">
        <f>ROW()</f>
        <v/>
      </c>
      <c r="C730" s="182" t="inlineStr">
        <is>
          <t>灵石京合光伏发电有限公司</t>
        </is>
      </c>
      <c r="D730" s="182" t="inlineStr">
        <is>
          <t>ZI029E100730</t>
        </is>
      </c>
      <c r="E730" s="182" t="inlineStr">
        <is>
          <t>京能国际能源发展（北京）有限公司</t>
        </is>
      </c>
      <c r="F730" s="716" t="n"/>
      <c r="G730" s="716" t="n"/>
      <c r="H730" s="462" t="n"/>
    </row>
    <row r="731">
      <c r="A731" s="672" t="inlineStr">
        <is>
          <t>E100049</t>
        </is>
      </c>
      <c r="B731" s="767">
        <f>ROW()</f>
        <v/>
      </c>
      <c r="C731" s="182" t="inlineStr">
        <is>
          <t>凌源东大光伏发电有限公司</t>
        </is>
      </c>
      <c r="D731" s="182" t="inlineStr">
        <is>
          <t>ZI029E100001</t>
        </is>
      </c>
      <c r="E731" s="182" t="inlineStr">
        <is>
          <t>北京京能清洁能源电力股份有限公司</t>
        </is>
      </c>
      <c r="F731" s="716" t="n"/>
      <c r="G731" s="716" t="n"/>
      <c r="H731" s="462" t="n"/>
    </row>
    <row r="732">
      <c r="A732" s="672" t="inlineStr">
        <is>
          <t>E100909</t>
        </is>
      </c>
      <c r="B732" s="767">
        <f>ROW()</f>
        <v/>
      </c>
      <c r="C732" s="182" t="inlineStr">
        <is>
          <t>六安华钦新能源有限公司</t>
        </is>
      </c>
      <c r="D732" s="182" t="inlineStr">
        <is>
          <t>ZI029E100730</t>
        </is>
      </c>
      <c r="E732" s="182" t="inlineStr">
        <is>
          <t>京能国际能源发展（北京）有限公司</t>
        </is>
      </c>
      <c r="F732" s="716" t="n"/>
      <c r="G732" s="716" t="n"/>
      <c r="H732" s="462" t="n"/>
    </row>
    <row r="733">
      <c r="A733" s="672" t="inlineStr">
        <is>
          <t>E100749</t>
        </is>
      </c>
      <c r="B733" s="767">
        <f>ROW()</f>
        <v/>
      </c>
      <c r="C733" s="182" t="inlineStr">
        <is>
          <t>炉霍联合光伏开发有限公司</t>
        </is>
      </c>
      <c r="D733" s="182" t="inlineStr">
        <is>
          <t>ZI029E100737</t>
        </is>
      </c>
      <c r="E733" s="182" t="inlineStr">
        <is>
          <t>四川联合光伏有限公司</t>
        </is>
      </c>
      <c r="F733" s="716" t="n"/>
      <c r="G733" s="716" t="n"/>
      <c r="H733" s="462" t="n"/>
    </row>
    <row r="734">
      <c r="A734" s="672" t="inlineStr">
        <is>
          <t>E100063</t>
        </is>
      </c>
      <c r="B734" s="767">
        <f>ROW()</f>
        <v/>
      </c>
      <c r="C734" s="182" t="inlineStr">
        <is>
          <t>陆丰市明大新能源科技有限公司</t>
        </is>
      </c>
      <c r="D734" s="182" t="inlineStr">
        <is>
          <t>ZI029E100001</t>
        </is>
      </c>
      <c r="E734" s="182" t="inlineStr">
        <is>
          <t>北京京能清洁能源电力股份有限公司</t>
        </is>
      </c>
      <c r="F734" s="716" t="n"/>
      <c r="G734" s="716" t="n"/>
      <c r="H734" s="462" t="n"/>
    </row>
    <row r="735">
      <c r="A735" s="672" t="inlineStr">
        <is>
          <t>E100942</t>
        </is>
      </c>
      <c r="B735" s="767">
        <f>ROW()</f>
        <v/>
      </c>
      <c r="C735" s="182" t="inlineStr">
        <is>
          <t>玛纳斯京能新能源有限公司</t>
        </is>
      </c>
      <c r="D735" s="182" t="inlineStr">
        <is>
          <t>ZI029E100730</t>
        </is>
      </c>
      <c r="E735" s="182" t="inlineStr">
        <is>
          <t>京能国际能源发展（北京）有限公司</t>
        </is>
      </c>
      <c r="F735" s="716" t="n"/>
      <c r="G735" s="716" t="n"/>
      <c r="H735" s="462" t="n"/>
    </row>
    <row r="736">
      <c r="A736" s="672" t="inlineStr">
        <is>
          <t>E100750</t>
        </is>
      </c>
      <c r="B736" s="767">
        <f>ROW()</f>
        <v/>
      </c>
      <c r="C736" s="182" t="inlineStr">
        <is>
          <t>民丰县昂立光伏科技有限公司</t>
        </is>
      </c>
      <c r="D736" s="182" t="inlineStr">
        <is>
          <t>ZI029E100734</t>
        </is>
      </c>
      <c r="E736" s="182" t="inlineStr">
        <is>
          <t>联合光伏（常州）投资集团有限公司</t>
        </is>
      </c>
      <c r="F736" s="716" t="n"/>
      <c r="G736" s="716" t="n"/>
      <c r="H736" s="462" t="n"/>
    </row>
    <row r="737">
      <c r="A737" s="672" t="inlineStr">
        <is>
          <t>E100936</t>
        </is>
      </c>
      <c r="B737" s="767">
        <f>ROW()</f>
        <v/>
      </c>
      <c r="C737" s="182" t="inlineStr">
        <is>
          <t>木垒县通川风光新能源有限公司</t>
        </is>
      </c>
      <c r="D737" s="182" t="inlineStr">
        <is>
          <t>ZI029E100730</t>
        </is>
      </c>
      <c r="E737" s="182" t="inlineStr">
        <is>
          <t>京能国际能源发展（北京）有限公司</t>
        </is>
      </c>
      <c r="F737" s="716" t="n"/>
      <c r="G737" s="716" t="n"/>
      <c r="H737" s="462" t="n"/>
    </row>
    <row r="738">
      <c r="A738" s="672" t="inlineStr">
        <is>
          <t>E100812</t>
        </is>
      </c>
      <c r="B738" s="767">
        <f>ROW()</f>
        <v/>
      </c>
      <c r="C738" s="182" t="inlineStr">
        <is>
          <t>南昌京能富蓝新能源有限公司</t>
        </is>
      </c>
      <c r="D738" s="182" t="inlineStr">
        <is>
          <t>ZI029E100730</t>
        </is>
      </c>
      <c r="E738" s="182" t="inlineStr">
        <is>
          <t>京能国际能源发展（北京）有限公司</t>
        </is>
      </c>
      <c r="F738" s="716" t="n"/>
      <c r="G738" s="716" t="n"/>
      <c r="H738" s="462" t="n"/>
    </row>
    <row r="739">
      <c r="A739" s="672" t="inlineStr">
        <is>
          <t>E100928</t>
        </is>
      </c>
      <c r="B739" s="767">
        <f>ROW()</f>
        <v/>
      </c>
      <c r="C739" s="182" t="inlineStr">
        <is>
          <t>南宫市国隆新能源科技有限公司</t>
        </is>
      </c>
      <c r="D739" s="182" t="inlineStr">
        <is>
          <t>ZI029E100730</t>
        </is>
      </c>
      <c r="E739" s="182" t="inlineStr">
        <is>
          <t>京能国际能源发展（北京）有限公司</t>
        </is>
      </c>
      <c r="F739" s="716" t="n"/>
      <c r="G739" s="716" t="n"/>
      <c r="H739" s="462" t="n"/>
    </row>
    <row r="740">
      <c r="A740" s="672" t="inlineStr">
        <is>
          <t>E101008</t>
        </is>
      </c>
      <c r="B740" s="767">
        <f>ROW()</f>
        <v/>
      </c>
      <c r="C740" s="182" t="inlineStr">
        <is>
          <t>南京丝绸之路新能源有限公司</t>
        </is>
      </c>
      <c r="D740" s="182" t="inlineStr">
        <is>
          <t>ZI029E101007</t>
        </is>
      </c>
      <c r="E740" s="182" t="inlineStr">
        <is>
          <t>骏耀新能源（常州）有限公司</t>
        </is>
      </c>
      <c r="F740" s="716" t="n"/>
      <c r="G740" s="716" t="n"/>
      <c r="H740" s="462" t="n"/>
    </row>
    <row r="741">
      <c r="A741" s="672" t="inlineStr">
        <is>
          <t>E100951</t>
        </is>
      </c>
      <c r="B741" s="767">
        <f>ROW()</f>
        <v/>
      </c>
      <c r="C741" s="182" t="inlineStr">
        <is>
          <t>内蒙古傲都能源有限公司</t>
        </is>
      </c>
      <c r="D741" s="182" t="inlineStr">
        <is>
          <t>ZI029E100950</t>
        </is>
      </c>
      <c r="E741" s="182" t="inlineStr">
        <is>
          <t>内蒙古明华新能源股份有限公司</t>
        </is>
      </c>
      <c r="F741" s="716" t="n"/>
      <c r="G741" s="716" t="n"/>
      <c r="H741" s="462" t="n"/>
    </row>
    <row r="742">
      <c r="A742" s="672" t="inlineStr">
        <is>
          <t>E100440</t>
        </is>
      </c>
      <c r="B742" s="767">
        <f>ROW()</f>
        <v/>
      </c>
      <c r="C742" s="182" t="inlineStr">
        <is>
          <t>内蒙古大伟房地产开发有限公司</t>
        </is>
      </c>
      <c r="D742" s="182" t="inlineStr">
        <is>
          <t>ZI029E100421</t>
        </is>
      </c>
      <c r="E742" s="182" t="inlineStr">
        <is>
          <t>北京金泰房地产开发有限责任公司</t>
        </is>
      </c>
      <c r="F742" s="716" t="n"/>
      <c r="G742" s="716" t="n"/>
      <c r="H742" s="462" t="n"/>
    </row>
    <row r="743">
      <c r="A743" s="672" t="inlineStr">
        <is>
          <t>E100131</t>
        </is>
      </c>
      <c r="B743" s="767">
        <f>ROW()</f>
        <v/>
      </c>
      <c r="C743" s="182" t="inlineStr">
        <is>
          <t>内蒙古岱电房地产开发有限公司</t>
        </is>
      </c>
      <c r="D743" s="182" t="inlineStr">
        <is>
          <t>ZI029E100109</t>
        </is>
      </c>
      <c r="E743" s="182" t="inlineStr">
        <is>
          <t>京能电力后勤服务有限公司</t>
        </is>
      </c>
      <c r="F743" s="716" t="n"/>
      <c r="G743" s="716" t="n"/>
      <c r="H743" s="462" t="n"/>
    </row>
    <row r="744">
      <c r="A744" s="672" t="inlineStr">
        <is>
          <t>E100150</t>
        </is>
      </c>
      <c r="B744" s="767">
        <f>ROW()</f>
        <v/>
      </c>
      <c r="C744" s="182" t="inlineStr">
        <is>
          <t>内蒙古岱海发电有限责任公司</t>
        </is>
      </c>
      <c r="D744" s="182" t="inlineStr">
        <is>
          <t>ZI029E100145</t>
        </is>
      </c>
      <c r="E744" s="182" t="inlineStr">
        <is>
          <t>北京京能电力股份有限公司</t>
        </is>
      </c>
      <c r="F744" s="716" t="n"/>
      <c r="G744" s="716" t="n"/>
      <c r="H744" s="462" t="n"/>
    </row>
    <row r="745">
      <c r="A745" s="672" t="inlineStr">
        <is>
          <t>E100130</t>
        </is>
      </c>
      <c r="B745" s="767">
        <f>ROW()</f>
        <v/>
      </c>
      <c r="C745" s="182" t="inlineStr">
        <is>
          <t>内蒙古岱海旅游学校</t>
        </is>
      </c>
      <c r="D745" s="182" t="inlineStr">
        <is>
          <t>ZI029E100109</t>
        </is>
      </c>
      <c r="E745" s="182" t="inlineStr">
        <is>
          <t>京能电力后勤服务有限公司</t>
        </is>
      </c>
      <c r="F745" s="716" t="n"/>
      <c r="G745" s="716" t="n"/>
      <c r="H745" s="462" t="n"/>
    </row>
    <row r="746">
      <c r="A746" s="672" t="inlineStr">
        <is>
          <t>E100977</t>
        </is>
      </c>
      <c r="B746" s="767">
        <f>ROW()</f>
        <v/>
      </c>
      <c r="C746" s="182" t="inlineStr">
        <is>
          <t>内蒙古国瑞农业有限公司</t>
        </is>
      </c>
      <c r="D746" s="182" t="inlineStr">
        <is>
          <t>ZI029E100735</t>
        </is>
      </c>
      <c r="E746" s="182" t="inlineStr">
        <is>
          <t>内蒙古京能新能源科技有限公司</t>
        </is>
      </c>
      <c r="F746" s="716" t="n"/>
      <c r="G746" s="716" t="n"/>
      <c r="H746" s="462" t="n"/>
    </row>
    <row r="747">
      <c r="A747" s="672" t="inlineStr">
        <is>
          <t>E100974</t>
        </is>
      </c>
      <c r="B747" s="767">
        <f>ROW()</f>
        <v/>
      </c>
      <c r="C747" s="182" t="inlineStr">
        <is>
          <t>内蒙古国润（察右前旗）发电有限公司</t>
        </is>
      </c>
      <c r="D747" s="182" t="inlineStr">
        <is>
          <t>ZI029E100973</t>
        </is>
      </c>
      <c r="E747" s="182" t="inlineStr">
        <is>
          <t>察右前旗联合光伏发电有限公司</t>
        </is>
      </c>
      <c r="F747" s="716" t="n"/>
      <c r="G747" s="716" t="n"/>
      <c r="H747" s="462" t="n"/>
    </row>
    <row r="748">
      <c r="A748" s="672" t="inlineStr">
        <is>
          <t>E100155</t>
        </is>
      </c>
      <c r="B748" s="767">
        <f>ROW()</f>
        <v/>
      </c>
      <c r="C748" s="182" t="inlineStr">
        <is>
          <t>内蒙古华宁热电有限公司</t>
        </is>
      </c>
      <c r="D748" s="182" t="inlineStr">
        <is>
          <t>ZI029E100154</t>
        </is>
      </c>
      <c r="E748" s="182" t="inlineStr">
        <is>
          <t>内蒙古京隆发电有限责任公司</t>
        </is>
      </c>
      <c r="F748" s="716" t="n"/>
      <c r="G748" s="716" t="n"/>
      <c r="H748" s="462" t="n"/>
    </row>
    <row r="749">
      <c r="A749" s="672" t="inlineStr">
        <is>
          <t>E100159</t>
        </is>
      </c>
      <c r="B749" s="767">
        <f>ROW()</f>
        <v/>
      </c>
      <c r="C749" s="182" t="inlineStr">
        <is>
          <t>内蒙古京海煤矸石发电有限责任公司</t>
        </is>
      </c>
      <c r="D749" s="182" t="inlineStr">
        <is>
          <t>ZI029E100145</t>
        </is>
      </c>
      <c r="E749" s="182" t="inlineStr">
        <is>
          <t>北京京能电力股份有限公司</t>
        </is>
      </c>
      <c r="F749" s="716" t="n"/>
      <c r="G749" s="716" t="n"/>
      <c r="H749" s="462" t="n"/>
    </row>
    <row r="750">
      <c r="A750" s="672" t="inlineStr">
        <is>
          <t>E100154</t>
        </is>
      </c>
      <c r="B750" s="767">
        <f>ROW()</f>
        <v/>
      </c>
      <c r="C750" s="182" t="inlineStr">
        <is>
          <t>内蒙古京隆发电有限责任公司</t>
        </is>
      </c>
      <c r="D750" s="182" t="inlineStr">
        <is>
          <t>ZI029E100145</t>
        </is>
      </c>
      <c r="E750" s="182" t="inlineStr">
        <is>
          <t>北京京能电力股份有限公司</t>
        </is>
      </c>
      <c r="F750" s="716" t="n"/>
      <c r="G750" s="716" t="n"/>
      <c r="H750" s="462" t="n"/>
    </row>
    <row r="751">
      <c r="A751" s="672" t="inlineStr">
        <is>
          <t>E100046</t>
        </is>
      </c>
      <c r="B751" s="767">
        <f>ROW()</f>
        <v/>
      </c>
      <c r="C751" s="182" t="inlineStr">
        <is>
          <t>内蒙古京能巴林右风力发电有限责任公司</t>
        </is>
      </c>
      <c r="D751" s="182" t="inlineStr">
        <is>
          <t>ZI029E100001</t>
        </is>
      </c>
      <c r="E751" s="182" t="inlineStr">
        <is>
          <t>北京京能清洁能源电力股份有限公司</t>
        </is>
      </c>
      <c r="F751" s="716" t="n"/>
      <c r="G751" s="716" t="n"/>
      <c r="H751" s="462" t="n"/>
    </row>
    <row r="752">
      <c r="A752" s="672" t="inlineStr">
        <is>
          <t>E100075</t>
        </is>
      </c>
      <c r="B752" s="767">
        <f>ROW()</f>
        <v/>
      </c>
      <c r="C752" s="182" t="inlineStr">
        <is>
          <t>内蒙古京能察右中风力发电有限责任公司</t>
        </is>
      </c>
      <c r="D752" s="182" t="inlineStr">
        <is>
          <t>ZI029E100001</t>
        </is>
      </c>
      <c r="E752" s="182" t="inlineStr">
        <is>
          <t>北京京能清洁能源电力股份有限公司</t>
        </is>
      </c>
      <c r="F752" s="716" t="n"/>
      <c r="G752" s="716" t="n"/>
      <c r="H752" s="462" t="n"/>
    </row>
    <row r="753">
      <c r="A753" s="672" t="inlineStr">
        <is>
          <t>E100182</t>
        </is>
      </c>
      <c r="B753" s="767">
        <f>ROW()</f>
        <v/>
      </c>
      <c r="C753" s="182" t="inlineStr">
        <is>
          <t>内蒙古京能电力检修有限公司</t>
        </is>
      </c>
      <c r="D753" s="182" t="inlineStr">
        <is>
          <t>ZI029E100145</t>
        </is>
      </c>
      <c r="E753" s="182" t="inlineStr">
        <is>
          <t>北京京能电力股份有限公司</t>
        </is>
      </c>
      <c r="F753" s="716" t="n"/>
      <c r="G753" s="716" t="n"/>
      <c r="H753" s="462" t="n"/>
    </row>
    <row r="754">
      <c r="A754" s="672" t="inlineStr">
        <is>
          <t>E100043</t>
        </is>
      </c>
      <c r="B754" s="767">
        <f>ROW()</f>
        <v/>
      </c>
      <c r="C754" s="182" t="inlineStr">
        <is>
          <t>内蒙古京能霍林郭勒风力发电有限责任公司</t>
        </is>
      </c>
      <c r="D754" s="182" t="inlineStr">
        <is>
          <t>ZI029E100001</t>
        </is>
      </c>
      <c r="E754" s="182" t="inlineStr">
        <is>
          <t>北京京能清洁能源电力股份有限公司</t>
        </is>
      </c>
      <c r="F754" s="716" t="n"/>
      <c r="G754" s="716" t="n"/>
      <c r="H754" s="462" t="n"/>
    </row>
    <row r="755">
      <c r="A755" s="672" t="inlineStr">
        <is>
          <t>E100133</t>
        </is>
      </c>
      <c r="B755" s="767">
        <f>ROW()</f>
        <v/>
      </c>
      <c r="C755" s="182" t="inlineStr">
        <is>
          <t>内蒙古京能建筑安装工程有限公司</t>
        </is>
      </c>
      <c r="D755" s="182" t="inlineStr">
        <is>
          <t>ZI029E100109</t>
        </is>
      </c>
      <c r="E755" s="182" t="inlineStr">
        <is>
          <t>京能电力后勤服务有限公司</t>
        </is>
      </c>
      <c r="F755" s="716" t="n"/>
      <c r="G755" s="716" t="n"/>
      <c r="H755" s="462" t="n"/>
    </row>
    <row r="756">
      <c r="A756" s="672" t="inlineStr">
        <is>
          <t>E100165</t>
        </is>
      </c>
      <c r="B756" s="767">
        <f>ROW()</f>
        <v/>
      </c>
      <c r="C756" s="182" t="inlineStr">
        <is>
          <t>内蒙古京能康巴什热电有限公司</t>
        </is>
      </c>
      <c r="D756" s="182" t="inlineStr">
        <is>
          <t>ZI029E100145</t>
        </is>
      </c>
      <c r="E756" s="182" t="inlineStr">
        <is>
          <t>北京京能电力股份有限公司</t>
        </is>
      </c>
      <c r="F756" s="716" t="n"/>
      <c r="G756" s="716" t="n"/>
      <c r="H756" s="462" t="n"/>
    </row>
    <row r="757">
      <c r="A757" s="672" t="inlineStr">
        <is>
          <t>E100044</t>
        </is>
      </c>
      <c r="B757" s="767">
        <f>ROW()</f>
        <v/>
      </c>
      <c r="C757" s="182" t="inlineStr">
        <is>
          <t>内蒙古京能科右中风力发电有限责任公司</t>
        </is>
      </c>
      <c r="D757" s="182" t="inlineStr">
        <is>
          <t>ZI029E100001</t>
        </is>
      </c>
      <c r="E757" s="182" t="inlineStr">
        <is>
          <t>北京京能清洁能源电力股份有限公司</t>
        </is>
      </c>
      <c r="F757" s="716" t="n"/>
      <c r="G757" s="716" t="n"/>
      <c r="H757" s="462" t="n"/>
    </row>
    <row r="758">
      <c r="A758" s="672" t="inlineStr">
        <is>
          <t>E100181</t>
        </is>
      </c>
      <c r="B758" s="767">
        <f>ROW()</f>
        <v/>
      </c>
      <c r="C758" s="182" t="inlineStr">
        <is>
          <t>京能乌兰察布能源管理服务有限公司</t>
        </is>
      </c>
      <c r="D758" s="182" t="inlineStr">
        <is>
          <t>ZI029E100145</t>
        </is>
      </c>
      <c r="E758" s="182" t="inlineStr">
        <is>
          <t>北京京能电力股份有限公司</t>
        </is>
      </c>
      <c r="F758" s="716" t="n"/>
      <c r="G758" s="716" t="n"/>
      <c r="H758" s="462" t="n"/>
    </row>
    <row r="759">
      <c r="A759" s="672" t="inlineStr">
        <is>
          <t>E100180</t>
        </is>
      </c>
      <c r="B759" s="767">
        <f>ROW()</f>
        <v/>
      </c>
      <c r="C759" s="182" t="inlineStr">
        <is>
          <t>内蒙古京能能源开发有限责任公司</t>
        </is>
      </c>
      <c r="D759" s="182" t="inlineStr">
        <is>
          <t>ZI029E100145</t>
        </is>
      </c>
      <c r="E759" s="182" t="inlineStr">
        <is>
          <t>北京京能电力股份有限公司</t>
        </is>
      </c>
      <c r="F759" s="716" t="n"/>
      <c r="G759" s="716" t="n"/>
      <c r="H759" s="462" t="n"/>
    </row>
    <row r="760">
      <c r="A760" s="672" t="inlineStr">
        <is>
          <t>E100042</t>
        </is>
      </c>
      <c r="B760" s="767">
        <f>ROW()</f>
        <v/>
      </c>
      <c r="C760" s="182" t="inlineStr">
        <is>
          <t>内蒙古京能旗杆风力发电有限公司</t>
        </is>
      </c>
      <c r="D760" s="182" t="inlineStr">
        <is>
          <t>ZI029E100001</t>
        </is>
      </c>
      <c r="E760" s="182" t="inlineStr">
        <is>
          <t>北京京能清洁能源电力股份有限公司</t>
        </is>
      </c>
      <c r="F760" s="716" t="n"/>
      <c r="G760" s="716" t="n"/>
      <c r="H760" s="462" t="n"/>
    </row>
    <row r="761">
      <c r="A761" s="672" t="inlineStr">
        <is>
          <t>E100079</t>
        </is>
      </c>
      <c r="B761" s="767">
        <f>ROW()</f>
        <v/>
      </c>
      <c r="C761" s="182" t="inlineStr">
        <is>
          <t>内蒙古京能商都风力发电有限责任公司</t>
        </is>
      </c>
      <c r="D761" s="182" t="inlineStr">
        <is>
          <t>ZI029E100001</t>
        </is>
      </c>
      <c r="E761" s="182" t="inlineStr">
        <is>
          <t>北京京能清洁能源电力股份有限公司</t>
        </is>
      </c>
      <c r="F761" s="716" t="n"/>
      <c r="G761" s="716" t="n"/>
      <c r="H761" s="462" t="n"/>
    </row>
    <row r="762">
      <c r="A762" s="672" t="inlineStr">
        <is>
          <t>E100134</t>
        </is>
      </c>
      <c r="B762" s="767">
        <f>ROW()</f>
        <v/>
      </c>
      <c r="C762" s="182" t="inlineStr">
        <is>
          <t>内蒙古京能生态农业发展有限公司</t>
        </is>
      </c>
      <c r="D762" s="182" t="inlineStr">
        <is>
          <t>ZI029E100109</t>
        </is>
      </c>
      <c r="E762" s="182" t="inlineStr">
        <is>
          <t>京能电力后勤服务有限公司</t>
        </is>
      </c>
      <c r="F762" s="716" t="n"/>
      <c r="G762" s="716" t="n"/>
      <c r="H762" s="462" t="n"/>
    </row>
    <row r="763">
      <c r="A763" s="672" t="inlineStr">
        <is>
          <t>E100166</t>
        </is>
      </c>
      <c r="B763" s="767">
        <f>ROW()</f>
        <v/>
      </c>
      <c r="C763" s="182" t="inlineStr">
        <is>
          <t>内蒙古京能盛乐热电有限公司</t>
        </is>
      </c>
      <c r="D763" s="182" t="inlineStr">
        <is>
          <t>ZI029E100145</t>
        </is>
      </c>
      <c r="E763" s="182" t="inlineStr">
        <is>
          <t>北京京能电力股份有限公司</t>
        </is>
      </c>
      <c r="F763" s="716" t="n"/>
      <c r="G763" s="716" t="n"/>
      <c r="H763" s="462" t="n"/>
    </row>
    <row r="764">
      <c r="A764" s="672" t="inlineStr">
        <is>
          <t>E100171</t>
        </is>
      </c>
      <c r="B764" s="767">
        <f>ROW()</f>
        <v/>
      </c>
      <c r="C764" s="182" t="inlineStr">
        <is>
          <t>内蒙古京能双欣发电有限公司</t>
        </is>
      </c>
      <c r="D764" s="182" t="inlineStr">
        <is>
          <t>ZI029E100145</t>
        </is>
      </c>
      <c r="E764" s="182" t="inlineStr">
        <is>
          <t>北京京能电力股份有限公司</t>
        </is>
      </c>
      <c r="F764" s="716" t="n"/>
      <c r="G764" s="716" t="n"/>
      <c r="H764" s="462" t="n"/>
    </row>
    <row r="765">
      <c r="A765" s="672" t="inlineStr">
        <is>
          <t>E100178</t>
        </is>
      </c>
      <c r="B765" s="767">
        <f>ROW()</f>
        <v/>
      </c>
      <c r="C765" s="182" t="inlineStr">
        <is>
          <t>内蒙古京能苏里格能源管理服务有限公司</t>
        </is>
      </c>
      <c r="D765" s="182" t="inlineStr">
        <is>
          <t>ZI029E100145</t>
        </is>
      </c>
      <c r="E765" s="182" t="inlineStr">
        <is>
          <t>北京京能电力股份有限公司</t>
        </is>
      </c>
      <c r="F765" s="716" t="n"/>
      <c r="G765" s="716" t="n"/>
      <c r="H765" s="462" t="n"/>
    </row>
    <row r="766">
      <c r="A766" s="672" t="inlineStr">
        <is>
          <t>E100050</t>
        </is>
      </c>
      <c r="B766" s="767">
        <f>ROW()</f>
        <v/>
      </c>
      <c r="C766" s="182" t="inlineStr">
        <is>
          <t>内蒙古京能苏尼特风力发电有限公司</t>
        </is>
      </c>
      <c r="D766" s="182" t="inlineStr">
        <is>
          <t>ZI029E100001</t>
        </is>
      </c>
      <c r="E766" s="182" t="inlineStr">
        <is>
          <t>北京京能清洁能源电力股份有限公司</t>
        </is>
      </c>
      <c r="F766" s="716" t="n"/>
      <c r="G766" s="716" t="n"/>
      <c r="H766" s="462" t="n"/>
    </row>
    <row r="767">
      <c r="A767" s="672" t="inlineStr">
        <is>
          <t>E100050G</t>
        </is>
      </c>
      <c r="B767" s="767">
        <f>ROW()</f>
        <v/>
      </c>
      <c r="C767" s="182" t="inlineStr">
        <is>
          <t>内蒙古京能苏尼特风力发电有限公司（合并）</t>
        </is>
      </c>
      <c r="D767" s="182" t="inlineStr">
        <is>
          <t>ZI029E100001</t>
        </is>
      </c>
      <c r="E767" s="182" t="inlineStr">
        <is>
          <t>北京京能清洁能源电力股份有限公司</t>
        </is>
      </c>
      <c r="F767" s="716" t="n"/>
      <c r="G767" s="716" t="n"/>
      <c r="H767" s="462" t="n"/>
    </row>
    <row r="768">
      <c r="A768" s="672" t="inlineStr">
        <is>
          <t>E100080</t>
        </is>
      </c>
      <c r="B768" s="767">
        <f>ROW()</f>
        <v/>
      </c>
      <c r="C768" s="182" t="inlineStr">
        <is>
          <t>内蒙古京能文贡乌拉风力发电有限公司</t>
        </is>
      </c>
      <c r="D768" s="182" t="inlineStr">
        <is>
          <t>ZI029E100001</t>
        </is>
      </c>
      <c r="E768" s="182" t="inlineStr">
        <is>
          <t>北京京能清洁能源电力股份有限公司</t>
        </is>
      </c>
      <c r="F768" s="716" t="n"/>
      <c r="G768" s="716" t="n"/>
      <c r="H768" s="462" t="n"/>
    </row>
    <row r="769">
      <c r="A769" s="672" t="inlineStr">
        <is>
          <t>E100045</t>
        </is>
      </c>
      <c r="B769" s="767">
        <f>ROW()</f>
        <v/>
      </c>
      <c r="C769" s="182" t="inlineStr">
        <is>
          <t>内蒙古京能乌兰风力发电有限公司</t>
        </is>
      </c>
      <c r="D769" s="182" t="inlineStr">
        <is>
          <t>ZI029E100001</t>
        </is>
      </c>
      <c r="E769" s="182" t="inlineStr">
        <is>
          <t>北京京能清洁能源电力股份有限公司</t>
        </is>
      </c>
      <c r="F769" s="716" t="n"/>
      <c r="G769" s="716" t="n"/>
      <c r="H769" s="462" t="n"/>
    </row>
    <row r="770">
      <c r="A770" s="672" t="inlineStr">
        <is>
          <t>E100073</t>
        </is>
      </c>
      <c r="B770" s="767">
        <f>ROW()</f>
        <v/>
      </c>
      <c r="C770" s="182" t="inlineStr">
        <is>
          <t>内蒙古京能乌兰伊力更风力发电有限责任公司</t>
        </is>
      </c>
      <c r="D770" s="182" t="inlineStr">
        <is>
          <t>ZI029E100001</t>
        </is>
      </c>
      <c r="E770" s="182" t="inlineStr">
        <is>
          <t>北京京能清洁能源电力股份有限公司</t>
        </is>
      </c>
      <c r="F770" s="716" t="n"/>
      <c r="G770" s="716" t="n"/>
      <c r="H770" s="462" t="n"/>
    </row>
    <row r="771">
      <c r="A771" s="672" t="inlineStr">
        <is>
          <t>E100221</t>
        </is>
      </c>
      <c r="B771" s="767">
        <f>ROW()</f>
        <v/>
      </c>
      <c r="C771" s="182" t="inlineStr">
        <is>
          <t>内蒙古京能锡林煤化有限责任公司</t>
        </is>
      </c>
      <c r="D771" s="182" t="inlineStr">
        <is>
          <t>ZI029E100000</t>
        </is>
      </c>
      <c r="E771" s="182" t="inlineStr">
        <is>
          <t>北京能源集团有限责任公司</t>
        </is>
      </c>
      <c r="F771" s="716" t="n"/>
      <c r="G771" s="716" t="n"/>
      <c r="H771" s="462" t="n"/>
    </row>
    <row r="772">
      <c r="A772" s="672" t="inlineStr">
        <is>
          <t>E100735</t>
        </is>
      </c>
      <c r="B772" s="767">
        <f>ROW()</f>
        <v/>
      </c>
      <c r="C772" s="182" t="inlineStr">
        <is>
          <t>内蒙古京能新能源科技有限公司</t>
        </is>
      </c>
      <c r="D772" s="182" t="inlineStr">
        <is>
          <t>ZI029E100963</t>
        </is>
      </c>
      <c r="E772" s="182" t="inlineStr">
        <is>
          <t>丝绸之路新能源（常州）有限公司</t>
        </is>
      </c>
      <c r="F772" s="716" t="n"/>
      <c r="G772" s="716" t="n"/>
      <c r="H772" s="462" t="n"/>
    </row>
    <row r="773">
      <c r="A773" s="672" t="inlineStr">
        <is>
          <t>E100167</t>
        </is>
      </c>
      <c r="B773" s="767">
        <f>ROW()</f>
        <v/>
      </c>
      <c r="C773" s="182" t="inlineStr">
        <is>
          <t>内蒙古京宁热电有限责任公司</t>
        </is>
      </c>
      <c r="D773" s="182" t="inlineStr">
        <is>
          <t>ZI029E100145</t>
        </is>
      </c>
      <c r="E773" s="182" t="inlineStr">
        <is>
          <t>北京京能电力股份有限公司</t>
        </is>
      </c>
      <c r="F773" s="716" t="n"/>
      <c r="G773" s="716" t="n"/>
      <c r="H773" s="462" t="n"/>
    </row>
    <row r="774">
      <c r="A774" s="672" t="inlineStr">
        <is>
          <t>E100157</t>
        </is>
      </c>
      <c r="B774" s="767">
        <f>ROW()</f>
        <v/>
      </c>
      <c r="C774" s="182" t="inlineStr">
        <is>
          <t>内蒙古京泰发电有限责任公司</t>
        </is>
      </c>
      <c r="D774" s="182" t="inlineStr">
        <is>
          <t>ZI029E100145</t>
        </is>
      </c>
      <c r="E774" s="182" t="inlineStr">
        <is>
          <t>北京京能电力股份有限公司</t>
        </is>
      </c>
      <c r="F774" s="716" t="n"/>
      <c r="G774" s="716" t="n"/>
      <c r="H774" s="462" t="n"/>
    </row>
    <row r="775">
      <c r="A775" s="672" t="inlineStr">
        <is>
          <t>E100950</t>
        </is>
      </c>
      <c r="B775" s="767">
        <f>ROW()</f>
        <v/>
      </c>
      <c r="C775" s="182" t="inlineStr">
        <is>
          <t>内蒙古明华新能源股份有限公司</t>
        </is>
      </c>
      <c r="D775" s="182" t="inlineStr">
        <is>
          <t>ZI029E100735</t>
        </is>
      </c>
      <c r="E775" s="182" t="inlineStr">
        <is>
          <t>内蒙古京能新能源科技有限公司</t>
        </is>
      </c>
      <c r="F775" s="716" t="n"/>
      <c r="G775" s="716" t="n"/>
      <c r="H775" s="462" t="n"/>
    </row>
    <row r="776">
      <c r="A776" s="672" t="inlineStr">
        <is>
          <t>E100950</t>
        </is>
      </c>
      <c r="B776" s="767">
        <f>ROW()</f>
        <v/>
      </c>
      <c r="C776" s="182" t="inlineStr">
        <is>
          <t>内蒙古明华新能源股份有限公司</t>
        </is>
      </c>
      <c r="D776" s="182" t="inlineStr">
        <is>
          <t>ZI029E100730</t>
        </is>
      </c>
      <c r="E776" s="182" t="inlineStr">
        <is>
          <t>京能国际能源发展（北京）有限公司</t>
        </is>
      </c>
      <c r="F776" s="716" t="n"/>
      <c r="G776" s="716" t="n"/>
      <c r="H776" s="462" t="n"/>
    </row>
    <row r="777">
      <c r="A777" s="672" t="inlineStr">
        <is>
          <t>E100183</t>
        </is>
      </c>
      <c r="B777" s="767">
        <f>ROW()</f>
        <v/>
      </c>
      <c r="C777" s="182" t="inlineStr">
        <is>
          <t>内蒙古兴海电力服务有限责任公司</t>
        </is>
      </c>
      <c r="D777" s="182" t="inlineStr">
        <is>
          <t>ZI029E100145</t>
        </is>
      </c>
      <c r="E777" s="182" t="inlineStr">
        <is>
          <t>北京京能电力股份有限公司</t>
        </is>
      </c>
      <c r="F777" s="716" t="n"/>
      <c r="G777" s="716" t="n"/>
      <c r="H777" s="462" t="n"/>
    </row>
    <row r="778">
      <c r="A778" s="672" t="inlineStr">
        <is>
          <t>E100989</t>
        </is>
      </c>
      <c r="B778" s="767">
        <f>ROW()</f>
        <v/>
      </c>
      <c r="C778" s="182" t="inlineStr">
        <is>
          <t>宁波保税区招联绿邦新能源有限公司</t>
        </is>
      </c>
      <c r="D778" s="182" t="inlineStr">
        <is>
          <t>ZI029E100988</t>
        </is>
      </c>
      <c r="E778" s="182" t="inlineStr">
        <is>
          <t>常州市招联绿睿新能源有限公司</t>
        </is>
      </c>
      <c r="F778" s="716" t="n"/>
      <c r="G778" s="716" t="n"/>
      <c r="H778" s="462" t="n"/>
    </row>
    <row r="779">
      <c r="A779" s="672" t="inlineStr">
        <is>
          <t>E100786</t>
        </is>
      </c>
      <c r="B779" s="767">
        <f>ROW()</f>
        <v/>
      </c>
      <c r="C779" s="182" t="inlineStr">
        <is>
          <t>宁夏博阳新能源有限公司</t>
        </is>
      </c>
      <c r="D779" s="182" t="inlineStr">
        <is>
          <t>ZI029E100001</t>
        </is>
      </c>
      <c r="E779" s="182" t="inlineStr">
        <is>
          <t>北京京能清洁能源电力股份有限公司</t>
        </is>
      </c>
      <c r="F779" s="716" t="n"/>
      <c r="G779" s="716" t="n"/>
      <c r="H779" s="462" t="n"/>
    </row>
    <row r="780">
      <c r="A780" s="672" t="inlineStr">
        <is>
          <t>E100092</t>
        </is>
      </c>
      <c r="B780" s="767">
        <f>ROW()</f>
        <v/>
      </c>
      <c r="C780" s="182" t="inlineStr">
        <is>
          <t>宁夏海原京能新能源有限公司</t>
        </is>
      </c>
      <c r="D780" s="182" t="inlineStr">
        <is>
          <t>ZI029E100001</t>
        </is>
      </c>
      <c r="E780" s="182" t="inlineStr">
        <is>
          <t>北京京能清洁能源电力股份有限公司</t>
        </is>
      </c>
      <c r="F780" s="716" t="n"/>
      <c r="G780" s="716" t="n"/>
      <c r="H780" s="462" t="n"/>
    </row>
    <row r="781">
      <c r="A781" s="672" t="inlineStr">
        <is>
          <t>E100091</t>
        </is>
      </c>
      <c r="B781" s="767">
        <f>ROW()</f>
        <v/>
      </c>
      <c r="C781" s="182" t="inlineStr">
        <is>
          <t>宁夏贺兰京能新能源有限公司</t>
        </is>
      </c>
      <c r="D781" s="182" t="inlineStr">
        <is>
          <t>ZI029E100001</t>
        </is>
      </c>
      <c r="E781" s="182" t="inlineStr">
        <is>
          <t>北京京能清洁能源电力股份有限公司</t>
        </is>
      </c>
      <c r="F781" s="716" t="n"/>
      <c r="G781" s="716" t="n"/>
      <c r="H781" s="462" t="n"/>
    </row>
    <row r="782">
      <c r="A782" s="672" t="inlineStr">
        <is>
          <t>E100205</t>
        </is>
      </c>
      <c r="B782" s="767">
        <f>ROW()</f>
        <v/>
      </c>
      <c r="C782" s="182" t="inlineStr">
        <is>
          <t>宁夏红墩子煤业有限公司</t>
        </is>
      </c>
      <c r="D782" s="182" t="inlineStr">
        <is>
          <t>ZI029E100201</t>
        </is>
      </c>
      <c r="E782" s="182" t="inlineStr">
        <is>
          <t>北京昊华能源股份有限公司</t>
        </is>
      </c>
      <c r="F782" s="716" t="n"/>
      <c r="G782" s="716" t="n"/>
      <c r="H782" s="462" t="n"/>
    </row>
    <row r="783">
      <c r="A783" s="672" t="inlineStr">
        <is>
          <t>E100376</t>
        </is>
      </c>
      <c r="B783" s="767">
        <f>ROW()</f>
        <v/>
      </c>
      <c r="C783" s="182" t="inlineStr">
        <is>
          <t>宁夏红寺堡京能源深光伏发展有限公司</t>
        </is>
      </c>
      <c r="D783" s="182" t="inlineStr">
        <is>
          <t>ZI029E100371</t>
        </is>
      </c>
      <c r="E783" s="182" t="inlineStr">
        <is>
          <t>北京京能科技有限公司</t>
        </is>
      </c>
      <c r="F783" s="716" t="n"/>
      <c r="G783" s="716" t="n"/>
      <c r="H783" s="462" t="n"/>
    </row>
    <row r="784">
      <c r="A784" s="672" t="inlineStr">
        <is>
          <t>E100306</t>
        </is>
      </c>
      <c r="B784" s="767">
        <f>ROW()</f>
        <v/>
      </c>
      <c r="C784" s="182" t="inlineStr">
        <is>
          <t>宁夏京能创业房地产开发有限公司</t>
        </is>
      </c>
      <c r="D784" s="182" t="inlineStr">
        <is>
          <t>ZI029E100268</t>
        </is>
      </c>
      <c r="E784" s="182" t="inlineStr">
        <is>
          <t>北京京煤集团有限责任公司</t>
        </is>
      </c>
      <c r="F784" s="716" t="n"/>
      <c r="G784" s="716" t="n"/>
      <c r="H784" s="462" t="n"/>
    </row>
    <row r="785">
      <c r="A785" s="672" t="inlineStr">
        <is>
          <t>E100432</t>
        </is>
      </c>
      <c r="B785" s="767">
        <f>ROW()</f>
        <v/>
      </c>
      <c r="C785" s="182" t="inlineStr">
        <is>
          <t>宁夏京能房地产开发有限公司</t>
        </is>
      </c>
      <c r="D785" s="182" t="inlineStr">
        <is>
          <t>ZI029E100420</t>
        </is>
      </c>
      <c r="E785" s="182" t="inlineStr">
        <is>
          <t>京能置业股份有限公司</t>
        </is>
      </c>
      <c r="F785" s="716" t="n"/>
      <c r="G785" s="716" t="n"/>
      <c r="H785" s="462" t="n"/>
    </row>
    <row r="786">
      <c r="A786" s="672" t="inlineStr">
        <is>
          <t>E100432</t>
        </is>
      </c>
      <c r="B786" s="767">
        <f>ROW()</f>
        <v/>
      </c>
      <c r="C786" s="182" t="inlineStr">
        <is>
          <t>宁夏京能房地产开发有限公司</t>
        </is>
      </c>
      <c r="D786" s="182" t="inlineStr">
        <is>
          <t>ZI029E100000</t>
        </is>
      </c>
      <c r="E786" s="182" t="inlineStr">
        <is>
          <t>北京能源集团有限责任公司</t>
        </is>
      </c>
      <c r="F786" s="716" t="n"/>
      <c r="G786" s="716" t="n"/>
      <c r="H786" s="462" t="n"/>
    </row>
    <row r="787">
      <c r="A787" s="672" t="inlineStr">
        <is>
          <t>E100088</t>
        </is>
      </c>
      <c r="B787" s="767">
        <f>ROW()</f>
        <v/>
      </c>
      <c r="C787" s="182" t="inlineStr">
        <is>
          <t>宁夏京能灵武风电有限公司</t>
        </is>
      </c>
      <c r="D787" s="182" t="inlineStr">
        <is>
          <t>ZI029E100001</t>
        </is>
      </c>
      <c r="E787" s="182" t="inlineStr">
        <is>
          <t>北京京能清洁能源电力股份有限公司</t>
        </is>
      </c>
      <c r="F787" s="716" t="n"/>
      <c r="G787" s="716" t="n"/>
      <c r="H787" s="462" t="n"/>
    </row>
    <row r="788">
      <c r="A788" s="672" t="inlineStr">
        <is>
          <t>E100152</t>
        </is>
      </c>
      <c r="B788" s="767">
        <f>ROW()</f>
        <v/>
      </c>
      <c r="C788" s="182" t="inlineStr">
        <is>
          <t>宁夏京能宁东发电有限责任公司</t>
        </is>
      </c>
      <c r="D788" s="182" t="inlineStr">
        <is>
          <t>ZI029E100145</t>
        </is>
      </c>
      <c r="E788" s="182" t="inlineStr">
        <is>
          <t>北京京能电力股份有限公司</t>
        </is>
      </c>
      <c r="F788" s="716" t="n"/>
      <c r="G788" s="716" t="n"/>
      <c r="H788" s="462" t="n"/>
    </row>
    <row r="789">
      <c r="A789" s="672" t="inlineStr">
        <is>
          <t>E100819</t>
        </is>
      </c>
      <c r="B789" s="767">
        <f>ROW()</f>
        <v/>
      </c>
      <c r="C789" s="182" t="inlineStr">
        <is>
          <t>宁夏京能宁东新能源有限公司</t>
        </is>
      </c>
      <c r="D789" s="182" t="inlineStr">
        <is>
          <t>ZI029E100145</t>
        </is>
      </c>
      <c r="E789" s="182" t="inlineStr">
        <is>
          <t>北京京能电力股份有限公司</t>
        </is>
      </c>
      <c r="F789" s="716" t="n"/>
      <c r="G789" s="716" t="n"/>
      <c r="H789" s="462" t="n"/>
    </row>
    <row r="790">
      <c r="A790" s="672" t="inlineStr">
        <is>
          <t>E100087</t>
        </is>
      </c>
      <c r="B790" s="767">
        <f>ROW()</f>
        <v/>
      </c>
      <c r="C790" s="182" t="inlineStr">
        <is>
          <t>宁夏京能新能源有限公司</t>
        </is>
      </c>
      <c r="D790" s="182" t="inlineStr">
        <is>
          <t>ZI029E100001</t>
        </is>
      </c>
      <c r="E790" s="182" t="inlineStr">
        <is>
          <t>北京京能清洁能源电力股份有限公司</t>
        </is>
      </c>
      <c r="F790" s="716" t="n"/>
      <c r="G790" s="716" t="n"/>
      <c r="H790" s="462" t="n"/>
    </row>
    <row r="791">
      <c r="A791" s="672" t="inlineStr">
        <is>
          <t>E100089</t>
        </is>
      </c>
      <c r="B791" s="767">
        <f>ROW()</f>
        <v/>
      </c>
      <c r="C791" s="182" t="inlineStr">
        <is>
          <t>宁夏京能中卫新能源有限公司</t>
        </is>
      </c>
      <c r="D791" s="182" t="inlineStr">
        <is>
          <t>ZI029E100001</t>
        </is>
      </c>
      <c r="E791" s="182" t="inlineStr">
        <is>
          <t>北京京能清洁能源电力股份有限公司</t>
        </is>
      </c>
      <c r="F791" s="716" t="n"/>
      <c r="G791" s="716" t="n"/>
      <c r="H791" s="462" t="n"/>
    </row>
    <row r="792">
      <c r="A792" s="672" t="inlineStr">
        <is>
          <t>E100785</t>
        </is>
      </c>
      <c r="B792" s="767">
        <f>ROW()</f>
        <v/>
      </c>
      <c r="C792" s="182" t="inlineStr">
        <is>
          <t>宁夏恺阳新能源有限公司</t>
        </is>
      </c>
      <c r="D792" s="182" t="inlineStr">
        <is>
          <t>ZI029E100001</t>
        </is>
      </c>
      <c r="E792" s="182" t="inlineStr">
        <is>
          <t>北京京能清洁能源电力股份有限公司</t>
        </is>
      </c>
      <c r="F792" s="716" t="n"/>
      <c r="G792" s="716" t="n"/>
      <c r="H792" s="462" t="n"/>
    </row>
    <row r="793">
      <c r="A793" s="672" t="inlineStr">
        <is>
          <t>E100570</t>
        </is>
      </c>
      <c r="B793" s="767">
        <f>ROW()</f>
        <v/>
      </c>
      <c r="C793" s="182" t="inlineStr">
        <is>
          <t>宁夏杉阳新能源有限公司</t>
        </is>
      </c>
      <c r="D793" s="182" t="inlineStr">
        <is>
          <t>ZI029E100001</t>
        </is>
      </c>
      <c r="E793" s="182" t="inlineStr">
        <is>
          <t>北京京能清洁能源电力股份有限公司</t>
        </is>
      </c>
      <c r="F793" s="716" t="n"/>
      <c r="G793" s="716" t="n"/>
      <c r="H793" s="462" t="n"/>
    </row>
    <row r="794">
      <c r="A794" s="672" t="inlineStr">
        <is>
          <t>E100176</t>
        </is>
      </c>
      <c r="B794" s="767">
        <f>ROW()</f>
        <v/>
      </c>
      <c r="C794" s="182" t="inlineStr">
        <is>
          <t>宁夏太阳山京智综合能源（售电）有限公司</t>
        </is>
      </c>
      <c r="D794" s="182" t="inlineStr">
        <is>
          <t>ZI029E100145</t>
        </is>
      </c>
      <c r="E794" s="182" t="inlineStr">
        <is>
          <t>北京京能电力股份有限公司</t>
        </is>
      </c>
      <c r="F794" s="716" t="n"/>
      <c r="G794" s="716" t="n"/>
      <c r="H794" s="462" t="n"/>
    </row>
    <row r="795">
      <c r="A795" s="672" t="inlineStr">
        <is>
          <t>E100547</t>
        </is>
      </c>
      <c r="B795" s="767">
        <f>ROW()</f>
        <v/>
      </c>
      <c r="C795" s="182" t="inlineStr">
        <is>
          <t>宁夏同心大地日盛新能源有限公司</t>
        </is>
      </c>
      <c r="D795" s="182" t="inlineStr">
        <is>
          <t>ZI029E100001</t>
        </is>
      </c>
      <c r="E795" s="182" t="inlineStr">
        <is>
          <t>北京京能清洁能源电力股份有限公司</t>
        </is>
      </c>
      <c r="F795" s="716" t="n"/>
      <c r="G795" s="716" t="n"/>
      <c r="H795" s="462" t="n"/>
    </row>
    <row r="796">
      <c r="A796" s="672" t="inlineStr">
        <is>
          <t>E100855</t>
        </is>
      </c>
      <c r="B796" s="767">
        <f>ROW()</f>
        <v/>
      </c>
      <c r="C796" s="182" t="inlineStr">
        <is>
          <t>宁夏盐池凯能光伏发电有限公司</t>
        </is>
      </c>
      <c r="D796" s="182" t="inlineStr">
        <is>
          <t>ZI029E100730</t>
        </is>
      </c>
      <c r="E796" s="182" t="inlineStr">
        <is>
          <t>京能国际能源发展（北京）有限公司</t>
        </is>
      </c>
      <c r="F796" s="716" t="n"/>
      <c r="G796" s="716" t="n"/>
      <c r="H796" s="462" t="n"/>
    </row>
    <row r="797">
      <c r="A797" s="672" t="inlineStr">
        <is>
          <t>E100090</t>
        </is>
      </c>
      <c r="B797" s="767">
        <f>ROW()</f>
        <v/>
      </c>
      <c r="C797" s="182" t="inlineStr">
        <is>
          <t>宁夏中宁县京能新能源有限公司</t>
        </is>
      </c>
      <c r="D797" s="182" t="inlineStr">
        <is>
          <t>ZI029E100001</t>
        </is>
      </c>
      <c r="E797" s="182" t="inlineStr">
        <is>
          <t>北京京能清洁能源电力股份有限公司</t>
        </is>
      </c>
      <c r="F797" s="716" t="n"/>
      <c r="G797" s="716" t="n"/>
      <c r="H797" s="462" t="n"/>
    </row>
    <row r="798">
      <c r="A798" s="672" t="inlineStr">
        <is>
          <t>E100736</t>
        </is>
      </c>
      <c r="B798" s="767">
        <f>ROW()</f>
        <v/>
      </c>
      <c r="C798" s="182" t="inlineStr">
        <is>
          <t>宁夏中自太阳能光伏发电有限公司</t>
        </is>
      </c>
      <c r="D798" s="182" t="inlineStr">
        <is>
          <t>ZI029E100864</t>
        </is>
      </c>
      <c r="E798" s="182" t="inlineStr">
        <is>
          <t>西藏中自新能源技术有限公司</t>
        </is>
      </c>
      <c r="F798" s="716" t="n"/>
      <c r="G798" s="716" t="n"/>
      <c r="H798" s="462" t="n"/>
    </row>
    <row r="799">
      <c r="A799" s="672" t="inlineStr">
        <is>
          <t>E100893</t>
        </is>
      </c>
      <c r="B799" s="767">
        <f>ROW()</f>
        <v/>
      </c>
      <c r="C799" s="182" t="inlineStr">
        <is>
          <t>纽莱（威海）新能源有限公司</t>
        </is>
      </c>
      <c r="D799" s="182" t="inlineStr">
        <is>
          <t>ZI029E100883</t>
        </is>
      </c>
      <c r="E799" s="182" t="inlineStr">
        <is>
          <t>Beijing Energy International Investment Limited</t>
        </is>
      </c>
      <c r="F799" s="716" t="n"/>
      <c r="G799" s="716" t="n"/>
      <c r="H799" s="462" t="n"/>
    </row>
    <row r="800">
      <c r="A800" s="672" t="inlineStr">
        <is>
          <t>E100927</t>
        </is>
      </c>
      <c r="B800" s="767">
        <f>ROW()</f>
        <v/>
      </c>
      <c r="C800" s="182" t="inlineStr">
        <is>
          <t>偏关县斯能风电有限公司</t>
        </is>
      </c>
      <c r="D800" s="182" t="inlineStr">
        <is>
          <t>ZI029E100730</t>
        </is>
      </c>
      <c r="E800" s="182" t="inlineStr">
        <is>
          <t>京能国际能源发展（北京）有限公司</t>
        </is>
      </c>
      <c r="F800" s="716" t="n"/>
      <c r="G800" s="716" t="n"/>
      <c r="H800" s="462" t="n"/>
    </row>
    <row r="801">
      <c r="A801" s="672" t="inlineStr">
        <is>
          <t>E100784</t>
        </is>
      </c>
      <c r="B801" s="767">
        <f>ROW()</f>
        <v/>
      </c>
      <c r="C801" s="182" t="inlineStr">
        <is>
          <t>平罗县旭清新能源有限公司</t>
        </is>
      </c>
      <c r="D801" s="182" t="inlineStr">
        <is>
          <t>ZI029E100001</t>
        </is>
      </c>
      <c r="E801" s="182" t="inlineStr">
        <is>
          <t>北京京能清洁能源电力股份有限公司</t>
        </is>
      </c>
      <c r="F801" s="716" t="n"/>
      <c r="G801" s="716" t="n"/>
      <c r="H801" s="462" t="n"/>
    </row>
    <row r="802">
      <c r="A802" s="672" t="inlineStr">
        <is>
          <t>E100925</t>
        </is>
      </c>
      <c r="B802" s="767">
        <f>ROW()</f>
        <v/>
      </c>
      <c r="C802" s="182" t="inlineStr">
        <is>
          <t>平山县天汇能源科技有限公司</t>
        </is>
      </c>
      <c r="D802" s="182" t="inlineStr">
        <is>
          <t>ZI029E100730</t>
        </is>
      </c>
      <c r="E802" s="182" t="inlineStr">
        <is>
          <t>京能国际能源发展（北京）有限公司</t>
        </is>
      </c>
      <c r="F802" s="716" t="n"/>
      <c r="G802" s="716" t="n"/>
      <c r="H802" s="462" t="n"/>
    </row>
    <row r="803">
      <c r="A803" s="672" t="inlineStr">
        <is>
          <t>E101059</t>
        </is>
      </c>
      <c r="B803" s="767">
        <f>ROW()</f>
        <v/>
      </c>
      <c r="C803" s="182" t="inlineStr">
        <is>
          <t>迁西富龙热力有限责任公司</t>
        </is>
      </c>
      <c r="D803" s="182" t="inlineStr">
        <is>
          <t>ZI029E101056</t>
        </is>
      </c>
      <c r="E803" s="182" t="inlineStr">
        <is>
          <t>北京华意龙达科技发展有限公司</t>
        </is>
      </c>
      <c r="F803" s="716" t="n"/>
      <c r="G803" s="716" t="n"/>
      <c r="H803" s="462" t="n"/>
    </row>
    <row r="804">
      <c r="A804" s="672" t="inlineStr">
        <is>
          <t>E101060</t>
        </is>
      </c>
      <c r="B804" s="767">
        <f>ROW()</f>
        <v/>
      </c>
      <c r="C804" s="182" t="inlineStr">
        <is>
          <t>迁西和然节能科技有限责任公司</t>
        </is>
      </c>
      <c r="D804" s="182" t="inlineStr">
        <is>
          <t>ZI029E101056</t>
        </is>
      </c>
      <c r="E804" s="182" t="inlineStr">
        <is>
          <t>北京华意龙达科技发展有限公司</t>
        </is>
      </c>
      <c r="F804" s="716" t="n"/>
      <c r="G804" s="716" t="n"/>
      <c r="H804" s="462" t="n"/>
    </row>
    <row r="805">
      <c r="A805" s="672" t="inlineStr">
        <is>
          <t>E100800</t>
        </is>
      </c>
      <c r="B805" s="767">
        <f>ROW()</f>
        <v/>
      </c>
      <c r="C805" s="182" t="inlineStr">
        <is>
          <t>钦州京能清洁能源有限公司</t>
        </is>
      </c>
      <c r="D805" s="182" t="inlineStr">
        <is>
          <t>ZI029E100001</t>
        </is>
      </c>
      <c r="E805" s="182" t="inlineStr">
        <is>
          <t>北京京能清洁能源电力股份有限公司</t>
        </is>
      </c>
      <c r="F805" s="716" t="n"/>
      <c r="G805" s="716" t="n"/>
      <c r="H805" s="462" t="n"/>
    </row>
    <row r="806">
      <c r="A806" s="672" t="inlineStr">
        <is>
          <t>E100177</t>
        </is>
      </c>
      <c r="B806" s="767">
        <f>ROW()</f>
        <v/>
      </c>
      <c r="C806" s="182" t="inlineStr">
        <is>
          <t>青岛京能智汇综合能源有限公司</t>
        </is>
      </c>
      <c r="D806" s="182" t="inlineStr">
        <is>
          <t>ZI029E100145</t>
        </is>
      </c>
      <c r="E806" s="182" t="inlineStr">
        <is>
          <t>北京京能电力股份有限公司</t>
        </is>
      </c>
      <c r="F806" s="716" t="n"/>
      <c r="G806" s="716" t="n"/>
      <c r="H806" s="462" t="n"/>
    </row>
    <row r="807">
      <c r="A807" s="672" t="inlineStr">
        <is>
          <t>E100932</t>
        </is>
      </c>
      <c r="B807" s="767">
        <f>ROW()</f>
        <v/>
      </c>
      <c r="C807" s="182" t="inlineStr">
        <is>
          <t>青海思迅新能源有限公司</t>
        </is>
      </c>
      <c r="D807" s="182" t="inlineStr">
        <is>
          <t>ZI029E100730</t>
        </is>
      </c>
      <c r="E807" s="182" t="inlineStr">
        <is>
          <t>京能国际能源发展（北京）有限公司</t>
        </is>
      </c>
      <c r="F807" s="716" t="n"/>
      <c r="G807" s="716" t="n"/>
      <c r="H807" s="462" t="n"/>
    </row>
    <row r="808">
      <c r="A808" s="672" t="inlineStr">
        <is>
          <t>E100953</t>
        </is>
      </c>
      <c r="B808" s="767">
        <f>ROW()</f>
        <v/>
      </c>
      <c r="C808" s="182" t="inlineStr">
        <is>
          <t>清水河县惠民光伏发电有限公司</t>
        </is>
      </c>
      <c r="D808" s="182" t="inlineStr">
        <is>
          <t>ZI029E100952</t>
        </is>
      </c>
      <c r="E808" s="182" t="inlineStr">
        <is>
          <t>呼和浩特市联合新能源开发有限公司</t>
        </is>
      </c>
      <c r="F808" s="716" t="n"/>
      <c r="G808" s="716" t="n"/>
      <c r="H808" s="462" t="n"/>
    </row>
    <row r="809">
      <c r="A809" s="672" t="inlineStr">
        <is>
          <t>E100971</t>
        </is>
      </c>
      <c r="B809" s="767">
        <f>ROW()</f>
        <v/>
      </c>
      <c r="C809" s="182" t="inlineStr">
        <is>
          <t>曲水茂昌光伏产业发展有限公司</t>
        </is>
      </c>
      <c r="D809" s="182" t="inlineStr">
        <is>
          <t>ZI029E100864</t>
        </is>
      </c>
      <c r="E809" s="182" t="inlineStr">
        <is>
          <t>西藏中自新能源技术有限公司</t>
        </is>
      </c>
      <c r="F809" s="716" t="n"/>
      <c r="G809" s="716" t="n"/>
      <c r="H809" s="462" t="n"/>
    </row>
    <row r="810">
      <c r="A810" s="672" t="inlineStr">
        <is>
          <t>E100027</t>
        </is>
      </c>
      <c r="B810" s="767">
        <f>ROW()</f>
        <v/>
      </c>
      <c r="C810" s="182" t="inlineStr">
        <is>
          <t>润峰格尔木电力有限公司</t>
        </is>
      </c>
      <c r="D810" s="182" t="inlineStr">
        <is>
          <t>ZI029E100001</t>
        </is>
      </c>
      <c r="E810" s="182" t="inlineStr">
        <is>
          <t>北京京能清洁能源电力股份有限公司</t>
        </is>
      </c>
      <c r="F810" s="716" t="n"/>
      <c r="G810" s="716" t="n"/>
      <c r="H810" s="462" t="n"/>
    </row>
    <row r="811">
      <c r="A811" s="672" t="inlineStr">
        <is>
          <t>E100252</t>
        </is>
      </c>
      <c r="B811" s="767">
        <f>ROW()</f>
        <v/>
      </c>
      <c r="C811" s="182" t="inlineStr">
        <is>
          <t>三河新源供热有限公司</t>
        </is>
      </c>
      <c r="D811" s="182" t="inlineStr">
        <is>
          <t>ZI029E100259</t>
        </is>
      </c>
      <c r="E811" s="182" t="inlineStr">
        <is>
          <t>北京京能热力发展有限公司</t>
        </is>
      </c>
      <c r="F811" s="716" t="n"/>
      <c r="G811" s="716" t="n"/>
      <c r="H811" s="462" t="n"/>
    </row>
    <row r="812">
      <c r="A812" s="672" t="inlineStr">
        <is>
          <t>E100252G</t>
        </is>
      </c>
      <c r="B812" s="767">
        <f>ROW()</f>
        <v/>
      </c>
      <c r="C812" s="182" t="inlineStr">
        <is>
          <t>三河新源供热有限公司（合并）</t>
        </is>
      </c>
      <c r="D812" s="182" t="inlineStr">
        <is>
          <t>ZI029E100259</t>
        </is>
      </c>
      <c r="E812" s="182" t="inlineStr">
        <is>
          <t>北京京能热力发展有限公司</t>
        </is>
      </c>
      <c r="F812" s="716" t="n"/>
      <c r="G812" s="716" t="n"/>
      <c r="H812" s="462" t="n"/>
    </row>
    <row r="813">
      <c r="A813" s="672" t="inlineStr">
        <is>
          <t>E100252H</t>
        </is>
      </c>
      <c r="B813" s="767">
        <f>ROW()</f>
        <v/>
      </c>
      <c r="C813" s="182" t="inlineStr">
        <is>
          <t>三河新源供热有限公司（母公司）</t>
        </is>
      </c>
      <c r="D813" s="182" t="inlineStr">
        <is>
          <t>ZI029E100259</t>
        </is>
      </c>
      <c r="E813" s="182" t="inlineStr">
        <is>
          <t>北京京能热力发展有限公司</t>
        </is>
      </c>
      <c r="F813" s="716" t="n"/>
      <c r="G813" s="716" t="n"/>
      <c r="H813" s="462" t="n"/>
    </row>
    <row r="814">
      <c r="A814" s="672" t="inlineStr">
        <is>
          <t>E100780</t>
        </is>
      </c>
      <c r="B814" s="767">
        <f>ROW()</f>
        <v/>
      </c>
      <c r="C814" s="182" t="inlineStr">
        <is>
          <t>三明京能清洁能源电力有限公司</t>
        </is>
      </c>
      <c r="D814" s="182" t="inlineStr">
        <is>
          <t>ZI029E100001</t>
        </is>
      </c>
      <c r="E814" s="182" t="inlineStr">
        <is>
          <t>北京京能清洁能源电力股份有限公司</t>
        </is>
      </c>
      <c r="F814" s="716" t="n"/>
      <c r="G814" s="716" t="n"/>
      <c r="H814" s="462" t="n"/>
    </row>
    <row r="815">
      <c r="A815" s="672" t="inlineStr">
        <is>
          <t>E100947</t>
        </is>
      </c>
      <c r="B815" s="767">
        <f>ROW()</f>
        <v/>
      </c>
      <c r="C815" s="182" t="inlineStr">
        <is>
          <t>山东新泰楼德佳阳光伏发电有限公司</t>
        </is>
      </c>
      <c r="D815" s="182" t="inlineStr">
        <is>
          <t>ZI029E100730</t>
        </is>
      </c>
      <c r="E815" s="182" t="inlineStr">
        <is>
          <t>京能国际能源发展（北京）有限公司</t>
        </is>
      </c>
      <c r="F815" s="716" t="n"/>
      <c r="G815" s="716" t="n"/>
      <c r="H815" s="462" t="n"/>
    </row>
    <row r="816">
      <c r="A816" s="672" t="inlineStr">
        <is>
          <t>E100831</t>
        </is>
      </c>
      <c r="B816" s="767">
        <f>ROW()</f>
        <v/>
      </c>
      <c r="C816" s="182" t="inlineStr">
        <is>
          <t>山西京潞新能源有限公司</t>
        </is>
      </c>
      <c r="D816" s="182" t="inlineStr">
        <is>
          <t>ZI029E100151</t>
        </is>
      </c>
      <c r="E816" s="182" t="inlineStr">
        <is>
          <t>山西漳山发电有限责任公司</t>
        </is>
      </c>
      <c r="F816" s="716" t="n"/>
      <c r="G816" s="716" t="n"/>
      <c r="H816" s="462" t="n"/>
    </row>
    <row r="817">
      <c r="A817" s="672" t="inlineStr">
        <is>
          <t>E100172</t>
        </is>
      </c>
      <c r="B817" s="767">
        <f>ROW()</f>
        <v/>
      </c>
      <c r="C817" s="182" t="inlineStr">
        <is>
          <t>山西京能吕临发电有限公司</t>
        </is>
      </c>
      <c r="D817" s="182" t="inlineStr">
        <is>
          <t>ZI029E100145</t>
        </is>
      </c>
      <c r="E817" s="182" t="inlineStr">
        <is>
          <t>北京京能电力股份有限公司</t>
        </is>
      </c>
      <c r="F817" s="716" t="n"/>
      <c r="G817" s="716" t="n"/>
      <c r="H817" s="462" t="n"/>
    </row>
    <row r="818">
      <c r="A818" s="672" t="inlineStr">
        <is>
          <t>E100179</t>
        </is>
      </c>
      <c r="B818" s="767">
        <f>ROW()</f>
        <v/>
      </c>
      <c r="C818" s="182" t="inlineStr">
        <is>
          <t>山西京能售电有限责任公司</t>
        </is>
      </c>
      <c r="D818" s="182" t="inlineStr">
        <is>
          <t>ZI029E100145</t>
        </is>
      </c>
      <c r="E818" s="182" t="inlineStr">
        <is>
          <t>北京京能电力股份有限公司</t>
        </is>
      </c>
      <c r="F818" s="716" t="n"/>
      <c r="G818" s="716" t="n"/>
      <c r="H818" s="462" t="n"/>
    </row>
    <row r="819">
      <c r="A819" s="672" t="inlineStr">
        <is>
          <t>E100164</t>
        </is>
      </c>
      <c r="B819" s="767">
        <f>ROW()</f>
        <v/>
      </c>
      <c r="C819" s="182" t="inlineStr">
        <is>
          <t>山西京同热电有限公司</t>
        </is>
      </c>
      <c r="D819" s="182" t="inlineStr">
        <is>
          <t>ZI029E100145</t>
        </is>
      </c>
      <c r="E819" s="182" t="inlineStr">
        <is>
          <t>北京京能电力股份有限公司</t>
        </is>
      </c>
      <c r="F819" s="716" t="n"/>
      <c r="G819" s="716" t="n"/>
      <c r="H819" s="462" t="n"/>
    </row>
    <row r="820">
      <c r="A820" s="672" t="inlineStr">
        <is>
          <t>E100162</t>
        </is>
      </c>
      <c r="B820" s="767">
        <f>ROW()</f>
        <v/>
      </c>
      <c r="C820" s="182" t="inlineStr">
        <is>
          <t>山西京玉发电有限责任公司</t>
        </is>
      </c>
      <c r="D820" s="182" t="inlineStr">
        <is>
          <t>ZI029E100145</t>
        </is>
      </c>
      <c r="E820" s="182" t="inlineStr">
        <is>
          <t>北京京能电力股份有限公司</t>
        </is>
      </c>
      <c r="F820" s="716" t="n"/>
      <c r="G820" s="716" t="n"/>
      <c r="H820" s="462" t="n"/>
    </row>
    <row r="821">
      <c r="A821" s="672" t="inlineStr">
        <is>
          <t>E10006861</t>
        </is>
      </c>
      <c r="B821" s="767">
        <f>ROW()</f>
        <v/>
      </c>
      <c r="C821" s="182" t="inlineStr">
        <is>
          <t>山西鑫华源智能立体停车设备制造有限责任公司</t>
        </is>
      </c>
      <c r="D821" s="182" t="inlineStr">
        <is>
          <t>ZI029E100332</t>
        </is>
      </c>
      <c r="E821" s="182" t="inlineStr">
        <is>
          <t>北京鑫华源机械制造有限责任公司</t>
        </is>
      </c>
      <c r="F821" s="716" t="n"/>
      <c r="G821" s="716" t="n"/>
      <c r="H821" s="462" t="n"/>
    </row>
    <row r="822">
      <c r="A822" s="672" t="inlineStr">
        <is>
          <t>E100151</t>
        </is>
      </c>
      <c r="B822" s="767">
        <f>ROW()</f>
        <v/>
      </c>
      <c r="C822" s="182" t="inlineStr">
        <is>
          <t>山西漳山发电有限责任公司</t>
        </is>
      </c>
      <c r="D822" s="182" t="inlineStr">
        <is>
          <t>ZI029E100145</t>
        </is>
      </c>
      <c r="E822" s="182" t="inlineStr">
        <is>
          <t>北京京能电力股份有限公司</t>
        </is>
      </c>
      <c r="F822" s="716" t="n"/>
      <c r="G822" s="716" t="n"/>
      <c r="H822" s="462" t="n"/>
    </row>
    <row r="823">
      <c r="A823" s="672" t="inlineStr">
        <is>
          <t>E100033</t>
        </is>
      </c>
      <c r="B823" s="767">
        <f>ROW()</f>
        <v/>
      </c>
      <c r="C823" s="182" t="inlineStr">
        <is>
          <t>尚义京能新能源有限公司</t>
        </is>
      </c>
      <c r="D823" s="182" t="inlineStr">
        <is>
          <t>ZI029E100001</t>
        </is>
      </c>
      <c r="E823" s="182" t="inlineStr">
        <is>
          <t>北京京能清洁能源电力股份有限公司</t>
        </is>
      </c>
      <c r="F823" s="716" t="n"/>
      <c r="G823" s="716" t="n"/>
      <c r="H823" s="462" t="n"/>
    </row>
    <row r="824">
      <c r="A824" s="672" t="inlineStr">
        <is>
          <t>E100712</t>
        </is>
      </c>
      <c r="B824" s="767">
        <f>ROW()</f>
        <v/>
      </c>
      <c r="C824" s="182" t="inlineStr">
        <is>
          <t>尚义县旭蓝新能源科技有限公司</t>
        </is>
      </c>
      <c r="D824" s="182" t="inlineStr">
        <is>
          <t>ZI029E100711</t>
        </is>
      </c>
      <c r="E824" s="182" t="inlineStr">
        <is>
          <t>鄂托克前旗晟日新能源科技有限公司</t>
        </is>
      </c>
      <c r="F824" s="716" t="n"/>
      <c r="G824" s="716" t="n"/>
      <c r="H824" s="462" t="n"/>
    </row>
    <row r="825">
      <c r="A825" s="672" t="inlineStr">
        <is>
          <t>E100917</t>
        </is>
      </c>
      <c r="B825" s="767">
        <f>ROW()</f>
        <v/>
      </c>
      <c r="C825" s="182" t="inlineStr">
        <is>
          <t>绍兴昱耀新能源科技有限公司</t>
        </is>
      </c>
      <c r="D825" s="182" t="inlineStr">
        <is>
          <t>ZI029E100908</t>
        </is>
      </c>
      <c r="E825" s="182" t="inlineStr">
        <is>
          <t>北京通力日昇新能源科技有限公司</t>
        </is>
      </c>
      <c r="F825" s="716" t="n"/>
      <c r="G825" s="716" t="n"/>
      <c r="H825" s="462" t="n"/>
    </row>
    <row r="826">
      <c r="A826" s="672" t="inlineStr">
        <is>
          <t>E100557</t>
        </is>
      </c>
      <c r="B826" s="767">
        <f>ROW()</f>
        <v/>
      </c>
      <c r="C826" s="182" t="inlineStr">
        <is>
          <t>深圳京能清洁能源融资租赁有限公司</t>
        </is>
      </c>
      <c r="D826" s="182" t="inlineStr">
        <is>
          <t>ZI029E100543</t>
        </is>
      </c>
      <c r="E826" s="182" t="inlineStr">
        <is>
          <t>北京京能清洁能源电力股份（香港）有限公司</t>
        </is>
      </c>
      <c r="F826" s="716" t="n"/>
      <c r="G826" s="716" t="n"/>
      <c r="H826" s="462" t="n"/>
    </row>
    <row r="827">
      <c r="A827" s="672" t="inlineStr">
        <is>
          <t>E100107</t>
        </is>
      </c>
      <c r="B827" s="767">
        <f>ROW()</f>
        <v/>
      </c>
      <c r="C827" s="182" t="inlineStr">
        <is>
          <t>深圳京能融资租赁有限公司</t>
        </is>
      </c>
      <c r="D827" s="182" t="inlineStr">
        <is>
          <t>ZI029E100000</t>
        </is>
      </c>
      <c r="E827" s="182" t="inlineStr">
        <is>
          <t>北京能源集团有限责任公司</t>
        </is>
      </c>
      <c r="F827" s="716" t="n"/>
      <c r="G827" s="716" t="n"/>
      <c r="H827" s="462" t="n"/>
    </row>
    <row r="828">
      <c r="A828" s="672" t="inlineStr">
        <is>
          <t>E100107</t>
        </is>
      </c>
      <c r="B828" s="767">
        <f>ROW()</f>
        <v/>
      </c>
      <c r="C828" s="182" t="inlineStr">
        <is>
          <t>深圳京能融资租赁有限公司</t>
        </is>
      </c>
      <c r="D828" s="182" t="inlineStr">
        <is>
          <t>ZI029E100559</t>
        </is>
      </c>
      <c r="E828" s="182" t="inlineStr">
        <is>
          <t>北京能源投资集团（香港）有限公司</t>
        </is>
      </c>
      <c r="F828" s="716" t="n"/>
      <c r="G828" s="716" t="n"/>
      <c r="H828" s="462" t="n"/>
    </row>
    <row r="829">
      <c r="A829" s="672" t="inlineStr">
        <is>
          <t>E100107</t>
        </is>
      </c>
      <c r="B829" s="767">
        <f>ROW()</f>
        <v/>
      </c>
      <c r="C829" s="182" t="inlineStr">
        <is>
          <t>深圳京能融资租赁有限公司</t>
        </is>
      </c>
      <c r="D829" s="182" t="inlineStr">
        <is>
          <t>ZI029E100001</t>
        </is>
      </c>
      <c r="E829" s="182" t="inlineStr">
        <is>
          <t>北京京能清洁能源电力股份有限公司</t>
        </is>
      </c>
      <c r="F829" s="716" t="n"/>
      <c r="G829" s="716" t="n"/>
      <c r="H829" s="462" t="n"/>
    </row>
    <row r="830">
      <c r="A830" s="672" t="inlineStr">
        <is>
          <t>E101070</t>
        </is>
      </c>
      <c r="B830" s="767">
        <f>ROW()</f>
        <v/>
      </c>
      <c r="C830" s="182" t="inlineStr">
        <is>
          <t>深圳市前海毓华清洁能源投资有限公司</t>
        </is>
      </c>
      <c r="D830" s="182" t="inlineStr">
        <is>
          <t>ZI029E100730</t>
        </is>
      </c>
      <c r="E830" s="182" t="inlineStr">
        <is>
          <t>京能国际能源发展（北京）有限公司</t>
        </is>
      </c>
      <c r="F830" s="716" t="n"/>
      <c r="G830" s="716" t="n"/>
      <c r="H830" s="462" t="n"/>
    </row>
    <row r="831">
      <c r="A831" s="672" t="inlineStr">
        <is>
          <t>E100011</t>
        </is>
      </c>
      <c r="B831" s="767">
        <f>ROW()</f>
        <v/>
      </c>
      <c r="C831" s="182" t="inlineStr">
        <is>
          <t>深圳钰湖电力有限公司</t>
        </is>
      </c>
      <c r="D831" s="182" t="inlineStr">
        <is>
          <t>ZI029E100000</t>
        </is>
      </c>
      <c r="E831" s="182" t="inlineStr">
        <is>
          <t>北京能源集团有限责任公司</t>
        </is>
      </c>
      <c r="F831" s="716" t="n"/>
      <c r="G831" s="716" t="n"/>
      <c r="H831" s="462" t="n"/>
    </row>
    <row r="832">
      <c r="A832" s="672" t="inlineStr">
        <is>
          <t>E100025</t>
        </is>
      </c>
      <c r="B832" s="767">
        <f>ROW()</f>
        <v/>
      </c>
      <c r="C832" s="182" t="inlineStr">
        <is>
          <t>深州电阳新能源有限公司</t>
        </is>
      </c>
      <c r="D832" s="182" t="inlineStr">
        <is>
          <t>ZI029E100001</t>
        </is>
      </c>
      <c r="E832" s="182" t="inlineStr">
        <is>
          <t>北京京能清洁能源电力股份有限公司</t>
        </is>
      </c>
      <c r="F832" s="716" t="n"/>
      <c r="G832" s="716" t="n"/>
      <c r="H832" s="462" t="n"/>
    </row>
    <row r="833">
      <c r="A833" s="672" t="inlineStr">
        <is>
          <t>E100965</t>
        </is>
      </c>
      <c r="B833" s="767">
        <f>ROW()</f>
        <v/>
      </c>
      <c r="C833" s="182" t="inlineStr">
        <is>
          <t>石拐丝绸之路光伏发电有限公司</t>
        </is>
      </c>
      <c r="D833" s="182" t="inlineStr">
        <is>
          <t>ZI029E100963</t>
        </is>
      </c>
      <c r="E833" s="182" t="inlineStr">
        <is>
          <t>丝绸之路新能源（常州）有限公司</t>
        </is>
      </c>
      <c r="F833" s="716" t="n"/>
      <c r="G833" s="716" t="n"/>
      <c r="H833" s="462" t="n"/>
    </row>
    <row r="834">
      <c r="A834" s="672" t="inlineStr">
        <is>
          <t>E100084</t>
        </is>
      </c>
      <c r="B834" s="767">
        <f>ROW()</f>
        <v/>
      </c>
      <c r="C834" s="182" t="inlineStr">
        <is>
          <t>寿阳京寿光伏发电有限公司</t>
        </is>
      </c>
      <c r="D834" s="182" t="inlineStr">
        <is>
          <t>ZI029E100001</t>
        </is>
      </c>
      <c r="E834" s="182" t="inlineStr">
        <is>
          <t>北京京能清洁能源电力股份有限公司</t>
        </is>
      </c>
      <c r="F834" s="716" t="n"/>
      <c r="G834" s="716" t="n"/>
      <c r="H834" s="462" t="n"/>
    </row>
    <row r="835">
      <c r="A835" s="672" t="inlineStr">
        <is>
          <t>E100084</t>
        </is>
      </c>
      <c r="B835" s="767">
        <f>ROW()</f>
        <v/>
      </c>
      <c r="C835" s="182" t="inlineStr">
        <is>
          <t>寿阳京寿光伏发电有限公司</t>
        </is>
      </c>
      <c r="D835" s="182" t="inlineStr">
        <is>
          <t>ZI029E101160</t>
        </is>
      </c>
      <c r="E835" s="182" t="inlineStr">
        <is>
          <t>横峰县晶能电力有限公司</t>
        </is>
      </c>
      <c r="F835" s="716" t="n"/>
      <c r="G835" s="716" t="n"/>
      <c r="H835" s="462" t="n"/>
    </row>
    <row r="836">
      <c r="A836" s="672" t="inlineStr">
        <is>
          <t>E101064</t>
        </is>
      </c>
      <c r="B836" s="767">
        <f>ROW()</f>
        <v/>
      </c>
      <c r="C836" s="182" t="inlineStr">
        <is>
          <t>朔州市平鲁区红沟风电有限公司</t>
        </is>
      </c>
      <c r="D836" s="182" t="inlineStr">
        <is>
          <t>ZI029E100730</t>
        </is>
      </c>
      <c r="E836" s="182" t="inlineStr">
        <is>
          <t>京能国际能源发展（北京）有限公司</t>
        </is>
      </c>
      <c r="F836" s="716" t="n"/>
      <c r="G836" s="716" t="n"/>
      <c r="H836" s="462" t="n"/>
    </row>
    <row r="837">
      <c r="A837" s="716" t="inlineStr">
        <is>
          <t>E101064</t>
        </is>
      </c>
      <c r="B837" s="767">
        <f>ROW()</f>
        <v/>
      </c>
      <c r="C837" s="182" t="inlineStr">
        <is>
          <t>朔州市平鲁区红沟风电有限公司</t>
        </is>
      </c>
      <c r="D837" s="182" t="inlineStr">
        <is>
          <t>ZI029E101336</t>
        </is>
      </c>
      <c r="E837" s="182" t="inlineStr">
        <is>
          <t>盛唐贰号（天津）企业管理合伙企业（有限合伙）</t>
        </is>
      </c>
      <c r="F837" s="716" t="n"/>
      <c r="G837" s="716" t="n"/>
      <c r="H837" s="462" t="n"/>
    </row>
    <row r="838">
      <c r="A838" s="672" t="inlineStr">
        <is>
          <t>E100963</t>
        </is>
      </c>
      <c r="B838" s="767">
        <f>ROW()</f>
        <v/>
      </c>
      <c r="C838" s="182" t="inlineStr">
        <is>
          <t>丝绸之路新能源（常州）有限公司</t>
        </is>
      </c>
      <c r="D838" s="182" t="inlineStr">
        <is>
          <t>ZI029E100734</t>
        </is>
      </c>
      <c r="E838" s="182" t="inlineStr">
        <is>
          <t>联合光伏（常州）投资集团有限公司</t>
        </is>
      </c>
      <c r="F838" s="716" t="n"/>
      <c r="G838" s="716" t="n"/>
      <c r="H838" s="462" t="n"/>
    </row>
    <row r="839">
      <c r="A839" s="672" t="inlineStr">
        <is>
          <t>E101016</t>
        </is>
      </c>
      <c r="B839" s="767">
        <f>ROW()</f>
        <v/>
      </c>
      <c r="C839" s="182" t="inlineStr">
        <is>
          <t>丝绸之路招商新能源（常州）有限公司</t>
        </is>
      </c>
      <c r="D839" s="182" t="inlineStr">
        <is>
          <t>ZI029E101015</t>
        </is>
      </c>
      <c r="E839" s="182" t="inlineStr">
        <is>
          <t>New Light Assets Limited</t>
        </is>
      </c>
      <c r="F839" s="716" t="n"/>
      <c r="G839" s="716" t="n"/>
      <c r="H839" s="462" t="n"/>
    </row>
    <row r="840">
      <c r="A840" s="672" t="inlineStr">
        <is>
          <t>E100096</t>
        </is>
      </c>
      <c r="B840" s="767">
        <f>ROW()</f>
        <v/>
      </c>
      <c r="C840" s="182" t="inlineStr">
        <is>
          <t>四川大川电力有限公司</t>
        </is>
      </c>
      <c r="D840" s="182" t="inlineStr">
        <is>
          <t>ZI029E100001</t>
        </is>
      </c>
      <c r="E840" s="182" t="inlineStr">
        <is>
          <t>北京京能清洁能源电力股份有限公司</t>
        </is>
      </c>
      <c r="F840" s="716" t="n"/>
      <c r="G840" s="716" t="n"/>
      <c r="H840" s="462" t="n"/>
    </row>
    <row r="841">
      <c r="A841" s="672" t="inlineStr">
        <is>
          <t>E100737</t>
        </is>
      </c>
      <c r="B841" s="767">
        <f>ROW()</f>
        <v/>
      </c>
      <c r="C841" s="182" t="inlineStr">
        <is>
          <t>四川联合光伏有限公司</t>
        </is>
      </c>
      <c r="D841" s="182" t="inlineStr">
        <is>
          <t>ZI029E100963</t>
        </is>
      </c>
      <c r="E841" s="182" t="inlineStr">
        <is>
          <t>丝绸之路新能源（常州）有限公司</t>
        </is>
      </c>
      <c r="F841" s="716" t="n"/>
      <c r="G841" s="716" t="n"/>
      <c r="H841" s="462" t="n"/>
    </row>
    <row r="842">
      <c r="A842" s="672" t="inlineStr">
        <is>
          <t>E100097</t>
        </is>
      </c>
      <c r="B842" s="767">
        <f>ROW()</f>
        <v/>
      </c>
      <c r="C842" s="182" t="inlineStr">
        <is>
          <t>四川众能电力有限公司</t>
        </is>
      </c>
      <c r="D842" s="182" t="inlineStr">
        <is>
          <t>ZI029E100001</t>
        </is>
      </c>
      <c r="E842" s="182" t="inlineStr">
        <is>
          <t>北京京能清洁能源电力股份有限公司</t>
        </is>
      </c>
      <c r="F842" s="716" t="n"/>
      <c r="G842" s="716" t="n"/>
      <c r="H842" s="462" t="n"/>
    </row>
    <row r="843">
      <c r="A843" s="672" t="inlineStr">
        <is>
          <t>E100826</t>
        </is>
      </c>
      <c r="B843" s="767">
        <f>ROW()</f>
        <v/>
      </c>
      <c r="C843" s="182" t="inlineStr">
        <is>
          <t>宿迁市宿豫区宏旭新能源科技有限公司</t>
        </is>
      </c>
      <c r="D843" s="182" t="inlineStr">
        <is>
          <t>ZI029E100371</t>
        </is>
      </c>
      <c r="E843" s="182" t="inlineStr">
        <is>
          <t>北京京能科技有限公司</t>
        </is>
      </c>
      <c r="F843" s="716" t="n"/>
      <c r="G843" s="716" t="n"/>
      <c r="H843" s="462" t="n"/>
    </row>
    <row r="844">
      <c r="A844" s="672" t="inlineStr">
        <is>
          <t>E100827</t>
        </is>
      </c>
      <c r="B844" s="767">
        <f>ROW()</f>
        <v/>
      </c>
      <c r="C844" s="182" t="inlineStr">
        <is>
          <t>台州德鸿新能源科技有限公司</t>
        </is>
      </c>
      <c r="D844" s="182" t="inlineStr">
        <is>
          <t>ZI029E100371</t>
        </is>
      </c>
      <c r="E844" s="182" t="inlineStr">
        <is>
          <t>北京京能科技有限公司</t>
        </is>
      </c>
      <c r="F844" s="716" t="n"/>
      <c r="G844" s="716" t="n"/>
      <c r="H844" s="462" t="n"/>
    </row>
    <row r="845">
      <c r="A845" s="672" t="inlineStr">
        <is>
          <t>E100219</t>
        </is>
      </c>
      <c r="B845" s="767">
        <f>ROW()</f>
        <v/>
      </c>
      <c r="C845" s="182" t="inlineStr">
        <is>
          <t>唐山京曹天然气有限公司</t>
        </is>
      </c>
      <c r="D845" s="182" t="inlineStr">
        <is>
          <t>ZI029E100218</t>
        </is>
      </c>
      <c r="E845" s="182" t="inlineStr">
        <is>
          <t>北京京能油气资源开发有限公司</t>
        </is>
      </c>
      <c r="F845" s="716" t="n"/>
      <c r="G845" s="716" t="n"/>
      <c r="H845" s="462" t="n"/>
    </row>
    <row r="846">
      <c r="A846" s="672" t="inlineStr">
        <is>
          <t>E100903</t>
        </is>
      </c>
      <c r="B846" s="767">
        <f>ROW()</f>
        <v/>
      </c>
      <c r="C846" s="182" t="inlineStr">
        <is>
          <t>唐山招新生态农业开发有限公司</t>
        </is>
      </c>
      <c r="D846" s="182" t="inlineStr">
        <is>
          <t>ZI029E100902</t>
        </is>
      </c>
      <c r="E846" s="182" t="inlineStr">
        <is>
          <t>张家口丝绸之路新能源有限公司</t>
        </is>
      </c>
      <c r="F846" s="716" t="n"/>
      <c r="G846" s="716" t="n"/>
      <c r="H846" s="462" t="n"/>
    </row>
    <row r="847">
      <c r="A847" s="672" t="inlineStr">
        <is>
          <t>E100945</t>
        </is>
      </c>
      <c r="B847" s="767">
        <f>ROW()</f>
        <v/>
      </c>
      <c r="C847" s="182" t="inlineStr">
        <is>
          <t>唐山招新太阳能发电有限公司</t>
        </is>
      </c>
      <c r="D847" s="182" t="inlineStr">
        <is>
          <t>ZI029E100944</t>
        </is>
      </c>
      <c r="E847" s="182" t="inlineStr">
        <is>
          <t>招新诺能（常州）新能源有限公司</t>
        </is>
      </c>
      <c r="F847" s="716" t="n"/>
      <c r="G847" s="716" t="n"/>
      <c r="H847" s="462" t="n"/>
    </row>
    <row r="848">
      <c r="A848" s="672" t="inlineStr">
        <is>
          <t>E100100</t>
        </is>
      </c>
      <c r="B848" s="767">
        <f>ROW()</f>
        <v/>
      </c>
      <c r="C848" s="182" t="inlineStr">
        <is>
          <t>腾冲县猴桥永兴河水电开发有限公司</t>
        </is>
      </c>
      <c r="D848" s="182" t="inlineStr">
        <is>
          <t>ZI029E100001</t>
        </is>
      </c>
      <c r="E848" s="182" t="inlineStr">
        <is>
          <t>北京京能清洁能源电力股份有限公司</t>
        </is>
      </c>
      <c r="F848" s="716" t="n"/>
      <c r="G848" s="716" t="n"/>
      <c r="H848" s="462" t="n"/>
    </row>
    <row r="849">
      <c r="A849" s="672" t="inlineStr">
        <is>
          <t>E100844</t>
        </is>
      </c>
      <c r="B849" s="767">
        <f>ROW()</f>
        <v/>
      </c>
      <c r="C849" s="182" t="inlineStr">
        <is>
          <t>天津津南京能清洁能源有限公司</t>
        </is>
      </c>
      <c r="D849" s="182" t="inlineStr">
        <is>
          <t>ZI029E100001</t>
        </is>
      </c>
      <c r="E849" s="182" t="inlineStr">
        <is>
          <t>北京京能清洁能源电力股份有限公司</t>
        </is>
      </c>
      <c r="F849" s="716" t="n"/>
      <c r="G849" s="716" t="n"/>
      <c r="H849" s="462" t="n"/>
    </row>
    <row r="850">
      <c r="A850" s="672" t="inlineStr">
        <is>
          <t>E100442</t>
        </is>
      </c>
      <c r="B850" s="767">
        <f>ROW()</f>
        <v/>
      </c>
      <c r="C850" s="182" t="inlineStr">
        <is>
          <t>天津津浦伟业地产有限公司</t>
        </is>
      </c>
      <c r="D850" s="182" t="inlineStr">
        <is>
          <t>ZI029E100421</t>
        </is>
      </c>
      <c r="E850" s="182" t="inlineStr">
        <is>
          <t>北京金泰房地产开发有限责任公司</t>
        </is>
      </c>
      <c r="F850" s="716" t="n"/>
      <c r="G850" s="716" t="n"/>
      <c r="H850" s="462" t="n"/>
    </row>
    <row r="851">
      <c r="A851" s="672" t="inlineStr">
        <is>
          <t>E100037</t>
        </is>
      </c>
      <c r="B851" s="767">
        <f>ROW()</f>
        <v/>
      </c>
      <c r="C851" s="182" t="inlineStr">
        <is>
          <t>天津京河新能源有限公司</t>
        </is>
      </c>
      <c r="D851" s="182" t="inlineStr">
        <is>
          <t>ZI029E100001</t>
        </is>
      </c>
      <c r="E851" s="182" t="inlineStr">
        <is>
          <t>北京京能清洁能源电力股份有限公司</t>
        </is>
      </c>
      <c r="F851" s="716" t="n"/>
      <c r="G851" s="716" t="n"/>
      <c r="H851" s="462" t="n"/>
    </row>
    <row r="852">
      <c r="A852" s="672" t="inlineStr">
        <is>
          <t>E100818</t>
        </is>
      </c>
      <c r="B852" s="767">
        <f>ROW()</f>
        <v/>
      </c>
      <c r="C852" s="182" t="inlineStr">
        <is>
          <t>天津京能东棘坨清洁能源有限公司</t>
        </is>
      </c>
      <c r="D852" s="182" t="inlineStr">
        <is>
          <t>ZI029E100001</t>
        </is>
      </c>
      <c r="E852" s="182" t="inlineStr">
        <is>
          <t>北京京能清洁能源电力股份有限公司</t>
        </is>
      </c>
      <c r="F852" s="716" t="n"/>
      <c r="G852" s="716" t="n"/>
      <c r="H852" s="462" t="n"/>
    </row>
    <row r="853">
      <c r="A853" s="672" t="inlineStr">
        <is>
          <t>E100038</t>
        </is>
      </c>
      <c r="B853" s="767">
        <f>ROW()</f>
        <v/>
      </c>
      <c r="C853" s="182" t="inlineStr">
        <is>
          <t>天津京能新能源有限公司</t>
        </is>
      </c>
      <c r="D853" s="182" t="inlineStr">
        <is>
          <t>ZI029E100001</t>
        </is>
      </c>
      <c r="E853" s="182" t="inlineStr">
        <is>
          <t>北京京能清洁能源电力股份有限公司</t>
        </is>
      </c>
      <c r="F853" s="716" t="n"/>
      <c r="G853" s="716" t="n"/>
      <c r="H853" s="462" t="n"/>
    </row>
    <row r="854">
      <c r="A854" s="672" t="inlineStr">
        <is>
          <t>E100019</t>
        </is>
      </c>
      <c r="B854" s="767">
        <f>ROW()</f>
        <v/>
      </c>
      <c r="C854" s="182" t="inlineStr">
        <is>
          <t>天津团泊明瑞新能源有限公司</t>
        </is>
      </c>
      <c r="D854" s="182" t="inlineStr">
        <is>
          <t>ZI029E100001</t>
        </is>
      </c>
      <c r="E854" s="182" t="inlineStr">
        <is>
          <t>北京京能清洁能源电力股份有限公司</t>
        </is>
      </c>
      <c r="F854" s="716" t="n"/>
      <c r="G854" s="716" t="n"/>
      <c r="H854" s="462" t="n"/>
    </row>
    <row r="855">
      <c r="A855" s="672" t="inlineStr">
        <is>
          <t>E100018</t>
        </is>
      </c>
      <c r="B855" s="767">
        <f>ROW()</f>
        <v/>
      </c>
      <c r="C855" s="182" t="inlineStr">
        <is>
          <t>天津团泊昱合光伏科技有限公司</t>
        </is>
      </c>
      <c r="D855" s="182" t="inlineStr">
        <is>
          <t>ZI029E100001</t>
        </is>
      </c>
      <c r="E855" s="182" t="inlineStr">
        <is>
          <t>北京京能清洁能源电力股份有限公司</t>
        </is>
      </c>
      <c r="F855" s="716" t="n"/>
      <c r="G855" s="716" t="n"/>
      <c r="H855" s="462" t="n"/>
    </row>
    <row r="856">
      <c r="A856" s="672" t="inlineStr">
        <is>
          <t>E100021</t>
        </is>
      </c>
      <c r="B856" s="767">
        <f>ROW()</f>
        <v/>
      </c>
      <c r="C856" s="182" t="inlineStr">
        <is>
          <t>天津团泊昱宏光伏科技有限公司</t>
        </is>
      </c>
      <c r="D856" s="182" t="inlineStr">
        <is>
          <t>ZI029E100001</t>
        </is>
      </c>
      <c r="E856" s="182" t="inlineStr">
        <is>
          <t>北京京能清洁能源电力股份有限公司</t>
        </is>
      </c>
      <c r="F856" s="716" t="n"/>
      <c r="G856" s="716" t="n"/>
      <c r="H856" s="462" t="n"/>
    </row>
    <row r="857">
      <c r="A857" s="672" t="inlineStr">
        <is>
          <t>E100020</t>
        </is>
      </c>
      <c r="B857" s="767">
        <f>ROW()</f>
        <v/>
      </c>
      <c r="C857" s="182" t="inlineStr">
        <is>
          <t>天津团泊昱隆光伏科技有限公司</t>
        </is>
      </c>
      <c r="D857" s="182" t="inlineStr">
        <is>
          <t>ZI029E100001</t>
        </is>
      </c>
      <c r="E857" s="182" t="inlineStr">
        <is>
          <t>北京京能清洁能源电力股份有限公司</t>
        </is>
      </c>
      <c r="F857" s="716" t="n"/>
      <c r="G857" s="716" t="n"/>
      <c r="H857" s="462" t="n"/>
    </row>
    <row r="858">
      <c r="A858" s="672" t="inlineStr">
        <is>
          <t>E100022</t>
        </is>
      </c>
      <c r="B858" s="767">
        <f>ROW()</f>
        <v/>
      </c>
      <c r="C858" s="182" t="inlineStr">
        <is>
          <t>天津永能光伏发电有限公司</t>
        </is>
      </c>
      <c r="D858" s="182" t="inlineStr">
        <is>
          <t>ZI029E100001</t>
        </is>
      </c>
      <c r="E858" s="182" t="inlineStr">
        <is>
          <t>北京京能清洁能源电力股份有限公司</t>
        </is>
      </c>
      <c r="F858" s="716" t="n"/>
      <c r="G858" s="716" t="n"/>
      <c r="H858" s="462" t="n"/>
    </row>
    <row r="859">
      <c r="A859" s="672" t="inlineStr">
        <is>
          <t>E100385</t>
        </is>
      </c>
      <c r="B859" s="767">
        <f>ROW()</f>
        <v/>
      </c>
      <c r="C859" s="182" t="inlineStr">
        <is>
          <t>桐乡科茂新能源有限公司</t>
        </is>
      </c>
      <c r="D859" s="182" t="inlineStr">
        <is>
          <t>ZI029E100371</t>
        </is>
      </c>
      <c r="E859" s="182" t="inlineStr">
        <is>
          <t>北京京能科技有限公司</t>
        </is>
      </c>
      <c r="F859" s="716" t="n"/>
      <c r="G859" s="716" t="n"/>
      <c r="H859" s="462" t="n"/>
    </row>
    <row r="860">
      <c r="A860" s="672" t="inlineStr">
        <is>
          <t>E100483</t>
        </is>
      </c>
      <c r="B860" s="767">
        <f>ROW()</f>
        <v/>
      </c>
      <c r="C860" s="182" t="inlineStr">
        <is>
          <t>投资北京国际有限公司</t>
        </is>
      </c>
      <c r="D860" s="182" t="inlineStr">
        <is>
          <t>ZI029E100000</t>
        </is>
      </c>
      <c r="E860" s="182" t="inlineStr">
        <is>
          <t>北京能源集团有限责任公司</t>
        </is>
      </c>
      <c r="F860" s="716" t="n"/>
      <c r="G860" s="716" t="n"/>
      <c r="H860" s="462" t="n"/>
    </row>
    <row r="861">
      <c r="A861" s="672" t="inlineStr">
        <is>
          <t>E100556</t>
        </is>
      </c>
      <c r="B861" s="767">
        <f>ROW()</f>
        <v/>
      </c>
      <c r="C861" s="182" t="inlineStr">
        <is>
          <t>投资北京投资顾问有限公司</t>
        </is>
      </c>
      <c r="D861" s="182" t="inlineStr">
        <is>
          <t>ZI029E100483</t>
        </is>
      </c>
      <c r="E861" s="182" t="inlineStr">
        <is>
          <t>投资北京国际有限公司</t>
        </is>
      </c>
      <c r="F861" s="716" t="n"/>
      <c r="G861" s="716" t="n"/>
      <c r="H861" s="462" t="n"/>
    </row>
    <row r="862">
      <c r="A862" s="672" t="inlineStr">
        <is>
          <t>E100964</t>
        </is>
      </c>
      <c r="B862" s="767">
        <f>ROW()</f>
        <v/>
      </c>
      <c r="C862" s="182" t="inlineStr">
        <is>
          <t>吐鲁番禾粟农业科技有限公司</t>
        </is>
      </c>
      <c r="D862" s="182" t="inlineStr">
        <is>
          <t>ZI029E100963</t>
        </is>
      </c>
      <c r="E862" s="182" t="inlineStr">
        <is>
          <t>丝绸之路新能源（常州）有限公司</t>
        </is>
      </c>
      <c r="F862" s="716" t="n"/>
      <c r="G862" s="716" t="n"/>
      <c r="H862" s="462" t="n"/>
    </row>
    <row r="863">
      <c r="A863" s="672" t="inlineStr">
        <is>
          <t>E100751</t>
        </is>
      </c>
      <c r="B863" s="767">
        <f>ROW()</f>
        <v/>
      </c>
      <c r="C863" s="182" t="inlineStr">
        <is>
          <t>吐鲁番中利腾晖光伏发电有限公司</t>
        </is>
      </c>
      <c r="D863" s="182" t="inlineStr">
        <is>
          <t>ZI029E101004</t>
        </is>
      </c>
      <c r="E863" s="182" t="inlineStr">
        <is>
          <t>绿联新能源（常州）有限公司</t>
        </is>
      </c>
      <c r="F863" s="716" t="n"/>
      <c r="G863" s="716" t="n"/>
      <c r="H863" s="462" t="n"/>
    </row>
    <row r="864">
      <c r="A864" s="672" t="inlineStr">
        <is>
          <t>E100948</t>
        </is>
      </c>
      <c r="B864" s="767">
        <f>ROW()</f>
        <v/>
      </c>
      <c r="C864" s="182" t="inlineStr">
        <is>
          <t>威县天海光伏发电有限公司</t>
        </is>
      </c>
      <c r="D864" s="182" t="inlineStr">
        <is>
          <t>ZI029E100730</t>
        </is>
      </c>
      <c r="E864" s="182" t="inlineStr">
        <is>
          <t>京能国际能源发展（北京）有限公司</t>
        </is>
      </c>
      <c r="F864" s="716" t="n"/>
      <c r="G864" s="716" t="n"/>
      <c r="H864" s="462" t="n"/>
    </row>
    <row r="865">
      <c r="A865" s="672" t="inlineStr">
        <is>
          <t>E100809</t>
        </is>
      </c>
      <c r="B865" s="767">
        <f>ROW()</f>
        <v/>
      </c>
      <c r="C865" s="182" t="inlineStr">
        <is>
          <t>文安县京能新能源有限公司</t>
        </is>
      </c>
      <c r="D865" s="182" t="inlineStr">
        <is>
          <t>ZI029E100001</t>
        </is>
      </c>
      <c r="E865" s="182" t="inlineStr">
        <is>
          <t>北京京能清洁能源电力股份有限公司</t>
        </is>
      </c>
      <c r="F865" s="716" t="n"/>
      <c r="G865" s="716" t="n"/>
      <c r="H865" s="462" t="n"/>
    </row>
    <row r="866">
      <c r="A866" s="672" t="inlineStr">
        <is>
          <t>E100939</t>
        </is>
      </c>
      <c r="B866" s="767">
        <f>ROW()</f>
        <v/>
      </c>
      <c r="C866" s="182" t="inlineStr">
        <is>
          <t>乌拉特后旗源海新能源有限责任公司</t>
        </is>
      </c>
      <c r="D866" s="182" t="inlineStr">
        <is>
          <t>ZI029E100730</t>
        </is>
      </c>
      <c r="E866" s="182" t="inlineStr">
        <is>
          <t>京能国际能源发展（北京）有限公司</t>
        </is>
      </c>
      <c r="F866" s="716" t="n"/>
      <c r="G866" s="716" t="n"/>
      <c r="H866" s="462" t="n"/>
    </row>
    <row r="867">
      <c r="A867" s="672" t="inlineStr">
        <is>
          <t>E100031</t>
        </is>
      </c>
      <c r="B867" s="767">
        <f>ROW()</f>
        <v/>
      </c>
      <c r="C867" s="182" t="inlineStr">
        <is>
          <t>五家渠京能新能源有限责任公司</t>
        </is>
      </c>
      <c r="D867" s="182" t="inlineStr">
        <is>
          <t>ZI029E100001</t>
        </is>
      </c>
      <c r="E867" s="182" t="inlineStr">
        <is>
          <t>北京京能清洁能源电力股份有限公司</t>
        </is>
      </c>
      <c r="F867" s="716" t="n"/>
      <c r="G867" s="716" t="n"/>
      <c r="H867" s="462" t="n"/>
    </row>
    <row r="868">
      <c r="A868" s="672" t="inlineStr">
        <is>
          <t>E100779</t>
        </is>
      </c>
      <c r="B868" s="767">
        <f>ROW()</f>
        <v/>
      </c>
      <c r="C868" s="182" t="inlineStr">
        <is>
          <t>五家渠利商光伏电力有限公司</t>
        </is>
      </c>
      <c r="D868" s="182" t="inlineStr">
        <is>
          <t>ZI029E101017</t>
        </is>
      </c>
      <c r="E868" s="182" t="inlineStr">
        <is>
          <t>常州新光新能源有限公司</t>
        </is>
      </c>
      <c r="F868" s="716" t="n"/>
      <c r="G868" s="716" t="n"/>
      <c r="H868" s="462" t="n"/>
    </row>
    <row r="869">
      <c r="A869" s="672" t="inlineStr">
        <is>
          <t>E100738</t>
        </is>
      </c>
      <c r="B869" s="767">
        <f>ROW()</f>
        <v/>
      </c>
      <c r="C869" s="182" t="inlineStr">
        <is>
          <t>西藏藏能股份有限公司</t>
        </is>
      </c>
      <c r="D869" s="182" t="inlineStr">
        <is>
          <t>ZI029E101034</t>
        </is>
      </c>
      <c r="E869" s="182" t="inlineStr">
        <is>
          <t>西藏顺吉新能源科技有限公司</t>
        </is>
      </c>
      <c r="F869" s="716" t="n"/>
      <c r="G869" s="716" t="n"/>
      <c r="H869" s="462" t="n"/>
    </row>
    <row r="870">
      <c r="A870" s="672" t="inlineStr">
        <is>
          <t>E101037</t>
        </is>
      </c>
      <c r="B870" s="767">
        <f>ROW()</f>
        <v/>
      </c>
      <c r="C870" s="182" t="inlineStr">
        <is>
          <t>西藏昌都藏能新能源开发有限公司</t>
        </is>
      </c>
      <c r="D870" s="182" t="inlineStr">
        <is>
          <t>ZI029E100738</t>
        </is>
      </c>
      <c r="E870" s="182" t="inlineStr">
        <is>
          <t>西藏藏能股份有限公司</t>
        </is>
      </c>
      <c r="F870" s="716" t="n"/>
      <c r="G870" s="716" t="n"/>
      <c r="H870" s="462" t="n"/>
    </row>
    <row r="871">
      <c r="A871" s="672" t="inlineStr">
        <is>
          <t>E101036</t>
        </is>
      </c>
      <c r="B871" s="767">
        <f>ROW()</f>
        <v/>
      </c>
      <c r="C871" s="182" t="inlineStr">
        <is>
          <t>西藏林芝藏能拉月曲水电开发有限责任公司</t>
        </is>
      </c>
      <c r="D871" s="182" t="inlineStr">
        <is>
          <t>ZI029E100738</t>
        </is>
      </c>
      <c r="E871" s="182" t="inlineStr">
        <is>
          <t>西藏藏能股份有限公司</t>
        </is>
      </c>
      <c r="F871" s="716" t="n"/>
      <c r="G871" s="716" t="n"/>
      <c r="H871" s="462" t="n"/>
    </row>
    <row r="872">
      <c r="A872" s="672" t="inlineStr">
        <is>
          <t>E101035</t>
        </is>
      </c>
      <c r="B872" s="767">
        <f>ROW()</f>
        <v/>
      </c>
      <c r="C872" s="182" t="inlineStr">
        <is>
          <t>西藏林周县藏能新能源开发有限公司</t>
        </is>
      </c>
      <c r="D872" s="182" t="inlineStr">
        <is>
          <t>ZI029E100738</t>
        </is>
      </c>
      <c r="E872" s="182" t="inlineStr">
        <is>
          <t>西藏藏能股份有限公司</t>
        </is>
      </c>
      <c r="F872" s="716" t="n"/>
      <c r="G872" s="716" t="n"/>
      <c r="H872" s="462" t="n"/>
    </row>
    <row r="873">
      <c r="A873" s="672" t="inlineStr">
        <is>
          <t>E100788</t>
        </is>
      </c>
      <c r="B873" s="767">
        <f>ROW()</f>
        <v/>
      </c>
      <c r="C873" s="182" t="inlineStr">
        <is>
          <t>西藏尼木县藏能新能源开发有限公司</t>
        </is>
      </c>
      <c r="D873" s="182" t="inlineStr">
        <is>
          <t>ZI029E100738</t>
        </is>
      </c>
      <c r="E873" s="182" t="inlineStr">
        <is>
          <t>西藏藏能股份有限公司</t>
        </is>
      </c>
      <c r="F873" s="716" t="n"/>
      <c r="G873" s="716" t="n"/>
      <c r="H873" s="462" t="n"/>
    </row>
    <row r="874">
      <c r="A874" s="672" t="inlineStr">
        <is>
          <t>E100864</t>
        </is>
      </c>
      <c r="B874" s="767">
        <f>ROW()</f>
        <v/>
      </c>
      <c r="C874" s="182" t="inlineStr">
        <is>
          <t>西藏中自新能源技术有限公司</t>
        </is>
      </c>
      <c r="D874" s="182" t="inlineStr">
        <is>
          <t>ZI029E100735</t>
        </is>
      </c>
      <c r="E874" s="182" t="inlineStr">
        <is>
          <t>内蒙古京能新能源科技有限公司</t>
        </is>
      </c>
      <c r="F874" s="716" t="n"/>
      <c r="G874" s="716" t="n"/>
      <c r="H874" s="462" t="n"/>
    </row>
    <row r="875">
      <c r="A875" s="672" t="inlineStr">
        <is>
          <t>E101062</t>
        </is>
      </c>
      <c r="B875" s="767">
        <f>ROW()</f>
        <v/>
      </c>
      <c r="C875" s="182" t="inlineStr">
        <is>
          <t>昔阳县斯能风电有限公司</t>
        </is>
      </c>
      <c r="D875" s="182" t="inlineStr">
        <is>
          <t>ZI029E100730</t>
        </is>
      </c>
      <c r="E875" s="182" t="inlineStr">
        <is>
          <t>京能国际能源发展（北京）有限公司</t>
        </is>
      </c>
      <c r="F875" s="716" t="n"/>
      <c r="G875" s="716" t="n"/>
      <c r="H875" s="462" t="n"/>
    </row>
    <row r="876">
      <c r="A876" s="672" t="inlineStr">
        <is>
          <t>E100076</t>
        </is>
      </c>
      <c r="B876" s="767">
        <f>ROW()</f>
        <v/>
      </c>
      <c r="C876" s="182" t="inlineStr">
        <is>
          <t>锡林郭勒吉相华亚风力发电有限责任公司</t>
        </is>
      </c>
      <c r="D876" s="182" t="inlineStr">
        <is>
          <t>ZI029E100001</t>
        </is>
      </c>
      <c r="E876" s="182" t="inlineStr">
        <is>
          <t>北京京能清洁能源电力股份有限公司</t>
        </is>
      </c>
      <c r="F876" s="716" t="n"/>
      <c r="G876" s="716" t="n"/>
      <c r="H876" s="462" t="n"/>
    </row>
    <row r="877">
      <c r="A877" s="672" t="inlineStr">
        <is>
          <t>E100966</t>
        </is>
      </c>
      <c r="B877" s="767">
        <f>ROW()</f>
        <v/>
      </c>
      <c r="C877" s="182" t="inlineStr">
        <is>
          <t>乡城联合光伏开发有限公司</t>
        </is>
      </c>
      <c r="D877" s="182" t="inlineStr">
        <is>
          <t>ZI029E100737</t>
        </is>
      </c>
      <c r="E877" s="182" t="inlineStr">
        <is>
          <t>四川联合光伏有限公司</t>
        </is>
      </c>
      <c r="F877" s="716" t="n"/>
      <c r="G877" s="716" t="n"/>
      <c r="H877" s="462" t="n"/>
    </row>
    <row r="878">
      <c r="A878" s="672" t="inlineStr">
        <is>
          <t>E100060</t>
        </is>
      </c>
      <c r="B878" s="767">
        <f>ROW()</f>
        <v/>
      </c>
      <c r="C878" s="182" t="inlineStr">
        <is>
          <t>湘阴县晶和新能源有限公司</t>
        </is>
      </c>
      <c r="D878" s="182" t="inlineStr">
        <is>
          <t>ZI029E100001</t>
        </is>
      </c>
      <c r="E878" s="182" t="inlineStr">
        <is>
          <t>北京京能清洁能源电力股份有限公司</t>
        </is>
      </c>
      <c r="F878" s="716" t="n"/>
      <c r="G878" s="716" t="n"/>
      <c r="H878" s="462" t="n"/>
    </row>
    <row r="879">
      <c r="A879" s="672" t="inlineStr">
        <is>
          <t>E100562</t>
        </is>
      </c>
      <c r="B879" s="767">
        <f>ROW()</f>
        <v/>
      </c>
      <c r="C879" s="182" t="inlineStr">
        <is>
          <t>新格伦风电项目公司</t>
        </is>
      </c>
      <c r="D879" s="182" t="inlineStr">
        <is>
          <t>ZI029E100543</t>
        </is>
      </c>
      <c r="E879" s="182" t="inlineStr">
        <is>
          <t>北京京能清洁能源电力股份（香港）有限公司</t>
        </is>
      </c>
      <c r="F879" s="716" t="n"/>
      <c r="G879" s="716" t="n"/>
      <c r="H879" s="462" t="n"/>
    </row>
    <row r="880">
      <c r="A880" s="672" t="inlineStr">
        <is>
          <t>E100562</t>
        </is>
      </c>
      <c r="B880" s="767">
        <f>ROW()</f>
        <v/>
      </c>
      <c r="C880" s="182" t="inlineStr">
        <is>
          <t>新格伦风电项目公司</t>
        </is>
      </c>
      <c r="D880" s="182" t="inlineStr">
        <is>
          <t>ZI029E100561</t>
        </is>
      </c>
      <c r="E880" s="182" t="inlineStr">
        <is>
          <t>北京京能清洁能源（澳洲）控股有限公司</t>
        </is>
      </c>
      <c r="F880" s="716" t="n"/>
      <c r="G880" s="716" t="n"/>
      <c r="H880" s="462" t="n"/>
    </row>
    <row r="881">
      <c r="A881" s="672" t="inlineStr">
        <is>
          <t>E100220</t>
        </is>
      </c>
      <c r="B881" s="767">
        <f>ROW()</f>
        <v/>
      </c>
      <c r="C881" s="182" t="inlineStr">
        <is>
          <t>新疆京能建设投资有限公司</t>
        </is>
      </c>
      <c r="D881" s="182" t="inlineStr">
        <is>
          <t>ZI029E100000</t>
        </is>
      </c>
      <c r="E881" s="182" t="inlineStr">
        <is>
          <t>北京能源集团有限责任公司</t>
        </is>
      </c>
      <c r="F881" s="716" t="n"/>
      <c r="G881" s="716" t="n"/>
      <c r="H881" s="462" t="n"/>
    </row>
    <row r="882">
      <c r="A882" s="672" t="inlineStr">
        <is>
          <t>E100840</t>
        </is>
      </c>
      <c r="B882" s="767">
        <f>ROW()</f>
        <v/>
      </c>
      <c r="C882" s="182" t="inlineStr">
        <is>
          <t>新疆信友新能源发电有限公司</t>
        </is>
      </c>
      <c r="D882" s="182" t="inlineStr">
        <is>
          <t>ZI029E100730</t>
        </is>
      </c>
      <c r="E882" s="182" t="inlineStr">
        <is>
          <t>京能国际能源发展（北京）有限公司</t>
        </is>
      </c>
      <c r="F882" s="716" t="n"/>
      <c r="G882" s="716" t="n"/>
      <c r="H882" s="462" t="n"/>
    </row>
    <row r="883">
      <c r="A883" s="672" t="inlineStr">
        <is>
          <t>E100334</t>
        </is>
      </c>
      <c r="B883" s="767">
        <f>ROW()</f>
        <v/>
      </c>
      <c r="C883" s="182" t="inlineStr">
        <is>
          <t>鑫华源曹妃甸智能停车设备制造有限责任公司</t>
        </is>
      </c>
      <c r="D883" s="182" t="inlineStr">
        <is>
          <t>ZI029E100332</t>
        </is>
      </c>
      <c r="E883" s="182" t="inlineStr">
        <is>
          <t>北京鑫华源机械制造有限责任公司</t>
        </is>
      </c>
      <c r="F883" s="716" t="n"/>
      <c r="G883" s="716" t="n"/>
      <c r="H883" s="462" t="n"/>
    </row>
    <row r="884">
      <c r="A884" s="672" t="inlineStr">
        <is>
          <t>E100058</t>
        </is>
      </c>
      <c r="B884" s="767">
        <f>ROW()</f>
        <v/>
      </c>
      <c r="C884" s="182" t="inlineStr">
        <is>
          <t>徐闻京能新能源有限公司</t>
        </is>
      </c>
      <c r="D884" s="182" t="inlineStr">
        <is>
          <t>ZI029E100001</t>
        </is>
      </c>
      <c r="E884" s="182" t="inlineStr">
        <is>
          <t>北京京能清洁能源电力股份有限公司</t>
        </is>
      </c>
      <c r="F884" s="716" t="n"/>
      <c r="G884" s="716" t="n"/>
      <c r="H884" s="462" t="n"/>
    </row>
    <row r="885">
      <c r="A885" s="672" t="inlineStr">
        <is>
          <t>E100854</t>
        </is>
      </c>
      <c r="B885" s="767">
        <f>ROW()</f>
        <v/>
      </c>
      <c r="C885" s="182" t="inlineStr">
        <is>
          <t>阳春市招联绿辉光伏发电有限公司</t>
        </is>
      </c>
      <c r="D885" s="182" t="inlineStr">
        <is>
          <t>ZI029E100957</t>
        </is>
      </c>
      <c r="E885" s="182" t="inlineStr">
        <is>
          <t>常州市招联绿达新能源有限公司</t>
        </is>
      </c>
      <c r="F885" s="716" t="n"/>
      <c r="G885" s="716" t="n"/>
      <c r="H885" s="462" t="n"/>
    </row>
    <row r="886">
      <c r="A886" s="672" t="inlineStr">
        <is>
          <t>E100071</t>
        </is>
      </c>
      <c r="B886" s="767">
        <f>ROW()</f>
        <v/>
      </c>
      <c r="C886" s="182" t="inlineStr">
        <is>
          <t>阳江华晶绿色能源科技有限公司</t>
        </is>
      </c>
      <c r="D886" s="182" t="inlineStr">
        <is>
          <t>ZI029E100001</t>
        </is>
      </c>
      <c r="E886" s="182" t="inlineStr">
        <is>
          <t>北京京能清洁能源电力股份有限公司</t>
        </is>
      </c>
      <c r="F886" s="716" t="n"/>
      <c r="G886" s="716" t="n"/>
      <c r="H886" s="462" t="n"/>
    </row>
    <row r="887">
      <c r="A887" s="672" t="inlineStr">
        <is>
          <t>E100848</t>
        </is>
      </c>
      <c r="B887" s="767">
        <f>ROW()</f>
        <v/>
      </c>
      <c r="C887" s="182" t="inlineStr">
        <is>
          <t>阳曲县蔚蓝新能源有限公司</t>
        </is>
      </c>
      <c r="D887" s="182" t="inlineStr">
        <is>
          <t>ZI029E100730</t>
        </is>
      </c>
      <c r="E887" s="182" t="inlineStr">
        <is>
          <t>京能国际能源发展（北京）有限公司</t>
        </is>
      </c>
      <c r="F887" s="716" t="n"/>
      <c r="G887" s="716" t="n"/>
      <c r="H887" s="462" t="n"/>
    </row>
    <row r="888">
      <c r="A888" s="672" t="inlineStr">
        <is>
          <t>E100062</t>
        </is>
      </c>
      <c r="B888" s="767">
        <f>ROW()</f>
        <v/>
      </c>
      <c r="C888" s="182" t="inlineStr">
        <is>
          <t>阳西清芸阳光新能源科技有限公司</t>
        </is>
      </c>
      <c r="D888" s="182" t="inlineStr">
        <is>
          <t>ZI029E100001</t>
        </is>
      </c>
      <c r="E888" s="182" t="inlineStr">
        <is>
          <t>北京京能清洁能源电力股份有限公司</t>
        </is>
      </c>
      <c r="F888" s="716" t="n"/>
      <c r="G888" s="716" t="n"/>
      <c r="H888" s="462" t="n"/>
    </row>
    <row r="889">
      <c r="A889" s="672" t="inlineStr">
        <is>
          <t>E101018</t>
        </is>
      </c>
      <c r="B889" s="767">
        <f>ROW()</f>
        <v/>
      </c>
      <c r="C889" s="182" t="inlineStr">
        <is>
          <t>阳原中久能源开发科技有限公司</t>
        </is>
      </c>
      <c r="D889" s="182" t="inlineStr">
        <is>
          <t>ZI029E101017</t>
        </is>
      </c>
      <c r="E889" s="182" t="inlineStr">
        <is>
          <t>常州新光新能源有限公司</t>
        </is>
      </c>
      <c r="F889" s="716" t="n"/>
      <c r="G889" s="716" t="n"/>
      <c r="H889" s="462" t="n"/>
    </row>
    <row r="890">
      <c r="A890" s="672" t="inlineStr">
        <is>
          <t>E100727</t>
        </is>
      </c>
      <c r="B890" s="767">
        <f>ROW()</f>
        <v/>
      </c>
      <c r="C890" s="182" t="inlineStr">
        <is>
          <t>宜昌市夷陵区中基热电有限公司</t>
        </is>
      </c>
      <c r="D890" s="182" t="inlineStr">
        <is>
          <t>ZI029E100001</t>
        </is>
      </c>
      <c r="E890" s="182" t="inlineStr">
        <is>
          <t>北京京能清洁能源电力股份有限公司</t>
        </is>
      </c>
      <c r="F890" s="716" t="n"/>
      <c r="G890" s="716" t="n"/>
      <c r="H890" s="462" t="n"/>
    </row>
    <row r="891">
      <c r="A891" s="672" t="inlineStr">
        <is>
          <t>E101134</t>
        </is>
      </c>
      <c r="B891" s="767">
        <f>ROW()</f>
        <v/>
      </c>
      <c r="C891" s="182" t="inlineStr">
        <is>
          <t>宜春京能清洁能源有限公司</t>
        </is>
      </c>
      <c r="D891" s="182" t="inlineStr">
        <is>
          <t>ZI029E100001</t>
        </is>
      </c>
      <c r="E891" s="182" t="inlineStr">
        <is>
          <t>北京京能清洁能源电力股份有限公司</t>
        </is>
      </c>
      <c r="F891" s="716" t="n"/>
      <c r="G891" s="716" t="n"/>
      <c r="H891" s="462" t="n"/>
    </row>
    <row r="892">
      <c r="A892" s="672" t="inlineStr">
        <is>
          <t>E101134</t>
        </is>
      </c>
      <c r="B892" s="767">
        <f>ROW()</f>
        <v/>
      </c>
      <c r="C892" s="182">
        <f>IF(_epmOfflineCondition_,"宜春京能清洁能源有限公司",EPMMemberDesc(A892))</f>
        <v/>
      </c>
      <c r="D892" s="182" t="inlineStr">
        <is>
          <t>ZI029E100543</t>
        </is>
      </c>
      <c r="E892" s="182" t="inlineStr">
        <is>
          <t>北京京能清洁能源电力股份（香港）有限公司</t>
        </is>
      </c>
      <c r="F892" s="716" t="n"/>
      <c r="G892" s="716" t="n"/>
      <c r="H892" s="462" t="n"/>
    </row>
    <row r="893">
      <c r="A893" s="672" t="inlineStr">
        <is>
          <t>E100051</t>
        </is>
      </c>
      <c r="B893" s="767">
        <f>ROW()</f>
        <v/>
      </c>
      <c r="C893" s="182" t="inlineStr">
        <is>
          <t>义县珈煜光伏电力有限公司</t>
        </is>
      </c>
      <c r="D893" s="182" t="inlineStr">
        <is>
          <t>ZI029E100001</t>
        </is>
      </c>
      <c r="E893" s="182" t="inlineStr">
        <is>
          <t>北京京能清洁能源电力股份有限公司</t>
        </is>
      </c>
      <c r="F893" s="716" t="n"/>
      <c r="G893" s="716" t="n"/>
      <c r="H893" s="462" t="n"/>
    </row>
    <row r="894">
      <c r="A894" s="672" t="inlineStr">
        <is>
          <t>E100059</t>
        </is>
      </c>
      <c r="B894" s="767">
        <f>ROW()</f>
        <v/>
      </c>
      <c r="C894" s="182" t="inlineStr">
        <is>
          <t>益阳大通湖东大光伏发电有限公司</t>
        </is>
      </c>
      <c r="D894" s="182" t="inlineStr">
        <is>
          <t>ZI029E100001</t>
        </is>
      </c>
      <c r="E894" s="182" t="inlineStr">
        <is>
          <t>北京京能清洁能源电力股份有限公司</t>
        </is>
      </c>
      <c r="F894" s="716" t="n"/>
      <c r="G894" s="716" t="n"/>
      <c r="H894" s="462" t="n"/>
    </row>
    <row r="895">
      <c r="A895" s="672" t="inlineStr">
        <is>
          <t>E100569</t>
        </is>
      </c>
      <c r="B895" s="767">
        <f>ROW()</f>
        <v/>
      </c>
      <c r="C895" s="182" t="inlineStr">
        <is>
          <t>银川京能清洁能源有限公司</t>
        </is>
      </c>
      <c r="D895" s="182" t="inlineStr">
        <is>
          <t>ZI029E100001</t>
        </is>
      </c>
      <c r="E895" s="182" t="inlineStr">
        <is>
          <t>北京京能清洁能源电力股份有限公司</t>
        </is>
      </c>
      <c r="F895" s="716" t="n"/>
      <c r="G895" s="716" t="n"/>
      <c r="H895" s="462" t="n"/>
    </row>
    <row r="896">
      <c r="A896" s="672" t="inlineStr">
        <is>
          <t>E100099</t>
        </is>
      </c>
      <c r="B896" s="767">
        <f>ROW()</f>
        <v/>
      </c>
      <c r="C896" s="182" t="inlineStr">
        <is>
          <t>盈江华富水电开发有限公司</t>
        </is>
      </c>
      <c r="D896" s="182" t="inlineStr">
        <is>
          <t>ZI029E100001</t>
        </is>
      </c>
      <c r="E896" s="182" t="inlineStr">
        <is>
          <t>北京京能清洁能源电力股份有限公司</t>
        </is>
      </c>
      <c r="F896" s="716" t="n"/>
      <c r="G896" s="716" t="n"/>
      <c r="H896" s="462" t="n"/>
    </row>
    <row r="897">
      <c r="A897" s="672" t="inlineStr">
        <is>
          <t>E100438</t>
        </is>
      </c>
      <c r="B897" s="767">
        <f>ROW()</f>
        <v/>
      </c>
      <c r="C897" s="182" t="inlineStr">
        <is>
          <t>营口卧龙湾实业有限公司</t>
        </is>
      </c>
      <c r="D897" s="182" t="inlineStr">
        <is>
          <t>ZI029E100421</t>
        </is>
      </c>
      <c r="E897" s="182" t="inlineStr">
        <is>
          <t>北京金泰房地产开发有限责任公司</t>
        </is>
      </c>
      <c r="F897" s="716" t="n"/>
      <c r="G897" s="716" t="n"/>
      <c r="H897" s="462" t="n"/>
    </row>
    <row r="898">
      <c r="A898" s="672" t="inlineStr">
        <is>
          <t>E100740</t>
        </is>
      </c>
      <c r="B898" s="767">
        <f>ROW()</f>
        <v/>
      </c>
      <c r="C898" s="182" t="inlineStr">
        <is>
          <t>永仁惠光光伏发电有限公司</t>
        </is>
      </c>
      <c r="D898" s="182" t="inlineStr">
        <is>
          <t>ZI029E101017</t>
        </is>
      </c>
      <c r="E898" s="182" t="inlineStr">
        <is>
          <t>常州新光新能源有限公司</t>
        </is>
      </c>
      <c r="F898" s="716" t="n"/>
      <c r="G898" s="716" t="n"/>
      <c r="H898" s="462" t="n"/>
    </row>
    <row r="899">
      <c r="A899" s="672" t="inlineStr">
        <is>
          <t>E100741</t>
        </is>
      </c>
      <c r="B899" s="767">
        <f>ROW()</f>
        <v/>
      </c>
      <c r="C899" s="182" t="inlineStr">
        <is>
          <t>永胜惠光光伏发电有限公司</t>
        </is>
      </c>
      <c r="D899" s="182" t="inlineStr">
        <is>
          <t>ZI029E101017</t>
        </is>
      </c>
      <c r="E899" s="182" t="inlineStr">
        <is>
          <t>常州新光新能源有限公司</t>
        </is>
      </c>
      <c r="F899" s="716" t="n"/>
      <c r="G899" s="716" t="n"/>
      <c r="H899" s="462" t="n"/>
    </row>
    <row r="900">
      <c r="A900" s="672" t="inlineStr">
        <is>
          <t>E100163</t>
        </is>
      </c>
      <c r="B900" s="767">
        <f>ROW()</f>
        <v/>
      </c>
      <c r="C900" s="182" t="inlineStr">
        <is>
          <t>右玉县京玉污水处理有限责任公司</t>
        </is>
      </c>
      <c r="D900" s="182" t="inlineStr">
        <is>
          <t>ZI029E100162</t>
        </is>
      </c>
      <c r="E900" s="182" t="inlineStr">
        <is>
          <t>山西京玉发电有限责任公司</t>
        </is>
      </c>
      <c r="F900" s="716" t="n"/>
      <c r="G900" s="716" t="n"/>
      <c r="H900" s="462" t="n"/>
    </row>
    <row r="901">
      <c r="A901" s="672" t="inlineStr">
        <is>
          <t>E101066</t>
        </is>
      </c>
      <c r="B901" s="767">
        <f>ROW()</f>
        <v/>
      </c>
      <c r="C901" s="182" t="inlineStr">
        <is>
          <t>右玉县斯能风电有限公司</t>
        </is>
      </c>
      <c r="D901" s="182" t="inlineStr">
        <is>
          <t>ZI029E100730</t>
        </is>
      </c>
      <c r="E901" s="182" t="inlineStr">
        <is>
          <t>京能国际能源发展（北京）有限公司</t>
        </is>
      </c>
      <c r="F901" s="716" t="n"/>
      <c r="G901" s="716" t="n"/>
      <c r="H901" s="462" t="n"/>
    </row>
    <row r="902">
      <c r="A902" s="672" t="inlineStr">
        <is>
          <t>E100940</t>
        </is>
      </c>
      <c r="B902" s="767">
        <f>ROW()</f>
        <v/>
      </c>
      <c r="C902" s="182" t="inlineStr">
        <is>
          <t>榆林市江山永宸新能源有限公司</t>
        </is>
      </c>
      <c r="D902" s="182" t="inlineStr">
        <is>
          <t>ZI029E100730</t>
        </is>
      </c>
      <c r="E902" s="182" t="inlineStr">
        <is>
          <t>京能国际能源发展（北京）有限公司</t>
        </is>
      </c>
      <c r="F902" s="716" t="n"/>
      <c r="G902" s="716" t="n"/>
      <c r="H902" s="462" t="n"/>
    </row>
    <row r="903">
      <c r="A903" s="672" t="inlineStr">
        <is>
          <t>E100379</t>
        </is>
      </c>
      <c r="B903" s="767">
        <f>ROW()</f>
        <v/>
      </c>
      <c r="C903" s="182" t="inlineStr">
        <is>
          <t>源深怀来能源科技有限公司</t>
        </is>
      </c>
      <c r="D903" s="182" t="inlineStr">
        <is>
          <t>ZI029E100371</t>
        </is>
      </c>
      <c r="E903" s="182" t="inlineStr">
        <is>
          <t>北京京能科技有限公司</t>
        </is>
      </c>
      <c r="F903" s="716" t="n"/>
      <c r="G903" s="716" t="n"/>
      <c r="H903" s="462" t="n"/>
    </row>
    <row r="904">
      <c r="A904" s="672" t="inlineStr">
        <is>
          <t>E100707</t>
        </is>
      </c>
      <c r="B904" s="767">
        <f>ROW()</f>
        <v/>
      </c>
      <c r="C904" s="182" t="inlineStr">
        <is>
          <t>湛江市鼎瑞太阳能发电有限公司</t>
        </is>
      </c>
      <c r="D904" s="182" t="inlineStr">
        <is>
          <t>ZI029E100001</t>
        </is>
      </c>
      <c r="E904" s="182" t="inlineStr">
        <is>
          <t>北京京能清洁能源电力股份有限公司</t>
        </is>
      </c>
      <c r="F904" s="716" t="n"/>
      <c r="G904" s="716" t="n"/>
      <c r="H904" s="462" t="n"/>
    </row>
    <row r="905">
      <c r="A905" s="672" t="inlineStr">
        <is>
          <t>E100794</t>
        </is>
      </c>
      <c r="B905" s="767">
        <f>ROW()</f>
        <v/>
      </c>
      <c r="C905" s="182" t="inlineStr">
        <is>
          <t>张北风沐新能源有限公司</t>
        </is>
      </c>
      <c r="D905" s="182" t="inlineStr">
        <is>
          <t>ZI029E100793</t>
        </is>
      </c>
      <c r="E905" s="182" t="inlineStr">
        <is>
          <t>张家口风沐新能源有限公司</t>
        </is>
      </c>
      <c r="F905" s="716" t="n"/>
      <c r="G905" s="716" t="n"/>
      <c r="H905" s="462" t="n"/>
    </row>
    <row r="906">
      <c r="A906" s="672" t="inlineStr">
        <is>
          <t>E100035</t>
        </is>
      </c>
      <c r="B906" s="767">
        <f>ROW()</f>
        <v/>
      </c>
      <c r="C906" s="182" t="inlineStr">
        <is>
          <t>张北京能清洁能源有限公司</t>
        </is>
      </c>
      <c r="D906" s="182" t="inlineStr">
        <is>
          <t>ZI029E100001</t>
        </is>
      </c>
      <c r="E906" s="182" t="inlineStr">
        <is>
          <t>北京京能清洁能源电力股份有限公司</t>
        </is>
      </c>
      <c r="F906" s="716" t="n"/>
      <c r="G906" s="716" t="n"/>
      <c r="H906" s="462" t="n"/>
    </row>
    <row r="907">
      <c r="A907" s="672" t="inlineStr">
        <is>
          <t>E100710</t>
        </is>
      </c>
      <c r="B907" s="767">
        <f>ROW()</f>
        <v/>
      </c>
      <c r="C907" s="182" t="inlineStr">
        <is>
          <t>张北融智新源电力有限公司</t>
        </is>
      </c>
      <c r="D907" s="182" t="inlineStr">
        <is>
          <t>ZI029E100708</t>
        </is>
      </c>
      <c r="E907" s="182" t="inlineStr">
        <is>
          <t>河北融智新源电力有限公司</t>
        </is>
      </c>
      <c r="F907" s="716" t="n"/>
      <c r="G907" s="716" t="n"/>
      <c r="H907" s="462" t="n"/>
    </row>
    <row r="908">
      <c r="A908" s="672" t="inlineStr">
        <is>
          <t>E100793</t>
        </is>
      </c>
      <c r="B908" s="767">
        <f>ROW()</f>
        <v/>
      </c>
      <c r="C908" s="182" t="inlineStr">
        <is>
          <t>张家口风沐新能源有限公司</t>
        </is>
      </c>
      <c r="D908" s="182" t="inlineStr">
        <is>
          <t>ZI029E100001</t>
        </is>
      </c>
      <c r="E908" s="182" t="inlineStr">
        <is>
          <t>北京京能清洁能源电力股份有限公司</t>
        </is>
      </c>
      <c r="F908" s="716" t="n"/>
      <c r="G908" s="716" t="n"/>
      <c r="H908" s="462" t="n"/>
    </row>
    <row r="909">
      <c r="A909" s="672" t="inlineStr">
        <is>
          <t>E100793G</t>
        </is>
      </c>
      <c r="B909" s="767">
        <f>ROW()</f>
        <v/>
      </c>
      <c r="C909" s="182" t="inlineStr">
        <is>
          <t>张家口风沐新能源有限公司（合并）</t>
        </is>
      </c>
      <c r="D909" s="182" t="inlineStr">
        <is>
          <t>ZI029E100001</t>
        </is>
      </c>
      <c r="E909" s="182" t="inlineStr">
        <is>
          <t>北京京能清洁能源电力股份有限公司</t>
        </is>
      </c>
      <c r="F909" s="716" t="n"/>
      <c r="G909" s="716" t="n"/>
      <c r="H909" s="462" t="n"/>
    </row>
    <row r="910">
      <c r="A910" s="672" t="inlineStr">
        <is>
          <t>E100902</t>
        </is>
      </c>
      <c r="B910" s="767">
        <f>ROW()</f>
        <v/>
      </c>
      <c r="C910" s="182" t="inlineStr">
        <is>
          <t>张家口丝绸之路新能源有限公司</t>
        </is>
      </c>
      <c r="D910" s="182" t="inlineStr">
        <is>
          <t>ZI029E100730</t>
        </is>
      </c>
      <c r="E910" s="182" t="inlineStr">
        <is>
          <t>京能国际能源发展（北京）有限公司</t>
        </is>
      </c>
      <c r="F910" s="716" t="n"/>
      <c r="G910" s="716" t="n"/>
      <c r="H910" s="462" t="n"/>
    </row>
    <row r="911">
      <c r="A911" s="672" t="inlineStr">
        <is>
          <t>E100842</t>
        </is>
      </c>
      <c r="B911" s="767">
        <f>ROW()</f>
        <v/>
      </c>
      <c r="C911" s="182" t="inlineStr">
        <is>
          <t>张家口万全区京能清洁能源有限公司</t>
        </is>
      </c>
      <c r="D911" s="182" t="inlineStr">
        <is>
          <t>ZI029E100001</t>
        </is>
      </c>
      <c r="E911" s="182" t="inlineStr">
        <is>
          <t>北京京能清洁能源电力股份有限公司</t>
        </is>
      </c>
      <c r="F911" s="716" t="n"/>
      <c r="G911" s="716" t="n"/>
      <c r="H911" s="462" t="n"/>
    </row>
    <row r="912">
      <c r="A912" s="672" t="inlineStr">
        <is>
          <t>E100778</t>
        </is>
      </c>
      <c r="B912" s="767">
        <f>ROW()</f>
        <v/>
      </c>
      <c r="C912" s="182" t="inlineStr">
        <is>
          <t>漳州京能清洁能源电力有限公司</t>
        </is>
      </c>
      <c r="D912" s="182" t="inlineStr">
        <is>
          <t>ZI029E100001</t>
        </is>
      </c>
      <c r="E912" s="182" t="inlineStr">
        <is>
          <t>北京京能清洁能源电力股份有限公司</t>
        </is>
      </c>
      <c r="F912" s="716" t="n"/>
      <c r="G912" s="716" t="n"/>
      <c r="H912" s="462" t="n"/>
    </row>
    <row r="913">
      <c r="A913" s="672" t="inlineStr">
        <is>
          <t>E101020</t>
        </is>
      </c>
      <c r="B913" s="767">
        <f>ROW()</f>
        <v/>
      </c>
      <c r="C913" s="182" t="inlineStr">
        <is>
          <t>招商局漳州开发区博新太阳能科技有限公司</t>
        </is>
      </c>
      <c r="D913" s="182" t="inlineStr">
        <is>
          <t>ZI029E101019</t>
        </is>
      </c>
      <c r="E913" s="182" t="inlineStr">
        <is>
          <t>招商局漳州开发区丝路方舟碳资产管理有限公司</t>
        </is>
      </c>
      <c r="F913" s="716" t="n"/>
      <c r="G913" s="716" t="n"/>
      <c r="H913" s="462" t="n"/>
    </row>
    <row r="914">
      <c r="A914" s="672" t="inlineStr">
        <is>
          <t>E101019</t>
        </is>
      </c>
      <c r="B914" s="767">
        <f>ROW()</f>
        <v/>
      </c>
      <c r="C914" s="182" t="inlineStr">
        <is>
          <t>招商局漳州开发区丝路方舟碳资产管理有限公司</t>
        </is>
      </c>
      <c r="D914" s="182" t="inlineStr">
        <is>
          <t>ZI029E100881</t>
        </is>
      </c>
      <c r="E914" s="182" t="inlineStr">
        <is>
          <t>China Solar Power Group Limited</t>
        </is>
      </c>
      <c r="F914" s="716" t="n"/>
      <c r="G914" s="716" t="n"/>
      <c r="H914" s="462" t="n"/>
    </row>
    <row r="915">
      <c r="A915" s="672" t="inlineStr">
        <is>
          <t>E100944</t>
        </is>
      </c>
      <c r="B915" s="767">
        <f>ROW()</f>
        <v/>
      </c>
      <c r="C915" s="182" t="inlineStr">
        <is>
          <t>招新诺能（常州）新能源有限公司</t>
        </is>
      </c>
      <c r="D915" s="182" t="inlineStr">
        <is>
          <t>ZI029E100730</t>
        </is>
      </c>
      <c r="E915" s="182" t="inlineStr">
        <is>
          <t>京能国际能源发展（北京）有限公司</t>
        </is>
      </c>
      <c r="F915" s="716" t="n"/>
      <c r="G915" s="716" t="n"/>
      <c r="H915" s="462" t="n"/>
    </row>
    <row r="916">
      <c r="A916" s="672" t="inlineStr">
        <is>
          <t>E100926</t>
        </is>
      </c>
      <c r="B916" s="767">
        <f>ROW()</f>
        <v/>
      </c>
      <c r="C916" s="182" t="inlineStr">
        <is>
          <t>浙江阿波溪仑光伏科技有限公司</t>
        </is>
      </c>
      <c r="D916" s="182" t="inlineStr">
        <is>
          <t>ZI029E100730</t>
        </is>
      </c>
      <c r="E916" s="182" t="inlineStr">
        <is>
          <t>京能国际能源发展（北京）有限公司</t>
        </is>
      </c>
      <c r="F916" s="716" t="n"/>
      <c r="G916" s="716" t="n"/>
      <c r="H916" s="462" t="n"/>
    </row>
    <row r="917">
      <c r="A917" s="672" t="inlineStr">
        <is>
          <t>E100820</t>
        </is>
      </c>
      <c r="B917" s="767">
        <f>ROW()</f>
        <v/>
      </c>
      <c r="C917" s="182" t="inlineStr">
        <is>
          <t>正蓝旗国电光伏发电有限公司</t>
        </is>
      </c>
      <c r="D917" s="182" t="inlineStr">
        <is>
          <t>ZI029E100730</t>
        </is>
      </c>
      <c r="E917" s="182" t="inlineStr">
        <is>
          <t>京能国际能源发展（北京）有限公司</t>
        </is>
      </c>
      <c r="F917" s="716" t="n"/>
      <c r="G917" s="716" t="n"/>
      <c r="H917" s="462" t="n"/>
    </row>
    <row r="918">
      <c r="A918" s="672" t="inlineStr">
        <is>
          <t>E100369</t>
        </is>
      </c>
      <c r="B918" s="767">
        <f>ROW()</f>
        <v/>
      </c>
      <c r="C918" s="182" t="inlineStr">
        <is>
          <t>中国共产党北京能源集团有限责任公司委员会党校</t>
        </is>
      </c>
      <c r="D918" s="182" t="inlineStr">
        <is>
          <t>ZI029E100000</t>
        </is>
      </c>
      <c r="E918" s="182" t="inlineStr">
        <is>
          <t>北京能源集团有限责任公司</t>
        </is>
      </c>
      <c r="F918" s="716" t="n"/>
      <c r="G918" s="716" t="n"/>
      <c r="H918" s="462" t="n"/>
    </row>
    <row r="919">
      <c r="A919" s="672" t="inlineStr">
        <is>
          <t>E100754</t>
        </is>
      </c>
      <c r="B919" s="767">
        <f>ROW()</f>
        <v/>
      </c>
      <c r="C919" s="182" t="inlineStr">
        <is>
          <t>中利腾晖（嘉峪关）光伏发电有限公司</t>
        </is>
      </c>
      <c r="D919" s="182" t="inlineStr">
        <is>
          <t>ZI029E100982</t>
        </is>
      </c>
      <c r="E919" s="182" t="inlineStr">
        <is>
          <t>青海晖达光伏有限公司</t>
        </is>
      </c>
      <c r="F919" s="716" t="n"/>
      <c r="G919" s="716" t="n"/>
      <c r="H919" s="462" t="n"/>
    </row>
    <row r="920">
      <c r="A920" s="672" t="inlineStr">
        <is>
          <t>E100742</t>
        </is>
      </c>
      <c r="B920" s="767">
        <f>ROW()</f>
        <v/>
      </c>
      <c r="C920" s="182" t="inlineStr">
        <is>
          <t>中利腾晖共和光伏发电有限公司</t>
        </is>
      </c>
      <c r="D920" s="182" t="inlineStr">
        <is>
          <t>ZI029E100734</t>
        </is>
      </c>
      <c r="E920" s="182" t="inlineStr">
        <is>
          <t>联合光伏（常州）投资集团有限公司</t>
        </is>
      </c>
      <c r="F920" s="716" t="n"/>
      <c r="G920" s="716" t="n"/>
      <c r="H920" s="462" t="n"/>
    </row>
    <row r="921">
      <c r="A921" s="672" t="inlineStr">
        <is>
          <t>E100743</t>
        </is>
      </c>
      <c r="B921" s="767">
        <f>ROW()</f>
        <v/>
      </c>
      <c r="C921" s="182" t="inlineStr">
        <is>
          <t>中利腾晖共和新能源有限公司</t>
        </is>
      </c>
      <c r="D921" s="182" t="inlineStr">
        <is>
          <t>ZI029E100955</t>
        </is>
      </c>
      <c r="E921" s="182" t="inlineStr">
        <is>
          <t>常州鼎晖新能源有限公司</t>
        </is>
      </c>
      <c r="F921" s="716" t="n"/>
      <c r="G921" s="716" t="n"/>
      <c r="H921" s="462" t="n"/>
    </row>
    <row r="922">
      <c r="A922" s="672" t="inlineStr">
        <is>
          <t>E100546</t>
        </is>
      </c>
      <c r="B922" s="767">
        <f>ROW()</f>
        <v/>
      </c>
      <c r="C922" s="182" t="inlineStr">
        <is>
          <t>珠海市京湾综合能源有限公司</t>
        </is>
      </c>
      <c r="D922" s="182" t="inlineStr">
        <is>
          <t>ZI029E100000</t>
        </is>
      </c>
      <c r="E922" s="182" t="inlineStr">
        <is>
          <t>北京能源集团有限责任公司</t>
        </is>
      </c>
      <c r="F922" s="716" t="n"/>
      <c r="G922" s="716" t="n"/>
      <c r="H922" s="462" t="n"/>
    </row>
    <row r="923">
      <c r="A923" s="672" t="inlineStr">
        <is>
          <t>E100012</t>
        </is>
      </c>
      <c r="B923" s="767">
        <f>ROW()</f>
        <v/>
      </c>
      <c r="C923" s="182" t="inlineStr">
        <is>
          <t>珠海市钰海电力有限公司</t>
        </is>
      </c>
      <c r="D923" s="182" t="inlineStr">
        <is>
          <t>ZI029E100000</t>
        </is>
      </c>
      <c r="E923" s="182" t="inlineStr">
        <is>
          <t>北京能源集团有限责任公司</t>
        </is>
      </c>
      <c r="F923" s="716" t="n"/>
      <c r="G923" s="716" t="n"/>
      <c r="H923" s="462" t="n"/>
    </row>
    <row r="924">
      <c r="A924" s="672" t="inlineStr">
        <is>
          <t>E100247</t>
        </is>
      </c>
      <c r="B924" s="767">
        <f>ROW()</f>
        <v/>
      </c>
      <c r="C924" s="182" t="inlineStr">
        <is>
          <t>涿州市京热热力有限责任公司</t>
        </is>
      </c>
      <c r="D924" s="182" t="inlineStr">
        <is>
          <t>ZI029E100259</t>
        </is>
      </c>
      <c r="E924" s="182" t="inlineStr">
        <is>
          <t>北京京能热力发展有限公司</t>
        </is>
      </c>
      <c r="F924" s="716" t="n"/>
      <c r="G924" s="716" t="n"/>
      <c r="H924" s="462" t="n"/>
    </row>
    <row r="925">
      <c r="A925" s="672" t="inlineStr">
        <is>
          <t>E100975</t>
        </is>
      </c>
      <c r="B925" s="767">
        <f>ROW()</f>
        <v/>
      </c>
      <c r="C925" s="182" t="inlineStr">
        <is>
          <t>卓资县陆阳新能源有限公司</t>
        </is>
      </c>
      <c r="D925" s="182" t="inlineStr">
        <is>
          <t>ZI029E100973</t>
        </is>
      </c>
      <c r="E925" s="182" t="inlineStr">
        <is>
          <t>察右前旗联合光伏发电有限公司</t>
        </is>
      </c>
      <c r="F925" s="716" t="n"/>
      <c r="G925" s="716" t="n"/>
      <c r="H925" s="462" t="n"/>
    </row>
    <row r="926">
      <c r="A926" s="672" t="inlineStr">
        <is>
          <t>E100081</t>
        </is>
      </c>
      <c r="B926" s="767">
        <f>ROW()</f>
        <v/>
      </c>
      <c r="C926" s="182" t="inlineStr">
        <is>
          <t>左云京能风力发电有限责任公司</t>
        </is>
      </c>
      <c r="D926" s="182" t="inlineStr">
        <is>
          <t>ZI029E100001</t>
        </is>
      </c>
      <c r="E926" s="182" t="inlineStr">
        <is>
          <t>北京京能清洁能源电力股份有限公司</t>
        </is>
      </c>
      <c r="F926" s="716" t="n"/>
      <c r="G926" s="716" t="n"/>
      <c r="H926" s="462" t="n"/>
    </row>
    <row r="927">
      <c r="A927" s="672" t="inlineStr">
        <is>
          <t>E100747</t>
        </is>
      </c>
      <c r="B927" s="767">
        <f>ROW()</f>
        <v/>
      </c>
      <c r="C927" s="182" t="inlineStr">
        <is>
          <t>北京能源国际控股有限公司</t>
        </is>
      </c>
      <c r="D927" s="182" t="inlineStr">
        <is>
          <t>ZI029E199999</t>
        </is>
      </c>
      <c r="E927" s="182" t="inlineStr">
        <is>
          <t>北京能源投资（香港）有限公司</t>
        </is>
      </c>
      <c r="F927" s="716" t="n"/>
      <c r="G927" s="716" t="n"/>
      <c r="H927" s="462" t="n"/>
    </row>
    <row r="928">
      <c r="A928" s="672" t="inlineStr">
        <is>
          <t>E100303</t>
        </is>
      </c>
      <c r="B928" s="767">
        <f>ROW()</f>
        <v/>
      </c>
      <c r="C928" s="182" t="inlineStr">
        <is>
          <t>北京天湖会议中心有限公司</t>
        </is>
      </c>
      <c r="D928" s="182" t="inlineStr">
        <is>
          <t>ZI029E100320</t>
        </is>
      </c>
      <c r="E928" s="182" t="inlineStr">
        <is>
          <t>北京市天创房地产开发有限公司</t>
        </is>
      </c>
      <c r="F928" s="716" t="n"/>
      <c r="G928" s="716" t="n"/>
      <c r="H928" s="462" t="n"/>
    </row>
    <row r="929">
      <c r="A929" s="672" t="inlineStr">
        <is>
          <t>E100375</t>
        </is>
      </c>
      <c r="B929" s="767">
        <f>ROW()</f>
        <v/>
      </c>
      <c r="C929" s="672" t="inlineStr">
        <is>
          <t>北京京能碳资产管理有限公司</t>
        </is>
      </c>
      <c r="D929" s="182" t="inlineStr">
        <is>
          <t>ZI029E100371</t>
        </is>
      </c>
      <c r="E929" s="672" t="inlineStr">
        <is>
          <t>北京京能科技有限公司</t>
        </is>
      </c>
      <c r="F929" s="716" t="n"/>
      <c r="G929" s="716" t="n"/>
      <c r="H929" s="462" t="n"/>
    </row>
    <row r="930">
      <c r="A930" s="672" t="inlineStr">
        <is>
          <t>E100321</t>
        </is>
      </c>
      <c r="B930" s="767">
        <f>ROW()</f>
        <v/>
      </c>
      <c r="C930" s="672" t="inlineStr">
        <is>
          <t>北京京能天泰房地产开发有限公司</t>
        </is>
      </c>
      <c r="D930" s="182" t="inlineStr">
        <is>
          <t>ZI029E100320</t>
        </is>
      </c>
      <c r="E930" s="182" t="inlineStr">
        <is>
          <t>北京市天创房地产开发有限公司</t>
        </is>
      </c>
      <c r="F930" s="716" t="n"/>
      <c r="G930" s="716" t="n"/>
      <c r="H930" s="462" t="n"/>
    </row>
    <row r="931">
      <c r="A931" s="672" t="inlineStr">
        <is>
          <t>E100428</t>
        </is>
      </c>
      <c r="B931" s="767">
        <f>ROW()</f>
        <v/>
      </c>
      <c r="C931" s="182" t="inlineStr">
        <is>
          <t>北京京石融宁房地产开发有限公司</t>
        </is>
      </c>
      <c r="D931" s="182" t="inlineStr">
        <is>
          <t>ZI029E100420</t>
        </is>
      </c>
      <c r="E931" s="182" t="inlineStr">
        <is>
          <t>京能置业股份有限公司</t>
        </is>
      </c>
      <c r="F931" s="716" t="n"/>
      <c r="G931" s="716" t="n"/>
      <c r="H931" s="462" t="n"/>
    </row>
    <row r="932">
      <c r="A932" s="672" t="inlineStr">
        <is>
          <t>E100431</t>
        </is>
      </c>
      <c r="B932" s="767">
        <f>ROW()</f>
        <v/>
      </c>
      <c r="C932" s="182" t="inlineStr">
        <is>
          <t>大连京能阳光房地产开发有限公司</t>
        </is>
      </c>
      <c r="D932" s="182" t="inlineStr">
        <is>
          <t>ZI029E100420</t>
        </is>
      </c>
      <c r="E932" s="182" t="inlineStr">
        <is>
          <t>京能置业股份有限公司</t>
        </is>
      </c>
      <c r="F932" s="716" t="n"/>
      <c r="G932" s="716" t="n"/>
      <c r="H932" s="462" t="n"/>
    </row>
    <row r="933">
      <c r="A933" s="672" t="inlineStr">
        <is>
          <t>E100424</t>
        </is>
      </c>
      <c r="B933" s="767">
        <f>ROW()</f>
        <v/>
      </c>
      <c r="C933" s="182" t="inlineStr">
        <is>
          <t>北京天创世缘房地产开发有限公司</t>
        </is>
      </c>
      <c r="D933" s="182" t="inlineStr">
        <is>
          <t>ZI029E100420</t>
        </is>
      </c>
      <c r="E933" s="182" t="inlineStr">
        <is>
          <t>京能置业股份有限公司</t>
        </is>
      </c>
      <c r="F933" s="716" t="n"/>
      <c r="G933" s="716" t="n"/>
      <c r="H933" s="462" t="n"/>
    </row>
    <row r="934">
      <c r="A934" s="672" t="inlineStr">
        <is>
          <t>E100430</t>
        </is>
      </c>
      <c r="B934" s="767">
        <f>ROW()</f>
        <v/>
      </c>
      <c r="C934" s="182" t="inlineStr">
        <is>
          <t>天津海航东海岸发展有限公司</t>
        </is>
      </c>
      <c r="D934" s="182" t="inlineStr">
        <is>
          <t>ZI029E100420</t>
        </is>
      </c>
      <c r="E934" s="182" t="inlineStr">
        <is>
          <t>京能置业股份有限公司</t>
        </is>
      </c>
      <c r="F934" s="716" t="n"/>
      <c r="G934" s="716" t="n"/>
      <c r="H934" s="462" t="n"/>
    </row>
    <row r="935">
      <c r="A935" s="672" t="inlineStr">
        <is>
          <t>E100427</t>
        </is>
      </c>
      <c r="B935" s="767">
        <f>ROW()</f>
        <v/>
      </c>
      <c r="C935" s="182" t="inlineStr">
        <is>
          <t>北京京能海赋置业有限公司</t>
        </is>
      </c>
      <c r="D935" s="182" t="inlineStr">
        <is>
          <t>ZI029E100420</t>
        </is>
      </c>
      <c r="E935" s="182" t="inlineStr">
        <is>
          <t>京能置业股份有限公司</t>
        </is>
      </c>
      <c r="F935" s="716" t="n"/>
      <c r="G935" s="716" t="n"/>
      <c r="H935" s="462" t="n"/>
    </row>
    <row r="936">
      <c r="A936" s="672" t="inlineStr">
        <is>
          <t>E100423</t>
        </is>
      </c>
      <c r="B936" s="767">
        <f>ROW()</f>
        <v/>
      </c>
      <c r="C936" s="182" t="inlineStr">
        <is>
          <t>北京京能育兴房地产开发有限公司</t>
        </is>
      </c>
      <c r="D936" s="182" t="inlineStr">
        <is>
          <t>ZI029E100420</t>
        </is>
      </c>
      <c r="E936" s="182" t="inlineStr">
        <is>
          <t>京能置业股份有限公司</t>
        </is>
      </c>
      <c r="F936" s="716" t="n"/>
      <c r="G936" s="716" t="n"/>
      <c r="H936" s="462" t="n"/>
    </row>
    <row r="937">
      <c r="A937" s="672" t="inlineStr">
        <is>
          <t>E100535</t>
        </is>
      </c>
      <c r="B937" s="767">
        <f>ROW()</f>
        <v/>
      </c>
      <c r="C937" s="182" t="inlineStr">
        <is>
          <t>北京京能京西房地产开发有限公司</t>
        </is>
      </c>
      <c r="D937" s="182" t="inlineStr">
        <is>
          <t>ZI029E100420</t>
        </is>
      </c>
      <c r="E937" s="182" t="inlineStr">
        <is>
          <t>京能置业股份有限公司</t>
        </is>
      </c>
      <c r="F937" s="716" t="n"/>
      <c r="G937" s="716" t="n"/>
      <c r="H937" s="462" t="n"/>
    </row>
    <row r="938">
      <c r="A938" s="672" t="inlineStr">
        <is>
          <t>E100806</t>
        </is>
      </c>
      <c r="B938" s="767">
        <f>ROW()</f>
        <v/>
      </c>
      <c r="C938" s="182" t="inlineStr">
        <is>
          <t>北京京珑置业有限公司</t>
        </is>
      </c>
      <c r="D938" s="182" t="inlineStr">
        <is>
          <t>ZI029E100420</t>
        </is>
      </c>
      <c r="E938" s="182" t="inlineStr">
        <is>
          <t>京能置业股份有限公司</t>
        </is>
      </c>
      <c r="F938" s="716" t="n"/>
      <c r="G938" s="716" t="n"/>
      <c r="H938" s="462" t="n"/>
    </row>
    <row r="939">
      <c r="A939" s="672" t="inlineStr">
        <is>
          <t>E100830</t>
        </is>
      </c>
      <c r="B939" s="767">
        <f>ROW()</f>
        <v/>
      </c>
      <c r="C939" s="182" t="inlineStr">
        <is>
          <t>北京九樾房地产开发有限公司</t>
        </is>
      </c>
      <c r="D939" s="182" t="inlineStr">
        <is>
          <t>ZI029E100420</t>
        </is>
      </c>
      <c r="E939" s="182" t="inlineStr">
        <is>
          <t>京能置业股份有限公司</t>
        </is>
      </c>
      <c r="F939" s="716" t="n"/>
      <c r="G939" s="716" t="n"/>
      <c r="H939" s="462" t="n"/>
    </row>
    <row r="940">
      <c r="A940" s="672" t="inlineStr">
        <is>
          <t>E100433</t>
        </is>
      </c>
      <c r="B940" s="767">
        <f>ROW()</f>
        <v/>
      </c>
      <c r="C940" s="182" t="inlineStr">
        <is>
          <t>北京丽富房地产开发有限公司</t>
        </is>
      </c>
      <c r="D940" s="182" t="inlineStr">
        <is>
          <t>ZI029E100420</t>
        </is>
      </c>
      <c r="E940" s="182" t="inlineStr">
        <is>
          <t>京能置业股份有限公司</t>
        </is>
      </c>
      <c r="F940" s="716" t="n"/>
      <c r="G940" s="716" t="n"/>
      <c r="H940" s="462" t="n"/>
    </row>
    <row r="941">
      <c r="A941" s="672" t="inlineStr">
        <is>
          <t>E100704</t>
        </is>
      </c>
      <c r="B941" s="767">
        <f>ROW()</f>
        <v/>
      </c>
      <c r="C941" s="182" t="inlineStr">
        <is>
          <t>北京京润仁康控股有限公司</t>
        </is>
      </c>
      <c r="D941" s="182" t="inlineStr">
        <is>
          <t>ZI029E100268</t>
        </is>
      </c>
      <c r="E941" s="182" t="inlineStr">
        <is>
          <t>北京京煤集团有限责任公司</t>
        </is>
      </c>
      <c r="F941" s="716" t="n"/>
      <c r="G941" s="716" t="n"/>
      <c r="H941" s="462" t="n"/>
    </row>
    <row r="942">
      <c r="A942" s="672" t="inlineStr">
        <is>
          <t>E100705</t>
        </is>
      </c>
      <c r="B942" s="767">
        <f>ROW()</f>
        <v/>
      </c>
      <c r="C942" s="182" t="inlineStr">
        <is>
          <t>北京京润仁康医院管理有限公司</t>
        </is>
      </c>
      <c r="D942" s="182" t="inlineStr">
        <is>
          <t>ZI029E100268</t>
        </is>
      </c>
      <c r="E942" s="182" t="inlineStr">
        <is>
          <t>北京京煤集团有限责任公司</t>
        </is>
      </c>
      <c r="F942" s="716" t="n"/>
      <c r="G942" s="716" t="n"/>
      <c r="H942" s="462" t="n"/>
    </row>
    <row r="943">
      <c r="A943" s="672" t="inlineStr">
        <is>
          <t>E100704G</t>
        </is>
      </c>
      <c r="B943" s="767">
        <f>ROW()</f>
        <v/>
      </c>
      <c r="C943" s="182" t="inlineStr">
        <is>
          <t>北京京润仁康控股有限公司（合并）</t>
        </is>
      </c>
      <c r="D943" s="182" t="inlineStr">
        <is>
          <t>ZI029E100268</t>
        </is>
      </c>
      <c r="E943" s="182" t="inlineStr">
        <is>
          <t>北京京煤集团有限责任公司</t>
        </is>
      </c>
      <c r="F943" s="716" t="n"/>
      <c r="G943" s="716" t="n"/>
      <c r="H943" s="462" t="n"/>
    </row>
    <row r="944">
      <c r="A944" s="672" t="inlineStr">
        <is>
          <t>E101139</t>
        </is>
      </c>
      <c r="B944" s="767">
        <f>ROW()</f>
        <v/>
      </c>
      <c r="C944" s="182" t="inlineStr">
        <is>
          <t>天创科技发展有限公司</t>
        </is>
      </c>
      <c r="D944" s="182" t="inlineStr">
        <is>
          <t>ZI029E100320</t>
        </is>
      </c>
      <c r="E944" s="182" t="inlineStr">
        <is>
          <t>北京市天创房地产开发有限公司</t>
        </is>
      </c>
      <c r="F944" s="716" t="n"/>
      <c r="G944" s="716" t="n"/>
      <c r="H944" s="462" t="n"/>
    </row>
    <row r="945">
      <c r="A945" s="672" t="inlineStr">
        <is>
          <t>E101098</t>
        </is>
      </c>
      <c r="B945" s="767">
        <f>ROW()</f>
        <v/>
      </c>
      <c r="C945" s="182" t="inlineStr">
        <is>
          <t>肇庆市莱特斯新能源有限公司</t>
        </is>
      </c>
      <c r="D945" s="182" t="inlineStr">
        <is>
          <t>ZI029E101097</t>
        </is>
      </c>
      <c r="E945" s="182" t="inlineStr">
        <is>
          <t>肇庆市莱湾新能源科技有限公司</t>
        </is>
      </c>
      <c r="F945" s="716" t="n"/>
      <c r="G945" s="716" t="n"/>
      <c r="H945" s="462" t="n"/>
    </row>
    <row r="946">
      <c r="A946" s="672" t="inlineStr">
        <is>
          <t>E101097</t>
        </is>
      </c>
      <c r="B946" s="767">
        <f>ROW()</f>
        <v/>
      </c>
      <c r="C946" s="182" t="inlineStr">
        <is>
          <t>肇庆市莱湾新能源科技有限公司</t>
        </is>
      </c>
      <c r="D946" s="182" t="inlineStr">
        <is>
          <t>ZI029E100730</t>
        </is>
      </c>
      <c r="E946" s="182" t="inlineStr">
        <is>
          <t>京能国际能源发展（北京）有限公司</t>
        </is>
      </c>
      <c r="F946" s="716" t="n"/>
      <c r="G946" s="716" t="n"/>
      <c r="H946" s="462" t="n"/>
    </row>
    <row r="947">
      <c r="A947" s="672" t="inlineStr">
        <is>
          <t>E101085</t>
        </is>
      </c>
      <c r="B947" s="767">
        <f>ROW()</f>
        <v/>
      </c>
      <c r="C947" s="182" t="inlineStr">
        <is>
          <t>京邗（扬州）光伏发电有限公司</t>
        </is>
      </c>
      <c r="D947" s="182" t="inlineStr">
        <is>
          <t>ZI029E100883</t>
        </is>
      </c>
      <c r="E947" s="182" t="inlineStr">
        <is>
          <t>Beijing Energy International Investment Limited</t>
        </is>
      </c>
      <c r="F947" s="716" t="n"/>
      <c r="G947" s="716" t="n"/>
      <c r="H947" s="462" t="n"/>
    </row>
    <row r="948">
      <c r="A948" s="672" t="inlineStr">
        <is>
          <t>E101100</t>
        </is>
      </c>
      <c r="B948" s="767">
        <f>ROW()</f>
        <v/>
      </c>
      <c r="C948" s="182" t="inlineStr">
        <is>
          <t>凤台县晟阳新能源发电有限公司</t>
        </is>
      </c>
      <c r="D948" s="182" t="inlineStr">
        <is>
          <t>ZI029E100730</t>
        </is>
      </c>
      <c r="E948" s="182" t="inlineStr">
        <is>
          <t>京能国际能源发展（北京）有限公司</t>
        </is>
      </c>
      <c r="F948" s="716" t="n"/>
      <c r="G948" s="716" t="n"/>
      <c r="H948" s="462" t="n"/>
    </row>
    <row r="949">
      <c r="A949" s="672" t="inlineStr">
        <is>
          <t>E101091</t>
        </is>
      </c>
      <c r="B949" s="767">
        <f>ROW()</f>
        <v/>
      </c>
      <c r="C949" s="182" t="inlineStr">
        <is>
          <t>北京京亦综合能源有限公司</t>
        </is>
      </c>
      <c r="D949" s="182" t="inlineStr">
        <is>
          <t>ZI029E100748</t>
        </is>
      </c>
      <c r="E949" s="182" t="inlineStr">
        <is>
          <t>北京京能国际综合智慧能源有限公司</t>
        </is>
      </c>
      <c r="F949" s="716" t="n"/>
      <c r="G949" s="716" t="n"/>
      <c r="H949" s="462" t="n"/>
    </row>
    <row r="950">
      <c r="A950" s="672" t="inlineStr">
        <is>
          <t>E100344</t>
        </is>
      </c>
      <c r="B950" s="767">
        <f>ROW()</f>
        <v/>
      </c>
      <c r="C950" s="182" t="inlineStr">
        <is>
          <t>北京京煤集团总医院</t>
        </is>
      </c>
      <c r="D950" s="182" t="inlineStr">
        <is>
          <t>ZI029E100704</t>
        </is>
      </c>
      <c r="E950" s="182" t="inlineStr">
        <is>
          <t>北京京润仁康控股有限公司</t>
        </is>
      </c>
      <c r="F950" s="716" t="n"/>
      <c r="G950" s="716" t="n"/>
      <c r="H950" s="462" t="n"/>
    </row>
    <row r="951">
      <c r="A951" s="672" t="inlineStr">
        <is>
          <t>E100288</t>
        </is>
      </c>
      <c r="B951" s="767">
        <f>ROW()</f>
        <v/>
      </c>
      <c r="C951" s="182" t="inlineStr">
        <is>
          <t>北京科技高级技术学校</t>
        </is>
      </c>
      <c r="D951" s="182" t="inlineStr">
        <is>
          <t>ZI029E100268</t>
        </is>
      </c>
      <c r="E951" s="182" t="inlineStr">
        <is>
          <t>北京京煤集团有限责任公司</t>
        </is>
      </c>
      <c r="F951" s="716" t="n"/>
      <c r="G951" s="716" t="n"/>
      <c r="H951" s="462" t="n"/>
    </row>
    <row r="952">
      <c r="A952" s="672" t="inlineStr">
        <is>
          <t>E100803</t>
        </is>
      </c>
      <c r="B952" s="767">
        <f>ROW()</f>
        <v/>
      </c>
      <c r="C952" s="182" t="inlineStr">
        <is>
          <t>北京京能颐寿轩康养有限公司（原名东竹园康养）</t>
        </is>
      </c>
      <c r="D952" s="182" t="inlineStr">
        <is>
          <t>ZI029E100776</t>
        </is>
      </c>
      <c r="E952" s="182" t="inlineStr">
        <is>
          <t>北京健康养老集团有限公司</t>
        </is>
      </c>
      <c r="F952" s="716" t="n"/>
      <c r="G952" s="716" t="n"/>
      <c r="H952" s="462" t="n"/>
    </row>
    <row r="953">
      <c r="A953" s="672" t="inlineStr">
        <is>
          <t>E101141</t>
        </is>
      </c>
      <c r="B953" s="767">
        <f>ROW()</f>
        <v/>
      </c>
      <c r="C953" s="182" t="inlineStr">
        <is>
          <t>锡林郭勒峰峰能源有限公司</t>
        </is>
      </c>
      <c r="D953" s="182" t="inlineStr">
        <is>
          <t>ZI029E100000</t>
        </is>
      </c>
      <c r="E953" s="182" t="inlineStr">
        <is>
          <t>北京能源集团有限责任公司</t>
        </is>
      </c>
      <c r="F953" s="716" t="n"/>
      <c r="G953" s="716" t="n"/>
      <c r="H953" s="462" t="n"/>
    </row>
    <row r="954">
      <c r="A954" s="672" t="inlineStr">
        <is>
          <t>E100559</t>
        </is>
      </c>
      <c r="B954" s="767">
        <f>ROW()</f>
        <v/>
      </c>
      <c r="C954" s="182" t="inlineStr">
        <is>
          <t>北京能源投资集团（香港）有限公司</t>
        </is>
      </c>
      <c r="D954" s="182" t="inlineStr">
        <is>
          <t>ZI029E100000</t>
        </is>
      </c>
      <c r="E954" s="182" t="inlineStr">
        <is>
          <t>北京能源集团有限责任公司</t>
        </is>
      </c>
      <c r="F954" s="716" t="n"/>
      <c r="G954" s="716" t="n"/>
      <c r="H954" s="462" t="n"/>
    </row>
    <row r="955">
      <c r="A955" s="672" t="inlineStr">
        <is>
          <t>E101133</t>
        </is>
      </c>
      <c r="B955" s="767">
        <f>ROW()</f>
        <v/>
      </c>
      <c r="C955" s="182" t="inlineStr">
        <is>
          <t>京能冀北新能源（唐山）有限公司</t>
        </is>
      </c>
      <c r="D955" s="182" t="inlineStr">
        <is>
          <t>ZI029E100145</t>
        </is>
      </c>
      <c r="E955" s="182" t="inlineStr">
        <is>
          <t>北京京能电力股份有限公司</t>
        </is>
      </c>
      <c r="F955" s="716" t="n"/>
      <c r="G955" s="716" t="n"/>
      <c r="H955" s="462" t="n"/>
    </row>
    <row r="956">
      <c r="A956" s="672" t="inlineStr">
        <is>
          <t>E101142</t>
        </is>
      </c>
      <c r="B956" s="767">
        <f>ROW()</f>
        <v/>
      </c>
      <c r="C956" s="182">
        <f>IF(_epmOfflineCondition_,"灵寿县清智新能源科技有限公司",EPMMemberDesc(A956))</f>
        <v/>
      </c>
      <c r="D956" s="182" t="inlineStr">
        <is>
          <t>ZI029E100001</t>
        </is>
      </c>
      <c r="E956" s="182" t="inlineStr">
        <is>
          <t>北京京能清洁能源电力股份有限公司</t>
        </is>
      </c>
      <c r="F956" s="716" t="n"/>
      <c r="G956" s="716" t="n"/>
      <c r="H956" s="462" t="n"/>
    </row>
    <row r="957">
      <c r="A957" s="672" t="inlineStr">
        <is>
          <t>E100843</t>
        </is>
      </c>
      <c r="B957" s="767">
        <f>ROW()</f>
        <v/>
      </c>
      <c r="C957" s="182" t="inlineStr">
        <is>
          <t>北康秦皇岛健康养老有限公司</t>
        </is>
      </c>
      <c r="D957" s="182" t="inlineStr">
        <is>
          <t>ZI029E100776</t>
        </is>
      </c>
      <c r="E957" s="182" t="inlineStr">
        <is>
          <t>北京健康养老集团有限公司</t>
        </is>
      </c>
      <c r="F957" s="716" t="n"/>
      <c r="G957" s="716" t="n"/>
      <c r="H957" s="462" t="n"/>
    </row>
    <row r="958">
      <c r="A958" s="672" t="inlineStr">
        <is>
          <t>E101136</t>
        </is>
      </c>
      <c r="B958" s="767">
        <f>ROW()</f>
        <v/>
      </c>
      <c r="C958" s="182" t="inlineStr">
        <is>
          <t>北京市石景山区老年福养老服务中心</t>
        </is>
      </c>
      <c r="D958" s="182" t="inlineStr">
        <is>
          <t>ZI029E100776</t>
        </is>
      </c>
      <c r="E958" s="182" t="inlineStr">
        <is>
          <t>北京健康养老集团有限公司</t>
        </is>
      </c>
      <c r="F958" s="716" t="n"/>
      <c r="G958" s="716" t="n"/>
      <c r="H958" s="462" t="n"/>
    </row>
    <row r="959">
      <c r="A959" s="672" t="inlineStr">
        <is>
          <t>E101138</t>
        </is>
      </c>
      <c r="B959" s="767">
        <f>ROW()</f>
        <v/>
      </c>
      <c r="C959" s="182" t="inlineStr">
        <is>
          <t>北京市门头沟区沁心园养老照料中心</t>
        </is>
      </c>
      <c r="D959" s="182" t="inlineStr">
        <is>
          <t>ZI029E101136</t>
        </is>
      </c>
      <c r="E959" s="182" t="inlineStr">
        <is>
          <t>北京市石景山区老年福养老服务中心</t>
        </is>
      </c>
      <c r="F959" s="716" t="n"/>
      <c r="G959" s="716" t="n"/>
      <c r="H959" s="462" t="n"/>
    </row>
    <row r="960">
      <c r="A960" s="672" t="inlineStr">
        <is>
          <t>E100014H</t>
        </is>
      </c>
      <c r="B960" s="767">
        <f>ROW()</f>
        <v/>
      </c>
      <c r="C960" s="182" t="inlineStr">
        <is>
          <t>北京京能新能源有限公司（合并）</t>
        </is>
      </c>
      <c r="D960" s="182" t="inlineStr">
        <is>
          <t>ZI029E100001</t>
        </is>
      </c>
      <c r="E960" s="182" t="inlineStr">
        <is>
          <t>北京京能清洁能源电力股份有限公司</t>
        </is>
      </c>
      <c r="F960" s="716" t="n"/>
      <c r="G960" s="716" t="n"/>
      <c r="H960" s="462" t="n"/>
    </row>
    <row r="961">
      <c r="A961" s="672" t="inlineStr">
        <is>
          <t>E100031H</t>
        </is>
      </c>
      <c r="B961" s="767">
        <f>ROW()</f>
        <v/>
      </c>
      <c r="C961" s="182" t="inlineStr">
        <is>
          <t>五家渠京能新能源有限责任公司（合并）</t>
        </is>
      </c>
      <c r="D961" s="182" t="inlineStr">
        <is>
          <t>ZI029E100001</t>
        </is>
      </c>
      <c r="E961" s="182" t="inlineStr">
        <is>
          <t>北京京能清洁能源电力股份有限公司</t>
        </is>
      </c>
      <c r="F961" s="716" t="n"/>
      <c r="G961" s="716" t="n"/>
      <c r="H961" s="462" t="n"/>
    </row>
    <row r="962">
      <c r="A962" s="672" t="inlineStr">
        <is>
          <t>E100050G</t>
        </is>
      </c>
      <c r="B962" s="767">
        <f>ROW()</f>
        <v/>
      </c>
      <c r="C962" s="182" t="inlineStr">
        <is>
          <t>内蒙古京能苏尼特风力发电有限公司（合并）</t>
        </is>
      </c>
      <c r="D962" s="182" t="inlineStr">
        <is>
          <t>ZI029E100001</t>
        </is>
      </c>
      <c r="E962" s="182" t="inlineStr">
        <is>
          <t>北京京能清洁能源电力股份有限公司</t>
        </is>
      </c>
      <c r="F962" s="716" t="n"/>
      <c r="G962" s="716" t="n"/>
      <c r="H962" s="462" t="n"/>
    </row>
    <row r="963">
      <c r="A963" s="672" t="inlineStr">
        <is>
          <t>E100096G</t>
        </is>
      </c>
      <c r="B963" s="767">
        <f>ROW()</f>
        <v/>
      </c>
      <c r="C963" s="182" t="inlineStr">
        <is>
          <t>四川大川电力有限公司（合并）</t>
        </is>
      </c>
      <c r="D963" s="182" t="inlineStr">
        <is>
          <t>ZI029E100001</t>
        </is>
      </c>
      <c r="E963" s="182" t="inlineStr">
        <is>
          <t>北京京能清洁能源电力股份有限公司</t>
        </is>
      </c>
      <c r="F963" s="716" t="n"/>
      <c r="G963" s="716" t="n"/>
      <c r="H963" s="462" t="n"/>
    </row>
    <row r="964">
      <c r="A964" s="672" t="inlineStr">
        <is>
          <t>E100108H</t>
        </is>
      </c>
      <c r="B964" s="767">
        <f>ROW()</f>
        <v/>
      </c>
      <c r="C964" s="182" t="inlineStr">
        <is>
          <t>京能服务管理有限公司（合并）</t>
        </is>
      </c>
      <c r="D964" s="182" t="inlineStr">
        <is>
          <t>ZI029E100000</t>
        </is>
      </c>
      <c r="E964" s="182" t="inlineStr">
        <is>
          <t>北京能源集团有限责任公司</t>
        </is>
      </c>
      <c r="F964" s="716" t="n"/>
      <c r="G964" s="716" t="n"/>
      <c r="H964" s="462" t="n"/>
    </row>
    <row r="965">
      <c r="A965" s="672" t="inlineStr">
        <is>
          <t>E100109G</t>
        </is>
      </c>
      <c r="B965" s="767">
        <f>ROW()</f>
        <v/>
      </c>
      <c r="C965" s="182" t="inlineStr">
        <is>
          <t>京能电力后勤服务有限公司（合并）</t>
        </is>
      </c>
      <c r="D965" s="182" t="inlineStr">
        <is>
          <t>ZI029E100000</t>
        </is>
      </c>
      <c r="E965" s="182" t="inlineStr">
        <is>
          <t>北京能源集团有限责任公司</t>
        </is>
      </c>
      <c r="F965" s="716" t="n"/>
      <c r="G965" s="716" t="n"/>
      <c r="H965" s="462" t="n"/>
    </row>
    <row r="966">
      <c r="A966" s="672" t="inlineStr">
        <is>
          <t>E100109H</t>
        </is>
      </c>
      <c r="B966" s="767">
        <f>ROW()</f>
        <v/>
      </c>
      <c r="C966" s="182" t="inlineStr">
        <is>
          <t>京能电力后勤服务有限公司（母公司）</t>
        </is>
      </c>
      <c r="D966" s="182" t="inlineStr">
        <is>
          <t>ZI029E100000</t>
        </is>
      </c>
      <c r="E966" s="182" t="inlineStr">
        <is>
          <t>北京能源集团有限责任公司</t>
        </is>
      </c>
      <c r="F966" s="716" t="n"/>
      <c r="G966" s="716" t="n"/>
      <c r="H966" s="462" t="n"/>
    </row>
    <row r="967">
      <c r="A967" s="672" t="inlineStr">
        <is>
          <t>E100135H</t>
        </is>
      </c>
      <c r="B967" s="767">
        <f>ROW()</f>
        <v/>
      </c>
      <c r="C967" s="182" t="inlineStr">
        <is>
          <t>京能电力涿州科技环保有限公司（合并）</t>
        </is>
      </c>
      <c r="D967" s="182" t="inlineStr">
        <is>
          <t>ZI029E100109</t>
        </is>
      </c>
      <c r="E967" s="182" t="inlineStr">
        <is>
          <t>京能电力后勤服务有限公司</t>
        </is>
      </c>
      <c r="F967" s="716" t="n"/>
      <c r="G967" s="716" t="n"/>
      <c r="H967" s="462" t="n"/>
    </row>
    <row r="968">
      <c r="A968" s="672" t="inlineStr">
        <is>
          <t>E100142G</t>
        </is>
      </c>
      <c r="B968" s="767">
        <f>ROW()</f>
        <v/>
      </c>
      <c r="C968" s="182" t="inlineStr">
        <is>
          <t>北京京能国际能源股份有限公司（合并）</t>
        </is>
      </c>
      <c r="D968" s="182" t="inlineStr">
        <is>
          <t>ZI029E100000</t>
        </is>
      </c>
      <c r="E968" s="182" t="inlineStr">
        <is>
          <t>北京能源集团有限责任公司</t>
        </is>
      </c>
      <c r="F968" s="716" t="n"/>
      <c r="G968" s="716" t="n"/>
      <c r="H968" s="462" t="n"/>
    </row>
    <row r="969">
      <c r="A969" s="672" t="inlineStr">
        <is>
          <t>E100151G</t>
        </is>
      </c>
      <c r="B969" s="767">
        <f>ROW()</f>
        <v/>
      </c>
      <c r="C969" s="182" t="inlineStr">
        <is>
          <t>山西漳山发电有限责任公司（合并）</t>
        </is>
      </c>
      <c r="D969" s="182" t="inlineStr">
        <is>
          <t>ZI029E100145</t>
        </is>
      </c>
      <c r="E969" s="182" t="inlineStr">
        <is>
          <t>北京京能电力股份有限公司</t>
        </is>
      </c>
      <c r="F969" s="716" t="n"/>
      <c r="G969" s="716" t="n"/>
      <c r="H969" s="462" t="n"/>
    </row>
    <row r="970">
      <c r="A970" s="672" t="inlineStr">
        <is>
          <t>E100154G</t>
        </is>
      </c>
      <c r="B970" s="767">
        <f>ROW()</f>
        <v/>
      </c>
      <c r="C970" s="182" t="inlineStr">
        <is>
          <t>内蒙古京隆发电有限责任公司（合并）</t>
        </is>
      </c>
      <c r="D970" s="182" t="inlineStr">
        <is>
          <t>ZI029E100145</t>
        </is>
      </c>
      <c r="E970" s="182" t="inlineStr">
        <is>
          <t>北京京能电力股份有限公司</t>
        </is>
      </c>
      <c r="F970" s="716" t="n"/>
      <c r="G970" s="716" t="n"/>
      <c r="H970" s="462" t="n"/>
    </row>
    <row r="971">
      <c r="A971" s="672" t="inlineStr">
        <is>
          <t>E100218G</t>
        </is>
      </c>
      <c r="B971" s="767">
        <f>ROW()</f>
        <v/>
      </c>
      <c r="C971" s="182" t="inlineStr">
        <is>
          <t>北京京能油气资源开发有限公司（合并）</t>
        </is>
      </c>
      <c r="D971" s="182" t="inlineStr">
        <is>
          <t>ZI029E100000</t>
        </is>
      </c>
      <c r="E971" s="182" t="inlineStr">
        <is>
          <t>北京能源集团有限责任公司</t>
        </is>
      </c>
      <c r="F971" s="716" t="n"/>
      <c r="G971" s="716" t="n"/>
      <c r="H971" s="462" t="n"/>
    </row>
    <row r="972">
      <c r="A972" s="672" t="inlineStr">
        <is>
          <t>E100222G</t>
        </is>
      </c>
      <c r="B972" s="767">
        <f>ROW()</f>
        <v/>
      </c>
      <c r="C972" s="182" t="inlineStr">
        <is>
          <t>北京市热力集团有限责任公司（合并）</t>
        </is>
      </c>
      <c r="D972" s="182" t="inlineStr">
        <is>
          <t>ZI029E100000</t>
        </is>
      </c>
      <c r="E972" s="182" t="inlineStr">
        <is>
          <t>北京能源集团有限责任公司</t>
        </is>
      </c>
      <c r="F972" s="716" t="n"/>
      <c r="G972" s="716" t="n"/>
      <c r="H972" s="462" t="n"/>
    </row>
    <row r="973">
      <c r="A973" s="672" t="inlineStr">
        <is>
          <t>E100222H</t>
        </is>
      </c>
      <c r="B973" s="767">
        <f>ROW()</f>
        <v/>
      </c>
      <c r="C973" s="182" t="inlineStr">
        <is>
          <t>北京市热力集团有限责任公司（母公司）</t>
        </is>
      </c>
      <c r="D973" s="182" t="inlineStr">
        <is>
          <t>ZI029E100000</t>
        </is>
      </c>
      <c r="E973" s="182" t="inlineStr">
        <is>
          <t>北京能源集团有限责任公司</t>
        </is>
      </c>
      <c r="F973" s="716" t="n"/>
      <c r="G973" s="716" t="n"/>
      <c r="H973" s="462" t="n"/>
    </row>
    <row r="974">
      <c r="A974" s="672" t="inlineStr">
        <is>
          <t>E100233G</t>
        </is>
      </c>
      <c r="B974" s="767">
        <f>ROW()</f>
        <v/>
      </c>
      <c r="C974" s="182" t="inlineStr">
        <is>
          <t>北京市热力工程设计有限责任公司（合并）</t>
        </is>
      </c>
      <c r="D974" s="182" t="inlineStr">
        <is>
          <t>ZI029E100222</t>
        </is>
      </c>
      <c r="E974" s="182" t="inlineStr">
        <is>
          <t>北京市热力集团有限责任公司</t>
        </is>
      </c>
      <c r="F974" s="716" t="n"/>
      <c r="G974" s="716" t="n"/>
      <c r="H974" s="462" t="n"/>
    </row>
    <row r="975">
      <c r="A975" s="672" t="inlineStr">
        <is>
          <t>E100233H</t>
        </is>
      </c>
      <c r="B975" s="767">
        <f>ROW()</f>
        <v/>
      </c>
      <c r="C975" s="182" t="inlineStr">
        <is>
          <t>北京市热力工程设计有限责任公司（母公司）</t>
        </is>
      </c>
      <c r="D975" s="182" t="inlineStr">
        <is>
          <t>ZI029E100222</t>
        </is>
      </c>
      <c r="E975" s="182" t="inlineStr">
        <is>
          <t>北京市热力集团有限责任公司</t>
        </is>
      </c>
      <c r="F975" s="716" t="n"/>
      <c r="G975" s="716" t="n"/>
      <c r="H975" s="462" t="n"/>
    </row>
    <row r="976">
      <c r="A976" s="672" t="inlineStr">
        <is>
          <t>E100238H</t>
        </is>
      </c>
      <c r="B976" s="767">
        <f>ROW()</f>
        <v/>
      </c>
      <c r="C976" s="182" t="inlineStr">
        <is>
          <t>北京热力装备制造有限公司（母公司）</t>
        </is>
      </c>
      <c r="D976" s="182" t="inlineStr">
        <is>
          <t>ZI029E100222</t>
        </is>
      </c>
      <c r="E976" s="182" t="inlineStr">
        <is>
          <t>北京市热力集团有限责任公司</t>
        </is>
      </c>
      <c r="F976" s="716" t="n"/>
      <c r="G976" s="716" t="n"/>
      <c r="H976" s="462" t="n"/>
    </row>
    <row r="977">
      <c r="A977" s="672" t="inlineStr">
        <is>
          <t>E100245G</t>
        </is>
      </c>
      <c r="B977" s="767">
        <f>ROW()</f>
        <v/>
      </c>
      <c r="C977" s="182" t="inlineStr">
        <is>
          <t>北京市特诚热力有限责任公司（合并）</t>
        </is>
      </c>
      <c r="D977" s="182" t="inlineStr">
        <is>
          <t>ZI029E100259</t>
        </is>
      </c>
      <c r="E977" s="182" t="inlineStr">
        <is>
          <t>北京京能热力发展有限公司</t>
        </is>
      </c>
      <c r="F977" s="716" t="n"/>
      <c r="G977" s="716" t="n"/>
      <c r="H977" s="462" t="n"/>
    </row>
    <row r="978">
      <c r="A978" s="672" t="inlineStr">
        <is>
          <t>E100252H</t>
        </is>
      </c>
      <c r="B978" s="767">
        <f>ROW()</f>
        <v/>
      </c>
      <c r="C978" s="182" t="inlineStr">
        <is>
          <t>三河新源供热有限公司（母公司）</t>
        </is>
      </c>
      <c r="D978" s="182" t="inlineStr">
        <is>
          <t>ZI029E100259</t>
        </is>
      </c>
      <c r="E978" s="182" t="inlineStr">
        <is>
          <t>北京京能热力发展有限公司</t>
        </is>
      </c>
      <c r="F978" s="716" t="n"/>
      <c r="G978" s="716" t="n"/>
      <c r="H978" s="462" t="n"/>
    </row>
    <row r="979">
      <c r="A979" s="672" t="inlineStr">
        <is>
          <t>E100259G</t>
        </is>
      </c>
      <c r="B979" s="767">
        <f>ROW()</f>
        <v/>
      </c>
      <c r="C979" s="182" t="inlineStr">
        <is>
          <t>北京京能热力发展有限公司（合并）</t>
        </is>
      </c>
      <c r="D979" s="182" t="inlineStr">
        <is>
          <t>ZI029E100000</t>
        </is>
      </c>
      <c r="E979" s="182" t="inlineStr">
        <is>
          <t>北京能源集团有限责任公司</t>
        </is>
      </c>
      <c r="F979" s="716" t="n"/>
      <c r="G979" s="716" t="n"/>
      <c r="H979" s="462" t="n"/>
    </row>
    <row r="980">
      <c r="A980" s="672" t="inlineStr">
        <is>
          <t>E100259H</t>
        </is>
      </c>
      <c r="B980" s="767">
        <f>ROW()</f>
        <v/>
      </c>
      <c r="C980" s="182" t="inlineStr">
        <is>
          <t>北京京能热力发展有限公司（母公司）</t>
        </is>
      </c>
      <c r="D980" s="182" t="inlineStr">
        <is>
          <t>ZI029E100000</t>
        </is>
      </c>
      <c r="E980" s="182" t="inlineStr">
        <is>
          <t>北京能源集团有限责任公司</t>
        </is>
      </c>
      <c r="F980" s="716" t="n"/>
      <c r="G980" s="716" t="n"/>
      <c r="H980" s="462" t="n"/>
    </row>
    <row r="981">
      <c r="A981" s="672" t="inlineStr">
        <is>
          <t>E100268G</t>
        </is>
      </c>
      <c r="B981" s="767">
        <f>ROW()</f>
        <v/>
      </c>
      <c r="C981" s="182" t="inlineStr">
        <is>
          <t>北京京煤集团有限责任公司（合并）</t>
        </is>
      </c>
      <c r="D981" s="182" t="inlineStr">
        <is>
          <t>ZI029E100000</t>
        </is>
      </c>
      <c r="E981" s="182" t="inlineStr">
        <is>
          <t>北京能源集团有限责任公司</t>
        </is>
      </c>
      <c r="F981" s="716" t="n"/>
      <c r="G981" s="716" t="n"/>
      <c r="H981" s="462" t="n"/>
    </row>
    <row r="982">
      <c r="A982" s="672" t="inlineStr">
        <is>
          <t>E100268H</t>
        </is>
      </c>
      <c r="B982" s="767">
        <f>ROW()</f>
        <v/>
      </c>
      <c r="C982" s="182" t="inlineStr">
        <is>
          <t>北京京煤集团有限责任公司（母公司）</t>
        </is>
      </c>
      <c r="D982" s="182" t="inlineStr">
        <is>
          <t>ZI029E100000</t>
        </is>
      </c>
      <c r="E982" s="182" t="inlineStr">
        <is>
          <t>北京能源集团有限责任公司</t>
        </is>
      </c>
      <c r="F982" s="716" t="n"/>
      <c r="G982" s="716" t="n"/>
      <c r="H982" s="462" t="n"/>
    </row>
    <row r="983">
      <c r="A983" s="672" t="inlineStr">
        <is>
          <t>E100280H</t>
        </is>
      </c>
      <c r="B983" s="767">
        <f>ROW()</f>
        <v/>
      </c>
      <c r="C983" s="182" t="inlineStr">
        <is>
          <t>海南金泰旅业开发有限公司（汇总）</t>
        </is>
      </c>
      <c r="D983" s="182" t="inlineStr">
        <is>
          <t>ZI029E100353</t>
        </is>
      </c>
      <c r="E983" s="182" t="inlineStr">
        <is>
          <t>北京京能房产租赁经营有限责任公司</t>
        </is>
      </c>
      <c r="F983" s="716" t="n"/>
      <c r="G983" s="716" t="n"/>
      <c r="H983" s="462" t="n"/>
    </row>
    <row r="984">
      <c r="A984" s="672" t="inlineStr">
        <is>
          <t>E100293G</t>
        </is>
      </c>
      <c r="B984" s="767">
        <f>ROW()</f>
        <v/>
      </c>
      <c r="C984" s="182" t="inlineStr">
        <is>
          <t>北京京能酒店管理有限公司（合并）</t>
        </is>
      </c>
      <c r="D984" s="182" t="inlineStr">
        <is>
          <t>ZI029E100268</t>
        </is>
      </c>
      <c r="E984" s="182" t="inlineStr">
        <is>
          <t>北京京煤集团有限责任公司</t>
        </is>
      </c>
      <c r="F984" s="716" t="n"/>
      <c r="G984" s="716" t="n"/>
      <c r="H984" s="462" t="n"/>
    </row>
    <row r="985">
      <c r="A985" s="672" t="inlineStr">
        <is>
          <t>E100293H</t>
        </is>
      </c>
      <c r="B985" s="767">
        <f>ROW()</f>
        <v/>
      </c>
      <c r="C985" s="182" t="inlineStr">
        <is>
          <t>北京京能酒店管理有限公司（母公司）</t>
        </is>
      </c>
      <c r="D985" s="182" t="inlineStr">
        <is>
          <t>ZI029E100268</t>
        </is>
      </c>
      <c r="E985" s="182" t="inlineStr">
        <is>
          <t>北京京煤集团有限责任公司</t>
        </is>
      </c>
      <c r="F985" s="716" t="n"/>
      <c r="G985" s="716" t="n"/>
      <c r="H985" s="462" t="n"/>
    </row>
    <row r="986">
      <c r="A986" s="672" t="inlineStr">
        <is>
          <t>E100294H</t>
        </is>
      </c>
      <c r="B986" s="767">
        <f>ROW()</f>
        <v/>
      </c>
      <c r="C986" s="182" t="inlineStr">
        <is>
          <t>北京金泰国际会展有限公司（母公司）</t>
        </is>
      </c>
      <c r="D986" s="182" t="inlineStr">
        <is>
          <t>ZI029E100293</t>
        </is>
      </c>
      <c r="E986" s="182" t="inlineStr">
        <is>
          <t>北京京能酒店管理有限公司</t>
        </is>
      </c>
      <c r="F986" s="716" t="n"/>
      <c r="G986" s="716" t="n"/>
      <c r="H986" s="462" t="n"/>
    </row>
    <row r="987">
      <c r="A987" s="672" t="inlineStr">
        <is>
          <t>E100296H</t>
        </is>
      </c>
      <c r="B987" s="767">
        <f>ROW()</f>
        <v/>
      </c>
      <c r="C987" s="182" t="inlineStr">
        <is>
          <t>北京金泰之家宾馆有限公司（母公司）</t>
        </is>
      </c>
      <c r="D987" s="182" t="inlineStr">
        <is>
          <t>ZI029E100293</t>
        </is>
      </c>
      <c r="E987" s="182" t="inlineStr">
        <is>
          <t>北京京能酒店管理有限公司</t>
        </is>
      </c>
      <c r="F987" s="716" t="n"/>
      <c r="G987" s="716" t="n"/>
      <c r="H987" s="462" t="n"/>
    </row>
    <row r="988">
      <c r="A988" s="672" t="inlineStr">
        <is>
          <t>E100302G</t>
        </is>
      </c>
      <c r="B988" s="767">
        <f>ROW()</f>
        <v/>
      </c>
      <c r="C988" s="182" t="inlineStr">
        <is>
          <t>北京京辉高尔夫俱乐部有限公司（合并）</t>
        </is>
      </c>
      <c r="D988" s="182" t="inlineStr">
        <is>
          <t>ZI029E100320</t>
        </is>
      </c>
      <c r="E988" s="182" t="inlineStr">
        <is>
          <t>北京市天创房地产开发有限公司</t>
        </is>
      </c>
      <c r="F988" s="716" t="n"/>
      <c r="G988" s="716" t="n"/>
      <c r="H988" s="462" t="n"/>
    </row>
    <row r="989">
      <c r="A989" s="672" t="inlineStr">
        <is>
          <t>E100305H</t>
        </is>
      </c>
      <c r="B989" s="767">
        <f>ROW()</f>
        <v/>
      </c>
      <c r="C989" s="182" t="inlineStr">
        <is>
          <t>北京金泰之家通华苑饭店有限公司（母公司）</t>
        </is>
      </c>
      <c r="D989" s="182" t="inlineStr">
        <is>
          <t>ZI029E100293</t>
        </is>
      </c>
      <c r="E989" s="182" t="inlineStr">
        <is>
          <t>北京京能酒店管理有限公司</t>
        </is>
      </c>
      <c r="F989" s="716" t="n"/>
      <c r="G989" s="716" t="n"/>
      <c r="H989" s="462" t="n"/>
    </row>
    <row r="990">
      <c r="A990" s="672" t="inlineStr">
        <is>
          <t>E100306H</t>
        </is>
      </c>
      <c r="B990" s="767">
        <f>ROW()</f>
        <v/>
      </c>
      <c r="C990" s="182" t="inlineStr">
        <is>
          <t>宁夏京能创业房地产开发有限公司（汇总）</t>
        </is>
      </c>
      <c r="D990" s="182" t="inlineStr">
        <is>
          <t>ZI029E100268</t>
        </is>
      </c>
      <c r="E990" s="182" t="inlineStr">
        <is>
          <t>北京京煤集团有限责任公司</t>
        </is>
      </c>
      <c r="F990" s="716" t="n"/>
      <c r="G990" s="716" t="n"/>
      <c r="H990" s="462" t="n"/>
    </row>
    <row r="991">
      <c r="A991" s="672" t="inlineStr">
        <is>
          <t>E100314H</t>
        </is>
      </c>
      <c r="B991" s="767">
        <f>ROW()</f>
        <v/>
      </c>
      <c r="C991" s="182" t="inlineStr">
        <is>
          <t>北京金泰恒业燃料有限公司（汇总）</t>
        </is>
      </c>
      <c r="D991" s="182" t="inlineStr">
        <is>
          <t>ZI029E100353</t>
        </is>
      </c>
      <c r="E991" s="182" t="inlineStr">
        <is>
          <t>北京京能房产租赁经营有限责任公司</t>
        </is>
      </c>
      <c r="F991" s="716" t="n"/>
      <c r="G991" s="716" t="n"/>
      <c r="H991" s="462" t="n"/>
    </row>
    <row r="992">
      <c r="A992" s="672" t="inlineStr">
        <is>
          <t>E100320G</t>
        </is>
      </c>
      <c r="B992" s="767">
        <f>ROW()</f>
        <v/>
      </c>
      <c r="C992" s="182" t="inlineStr">
        <is>
          <t>北京市天创房地产开发有限公司（合并）</t>
        </is>
      </c>
      <c r="D992" s="182" t="inlineStr">
        <is>
          <t>ZI029E100268</t>
        </is>
      </c>
      <c r="E992" s="182" t="inlineStr">
        <is>
          <t>北京京煤集团有限责任公司</t>
        </is>
      </c>
      <c r="F992" s="716" t="n"/>
      <c r="G992" s="716" t="n"/>
      <c r="H992" s="462" t="n"/>
    </row>
    <row r="993">
      <c r="A993" s="672" t="inlineStr">
        <is>
          <t>E100326H</t>
        </is>
      </c>
      <c r="B993" s="767">
        <f>ROW()</f>
        <v/>
      </c>
      <c r="C993" s="182" t="inlineStr">
        <is>
          <t>北京金泰通华商贸有限责任公司（汇总）</t>
        </is>
      </c>
      <c r="D993" s="182" t="inlineStr">
        <is>
          <t>ZI029E100353</t>
        </is>
      </c>
      <c r="E993" s="182" t="inlineStr">
        <is>
          <t>北京京能房产租赁经营有限责任公司</t>
        </is>
      </c>
      <c r="F993" s="716" t="n"/>
      <c r="G993" s="716" t="n"/>
      <c r="H993" s="462" t="n"/>
    </row>
    <row r="994">
      <c r="A994" s="672" t="inlineStr">
        <is>
          <t>E100344H</t>
        </is>
      </c>
      <c r="B994" s="767">
        <f>ROW()</f>
        <v/>
      </c>
      <c r="C994" s="182" t="inlineStr">
        <is>
          <t>北京京煤集团总医院（汇总）</t>
        </is>
      </c>
      <c r="D994" s="182" t="inlineStr">
        <is>
          <t>ZI029E100704</t>
        </is>
      </c>
      <c r="E994" s="182" t="inlineStr">
        <is>
          <t>北京京润仁康控股有限公司</t>
        </is>
      </c>
      <c r="F994" s="716" t="n"/>
      <c r="G994" s="716" t="n"/>
      <c r="H994" s="462" t="n"/>
    </row>
    <row r="995">
      <c r="A995" s="672" t="inlineStr">
        <is>
          <t>E100353G</t>
        </is>
      </c>
      <c r="B995" s="767">
        <f>ROW()</f>
        <v/>
      </c>
      <c r="C995" s="182" t="inlineStr">
        <is>
          <t>北京京能房产租赁经营有限责任公司（合并）</t>
        </is>
      </c>
      <c r="D995" s="182" t="inlineStr">
        <is>
          <t>ZI029E100268</t>
        </is>
      </c>
      <c r="E995" s="182" t="inlineStr">
        <is>
          <t>北京京煤集团有限责任公司</t>
        </is>
      </c>
      <c r="F995" s="716" t="n"/>
      <c r="G995" s="716" t="n"/>
      <c r="H995" s="462" t="n"/>
    </row>
    <row r="996">
      <c r="A996" s="672" t="inlineStr">
        <is>
          <t>E100353H</t>
        </is>
      </c>
      <c r="B996" s="767">
        <f>ROW()</f>
        <v/>
      </c>
      <c r="C996" s="182" t="inlineStr">
        <is>
          <t>北京京能房产租赁经营有限责任公司（母公司）</t>
        </is>
      </c>
      <c r="D996" s="182" t="inlineStr">
        <is>
          <t>ZI029E100268</t>
        </is>
      </c>
      <c r="E996" s="182" t="inlineStr">
        <is>
          <t>北京京煤集团有限责任公司</t>
        </is>
      </c>
      <c r="F996" s="716" t="n"/>
      <c r="G996" s="716" t="n"/>
      <c r="H996" s="462" t="n"/>
    </row>
    <row r="997">
      <c r="A997" s="672" t="inlineStr">
        <is>
          <t>E100362H</t>
        </is>
      </c>
      <c r="B997" s="767">
        <f>ROW()</f>
        <v/>
      </c>
      <c r="C997" s="182" t="inlineStr">
        <is>
          <t>北京金泰物业管理有限公司（汇总）</t>
        </is>
      </c>
      <c r="D997" s="182" t="inlineStr">
        <is>
          <t>ZI029E100268</t>
        </is>
      </c>
      <c r="E997" s="182" t="inlineStr">
        <is>
          <t>北京京煤集团有限责任公司</t>
        </is>
      </c>
      <c r="F997" s="716" t="n"/>
      <c r="G997" s="716" t="n"/>
      <c r="H997" s="462" t="n"/>
    </row>
    <row r="998">
      <c r="A998" s="672" t="inlineStr">
        <is>
          <t>E100371G</t>
        </is>
      </c>
      <c r="B998" s="767">
        <f>ROW()</f>
        <v/>
      </c>
      <c r="C998" s="182" t="inlineStr">
        <is>
          <t>北京京能科技有限公司（合并）</t>
        </is>
      </c>
      <c r="D998" s="182" t="inlineStr">
        <is>
          <t>ZI029E100000</t>
        </is>
      </c>
      <c r="E998" s="182" t="inlineStr">
        <is>
          <t>北京能源集团有限责任公司</t>
        </is>
      </c>
      <c r="F998" s="716" t="n"/>
      <c r="G998" s="716" t="n"/>
      <c r="H998" s="462" t="n"/>
    </row>
    <row r="999">
      <c r="A999" s="672" t="inlineStr">
        <is>
          <t>E100405G</t>
        </is>
      </c>
      <c r="B999" s="767">
        <f>ROW()</f>
        <v/>
      </c>
      <c r="C999" s="182" t="inlineStr">
        <is>
          <t>北京高新技术创业投资有限公司（合并）</t>
        </is>
      </c>
      <c r="D999" s="182" t="inlineStr">
        <is>
          <t>ZI029E100000</t>
        </is>
      </c>
      <c r="E999" s="182" t="inlineStr">
        <is>
          <t>北京能源集团有限责任公司</t>
        </is>
      </c>
      <c r="F999" s="716" t="n"/>
      <c r="G999" s="716" t="n"/>
      <c r="H999" s="462" t="n"/>
    </row>
    <row r="1000">
      <c r="A1000" s="672" t="inlineStr">
        <is>
          <t>E100421G</t>
        </is>
      </c>
      <c r="B1000" s="767">
        <f>ROW()</f>
        <v/>
      </c>
      <c r="C1000" s="182" t="inlineStr">
        <is>
          <t>北京金泰房地产开发有限责任公司（合并）</t>
        </is>
      </c>
      <c r="D1000" s="182" t="inlineStr">
        <is>
          <t>ZI029E100000</t>
        </is>
      </c>
      <c r="E1000" s="182" t="inlineStr">
        <is>
          <t>北京能源集团有限责任公司</t>
        </is>
      </c>
      <c r="F1000" s="716" t="n"/>
      <c r="G1000" s="716" t="n"/>
      <c r="H1000" s="462" t="n"/>
    </row>
    <row r="1001">
      <c r="A1001" s="672" t="inlineStr">
        <is>
          <t>E100421H</t>
        </is>
      </c>
      <c r="B1001" s="767">
        <f>ROW()</f>
        <v/>
      </c>
      <c r="C1001" s="182" t="inlineStr">
        <is>
          <t>北京金泰房地产开发有限责任公司（母公司）</t>
        </is>
      </c>
      <c r="D1001" s="182" t="inlineStr">
        <is>
          <t>ZI029E100000</t>
        </is>
      </c>
      <c r="E1001" s="182" t="inlineStr">
        <is>
          <t>北京能源集团有限责任公司</t>
        </is>
      </c>
      <c r="F1001" s="716" t="n"/>
      <c r="G1001" s="716" t="n"/>
      <c r="H1001" s="462" t="n"/>
    </row>
    <row r="1002">
      <c r="A1002" s="672" t="inlineStr">
        <is>
          <t>E100422G</t>
        </is>
      </c>
      <c r="B1002" s="767">
        <f>ROW()</f>
        <v/>
      </c>
      <c r="C1002" s="182" t="inlineStr">
        <is>
          <t>北京京能建设集团有限公司（合并）</t>
        </is>
      </c>
      <c r="D1002" s="182" t="inlineStr">
        <is>
          <t>ZI029E100000</t>
        </is>
      </c>
      <c r="E1002" s="182" t="inlineStr">
        <is>
          <t>北京能源集团有限责任公司</t>
        </is>
      </c>
      <c r="F1002" s="716" t="n"/>
      <c r="G1002" s="716" t="n"/>
      <c r="H1002" s="462" t="n"/>
    </row>
    <row r="1003">
      <c r="A1003" s="672" t="inlineStr">
        <is>
          <t>E100433H</t>
        </is>
      </c>
      <c r="B1003" s="767">
        <f>ROW()</f>
        <v/>
      </c>
      <c r="C1003" s="182" t="inlineStr">
        <is>
          <t>北京丽富房地产开发有限公司（汇总）</t>
        </is>
      </c>
      <c r="D1003" s="182" t="inlineStr">
        <is>
          <t>ZI029E100420</t>
        </is>
      </c>
      <c r="E1003" s="182" t="inlineStr">
        <is>
          <t>京能置业股份有限公司</t>
        </is>
      </c>
      <c r="F1003" s="716" t="n"/>
      <c r="G1003" s="716" t="n"/>
      <c r="H1003" s="462" t="n"/>
    </row>
    <row r="1004">
      <c r="A1004" s="672" t="inlineStr">
        <is>
          <t>E100448H</t>
        </is>
      </c>
      <c r="B1004" s="767">
        <f>ROW()</f>
        <v/>
      </c>
      <c r="C1004" s="182" t="inlineStr">
        <is>
          <t>北京金泰卓越物业管理有限公司（汇总）</t>
        </is>
      </c>
      <c r="D1004" s="182" t="inlineStr">
        <is>
          <t>ZI029E100421</t>
        </is>
      </c>
      <c r="E1004" s="182" t="inlineStr">
        <is>
          <t>北京金泰房地产开发有限责任公司</t>
        </is>
      </c>
      <c r="F1004" s="716" t="n"/>
      <c r="G1004" s="716" t="n"/>
      <c r="H1004" s="462" t="n"/>
    </row>
    <row r="1005">
      <c r="A1005" s="672" t="inlineStr">
        <is>
          <t>E100543G</t>
        </is>
      </c>
      <c r="B1005" s="767">
        <f>ROW()</f>
        <v/>
      </c>
      <c r="C1005" s="182" t="inlineStr">
        <is>
          <t>北京京能清洁能源电力股份（香港）有限公司（合并）</t>
        </is>
      </c>
      <c r="D1005" s="182" t="inlineStr">
        <is>
          <t>ZI029E100001</t>
        </is>
      </c>
      <c r="E1005" s="182" t="inlineStr">
        <is>
          <t>北京京能清洁能源电力股份有限公司</t>
        </is>
      </c>
      <c r="F1005" s="716" t="n"/>
      <c r="G1005" s="716" t="n"/>
      <c r="H1005" s="462" t="n"/>
    </row>
    <row r="1006">
      <c r="A1006" s="672" t="inlineStr">
        <is>
          <t>E100559G</t>
        </is>
      </c>
      <c r="B1006" s="767">
        <f>ROW()</f>
        <v/>
      </c>
      <c r="C1006" s="182" t="inlineStr">
        <is>
          <t>北京能源投资集团（香港）有限公司（合并）</t>
        </is>
      </c>
      <c r="D1006" s="182" t="inlineStr">
        <is>
          <t>ZI029E100000</t>
        </is>
      </c>
      <c r="E1006" s="182" t="inlineStr">
        <is>
          <t>北京能源集团有限责任公司</t>
        </is>
      </c>
      <c r="F1006" s="716" t="n"/>
      <c r="G1006" s="716" t="n"/>
      <c r="H1006" s="462" t="n"/>
    </row>
    <row r="1007">
      <c r="A1007" s="672" t="inlineStr">
        <is>
          <t>E100561G</t>
        </is>
      </c>
      <c r="B1007" s="767">
        <f>ROW()</f>
        <v/>
      </c>
      <c r="C1007" s="182" t="inlineStr">
        <is>
          <t>北京京能清洁能源（澳洲）控股有限公司（合并）</t>
        </is>
      </c>
      <c r="D1007" s="182" t="inlineStr">
        <is>
          <t>ZI029E100543</t>
        </is>
      </c>
      <c r="E1007" s="182" t="inlineStr">
        <is>
          <t>北京京能清洁能源电力股份（香港）有限公司</t>
        </is>
      </c>
      <c r="F1007" s="716" t="n"/>
      <c r="G1007" s="716" t="n"/>
      <c r="H1007" s="462" t="n"/>
    </row>
    <row r="1008">
      <c r="A1008" s="672" t="inlineStr">
        <is>
          <t>E100708G</t>
        </is>
      </c>
      <c r="B1008" s="767">
        <f>ROW()</f>
        <v/>
      </c>
      <c r="C1008" s="182" t="inlineStr">
        <is>
          <t>河北融智新源电力有限公司（合并）</t>
        </is>
      </c>
      <c r="D1008" s="182" t="inlineStr">
        <is>
          <t>ZI029E100001</t>
        </is>
      </c>
      <c r="E1008" s="182" t="inlineStr">
        <is>
          <t>北京京能清洁能源电力股份有限公司</t>
        </is>
      </c>
      <c r="F1008" s="716" t="n"/>
      <c r="G1008" s="716" t="n"/>
      <c r="H1008" s="462" t="n"/>
    </row>
    <row r="1009">
      <c r="A1009" s="672" t="inlineStr">
        <is>
          <t>E100711G</t>
        </is>
      </c>
      <c r="B1009" s="767">
        <f>ROW()</f>
        <v/>
      </c>
      <c r="C1009" s="182" t="inlineStr">
        <is>
          <t>鄂托克前旗晟日新能源科技有限公司（合并）</t>
        </is>
      </c>
      <c r="D1009" s="182" t="inlineStr">
        <is>
          <t>ZI029E100001</t>
        </is>
      </c>
      <c r="E1009" s="182" t="inlineStr">
        <is>
          <t>北京京能清洁能源电力股份有限公司</t>
        </is>
      </c>
      <c r="F1009" s="716" t="n"/>
      <c r="G1009" s="716" t="n"/>
      <c r="H1009" s="462" t="n"/>
    </row>
    <row r="1010">
      <c r="A1010" s="672" t="inlineStr">
        <is>
          <t>E100730G</t>
        </is>
      </c>
      <c r="B1010" s="767">
        <f>ROW()</f>
        <v/>
      </c>
      <c r="C1010" s="182" t="inlineStr">
        <is>
          <t>京能国际能源发展（北京）有限公司（合并）</t>
        </is>
      </c>
      <c r="D1010" s="182" t="inlineStr">
        <is>
          <t>ZI029E100883</t>
        </is>
      </c>
      <c r="E1010" s="182" t="inlineStr">
        <is>
          <t>Beijing Energy International Investment Limited</t>
        </is>
      </c>
      <c r="F1010" s="716" t="n"/>
      <c r="G1010" s="716" t="n"/>
      <c r="H1010" s="462" t="n"/>
    </row>
    <row r="1011">
      <c r="A1011" s="672" t="inlineStr">
        <is>
          <t>E100735G</t>
        </is>
      </c>
      <c r="B1011" s="767">
        <f>ROW()</f>
        <v/>
      </c>
      <c r="C1011" s="182" t="inlineStr">
        <is>
          <t>内蒙古京能新能源科技有限公司（合并）</t>
        </is>
      </c>
      <c r="D1011" s="182" t="inlineStr">
        <is>
          <t>ZI029E100963</t>
        </is>
      </c>
      <c r="E1011" s="182" t="inlineStr">
        <is>
          <t>丝绸之路新能源（常州）有限公司</t>
        </is>
      </c>
      <c r="F1011" s="716" t="n"/>
      <c r="G1011" s="716" t="n"/>
      <c r="H1011" s="462" t="n"/>
    </row>
    <row r="1012">
      <c r="A1012" s="672" t="inlineStr">
        <is>
          <t>E100737G</t>
        </is>
      </c>
      <c r="B1012" s="767">
        <f>ROW()</f>
        <v/>
      </c>
      <c r="C1012" s="182" t="inlineStr">
        <is>
          <t>四川联合光伏有限公司（合并）</t>
        </is>
      </c>
      <c r="D1012" s="182" t="inlineStr">
        <is>
          <t>ZI029E100963</t>
        </is>
      </c>
      <c r="E1012" s="182" t="inlineStr">
        <is>
          <t>丝绸之路新能源（常州）有限公司</t>
        </is>
      </c>
      <c r="F1012" s="716" t="n"/>
      <c r="G1012" s="716" t="n"/>
      <c r="H1012" s="462" t="n"/>
    </row>
    <row r="1013">
      <c r="A1013" s="672" t="inlineStr">
        <is>
          <t>E100764G</t>
        </is>
      </c>
      <c r="B1013" s="767">
        <f>ROW()</f>
        <v/>
      </c>
      <c r="C1013" s="182" t="inlineStr">
        <is>
          <t>联合光伏（深圳）有限公司（合并）</t>
        </is>
      </c>
      <c r="D1013" s="182" t="inlineStr">
        <is>
          <t>ZI029E100883</t>
        </is>
      </c>
      <c r="E1013" s="182" t="inlineStr">
        <is>
          <t>Beijing Energy International Investment Limited</t>
        </is>
      </c>
      <c r="F1013" s="716" t="n"/>
      <c r="G1013" s="716" t="n"/>
      <c r="H1013" s="462" t="n"/>
    </row>
    <row r="1014">
      <c r="A1014" s="672" t="inlineStr">
        <is>
          <t>E100776G</t>
        </is>
      </c>
      <c r="B1014" s="767">
        <f>ROW()</f>
        <v/>
      </c>
      <c r="C1014" s="182" t="inlineStr">
        <is>
          <t>北京健康养老集团有限公司（合并）</t>
        </is>
      </c>
      <c r="D1014" s="182" t="inlineStr">
        <is>
          <t>ZI029E100000</t>
        </is>
      </c>
      <c r="E1014" s="182" t="inlineStr">
        <is>
          <t>北京能源集团有限责任公司</t>
        </is>
      </c>
      <c r="F1014" s="716" t="n"/>
      <c r="G1014" s="716" t="n"/>
      <c r="H1014" s="462" t="n"/>
    </row>
    <row r="1015">
      <c r="A1015" s="672" t="inlineStr">
        <is>
          <t>E100781G</t>
        </is>
      </c>
      <c r="B1015" s="767">
        <f>ROW()</f>
        <v/>
      </c>
      <c r="C1015" s="182" t="inlineStr">
        <is>
          <t>广东辉宇新能源投资有限公司（合并）</t>
        </is>
      </c>
      <c r="D1015" s="182" t="inlineStr">
        <is>
          <t>ZI029E100001</t>
        </is>
      </c>
      <c r="E1015" s="182" t="inlineStr">
        <is>
          <t>北京京能清洁能源电力股份有限公司</t>
        </is>
      </c>
      <c r="F1015" s="716" t="n"/>
      <c r="G1015" s="716" t="n"/>
      <c r="H1015" s="462" t="n"/>
    </row>
    <row r="1016">
      <c r="A1016" s="672" t="inlineStr">
        <is>
          <t>E100793G</t>
        </is>
      </c>
      <c r="B1016" s="767">
        <f>ROW()</f>
        <v/>
      </c>
      <c r="C1016" s="182" t="inlineStr">
        <is>
          <t>张家口风沐新能源有限公司（合并）</t>
        </is>
      </c>
      <c r="D1016" s="182" t="inlineStr">
        <is>
          <t>ZI029E100001</t>
        </is>
      </c>
      <c r="E1016" s="182" t="inlineStr">
        <is>
          <t>北京京能清洁能源电力股份有限公司</t>
        </is>
      </c>
      <c r="F1016" s="716" t="n"/>
      <c r="G1016" s="716" t="n"/>
      <c r="H1016" s="462" t="n"/>
    </row>
    <row r="1017">
      <c r="A1017" s="672" t="inlineStr">
        <is>
          <t>E100814G</t>
        </is>
      </c>
      <c r="B1017" s="767">
        <f>ROW()</f>
        <v/>
      </c>
      <c r="C1017" s="182" t="inlineStr">
        <is>
          <t>北京诚和敬投资有限责任公司（合并）</t>
        </is>
      </c>
      <c r="D1017" s="182" t="inlineStr">
        <is>
          <t>ZI029E100776</t>
        </is>
      </c>
      <c r="E1017" s="182" t="inlineStr">
        <is>
          <t>北京健康养老集团有限公司</t>
        </is>
      </c>
      <c r="F1017" s="716" t="n"/>
      <c r="G1017" s="716" t="n"/>
      <c r="H1017" s="462" t="n"/>
    </row>
    <row r="1018">
      <c r="A1018" s="672" t="inlineStr">
        <is>
          <t>E100864G</t>
        </is>
      </c>
      <c r="B1018" s="767">
        <f>ROW()</f>
        <v/>
      </c>
      <c r="C1018" s="182" t="inlineStr">
        <is>
          <t>西藏中自新能源技术有限公司（合并）</t>
        </is>
      </c>
      <c r="D1018" s="182" t="inlineStr">
        <is>
          <t>ZI029E100735</t>
        </is>
      </c>
      <c r="E1018" s="182" t="inlineStr">
        <is>
          <t>内蒙古京能新能源科技有限公司</t>
        </is>
      </c>
      <c r="F1018" s="716" t="n"/>
      <c r="G1018" s="716" t="n"/>
      <c r="H1018" s="462" t="n"/>
    </row>
    <row r="1019">
      <c r="A1019" s="672" t="inlineStr">
        <is>
          <t>E100881G</t>
        </is>
      </c>
      <c r="B1019" s="767">
        <f>ROW()</f>
        <v/>
      </c>
      <c r="C1019" s="182" t="inlineStr">
        <is>
          <t>China Solar Power Group Limited（合并）</t>
        </is>
      </c>
      <c r="D1019" s="182" t="inlineStr">
        <is>
          <t>ZI029E100747</t>
        </is>
      </c>
      <c r="E1019" s="182" t="inlineStr">
        <is>
          <t>北京能源国际控股有限公司</t>
        </is>
      </c>
      <c r="F1019" s="716" t="n"/>
      <c r="G1019" s="716" t="n"/>
      <c r="H1019" s="462" t="n"/>
    </row>
    <row r="1020">
      <c r="A1020" s="672" t="inlineStr">
        <is>
          <t>E100882G</t>
        </is>
      </c>
      <c r="B1020" s="767">
        <f>ROW()</f>
        <v/>
      </c>
      <c r="C1020" s="182" t="inlineStr">
        <is>
          <t>China Technology New Energy Limited（合并）</t>
        </is>
      </c>
      <c r="D1020" s="182" t="inlineStr">
        <is>
          <t>ZI029E100881</t>
        </is>
      </c>
      <c r="E1020" s="182" t="inlineStr">
        <is>
          <t>China Solar Power Group Limited</t>
        </is>
      </c>
      <c r="F1020" s="716" t="n"/>
      <c r="G1020" s="716" t="n"/>
      <c r="H1020" s="462" t="n"/>
    </row>
    <row r="1021">
      <c r="A1021" s="672" t="inlineStr">
        <is>
          <t>E100883G</t>
        </is>
      </c>
      <c r="B1021" s="767">
        <f>ROW()</f>
        <v/>
      </c>
      <c r="C1021" s="182" t="inlineStr">
        <is>
          <t>Beijing Energy International Investment Limited（合并）</t>
        </is>
      </c>
      <c r="D1021" s="182" t="inlineStr">
        <is>
          <t>ZI029E100882</t>
        </is>
      </c>
      <c r="E1021" s="182" t="inlineStr">
        <is>
          <t>China Technology New Energy Limited</t>
        </is>
      </c>
      <c r="F1021" s="716" t="n"/>
      <c r="G1021" s="716" t="n"/>
      <c r="H1021" s="462" t="n"/>
    </row>
    <row r="1022">
      <c r="A1022" s="672" t="inlineStr">
        <is>
          <t>E100889G</t>
        </is>
      </c>
      <c r="B1022" s="767">
        <f>ROW()</f>
        <v/>
      </c>
      <c r="C1022" s="182" t="inlineStr">
        <is>
          <t>京能（德城区）新能源科技有限公司（合并）</t>
        </is>
      </c>
      <c r="D1022" s="182" t="inlineStr">
        <is>
          <t>ZI029E100883</t>
        </is>
      </c>
      <c r="E1022" s="182" t="inlineStr">
        <is>
          <t>Beijing Energy International Investment Limited</t>
        </is>
      </c>
      <c r="F1022" s="716" t="n"/>
      <c r="G1022" s="716" t="n"/>
      <c r="H1022" s="462" t="n"/>
    </row>
    <row r="1023">
      <c r="A1023" s="672" t="inlineStr">
        <is>
          <t>E100902G</t>
        </is>
      </c>
      <c r="B1023" s="767">
        <f>ROW()</f>
        <v/>
      </c>
      <c r="C1023" s="182" t="inlineStr">
        <is>
          <t>张家口丝绸之路新能源有限公司（合并）</t>
        </is>
      </c>
      <c r="D1023" s="182" t="inlineStr">
        <is>
          <t>ZI029E100730</t>
        </is>
      </c>
      <c r="E1023" s="182" t="inlineStr">
        <is>
          <t>京能国际能源发展（北京）有限公司</t>
        </is>
      </c>
      <c r="F1023" s="716" t="n"/>
      <c r="G1023" s="716" t="n"/>
      <c r="H1023" s="462" t="n"/>
    </row>
    <row r="1024">
      <c r="A1024" s="672" t="inlineStr">
        <is>
          <t>E100909G</t>
        </is>
      </c>
      <c r="B1024" s="767">
        <f>ROW()</f>
        <v/>
      </c>
      <c r="C1024" s="182" t="inlineStr">
        <is>
          <t>六安华钦新能源有限公司（合并）</t>
        </is>
      </c>
      <c r="D1024" s="182" t="inlineStr">
        <is>
          <t>ZI029E100730</t>
        </is>
      </c>
      <c r="E1024" s="182" t="inlineStr">
        <is>
          <t>京能国际能源发展（北京）有限公司</t>
        </is>
      </c>
      <c r="F1024" s="716" t="n"/>
      <c r="G1024" s="716" t="n"/>
      <c r="H1024" s="462" t="n"/>
    </row>
    <row r="1025">
      <c r="A1025" s="672" t="inlineStr">
        <is>
          <t>E100932G</t>
        </is>
      </c>
      <c r="B1025" s="767">
        <f>ROW()</f>
        <v/>
      </c>
      <c r="C1025" s="182" t="inlineStr">
        <is>
          <t>青海思迅新能源有限公司（合并）</t>
        </is>
      </c>
      <c r="D1025" s="182" t="inlineStr">
        <is>
          <t>ZI029E100730</t>
        </is>
      </c>
      <c r="E1025" s="182" t="inlineStr">
        <is>
          <t>京能国际能源发展（北京）有限公司</t>
        </is>
      </c>
      <c r="F1025" s="716" t="n"/>
      <c r="G1025" s="716" t="n"/>
      <c r="H1025" s="462" t="n"/>
    </row>
    <row r="1026">
      <c r="A1026" s="672" t="inlineStr">
        <is>
          <t>E100944G</t>
        </is>
      </c>
      <c r="B1026" s="767">
        <f>ROW()</f>
        <v/>
      </c>
      <c r="C1026" s="182" t="inlineStr">
        <is>
          <t>招新诺能（常州）新能源有限公司（合并）</t>
        </is>
      </c>
      <c r="D1026" s="182" t="inlineStr">
        <is>
          <t>ZI029E100730</t>
        </is>
      </c>
      <c r="E1026" s="182" t="inlineStr">
        <is>
          <t>京能国际能源发展（北京）有限公司</t>
        </is>
      </c>
      <c r="F1026" s="716" t="n"/>
      <c r="G1026" s="716" t="n"/>
      <c r="H1026" s="462" t="n"/>
    </row>
    <row r="1027">
      <c r="A1027" s="672" t="inlineStr">
        <is>
          <t>E100950G</t>
        </is>
      </c>
      <c r="B1027" s="767">
        <f>ROW()</f>
        <v/>
      </c>
      <c r="C1027" s="182" t="inlineStr">
        <is>
          <t>内蒙古明华新能源股份有限公司（合并）</t>
        </is>
      </c>
      <c r="D1027" s="182" t="inlineStr">
        <is>
          <t>ZI029E100735</t>
        </is>
      </c>
      <c r="E1027" s="182" t="inlineStr">
        <is>
          <t>内蒙古京能新能源科技有限公司</t>
        </is>
      </c>
      <c r="F1027" s="716" t="n"/>
      <c r="G1027" s="716" t="n"/>
      <c r="H1027" s="462" t="n"/>
    </row>
    <row r="1028">
      <c r="A1028" s="672" t="inlineStr">
        <is>
          <t>E100952G</t>
        </is>
      </c>
      <c r="B1028" s="767">
        <f>ROW()</f>
        <v/>
      </c>
      <c r="C1028" s="182" t="inlineStr">
        <is>
          <t>呼和浩特市联合新能源开发有限公司（合并）</t>
        </is>
      </c>
      <c r="D1028" s="182" t="inlineStr">
        <is>
          <t>ZI029E100950</t>
        </is>
      </c>
      <c r="E1028" s="182" t="inlineStr">
        <is>
          <t>内蒙古明华新能源股份有限公司</t>
        </is>
      </c>
      <c r="F1028" s="716" t="n"/>
      <c r="G1028" s="716" t="n"/>
      <c r="H1028" s="462" t="n"/>
    </row>
    <row r="1029">
      <c r="A1029" s="672" t="inlineStr">
        <is>
          <t>E100955G</t>
        </is>
      </c>
      <c r="B1029" s="767">
        <f>ROW()</f>
        <v/>
      </c>
      <c r="C1029" s="182" t="inlineStr">
        <is>
          <t>常州鼎晖新能源有限公司（汇总）</t>
        </is>
      </c>
      <c r="D1029" s="182" t="inlineStr">
        <is>
          <t>ZI029E100734</t>
        </is>
      </c>
      <c r="E1029" s="182" t="inlineStr">
        <is>
          <t>联合光伏（常州）投资集团有限公司</t>
        </is>
      </c>
      <c r="F1029" s="716" t="n"/>
      <c r="G1029" s="716" t="n"/>
      <c r="H1029" s="462" t="n"/>
    </row>
    <row r="1030">
      <c r="A1030" s="672" t="inlineStr">
        <is>
          <t>E100956G</t>
        </is>
      </c>
      <c r="B1030" s="767">
        <f>ROW()</f>
        <v/>
      </c>
      <c r="C1030" s="182" t="inlineStr">
        <is>
          <t>常州光昱新能源有限公司（汇总）</t>
        </is>
      </c>
      <c r="D1030" s="182" t="inlineStr">
        <is>
          <t>ZI029E100734</t>
        </is>
      </c>
      <c r="E1030" s="182" t="inlineStr">
        <is>
          <t>联合光伏（常州）投资集团有限公司</t>
        </is>
      </c>
      <c r="F1030" s="716" t="n"/>
      <c r="G1030" s="716" t="n"/>
      <c r="H1030" s="462" t="n"/>
    </row>
    <row r="1031">
      <c r="A1031" s="672" t="inlineStr">
        <is>
          <t>E100957G</t>
        </is>
      </c>
      <c r="B1031" s="767">
        <f>ROW()</f>
        <v/>
      </c>
      <c r="C1031" s="182" t="inlineStr">
        <is>
          <t>常州市招联绿达新能源有限公司（合并）</t>
        </is>
      </c>
      <c r="D1031" s="182" t="inlineStr">
        <is>
          <t>ZI029E100734</t>
        </is>
      </c>
      <c r="E1031" s="182" t="inlineStr">
        <is>
          <t>联合光伏（常州）投资集团有限公司</t>
        </is>
      </c>
      <c r="F1031" s="716" t="n"/>
      <c r="G1031" s="716" t="n"/>
      <c r="H1031" s="462" t="n"/>
    </row>
    <row r="1032">
      <c r="A1032" s="672" t="inlineStr">
        <is>
          <t>E100958G</t>
        </is>
      </c>
      <c r="B1032" s="767">
        <f>ROW()</f>
        <v/>
      </c>
      <c r="C1032" s="182" t="inlineStr">
        <is>
          <t>常州市招联绿港新能源有限公司（合并）</t>
        </is>
      </c>
      <c r="D1032" s="182" t="inlineStr">
        <is>
          <t>ZI029E100734</t>
        </is>
      </c>
      <c r="E1032" s="182" t="inlineStr">
        <is>
          <t>联合光伏（常州）投资集团有限公司</t>
        </is>
      </c>
      <c r="F1032" s="716" t="n"/>
      <c r="G1032" s="716" t="n"/>
      <c r="H1032" s="462" t="n"/>
    </row>
    <row r="1033">
      <c r="A1033" s="672" t="inlineStr">
        <is>
          <t>E100960G</t>
        </is>
      </c>
      <c r="B1033" s="767">
        <f>ROW()</f>
        <v/>
      </c>
      <c r="C1033" s="182" t="inlineStr">
        <is>
          <t>常州市晖达新能源有限公司（合并）</t>
        </is>
      </c>
      <c r="D1033" s="182" t="inlineStr">
        <is>
          <t>ZI029E100958</t>
        </is>
      </c>
      <c r="E1033" s="182" t="inlineStr">
        <is>
          <t>常州市招联绿港新能源有限公司</t>
        </is>
      </c>
      <c r="F1033" s="716" t="n"/>
      <c r="G1033" s="716" t="n"/>
      <c r="H1033" s="462" t="n"/>
    </row>
    <row r="1034">
      <c r="A1034" s="672" t="inlineStr">
        <is>
          <t>E100961G</t>
        </is>
      </c>
      <c r="B1034" s="767">
        <f>ROW()</f>
        <v/>
      </c>
      <c r="C1034" s="182" t="inlineStr">
        <is>
          <t>惠州市晟合光电科技有限公司（合并）</t>
        </is>
      </c>
      <c r="D1034" s="182" t="inlineStr">
        <is>
          <t>ZI029E100960</t>
        </is>
      </c>
      <c r="E1034" s="182" t="inlineStr">
        <is>
          <t>常州市晖达新能源有限公司</t>
        </is>
      </c>
      <c r="F1034" s="716" t="n"/>
      <c r="G1034" s="716" t="n"/>
      <c r="H1034" s="462" t="n"/>
    </row>
    <row r="1035">
      <c r="A1035" s="672" t="inlineStr">
        <is>
          <t>E100963G</t>
        </is>
      </c>
      <c r="B1035" s="767">
        <f>ROW()</f>
        <v/>
      </c>
      <c r="C1035" s="182" t="inlineStr">
        <is>
          <t>丝绸之路新能源（常州）有限公司（合并）</t>
        </is>
      </c>
      <c r="D1035" s="182" t="inlineStr">
        <is>
          <t>ZI029E100734</t>
        </is>
      </c>
      <c r="E1035" s="182" t="inlineStr">
        <is>
          <t>联合光伏（常州）投资集团有限公司</t>
        </is>
      </c>
      <c r="F1035" s="716" t="n"/>
      <c r="G1035" s="716" t="n"/>
      <c r="H1035" s="462" t="n"/>
    </row>
    <row r="1036">
      <c r="A1036" s="672" t="inlineStr">
        <is>
          <t>E100973G</t>
        </is>
      </c>
      <c r="B1036" s="767">
        <f>ROW()</f>
        <v/>
      </c>
      <c r="C1036" s="182" t="inlineStr">
        <is>
          <t>察右前旗联合光伏发电有限公司（合并）</t>
        </is>
      </c>
      <c r="D1036" s="182" t="inlineStr">
        <is>
          <t>ZI029E100735</t>
        </is>
      </c>
      <c r="E1036" s="182" t="inlineStr">
        <is>
          <t>内蒙古京能新能源科技有限公司</t>
        </is>
      </c>
      <c r="F1036" s="716" t="n"/>
      <c r="G1036" s="716" t="n"/>
      <c r="H1036" s="462" t="n"/>
    </row>
    <row r="1037">
      <c r="A1037" s="672" t="inlineStr">
        <is>
          <t>E100978G</t>
        </is>
      </c>
      <c r="B1037" s="767">
        <f>ROW()</f>
        <v/>
      </c>
      <c r="C1037" s="182" t="inlineStr">
        <is>
          <t>常州市招联绿新新能源有限公司（合并）</t>
        </is>
      </c>
      <c r="D1037" s="182" t="inlineStr">
        <is>
          <t>ZI029E100734</t>
        </is>
      </c>
      <c r="E1037" s="182" t="inlineStr">
        <is>
          <t>联合光伏（常州）投资集团有限公司</t>
        </is>
      </c>
      <c r="F1037" s="716" t="n"/>
      <c r="G1037" s="716" t="n"/>
      <c r="H1037" s="462" t="n"/>
    </row>
    <row r="1038">
      <c r="A1038" s="672" t="inlineStr">
        <is>
          <t>E100981G</t>
        </is>
      </c>
      <c r="B1038" s="767">
        <f>ROW()</f>
        <v/>
      </c>
      <c r="C1038" s="182" t="inlineStr">
        <is>
          <t>常州市招联绿庆新能源有限公司（合并）</t>
        </is>
      </c>
      <c r="D1038" s="182" t="inlineStr">
        <is>
          <t>ZI029E100734</t>
        </is>
      </c>
      <c r="E1038" s="182" t="inlineStr">
        <is>
          <t>联合光伏（常州）投资集团有限公司</t>
        </is>
      </c>
      <c r="F1038" s="716" t="n"/>
      <c r="G1038" s="716" t="n"/>
      <c r="H1038" s="462" t="n"/>
    </row>
    <row r="1039">
      <c r="A1039" s="672" t="inlineStr">
        <is>
          <t>E100985G</t>
        </is>
      </c>
      <c r="B1039" s="767">
        <f>ROW()</f>
        <v/>
      </c>
      <c r="C1039" s="182" t="inlineStr">
        <is>
          <t>常州市招联绿邦新能源有限公司（合并）</t>
        </is>
      </c>
      <c r="D1039" s="182" t="inlineStr">
        <is>
          <t>ZI029E100734</t>
        </is>
      </c>
      <c r="E1039" s="182" t="inlineStr">
        <is>
          <t>联合光伏（常州）投资集团有限公司</t>
        </is>
      </c>
      <c r="F1039" s="716" t="n"/>
      <c r="G1039" s="716" t="n"/>
      <c r="H1039" s="462" t="n"/>
    </row>
    <row r="1040">
      <c r="A1040" s="672" t="inlineStr">
        <is>
          <t>E100988G</t>
        </is>
      </c>
      <c r="B1040" s="767">
        <f>ROW()</f>
        <v/>
      </c>
      <c r="C1040" s="182" t="inlineStr">
        <is>
          <t>常州市招联绿睿新能源有限公司（合并）</t>
        </is>
      </c>
      <c r="D1040" s="182" t="inlineStr">
        <is>
          <t>ZI029E100734</t>
        </is>
      </c>
      <c r="E1040" s="182" t="inlineStr">
        <is>
          <t>联合光伏（常州）投资集团有限公司</t>
        </is>
      </c>
      <c r="F1040" s="716" t="n"/>
      <c r="G1040" s="716" t="n"/>
      <c r="H1040" s="462" t="n"/>
    </row>
    <row r="1041">
      <c r="A1041" s="672" t="inlineStr">
        <is>
          <t>E100991G</t>
        </is>
      </c>
      <c r="B1041" s="767">
        <f>ROW()</f>
        <v/>
      </c>
      <c r="C1041" s="182" t="inlineStr">
        <is>
          <t>常熟宏丰光伏电站开发有限公司（合并）</t>
        </is>
      </c>
      <c r="D1041" s="182" t="inlineStr">
        <is>
          <t>ZI029E100988</t>
        </is>
      </c>
      <c r="E1041" s="182" t="inlineStr">
        <is>
          <t>常州市招联绿睿新能源有限公司</t>
        </is>
      </c>
      <c r="F1041" s="716" t="n"/>
      <c r="G1041" s="716" t="n"/>
      <c r="H1041" s="462" t="n"/>
    </row>
    <row r="1042">
      <c r="A1042" s="672" t="inlineStr">
        <is>
          <t>E100993G</t>
        </is>
      </c>
      <c r="B1042" s="767">
        <f>ROW()</f>
        <v/>
      </c>
      <c r="C1042" s="182" t="inlineStr">
        <is>
          <t>常州市招联绿晖新能源有限公司（合并）</t>
        </is>
      </c>
      <c r="D1042" s="182" t="inlineStr">
        <is>
          <t>ZI029E100734</t>
        </is>
      </c>
      <c r="E1042" s="182" t="inlineStr">
        <is>
          <t>联合光伏（常州）投资集团有限公司</t>
        </is>
      </c>
      <c r="F1042" s="716" t="n"/>
      <c r="G1042" s="716" t="n"/>
      <c r="H1042" s="462" t="n"/>
    </row>
    <row r="1043">
      <c r="A1043" s="672" t="inlineStr">
        <is>
          <t>E101001G</t>
        </is>
      </c>
      <c r="B1043" s="767">
        <f>ROW()</f>
        <v/>
      </c>
      <c r="C1043" s="182" t="inlineStr">
        <is>
          <t>Faster Assets Limited（合并）</t>
        </is>
      </c>
      <c r="D1043" s="182" t="inlineStr">
        <is>
          <t>ZI029E100881</t>
        </is>
      </c>
      <c r="E1043" s="182" t="inlineStr">
        <is>
          <t>China Solar Power Group Limited</t>
        </is>
      </c>
      <c r="F1043" s="716" t="n"/>
      <c r="G1043" s="716" t="n"/>
      <c r="H1043" s="462" t="n"/>
    </row>
    <row r="1044">
      <c r="A1044" s="672" t="inlineStr">
        <is>
          <t>E101003G</t>
        </is>
      </c>
      <c r="B1044" s="767">
        <f>ROW()</f>
        <v/>
      </c>
      <c r="C1044" s="182" t="inlineStr">
        <is>
          <t>Driven Green Holdings Limited（合并）</t>
        </is>
      </c>
      <c r="D1044" s="182" t="inlineStr">
        <is>
          <t>ZI029E101002</t>
        </is>
      </c>
      <c r="E1044" s="182" t="inlineStr">
        <is>
          <t>Driven Noble Limited</t>
        </is>
      </c>
      <c r="F1044" s="716" t="n"/>
      <c r="G1044" s="716" t="n"/>
      <c r="H1044" s="462" t="n"/>
    </row>
    <row r="1045">
      <c r="A1045" s="672" t="inlineStr">
        <is>
          <t>E101006G</t>
        </is>
      </c>
      <c r="B1045" s="767">
        <f>ROW()</f>
        <v/>
      </c>
      <c r="C1045" s="182" t="inlineStr">
        <is>
          <t>Premier Yield Holdings Limited（合并）</t>
        </is>
      </c>
      <c r="D1045" s="182" t="inlineStr">
        <is>
          <t>ZI029E101005</t>
        </is>
      </c>
      <c r="E1045" s="182" t="inlineStr">
        <is>
          <t>Silver Yield Investments Limited</t>
        </is>
      </c>
      <c r="F1045" s="716" t="n"/>
      <c r="G1045" s="716" t="n"/>
      <c r="H1045" s="462" t="n"/>
    </row>
    <row r="1046">
      <c r="A1046" s="672" t="inlineStr">
        <is>
          <t>E101008G</t>
        </is>
      </c>
      <c r="B1046" s="767">
        <f>ROW()</f>
        <v/>
      </c>
      <c r="C1046" s="182" t="inlineStr">
        <is>
          <t>南京丝绸之路新能源有限公司（合并）</t>
        </is>
      </c>
      <c r="D1046" s="182" t="inlineStr">
        <is>
          <t>ZI029E101007</t>
        </is>
      </c>
      <c r="E1046" s="182" t="inlineStr">
        <is>
          <t>骏耀新能源（常州）有限公司</t>
        </is>
      </c>
      <c r="F1046" s="716" t="n"/>
      <c r="G1046" s="716" t="n"/>
      <c r="H1046" s="462" t="n"/>
    </row>
    <row r="1047">
      <c r="A1047" s="672" t="inlineStr">
        <is>
          <t>E101012G</t>
        </is>
      </c>
      <c r="B1047" s="767">
        <f>ROW()</f>
        <v/>
      </c>
      <c r="C1047" s="182" t="inlineStr">
        <is>
          <t>常州市招联绿伏新能源有限公司（合并）</t>
        </is>
      </c>
      <c r="D1047" s="182" t="inlineStr">
        <is>
          <t>ZI029E101008</t>
        </is>
      </c>
      <c r="E1047" s="182" t="inlineStr">
        <is>
          <t>南京丝绸之路新能源有限公司</t>
        </is>
      </c>
      <c r="F1047" s="716" t="n"/>
      <c r="G1047" s="716" t="n"/>
      <c r="H1047" s="462" t="n"/>
    </row>
    <row r="1048">
      <c r="A1048" s="672" t="inlineStr">
        <is>
          <t>E101015G</t>
        </is>
      </c>
      <c r="B1048" s="767">
        <f>ROW()</f>
        <v/>
      </c>
      <c r="C1048" s="182" t="inlineStr">
        <is>
          <t>New Light Assets Limited（合并）</t>
        </is>
      </c>
      <c r="D1048" s="182" t="inlineStr">
        <is>
          <t>ZI029E101014</t>
        </is>
      </c>
      <c r="E1048" s="182" t="inlineStr">
        <is>
          <t>Green Horizon Developments Limited</t>
        </is>
      </c>
      <c r="F1048" s="716" t="n"/>
      <c r="G1048" s="716" t="n"/>
      <c r="H1048" s="462" t="n"/>
    </row>
    <row r="1049">
      <c r="A1049" s="672" t="inlineStr">
        <is>
          <t>E101016G</t>
        </is>
      </c>
      <c r="B1049" s="767">
        <f>ROW()</f>
        <v/>
      </c>
      <c r="C1049" s="182" t="inlineStr">
        <is>
          <t>丝绸之路招商新能源（常州）有限公司（合并）</t>
        </is>
      </c>
      <c r="D1049" s="182" t="inlineStr">
        <is>
          <t>ZI029E101015</t>
        </is>
      </c>
      <c r="E1049" s="182" t="inlineStr">
        <is>
          <t>New Light Assets Limited</t>
        </is>
      </c>
      <c r="F1049" s="716" t="n"/>
      <c r="G1049" s="716" t="n"/>
      <c r="H1049" s="462" t="n"/>
    </row>
    <row r="1050">
      <c r="A1050" s="672" t="inlineStr">
        <is>
          <t>E101017G</t>
        </is>
      </c>
      <c r="B1050" s="767">
        <f>ROW()</f>
        <v/>
      </c>
      <c r="C1050" s="182" t="inlineStr">
        <is>
          <t>常州新光新能源有限公司（合并）</t>
        </is>
      </c>
      <c r="D1050" s="182" t="inlineStr">
        <is>
          <t>ZI029E101016</t>
        </is>
      </c>
      <c r="E1050" s="182" t="inlineStr">
        <is>
          <t>丝绸之路招商新能源（常州）有限公司</t>
        </is>
      </c>
      <c r="F1050" s="716" t="n"/>
      <c r="G1050" s="716" t="n"/>
      <c r="H1050" s="462" t="n"/>
    </row>
    <row r="1051">
      <c r="A1051" s="672" t="inlineStr">
        <is>
          <t>E101019G</t>
        </is>
      </c>
      <c r="B1051" s="767">
        <f>ROW()</f>
        <v/>
      </c>
      <c r="C1051" s="182" t="inlineStr">
        <is>
          <t>招商局漳州开发区丝路方舟碳资产管理有限公司（合并）</t>
        </is>
      </c>
      <c r="D1051" s="182" t="inlineStr">
        <is>
          <t>ZI029E100881</t>
        </is>
      </c>
      <c r="E1051" s="182" t="inlineStr">
        <is>
          <t>China Solar Power Group Limited</t>
        </is>
      </c>
      <c r="F1051" s="716" t="n"/>
      <c r="G1051" s="716" t="n"/>
      <c r="H1051" s="462" t="n"/>
    </row>
    <row r="1052">
      <c r="A1052" s="672" t="inlineStr">
        <is>
          <t>E101021G</t>
        </is>
      </c>
      <c r="B1052" s="767">
        <f>ROW()</f>
        <v/>
      </c>
      <c r="C1052" s="182" t="inlineStr">
        <is>
          <t>Global Renewable Energy Limited（合并）</t>
        </is>
      </c>
      <c r="D1052" s="182" t="inlineStr">
        <is>
          <t>ZI029E100747</t>
        </is>
      </c>
      <c r="E1052" s="182" t="inlineStr">
        <is>
          <t>北京能源国际控股有限公司</t>
        </is>
      </c>
      <c r="F1052" s="716" t="n"/>
      <c r="G1052" s="716" t="n"/>
      <c r="H1052" s="462" t="n"/>
    </row>
    <row r="1053">
      <c r="A1053" s="672" t="inlineStr">
        <is>
          <t>E101022G</t>
        </is>
      </c>
      <c r="B1053" s="767">
        <f>ROW()</f>
        <v/>
      </c>
      <c r="C1053" s="182" t="inlineStr">
        <is>
          <t>Global Renewable Energy Holdings Limited（合并）</t>
        </is>
      </c>
      <c r="D1053" s="182" t="inlineStr">
        <is>
          <t>ZI029E101021</t>
        </is>
      </c>
      <c r="E1053" s="182" t="inlineStr">
        <is>
          <t>Global Renewable Energy Limited</t>
        </is>
      </c>
      <c r="F1053" s="716" t="n"/>
      <c r="G1053" s="716" t="n"/>
      <c r="H1053" s="462" t="n"/>
    </row>
    <row r="1054">
      <c r="A1054" s="672" t="inlineStr">
        <is>
          <t>E101024G</t>
        </is>
      </c>
      <c r="B1054" s="767">
        <f>ROW()</f>
        <v/>
      </c>
      <c r="C1054" s="182" t="inlineStr">
        <is>
          <t>Fortune Wheel Holdings Limited（合并）</t>
        </is>
      </c>
      <c r="D1054" s="182" t="inlineStr">
        <is>
          <t>ZI029E101023</t>
        </is>
      </c>
      <c r="E1054" s="182" t="inlineStr">
        <is>
          <t>Sino Delight Developments Limited</t>
        </is>
      </c>
      <c r="F1054" s="716" t="n"/>
      <c r="G1054" s="716" t="n"/>
      <c r="H1054" s="462" t="n"/>
    </row>
    <row r="1055">
      <c r="A1055" s="672" t="inlineStr">
        <is>
          <t>E101026G</t>
        </is>
      </c>
      <c r="B1055" s="767">
        <f>ROW()</f>
        <v/>
      </c>
      <c r="C1055" s="182" t="inlineStr">
        <is>
          <t>常州市招联绿灿新能源有限公司（合并）</t>
        </is>
      </c>
      <c r="D1055" s="182" t="inlineStr">
        <is>
          <t>ZI029E101025</t>
        </is>
      </c>
      <c r="E1055" s="182" t="inlineStr">
        <is>
          <t>招联（珠海）清洁能源投资有限公司</t>
        </is>
      </c>
      <c r="F1055" s="716" t="n"/>
      <c r="G1055" s="716" t="n"/>
      <c r="H1055" s="462" t="n"/>
    </row>
    <row r="1056">
      <c r="A1056" s="672" t="inlineStr">
        <is>
          <t>E101028G</t>
        </is>
      </c>
      <c r="B1056" s="767">
        <f>ROW()</f>
        <v/>
      </c>
      <c r="C1056" s="182" t="inlineStr">
        <is>
          <t>Renewable Energy UK Portfolio Limited（合并）</t>
        </is>
      </c>
      <c r="D1056" s="182" t="inlineStr">
        <is>
          <t>ZI029E101027</t>
        </is>
      </c>
      <c r="E1056" s="182" t="inlineStr">
        <is>
          <t>Ecoworld Global Limited</t>
        </is>
      </c>
      <c r="F1056" s="716" t="n"/>
      <c r="G1056" s="716" t="n"/>
      <c r="H1056" s="462" t="n"/>
    </row>
    <row r="1057">
      <c r="A1057" s="672" t="inlineStr">
        <is>
          <t>E101031G</t>
        </is>
      </c>
      <c r="B1057" s="767">
        <f>ROW()</f>
        <v/>
      </c>
      <c r="C1057" s="182" t="inlineStr">
        <is>
          <t>Panda Green Power Group Limited（合并）</t>
        </is>
      </c>
      <c r="D1057" s="182" t="inlineStr">
        <is>
          <t>ZI029E100747</t>
        </is>
      </c>
      <c r="E1057" s="182" t="inlineStr">
        <is>
          <t>北京能源国际控股有限公司</t>
        </is>
      </c>
      <c r="F1057" s="716" t="n"/>
      <c r="G1057" s="716" t="n"/>
      <c r="H1057" s="462" t="n"/>
    </row>
    <row r="1058">
      <c r="A1058" s="672" t="inlineStr">
        <is>
          <t>E101033G</t>
        </is>
      </c>
      <c r="B1058" s="767">
        <f>ROW()</f>
        <v/>
      </c>
      <c r="C1058" s="182" t="inlineStr">
        <is>
          <t>East Asia New Energy Group Limited（合并）</t>
        </is>
      </c>
      <c r="D1058" s="182" t="inlineStr">
        <is>
          <t>ZI029E101032</t>
        </is>
      </c>
      <c r="E1058" s="182" t="inlineStr">
        <is>
          <t>China New Energy Holdings （Hong Kong） Limited</t>
        </is>
      </c>
      <c r="F1058" s="716" t="n"/>
      <c r="G1058" s="716" t="n"/>
      <c r="H1058" s="462" t="n"/>
    </row>
    <row r="1059">
      <c r="A1059" s="672" t="inlineStr">
        <is>
          <t>E101040G</t>
        </is>
      </c>
      <c r="B1059" s="767">
        <f>ROW()</f>
        <v/>
      </c>
      <c r="C1059" s="182" t="inlineStr">
        <is>
          <t>Tibet Energy Investment Group （Hong Kong） Limited（合并）</t>
        </is>
      </c>
      <c r="D1059" s="182" t="inlineStr">
        <is>
          <t>ZI029E101022</t>
        </is>
      </c>
      <c r="E1059" s="182" t="inlineStr">
        <is>
          <t>Global Renewable Energy Holdings Limited</t>
        </is>
      </c>
      <c r="F1059" s="716" t="n"/>
      <c r="G1059" s="716" t="n"/>
      <c r="H1059" s="462" t="n"/>
    </row>
    <row r="1060">
      <c r="A1060" s="672" t="inlineStr">
        <is>
          <t>E101042G</t>
        </is>
      </c>
      <c r="B1060" s="767">
        <f>ROW()</f>
        <v/>
      </c>
      <c r="C1060" s="182" t="inlineStr">
        <is>
          <t>Panda Solar Power Holdings Limited（合并）</t>
        </is>
      </c>
      <c r="D1060" s="182" t="inlineStr">
        <is>
          <t>ZI029E101031</t>
        </is>
      </c>
      <c r="E1060" s="182" t="inlineStr">
        <is>
          <t>Panda Green Power Group Limited</t>
        </is>
      </c>
      <c r="F1060" s="716" t="n"/>
      <c r="G1060" s="716" t="n"/>
      <c r="H1060" s="462" t="n"/>
    </row>
    <row r="1061">
      <c r="A1061" s="672" t="inlineStr">
        <is>
          <t>E101044G</t>
        </is>
      </c>
      <c r="B1061" s="767">
        <f>ROW()</f>
        <v/>
      </c>
      <c r="C1061" s="182" t="inlineStr">
        <is>
          <t>JingNeng Renewable Energy International Group Limited（合并）</t>
        </is>
      </c>
      <c r="D1061" s="182" t="inlineStr">
        <is>
          <t>ZI029E100747</t>
        </is>
      </c>
      <c r="E1061" s="182" t="inlineStr">
        <is>
          <t>北京能源国际控股有限公司</t>
        </is>
      </c>
      <c r="F1061" s="716" t="n"/>
      <c r="G1061" s="716" t="n"/>
      <c r="H1061" s="462" t="n"/>
    </row>
    <row r="1062">
      <c r="A1062" s="672" t="inlineStr">
        <is>
          <t>E101054G</t>
        </is>
      </c>
      <c r="B1062" s="767">
        <f>ROW()</f>
        <v/>
      </c>
      <c r="C1062" s="182" t="inlineStr">
        <is>
          <t>北京华远意通热力科技股份有限公司（合并）</t>
        </is>
      </c>
      <c r="D1062" s="182" t="inlineStr">
        <is>
          <t>ZI029E100000</t>
        </is>
      </c>
      <c r="E1062" s="182" t="inlineStr">
        <is>
          <t>北京能源集团有限责任公司</t>
        </is>
      </c>
      <c r="F1062" s="716" t="n"/>
      <c r="G1062" s="716" t="n"/>
      <c r="H1062" s="462" t="n"/>
    </row>
    <row r="1063">
      <c r="A1063" s="672" t="inlineStr">
        <is>
          <t>E101054H</t>
        </is>
      </c>
      <c r="B1063" s="767">
        <f>ROW()</f>
        <v/>
      </c>
      <c r="C1063" s="182" t="inlineStr">
        <is>
          <t>北京华远意通热力科技股份有限公司（母公司）</t>
        </is>
      </c>
      <c r="D1063" s="182" t="inlineStr">
        <is>
          <t>ZI029E100000</t>
        </is>
      </c>
      <c r="E1063" s="182" t="inlineStr">
        <is>
          <t>北京能源集团有限责任公司</t>
        </is>
      </c>
      <c r="F1063" s="716" t="n"/>
      <c r="G1063" s="716" t="n"/>
      <c r="H1063" s="462" t="n"/>
    </row>
    <row r="1064">
      <c r="A1064" s="672" t="inlineStr">
        <is>
          <t>E101056G</t>
        </is>
      </c>
      <c r="B1064" s="767">
        <f>ROW()</f>
        <v/>
      </c>
      <c r="C1064" s="182" t="inlineStr">
        <is>
          <t>北京华意龙达科技发展有限公司（合并）</t>
        </is>
      </c>
      <c r="D1064" s="182" t="inlineStr">
        <is>
          <t>ZI029E101054</t>
        </is>
      </c>
      <c r="E1064" s="182" t="inlineStr">
        <is>
          <t>北京京能热力股份有限公司</t>
        </is>
      </c>
      <c r="F1064" s="716" t="n"/>
      <c r="G1064" s="716" t="n"/>
      <c r="H1064" s="462" t="n"/>
    </row>
    <row r="1065">
      <c r="A1065" s="672" t="inlineStr">
        <is>
          <t>E101070G</t>
        </is>
      </c>
      <c r="B1065" s="767">
        <f>ROW()</f>
        <v/>
      </c>
      <c r="C1065" s="182" t="inlineStr">
        <is>
          <t>深圳市前海毓华清洁能源投资有限公司（合并）</t>
        </is>
      </c>
      <c r="D1065" s="182" t="inlineStr">
        <is>
          <t>ZI029E100730</t>
        </is>
      </c>
      <c r="E1065" s="182" t="inlineStr">
        <is>
          <t>京能国际能源发展（北京）有限公司</t>
        </is>
      </c>
      <c r="F1065" s="716" t="n"/>
      <c r="G1065" s="716" t="n"/>
      <c r="H1065" s="462" t="n"/>
    </row>
    <row r="1066">
      <c r="A1066" s="672" t="inlineStr">
        <is>
          <t>E101097G</t>
        </is>
      </c>
      <c r="B1066" s="767">
        <f>ROW()</f>
        <v/>
      </c>
      <c r="C1066" s="182" t="inlineStr">
        <is>
          <t>肇庆市莱湾新能源科技有限公司（合并）</t>
        </is>
      </c>
      <c r="D1066" s="182" t="inlineStr">
        <is>
          <t>ZI029E100730</t>
        </is>
      </c>
      <c r="E1066" s="182" t="inlineStr">
        <is>
          <t>京能国际能源发展（北京）有限公司</t>
        </is>
      </c>
      <c r="F1066" s="716" t="n"/>
      <c r="G1066" s="716" t="n"/>
      <c r="H1066" s="462" t="n"/>
    </row>
    <row r="1067">
      <c r="A1067" s="672" t="inlineStr">
        <is>
          <t>E101136G</t>
        </is>
      </c>
      <c r="B1067" s="767">
        <f>ROW()</f>
        <v/>
      </c>
      <c r="C1067" s="182" t="inlineStr">
        <is>
          <t>北京市石景山区老年福养老服务中心（合并）</t>
        </is>
      </c>
      <c r="D1067" s="182" t="inlineStr">
        <is>
          <t>ZI029E100776</t>
        </is>
      </c>
      <c r="E1067" s="182" t="inlineStr">
        <is>
          <t>北京健康养老集团有限公司</t>
        </is>
      </c>
      <c r="F1067" s="716" t="n"/>
      <c r="G1067" s="716" t="n"/>
      <c r="H1067" s="462" t="n"/>
    </row>
    <row r="1068">
      <c r="A1068" s="672" t="inlineStr">
        <is>
          <t>E101142G</t>
        </is>
      </c>
      <c r="B1068" s="767">
        <f>ROW()</f>
        <v/>
      </c>
      <c r="C1068" s="182" t="inlineStr">
        <is>
          <t>灵寿县清智新能源科技有限公司（合并）</t>
        </is>
      </c>
      <c r="D1068" s="182" t="inlineStr">
        <is>
          <t>ZI029E100001</t>
        </is>
      </c>
      <c r="E1068" s="182" t="inlineStr">
        <is>
          <t>北京京能清洁能源电力股份有限公司</t>
        </is>
      </c>
      <c r="F1068" s="716" t="n"/>
      <c r="G1068" s="716" t="n"/>
      <c r="H1068" s="462" t="n"/>
    </row>
    <row r="1069">
      <c r="A1069" s="672" t="inlineStr">
        <is>
          <t>E100787</t>
        </is>
      </c>
      <c r="B1069" s="767">
        <f>ROW()</f>
        <v/>
      </c>
      <c r="C1069" s="182" t="inlineStr">
        <is>
          <t>内蒙古京能苏尼特风力发电有限公司（内蒙古分公司）</t>
        </is>
      </c>
      <c r="D1069" s="182" t="inlineStr">
        <is>
          <t>ZI029E100001</t>
        </is>
      </c>
      <c r="E1069" s="182" t="inlineStr">
        <is>
          <t>北京京能清洁能源电力股份有限公司</t>
        </is>
      </c>
      <c r="F1069" s="716" t="n"/>
      <c r="G1069" s="716" t="n"/>
      <c r="H1069" s="462" t="n"/>
    </row>
    <row r="1070">
      <c r="A1070" s="672" t="inlineStr">
        <is>
          <t>E100406</t>
        </is>
      </c>
      <c r="B1070" s="767">
        <f>ROW()</f>
        <v/>
      </c>
      <c r="C1070" s="182" t="inlineStr">
        <is>
          <t>北京博尔节能设备技术开发有限责任公司</t>
        </is>
      </c>
      <c r="D1070" s="182" t="inlineStr">
        <is>
          <t>ZI029E100371</t>
        </is>
      </c>
      <c r="E1070" s="182" t="inlineStr">
        <is>
          <t>北京京能科技有限公司</t>
        </is>
      </c>
      <c r="F1070" s="716" t="n"/>
      <c r="G1070" s="716" t="n"/>
      <c r="H1070" s="462" t="n"/>
    </row>
    <row r="1071">
      <c r="A1071" s="672" t="inlineStr">
        <is>
          <t>E101159</t>
        </is>
      </c>
      <c r="B1071" s="767">
        <f>ROW()</f>
        <v/>
      </c>
      <c r="C1071" s="182">
        <f>IF(_epmOfflineCondition_,"汕头京能清洁能源有限公司",EPMMemberDesc(A1071))</f>
        <v/>
      </c>
      <c r="D1071" s="182" t="inlineStr">
        <is>
          <t>ZI029E100001</t>
        </is>
      </c>
      <c r="E1071" s="182" t="inlineStr">
        <is>
          <t>北京京能清洁能源电力股份有限公司</t>
        </is>
      </c>
      <c r="F1071" s="716" t="n"/>
      <c r="G1071" s="716" t="n"/>
      <c r="H1071" s="462" t="n"/>
    </row>
    <row r="1072">
      <c r="A1072" s="672" t="inlineStr">
        <is>
          <t>E100862</t>
        </is>
      </c>
      <c r="B1072" s="767">
        <f>ROW()</f>
        <v/>
      </c>
      <c r="C1072" s="182" t="inlineStr">
        <is>
          <t>京能玉门新能源有限公司</t>
        </is>
      </c>
      <c r="D1072" s="182" t="inlineStr">
        <is>
          <t>ZI029E100145</t>
        </is>
      </c>
      <c r="E1072" s="182" t="inlineStr">
        <is>
          <t>北京京能电力股份有限公司</t>
        </is>
      </c>
      <c r="F1072" s="716" t="n"/>
      <c r="G1072" s="716" t="n"/>
      <c r="H1072" s="462" t="n"/>
    </row>
    <row r="1073">
      <c r="A1073" s="672" t="inlineStr">
        <is>
          <t>E100863</t>
        </is>
      </c>
      <c r="B1073" s="767">
        <f>ROW()</f>
        <v/>
      </c>
      <c r="C1073" s="182" t="inlineStr">
        <is>
          <t>京骐（玉门）新能源有限公司</t>
        </is>
      </c>
      <c r="D1073" s="182" t="inlineStr">
        <is>
          <t>ZI029E100145</t>
        </is>
      </c>
      <c r="E1073" s="182" t="inlineStr">
        <is>
          <t>北京京能电力股份有限公司</t>
        </is>
      </c>
      <c r="F1073" s="716" t="n"/>
      <c r="G1073" s="716" t="n"/>
      <c r="H1073" s="462" t="n"/>
    </row>
    <row r="1074">
      <c r="A1074" s="672" t="inlineStr">
        <is>
          <t>E100171</t>
        </is>
      </c>
      <c r="B1074" s="767">
        <f>ROW()</f>
        <v/>
      </c>
      <c r="C1074" s="182" t="inlineStr">
        <is>
          <t>内蒙古京能双欣发电有限公司</t>
        </is>
      </c>
      <c r="D1074" s="182" t="inlineStr">
        <is>
          <t>ZI029E100145</t>
        </is>
      </c>
      <c r="E1074" s="182" t="inlineStr">
        <is>
          <t>北京京能电力股份有限公司</t>
        </is>
      </c>
      <c r="F1074" s="716" t="n"/>
      <c r="G1074" s="716" t="n"/>
      <c r="H1074" s="462" t="n"/>
    </row>
    <row r="1075">
      <c r="A1075" s="672" t="inlineStr">
        <is>
          <t>E100920</t>
        </is>
      </c>
      <c r="B1075" s="767">
        <f>ROW()</f>
        <v/>
      </c>
      <c r="C1075" s="182" t="inlineStr">
        <is>
          <t>五莲县宁旭新能源有限公司</t>
        </is>
      </c>
      <c r="D1075" s="182" t="inlineStr">
        <is>
          <t>ZI029E100919</t>
        </is>
      </c>
      <c r="E1075" s="182" t="inlineStr">
        <is>
          <t>五莲县鹏光新能源有限公司</t>
        </is>
      </c>
      <c r="F1075" s="716" t="n"/>
      <c r="G1075" s="716" t="n"/>
      <c r="H1075" s="462" t="n"/>
    </row>
    <row r="1076">
      <c r="A1076" s="672" t="inlineStr">
        <is>
          <t>E101102</t>
        </is>
      </c>
      <c r="B1076" s="767">
        <f>ROW()</f>
        <v/>
      </c>
      <c r="C1076" s="672" t="inlineStr">
        <is>
          <t>伊川县康庆新能源有限公司</t>
        </is>
      </c>
      <c r="D1076" s="182" t="inlineStr">
        <is>
          <t>ZI029E100734</t>
        </is>
      </c>
      <c r="E1076" s="182" t="inlineStr">
        <is>
          <t>联合光伏（常州）投资集团有限公司</t>
        </is>
      </c>
      <c r="F1076" s="716" t="n"/>
      <c r="G1076" s="716" t="n"/>
      <c r="H1076" s="462" t="n"/>
    </row>
    <row r="1077">
      <c r="A1077" s="672" t="inlineStr">
        <is>
          <t>E101101</t>
        </is>
      </c>
      <c r="B1077" s="767">
        <f>ROW()</f>
        <v/>
      </c>
      <c r="C1077" s="672" t="inlineStr">
        <is>
          <t>三门峡峡湖源风力发电有限公司</t>
        </is>
      </c>
      <c r="D1077" s="182" t="inlineStr">
        <is>
          <t>ZI029E100734</t>
        </is>
      </c>
      <c r="E1077" s="182" t="inlineStr">
        <is>
          <t>联合光伏（常州）投资集团有限公司</t>
        </is>
      </c>
      <c r="F1077" s="716" t="n"/>
      <c r="G1077" s="716" t="n"/>
      <c r="H1077" s="462" t="n"/>
    </row>
    <row r="1078">
      <c r="A1078" s="182" t="inlineStr">
        <is>
          <t>E100907</t>
        </is>
      </c>
      <c r="B1078" s="767">
        <f>ROW()</f>
        <v/>
      </c>
      <c r="C1078" s="182" t="inlineStr">
        <is>
          <t>隆尧县国昌新能源科技有限公司</t>
        </is>
      </c>
      <c r="D1078" s="182" t="inlineStr">
        <is>
          <t>ZI029E100730</t>
        </is>
      </c>
      <c r="E1078" s="182" t="inlineStr">
        <is>
          <t>京能国际能源发展（北京）有限公司</t>
        </is>
      </c>
      <c r="F1078" s="716" t="n"/>
      <c r="G1078" s="716" t="n"/>
      <c r="H1078" s="462" t="n"/>
    </row>
    <row r="1079">
      <c r="A1079" s="182" t="inlineStr">
        <is>
          <t>E100907</t>
        </is>
      </c>
      <c r="B1079" s="767">
        <f>ROW()</f>
        <v/>
      </c>
      <c r="C1079" s="182" t="inlineStr">
        <is>
          <t>隆尧县国昌新能源科技有限公司</t>
        </is>
      </c>
      <c r="D1079" s="672" t="inlineStr">
        <is>
          <t>ZI029E101076</t>
        </is>
      </c>
      <c r="E1079" s="182" t="inlineStr">
        <is>
          <t>京能胜科（海南）国际能源有限公司</t>
        </is>
      </c>
      <c r="F1079" s="716" t="n"/>
      <c r="G1079" s="716" t="n"/>
      <c r="H1079" s="462" t="n"/>
    </row>
    <row r="1080">
      <c r="A1080" s="182" t="inlineStr">
        <is>
          <t>E100828</t>
        </is>
      </c>
      <c r="B1080" s="767">
        <f>ROW()</f>
        <v/>
      </c>
      <c r="C1080" s="182" t="inlineStr">
        <is>
          <t>京能（寻甸）新能源有限公司</t>
        </is>
      </c>
      <c r="D1080" s="182" t="inlineStr">
        <is>
          <t>ZI029E100730</t>
        </is>
      </c>
      <c r="E1080" s="182" t="inlineStr">
        <is>
          <t>京能国际能源发展（北京）有限公司</t>
        </is>
      </c>
      <c r="F1080" s="716" t="n"/>
      <c r="G1080" s="716" t="n"/>
      <c r="H1080" s="462" t="n"/>
    </row>
    <row r="1081">
      <c r="A1081" s="182" t="inlineStr">
        <is>
          <t>E101099</t>
        </is>
      </c>
      <c r="B1081" s="767">
        <f>ROW()</f>
        <v/>
      </c>
      <c r="C1081" s="182" t="inlineStr">
        <is>
          <t>京能（保山）光伏发电有限公司</t>
        </is>
      </c>
      <c r="D1081" s="182" t="inlineStr">
        <is>
          <t>ZI029E100883</t>
        </is>
      </c>
      <c r="E1081" s="182" t="inlineStr">
        <is>
          <t>Beijing Energy International Investment Limited</t>
        </is>
      </c>
      <c r="F1081" s="716" t="n"/>
      <c r="G1081" s="716" t="n"/>
      <c r="H1081" s="462" t="n"/>
    </row>
    <row r="1082">
      <c r="A1082" s="182" t="inlineStr">
        <is>
          <t>E100923</t>
        </is>
      </c>
      <c r="B1082" s="767">
        <f>ROW()</f>
        <v/>
      </c>
      <c r="C1082" s="182" t="inlineStr">
        <is>
          <t>武汉京能低碳新能源有限公司</t>
        </is>
      </c>
      <c r="D1082" s="182" t="inlineStr">
        <is>
          <t>ZI029E100730</t>
        </is>
      </c>
      <c r="E1082" s="182" t="inlineStr">
        <is>
          <t>京能国际能源发展（北京）有限公司</t>
        </is>
      </c>
      <c r="F1082" s="716" t="n"/>
      <c r="G1082" s="716" t="n"/>
      <c r="H1082" s="462" t="n"/>
    </row>
    <row r="1083" ht="16.8" customHeight="1" s="1181">
      <c r="A1083" s="182" t="inlineStr">
        <is>
          <t>E101088</t>
        </is>
      </c>
      <c r="B1083" s="767">
        <f>ROW()</f>
        <v/>
      </c>
      <c r="C1083" s="390" t="inlineStr">
        <is>
          <t>京吉（安福）光伏发电有限公司</t>
        </is>
      </c>
      <c r="D1083" s="182" t="inlineStr">
        <is>
          <t>ZI029E100883</t>
        </is>
      </c>
      <c r="E1083" s="182" t="inlineStr">
        <is>
          <t>Beijing Energy International Investment Limited</t>
        </is>
      </c>
      <c r="F1083" s="716" t="n"/>
      <c r="G1083" s="716" t="n"/>
      <c r="H1083" s="462" t="n"/>
    </row>
    <row r="1084" ht="16.8" customHeight="1" s="1181">
      <c r="A1084" s="182" t="inlineStr">
        <is>
          <t>E101087</t>
        </is>
      </c>
      <c r="B1084" s="767">
        <f>ROW()</f>
        <v/>
      </c>
      <c r="C1084" s="390" t="inlineStr">
        <is>
          <t>京能（宜黄）光伏发电有限公司</t>
        </is>
      </c>
      <c r="D1084" s="182" t="inlineStr">
        <is>
          <t>ZI029E100883</t>
        </is>
      </c>
      <c r="E1084" s="182" t="inlineStr">
        <is>
          <t>Beijing Energy International Investment Limited</t>
        </is>
      </c>
      <c r="F1084" s="716" t="n"/>
      <c r="G1084" s="716" t="n"/>
      <c r="H1084" s="462" t="n"/>
    </row>
    <row r="1085" ht="16.8" customHeight="1" s="1181">
      <c r="A1085" s="182" t="inlineStr">
        <is>
          <t>E101029</t>
        </is>
      </c>
      <c r="B1085" s="767">
        <f>ROW()</f>
        <v/>
      </c>
      <c r="C1085" s="182" t="inlineStr">
        <is>
          <t>Pearl International Investments S.ar.l.</t>
        </is>
      </c>
      <c r="D1085" s="182" t="inlineStr">
        <is>
          <t>ZI029E101028</t>
        </is>
      </c>
      <c r="E1085" s="390" t="inlineStr">
        <is>
          <t>Renewable Energy UK Portfolio Limited</t>
        </is>
      </c>
      <c r="F1085" s="716" t="n"/>
      <c r="G1085" s="716" t="n"/>
      <c r="H1085" s="462" t="n"/>
    </row>
    <row r="1086" ht="16.8" customHeight="1" s="1181">
      <c r="A1086" s="672" t="inlineStr">
        <is>
          <t>E101095</t>
        </is>
      </c>
      <c r="B1086" s="767">
        <f>ROW()</f>
        <v/>
      </c>
      <c r="C1086" s="182" t="inlineStr">
        <is>
          <t>JN Viet Nam Renewable Energy Company Limited</t>
        </is>
      </c>
      <c r="D1086" s="182" t="inlineStr">
        <is>
          <t>ZI029E101028</t>
        </is>
      </c>
      <c r="E1086" s="390" t="inlineStr">
        <is>
          <t>Renewable Energy UK Portfolio Limited</t>
        </is>
      </c>
      <c r="F1086" s="716" t="n"/>
      <c r="G1086" s="716" t="n"/>
      <c r="H1086" s="462" t="n"/>
    </row>
    <row r="1087">
      <c r="A1087" s="182" t="inlineStr">
        <is>
          <t>E101045</t>
        </is>
      </c>
      <c r="B1087" s="767">
        <f>ROW()</f>
        <v/>
      </c>
      <c r="C1087" s="182" t="inlineStr">
        <is>
          <t>Beijing Energy International （Australia） Holding Pty Ltd</t>
        </is>
      </c>
      <c r="D1087" s="182" t="inlineStr">
        <is>
          <t>ZI029E101044</t>
        </is>
      </c>
      <c r="E1087" s="182" t="inlineStr">
        <is>
          <t>JingNeng Renewable Energy International Group Limited</t>
        </is>
      </c>
      <c r="F1087" s="716" t="n"/>
      <c r="G1087" s="716" t="n"/>
      <c r="H1087" s="462" t="n"/>
    </row>
    <row r="1088">
      <c r="A1088" s="182" t="inlineStr">
        <is>
          <t>E101046</t>
        </is>
      </c>
      <c r="B1088" s="767">
        <f>ROW()</f>
        <v/>
      </c>
      <c r="C1088" s="182" t="inlineStr">
        <is>
          <t>Wollar Solar Holding Pty Ltd</t>
        </is>
      </c>
      <c r="D1088" s="182" t="inlineStr">
        <is>
          <t>ZI029E101045</t>
        </is>
      </c>
      <c r="E1088" s="182" t="inlineStr">
        <is>
          <t>Beijing Energy International （Australia） Holding Pty Ltd</t>
        </is>
      </c>
      <c r="F1088" s="716" t="n"/>
      <c r="G1088" s="716" t="n"/>
      <c r="H1088" s="462" t="n"/>
    </row>
    <row r="1089">
      <c r="A1089" s="182" t="inlineStr">
        <is>
          <t>E101047</t>
        </is>
      </c>
      <c r="B1089" s="767">
        <f>ROW()</f>
        <v/>
      </c>
      <c r="C1089" s="182" t="inlineStr">
        <is>
          <t>MNS Wind Holding Pty Limited</t>
        </is>
      </c>
      <c r="D1089" s="182" t="inlineStr">
        <is>
          <t>ZI029E101046</t>
        </is>
      </c>
      <c r="E1089" s="182" t="inlineStr">
        <is>
          <t>Wollar Solar Holding Pty Ltd</t>
        </is>
      </c>
      <c r="F1089" s="716" t="n"/>
      <c r="G1089" s="716" t="n"/>
      <c r="H1089" s="462" t="n"/>
    </row>
    <row r="1090">
      <c r="A1090" s="182" t="inlineStr">
        <is>
          <t>E101048</t>
        </is>
      </c>
      <c r="B1090" s="767">
        <f>ROW()</f>
        <v/>
      </c>
      <c r="C1090" s="182" t="inlineStr">
        <is>
          <t>MNS Wind Finance Pty Limited</t>
        </is>
      </c>
      <c r="D1090" s="182" t="inlineStr">
        <is>
          <t>ZI029E101047</t>
        </is>
      </c>
      <c r="E1090" s="182" t="inlineStr">
        <is>
          <t>MNS Wind Holding Pty Limited</t>
        </is>
      </c>
      <c r="F1090" s="716" t="n"/>
      <c r="G1090" s="716" t="n"/>
      <c r="H1090" s="462" t="n"/>
    </row>
    <row r="1091">
      <c r="A1091" s="182" t="inlineStr">
        <is>
          <t>E101049</t>
        </is>
      </c>
      <c r="B1091" s="767">
        <f>ROW()</f>
        <v/>
      </c>
      <c r="C1091" s="182" t="inlineStr">
        <is>
          <t>Wollar Solar Finance Pty Ltd</t>
        </is>
      </c>
      <c r="D1091" s="182" t="inlineStr">
        <is>
          <t>ZI029E101046</t>
        </is>
      </c>
      <c r="E1091" s="182" t="inlineStr">
        <is>
          <t>Wollar Solar Holding Pty Ltd</t>
        </is>
      </c>
      <c r="F1091" s="716" t="n"/>
      <c r="G1091" s="716" t="n"/>
      <c r="H1091" s="462" t="n"/>
    </row>
    <row r="1092">
      <c r="A1092" s="182" t="inlineStr">
        <is>
          <t>E101050</t>
        </is>
      </c>
      <c r="B1092" s="767">
        <f>ROW()</f>
        <v/>
      </c>
      <c r="C1092" s="182" t="inlineStr">
        <is>
          <t>Wollar Solar Development Pty Limited</t>
        </is>
      </c>
      <c r="D1092" s="182" t="inlineStr">
        <is>
          <t>ZI029E101049</t>
        </is>
      </c>
      <c r="E1092" s="182" t="inlineStr">
        <is>
          <t>Wollar Solar Finance Pty Ltd</t>
        </is>
      </c>
      <c r="F1092" s="716" t="n"/>
      <c r="G1092" s="716" t="n"/>
      <c r="H1092" s="462" t="n"/>
    </row>
    <row r="1093">
      <c r="A1093" s="182" t="inlineStr">
        <is>
          <t>E101096</t>
        </is>
      </c>
      <c r="B1093" s="767">
        <f>ROW()</f>
        <v/>
      </c>
      <c r="C1093" s="182" t="inlineStr">
        <is>
          <t>Cuu An Wind Power Joint Stock Company</t>
        </is>
      </c>
      <c r="D1093" s="182" t="inlineStr">
        <is>
          <t>ZI029E101095</t>
        </is>
      </c>
      <c r="E1093" s="182" t="inlineStr">
        <is>
          <t>JN Viet Nam Renewable Energy Company Limited</t>
        </is>
      </c>
      <c r="F1093" s="716" t="n"/>
      <c r="G1093" s="716" t="n"/>
      <c r="H1093" s="462" t="n"/>
    </row>
    <row r="1094">
      <c r="A1094" s="182" t="inlineStr">
        <is>
          <t>E100901</t>
        </is>
      </c>
      <c r="B1094" s="767">
        <f>ROW()</f>
        <v/>
      </c>
      <c r="C1094" s="182" t="inlineStr">
        <is>
          <t>深圳前海京平新能源技术服务有限公司</t>
        </is>
      </c>
      <c r="D1094" s="182" t="inlineStr">
        <is>
          <t>ZI029E100730</t>
        </is>
      </c>
      <c r="E1094" s="182" t="inlineStr">
        <is>
          <t>京能国际能源发展（北京）有限公司</t>
        </is>
      </c>
      <c r="F1094" s="716" t="n"/>
      <c r="G1094" s="716" t="n"/>
      <c r="H1094" s="462" t="n"/>
    </row>
    <row r="1095">
      <c r="A1095" s="672" t="inlineStr">
        <is>
          <t>E101076</t>
        </is>
      </c>
      <c r="B1095" s="767">
        <f>ROW()</f>
        <v/>
      </c>
      <c r="C1095" s="182" t="inlineStr">
        <is>
          <t>京能胜科（海南）国际能源有限公司</t>
        </is>
      </c>
      <c r="D1095" s="182" t="inlineStr">
        <is>
          <t>ZI029E100883</t>
        </is>
      </c>
      <c r="E1095" s="182" t="inlineStr">
        <is>
          <t>Beijing Energy International Investment Limited</t>
        </is>
      </c>
      <c r="F1095" s="716" t="n"/>
      <c r="G1095" s="716" t="n"/>
      <c r="H1095" s="462" t="n"/>
    </row>
    <row r="1096">
      <c r="A1096" s="182" t="inlineStr">
        <is>
          <t>E100905</t>
        </is>
      </c>
      <c r="B1096" s="767">
        <f>ROW()</f>
        <v/>
      </c>
      <c r="C1096" s="182" t="inlineStr">
        <is>
          <t>南宫市国顺新能源科技有限公司</t>
        </is>
      </c>
      <c r="D1096" s="672" t="inlineStr">
        <is>
          <t>ZI029E101076</t>
        </is>
      </c>
      <c r="E1096" s="182" t="inlineStr">
        <is>
          <t>京能胜科（海南）国际能源有限公司</t>
        </is>
      </c>
      <c r="F1096" s="716" t="n"/>
      <c r="G1096" s="716" t="n"/>
      <c r="H1096" s="462" t="n"/>
    </row>
    <row r="1097">
      <c r="A1097" s="672" t="inlineStr">
        <is>
          <t>E100906</t>
        </is>
      </c>
      <c r="B1097" s="767">
        <f>ROW()</f>
        <v/>
      </c>
      <c r="C1097" s="182" t="inlineStr">
        <is>
          <t>广宗县国瑞能源有限公司</t>
        </is>
      </c>
      <c r="D1097" s="672" t="inlineStr">
        <is>
          <t>ZI029E101076</t>
        </is>
      </c>
      <c r="E1097" s="182" t="inlineStr">
        <is>
          <t>京能胜科（海南）国际能源有限公司</t>
        </is>
      </c>
      <c r="F1097" s="716" t="n"/>
      <c r="G1097" s="716" t="n"/>
      <c r="H1097" s="462" t="n"/>
    </row>
    <row r="1098">
      <c r="A1098" s="672" t="inlineStr">
        <is>
          <t>E101132</t>
        </is>
      </c>
      <c r="B1098" s="767">
        <f>ROW()</f>
        <v/>
      </c>
      <c r="C1098" s="182" t="inlineStr">
        <is>
          <t>内蒙古京能岱海新能源有限公司</t>
        </is>
      </c>
      <c r="D1098" s="182" t="inlineStr">
        <is>
          <t>ZI029E100145</t>
        </is>
      </c>
      <c r="E1098" s="182" t="inlineStr">
        <is>
          <t>北京京能电力股份有限公司</t>
        </is>
      </c>
      <c r="F1098" s="716" t="n"/>
      <c r="G1098" s="716" t="n"/>
      <c r="H1098" s="462" t="n"/>
    </row>
    <row r="1099">
      <c r="A1099" s="182" t="inlineStr">
        <is>
          <t>E100931</t>
        </is>
      </c>
      <c r="B1099" s="767">
        <f>ROW()</f>
        <v/>
      </c>
      <c r="C1099" s="182" t="inlineStr">
        <is>
          <t>南宫市国瑞新能源科技有限公司</t>
        </is>
      </c>
      <c r="D1099" s="182" t="inlineStr">
        <is>
          <t>ZI029E100730</t>
        </is>
      </c>
      <c r="E1099" s="182" t="inlineStr">
        <is>
          <t>京能国际能源发展（北京）有限公司</t>
        </is>
      </c>
      <c r="F1099" s="716" t="n"/>
      <c r="G1099" s="716" t="n"/>
      <c r="H1099" s="462" t="n"/>
    </row>
    <row r="1100">
      <c r="A1100" s="672" t="inlineStr">
        <is>
          <t>E101145</t>
        </is>
      </c>
      <c r="B1100" s="767">
        <f>ROW()</f>
        <v/>
      </c>
      <c r="C1100" s="182">
        <f>IF(_epmOfflineCondition_,"南宁京能清洁能源有限公司",EPMMemberDesc(A1100))</f>
        <v/>
      </c>
      <c r="D1100" s="182" t="inlineStr">
        <is>
          <t>ZI029E100001</t>
        </is>
      </c>
      <c r="E1100" s="182" t="inlineStr">
        <is>
          <t>北京京能清洁能源电力股份有限公司</t>
        </is>
      </c>
      <c r="F1100" s="716" t="n"/>
      <c r="G1100" s="716" t="n"/>
      <c r="H1100" s="462" t="n"/>
    </row>
    <row r="1101">
      <c r="A1101" s="672" t="inlineStr">
        <is>
          <t>E101178</t>
        </is>
      </c>
      <c r="B1101" s="767">
        <f>ROW()</f>
        <v/>
      </c>
      <c r="C1101" s="182" t="inlineStr">
        <is>
          <t>北京市昌平区颐寿轩养老服务中心</t>
        </is>
      </c>
      <c r="D1101" s="182" t="inlineStr">
        <is>
          <t>ZI029E100346</t>
        </is>
      </c>
      <c r="E1101" s="182" t="inlineStr">
        <is>
          <t>北京颐寿轩敬老院</t>
        </is>
      </c>
      <c r="F1101" s="716" t="n"/>
      <c r="G1101" s="716" t="n"/>
      <c r="H1101" s="462" t="n"/>
    </row>
    <row r="1102">
      <c r="A1102" s="672" t="inlineStr">
        <is>
          <t>E101332</t>
        </is>
      </c>
      <c r="B1102" s="767">
        <f>ROW()</f>
        <v/>
      </c>
      <c r="C1102" s="182" t="inlineStr">
        <is>
          <t>北京市昌平区颐寿轩护理院</t>
        </is>
      </c>
      <c r="D1102" s="182" t="inlineStr">
        <is>
          <t>ZI029E100346</t>
        </is>
      </c>
      <c r="E1102" s="182" t="inlineStr">
        <is>
          <t>北京颐寿轩敬老院</t>
        </is>
      </c>
      <c r="F1102" s="716" t="n"/>
      <c r="G1102" s="716" t="n"/>
      <c r="H1102" s="462" t="n"/>
    </row>
    <row r="1103">
      <c r="A1103" s="672" t="inlineStr">
        <is>
          <t>E101162</t>
        </is>
      </c>
      <c r="B1103" s="767">
        <f>ROW()</f>
        <v/>
      </c>
      <c r="C1103" s="182" t="inlineStr">
        <is>
          <t>京能科技（易县）有限公司</t>
        </is>
      </c>
      <c r="D1103" s="182" t="inlineStr">
        <is>
          <t>ZI029E100371</t>
        </is>
      </c>
      <c r="E1103" s="182" t="inlineStr">
        <is>
          <t>北京京能科技有限公司</t>
        </is>
      </c>
      <c r="F1103" s="716" t="n"/>
      <c r="G1103" s="716" t="n"/>
      <c r="H1103" s="462" t="n"/>
    </row>
    <row r="1104">
      <c r="A1104" s="672" t="inlineStr">
        <is>
          <t>E101173</t>
        </is>
      </c>
      <c r="B1104" s="767">
        <f>ROW()</f>
        <v/>
      </c>
      <c r="C1104" s="182" t="inlineStr">
        <is>
          <t>监利县浩丰绿色能源科技有限公司</t>
        </is>
      </c>
      <c r="D1104" s="182" t="inlineStr">
        <is>
          <t>ZI029E100001</t>
        </is>
      </c>
      <c r="E1104" s="182" t="inlineStr">
        <is>
          <t>北京京能清洁能源电力股份有限公司</t>
        </is>
      </c>
      <c r="F1104" s="716" t="n"/>
      <c r="G1104" s="716" t="n"/>
      <c r="H1104" s="462" t="n"/>
    </row>
    <row r="1105">
      <c r="A1105" s="672" t="inlineStr">
        <is>
          <t>E101175</t>
        </is>
      </c>
      <c r="B1105" s="767">
        <f>ROW()</f>
        <v/>
      </c>
      <c r="C1105" s="182" t="inlineStr">
        <is>
          <t>乌鲁木齐鑫禾光晟电力科技有限公司</t>
        </is>
      </c>
      <c r="D1105" s="182" t="inlineStr">
        <is>
          <t>ZI029E100001</t>
        </is>
      </c>
      <c r="E1105" s="182" t="inlineStr">
        <is>
          <t>北京京能清洁能源电力股份有限公司</t>
        </is>
      </c>
      <c r="F1105" s="716" t="n"/>
      <c r="G1105" s="716" t="n"/>
      <c r="H1105" s="462" t="n"/>
    </row>
    <row r="1106">
      <c r="A1106" s="672" t="inlineStr">
        <is>
          <t>E101176</t>
        </is>
      </c>
      <c r="B1106" s="767">
        <f>ROW()</f>
        <v/>
      </c>
      <c r="C1106" s="182" t="inlineStr">
        <is>
          <t>霍城县光晟光伏发电有限公司</t>
        </is>
      </c>
      <c r="D1106" s="182" t="inlineStr">
        <is>
          <t>ZI029E101175</t>
        </is>
      </c>
      <c r="E1106" s="182" t="inlineStr">
        <is>
          <t>乌鲁木齐鑫禾光晟电力科技有限公司</t>
        </is>
      </c>
      <c r="F1106" s="716" t="n"/>
      <c r="G1106" s="716" t="n"/>
      <c r="H1106" s="462" t="n"/>
    </row>
    <row r="1107">
      <c r="A1107" s="672" t="inlineStr">
        <is>
          <t>E101177</t>
        </is>
      </c>
      <c r="B1107" s="767">
        <f>ROW()</f>
        <v/>
      </c>
      <c r="C1107" s="182" t="inlineStr">
        <is>
          <t>宁夏泽华新能源有限公司</t>
        </is>
      </c>
      <c r="D1107" s="182" t="inlineStr">
        <is>
          <t>ZI029E100001</t>
        </is>
      </c>
      <c r="E1107" s="182" t="inlineStr">
        <is>
          <t>北京京能清洁能源电力股份有限公司</t>
        </is>
      </c>
      <c r="F1107" s="716" t="n"/>
      <c r="G1107" s="716" t="n"/>
      <c r="H1107" s="462" t="n"/>
    </row>
    <row r="1108">
      <c r="A1108" s="672" t="inlineStr">
        <is>
          <t>E101174</t>
        </is>
      </c>
      <c r="B1108" s="767">
        <f>ROW()</f>
        <v/>
      </c>
      <c r="C1108" s="182" t="inlineStr">
        <is>
          <t>北京京能综合能源有限公司</t>
        </is>
      </c>
      <c r="D1108" s="182" t="inlineStr">
        <is>
          <t>ZI029E100001</t>
        </is>
      </c>
      <c r="E1108" s="182" t="inlineStr">
        <is>
          <t>北京京能清洁能源电力股份有限公司</t>
        </is>
      </c>
      <c r="F1108" s="716" t="n"/>
      <c r="G1108" s="716" t="n"/>
      <c r="H1108" s="462" t="n"/>
    </row>
    <row r="1109">
      <c r="A1109" s="672" t="inlineStr">
        <is>
          <t>E101182</t>
        </is>
      </c>
      <c r="B1109" s="767">
        <f>ROW()</f>
        <v/>
      </c>
      <c r="C1109" s="182" t="inlineStr">
        <is>
          <t>北京瑞和保险经纪有限公司</t>
        </is>
      </c>
      <c r="D1109" s="182" t="inlineStr">
        <is>
          <t>ZI029E100000</t>
        </is>
      </c>
      <c r="E1109" s="182" t="inlineStr">
        <is>
          <t>北京能源集团有限责任公司</t>
        </is>
      </c>
      <c r="F1109" s="716" t="n"/>
      <c r="G1109" s="716" t="n"/>
      <c r="H1109" s="462" t="n"/>
    </row>
    <row r="1110">
      <c r="A1110" s="672" t="inlineStr">
        <is>
          <t>E101160</t>
        </is>
      </c>
      <c r="B1110" s="767">
        <f>ROW()</f>
        <v/>
      </c>
      <c r="C1110" s="182" t="inlineStr">
        <is>
          <t>横峰县晶能电力有限公司</t>
        </is>
      </c>
      <c r="D1110" s="182" t="inlineStr">
        <is>
          <t>ZI029E100001</t>
        </is>
      </c>
      <c r="E1110" s="182" t="inlineStr">
        <is>
          <t>北京京能清洁能源电力股份有限公司</t>
        </is>
      </c>
      <c r="F1110" s="716" t="n"/>
      <c r="G1110" s="716" t="n"/>
      <c r="H1110" s="462" t="n"/>
    </row>
    <row r="1111">
      <c r="A1111" s="672" t="inlineStr">
        <is>
          <t>E101144</t>
        </is>
      </c>
      <c r="B1111" s="767">
        <f>ROW()</f>
        <v/>
      </c>
      <c r="C1111" s="182" t="inlineStr">
        <is>
          <t>横峰县晶源电力有限公司</t>
        </is>
      </c>
      <c r="D1111" s="182" t="inlineStr">
        <is>
          <t>ZI029E100001</t>
        </is>
      </c>
      <c r="E1111" s="182" t="inlineStr">
        <is>
          <t>北京京能清洁能源电力股份有限公司</t>
        </is>
      </c>
      <c r="F1111" s="716" t="n"/>
      <c r="G1111" s="716" t="n"/>
      <c r="H1111" s="462" t="n"/>
    </row>
    <row r="1112">
      <c r="A1112" s="672" t="inlineStr">
        <is>
          <t>E101188</t>
        </is>
      </c>
      <c r="B1112" s="767">
        <f>ROW()</f>
        <v/>
      </c>
      <c r="C1112" s="182" t="inlineStr">
        <is>
          <t>亚洲新能源（宝应）风力发电有限公司</t>
        </is>
      </c>
      <c r="D1112" s="182" t="inlineStr">
        <is>
          <t>ZI029E100730</t>
        </is>
      </c>
      <c r="E1112" s="182" t="inlineStr">
        <is>
          <t>京能国际能源发展（北京）有限公司</t>
        </is>
      </c>
      <c r="F1112" s="716" t="n"/>
      <c r="G1112" s="716" t="n"/>
      <c r="H1112" s="462" t="n"/>
    </row>
    <row r="1113">
      <c r="A1113" s="672" t="inlineStr">
        <is>
          <t>E101191</t>
        </is>
      </c>
      <c r="B1113" s="767">
        <f>ROW()</f>
        <v/>
      </c>
      <c r="C1113" s="182" t="inlineStr">
        <is>
          <t>云南保山槟榔江水电开发有限公司</t>
        </is>
      </c>
      <c r="D1113" s="182" t="inlineStr">
        <is>
          <t>ZI029E101190</t>
        </is>
      </c>
      <c r="E1113" s="182" t="inlineStr">
        <is>
          <t>保山能源发展股份有限公司</t>
        </is>
      </c>
      <c r="F1113" s="716" t="n"/>
      <c r="G1113" s="716" t="n"/>
      <c r="H1113" s="462" t="n"/>
    </row>
    <row r="1114">
      <c r="A1114" s="672" t="inlineStr">
        <is>
          <t>E101192</t>
        </is>
      </c>
      <c r="B1114" s="767">
        <f>ROW()</f>
        <v/>
      </c>
      <c r="C1114" s="182" t="inlineStr">
        <is>
          <t>保山龙川江水电开发有限公司</t>
        </is>
      </c>
      <c r="D1114" s="182" t="inlineStr">
        <is>
          <t>ZI029E101190</t>
        </is>
      </c>
      <c r="E1114" s="182" t="inlineStr">
        <is>
          <t>保山能源发展股份有限公司</t>
        </is>
      </c>
      <c r="F1114" s="716" t="n"/>
      <c r="G1114" s="716" t="n"/>
      <c r="H1114" s="462" t="n"/>
    </row>
    <row r="1115">
      <c r="A1115" s="672" t="inlineStr">
        <is>
          <t>E101190</t>
        </is>
      </c>
      <c r="B1115" s="767">
        <f>ROW()</f>
        <v/>
      </c>
      <c r="C1115" s="182" t="inlineStr">
        <is>
          <t>保山能源发展股份有限公司</t>
        </is>
      </c>
      <c r="D1115" s="182" t="inlineStr">
        <is>
          <t>ZI029E101184</t>
        </is>
      </c>
      <c r="E1115" s="182" t="inlineStr">
        <is>
          <t>北京云保能源开发有限公司</t>
        </is>
      </c>
      <c r="F1115" s="716" t="n"/>
      <c r="G1115" s="716" t="n"/>
      <c r="H1115" s="462" t="n"/>
    </row>
    <row r="1116">
      <c r="A1116" s="672" t="inlineStr">
        <is>
          <t>E101164</t>
        </is>
      </c>
      <c r="B1116" s="767">
        <f>ROW()</f>
        <v/>
      </c>
      <c r="C1116" s="182" t="inlineStr">
        <is>
          <t>广东安晟新能源有限公司</t>
        </is>
      </c>
      <c r="D1116" s="182" t="inlineStr">
        <is>
          <t>ZI029E100001</t>
        </is>
      </c>
      <c r="E1116" s="182" t="inlineStr">
        <is>
          <t>北京清洁能源电力股份有限公司</t>
        </is>
      </c>
      <c r="F1116" s="716" t="n"/>
      <c r="G1116" s="716" t="n"/>
      <c r="H1116" s="462" t="n"/>
    </row>
    <row r="1117">
      <c r="A1117" s="672" t="inlineStr">
        <is>
          <t>E101163</t>
        </is>
      </c>
      <c r="B1117" s="767">
        <f>ROW()</f>
        <v/>
      </c>
      <c r="C1117" s="182" t="inlineStr">
        <is>
          <t>广东耀胜新能源有限公司</t>
        </is>
      </c>
      <c r="D1117" s="182" t="inlineStr">
        <is>
          <t>ZI029E101164</t>
        </is>
      </c>
      <c r="E1117" s="182" t="inlineStr">
        <is>
          <t>广东安晟新能源有限公司</t>
        </is>
      </c>
      <c r="F1117" s="716" t="n"/>
      <c r="G1117" s="716" t="n"/>
      <c r="H1117" s="462" t="n"/>
    </row>
    <row r="1118">
      <c r="A1118" s="672" t="inlineStr">
        <is>
          <t>E101166</t>
        </is>
      </c>
      <c r="B1118" s="767">
        <f>ROW()</f>
        <v/>
      </c>
      <c r="C1118" s="182" t="inlineStr">
        <is>
          <t>厦门阳万丈清洁能源有限公司</t>
        </is>
      </c>
      <c r="D1118" s="182" t="inlineStr">
        <is>
          <t>ZI029E100001</t>
        </is>
      </c>
      <c r="E1118" s="182" t="inlineStr">
        <is>
          <t>北京清洁能源电力股份有限公司</t>
        </is>
      </c>
      <c r="F1118" s="716" t="n"/>
      <c r="G1118" s="716" t="n"/>
      <c r="H1118" s="462" t="n"/>
    </row>
    <row r="1119">
      <c r="A1119" s="672" t="inlineStr">
        <is>
          <t>E101161</t>
        </is>
      </c>
      <c r="B1119" s="767">
        <f>ROW()</f>
        <v/>
      </c>
      <c r="C1119" s="182" t="inlineStr">
        <is>
          <t>泉州市立欢清洁能源有限公司</t>
        </is>
      </c>
      <c r="D1119" s="182" t="inlineStr">
        <is>
          <t>ZI029E101166</t>
        </is>
      </c>
      <c r="E1119" s="182" t="inlineStr">
        <is>
          <t>厦门阳万丈清洁能源有限公司</t>
        </is>
      </c>
      <c r="F1119" s="716" t="n"/>
      <c r="G1119" s="716" t="n"/>
      <c r="H1119" s="462" t="n"/>
    </row>
    <row r="1120">
      <c r="A1120" s="672" t="inlineStr">
        <is>
          <t>E101181</t>
        </is>
      </c>
      <c r="B1120" s="767">
        <f>ROW()</f>
        <v/>
      </c>
      <c r="C1120" s="182" t="inlineStr">
        <is>
          <t>化州京智新能源有限公司</t>
        </is>
      </c>
      <c r="D1120" s="182" t="inlineStr">
        <is>
          <t>ZI029E100001</t>
        </is>
      </c>
      <c r="E1120" s="182" t="inlineStr">
        <is>
          <t>北京清洁能源电力股份有限公司</t>
        </is>
      </c>
      <c r="F1120" s="716" t="n"/>
      <c r="G1120" s="716" t="n"/>
      <c r="H1120" s="462" t="n"/>
    </row>
    <row r="1121">
      <c r="A1121" s="672" t="inlineStr">
        <is>
          <t>E101187</t>
        </is>
      </c>
      <c r="B1121" s="767">
        <f>ROW()</f>
        <v/>
      </c>
      <c r="C1121" s="182" t="inlineStr">
        <is>
          <t>横峰县晶泰电力有限公司</t>
        </is>
      </c>
      <c r="D1121" s="182" t="inlineStr">
        <is>
          <t>ZI029E100001</t>
        </is>
      </c>
      <c r="E1121" s="182" t="inlineStr">
        <is>
          <t>北京清洁能源电力股份有限公司</t>
        </is>
      </c>
      <c r="F1121" s="716" t="n"/>
      <c r="G1121" s="716" t="n"/>
      <c r="H1121" s="462" t="n"/>
    </row>
    <row r="1122">
      <c r="A1122" s="672" t="inlineStr">
        <is>
          <t>E101148</t>
        </is>
      </c>
      <c r="B1122" s="767">
        <f>ROW()</f>
        <v/>
      </c>
      <c r="C1122" s="672" t="inlineStr">
        <is>
          <t>桂林京能清洁能源有限公司</t>
        </is>
      </c>
      <c r="D1122" s="182" t="inlineStr">
        <is>
          <t>ZI029E100001</t>
        </is>
      </c>
      <c r="E1122" s="182" t="inlineStr">
        <is>
          <t>北京清洁能源电力股份有限公司</t>
        </is>
      </c>
      <c r="F1122" s="716" t="n"/>
      <c r="G1122" s="716" t="n"/>
      <c r="H1122" s="462" t="n"/>
    </row>
    <row r="1123">
      <c r="A1123" s="672" t="inlineStr">
        <is>
          <t>E100846</t>
        </is>
      </c>
      <c r="B1123" s="767">
        <f>ROW()</f>
        <v/>
      </c>
      <c r="C1123" s="672" t="inlineStr">
        <is>
          <t>内蒙古京能准旗新能源有限公司</t>
        </is>
      </c>
      <c r="D1123" s="672" t="inlineStr">
        <is>
          <t>ZI029E100145</t>
        </is>
      </c>
      <c r="E1123" s="672" t="inlineStr">
        <is>
          <t>北京京能电力股份有限公司</t>
        </is>
      </c>
      <c r="F1123" s="716" t="n"/>
      <c r="G1123" s="716" t="n"/>
      <c r="H1123" s="462" t="n"/>
    </row>
    <row r="1124">
      <c r="A1124" s="672" t="inlineStr">
        <is>
          <t>E101203</t>
        </is>
      </c>
      <c r="B1124" s="767">
        <f>ROW()</f>
        <v/>
      </c>
      <c r="C1124" s="672" t="inlineStr">
        <is>
          <t>南京津美宇新能源有限公司</t>
        </is>
      </c>
      <c r="D1124" s="672" t="inlineStr">
        <is>
          <t>ZI029E100001</t>
        </is>
      </c>
      <c r="E1124" s="672" t="inlineStr">
        <is>
          <t>北京京能清洁能源电力股份有限公司</t>
        </is>
      </c>
      <c r="F1124" s="716" t="n"/>
      <c r="G1124" s="716" t="n"/>
      <c r="H1124" s="462" t="n"/>
    </row>
    <row r="1125">
      <c r="A1125" s="672" t="inlineStr">
        <is>
          <t>E101204</t>
        </is>
      </c>
      <c r="B1125" s="767">
        <f>ROW()</f>
        <v/>
      </c>
      <c r="C1125" s="672" t="inlineStr">
        <is>
          <t>天津美达光伏发电有限公司</t>
        </is>
      </c>
      <c r="D1125" s="672" t="inlineStr">
        <is>
          <t>ZI029E101203</t>
        </is>
      </c>
      <c r="E1125" s="672" t="inlineStr">
        <is>
          <t>南京津美宇新能源有限公司</t>
        </is>
      </c>
      <c r="F1125" s="716" t="n"/>
      <c r="G1125" s="716" t="n"/>
      <c r="H1125" s="462" t="n"/>
    </row>
    <row r="1126">
      <c r="A1126" s="672" t="inlineStr">
        <is>
          <t>E101194</t>
        </is>
      </c>
      <c r="B1126" s="767">
        <f>ROW()</f>
        <v/>
      </c>
      <c r="C1126" s="182" t="inlineStr">
        <is>
          <t>京能（昆明）新能源有限公司</t>
        </is>
      </c>
      <c r="D1126" s="182" t="inlineStr">
        <is>
          <t>ZI029E100883</t>
        </is>
      </c>
      <c r="E1126" s="182" t="inlineStr">
        <is>
          <t>Beijing Energy International Investment Limited</t>
        </is>
      </c>
      <c r="F1126" s="716" t="n"/>
      <c r="G1126" s="716" t="n"/>
      <c r="H1126" s="462" t="n"/>
    </row>
    <row r="1127">
      <c r="A1127" s="672" t="inlineStr">
        <is>
          <t>E101137</t>
        </is>
      </c>
      <c r="B1127" s="767">
        <f>ROW()</f>
        <v/>
      </c>
      <c r="C1127" s="182" t="inlineStr">
        <is>
          <t>内蒙古京海煤矸石发电有限责任公司水泥分公司</t>
        </is>
      </c>
      <c r="D1127" s="672" t="inlineStr">
        <is>
          <t>ZI029E100145</t>
        </is>
      </c>
      <c r="E1127" s="182" t="inlineStr">
        <is>
          <t>北京京能电力股份有限公司</t>
        </is>
      </c>
      <c r="F1127" s="716" t="n"/>
      <c r="G1127" s="716" t="n"/>
      <c r="H1127" s="462" t="n"/>
    </row>
    <row r="1128">
      <c r="A1128" s="672" t="inlineStr">
        <is>
          <t>E101197</t>
        </is>
      </c>
      <c r="B1128" s="767">
        <f>ROW()</f>
        <v/>
      </c>
      <c r="C1128" s="182" t="inlineStr">
        <is>
          <t>Moorabool Wind Farm (Holding) Pty Ltd</t>
        </is>
      </c>
      <c r="D1128" s="182" t="inlineStr">
        <is>
          <t>ZI029E101045</t>
        </is>
      </c>
      <c r="E1128" s="182" t="inlineStr">
        <is>
          <t>Beijing Energy International （Australia） Holding Pty Ltd</t>
        </is>
      </c>
      <c r="F1128" s="716" t="n"/>
      <c r="G1128" s="716" t="n"/>
      <c r="H1128" s="462" t="n"/>
    </row>
    <row r="1129">
      <c r="A1129" s="672" t="inlineStr">
        <is>
          <t>E101196</t>
        </is>
      </c>
      <c r="B1129" s="767">
        <f>ROW()</f>
        <v/>
      </c>
      <c r="C1129" s="182" t="inlineStr">
        <is>
          <t>Moorabool South Wind Farm (Holding) Pty Ltd</t>
        </is>
      </c>
      <c r="D1129" s="182" t="inlineStr">
        <is>
          <t>ZI029E101045</t>
        </is>
      </c>
      <c r="E1129" s="182" t="inlineStr">
        <is>
          <t>Beijing Energy International （Australia） Holding Pty Ltd</t>
        </is>
      </c>
      <c r="F1129" s="716" t="n"/>
      <c r="G1129" s="716" t="n"/>
      <c r="H1129" s="462" t="n"/>
    </row>
    <row r="1130">
      <c r="A1130" s="672" t="inlineStr">
        <is>
          <t>E101198</t>
        </is>
      </c>
      <c r="B1130" s="767">
        <f>ROW()</f>
        <v/>
      </c>
      <c r="C1130" s="182" t="inlineStr">
        <is>
          <t>Moorabool Wind Farm Pty Ltd</t>
        </is>
      </c>
      <c r="D1130" s="182" t="inlineStr">
        <is>
          <t>ZI029E101045</t>
        </is>
      </c>
      <c r="E1130" s="182" t="inlineStr">
        <is>
          <t>Beijing Energy International （Australia） Holding Pty Ltd</t>
        </is>
      </c>
      <c r="F1130" s="716" t="n"/>
      <c r="G1130" s="716" t="n"/>
      <c r="H1130" s="462" t="n"/>
    </row>
    <row r="1131">
      <c r="A1131" s="672" t="inlineStr">
        <is>
          <t>E101200</t>
        </is>
      </c>
      <c r="B1131" s="767">
        <f>ROW()</f>
        <v/>
      </c>
      <c r="C1131" s="182" t="inlineStr">
        <is>
          <t>Moorabool Interface Company Pty Ltd</t>
        </is>
      </c>
      <c r="D1131" s="182" t="inlineStr">
        <is>
          <t>ZI029E101045</t>
        </is>
      </c>
      <c r="E1131" s="182" t="inlineStr">
        <is>
          <t>Beijing Energy International （Australia） Holding Pty Ltd</t>
        </is>
      </c>
      <c r="F1131" s="716" t="n"/>
      <c r="G1131" s="716" t="n"/>
      <c r="H1131" s="462" t="n"/>
    </row>
    <row r="1132">
      <c r="A1132" s="672" t="inlineStr">
        <is>
          <t>E101199</t>
        </is>
      </c>
      <c r="B1132" s="767">
        <f>ROW()</f>
        <v/>
      </c>
      <c r="C1132" s="182" t="inlineStr">
        <is>
          <t>Moorabool South Wind Farm Pty Ltd</t>
        </is>
      </c>
      <c r="D1132" s="182" t="inlineStr">
        <is>
          <t>ZI029E101045</t>
        </is>
      </c>
      <c r="E1132" s="182" t="inlineStr">
        <is>
          <t>Beijing Energy International （Australia） Holding Pty Ltd</t>
        </is>
      </c>
      <c r="F1132" s="716" t="n"/>
      <c r="G1132" s="716" t="n"/>
      <c r="H1132" s="462" t="n"/>
    </row>
    <row r="1133">
      <c r="A1133" s="672" t="inlineStr">
        <is>
          <t>E101202</t>
        </is>
      </c>
      <c r="B1133" s="767">
        <f>ROW()</f>
        <v/>
      </c>
      <c r="C1133" s="182" t="inlineStr">
        <is>
          <t>北京京润仁康医疗器械有限公司</t>
        </is>
      </c>
      <c r="D1133" s="182" t="inlineStr">
        <is>
          <t>ZI029E100704</t>
        </is>
      </c>
      <c r="E1133" s="182" t="inlineStr">
        <is>
          <t>北京京润仁康控股有限公司</t>
        </is>
      </c>
      <c r="F1133" s="716" t="n"/>
      <c r="G1133" s="716" t="n"/>
      <c r="H1133" s="462" t="n"/>
    </row>
    <row r="1134">
      <c r="A1134" s="672" t="inlineStr">
        <is>
          <t>E101071</t>
        </is>
      </c>
      <c r="B1134" s="767">
        <f>ROW()</f>
        <v/>
      </c>
      <c r="C1134" s="672" t="inlineStr">
        <is>
          <t>京能（阳西）综合能源有限公司</t>
        </is>
      </c>
      <c r="D1134" s="672" t="inlineStr">
        <is>
          <t>ZI029E100748</t>
        </is>
      </c>
      <c r="E1134" s="182" t="inlineStr">
        <is>
          <t>北京京能国际综合智慧能源有限公司</t>
        </is>
      </c>
      <c r="F1134" s="716" t="n"/>
      <c r="G1134" s="716" t="n"/>
      <c r="H1134" s="462" t="n"/>
    </row>
    <row r="1135">
      <c r="A1135" s="672" t="inlineStr">
        <is>
          <t>E101071</t>
        </is>
      </c>
      <c r="B1135" s="767">
        <f>ROW()</f>
        <v/>
      </c>
      <c r="C1135" s="672" t="inlineStr">
        <is>
          <t>京能（阳西）综合能源有限公司</t>
        </is>
      </c>
      <c r="D1135" s="672" t="inlineStr">
        <is>
          <t>ZI029E100729</t>
        </is>
      </c>
      <c r="E1135" s="672" t="inlineStr">
        <is>
          <t>北京京能国际控股有限公司</t>
        </is>
      </c>
      <c r="F1135" s="716" t="n"/>
      <c r="G1135" s="716" t="n"/>
      <c r="H1135" s="462" t="n"/>
    </row>
    <row r="1136">
      <c r="A1136" s="672" t="inlineStr">
        <is>
          <t>E101207</t>
        </is>
      </c>
      <c r="B1136" s="767">
        <f>ROW()</f>
        <v/>
      </c>
      <c r="C1136" s="672" t="inlineStr">
        <is>
          <t>京盟润龙（通辽市）新能源有限公司</t>
        </is>
      </c>
      <c r="D1136" s="672" t="inlineStr">
        <is>
          <t>ZI029E100730</t>
        </is>
      </c>
      <c r="E1136" s="672" t="inlineStr">
        <is>
          <t>京能国际能源发展（北京）有限公司</t>
        </is>
      </c>
      <c r="F1136" s="716" t="n"/>
      <c r="G1136" s="716" t="n"/>
      <c r="H1136" s="462" t="n"/>
    </row>
    <row r="1137">
      <c r="A1137" s="672" t="inlineStr">
        <is>
          <t>E101336</t>
        </is>
      </c>
      <c r="B1137" s="767">
        <f>ROW()</f>
        <v/>
      </c>
      <c r="C1137" s="672" t="inlineStr">
        <is>
          <t>盛唐贰号（天津）企业管理合伙企业（有限合伙）</t>
        </is>
      </c>
      <c r="D1137" s="672" t="inlineStr">
        <is>
          <t>ZI029E100730</t>
        </is>
      </c>
      <c r="E1137" s="672" t="inlineStr">
        <is>
          <t>京能国际能源发展（北京）有限公司</t>
        </is>
      </c>
      <c r="F1137" s="716" t="n"/>
      <c r="G1137" s="716" t="n"/>
      <c r="H1137" s="462" t="n"/>
    </row>
    <row r="1138">
      <c r="A1138" s="672" t="inlineStr">
        <is>
          <t>E101336</t>
        </is>
      </c>
      <c r="B1138" s="767">
        <f>ROW()</f>
        <v/>
      </c>
      <c r="C1138" s="182" t="inlineStr">
        <is>
          <t>盛唐壹号(天津) 企业管理合伙企业(有限合伙）</t>
        </is>
      </c>
      <c r="D1138" s="182" t="inlineStr">
        <is>
          <t>ZI029E100941</t>
        </is>
      </c>
      <c r="E1138" s="182" t="inlineStr">
        <is>
          <t>北京国电盛唐科技发展有限公司</t>
        </is>
      </c>
      <c r="F1138" s="716" t="n"/>
      <c r="G1138" s="716" t="n"/>
      <c r="H1138" s="462" t="n"/>
    </row>
    <row r="1139">
      <c r="A1139" s="672" t="inlineStr">
        <is>
          <t>E101090</t>
        </is>
      </c>
      <c r="B1139" s="767">
        <f>ROW()</f>
        <v/>
      </c>
      <c r="C1139" s="182" t="inlineStr">
        <is>
          <t>广西百色京耀综合能源服务有限公司</t>
        </is>
      </c>
      <c r="D1139" s="672" t="inlineStr">
        <is>
          <t>ZI029E100748</t>
        </is>
      </c>
      <c r="E1139" s="182" t="inlineStr">
        <is>
          <t>北京京能国际综合智慧能源有限公司</t>
        </is>
      </c>
      <c r="F1139" s="716" t="n"/>
      <c r="G1139" s="716" t="n"/>
      <c r="H1139" s="462" t="n"/>
    </row>
    <row r="1140">
      <c r="A1140" s="672" t="inlineStr">
        <is>
          <t>E101150</t>
        </is>
      </c>
      <c r="B1140" s="767">
        <f>ROW()</f>
        <v/>
      </c>
      <c r="C1140" s="672" t="inlineStr">
        <is>
          <t>西良周（北京）农业科技有限公司</t>
        </is>
      </c>
      <c r="D1140" s="672" t="inlineStr">
        <is>
          <t>ZI029E100748</t>
        </is>
      </c>
      <c r="E1140" s="182" t="inlineStr">
        <is>
          <t>北京京能国际综合智慧能源有限公司</t>
        </is>
      </c>
      <c r="F1140" s="716" t="n"/>
      <c r="G1140" s="716" t="n"/>
      <c r="H1140" s="462" t="n"/>
    </row>
    <row r="1141">
      <c r="A1141" s="672" t="inlineStr">
        <is>
          <t>E101211</t>
        </is>
      </c>
      <c r="B1141" s="767">
        <f>ROW()</f>
        <v/>
      </c>
      <c r="C1141" s="672" t="inlineStr">
        <is>
          <t>航远5号集合资金信托计划</t>
        </is>
      </c>
      <c r="D1141" s="182" t="inlineStr">
        <is>
          <t>ZI029E100191</t>
        </is>
      </c>
      <c r="E1141" s="182" t="inlineStr">
        <is>
          <t>北京乐多港发展有限公司</t>
        </is>
      </c>
      <c r="F1141" s="716" t="n"/>
      <c r="G1141" s="716" t="n"/>
      <c r="H1141" s="462" t="n"/>
    </row>
    <row r="1142">
      <c r="A1142" s="672" t="inlineStr">
        <is>
          <t>E101211</t>
        </is>
      </c>
      <c r="B1142" s="767">
        <f>ROW()</f>
        <v/>
      </c>
      <c r="C1142" s="672" t="inlineStr">
        <is>
          <t>航远5号集合资金信托计划</t>
        </is>
      </c>
      <c r="D1142" s="182" t="inlineStr">
        <is>
          <t>ZI029E100268</t>
        </is>
      </c>
      <c r="E1142" s="182" t="inlineStr">
        <is>
          <t>北京京煤集团有限责任公司</t>
        </is>
      </c>
      <c r="F1142" s="716" t="n"/>
      <c r="G1142" s="716" t="n"/>
      <c r="H1142" s="462" t="n"/>
    </row>
    <row r="1143">
      <c r="A1143" s="672" t="inlineStr">
        <is>
          <t>E101143</t>
        </is>
      </c>
      <c r="B1143" s="767">
        <f>ROW()</f>
        <v/>
      </c>
      <c r="C1143" s="672" t="inlineStr">
        <is>
          <t>灵寿县京实智慧新能源科技有限公司</t>
        </is>
      </c>
      <c r="D1143" s="182" t="inlineStr">
        <is>
          <t>ZI029E101142</t>
        </is>
      </c>
      <c r="E1143" s="182" t="inlineStr">
        <is>
          <t>灵寿县清智新能源科技有限公司</t>
        </is>
      </c>
      <c r="F1143" s="716" t="n"/>
      <c r="G1143" s="716" t="n"/>
      <c r="H1143" s="462" t="n"/>
    </row>
    <row r="1144">
      <c r="A1144" s="672" t="inlineStr">
        <is>
          <t>E101215</t>
        </is>
      </c>
      <c r="B1144" s="767">
        <f>ROW()</f>
        <v/>
      </c>
      <c r="C1144" s="182" t="inlineStr">
        <is>
          <t>北京京热兴怀能源有限责任公司</t>
        </is>
      </c>
      <c r="D1144" s="182" t="inlineStr">
        <is>
          <t>ZI029E100222</t>
        </is>
      </c>
      <c r="E1144" s="182" t="inlineStr">
        <is>
          <t>北京市热力集团有限责任公司</t>
        </is>
      </c>
      <c r="F1144" s="716" t="n"/>
      <c r="G1144" s="716" t="n"/>
      <c r="H1144" s="462" t="n"/>
    </row>
    <row r="1145">
      <c r="A1145" s="672" t="inlineStr">
        <is>
          <t>E101337</t>
        </is>
      </c>
      <c r="B1145" s="767">
        <f>ROW()</f>
        <v/>
      </c>
      <c r="C1145" s="182" t="inlineStr">
        <is>
          <t>北京铭泰能源管理科技有限公司</t>
        </is>
      </c>
      <c r="D1145" s="182" t="inlineStr">
        <is>
          <t>ZI029E100222</t>
        </is>
      </c>
      <c r="E1145" s="182" t="inlineStr">
        <is>
          <t>北京市热力集团有限责任公司</t>
        </is>
      </c>
      <c r="F1145" s="716" t="n"/>
      <c r="G1145" s="716" t="n"/>
      <c r="H1145" s="462" t="n"/>
    </row>
    <row r="1146">
      <c r="A1146" s="672" t="inlineStr">
        <is>
          <t>E101216</t>
        </is>
      </c>
      <c r="B1146" s="767">
        <f>ROW()</f>
        <v/>
      </c>
      <c r="C1146" s="182" t="inlineStr">
        <is>
          <t>航远6号集合资金信托计划</t>
        </is>
      </c>
      <c r="D1146" s="182" t="inlineStr">
        <is>
          <t>ZI029E100191</t>
        </is>
      </c>
      <c r="E1146" s="182" t="inlineStr">
        <is>
          <t>北京乐多港发展有限公司</t>
        </is>
      </c>
      <c r="F1146" s="716" t="n"/>
      <c r="G1146" s="716" t="n"/>
      <c r="H1146" s="462" t="n"/>
    </row>
    <row r="1147">
      <c r="A1147" s="672" t="inlineStr">
        <is>
          <t>E101216</t>
        </is>
      </c>
      <c r="B1147" s="767">
        <f>ROW()</f>
        <v/>
      </c>
      <c r="C1147" s="182" t="inlineStr">
        <is>
          <t>航远6号集合资金信托计划</t>
        </is>
      </c>
      <c r="D1147" s="182" t="inlineStr">
        <is>
          <t>ZI029E100268</t>
        </is>
      </c>
      <c r="E1147" s="182" t="inlineStr">
        <is>
          <t>北京京煤集团有限责任公司</t>
        </is>
      </c>
      <c r="F1147" s="716" t="n"/>
      <c r="G1147" s="716" t="n"/>
      <c r="H1147" s="462" t="n"/>
    </row>
    <row r="1148">
      <c r="A1148" s="672" t="inlineStr">
        <is>
          <t>E101206</t>
        </is>
      </c>
      <c r="B1148" s="767">
        <f>ROW()</f>
        <v/>
      </c>
      <c r="C1148" s="182" t="inlineStr">
        <is>
          <t>杭州有瑞电力科技有限公司</t>
        </is>
      </c>
      <c r="D1148" s="182" t="inlineStr">
        <is>
          <t>ZI029E100308</t>
        </is>
      </c>
      <c r="E1148" s="182" t="inlineStr">
        <is>
          <t>京能源深（苏州）能源科技有限公司</t>
        </is>
      </c>
      <c r="F1148" s="716" t="n"/>
      <c r="G1148" s="716" t="n"/>
      <c r="H1148" s="462" t="n"/>
    </row>
    <row r="1149">
      <c r="A1149" s="672" t="inlineStr">
        <is>
          <t>E101210</t>
        </is>
      </c>
      <c r="B1149" s="767">
        <f>ROW()</f>
        <v/>
      </c>
      <c r="C1149" s="182" t="inlineStr">
        <is>
          <t>阿巴嘎旗中天环保有限公司</t>
        </is>
      </c>
      <c r="D1149" s="182" t="inlineStr">
        <is>
          <t>ZI029E100189</t>
        </is>
      </c>
      <c r="E1149" s="182" t="inlineStr">
        <is>
          <t>京能锡林郭勒能源有限公司</t>
        </is>
      </c>
      <c r="F1149" s="716" t="n"/>
      <c r="G1149" s="716" t="n"/>
      <c r="H1149" s="462" t="n"/>
    </row>
    <row r="1150">
      <c r="A1150" s="672" t="inlineStr">
        <is>
          <t>E101186</t>
        </is>
      </c>
      <c r="B1150" s="767">
        <f>ROW()</f>
        <v/>
      </c>
      <c r="C1150" s="182" t="inlineStr">
        <is>
          <t>京南（北京）新能源有限公司</t>
        </is>
      </c>
      <c r="D1150" s="672" t="inlineStr">
        <is>
          <t>ZI029E100748</t>
        </is>
      </c>
      <c r="E1150" s="182" t="inlineStr">
        <is>
          <t>北京京能国际综合智慧能源有限公司</t>
        </is>
      </c>
      <c r="F1150" s="716" t="n"/>
      <c r="G1150" s="716" t="n"/>
      <c r="H1150" s="462" t="n"/>
    </row>
    <row r="1151">
      <c r="A1151" s="672" t="inlineStr">
        <is>
          <t>E101201</t>
        </is>
      </c>
      <c r="B1151" s="767">
        <f>ROW()</f>
        <v/>
      </c>
      <c r="C1151" s="182" t="inlineStr">
        <is>
          <t>京伏（上海）新能源有限公司</t>
        </is>
      </c>
      <c r="D1151" s="672" t="inlineStr">
        <is>
          <t>ZI029E100748</t>
        </is>
      </c>
      <c r="E1151" s="182" t="inlineStr">
        <is>
          <t>北京京能国际综合智慧能源有限公司</t>
        </is>
      </c>
      <c r="F1151" s="716" t="n"/>
      <c r="G1151" s="716" t="n"/>
      <c r="H1151" s="462" t="n"/>
    </row>
    <row r="1152">
      <c r="A1152" s="672" t="inlineStr">
        <is>
          <t>E101223</t>
        </is>
      </c>
      <c r="B1152" s="767">
        <f>ROW()</f>
        <v/>
      </c>
      <c r="C1152" s="182" t="inlineStr">
        <is>
          <t>亚洲新能源（金湖）风力发电有限公司</t>
        </is>
      </c>
      <c r="D1152" s="672" t="inlineStr">
        <is>
          <t>ZI029E100730</t>
        </is>
      </c>
      <c r="E1152" s="672" t="inlineStr">
        <is>
          <t>京能国际能源发展（北京）有限公司</t>
        </is>
      </c>
      <c r="F1152" s="716" t="n"/>
      <c r="G1152" s="716" t="n"/>
      <c r="H1152" s="462" t="n"/>
    </row>
    <row r="1153">
      <c r="A1153" s="672" t="inlineStr">
        <is>
          <t>E101084</t>
        </is>
      </c>
      <c r="B1153" s="767">
        <f>ROW()</f>
        <v/>
      </c>
      <c r="C1153" s="182" t="inlineStr">
        <is>
          <t>永登京能新能源电力有限公司</t>
        </is>
      </c>
      <c r="D1153" s="672" t="inlineStr">
        <is>
          <t>ZI029E100730</t>
        </is>
      </c>
      <c r="E1153" s="672" t="inlineStr">
        <is>
          <t>京能国际能源发展（北京）有限公司</t>
        </is>
      </c>
      <c r="F1153" s="716" t="n"/>
      <c r="G1153" s="716" t="n"/>
      <c r="H1153" s="462" t="n"/>
    </row>
    <row r="1154">
      <c r="A1154" s="672" t="inlineStr">
        <is>
          <t>E101184</t>
        </is>
      </c>
      <c r="B1154" s="767">
        <f>ROW()</f>
        <v/>
      </c>
      <c r="C1154" s="182" t="inlineStr">
        <is>
          <t>北京云保能源开发有限公司</t>
        </is>
      </c>
      <c r="D1154" s="672" t="inlineStr">
        <is>
          <t>ZI029E100729</t>
        </is>
      </c>
      <c r="E1154" s="672" t="inlineStr">
        <is>
          <t>北京京能国际控股有限公司</t>
        </is>
      </c>
      <c r="F1154" s="716" t="n"/>
      <c r="G1154" s="716" t="n"/>
      <c r="H1154" s="462" t="n"/>
    </row>
    <row r="1155">
      <c r="A1155" s="672" t="inlineStr">
        <is>
          <t>E101205</t>
        </is>
      </c>
      <c r="B1155" s="767">
        <f>ROW()</f>
        <v/>
      </c>
      <c r="C1155" s="182" t="inlineStr">
        <is>
          <t>黑龙江京望新能源有限公司</t>
        </is>
      </c>
      <c r="D1155" s="672" t="inlineStr">
        <is>
          <t>ZI029E100001</t>
        </is>
      </c>
      <c r="E1155" s="672" t="inlineStr">
        <is>
          <t>北京京能国际控股有限公司</t>
        </is>
      </c>
      <c r="F1155" s="716" t="n"/>
      <c r="G1155" s="716" t="n"/>
      <c r="H1155" s="462" t="n"/>
    </row>
    <row r="1156" ht="17" customHeight="1" s="1181">
      <c r="A1156" s="672" t="inlineStr">
        <is>
          <t>E101214</t>
        </is>
      </c>
      <c r="B1156" s="767">
        <f>ROW()</f>
        <v/>
      </c>
      <c r="C1156" s="771" t="inlineStr">
        <is>
          <t>河南省京能储能科技有限责任公司</t>
        </is>
      </c>
      <c r="D1156" s="672" t="inlineStr">
        <is>
          <t>ZI029E100145</t>
        </is>
      </c>
      <c r="E1156" s="672" t="inlineStr">
        <is>
          <t>北京京能电力股份有限公司</t>
        </is>
      </c>
      <c r="F1156" s="716" t="n"/>
      <c r="G1156" s="716" t="n"/>
      <c r="H1156" s="462" t="n"/>
    </row>
    <row r="1157">
      <c r="A1157" s="672" t="inlineStr">
        <is>
          <t>E101231</t>
        </is>
      </c>
      <c r="B1157" s="767">
        <f>ROW()</f>
        <v/>
      </c>
      <c r="C1157" s="182" t="inlineStr">
        <is>
          <t>京能（嘉兴）光伏发电有限公司</t>
        </is>
      </c>
      <c r="D1157" s="672" t="inlineStr">
        <is>
          <t>ZI029E100883</t>
        </is>
      </c>
      <c r="E1157" s="672" t="inlineStr">
        <is>
          <t>Beijing Energy International Investment Limited</t>
        </is>
      </c>
      <c r="F1157" s="716" t="n"/>
      <c r="G1157" s="716" t="n"/>
      <c r="H1157" s="462" t="n"/>
    </row>
    <row r="1158">
      <c r="A1158" s="672" t="inlineStr">
        <is>
          <t>E101219</t>
        </is>
      </c>
      <c r="B1158" s="767">
        <f>ROW()</f>
        <v/>
      </c>
      <c r="C1158" s="182" t="inlineStr">
        <is>
          <t>北京颐寿轩通和养老服务有限公司</t>
        </is>
      </c>
      <c r="D1158" s="672" t="inlineStr">
        <is>
          <t>ZI029E100776</t>
        </is>
      </c>
      <c r="E1158" s="672" t="inlineStr">
        <is>
          <t>北京健康养老集团有限公司</t>
        </is>
      </c>
      <c r="F1158" s="716" t="n"/>
      <c r="G1158" s="716" t="n"/>
      <c r="H1158" s="462" t="n"/>
    </row>
    <row r="1159">
      <c r="A1159" s="672" t="inlineStr">
        <is>
          <t>E101220</t>
        </is>
      </c>
      <c r="B1159" s="767">
        <f>ROW()</f>
        <v/>
      </c>
      <c r="C1159" s="182" t="inlineStr">
        <is>
          <t>北京颐寿轩养老产业有限公司</t>
        </is>
      </c>
      <c r="D1159" s="672" t="inlineStr">
        <is>
          <t>ZI029E100776</t>
        </is>
      </c>
      <c r="E1159" s="672" t="inlineStr">
        <is>
          <t>北京健康养老集团有限公司</t>
        </is>
      </c>
      <c r="F1159" s="716" t="n"/>
      <c r="G1159" s="716" t="n"/>
      <c r="H1159" s="462" t="n"/>
    </row>
    <row r="1160">
      <c r="A1160" s="672" t="inlineStr">
        <is>
          <t>E101221</t>
        </is>
      </c>
      <c r="B1160" s="767">
        <f>ROW()</f>
        <v/>
      </c>
      <c r="C1160" s="182" t="inlineStr">
        <is>
          <t>北京颐寿轩滨和养老服务有限公司</t>
        </is>
      </c>
      <c r="D1160" s="672" t="inlineStr">
        <is>
          <t>ZI029E100776</t>
        </is>
      </c>
      <c r="E1160" s="672" t="inlineStr">
        <is>
          <t>北京健康养老集团有限公司</t>
        </is>
      </c>
      <c r="F1160" s="716" t="n"/>
      <c r="G1160" s="716" t="n"/>
      <c r="H1160" s="462" t="n"/>
    </row>
    <row r="1161">
      <c r="A1161" s="672" t="inlineStr">
        <is>
          <t>E101222</t>
        </is>
      </c>
      <c r="B1161" s="767">
        <f>ROW()</f>
        <v/>
      </c>
      <c r="C1161" s="182" t="inlineStr">
        <is>
          <t>北京颐寿轩泰和养老服务有限公司</t>
        </is>
      </c>
      <c r="D1161" s="672" t="inlineStr">
        <is>
          <t>ZI029E100776</t>
        </is>
      </c>
      <c r="E1161" s="672" t="inlineStr">
        <is>
          <t>北京健康养老集团有限公司</t>
        </is>
      </c>
      <c r="F1161" s="716" t="n"/>
      <c r="G1161" s="716" t="n"/>
      <c r="H1161" s="462" t="n"/>
    </row>
    <row r="1162">
      <c r="A1162" s="672" t="inlineStr">
        <is>
          <t>E101235</t>
        </is>
      </c>
      <c r="B1162" s="767">
        <f>ROW()</f>
        <v/>
      </c>
      <c r="C1162" s="182" t="inlineStr">
        <is>
          <t>广东巨通新能源有限公司</t>
        </is>
      </c>
      <c r="D1162" s="182" t="inlineStr">
        <is>
          <t>ZI029E100001</t>
        </is>
      </c>
      <c r="E1162" s="182" t="inlineStr">
        <is>
          <t>北京京能清洁能源电力股份有限公司</t>
        </is>
      </c>
      <c r="F1162" s="716" t="n"/>
      <c r="G1162" s="716" t="n"/>
      <c r="H1162" s="462" t="n"/>
    </row>
    <row r="1163">
      <c r="A1163" s="672" t="inlineStr">
        <is>
          <t>E101236</t>
        </is>
      </c>
      <c r="B1163" s="767">
        <f>ROW()</f>
        <v/>
      </c>
      <c r="C1163" s="182" t="inlineStr">
        <is>
          <t>广东鹏泰新能源有限公司</t>
        </is>
      </c>
      <c r="D1163" s="182" t="inlineStr">
        <is>
          <t>ZI029E101235</t>
        </is>
      </c>
      <c r="E1163" s="182" t="inlineStr">
        <is>
          <t>广东巨通新能源有限公司</t>
        </is>
      </c>
      <c r="F1163" s="716" t="n"/>
      <c r="G1163" s="716" t="n"/>
      <c r="H1163" s="462" t="n"/>
    </row>
    <row r="1164">
      <c r="A1164" s="672" t="inlineStr">
        <is>
          <t>E101063</t>
        </is>
      </c>
      <c r="B1164" s="767">
        <f>ROW()</f>
        <v/>
      </c>
      <c r="C1164" s="182" t="inlineStr">
        <is>
          <t>通辽市铭龙新能源有限公司</t>
        </is>
      </c>
      <c r="D1164" s="672" t="inlineStr">
        <is>
          <t>ZI029E100730</t>
        </is>
      </c>
      <c r="E1164" s="672" t="inlineStr">
        <is>
          <t>京能国际能源发展（北京）有限公司</t>
        </is>
      </c>
      <c r="F1164" s="716" t="n"/>
      <c r="G1164" s="716" t="n"/>
      <c r="H1164" s="462" t="n"/>
    </row>
    <row r="1165">
      <c r="A1165" s="672" t="inlineStr">
        <is>
          <t>E101086</t>
        </is>
      </c>
      <c r="B1165" s="767">
        <f>ROW()</f>
        <v/>
      </c>
      <c r="C1165" s="182" t="inlineStr">
        <is>
          <t>京能（荣成）综合能源服务有限公司</t>
        </is>
      </c>
      <c r="D1165" s="182" t="inlineStr">
        <is>
          <t>ZI029E100748</t>
        </is>
      </c>
      <c r="E1165" s="182" t="inlineStr">
        <is>
          <t>北京京能国际综合智慧能源有限公司</t>
        </is>
      </c>
      <c r="F1165" s="716" t="n"/>
      <c r="G1165" s="716" t="n"/>
      <c r="H1165" s="462" t="n"/>
    </row>
    <row r="1166">
      <c r="A1166" s="672" t="inlineStr">
        <is>
          <t>E101208</t>
        </is>
      </c>
      <c r="B1166" s="767">
        <f>ROW()</f>
        <v/>
      </c>
      <c r="C1166" s="182" t="inlineStr">
        <is>
          <t>保山施甸焯阳新能源开发有限公司</t>
        </is>
      </c>
      <c r="D1166" s="182" t="inlineStr">
        <is>
          <t>ZI029E101190</t>
        </is>
      </c>
      <c r="E1166" s="182" t="inlineStr">
        <is>
          <t>保山能源发展股份有限公司</t>
        </is>
      </c>
      <c r="F1166" s="716" t="n"/>
      <c r="G1166" s="716" t="n"/>
      <c r="H1166" s="462" t="n"/>
    </row>
    <row r="1167">
      <c r="A1167" s="672" t="inlineStr">
        <is>
          <t>E101190G</t>
        </is>
      </c>
      <c r="B1167" s="767">
        <f>ROW()</f>
        <v/>
      </c>
      <c r="C1167" s="182" t="inlineStr">
        <is>
          <t>保山能源发展股份有限公司（合并）</t>
        </is>
      </c>
      <c r="D1167" s="182" t="inlineStr">
        <is>
          <t>ZI029E101190</t>
        </is>
      </c>
      <c r="E1167" s="182" t="inlineStr">
        <is>
          <t>保山能源发展股份有限公司</t>
        </is>
      </c>
      <c r="F1167" s="716" t="n"/>
      <c r="G1167" s="716" t="n"/>
      <c r="H1167" s="462" t="n"/>
    </row>
    <row r="1168">
      <c r="A1168" s="672" t="inlineStr">
        <is>
          <t>E101153</t>
        </is>
      </c>
      <c r="B1168" s="767">
        <f>ROW()</f>
        <v/>
      </c>
      <c r="C1168" s="182" t="inlineStr">
        <is>
          <t>京源（襄阳）清洁能源有限公司</t>
        </is>
      </c>
      <c r="D1168" s="182" t="inlineStr">
        <is>
          <t>ZI029E100001</t>
        </is>
      </c>
      <c r="E1168" s="182" t="inlineStr">
        <is>
          <t>北京清洁能源电力股份有限公司</t>
        </is>
      </c>
      <c r="F1168" s="716" t="n"/>
      <c r="G1168" s="716" t="n"/>
      <c r="H1168" s="462" t="n"/>
    </row>
    <row r="1169">
      <c r="A1169" s="672" t="inlineStr">
        <is>
          <t>E101248</t>
        </is>
      </c>
      <c r="B1169" s="767">
        <f>ROW()</f>
        <v/>
      </c>
      <c r="C1169" s="182" t="inlineStr">
        <is>
          <t>昌黎金海湾度假村有限责任公司</t>
        </is>
      </c>
      <c r="D1169" s="672" t="inlineStr">
        <is>
          <t>ZI029E100776</t>
        </is>
      </c>
      <c r="E1169" s="182" t="inlineStr">
        <is>
          <t>北京健康养老集团有限公司</t>
        </is>
      </c>
      <c r="F1169" s="716" t="n"/>
      <c r="G1169" s="716" t="n"/>
      <c r="H1169" s="462" t="n"/>
    </row>
    <row r="1170">
      <c r="A1170" s="672" t="inlineStr">
        <is>
          <t>E101217</t>
        </is>
      </c>
      <c r="B1170" s="767">
        <f>ROW()</f>
        <v/>
      </c>
      <c r="C1170" s="182" t="inlineStr">
        <is>
          <t>内蒙古京荣新能源有限公司</t>
        </is>
      </c>
      <c r="D1170" s="182" t="inlineStr">
        <is>
          <t>ZI029E100145</t>
        </is>
      </c>
      <c r="E1170" s="182" t="inlineStr">
        <is>
          <t>北京京能电力股份有限公司</t>
        </is>
      </c>
      <c r="F1170" s="716" t="n"/>
      <c r="G1170" s="716" t="n"/>
      <c r="H1170" s="462" t="n"/>
    </row>
    <row r="1171">
      <c r="A1171" s="672" t="inlineStr">
        <is>
          <t>E101209</t>
        </is>
      </c>
      <c r="B1171" s="767">
        <f>ROW()</f>
        <v/>
      </c>
      <c r="C1171" s="182" t="inlineStr">
        <is>
          <t>山西京武新能源有限公司</t>
        </is>
      </c>
      <c r="D1171" s="182" t="inlineStr">
        <is>
          <t>ZI029E100145</t>
        </is>
      </c>
      <c r="E1171" s="182" t="inlineStr">
        <is>
          <t>北京京能电力股份有限公司</t>
        </is>
      </c>
      <c r="F1171" s="716" t="n"/>
      <c r="G1171" s="716" t="n"/>
      <c r="H1171" s="462" t="n"/>
    </row>
    <row r="1172">
      <c r="A1172" s="672" t="inlineStr">
        <is>
          <t>E101251</t>
        </is>
      </c>
      <c r="B1172" s="767">
        <f>ROW()</f>
        <v/>
      </c>
      <c r="C1172" s="182" t="inlineStr">
        <is>
          <t>瑞信新能源（信丰）有限公司</t>
        </is>
      </c>
      <c r="D1172" s="182" t="inlineStr">
        <is>
          <t>ZI029E100001</t>
        </is>
      </c>
      <c r="E1172" s="182" t="inlineStr">
        <is>
          <t>北京京能清洁能源电力股份有限公司</t>
        </is>
      </c>
      <c r="F1172" s="716" t="n"/>
      <c r="G1172" s="716" t="n"/>
      <c r="H1172" s="462" t="n"/>
    </row>
    <row r="1173">
      <c r="A1173" s="672" t="inlineStr">
        <is>
          <t>E101250</t>
        </is>
      </c>
      <c r="B1173" s="767">
        <f>ROW()</f>
        <v/>
      </c>
      <c r="C1173" s="182" t="inlineStr">
        <is>
          <t>达州万源京能风力发电有限公司</t>
        </is>
      </c>
      <c r="D1173" s="672" t="inlineStr">
        <is>
          <t>ZI029E100883</t>
        </is>
      </c>
      <c r="E1173" s="672" t="inlineStr">
        <is>
          <t>Beijing Energy International Investment Limited</t>
        </is>
      </c>
      <c r="F1173" s="716" t="n"/>
      <c r="G1173" s="716" t="n"/>
      <c r="H1173" s="462" t="n"/>
    </row>
    <row r="1174">
      <c r="A1174" s="672" t="inlineStr">
        <is>
          <t>E101240</t>
        </is>
      </c>
      <c r="B1174" s="767">
        <f>ROW()</f>
        <v/>
      </c>
      <c r="C1174" s="182" t="inlineStr">
        <is>
          <t>京龙（烟台龙口市）新能源有限公司</t>
        </is>
      </c>
      <c r="D1174" s="672" t="inlineStr">
        <is>
          <t>ZI029E100883</t>
        </is>
      </c>
      <c r="E1174" s="672" t="inlineStr">
        <is>
          <t>Beijing Energy International Investment Limited</t>
        </is>
      </c>
      <c r="F1174" s="716" t="n"/>
      <c r="G1174" s="716" t="n"/>
      <c r="H1174" s="462" t="n"/>
    </row>
    <row r="1175">
      <c r="A1175" s="672" t="inlineStr">
        <is>
          <t>E101093</t>
        </is>
      </c>
      <c r="B1175" s="767">
        <f>ROW()</f>
        <v/>
      </c>
      <c r="C1175" s="182" t="inlineStr">
        <is>
          <t>通辽市新通风能有限公司</t>
        </is>
      </c>
      <c r="D1175" s="672" t="inlineStr">
        <is>
          <t>ZI029E100730</t>
        </is>
      </c>
      <c r="E1175" s="182" t="inlineStr">
        <is>
          <t>京能国际能源发展（北京）有限公司</t>
        </is>
      </c>
      <c r="F1175" s="716" t="n"/>
      <c r="G1175" s="716" t="n"/>
      <c r="H1175" s="462" t="n"/>
    </row>
    <row r="1176">
      <c r="A1176" s="672" t="inlineStr">
        <is>
          <t>E100040</t>
        </is>
      </c>
      <c r="B1176" s="767">
        <f>ROW()</f>
        <v/>
      </c>
      <c r="C1176" s="182" t="inlineStr">
        <is>
          <t>北京市天银地热开发有限责任公司</t>
        </is>
      </c>
      <c r="D1176" s="182" t="inlineStr">
        <is>
          <t>ZI029E100222</t>
        </is>
      </c>
      <c r="E1176" s="182" t="inlineStr">
        <is>
          <t>北京市热力集团有限责任公司</t>
        </is>
      </c>
      <c r="F1176" s="716" t="n"/>
      <c r="G1176" s="716" t="n"/>
      <c r="H1176" s="462" t="n"/>
    </row>
    <row r="1177">
      <c r="A1177" s="672" t="inlineStr">
        <is>
          <t>E101255</t>
        </is>
      </c>
      <c r="B1177" s="767">
        <f>ROW()</f>
        <v/>
      </c>
      <c r="C1177" s="182" t="inlineStr">
        <is>
          <t>北京京能清洁能源电力股份有限公司华中分公司</t>
        </is>
      </c>
      <c r="D1177" s="182" t="inlineStr">
        <is>
          <t>ZI029E100001</t>
        </is>
      </c>
      <c r="E1177" s="182" t="inlineStr">
        <is>
          <t>北京京能清洁能源电力股份有限公司</t>
        </is>
      </c>
      <c r="F1177" s="716" t="n"/>
      <c r="G1177" s="716" t="n"/>
      <c r="H1177" s="462" t="n"/>
    </row>
    <row r="1178">
      <c r="A1178" s="672" t="inlineStr">
        <is>
          <t>E101256</t>
        </is>
      </c>
      <c r="B1178" s="767">
        <f>ROW()</f>
        <v/>
      </c>
      <c r="C1178" s="182" t="inlineStr">
        <is>
          <t>京能（武汉）清洁能源有限公司</t>
        </is>
      </c>
      <c r="D1178" s="182" t="inlineStr">
        <is>
          <t>ZI029E100001</t>
        </is>
      </c>
      <c r="E1178" s="182" t="inlineStr">
        <is>
          <t>北京京能清洁能源电力股份有限公司</t>
        </is>
      </c>
      <c r="F1178" s="716" t="n"/>
      <c r="G1178" s="716" t="n"/>
      <c r="H1178" s="462" t="n"/>
    </row>
    <row r="1179">
      <c r="A1179" s="672" t="inlineStr">
        <is>
          <t>E101226</t>
        </is>
      </c>
      <c r="B1179" s="767">
        <f>ROW()</f>
        <v/>
      </c>
      <c r="C1179" s="182" t="inlineStr">
        <is>
          <t>京能（秭归）清洁能源有限公司</t>
        </is>
      </c>
      <c r="D1179" s="182" t="inlineStr">
        <is>
          <t>ZI029E100543</t>
        </is>
      </c>
      <c r="E1179" s="182" t="inlineStr">
        <is>
          <t>北京京能清洁能源电力股份(香港)有限公司</t>
        </is>
      </c>
      <c r="F1179" s="716" t="n"/>
      <c r="G1179" s="716" t="n"/>
      <c r="H1179" s="462" t="n"/>
    </row>
    <row r="1180">
      <c r="A1180" s="672" t="inlineStr">
        <is>
          <t>E101226</t>
        </is>
      </c>
      <c r="B1180" s="767">
        <f>ROW()</f>
        <v/>
      </c>
      <c r="C1180" s="182" t="inlineStr">
        <is>
          <t>京能（秭归）清洁能源有限公司</t>
        </is>
      </c>
      <c r="D1180" s="182" t="inlineStr">
        <is>
          <t>ZI029E100001</t>
        </is>
      </c>
      <c r="E1180" s="182" t="inlineStr">
        <is>
          <t>北京京能清洁能源电力股份有限公司</t>
        </is>
      </c>
      <c r="F1180" s="716" t="n"/>
      <c r="G1180" s="716" t="n"/>
      <c r="H1180" s="462" t="n"/>
    </row>
    <row r="1181">
      <c r="A1181" s="672" t="inlineStr">
        <is>
          <t>E101260</t>
        </is>
      </c>
      <c r="B1181" s="767">
        <f>ROW()</f>
        <v/>
      </c>
      <c r="C1181" s="182" t="inlineStr">
        <is>
          <t>萨迦县京能新能源有限公司</t>
        </is>
      </c>
      <c r="D1181" s="672" t="inlineStr">
        <is>
          <t>ZI029E100730</t>
        </is>
      </c>
      <c r="E1181" s="182" t="inlineStr">
        <is>
          <t>京能国际能源发展（北京）有限公司</t>
        </is>
      </c>
      <c r="F1181" s="716" t="n"/>
      <c r="G1181" s="716" t="n"/>
      <c r="H1181" s="462" t="n"/>
    </row>
    <row r="1182">
      <c r="A1182" s="672" t="inlineStr">
        <is>
          <t>E101263</t>
        </is>
      </c>
      <c r="B1182" s="767">
        <f>ROW()</f>
        <v/>
      </c>
      <c r="C1182" s="182" t="inlineStr">
        <is>
          <t>京能泗阳清洁能源有限公司</t>
        </is>
      </c>
      <c r="D1182" s="182" t="inlineStr">
        <is>
          <t>ZI029E100543</t>
        </is>
      </c>
      <c r="E1182" s="182" t="inlineStr">
        <is>
          <t>北京京能清洁能源电力股份(香港)有限公司</t>
        </is>
      </c>
      <c r="F1182" s="716" t="n"/>
      <c r="G1182" s="716" t="n"/>
      <c r="H1182" s="462" t="n"/>
    </row>
    <row r="1183">
      <c r="A1183" s="672" t="inlineStr">
        <is>
          <t>E101263</t>
        </is>
      </c>
      <c r="B1183" s="767">
        <f>ROW()</f>
        <v/>
      </c>
      <c r="C1183" s="182" t="inlineStr">
        <is>
          <t>京能泗阳清洁能源有限公司</t>
        </is>
      </c>
      <c r="D1183" s="672" t="inlineStr">
        <is>
          <t>ZI029E100883</t>
        </is>
      </c>
      <c r="E1183" s="182" t="inlineStr">
        <is>
          <t>北京京能清洁能源电力股份有限公司</t>
        </is>
      </c>
      <c r="F1183" s="716" t="n"/>
      <c r="G1183" s="716" t="n"/>
      <c r="H1183" s="462" t="n"/>
    </row>
    <row r="1184">
      <c r="A1184" s="672" t="inlineStr">
        <is>
          <t>E100898</t>
        </is>
      </c>
      <c r="B1184" s="767">
        <f>ROW()</f>
        <v/>
      </c>
      <c r="C1184" s="182" t="inlineStr">
        <is>
          <t>京莱 (张家口) 新能源有限公司</t>
        </is>
      </c>
      <c r="D1184" s="672" t="inlineStr">
        <is>
          <t>ZI029E100730</t>
        </is>
      </c>
      <c r="E1184" s="182" t="inlineStr">
        <is>
          <t>京能国际能源发展 (北京) 有限公司</t>
        </is>
      </c>
      <c r="F1184" s="716" t="n"/>
      <c r="G1184" s="716" t="n"/>
      <c r="H1184" s="462" t="n"/>
    </row>
    <row r="1185">
      <c r="A1185" s="672" t="inlineStr">
        <is>
          <t>E101077</t>
        </is>
      </c>
      <c r="B1185" s="767">
        <f>ROW()</f>
        <v/>
      </c>
      <c r="C1185" s="182" t="inlineStr">
        <is>
          <t>京能 (哈尔滨) 光伏发电有限公司</t>
        </is>
      </c>
      <c r="D1185" s="672" t="inlineStr">
        <is>
          <t>ZI029E100730</t>
        </is>
      </c>
      <c r="E1185" s="182" t="inlineStr">
        <is>
          <t>京能国际能源发展 (北京) 有限公司</t>
        </is>
      </c>
      <c r="F1185" s="716" t="n"/>
      <c r="G1185" s="716" t="n"/>
      <c r="H1185" s="462" t="n"/>
    </row>
    <row r="1186">
      <c r="A1186" s="672" t="inlineStr">
        <is>
          <t>E101243</t>
        </is>
      </c>
      <c r="B1186" s="767">
        <f>ROW()</f>
        <v/>
      </c>
      <c r="C1186" s="182" t="inlineStr">
        <is>
          <t>京瑞 (哈尔滨市) 新能源有限公司</t>
        </is>
      </c>
      <c r="D1186" s="672" t="inlineStr">
        <is>
          <t>ZI029E100883</t>
        </is>
      </c>
      <c r="E1186" s="672" t="inlineStr">
        <is>
          <t>Beijing Energy International Investment Limited</t>
        </is>
      </c>
      <c r="F1186" s="716" t="n"/>
      <c r="G1186" s="716" t="n"/>
      <c r="H1186" s="462" t="n"/>
    </row>
    <row r="1187">
      <c r="A1187" s="672" t="inlineStr">
        <is>
          <t>E101213</t>
        </is>
      </c>
      <c r="B1187" s="767">
        <f>ROW()</f>
        <v/>
      </c>
      <c r="C1187" s="182" t="inlineStr">
        <is>
          <t>京耀（北京）新能源有限公司</t>
        </is>
      </c>
      <c r="D1187" s="672" t="inlineStr">
        <is>
          <t>ZI029E100748</t>
        </is>
      </c>
      <c r="E1187" s="182" t="inlineStr">
        <is>
          <t>北京京能国际综合智慧能源有限公司</t>
        </is>
      </c>
      <c r="F1187" s="716" t="n"/>
      <c r="G1187" s="716" t="n"/>
      <c r="H1187" s="462" t="n"/>
    </row>
    <row r="1188">
      <c r="A1188" s="672" t="inlineStr">
        <is>
          <t>E101225</t>
        </is>
      </c>
      <c r="B1188" s="767">
        <f>ROW()</f>
        <v/>
      </c>
      <c r="C1188" s="182" t="inlineStr">
        <is>
          <t>罗山县京能新能源有限公司</t>
        </is>
      </c>
      <c r="D1188" s="672" t="inlineStr">
        <is>
          <t>ZI029E100748</t>
        </is>
      </c>
      <c r="E1188" s="182" t="inlineStr">
        <is>
          <t>北京京能国际综合智慧能源有限公司</t>
        </is>
      </c>
      <c r="F1188" s="716" t="n"/>
      <c r="G1188" s="716" t="n"/>
      <c r="H1188" s="462" t="n"/>
    </row>
    <row r="1189">
      <c r="A1189" s="672" t="inlineStr">
        <is>
          <t>E101224</t>
        </is>
      </c>
      <c r="B1189" s="767">
        <f>ROW()</f>
        <v/>
      </c>
      <c r="C1189" s="182" t="inlineStr">
        <is>
          <t>京能（株洲）综合能源有限公司</t>
        </is>
      </c>
      <c r="D1189" s="672" t="inlineStr">
        <is>
          <t>ZI029E100748</t>
        </is>
      </c>
      <c r="E1189" s="182" t="inlineStr">
        <is>
          <t>北京京能国际综合智慧能源有限公司</t>
        </is>
      </c>
      <c r="F1189" s="716" t="n"/>
      <c r="G1189" s="716" t="n"/>
      <c r="H1189" s="462" t="n"/>
    </row>
    <row r="1190">
      <c r="A1190" s="672" t="inlineStr">
        <is>
          <t>E101242</t>
        </is>
      </c>
      <c r="B1190" s="767">
        <f>ROW()</f>
        <v/>
      </c>
      <c r="C1190" s="182" t="inlineStr">
        <is>
          <t>京维（高密）新能源有限公司</t>
        </is>
      </c>
      <c r="D1190" s="672" t="inlineStr">
        <is>
          <t>ZI029E100883</t>
        </is>
      </c>
      <c r="E1190" s="672" t="inlineStr">
        <is>
          <t>Beijing Energy International Investment Limited</t>
        </is>
      </c>
      <c r="F1190" s="716" t="n"/>
      <c r="G1190" s="716" t="n"/>
      <c r="H1190" s="462" t="n"/>
    </row>
    <row r="1191">
      <c r="A1191" s="672" t="inlineStr">
        <is>
          <t>E101257</t>
        </is>
      </c>
      <c r="B1191" s="767">
        <f>ROW()</f>
        <v/>
      </c>
      <c r="C1191" s="182" t="inlineStr">
        <is>
          <t>京远（烟台招远市）新能源有限公司</t>
        </is>
      </c>
      <c r="D1191" s="672" t="inlineStr">
        <is>
          <t>ZI029E100883</t>
        </is>
      </c>
      <c r="E1191" s="182" t="inlineStr">
        <is>
          <t>Beijing Energy International Investment Limited</t>
        </is>
      </c>
      <c r="F1191" s="716" t="n"/>
      <c r="G1191" s="716" t="n"/>
      <c r="H1191" s="462" t="n"/>
    </row>
    <row r="1192">
      <c r="A1192" s="672" t="inlineStr">
        <is>
          <t>E101185</t>
        </is>
      </c>
      <c r="B1192" s="767">
        <f>ROW()</f>
        <v/>
      </c>
      <c r="C1192" s="182" t="inlineStr">
        <is>
          <t>京沧（东光县）新能源科技有限公司</t>
        </is>
      </c>
      <c r="D1192" s="672" t="inlineStr">
        <is>
          <t>ZI029E100730</t>
        </is>
      </c>
      <c r="E1192" s="182" t="inlineStr">
        <is>
          <t>京能国际能源发展（北京）有限公司</t>
        </is>
      </c>
      <c r="F1192" s="716" t="n"/>
      <c r="G1192" s="716" t="n"/>
      <c r="H1192" s="462" t="n"/>
    </row>
    <row r="1193">
      <c r="A1193" s="672" t="inlineStr">
        <is>
          <t>E101229</t>
        </is>
      </c>
      <c r="B1193" s="767">
        <f>ROW()</f>
        <v/>
      </c>
      <c r="C1193" s="182" t="inlineStr">
        <is>
          <t>京能（烟台蓬莱区）新能源有限公司</t>
        </is>
      </c>
      <c r="D1193" s="672" t="inlineStr">
        <is>
          <t>ZI029E100730</t>
        </is>
      </c>
      <c r="E1193" s="182" t="inlineStr">
        <is>
          <t>京能国际能源发展（北京）有限公司</t>
        </is>
      </c>
      <c r="F1193" s="716" t="n"/>
      <c r="G1193" s="716" t="n"/>
      <c r="H1193" s="462" t="n"/>
    </row>
    <row r="1194">
      <c r="A1194" s="672" t="inlineStr">
        <is>
          <t>E100921</t>
        </is>
      </c>
      <c r="B1194" s="767">
        <f>ROW()</f>
        <v/>
      </c>
      <c r="C1194" s="182" t="inlineStr">
        <is>
          <t>北京京能绿通新能源有限公司</t>
        </is>
      </c>
      <c r="D1194" s="672" t="inlineStr">
        <is>
          <t>ZI029E100730</t>
        </is>
      </c>
      <c r="E1194" s="182" t="inlineStr">
        <is>
          <t>京能国际能源发展（北京）有限公司</t>
        </is>
      </c>
      <c r="F1194" s="716" t="n"/>
      <c r="G1194" s="716" t="n"/>
      <c r="H1194" s="462" t="n"/>
    </row>
    <row r="1195">
      <c r="A1195" s="672" t="inlineStr">
        <is>
          <t>E100897</t>
        </is>
      </c>
      <c r="B1195" s="767">
        <f>ROW()</f>
        <v/>
      </c>
      <c r="C1195" s="182" t="inlineStr">
        <is>
          <t>京能（承德县）新能源有限公司</t>
        </is>
      </c>
      <c r="D1195" s="672" t="inlineStr">
        <is>
          <t>ZI029E100730</t>
        </is>
      </c>
      <c r="E1195" s="182" t="inlineStr">
        <is>
          <t>京能国际能源发展（北京）有限公司</t>
        </is>
      </c>
      <c r="F1195" s="716" t="n"/>
      <c r="G1195" s="716" t="n"/>
      <c r="H1195" s="462" t="n"/>
    </row>
    <row r="1196">
      <c r="A1196" s="672" t="inlineStr">
        <is>
          <t>E101239</t>
        </is>
      </c>
      <c r="B1196" s="767">
        <f>ROW()</f>
        <v/>
      </c>
      <c r="C1196" s="182" t="inlineStr">
        <is>
          <t>京卜（天津）新能源有限公司</t>
        </is>
      </c>
      <c r="D1196" s="672" t="inlineStr">
        <is>
          <t>ZI029E100730</t>
        </is>
      </c>
      <c r="E1196" s="182" t="inlineStr">
        <is>
          <t>京能国际能源发展（北京）有限公司</t>
        </is>
      </c>
      <c r="F1196" s="716" t="n"/>
      <c r="G1196" s="716" t="n"/>
      <c r="H1196" s="462" t="n"/>
    </row>
    <row r="1197">
      <c r="A1197" s="672" t="inlineStr">
        <is>
          <t>E101092</t>
        </is>
      </c>
      <c r="B1197" s="767">
        <f>ROW()</f>
        <v/>
      </c>
      <c r="C1197" s="182" t="inlineStr">
        <is>
          <t>北京京昌新能源有限公司</t>
        </is>
      </c>
      <c r="D1197" s="672" t="inlineStr">
        <is>
          <t>ZI029E100730</t>
        </is>
      </c>
      <c r="E1197" s="182" t="inlineStr">
        <is>
          <t>京能国际能源发展（北京）有限公司</t>
        </is>
      </c>
      <c r="F1197" s="716" t="n"/>
      <c r="G1197" s="716" t="n"/>
      <c r="H1197" s="462" t="n"/>
    </row>
    <row r="1198">
      <c r="A1198" s="672" t="inlineStr">
        <is>
          <t>E101165</t>
        </is>
      </c>
      <c r="B1198" s="767">
        <f>ROW()</f>
        <v/>
      </c>
      <c r="C1198" s="182" t="inlineStr">
        <is>
          <t>信阳京能清洁能源有限公司</t>
        </is>
      </c>
      <c r="D1198" s="182" t="inlineStr">
        <is>
          <t>ZI029E100001</t>
        </is>
      </c>
      <c r="E1198" s="182" t="inlineStr">
        <is>
          <t>北京京能清洁能源电力股份有限公司</t>
        </is>
      </c>
      <c r="F1198" s="716" t="n"/>
      <c r="G1198" s="716" t="n"/>
      <c r="H1198" s="462" t="n"/>
    </row>
    <row r="1199">
      <c r="A1199" s="672" t="inlineStr">
        <is>
          <t>E101228</t>
        </is>
      </c>
      <c r="B1199" s="767">
        <f>ROW()</f>
        <v/>
      </c>
      <c r="C1199" s="182" t="inlineStr">
        <is>
          <t>宜丰县京宜新能源有限公司</t>
        </is>
      </c>
      <c r="D1199" s="672" t="inlineStr">
        <is>
          <t>ZI029E100730</t>
        </is>
      </c>
      <c r="E1199" s="182" t="inlineStr">
        <is>
          <t>京能国际能源发展 (北京) 有限公司</t>
        </is>
      </c>
      <c r="F1199" s="716" t="n"/>
      <c r="G1199" s="716" t="n"/>
      <c r="H1199" s="462" t="n"/>
    </row>
    <row r="1200">
      <c r="A1200" s="672" t="inlineStr">
        <is>
          <t>E101249</t>
        </is>
      </c>
      <c r="B1200" s="767">
        <f>ROW()</f>
        <v/>
      </c>
      <c r="C1200" s="182" t="inlineStr">
        <is>
          <t>京丰（宜丰）光伏发电有限公司</t>
        </is>
      </c>
      <c r="D1200" s="672" t="inlineStr">
        <is>
          <t>ZI029E100883</t>
        </is>
      </c>
      <c r="E1200" s="182" t="inlineStr">
        <is>
          <t>Beijing Energy International Investment Limited</t>
        </is>
      </c>
      <c r="F1200" s="716" t="n"/>
      <c r="G1200" s="716" t="n"/>
      <c r="H1200" s="462" t="n"/>
    </row>
    <row r="1201">
      <c r="A1201" s="672" t="inlineStr">
        <is>
          <t>E101261</t>
        </is>
      </c>
      <c r="B1201" s="767">
        <f>ROW()</f>
        <v/>
      </c>
      <c r="C1201" s="182" t="inlineStr">
        <is>
          <t>江达县英利金码新能源开发有限公司</t>
        </is>
      </c>
      <c r="D1201" s="672" t="inlineStr">
        <is>
          <t>ZI029E100730</t>
        </is>
      </c>
      <c r="E1201" s="182" t="inlineStr">
        <is>
          <t>京能国际能源发展（北京）有限公司</t>
        </is>
      </c>
      <c r="F1201" s="716" t="n"/>
      <c r="G1201" s="716" t="n"/>
      <c r="H1201" s="462" t="n"/>
    </row>
    <row r="1202">
      <c r="A1202" s="672" t="inlineStr">
        <is>
          <t>E101155</t>
        </is>
      </c>
      <c r="B1202" s="767">
        <f>ROW()</f>
        <v/>
      </c>
      <c r="C1202" s="182" t="inlineStr">
        <is>
          <t>京江（双柏）新能源有限公司</t>
        </is>
      </c>
      <c r="D1202" s="672" t="inlineStr">
        <is>
          <t>ZI029E100730</t>
        </is>
      </c>
      <c r="E1202" s="182" t="inlineStr">
        <is>
          <t>京能国际能源发展（北京）有限公司</t>
        </is>
      </c>
      <c r="F1202" s="716" t="n"/>
      <c r="G1202" s="716" t="n"/>
      <c r="H1202" s="462" t="n"/>
    </row>
    <row r="1203">
      <c r="A1203" s="672" t="inlineStr">
        <is>
          <t>E101252</t>
        </is>
      </c>
      <c r="B1203" s="767">
        <f>ROW()</f>
        <v/>
      </c>
      <c r="C1203" s="182" t="inlineStr">
        <is>
          <t>保山隆阳区保能国泰光伏发电有限公司</t>
        </is>
      </c>
      <c r="D1203" s="672" t="inlineStr">
        <is>
          <t>ZI029E100883</t>
        </is>
      </c>
      <c r="E1203" s="182" t="inlineStr">
        <is>
          <t>Beijing Energy International Investment Limited</t>
        </is>
      </c>
      <c r="F1203" s="716" t="n"/>
      <c r="G1203" s="716" t="n"/>
      <c r="H1203" s="462" t="n"/>
    </row>
    <row r="1204">
      <c r="A1204" s="672" t="inlineStr">
        <is>
          <t>E101253</t>
        </is>
      </c>
      <c r="B1204" s="767">
        <f>ROW()</f>
        <v/>
      </c>
      <c r="C1204" s="182" t="inlineStr">
        <is>
          <t>无锡碳惠综合能源服务有限公司</t>
        </is>
      </c>
      <c r="D1204" s="182" t="inlineStr">
        <is>
          <t>ZI029E100308</t>
        </is>
      </c>
      <c r="E1204" s="182" t="inlineStr">
        <is>
          <t>京能源深（苏州）能源科技有限公司</t>
        </is>
      </c>
      <c r="F1204" s="716" t="n"/>
      <c r="G1204" s="716" t="n"/>
      <c r="H1204" s="462" t="n"/>
    </row>
    <row r="1205">
      <c r="A1205" s="672" t="inlineStr">
        <is>
          <t>E101258</t>
        </is>
      </c>
      <c r="B1205" s="767">
        <f>ROW()</f>
        <v/>
      </c>
      <c r="C1205" s="182" t="inlineStr">
        <is>
          <t>佛山市凯宁新能源有限公司</t>
        </is>
      </c>
      <c r="D1205" s="182" t="inlineStr">
        <is>
          <t>ZI029E100308</t>
        </is>
      </c>
      <c r="E1205" s="182" t="inlineStr">
        <is>
          <t>京能源深（苏州）能源科技有限公司</t>
        </is>
      </c>
      <c r="F1205" s="716" t="n"/>
      <c r="G1205" s="716" t="n"/>
      <c r="H1205" s="462" t="n"/>
    </row>
    <row r="1206">
      <c r="A1206" s="672" t="inlineStr">
        <is>
          <t>E101259</t>
        </is>
      </c>
      <c r="B1206" s="767">
        <f>ROW()</f>
        <v/>
      </c>
      <c r="C1206" s="182" t="inlineStr">
        <is>
          <t>南京万芒新能源有限公司</t>
        </is>
      </c>
      <c r="D1206" s="182" t="inlineStr">
        <is>
          <t>ZI029E100308</t>
        </is>
      </c>
      <c r="E1206" s="182" t="inlineStr">
        <is>
          <t>京能源深（苏州）能源科技有限公司</t>
        </is>
      </c>
      <c r="F1206" s="716" t="n"/>
      <c r="G1206" s="716" t="n"/>
      <c r="H1206" s="462" t="n"/>
    </row>
    <row r="1207">
      <c r="A1207" s="672" t="inlineStr">
        <is>
          <t>E101272</t>
        </is>
      </c>
      <c r="B1207" s="767">
        <f>ROW()</f>
        <v/>
      </c>
      <c r="C1207" s="672" t="inlineStr">
        <is>
          <t>北京京能能加科技有限公司</t>
        </is>
      </c>
      <c r="D1207" s="182" t="inlineStr">
        <is>
          <t>ZI029E100268</t>
        </is>
      </c>
      <c r="E1207" s="182" t="inlineStr">
        <is>
          <t>北京京煤集团有限责任公司</t>
        </is>
      </c>
      <c r="F1207" s="716" t="n"/>
      <c r="G1207" s="716" t="n"/>
      <c r="H1207" s="462" t="n"/>
    </row>
    <row r="1208">
      <c r="A1208" s="672" t="inlineStr">
        <is>
          <t>E101271</t>
        </is>
      </c>
      <c r="B1208" s="767">
        <f>ROW()</f>
        <v/>
      </c>
      <c r="C1208" s="182" t="inlineStr">
        <is>
          <t>京马（北京）新能源有限公司</t>
        </is>
      </c>
      <c r="D1208" s="182" t="inlineStr">
        <is>
          <t>ZI029E100748</t>
        </is>
      </c>
      <c r="E1208" s="182" t="inlineStr">
        <is>
          <t>北京京能国际综合智慧能源有限公司</t>
        </is>
      </c>
      <c r="F1208" s="716" t="n"/>
      <c r="G1208" s="716" t="n"/>
      <c r="H1208" s="462" t="n"/>
    </row>
    <row r="1209">
      <c r="A1209" s="672" t="inlineStr">
        <is>
          <t>E101265</t>
        </is>
      </c>
      <c r="B1209" s="767">
        <f>ROW()</f>
        <v/>
      </c>
      <c r="C1209" s="182" t="inlineStr">
        <is>
          <t>大庆市盛步电力有限公司</t>
        </is>
      </c>
      <c r="D1209" s="182" t="inlineStr">
        <is>
          <t>ZI029E100730</t>
        </is>
      </c>
      <c r="E1209" s="182" t="inlineStr">
        <is>
          <t>京能国际能源发展（北京）有限公司</t>
        </is>
      </c>
      <c r="F1209" s="716" t="n"/>
      <c r="G1209" s="716" t="n"/>
      <c r="H1209" s="462" t="n"/>
    </row>
    <row r="1210">
      <c r="A1210" s="672" t="inlineStr">
        <is>
          <t>E101264</t>
        </is>
      </c>
      <c r="B1210" s="767">
        <f>ROW()</f>
        <v/>
      </c>
      <c r="C1210" s="182" t="inlineStr">
        <is>
          <t>天津汇通新能源有限公司</t>
        </is>
      </c>
      <c r="D1210" s="182" t="inlineStr">
        <is>
          <t>ZI029E100730</t>
        </is>
      </c>
      <c r="E1210" s="182" t="inlineStr">
        <is>
          <t>京能国际能源发展（北京）有限公司</t>
        </is>
      </c>
      <c r="F1210" s="716" t="n"/>
      <c r="G1210" s="716" t="n"/>
      <c r="H1210" s="462" t="n"/>
    </row>
    <row r="1211">
      <c r="A1211" s="672" t="inlineStr">
        <is>
          <t>E101269</t>
        </is>
      </c>
      <c r="B1211" s="767">
        <f>ROW()</f>
        <v/>
      </c>
      <c r="C1211" s="182" t="inlineStr">
        <is>
          <t>阜新鸿昇太阳能发电有限公司</t>
        </is>
      </c>
      <c r="D1211" s="182" t="inlineStr">
        <is>
          <t>ZI029E101264</t>
        </is>
      </c>
      <c r="E1211" s="182" t="inlineStr">
        <is>
          <t>天津汇通新能源有限公司</t>
        </is>
      </c>
      <c r="F1211" s="716" t="n"/>
      <c r="G1211" s="716" t="n"/>
      <c r="H1211" s="462" t="n"/>
    </row>
    <row r="1212">
      <c r="A1212" s="672" t="inlineStr">
        <is>
          <t>E101268</t>
        </is>
      </c>
      <c r="B1212" s="767">
        <f>ROW()</f>
        <v/>
      </c>
      <c r="C1212" s="182" t="inlineStr">
        <is>
          <t>阜新市盛步太阳能发电有限公司</t>
        </is>
      </c>
      <c r="D1212" s="182" t="inlineStr">
        <is>
          <t>ZI029E101265</t>
        </is>
      </c>
      <c r="E1212" s="182" t="inlineStr">
        <is>
          <t>大庆市盛步电力有限公司</t>
        </is>
      </c>
      <c r="F1212" s="716" t="n"/>
      <c r="G1212" s="716" t="n"/>
      <c r="H1212" s="462" t="n"/>
    </row>
    <row r="1213">
      <c r="A1213" s="672" t="inlineStr">
        <is>
          <t>E101254</t>
        </is>
      </c>
      <c r="B1213" s="767">
        <f>ROW()</f>
        <v/>
      </c>
      <c r="C1213" s="182" t="inlineStr">
        <is>
          <t>漯河京新清洁能源有限公司</t>
        </is>
      </c>
      <c r="D1213" s="182" t="inlineStr">
        <is>
          <t>ZI029E100001</t>
        </is>
      </c>
      <c r="E1213" s="182" t="inlineStr">
        <is>
          <t>北京京能清洁能源电力股份有限公司</t>
        </is>
      </c>
      <c r="F1213" s="716" t="n"/>
      <c r="G1213" s="716" t="n"/>
      <c r="H1213" s="462" t="n"/>
    </row>
    <row r="1214">
      <c r="A1214" s="672" t="inlineStr">
        <is>
          <t>E101276</t>
        </is>
      </c>
      <c r="B1214" s="767">
        <f>ROW()</f>
        <v/>
      </c>
      <c r="C1214" s="182" t="inlineStr">
        <is>
          <t>桃江京能清洁能源有限公司</t>
        </is>
      </c>
      <c r="D1214" s="182" t="inlineStr">
        <is>
          <t>ZI029E100001</t>
        </is>
      </c>
      <c r="E1214" s="182" t="inlineStr">
        <is>
          <t>北京京能清洁能源电力股份有限公司</t>
        </is>
      </c>
      <c r="F1214" s="716" t="n"/>
      <c r="G1214" s="716" t="n"/>
      <c r="H1214" s="462" t="n"/>
    </row>
    <row r="1215">
      <c r="A1215" s="672" t="inlineStr">
        <is>
          <t>E101274</t>
        </is>
      </c>
      <c r="B1215" s="767">
        <f>ROW()</f>
        <v/>
      </c>
      <c r="C1215" s="182" t="inlineStr">
        <is>
          <t>北京丰璟房地产开发有限公司</t>
        </is>
      </c>
      <c r="D1215" s="182" t="inlineStr">
        <is>
          <t>ZI029E100420</t>
        </is>
      </c>
      <c r="E1215" s="182" t="inlineStr">
        <is>
          <t>京能置业股份有限公司</t>
        </is>
      </c>
      <c r="F1215" s="716" t="n"/>
      <c r="G1215" s="716" t="n"/>
      <c r="H1215" s="462" t="n"/>
    </row>
    <row r="1216">
      <c r="A1216" s="672" t="inlineStr">
        <is>
          <t>E101218</t>
        </is>
      </c>
      <c r="B1216" s="767">
        <f>ROW()</f>
        <v/>
      </c>
      <c r="C1216" s="182" t="inlineStr">
        <is>
          <t>保山隆阳区保能晶泰光伏发电有限公司</t>
        </is>
      </c>
      <c r="D1216" s="182" t="inlineStr">
        <is>
          <t>ZI029E101190</t>
        </is>
      </c>
      <c r="E1216" s="182" t="inlineStr">
        <is>
          <t>保山能源发展股份有限公司</t>
        </is>
      </c>
      <c r="F1216" s="716" t="n"/>
      <c r="G1216" s="716" t="n"/>
      <c r="H1216" s="462" t="n"/>
    </row>
    <row r="1217">
      <c r="A1217" s="672" t="inlineStr">
        <is>
          <t>E101244</t>
        </is>
      </c>
      <c r="B1217" s="767">
        <f>ROW()</f>
        <v/>
      </c>
      <c r="C1217" s="182" t="inlineStr">
        <is>
          <t>盛唐壹号(天津) 企业管理合伙企业(有限合伙）</t>
        </is>
      </c>
      <c r="D1217" s="182" t="inlineStr">
        <is>
          <t>ZI029E100730</t>
        </is>
      </c>
      <c r="E1217" s="182" t="inlineStr">
        <is>
          <t>京能国际能源发展（北京）有限公司</t>
        </is>
      </c>
      <c r="F1217" s="716" t="n"/>
      <c r="G1217" s="716" t="n"/>
      <c r="H1217" s="462" t="n"/>
    </row>
    <row r="1218">
      <c r="A1218" s="672" t="inlineStr">
        <is>
          <t>E101244</t>
        </is>
      </c>
      <c r="B1218" s="767">
        <f>ROW()</f>
        <v/>
      </c>
      <c r="C1218" s="182" t="inlineStr">
        <is>
          <t>盛唐壹号(天津) 企业管理合伙企业(有限合伙）</t>
        </is>
      </c>
      <c r="D1218" s="182" t="inlineStr">
        <is>
          <t>ZI029E100941</t>
        </is>
      </c>
      <c r="E1218" s="182" t="inlineStr">
        <is>
          <t>北京国电盛唐科技发展有限公司</t>
        </is>
      </c>
      <c r="F1218" s="716" t="n"/>
      <c r="G1218" s="716" t="n"/>
      <c r="H1218" s="462" t="n"/>
    </row>
    <row r="1219">
      <c r="A1219" s="672" t="inlineStr">
        <is>
          <t>E100894</t>
        </is>
      </c>
      <c r="B1219" s="767">
        <f>ROW()</f>
        <v/>
      </c>
      <c r="C1219" s="182" t="inlineStr">
        <is>
          <t>京能国际（高邮）新能源有限公司</t>
        </is>
      </c>
      <c r="D1219" s="182" t="inlineStr">
        <is>
          <t>ZI029E100883</t>
        </is>
      </c>
      <c r="E1219" s="182" t="inlineStr">
        <is>
          <t>Beijing Energy International Investment Limited</t>
        </is>
      </c>
      <c r="F1219" s="716" t="n"/>
      <c r="G1219" s="716" t="n"/>
      <c r="H1219" s="462" t="n"/>
    </row>
    <row r="1220">
      <c r="A1220" s="672" t="inlineStr">
        <is>
          <t>E101277</t>
        </is>
      </c>
      <c r="B1220" s="767">
        <f>ROW()</f>
        <v/>
      </c>
      <c r="C1220" s="182" t="inlineStr">
        <is>
          <t>百色市右江区京能新能源有限公司</t>
        </is>
      </c>
      <c r="D1220" s="182" t="inlineStr">
        <is>
          <t>ZI029E100883</t>
        </is>
      </c>
      <c r="E1220" s="182" t="inlineStr">
        <is>
          <t>Beijing Energy International Investment Limited</t>
        </is>
      </c>
      <c r="F1220" s="716" t="n"/>
      <c r="G1220" s="716" t="n"/>
      <c r="H1220" s="462" t="n"/>
    </row>
    <row r="1221">
      <c r="A1221" s="672" t="inlineStr">
        <is>
          <t>E101155</t>
        </is>
      </c>
      <c r="B1221" s="767">
        <f>ROW()</f>
        <v/>
      </c>
      <c r="C1221" s="182" t="inlineStr">
        <is>
          <t>京江（双柏）新能源有限公司</t>
        </is>
      </c>
      <c r="D1221" s="182" t="inlineStr">
        <is>
          <t>ZI0290020148</t>
        </is>
      </c>
      <c r="E1221" s="182" t="inlineStr">
        <is>
          <t>楚雄州金江能源开发有限公司</t>
        </is>
      </c>
      <c r="F1221" s="716" t="n"/>
      <c r="G1221" s="716" t="n"/>
      <c r="H1221" s="462" t="n"/>
    </row>
    <row r="1222">
      <c r="A1222" s="672" t="inlineStr">
        <is>
          <t>E100890</t>
        </is>
      </c>
      <c r="B1222" s="767">
        <f>ROW()</f>
        <v/>
      </c>
      <c r="C1222" s="182" t="inlineStr">
        <is>
          <t>德州聚盛新能源科技有限公司</t>
        </is>
      </c>
      <c r="D1222" s="182" t="inlineStr">
        <is>
          <t>ZI029E100889</t>
        </is>
      </c>
      <c r="E1222" s="182" t="inlineStr">
        <is>
          <t>京能（德城区）新能源科技有限公司</t>
        </is>
      </c>
      <c r="F1222" s="716" t="n"/>
      <c r="G1222" s="716" t="n"/>
      <c r="H1222" s="462" t="n"/>
    </row>
    <row r="1223">
      <c r="A1223" s="672" t="inlineStr">
        <is>
          <t>E100935</t>
        </is>
      </c>
      <c r="B1223" s="767">
        <f>ROW()</f>
        <v/>
      </c>
      <c r="C1223" s="182" t="inlineStr">
        <is>
          <t>诸城维奥新能源有限公司</t>
        </is>
      </c>
      <c r="D1223" s="182" t="inlineStr">
        <is>
          <t>ZI029E101074</t>
        </is>
      </c>
      <c r="E1223" s="182" t="inlineStr">
        <is>
          <t>南京安晟新能源有限公司</t>
        </is>
      </c>
      <c r="F1223" s="716" t="n"/>
      <c r="G1223" s="716" t="n"/>
      <c r="H1223" s="462" t="n"/>
    </row>
    <row r="1224">
      <c r="A1224" s="672" t="inlineStr">
        <is>
          <t>E101283</t>
        </is>
      </c>
      <c r="B1224" s="767">
        <f>ROW()</f>
        <v/>
      </c>
      <c r="C1224" s="182" t="inlineStr">
        <is>
          <t>北京京能电力新能源有限公司</t>
        </is>
      </c>
      <c r="D1224" s="182" t="inlineStr">
        <is>
          <t>ZI029E100145</t>
        </is>
      </c>
      <c r="E1224" s="182" t="inlineStr">
        <is>
          <t>北京京能电力股份有限公司</t>
        </is>
      </c>
      <c r="F1224" s="716" t="n"/>
      <c r="G1224" s="716" t="n"/>
      <c r="H1224" s="462" t="n"/>
    </row>
    <row r="1225">
      <c r="A1225" s="672" t="inlineStr">
        <is>
          <t>E101291</t>
        </is>
      </c>
      <c r="B1225" s="767">
        <f>ROW()</f>
        <v/>
      </c>
      <c r="C1225" s="182" t="inlineStr">
        <is>
          <t>京能（杭州萧山）综合能源有限公司</t>
        </is>
      </c>
      <c r="D1225" s="182" t="inlineStr">
        <is>
          <t>ZI029E100748</t>
        </is>
      </c>
      <c r="E1225" s="182" t="inlineStr">
        <is>
          <t>北京京能国际综合智慧能源有限公司</t>
        </is>
      </c>
      <c r="F1225" s="716" t="n"/>
      <c r="G1225" s="716" t="n"/>
      <c r="H1225" s="462" t="n"/>
    </row>
    <row r="1226">
      <c r="A1226" s="672" t="inlineStr">
        <is>
          <t>E101290</t>
        </is>
      </c>
      <c r="B1226" s="767">
        <f>ROW()</f>
        <v/>
      </c>
      <c r="C1226" s="182" t="inlineStr">
        <is>
          <t>曲靖沾益京西新能源有限公司</t>
        </is>
      </c>
      <c r="D1226" s="182" t="inlineStr">
        <is>
          <t>ZI029E100730</t>
        </is>
      </c>
      <c r="E1226" s="182" t="inlineStr">
        <is>
          <t>京能国际能源发展（北京）有限公司</t>
        </is>
      </c>
      <c r="F1226" s="716" t="n"/>
      <c r="G1226" s="716" t="n"/>
      <c r="H1226" s="462" t="n"/>
    </row>
    <row r="1227">
      <c r="A1227" s="672" t="inlineStr">
        <is>
          <t>E101288</t>
        </is>
      </c>
      <c r="B1227" s="767">
        <f>ROW()</f>
        <v/>
      </c>
      <c r="C1227" s="182" t="inlineStr">
        <is>
          <t>平泉市邦诚新能源科技有限公司</t>
        </is>
      </c>
      <c r="D1227" s="182" t="inlineStr">
        <is>
          <t>ZI029E100730</t>
        </is>
      </c>
      <c r="E1227" s="182" t="inlineStr">
        <is>
          <t>京能国际能源发展（北京）有限公司</t>
        </is>
      </c>
      <c r="F1227" s="716" t="n"/>
      <c r="G1227" s="716" t="n"/>
      <c r="H1227" s="462" t="n"/>
    </row>
    <row r="1228">
      <c r="A1228" s="672" t="inlineStr">
        <is>
          <t>E101075</t>
        </is>
      </c>
      <c r="B1228" s="767">
        <f>ROW()</f>
        <v/>
      </c>
      <c r="C1228" s="182" t="inlineStr">
        <is>
          <t>兰西晟晖发电有限公司</t>
        </is>
      </c>
      <c r="D1228" s="182" t="inlineStr">
        <is>
          <t>ZI029E100730</t>
        </is>
      </c>
      <c r="E1228" s="182" t="inlineStr">
        <is>
          <t>京能国际能源发展（北京）有限公司</t>
        </is>
      </c>
      <c r="F1228" s="716" t="n"/>
      <c r="G1228" s="716" t="n"/>
      <c r="H1228" s="462" t="n"/>
    </row>
    <row r="1229">
      <c r="A1229" s="672" t="inlineStr">
        <is>
          <t>E101275</t>
        </is>
      </c>
      <c r="B1229" s="767">
        <f>ROW()</f>
        <v/>
      </c>
      <c r="C1229" s="182" t="inlineStr">
        <is>
          <t>保山腾冲保能和顺能源科技有限公司</t>
        </is>
      </c>
      <c r="D1229" s="672" t="inlineStr">
        <is>
          <t>ZI029E101190</t>
        </is>
      </c>
      <c r="E1229" s="182" t="inlineStr">
        <is>
          <t>保山能源发展股份有限公司</t>
        </is>
      </c>
      <c r="F1229" s="716" t="n"/>
      <c r="G1229" s="716" t="n"/>
      <c r="H1229" s="462" t="n"/>
    </row>
    <row r="1230">
      <c r="A1230" s="672" t="inlineStr">
        <is>
          <t>E101067</t>
        </is>
      </c>
      <c r="B1230" s="767">
        <f>ROW()</f>
        <v/>
      </c>
      <c r="C1230" s="182" t="inlineStr">
        <is>
          <t>京能（元江）新能源有限公司</t>
        </is>
      </c>
      <c r="D1230" s="182" t="inlineStr">
        <is>
          <t>ZI029E100730</t>
        </is>
      </c>
      <c r="E1230" s="182" t="inlineStr">
        <is>
          <t>京能国际能源发展（北京）有限公司</t>
        </is>
      </c>
      <c r="F1230" s="716" t="n"/>
      <c r="G1230" s="716" t="n"/>
      <c r="H1230" s="462" t="n"/>
    </row>
    <row r="1231">
      <c r="A1231" s="672" t="inlineStr">
        <is>
          <t>E101293</t>
        </is>
      </c>
      <c r="B1231" s="767">
        <f>ROW()</f>
        <v/>
      </c>
      <c r="C1231" s="182" t="inlineStr">
        <is>
          <t>和顺润能新能源有限公司</t>
        </is>
      </c>
      <c r="D1231" s="182" t="inlineStr">
        <is>
          <t>ZI029E100734</t>
        </is>
      </c>
      <c r="E1231" s="182" t="inlineStr">
        <is>
          <t>联合光伏（常州）投资集团有限公司</t>
        </is>
      </c>
      <c r="F1231" s="716" t="n"/>
      <c r="G1231" s="716" t="n"/>
      <c r="H1231" s="462" t="n"/>
    </row>
    <row r="1232">
      <c r="A1232" s="672" t="inlineStr">
        <is>
          <t>E101237</t>
        </is>
      </c>
      <c r="B1232" s="767">
        <f>ROW()</f>
        <v/>
      </c>
      <c r="C1232" s="182" t="inlineStr">
        <is>
          <t>岳阳京能清洁能源有限公司</t>
        </is>
      </c>
      <c r="D1232" s="182" t="inlineStr">
        <is>
          <t>ZI029E100001</t>
        </is>
      </c>
      <c r="E1232" s="182" t="inlineStr">
        <is>
          <t>北京京能清洁能源电力股份有限公司</t>
        </is>
      </c>
      <c r="F1232" s="716" t="n"/>
      <c r="G1232" s="716" t="n"/>
      <c r="H1232" s="462" t="n"/>
    </row>
    <row r="1233">
      <c r="A1233" s="672" t="inlineStr">
        <is>
          <t>E101241</t>
        </is>
      </c>
      <c r="B1233" s="767">
        <f>ROW()</f>
        <v/>
      </c>
      <c r="C1233" s="182" t="inlineStr">
        <is>
          <t>北屯市枫煜风能开发有限公司</t>
        </is>
      </c>
      <c r="D1233" s="182" t="inlineStr">
        <is>
          <t>ZI029E100730</t>
        </is>
      </c>
      <c r="E1233" s="182" t="inlineStr">
        <is>
          <t>京能国际能源发展（北京）有限公司</t>
        </is>
      </c>
      <c r="F1233" s="716" t="n"/>
      <c r="G1233" s="716" t="n"/>
      <c r="H1233" s="462" t="n"/>
    </row>
    <row r="1234">
      <c r="A1234" s="672" t="inlineStr">
        <is>
          <t>E101295</t>
        </is>
      </c>
      <c r="B1234" s="767">
        <f>ROW()</f>
        <v/>
      </c>
      <c r="C1234" s="182" t="inlineStr">
        <is>
          <t>京能（锡林郭勒）可再生能源发展有限公司</t>
        </is>
      </c>
      <c r="D1234" s="182" t="inlineStr">
        <is>
          <t>ZI029E100145</t>
        </is>
      </c>
      <c r="E1234" s="182" t="inlineStr">
        <is>
          <t>北京京能电力股份有限公司</t>
        </is>
      </c>
      <c r="F1234" s="716" t="n"/>
      <c r="G1234" s="716" t="n"/>
      <c r="H1234" s="462" t="n"/>
    </row>
    <row r="1235">
      <c r="A1235" s="672" t="inlineStr">
        <is>
          <t>E101285</t>
        </is>
      </c>
      <c r="B1235" s="767">
        <f>ROW()</f>
        <v/>
      </c>
      <c r="C1235" s="182" t="inlineStr">
        <is>
          <t>广州番禺控日新能源开发有限公司</t>
        </is>
      </c>
      <c r="D1235" s="182" t="inlineStr">
        <is>
          <t>ZI029E100308</t>
        </is>
      </c>
      <c r="E1235" s="182" t="inlineStr">
        <is>
          <t>京能源深（苏州）能源科技有限公司</t>
        </is>
      </c>
      <c r="F1235" s="716" t="n"/>
      <c r="G1235" s="716" t="n"/>
      <c r="H1235" s="462" t="n"/>
    </row>
    <row r="1236">
      <c r="A1236" s="672" t="inlineStr">
        <is>
          <t>E101284</t>
        </is>
      </c>
      <c r="B1236" s="767">
        <f>ROW()</f>
        <v/>
      </c>
      <c r="C1236" s="182" t="inlineStr">
        <is>
          <t>碳禾（清远）新能源技术有限公司</t>
        </is>
      </c>
      <c r="D1236" s="182" t="inlineStr">
        <is>
          <t>ZI029E100308</t>
        </is>
      </c>
      <c r="E1236" s="182" t="inlineStr">
        <is>
          <t>京能源深（苏州）能源科技有限公司</t>
        </is>
      </c>
      <c r="F1236" s="716" t="n"/>
      <c r="G1236" s="716" t="n"/>
      <c r="H1236" s="462" t="n"/>
    </row>
    <row r="1237">
      <c r="A1237" s="672" t="inlineStr">
        <is>
          <t>E101286</t>
        </is>
      </c>
      <c r="B1237" s="767">
        <f>ROW()</f>
        <v/>
      </c>
      <c r="C1237" s="182" t="inlineStr">
        <is>
          <t>佛山紫竹顺美新能源有限公司</t>
        </is>
      </c>
      <c r="D1237" s="182" t="inlineStr">
        <is>
          <t>ZI029E100308</t>
        </is>
      </c>
      <c r="E1237" s="182" t="inlineStr">
        <is>
          <t>京能源深（苏州）能源科技有限公司</t>
        </is>
      </c>
      <c r="F1237" s="716" t="n"/>
      <c r="G1237" s="716" t="n"/>
      <c r="H1237" s="462" t="n"/>
    </row>
    <row r="1238">
      <c r="A1238" s="672" t="inlineStr">
        <is>
          <t>E101239</t>
        </is>
      </c>
      <c r="B1238" s="767">
        <f>ROW()</f>
        <v/>
      </c>
      <c r="C1238" s="182" t="inlineStr">
        <is>
          <t>京卜（天津）新能源有限公司</t>
        </is>
      </c>
      <c r="D1238" s="182" t="inlineStr">
        <is>
          <t>ZI029E100730</t>
        </is>
      </c>
      <c r="E1238" s="182" t="inlineStr">
        <is>
          <t>京能国际能源发展（北京）有限公司</t>
        </is>
      </c>
      <c r="F1238" s="716" t="n"/>
      <c r="G1238" s="716" t="n"/>
      <c r="H1238" s="462" t="n"/>
    </row>
    <row r="1239">
      <c r="A1239" s="672" t="inlineStr">
        <is>
          <t>E101281</t>
        </is>
      </c>
      <c r="B1239" s="767">
        <f>ROW()</f>
        <v/>
      </c>
      <c r="C1239" s="182" t="inlineStr">
        <is>
          <t>京桥(奉节县)新能源有限公司</t>
        </is>
      </c>
      <c r="D1239" s="672" t="inlineStr">
        <is>
          <t>ZI029E101279</t>
        </is>
      </c>
      <c r="E1239" s="182" t="inlineStr">
        <is>
          <t>京能（重庆）能源有限公司</t>
        </is>
      </c>
      <c r="F1239" s="716" t="n"/>
      <c r="G1239" s="716" t="n"/>
      <c r="H1239" s="462" t="n"/>
    </row>
    <row r="1240">
      <c r="A1240" s="672" t="inlineStr">
        <is>
          <t>E101279</t>
        </is>
      </c>
      <c r="B1240" s="767">
        <f>ROW()</f>
        <v/>
      </c>
      <c r="C1240" s="182" t="inlineStr">
        <is>
          <t>京能(重庆)能源有限公司</t>
        </is>
      </c>
      <c r="D1240" s="182" t="inlineStr">
        <is>
          <t>ZI029E100730</t>
        </is>
      </c>
      <c r="E1240" s="182" t="inlineStr">
        <is>
          <t>京能国际能源发展（北京）有限公司</t>
        </is>
      </c>
      <c r="F1240" s="716" t="n"/>
      <c r="G1240" s="716" t="n"/>
      <c r="H1240" s="462" t="n"/>
    </row>
    <row r="1241">
      <c r="A1241" s="672" t="inlineStr">
        <is>
          <t>E100808</t>
        </is>
      </c>
      <c r="B1241" s="767">
        <f>ROW()</f>
        <v/>
      </c>
      <c r="C1241" s="182" t="inlineStr">
        <is>
          <t>广西平果京能联合新能源有限公司</t>
        </is>
      </c>
      <c r="D1241" s="182" t="inlineStr">
        <is>
          <t>ZI029E100764</t>
        </is>
      </c>
      <c r="E1241" s="182" t="inlineStr">
        <is>
          <t>联合光伏（深圳）有限公司</t>
        </is>
      </c>
      <c r="F1241" s="716" t="n"/>
      <c r="G1241" s="716" t="n"/>
      <c r="H1241" s="462" t="n"/>
    </row>
    <row r="1242">
      <c r="A1242" s="672" t="inlineStr">
        <is>
          <t>E101193</t>
        </is>
      </c>
      <c r="B1242" s="767">
        <f>ROW()</f>
        <v/>
      </c>
      <c r="C1242" s="182" t="inlineStr">
        <is>
          <t>上海京桓光伏电力有限公司</t>
        </is>
      </c>
      <c r="D1242" s="182" t="inlineStr">
        <is>
          <t>ZI029E100730</t>
        </is>
      </c>
      <c r="E1242" s="182" t="inlineStr">
        <is>
          <t>京能国际能源发展（北京）有限公司</t>
        </is>
      </c>
      <c r="F1242" s="716" t="n"/>
      <c r="G1242" s="716" t="n"/>
      <c r="H1242" s="462" t="n"/>
    </row>
    <row r="1243">
      <c r="A1243" s="672" t="inlineStr">
        <is>
          <t>E101292</t>
        </is>
      </c>
      <c r="B1243" s="767">
        <f>ROW()</f>
        <v/>
      </c>
      <c r="C1243" s="182" t="inlineStr">
        <is>
          <t>北京延庆京能清洁能源有限公司</t>
        </is>
      </c>
      <c r="D1243" s="182" t="inlineStr">
        <is>
          <t>ZI029E100001</t>
        </is>
      </c>
      <c r="E1243" s="182" t="inlineStr">
        <is>
          <t>北京京能清洁能源电力股份有限公司</t>
        </is>
      </c>
      <c r="F1243" s="716" t="n"/>
      <c r="G1243" s="716" t="n"/>
      <c r="H1243" s="462" t="n"/>
    </row>
    <row r="1244">
      <c r="A1244" s="672" t="inlineStr">
        <is>
          <t>E101280</t>
        </is>
      </c>
      <c r="B1244" s="767">
        <f>ROW()</f>
        <v/>
      </c>
      <c r="C1244" s="182" t="inlineStr">
        <is>
          <t>京能查干淖尔（锡林郭勒）新能源有限公司</t>
        </is>
      </c>
      <c r="D1244" s="182" t="inlineStr">
        <is>
          <t>ZI029E100000</t>
        </is>
      </c>
      <c r="E1244" s="182" t="inlineStr">
        <is>
          <t>北京能源集团有限责任公司</t>
        </is>
      </c>
      <c r="F1244" s="716" t="n"/>
      <c r="G1244" s="716" t="n"/>
      <c r="H1244" s="462" t="n"/>
    </row>
    <row r="1245">
      <c r="A1245" s="672" t="inlineStr">
        <is>
          <t>E101296</t>
        </is>
      </c>
      <c r="B1245" s="767">
        <f>ROW()</f>
        <v/>
      </c>
      <c r="C1245" s="672" t="inlineStr">
        <is>
          <t>京月（仪征）新能源发电有限公司</t>
        </is>
      </c>
      <c r="D1245" s="182" t="inlineStr">
        <is>
          <t>ZI029E100883</t>
        </is>
      </c>
      <c r="E1245" s="182" t="inlineStr">
        <is>
          <t>Beijing Energy International Investment Limited</t>
        </is>
      </c>
      <c r="F1245" s="716" t="n"/>
      <c r="G1245" s="716" t="n"/>
      <c r="H1245" s="462" t="n"/>
    </row>
    <row r="1246">
      <c r="A1246" s="672" t="inlineStr">
        <is>
          <t>E101299</t>
        </is>
      </c>
      <c r="B1246" s="767">
        <f>ROW()</f>
        <v/>
      </c>
      <c r="C1246" s="672" t="inlineStr">
        <is>
          <t>呼和浩特京数蒙算能源科技有限公司</t>
        </is>
      </c>
      <c r="D1246" s="182" t="inlineStr">
        <is>
          <t>ZI029E100734</t>
        </is>
      </c>
      <c r="E1246" s="182" t="inlineStr">
        <is>
          <t>联合光伏（常州）投资集团有限公司</t>
        </is>
      </c>
      <c r="F1246" s="716" t="n"/>
      <c r="G1246" s="716" t="n"/>
      <c r="H1246" s="462" t="n"/>
    </row>
    <row r="1247">
      <c r="A1247" s="672" t="inlineStr">
        <is>
          <t>E101227</t>
        </is>
      </c>
      <c r="B1247" s="767">
        <f>ROW()</f>
        <v/>
      </c>
      <c r="C1247" s="182" t="inlineStr">
        <is>
          <t>京能智汇（锡林郭勒）新能源有限公司</t>
        </is>
      </c>
      <c r="D1247" s="182" t="inlineStr">
        <is>
          <t>ZI029E100145</t>
        </is>
      </c>
      <c r="E1247" s="182" t="inlineStr">
        <is>
          <t>北京京能电力股份有限公司</t>
        </is>
      </c>
      <c r="F1247" s="716" t="n"/>
      <c r="G1247" s="716" t="n"/>
      <c r="H1247" s="462" t="n"/>
    </row>
    <row r="1248">
      <c r="A1248" s="672" t="inlineStr">
        <is>
          <t>E101266</t>
        </is>
      </c>
      <c r="B1248" s="767">
        <f>ROW()</f>
        <v/>
      </c>
      <c r="C1248" s="182" t="inlineStr">
        <is>
          <t>京原（北京）新能源有限公司</t>
        </is>
      </c>
      <c r="D1248" s="182" t="inlineStr">
        <is>
          <t>ZI029E100730</t>
        </is>
      </c>
      <c r="E1248" s="182" t="inlineStr">
        <is>
          <t>京能国际能源发展（北京）有限公司</t>
        </is>
      </c>
      <c r="F1248" s="716" t="n"/>
      <c r="G1248" s="716" t="n"/>
      <c r="H1248" s="462" t="n"/>
    </row>
    <row r="1249">
      <c r="A1249" s="672" t="inlineStr">
        <is>
          <t>E101307</t>
        </is>
      </c>
      <c r="B1249" s="767">
        <f>ROW()</f>
        <v/>
      </c>
      <c r="C1249" s="182" t="inlineStr">
        <is>
          <t>北京市顺义区颐寿轩养老服务中心</t>
        </is>
      </c>
      <c r="D1249" s="182" t="inlineStr">
        <is>
          <t>ZI029E100346</t>
        </is>
      </c>
      <c r="E1249" s="182" t="inlineStr">
        <is>
          <t>北京颐寿轩敬老院</t>
        </is>
      </c>
      <c r="F1249" s="716" t="n"/>
      <c r="G1249" s="716" t="n"/>
      <c r="H1249" s="462" t="n"/>
    </row>
    <row r="1250">
      <c r="A1250" s="672" t="inlineStr">
        <is>
          <t>E101289</t>
        </is>
      </c>
      <c r="B1250" s="767">
        <f>ROW()</f>
        <v/>
      </c>
      <c r="C1250" s="182" t="inlineStr">
        <is>
          <t>锡林郭勒京能清洁能源有限公司</t>
        </is>
      </c>
      <c r="D1250" s="182" t="inlineStr">
        <is>
          <t>ZI029E100001</t>
        </is>
      </c>
      <c r="E1250" s="182" t="inlineStr">
        <is>
          <t>北京京能清洁能源电力股份有限公司</t>
        </is>
      </c>
      <c r="F1250" s="716" t="n"/>
      <c r="G1250" s="716" t="n"/>
      <c r="H1250" s="462" t="n"/>
    </row>
    <row r="1251">
      <c r="A1251" s="672" t="inlineStr">
        <is>
          <t>E101311</t>
        </is>
      </c>
      <c r="B1251" s="767">
        <f>ROW()</f>
        <v/>
      </c>
      <c r="C1251" s="182" t="inlineStr">
        <is>
          <t>镶黄旗京能智汇清洁能源有限公司</t>
        </is>
      </c>
      <c r="D1251" s="182" t="inlineStr">
        <is>
          <t>ZI029E101289</t>
        </is>
      </c>
      <c r="E1251" s="182" t="inlineStr">
        <is>
          <t>锡林郭勒京能清洁能源有限公司</t>
        </is>
      </c>
      <c r="F1251" s="716" t="n"/>
      <c r="G1251" s="716" t="n"/>
      <c r="H1251" s="462" t="n"/>
    </row>
    <row r="1252">
      <c r="A1252" s="672" t="inlineStr">
        <is>
          <t>E101310</t>
        </is>
      </c>
      <c r="B1252" s="767">
        <f>ROW()</f>
        <v/>
      </c>
      <c r="C1252" s="182" t="inlineStr">
        <is>
          <t>苏尼特右旗京能智汇清洁能源有限公司</t>
        </is>
      </c>
      <c r="D1252" s="182" t="inlineStr">
        <is>
          <t>ZI029E101289</t>
        </is>
      </c>
      <c r="E1252" s="182" t="inlineStr">
        <is>
          <t>锡林郭勒京能清洁能源有限公司</t>
        </is>
      </c>
      <c r="F1252" s="716" t="n"/>
      <c r="G1252" s="716" t="n"/>
      <c r="H1252" s="462" t="n"/>
    </row>
    <row r="1253">
      <c r="A1253" s="672" t="inlineStr">
        <is>
          <t>E101309</t>
        </is>
      </c>
      <c r="B1253" s="767">
        <f>ROW()</f>
        <v/>
      </c>
      <c r="C1253" s="182" t="inlineStr">
        <is>
          <t>锡林浩特市京能智汇清洁能源有限公司</t>
        </is>
      </c>
      <c r="D1253" s="182" t="inlineStr">
        <is>
          <t>ZI029E101289</t>
        </is>
      </c>
      <c r="E1253" s="182" t="inlineStr">
        <is>
          <t>锡林郭勒京能清洁能源有限公司</t>
        </is>
      </c>
      <c r="F1253" s="716" t="n"/>
      <c r="G1253" s="716" t="n"/>
      <c r="H1253" s="462" t="n"/>
    </row>
    <row r="1254">
      <c r="A1254" s="672" t="inlineStr">
        <is>
          <t>E101313</t>
        </is>
      </c>
      <c r="B1254" s="767">
        <f>ROW()</f>
        <v/>
      </c>
      <c r="C1254" s="182" t="inlineStr">
        <is>
          <t>阿巴嘎旗京能智汇清洁能源有限公司</t>
        </is>
      </c>
      <c r="D1254" s="182" t="inlineStr">
        <is>
          <t>ZI029E101289</t>
        </is>
      </c>
      <c r="E1254" s="182" t="inlineStr">
        <is>
          <t>锡林郭勒京能清洁能源有限公司</t>
        </is>
      </c>
      <c r="F1254" s="716" t="n"/>
      <c r="G1254" s="716" t="n"/>
      <c r="H1254" s="462" t="n"/>
    </row>
    <row r="1255">
      <c r="A1255" s="672" t="inlineStr">
        <is>
          <t>E101312</t>
        </is>
      </c>
      <c r="B1255" s="767">
        <f>ROW()</f>
        <v/>
      </c>
      <c r="C1255" s="182" t="inlineStr">
        <is>
          <t>正镶白旗京能智汇清洁能源有限公司</t>
        </is>
      </c>
      <c r="D1255" s="182" t="inlineStr">
        <is>
          <t>ZI029E101289</t>
        </is>
      </c>
      <c r="E1255" s="182" t="inlineStr">
        <is>
          <t>锡林郭勒京能清洁能源有限公司</t>
        </is>
      </c>
      <c r="F1255" s="716" t="n"/>
      <c r="G1255" s="716" t="n"/>
      <c r="H1255" s="462" t="n"/>
    </row>
    <row r="1256">
      <c r="A1256" s="672" t="inlineStr">
        <is>
          <t>E101305</t>
        </is>
      </c>
      <c r="B1256" s="767">
        <f>ROW()</f>
        <v/>
      </c>
      <c r="C1256" s="182" t="inlineStr">
        <is>
          <t>平湖鸿禧电力有限公司</t>
        </is>
      </c>
      <c r="D1256" s="182" t="inlineStr">
        <is>
          <t>ZI029E100308</t>
        </is>
      </c>
      <c r="E1256" s="182" t="inlineStr">
        <is>
          <t>京能源深（苏州）能源科技有限公司</t>
        </is>
      </c>
      <c r="F1256" s="716" t="n"/>
      <c r="G1256" s="716" t="n"/>
      <c r="H1256" s="462" t="n"/>
    </row>
    <row r="1257" ht="17" customHeight="1" s="1181">
      <c r="A1257" s="672" t="inlineStr">
        <is>
          <t>E101314</t>
        </is>
      </c>
      <c r="B1257" s="767">
        <f>ROW()</f>
        <v/>
      </c>
      <c r="C1257" s="182" t="inlineStr">
        <is>
          <t>保山腾冲保能景泰新能源开发有限公司</t>
        </is>
      </c>
      <c r="D1257" s="182" t="inlineStr">
        <is>
          <t>ZI029E101190</t>
        </is>
      </c>
      <c r="E1257" s="772" t="inlineStr">
        <is>
          <t>保山能源发展股份有限公司</t>
        </is>
      </c>
      <c r="F1257" s="716" t="n"/>
      <c r="G1257" s="716" t="n"/>
      <c r="H1257" s="462" t="n"/>
    </row>
    <row r="1258" ht="17" customHeight="1" s="1181">
      <c r="A1258" s="672" t="inlineStr">
        <is>
          <t>E101321</t>
        </is>
      </c>
      <c r="B1258" s="767">
        <f>ROW()</f>
        <v/>
      </c>
      <c r="C1258" s="182" t="inlineStr">
        <is>
          <t>京翠（威海环翠区）新能源有限公司</t>
        </is>
      </c>
      <c r="D1258" s="182" t="inlineStr">
        <is>
          <t>ZI029E100883</t>
        </is>
      </c>
      <c r="E1258" s="772" t="inlineStr">
        <is>
          <t>Beijing Energy International Investment Limited</t>
        </is>
      </c>
      <c r="F1258" s="716" t="n"/>
      <c r="G1258" s="716" t="n"/>
      <c r="H1258" s="462" t="n"/>
    </row>
    <row r="1259">
      <c r="A1259" s="672" t="inlineStr">
        <is>
          <t>E101308</t>
        </is>
      </c>
      <c r="B1259" s="767">
        <f>ROW()</f>
        <v/>
      </c>
      <c r="C1259" s="182" t="inlineStr">
        <is>
          <t>内蒙古京能察右后旗新能源有限公司</t>
        </is>
      </c>
      <c r="D1259" s="182" t="inlineStr">
        <is>
          <t>ZI029E100145</t>
        </is>
      </c>
      <c r="E1259" s="182" t="inlineStr">
        <is>
          <t>北京京能电力股份有限公司</t>
        </is>
      </c>
      <c r="F1259" s="716" t="n"/>
      <c r="G1259" s="716" t="n"/>
      <c r="H1259" s="462" t="n"/>
    </row>
    <row r="1260">
      <c r="A1260" s="672" t="inlineStr">
        <is>
          <t>E101319</t>
        </is>
      </c>
      <c r="B1260" s="767">
        <f>ROW()</f>
        <v/>
      </c>
      <c r="C1260" s="182" t="inlineStr">
        <is>
          <t>内蒙古京能算力科技有限公司</t>
        </is>
      </c>
      <c r="D1260" s="182" t="inlineStr">
        <is>
          <t>ZI029E101212</t>
        </is>
      </c>
      <c r="E1260" s="182" t="inlineStr">
        <is>
          <t>京能数字产业有限公司</t>
        </is>
      </c>
      <c r="F1260" s="716" t="n"/>
      <c r="G1260" s="716" t="n"/>
      <c r="H1260" s="462" t="n"/>
    </row>
    <row r="1261">
      <c r="A1261" s="672" t="inlineStr">
        <is>
          <t>E101245</t>
        </is>
      </c>
      <c r="B1261" s="767">
        <f>ROW()</f>
        <v/>
      </c>
      <c r="C1261" s="182" t="inlineStr">
        <is>
          <t>北京京能海北算力科技有限公司</t>
        </is>
      </c>
      <c r="D1261" s="182" t="inlineStr">
        <is>
          <t>ZI029E101212</t>
        </is>
      </c>
      <c r="E1261" s="182" t="inlineStr">
        <is>
          <t>京能数字产业有限公司</t>
        </is>
      </c>
      <c r="F1261" s="716" t="n"/>
      <c r="G1261" s="716" t="n"/>
      <c r="H1261" s="462" t="n"/>
    </row>
    <row r="1262">
      <c r="A1262" s="672" t="inlineStr">
        <is>
          <t>E101328</t>
        </is>
      </c>
      <c r="B1262" s="767">
        <f>ROW()</f>
        <v/>
      </c>
      <c r="C1262" s="182" t="inlineStr">
        <is>
          <t>江门市新会区古井能源服务有限公司</t>
        </is>
      </c>
      <c r="D1262" s="182" t="inlineStr">
        <is>
          <t>ZI029E100730</t>
        </is>
      </c>
      <c r="E1262" s="182" t="inlineStr">
        <is>
          <t>京能国际能源发展（北京）有限公司</t>
        </is>
      </c>
      <c r="F1262" s="716" t="n"/>
      <c r="G1262" s="716" t="n"/>
      <c r="H1262" s="462" t="n"/>
    </row>
    <row r="1263">
      <c r="A1263" s="672" t="inlineStr">
        <is>
          <t>E101089</t>
        </is>
      </c>
      <c r="B1263" s="767">
        <f>ROW()</f>
        <v/>
      </c>
      <c r="C1263" s="182" t="inlineStr">
        <is>
          <t>长沙京能双碳新能源有限公司</t>
        </is>
      </c>
      <c r="D1263" s="182" t="inlineStr">
        <is>
          <t>ZI029E100730</t>
        </is>
      </c>
      <c r="E1263" s="182" t="inlineStr">
        <is>
          <t>京能国际能源发展（北京）有限公司</t>
        </is>
      </c>
      <c r="F1263" s="716" t="n"/>
      <c r="G1263" s="716" t="n"/>
      <c r="H1263" s="462" t="n"/>
    </row>
    <row r="1264">
      <c r="A1264" s="672" t="inlineStr">
        <is>
          <t>E101333</t>
        </is>
      </c>
      <c r="B1264" s="767">
        <f>ROW()</f>
        <v/>
      </c>
      <c r="C1264" s="182" t="inlineStr">
        <is>
          <t>丹阳市协众新能源有限责任公司</t>
        </is>
      </c>
      <c r="D1264" s="182" t="inlineStr">
        <is>
          <t>ZI029E100001</t>
        </is>
      </c>
      <c r="E1264" s="182" t="inlineStr">
        <is>
          <t>北京京能清洁能源电力股份有限公司</t>
        </is>
      </c>
      <c r="F1264" s="716" t="n"/>
      <c r="G1264" s="716" t="n"/>
      <c r="H1264" s="462" t="n"/>
    </row>
    <row r="1265">
      <c r="A1265" s="716" t="inlineStr">
        <is>
          <t>E101324</t>
        </is>
      </c>
      <c r="B1265" s="767">
        <f>ROW()</f>
        <v/>
      </c>
      <c r="C1265" s="716" t="inlineStr">
        <is>
          <t>内蒙古京康新能源有限公司</t>
        </is>
      </c>
      <c r="D1265" s="182" t="inlineStr">
        <is>
          <t>ZI029E100145</t>
        </is>
      </c>
      <c r="E1265" s="716" t="inlineStr">
        <is>
          <t>北京京能电力股份有限公司</t>
        </is>
      </c>
      <c r="F1265" s="716" t="n"/>
      <c r="G1265" s="716" t="n"/>
      <c r="H1265" s="462" t="n"/>
    </row>
    <row r="1266">
      <c r="A1266" s="716" t="inlineStr">
        <is>
          <t>E101278</t>
        </is>
      </c>
      <c r="B1266" s="767">
        <f>ROW()</f>
        <v/>
      </c>
      <c r="C1266" s="716" t="inlineStr">
        <is>
          <t>云南保山腾冲市京能两河水电开发有限责任公司</t>
        </is>
      </c>
      <c r="D1266" s="182" t="inlineStr">
        <is>
          <t>ZI029E101191</t>
        </is>
      </c>
      <c r="E1266" s="716" t="inlineStr">
        <is>
          <t>云南保山槟榔江水电开发有限公司</t>
        </is>
      </c>
      <c r="F1266" s="716" t="n"/>
      <c r="G1266" s="716" t="n"/>
      <c r="H1266" s="462" t="n"/>
    </row>
    <row r="1267">
      <c r="A1267" s="672" t="inlineStr">
        <is>
          <t>E101339</t>
        </is>
      </c>
      <c r="B1267" s="767">
        <f>ROW()</f>
        <v/>
      </c>
      <c r="C1267" s="182" t="inlineStr">
        <is>
          <t>天津绿光新能源有限公司</t>
        </is>
      </c>
      <c r="D1267" s="182" t="inlineStr">
        <is>
          <t>ZI029E100001</t>
        </is>
      </c>
      <c r="E1267" s="182" t="inlineStr">
        <is>
          <t>北京京能清洁能源电力股份有限公司</t>
        </is>
      </c>
      <c r="F1267" s="716" t="n"/>
      <c r="G1267" s="716" t="n"/>
      <c r="H1267" s="462" t="n"/>
    </row>
    <row r="1268">
      <c r="A1268" s="672" t="inlineStr">
        <is>
          <t>E101341</t>
        </is>
      </c>
      <c r="B1268" s="767">
        <f>ROW()</f>
        <v/>
      </c>
      <c r="C1268" s="182" t="inlineStr">
        <is>
          <t>天津凯胜悦景新能源科技有限公司</t>
        </is>
      </c>
      <c r="D1268" s="182" t="inlineStr">
        <is>
          <t>ZI029E101339</t>
        </is>
      </c>
      <c r="E1268" s="182" t="inlineStr">
        <is>
          <t>天津绿光新能源有限公司</t>
        </is>
      </c>
      <c r="F1268" s="716" t="n"/>
      <c r="G1268" s="716" t="n"/>
      <c r="H1268" s="462" t="n"/>
    </row>
    <row r="1269">
      <c r="A1269" s="672" t="inlineStr">
        <is>
          <t>E100851</t>
        </is>
      </c>
      <c r="B1269" s="767">
        <f>ROW()</f>
        <v/>
      </c>
      <c r="C1269" s="182" t="inlineStr">
        <is>
          <t>河北盈坤新能源开发有限公司</t>
        </is>
      </c>
      <c r="D1269" s="182" t="inlineStr">
        <is>
          <t>ZI029E100908</t>
        </is>
      </c>
      <c r="E1269" s="182" t="inlineStr">
        <is>
          <t>北京通力日昇新能源科技有限公司</t>
        </is>
      </c>
      <c r="F1269" s="716" t="n"/>
      <c r="G1269" s="716" t="n"/>
      <c r="H1269" s="462" t="n"/>
    </row>
    <row r="1270">
      <c r="A1270" s="672" t="inlineStr">
        <is>
          <t>E100913</t>
        </is>
      </c>
      <c r="B1270" s="767">
        <f>ROW()</f>
        <v/>
      </c>
      <c r="C1270" s="182" t="inlineStr">
        <is>
          <t>隆尧县烁昇新能源科技有限公司</t>
        </is>
      </c>
      <c r="D1270" s="182" t="inlineStr">
        <is>
          <t>ZI029E100908</t>
        </is>
      </c>
      <c r="E1270" s="182" t="inlineStr">
        <is>
          <t>北京通力日昇新能源科技有限公司</t>
        </is>
      </c>
      <c r="F1270" s="716" t="n"/>
      <c r="G1270" s="716" t="n"/>
      <c r="H1270" s="462" t="n"/>
    </row>
    <row r="1271">
      <c r="A1271" s="672" t="inlineStr">
        <is>
          <t>E100850</t>
        </is>
      </c>
      <c r="B1271" s="767">
        <f>ROW()</f>
        <v/>
      </c>
      <c r="C1271" s="182" t="inlineStr">
        <is>
          <t>邢台信诺新能源开发有限公司</t>
        </is>
      </c>
      <c r="D1271" s="182" t="inlineStr">
        <is>
          <t>ZI029E100908</t>
        </is>
      </c>
      <c r="E1271" s="182" t="inlineStr">
        <is>
          <t>北京通力日昇新能源科技有限公司</t>
        </is>
      </c>
      <c r="F1271" s="716" t="n"/>
      <c r="G1271" s="716" t="n"/>
      <c r="H1271" s="462" t="n"/>
    </row>
    <row r="1272">
      <c r="A1272" s="672" t="inlineStr">
        <is>
          <t>E100911</t>
        </is>
      </c>
      <c r="B1272" s="767">
        <f>ROW()</f>
        <v/>
      </c>
      <c r="C1272" s="182" t="inlineStr">
        <is>
          <t>河北度凯新能源科技有限公司</t>
        </is>
      </c>
      <c r="D1272" s="182" t="inlineStr">
        <is>
          <t>ZI029E100908</t>
        </is>
      </c>
      <c r="E1272" s="182" t="inlineStr">
        <is>
          <t>北京通力日昇新能源科技有限公司</t>
        </is>
      </c>
      <c r="F1272" s="716" t="n"/>
      <c r="G1272" s="716" t="n"/>
      <c r="H1272" s="462" t="n"/>
    </row>
    <row r="1273">
      <c r="A1273" s="672" t="inlineStr">
        <is>
          <t>E100852</t>
        </is>
      </c>
      <c r="B1273" s="767">
        <f>ROW()</f>
        <v/>
      </c>
      <c r="C1273" s="182" t="inlineStr">
        <is>
          <t>成安县华辉新能源科技有限公司</t>
        </is>
      </c>
      <c r="D1273" s="182" t="inlineStr">
        <is>
          <t>ZI029E100908</t>
        </is>
      </c>
      <c r="E1273" s="182" t="inlineStr">
        <is>
          <t>北京通力日昇新能源科技有限公司</t>
        </is>
      </c>
      <c r="F1273" s="716" t="n"/>
      <c r="G1273" s="716" t="n"/>
      <c r="H1273" s="462" t="n"/>
    </row>
    <row r="1274">
      <c r="A1274" s="672" t="inlineStr">
        <is>
          <t>E100915</t>
        </is>
      </c>
      <c r="B1274" s="767">
        <f>ROW()</f>
        <v/>
      </c>
      <c r="C1274" s="182" t="inlineStr">
        <is>
          <t>涉县耀光新能源科技有限公司</t>
        </is>
      </c>
      <c r="D1274" s="182" t="inlineStr">
        <is>
          <t>ZI029E100908</t>
        </is>
      </c>
      <c r="E1274" s="182" t="inlineStr">
        <is>
          <t>北京通力日昇新能源科技有限公司</t>
        </is>
      </c>
      <c r="F1274" s="716" t="n"/>
      <c r="G1274" s="716" t="n"/>
      <c r="H1274" s="462" t="n"/>
    </row>
    <row r="1275">
      <c r="A1275" s="672" t="inlineStr">
        <is>
          <t>E100914</t>
        </is>
      </c>
      <c r="B1275" s="767">
        <f>ROW()</f>
        <v/>
      </c>
      <c r="C1275" s="182" t="inlineStr">
        <is>
          <t>邢台市邦力新能源科技有限公司</t>
        </is>
      </c>
      <c r="D1275" s="182" t="inlineStr">
        <is>
          <t>ZI029E100908</t>
        </is>
      </c>
      <c r="E1275" s="182" t="inlineStr">
        <is>
          <t>北京通力日昇新能源科技有限公司</t>
        </is>
      </c>
      <c r="F1275" s="716" t="n"/>
      <c r="G1275" s="716" t="n"/>
      <c r="H1275" s="462" t="n"/>
    </row>
    <row r="1276">
      <c r="A1276" s="672" t="inlineStr">
        <is>
          <t>E100849</t>
        </is>
      </c>
      <c r="B1276" s="767">
        <f>ROW()</f>
        <v/>
      </c>
      <c r="C1276" s="182" t="inlineStr">
        <is>
          <t>正定启阳光伏发电有限公司</t>
        </is>
      </c>
      <c r="D1276" s="182" t="inlineStr">
        <is>
          <t>ZI029E100908</t>
        </is>
      </c>
      <c r="E1276" s="182" t="inlineStr">
        <is>
          <t>北京通力日昇新能源科技有限公司</t>
        </is>
      </c>
      <c r="F1276" s="716" t="n"/>
      <c r="G1276" s="716" t="n"/>
      <c r="H1276" s="462" t="n"/>
    </row>
    <row r="1277">
      <c r="A1277" s="672" t="inlineStr">
        <is>
          <t>E100918</t>
        </is>
      </c>
      <c r="B1277" s="767">
        <f>ROW()</f>
        <v/>
      </c>
      <c r="C1277" s="182" t="inlineStr">
        <is>
          <t>绍兴上虞昱煌新能源科技有限公司</t>
        </is>
      </c>
      <c r="D1277" s="182" t="inlineStr">
        <is>
          <t>ZI029E100908</t>
        </is>
      </c>
      <c r="E1277" s="182" t="inlineStr">
        <is>
          <t>北京通力日昇新能源科技有限公司</t>
        </is>
      </c>
      <c r="F1277" s="716" t="n"/>
      <c r="G1277" s="716" t="n"/>
      <c r="H1277" s="462" t="n"/>
    </row>
    <row r="1278">
      <c r="A1278" s="672" t="inlineStr">
        <is>
          <t>E101238</t>
        </is>
      </c>
      <c r="B1278" s="767">
        <f>ROW()</f>
        <v/>
      </c>
      <c r="C1278" s="182" t="inlineStr">
        <is>
          <t>京滨（滨州邹平）新能源有限公司</t>
        </is>
      </c>
      <c r="D1278" s="182" t="inlineStr">
        <is>
          <t>ZI029E100730</t>
        </is>
      </c>
      <c r="E1278" s="182" t="inlineStr">
        <is>
          <t>京能国际能源发展（北京）有限公司</t>
        </is>
      </c>
      <c r="F1278" s="716" t="n"/>
      <c r="G1278" s="716" t="n"/>
      <c r="H1278" s="462" t="n"/>
    </row>
    <row r="1279">
      <c r="A1279" s="672" t="inlineStr">
        <is>
          <t>E101271</t>
        </is>
      </c>
      <c r="B1279" s="767">
        <f>ROW()</f>
        <v/>
      </c>
      <c r="C1279" s="182" t="inlineStr">
        <is>
          <t>京马（北京）新能源有限公司</t>
        </is>
      </c>
      <c r="D1279" s="182" t="inlineStr">
        <is>
          <t>ZI029E100748</t>
        </is>
      </c>
      <c r="E1279" s="182" t="inlineStr">
        <is>
          <t>北京京能国际综合智慧能源有限公司</t>
        </is>
      </c>
      <c r="F1279" s="716" t="n"/>
      <c r="G1279" s="716" t="n"/>
      <c r="H1279" s="462" t="n"/>
    </row>
  </sheetData>
  <sheetProtection selectLockedCells="0" selectUnlockedCells="0" algorithmName="SHA-512" sheet="1" objects="0" insertRows="1" insertHyperlinks="1" autoFilter="1" scenarios="1" formatColumns="1" deleteColumns="1" insertColumns="1" pivotTables="1" deleteRows="1" formatCells="1" saltValue="9onwyc2BALFMSBMYR7OL0A==" formatRows="1" sort="1" spinCount="100000" hashValue="BB3FxOc31gaklIJ/K15RwRJLHQ+ApBW/v6wra5b4QEaCQ0fD3Y9ZRHQeLY+OJqhunuoh3U3VLhLxtbNtybRQcQ=="/>
  <autoFilter ref="A2:E1279"/>
  <mergeCells count="1">
    <mergeCell ref="G1:H1"/>
  </mergeCells>
  <pageMargins left="0.7" right="0.7" top="0.75" bottom="0.75" header="0.3" footer="0.3"/>
  <pageSetup orientation="portrait" paperSize="9"/>
</worksheet>
</file>

<file path=xl/worksheets/sheet18.xml><?xml version="1.0" encoding="utf-8"?>
<worksheet xmlns="http://schemas.openxmlformats.org/spreadsheetml/2006/main">
  <sheetPr codeName="Sheet12">
    <outlinePr summaryBelow="1" summaryRight="1"/>
    <pageSetUpPr/>
  </sheetPr>
  <dimension ref="A1:H1279"/>
  <sheetViews>
    <sheetView zoomScale="90" zoomScaleNormal="90" workbookViewId="0">
      <pane ySplit="2" topLeftCell="A208" activePane="bottomLeft" state="frozen"/>
      <selection activeCell="A1" sqref="A1"/>
      <selection pane="bottomLeft" activeCell="G239" sqref="G239"/>
    </sheetView>
  </sheetViews>
  <sheetFormatPr baseColWidth="8" defaultColWidth="8.375" defaultRowHeight="15.2"/>
  <cols>
    <col width="20" customWidth="1" style="672" min="1" max="1"/>
    <col width="8.375" customWidth="1" style="767" min="2" max="2"/>
    <col width="35.375" customWidth="1" style="182" min="3" max="3"/>
    <col width="16.375" customWidth="1" style="182" min="4" max="4"/>
    <col width="63.375" customWidth="1" style="182" min="5" max="5"/>
    <col width="8.375" customWidth="1" style="716" min="6" max="6"/>
    <col width="14" customWidth="1" style="716" min="7" max="7"/>
    <col width="16.375" customWidth="1" style="462" min="8" max="8"/>
    <col width="8.375" customWidth="1" style="716" min="9" max="16384"/>
  </cols>
  <sheetData>
    <row r="1" customFormat="1" s="760">
      <c r="A1" s="761" t="inlineStr">
        <is>
          <t>实收资本-集团外-公司</t>
        </is>
      </c>
      <c r="B1" s="762" t="n"/>
      <c r="C1" s="763" t="n"/>
      <c r="D1" s="178" t="n"/>
      <c r="E1" s="763" t="n"/>
      <c r="F1" s="760" t="n"/>
      <c r="G1" s="762" t="inlineStr">
        <is>
          <t>取值</t>
        </is>
      </c>
      <c r="H1" s="1183" t="n"/>
    </row>
    <row r="2" customFormat="1" s="760">
      <c r="A2" s="764" t="inlineStr">
        <is>
          <t>Entity</t>
        </is>
      </c>
      <c r="B2" s="765" t="inlineStr">
        <is>
          <t>行号</t>
        </is>
      </c>
      <c r="C2" s="766" t="inlineStr">
        <is>
          <t>实体名称</t>
        </is>
      </c>
      <c r="D2" s="766" t="inlineStr">
        <is>
          <t>出资方编码</t>
        </is>
      </c>
      <c r="E2" s="766" t="inlineStr">
        <is>
          <t>出资方</t>
        </is>
      </c>
      <c r="F2" s="760" t="n"/>
      <c r="G2" s="768" t="inlineStr">
        <is>
          <t>Entity</t>
        </is>
      </c>
      <c r="H2" s="672">
        <f>'[3]实收资本表-单体'!$C$6</f>
        <v/>
      </c>
    </row>
    <row r="3">
      <c r="A3" s="672" t="inlineStr">
        <is>
          <t>E100333</t>
        </is>
      </c>
      <c r="B3" s="767">
        <f>ROW()</f>
        <v/>
      </c>
      <c r="C3" s="182" t="inlineStr">
        <is>
          <t>安徽马钢智能立体停车设备有限公司</t>
        </is>
      </c>
      <c r="D3" s="182" t="inlineStr">
        <is>
          <t>ZI0290020003</t>
        </is>
      </c>
      <c r="E3" s="182" t="inlineStr">
        <is>
          <t>马钢集团投资有限公司</t>
        </is>
      </c>
      <c r="F3" s="716" t="n"/>
      <c r="G3" s="768" t="inlineStr">
        <is>
          <t>集团外公司-行号</t>
        </is>
      </c>
      <c r="H3" s="672">
        <f>VLOOKUP($H$2,A3:B233,2,FALSE)</f>
        <v/>
      </c>
    </row>
    <row r="4">
      <c r="A4" s="672" t="inlineStr">
        <is>
          <t>E101039</t>
        </is>
      </c>
      <c r="B4" s="767">
        <f>ROW()</f>
        <v/>
      </c>
      <c r="C4" s="182" t="inlineStr">
        <is>
          <t>巴塘县溪河水电开发有限责任公司</t>
        </is>
      </c>
      <c r="D4" s="182" t="inlineStr">
        <is>
          <t>ZI0290020004</t>
        </is>
      </c>
      <c r="E4" s="182" t="inlineStr">
        <is>
          <t>巴塘县国有资产管理委员会</t>
        </is>
      </c>
      <c r="F4" s="716" t="n"/>
      <c r="G4" s="768" t="inlineStr">
        <is>
          <t>集团外个人-行号</t>
        </is>
      </c>
      <c r="H4" s="672">
        <f>VLOOKUP($H$2,A234:B258,2,FALSE)</f>
        <v/>
      </c>
    </row>
    <row r="5">
      <c r="A5" s="672" t="inlineStr">
        <is>
          <t>E100709</t>
        </is>
      </c>
      <c r="B5" s="767">
        <f>ROW()</f>
        <v/>
      </c>
      <c r="C5" s="182" t="inlineStr">
        <is>
          <t>巴彦淖尔京能清洁能源电力有限公司</t>
        </is>
      </c>
      <c r="D5" s="182" t="inlineStr">
        <is>
          <t>ZI0290020005</t>
        </is>
      </c>
      <c r="E5" s="182" t="inlineStr">
        <is>
          <t>首欣建设集团有限公司</t>
        </is>
      </c>
      <c r="F5" s="716" t="n"/>
      <c r="G5" s="768" t="inlineStr">
        <is>
          <t>集团外其他-行号</t>
        </is>
      </c>
      <c r="H5" s="672">
        <f>VLOOKUP($H$2,A259:B271,2,FALSE)</f>
        <v/>
      </c>
    </row>
    <row r="6">
      <c r="A6" s="672" t="inlineStr">
        <is>
          <t>E100217</t>
        </is>
      </c>
      <c r="B6" s="767">
        <f>ROW()</f>
        <v/>
      </c>
      <c r="C6" s="182" t="inlineStr">
        <is>
          <t>包头市盛华煤炭销售有限公司</t>
        </is>
      </c>
      <c r="D6" s="182" t="inlineStr">
        <is>
          <t>ZI0290020006</t>
        </is>
      </c>
      <c r="E6" s="182" t="inlineStr">
        <is>
          <t>北京银行股份有限公司南京分行</t>
        </is>
      </c>
      <c r="F6" s="716" t="n"/>
      <c r="G6" s="768" t="inlineStr">
        <is>
          <t>集团内-行号</t>
        </is>
      </c>
      <c r="H6" s="672">
        <f>VLOOKUP($H$2,A273:B3033,2,FALSE)</f>
        <v/>
      </c>
    </row>
    <row r="7">
      <c r="A7" s="672" t="inlineStr">
        <is>
          <t>E100447</t>
        </is>
      </c>
      <c r="B7" s="767">
        <f>ROW()</f>
        <v/>
      </c>
      <c r="C7" s="182" t="inlineStr">
        <is>
          <t>保定市金泰宏孚房地产开发有限公司</t>
        </is>
      </c>
      <c r="D7" s="182" t="inlineStr">
        <is>
          <t>ZI0290020007</t>
        </is>
      </c>
      <c r="E7" s="182" t="inlineStr">
        <is>
          <t>保定市宏孚房地产开发有限责任公司</t>
        </is>
      </c>
      <c r="F7" s="716" t="n"/>
      <c r="G7" s="716" t="n"/>
      <c r="H7" s="462" t="n"/>
    </row>
    <row r="8">
      <c r="A8" s="672" t="inlineStr">
        <is>
          <t>E100447</t>
        </is>
      </c>
      <c r="B8" s="767">
        <f>ROW()</f>
        <v/>
      </c>
      <c r="C8" s="182" t="inlineStr">
        <is>
          <t>保定市金泰宏孚房地产开发有限公司</t>
        </is>
      </c>
      <c r="D8" s="182" t="inlineStr">
        <is>
          <t>ZI0290020008</t>
        </is>
      </c>
      <c r="E8" s="182" t="inlineStr">
        <is>
          <t>北京宏宝源投资有限公司</t>
        </is>
      </c>
      <c r="F8" s="716" t="n"/>
      <c r="G8" s="716" t="n"/>
      <c r="H8" s="462" t="n"/>
    </row>
    <row r="9">
      <c r="A9" s="672" t="inlineStr">
        <is>
          <t>E100274</t>
        </is>
      </c>
      <c r="B9" s="767">
        <f>ROW()</f>
        <v/>
      </c>
      <c r="C9" s="182" t="inlineStr">
        <is>
          <t>北京乘美乡居文化旅游发展有限公司</t>
        </is>
      </c>
      <c r="D9" s="182" t="inlineStr">
        <is>
          <t>ZI0290020009</t>
        </is>
      </c>
      <c r="E9" s="182" t="inlineStr">
        <is>
          <t>北京城建设计发展集团股份有限公司</t>
        </is>
      </c>
      <c r="F9" s="716" t="n"/>
      <c r="G9" s="716" t="n"/>
      <c r="H9" s="462" t="n"/>
    </row>
    <row r="10">
      <c r="A10" s="672" t="inlineStr">
        <is>
          <t>E100201</t>
        </is>
      </c>
      <c r="B10" s="767">
        <f>ROW()</f>
        <v/>
      </c>
      <c r="C10" s="182" t="inlineStr">
        <is>
          <t>北京昊华能源股份有限公司</t>
        </is>
      </c>
      <c r="D10" s="182" t="inlineStr">
        <is>
          <t>ZI0290020010</t>
        </is>
      </c>
      <c r="E10" s="182" t="inlineStr">
        <is>
          <t>中国中煤能源集团有限公司</t>
        </is>
      </c>
      <c r="F10" s="716" t="n"/>
      <c r="G10" s="716" t="n"/>
      <c r="H10" s="462" t="n"/>
    </row>
    <row r="11">
      <c r="A11" s="672" t="inlineStr">
        <is>
          <t>E100201</t>
        </is>
      </c>
      <c r="B11" s="767">
        <f>ROW()</f>
        <v/>
      </c>
      <c r="C11" s="182" t="inlineStr">
        <is>
          <t>北京昊华能源股份有限公司</t>
        </is>
      </c>
      <c r="D11" s="182" t="inlineStr">
        <is>
          <t>ZI0290020011</t>
        </is>
      </c>
      <c r="E11" s="182" t="inlineStr">
        <is>
          <t>中国银行股份有限公司-招商中证煤炭等权指数分级证券投资基金</t>
        </is>
      </c>
      <c r="F11" s="716" t="n"/>
      <c r="G11" s="716" t="n"/>
      <c r="H11" s="462" t="n"/>
    </row>
    <row r="12">
      <c r="A12" s="672" t="inlineStr">
        <is>
          <t>E100201</t>
        </is>
      </c>
      <c r="B12" s="767">
        <f>ROW()</f>
        <v/>
      </c>
      <c r="C12" s="182" t="inlineStr">
        <is>
          <t>北京昊华能源股份有限公司</t>
        </is>
      </c>
      <c r="D12" s="182" t="inlineStr">
        <is>
          <t>ZI0290020012</t>
        </is>
      </c>
      <c r="E12" s="182" t="inlineStr">
        <is>
          <t>中国工商银行股份有限公司-国泰中证煤炭交易型开放式指数证券投资基金</t>
        </is>
      </c>
      <c r="F12" s="716" t="n"/>
      <c r="G12" s="716" t="n"/>
      <c r="H12" s="462" t="n"/>
    </row>
    <row r="13">
      <c r="A13" s="672" t="inlineStr">
        <is>
          <t>E100201</t>
        </is>
      </c>
      <c r="B13" s="767">
        <f>ROW()</f>
        <v/>
      </c>
      <c r="C13" s="182" t="inlineStr">
        <is>
          <t>北京昊华能源股份有限公司</t>
        </is>
      </c>
      <c r="D13" s="182" t="inlineStr">
        <is>
          <t>ZI0290020013</t>
        </is>
      </c>
      <c r="E13" s="182" t="inlineStr">
        <is>
          <t>国泰君安证券股份有限公司-富国中证煤炭指数型证券投资基金</t>
        </is>
      </c>
      <c r="F13" s="716" t="n"/>
      <c r="G13" s="716" t="n"/>
      <c r="H13" s="462" t="n"/>
    </row>
    <row r="14">
      <c r="A14" s="672" t="inlineStr">
        <is>
          <t>E100201</t>
        </is>
      </c>
      <c r="B14" s="767">
        <f>ROW()</f>
        <v/>
      </c>
      <c r="C14" s="182" t="inlineStr">
        <is>
          <t>北京昊华能源股份有限公司</t>
        </is>
      </c>
      <c r="D14" s="182" t="inlineStr">
        <is>
          <t>ZI0290020014</t>
        </is>
      </c>
      <c r="E14" s="182" t="inlineStr">
        <is>
          <t>UBS AG</t>
        </is>
      </c>
      <c r="F14" s="716" t="n"/>
      <c r="G14" s="716" t="n"/>
      <c r="H14" s="462" t="n"/>
    </row>
    <row r="15">
      <c r="A15" s="672" t="inlineStr">
        <is>
          <t>E100201</t>
        </is>
      </c>
      <c r="B15" s="767">
        <f>ROW()</f>
        <v/>
      </c>
      <c r="C15" s="182" t="inlineStr">
        <is>
          <t>北京昊华能源股份有限公司</t>
        </is>
      </c>
      <c r="D15" s="182" t="inlineStr">
        <is>
          <t>ZI0290020015</t>
        </is>
      </c>
      <c r="E15" s="182" t="inlineStr">
        <is>
          <t>中国建设银行股份有限公司-中银证券价值精选灵活配置混合型证券投资基金</t>
        </is>
      </c>
      <c r="F15" s="716" t="n"/>
      <c r="G15" s="716" t="n"/>
      <c r="H15" s="462" t="n"/>
    </row>
    <row r="16">
      <c r="A16" s="672" t="inlineStr">
        <is>
          <t>E100201G</t>
        </is>
      </c>
      <c r="B16" s="767">
        <f>ROW()</f>
        <v/>
      </c>
      <c r="C16" s="182" t="inlineStr">
        <is>
          <t>北京昊华能源股份有限公司（合并）</t>
        </is>
      </c>
      <c r="D16" s="182" t="inlineStr">
        <is>
          <t>ZI0290020010</t>
        </is>
      </c>
      <c r="E16" s="182" t="inlineStr">
        <is>
          <t>中国中煤能源集团有限公司</t>
        </is>
      </c>
      <c r="F16" s="716" t="n"/>
      <c r="G16" s="716" t="n"/>
      <c r="H16" s="462" t="n"/>
    </row>
    <row r="17">
      <c r="A17" s="672" t="inlineStr">
        <is>
          <t>E100201G</t>
        </is>
      </c>
      <c r="B17" s="767">
        <f>ROW()</f>
        <v/>
      </c>
      <c r="C17" s="182" t="inlineStr">
        <is>
          <t>北京昊华能源股份有限公司（合并）</t>
        </is>
      </c>
      <c r="D17" s="182" t="inlineStr">
        <is>
          <t>ZI0290020011</t>
        </is>
      </c>
      <c r="E17" s="182" t="inlineStr">
        <is>
          <t>中国银行股份有限公司-招商中证煤炭等权指数分级证券投资基金</t>
        </is>
      </c>
      <c r="F17" s="716" t="n"/>
      <c r="G17" s="716" t="n"/>
      <c r="H17" s="462" t="n"/>
    </row>
    <row r="18">
      <c r="A18" s="672" t="inlineStr">
        <is>
          <t>E100201G</t>
        </is>
      </c>
      <c r="B18" s="767">
        <f>ROW()</f>
        <v/>
      </c>
      <c r="C18" s="182" t="inlineStr">
        <is>
          <t>北京昊华能源股份有限公司（合并）</t>
        </is>
      </c>
      <c r="D18" s="182" t="inlineStr">
        <is>
          <t>ZI0290020012</t>
        </is>
      </c>
      <c r="E18" s="182" t="inlineStr">
        <is>
          <t>中国工商银行股份有限公司-国泰中证煤炭交易型开放式指数证券投资基金</t>
        </is>
      </c>
      <c r="F18" s="716" t="n"/>
      <c r="G18" s="716" t="n"/>
      <c r="H18" s="462" t="n"/>
    </row>
    <row r="19">
      <c r="A19" s="672" t="inlineStr">
        <is>
          <t>E100201G</t>
        </is>
      </c>
      <c r="B19" s="767">
        <f>ROW()</f>
        <v/>
      </c>
      <c r="C19" s="182" t="inlineStr">
        <is>
          <t>北京昊华能源股份有限公司（合并）</t>
        </is>
      </c>
      <c r="D19" s="182" t="inlineStr">
        <is>
          <t>ZI0290020013</t>
        </is>
      </c>
      <c r="E19" s="182" t="inlineStr">
        <is>
          <t>国泰君安证券股份有限公司-富国中证煤炭指数型证券投资基金</t>
        </is>
      </c>
      <c r="F19" s="716" t="n"/>
      <c r="G19" s="716" t="n"/>
      <c r="H19" s="462" t="n"/>
    </row>
    <row r="20">
      <c r="A20" s="672" t="inlineStr">
        <is>
          <t>E100201G</t>
        </is>
      </c>
      <c r="B20" s="767">
        <f>ROW()</f>
        <v/>
      </c>
      <c r="C20" s="182" t="inlineStr">
        <is>
          <t>北京昊华能源股份有限公司（合并）</t>
        </is>
      </c>
      <c r="D20" s="182" t="inlineStr">
        <is>
          <t>ZI0290020014</t>
        </is>
      </c>
      <c r="E20" s="182" t="inlineStr">
        <is>
          <t>UBS AG</t>
        </is>
      </c>
      <c r="F20" s="716" t="n"/>
      <c r="G20" s="716" t="n"/>
      <c r="H20" s="462" t="n"/>
    </row>
    <row r="21">
      <c r="A21" s="672" t="inlineStr">
        <is>
          <t>E100201G</t>
        </is>
      </c>
      <c r="B21" s="767">
        <f>ROW()</f>
        <v/>
      </c>
      <c r="C21" s="182" t="inlineStr">
        <is>
          <t>北京昊华能源股份有限公司（合并）</t>
        </is>
      </c>
      <c r="D21" s="182" t="inlineStr">
        <is>
          <t>ZI0290020015</t>
        </is>
      </c>
      <c r="E21" s="182" t="inlineStr">
        <is>
          <t>中国建设银行股份有限公司-中银证券价值精选灵活配置混合型证券投资基金</t>
        </is>
      </c>
      <c r="F21" s="716" t="n"/>
      <c r="G21" s="716" t="n"/>
      <c r="H21" s="462" t="n"/>
    </row>
    <row r="22">
      <c r="A22" s="672" t="inlineStr">
        <is>
          <t>E100201H</t>
        </is>
      </c>
      <c r="B22" s="767">
        <f>ROW()</f>
        <v/>
      </c>
      <c r="C22" s="182" t="inlineStr">
        <is>
          <t>北京昊华能源股份有限公司（母公司）</t>
        </is>
      </c>
      <c r="D22" s="182" t="inlineStr">
        <is>
          <t>ZI0290020010</t>
        </is>
      </c>
      <c r="E22" s="182" t="inlineStr">
        <is>
          <t>中国中煤能源集团有限公司</t>
        </is>
      </c>
      <c r="F22" s="716" t="n"/>
      <c r="G22" s="716" t="n"/>
      <c r="H22" s="462" t="n"/>
    </row>
    <row r="23">
      <c r="A23" s="672" t="inlineStr">
        <is>
          <t>E100201H</t>
        </is>
      </c>
      <c r="B23" s="767">
        <f>ROW()</f>
        <v/>
      </c>
      <c r="C23" s="182" t="inlineStr">
        <is>
          <t>北京昊华能源股份有限公司（母公司）</t>
        </is>
      </c>
      <c r="D23" s="182" t="inlineStr">
        <is>
          <t>ZI0290020011</t>
        </is>
      </c>
      <c r="E23" s="182" t="inlineStr">
        <is>
          <t>中国银行股份有限公司-招商中证煤炭等权指数分级证券投资基金</t>
        </is>
      </c>
      <c r="F23" s="716" t="n"/>
      <c r="G23" s="716" t="n"/>
      <c r="H23" s="462" t="n"/>
    </row>
    <row r="24">
      <c r="A24" s="672" t="inlineStr">
        <is>
          <t>E100201H</t>
        </is>
      </c>
      <c r="B24" s="767">
        <f>ROW()</f>
        <v/>
      </c>
      <c r="C24" s="182" t="inlineStr">
        <is>
          <t>北京昊华能源股份有限公司（母公司）</t>
        </is>
      </c>
      <c r="D24" s="182" t="inlineStr">
        <is>
          <t>ZI0290020012</t>
        </is>
      </c>
      <c r="E24" s="182" t="inlineStr">
        <is>
          <t>中国工商银行股份有限公司-国泰中证煤炭交易型开放式指数证券投资基金</t>
        </is>
      </c>
      <c r="F24" s="716" t="n"/>
      <c r="G24" s="716" t="n"/>
      <c r="H24" s="462" t="n"/>
    </row>
    <row r="25">
      <c r="A25" s="672" t="inlineStr">
        <is>
          <t>E100201H</t>
        </is>
      </c>
      <c r="B25" s="767">
        <f>ROW()</f>
        <v/>
      </c>
      <c r="C25" s="182" t="inlineStr">
        <is>
          <t>北京昊华能源股份有限公司（母公司）</t>
        </is>
      </c>
      <c r="D25" s="182" t="inlineStr">
        <is>
          <t>ZI0290020013</t>
        </is>
      </c>
      <c r="E25" s="182" t="inlineStr">
        <is>
          <t>国泰君安证券股份有限公司-富国中证煤炭指数型证券投资基金</t>
        </is>
      </c>
      <c r="F25" s="716" t="n"/>
      <c r="G25" s="716" t="n"/>
      <c r="H25" s="462" t="n"/>
    </row>
    <row r="26">
      <c r="A26" s="672" t="inlineStr">
        <is>
          <t>E100201H</t>
        </is>
      </c>
      <c r="B26" s="767">
        <f>ROW()</f>
        <v/>
      </c>
      <c r="C26" s="182" t="inlineStr">
        <is>
          <t>北京昊华能源股份有限公司（母公司）</t>
        </is>
      </c>
      <c r="D26" s="182" t="inlineStr">
        <is>
          <t>ZI0290020014</t>
        </is>
      </c>
      <c r="E26" s="182" t="inlineStr">
        <is>
          <t>UBS AG</t>
        </is>
      </c>
      <c r="F26" s="716" t="n"/>
      <c r="G26" s="716" t="n"/>
      <c r="H26" s="462" t="n"/>
    </row>
    <row r="27">
      <c r="A27" s="672" t="inlineStr">
        <is>
          <t>E100201H</t>
        </is>
      </c>
      <c r="B27" s="767">
        <f>ROW()</f>
        <v/>
      </c>
      <c r="C27" s="182" t="inlineStr">
        <is>
          <t>北京昊华能源股份有限公司（母公司）</t>
        </is>
      </c>
      <c r="D27" s="182" t="inlineStr">
        <is>
          <t>ZI0290020015</t>
        </is>
      </c>
      <c r="E27" s="182" t="inlineStr">
        <is>
          <t>中国建设银行股份有限公司-中银证券价值精选灵活配置混合型证券投资基金</t>
        </is>
      </c>
      <c r="F27" s="716" t="n"/>
      <c r="G27" s="716" t="n"/>
      <c r="H27" s="462" t="n"/>
    </row>
    <row r="28">
      <c r="A28" s="672" t="inlineStr">
        <is>
          <t>E100255</t>
        </is>
      </c>
      <c r="B28" s="767">
        <f>ROW()</f>
        <v/>
      </c>
      <c r="C28" s="182" t="inlineStr">
        <is>
          <t>北京华热科技发展有限公司</t>
        </is>
      </c>
      <c r="D28" s="182" t="inlineStr">
        <is>
          <t>ZI0290020016</t>
        </is>
      </c>
      <c r="E28" s="182" t="inlineStr">
        <is>
          <t>北京华大智宝电子系统有限公司</t>
        </is>
      </c>
      <c r="F28" s="716" t="n"/>
      <c r="G28" s="716" t="n"/>
      <c r="H28" s="462" t="n"/>
    </row>
    <row r="29">
      <c r="A29" s="672" t="inlineStr">
        <is>
          <t>E100255</t>
        </is>
      </c>
      <c r="B29" s="767">
        <f>ROW()</f>
        <v/>
      </c>
      <c r="C29" s="182" t="inlineStr">
        <is>
          <t>北京华热科技发展有限公司</t>
        </is>
      </c>
      <c r="D29" s="182" t="inlineStr">
        <is>
          <t>ZI0290020017</t>
        </is>
      </c>
      <c r="E29" s="182" t="inlineStr">
        <is>
          <t>北京白云联盟科技中心（有限合伙）</t>
        </is>
      </c>
      <c r="F29" s="716" t="n"/>
      <c r="G29" s="716" t="n"/>
      <c r="H29" s="462" t="n"/>
    </row>
    <row r="30">
      <c r="A30" s="672" t="inlineStr">
        <is>
          <t>E100446</t>
        </is>
      </c>
      <c r="B30" s="767">
        <f>ROW()</f>
        <v/>
      </c>
      <c r="C30" s="182" t="inlineStr">
        <is>
          <t>北京金泰（辽宁）房地产开发有限责任公司</t>
        </is>
      </c>
      <c r="D30" s="182" t="inlineStr">
        <is>
          <t>ZI0290020018</t>
        </is>
      </c>
      <c r="E30" s="182" t="inlineStr">
        <is>
          <t>北京盛金投资有限公司</t>
        </is>
      </c>
      <c r="F30" s="716" t="n"/>
      <c r="G30" s="716" t="n"/>
      <c r="H30" s="462" t="n"/>
    </row>
    <row r="31">
      <c r="A31" s="672" t="inlineStr">
        <is>
          <t>E100366</t>
        </is>
      </c>
      <c r="B31" s="767">
        <f>ROW()</f>
        <v/>
      </c>
      <c r="C31" s="182" t="inlineStr">
        <is>
          <t>北京金泰新钢联科贸有限公司</t>
        </is>
      </c>
      <c r="D31" s="182" t="inlineStr">
        <is>
          <t>ZI0290020019</t>
        </is>
      </c>
      <c r="E31" s="182" t="inlineStr">
        <is>
          <t>北京首钢新钢联科贸有限公司</t>
        </is>
      </c>
      <c r="F31" s="716" t="n"/>
      <c r="G31" s="716" t="n"/>
      <c r="H31" s="462" t="n"/>
    </row>
    <row r="32">
      <c r="A32" s="672" t="inlineStr">
        <is>
          <t>E100450</t>
        </is>
      </c>
      <c r="B32" s="767">
        <f>ROW()</f>
        <v/>
      </c>
      <c r="C32" s="182" t="inlineStr">
        <is>
          <t>北京金泰中阳房地产开发有限公司</t>
        </is>
      </c>
      <c r="D32" s="182" t="inlineStr">
        <is>
          <t>ZI0290020020</t>
        </is>
      </c>
      <c r="E32" s="182" t="inlineStr">
        <is>
          <t>北京中阳奥华国际房地产有限公司</t>
        </is>
      </c>
      <c r="F32" s="716" t="n"/>
      <c r="G32" s="716" t="n"/>
      <c r="H32" s="462" t="n"/>
    </row>
    <row r="33">
      <c r="A33" s="672" t="inlineStr">
        <is>
          <t>E100258</t>
        </is>
      </c>
      <c r="B33" s="767">
        <f>ROW()</f>
        <v/>
      </c>
      <c r="C33" s="182" t="inlineStr">
        <is>
          <t>北京京诚供热有限责任公司</t>
        </is>
      </c>
      <c r="D33" s="182" t="inlineStr">
        <is>
          <t>ZI0290020021</t>
        </is>
      </c>
      <c r="E33" s="182" t="inlineStr">
        <is>
          <t>北京京通恒欣科技发展有限公司</t>
        </is>
      </c>
      <c r="F33" s="716" t="n"/>
      <c r="G33" s="716" t="n"/>
      <c r="H33" s="462" t="n"/>
    </row>
    <row r="34">
      <c r="A34" s="672" t="inlineStr">
        <is>
          <t>E100806</t>
        </is>
      </c>
      <c r="B34" s="767">
        <f>ROW()</f>
        <v/>
      </c>
      <c r="C34" s="182" t="inlineStr">
        <is>
          <t>北京京珑置业有限公司</t>
        </is>
      </c>
      <c r="D34" s="182" t="inlineStr">
        <is>
          <t>ZI0290020022</t>
        </is>
      </c>
      <c r="E34" s="182" t="inlineStr">
        <is>
          <t>北京龙湖中佰置业有限公司</t>
        </is>
      </c>
      <c r="F34" s="716" t="n"/>
      <c r="G34" s="716" t="n"/>
      <c r="H34" s="462" t="n"/>
    </row>
    <row r="35">
      <c r="A35" s="672" t="inlineStr">
        <is>
          <t>E100538</t>
        </is>
      </c>
      <c r="B35" s="767">
        <f>ROW()</f>
        <v/>
      </c>
      <c r="C35" s="182" t="inlineStr">
        <is>
          <t>北京京煤集团地质勘探队</t>
        </is>
      </c>
      <c r="D35" s="182" t="inlineStr">
        <is>
          <t>ZI0290020002</t>
        </is>
      </c>
      <c r="E35" s="182" t="inlineStr">
        <is>
          <t>北京市财政局</t>
        </is>
      </c>
      <c r="F35" s="716" t="n"/>
      <c r="G35" s="716" t="n"/>
      <c r="H35" s="462" t="n"/>
    </row>
    <row r="36">
      <c r="A36" s="672" t="inlineStr">
        <is>
          <t>E100268G</t>
        </is>
      </c>
      <c r="B36" s="767">
        <f>ROW()</f>
        <v/>
      </c>
      <c r="C36" s="182" t="inlineStr">
        <is>
          <t>北京京煤集团有限责任公司（合并）</t>
        </is>
      </c>
      <c r="D36" s="182" t="inlineStr">
        <is>
          <t>ZI0290020002</t>
        </is>
      </c>
      <c r="E36" s="182" t="inlineStr">
        <is>
          <t>北京市财政局</t>
        </is>
      </c>
      <c r="F36" s="716" t="n"/>
      <c r="G36" s="716" t="n"/>
      <c r="H36" s="462" t="n"/>
    </row>
    <row r="37">
      <c r="A37" s="672" t="inlineStr">
        <is>
          <t>E100199</t>
        </is>
      </c>
      <c r="B37" s="767">
        <f>ROW()</f>
        <v/>
      </c>
      <c r="C37" s="182" t="inlineStr">
        <is>
          <t>北京京能国际能源技术有限公司</t>
        </is>
      </c>
      <c r="D37" s="182" t="inlineStr">
        <is>
          <t>ZI0290020024</t>
        </is>
      </c>
      <c r="E37" s="182" t="inlineStr">
        <is>
          <t>西门子（中国）有限公司</t>
        </is>
      </c>
      <c r="F37" s="716" t="n"/>
      <c r="G37" s="716" t="n"/>
      <c r="H37" s="462" t="n"/>
    </row>
    <row r="38">
      <c r="A38" s="672" t="inlineStr">
        <is>
          <t>E100199</t>
        </is>
      </c>
      <c r="B38" s="767">
        <f>ROW()</f>
        <v/>
      </c>
      <c r="C38" s="182" t="inlineStr">
        <is>
          <t>北京京能国际能源技术有限公司</t>
        </is>
      </c>
      <c r="D38" s="182" t="inlineStr">
        <is>
          <t>ZI0290020025</t>
        </is>
      </c>
      <c r="E38" s="182" t="inlineStr">
        <is>
          <t>西门子能源有限公司</t>
        </is>
      </c>
      <c r="F38" s="716" t="n"/>
      <c r="G38" s="716" t="n"/>
      <c r="H38" s="462" t="n"/>
    </row>
    <row r="39">
      <c r="A39" s="672" t="inlineStr">
        <is>
          <t>E100427</t>
        </is>
      </c>
      <c r="B39" s="767">
        <f>ROW()</f>
        <v/>
      </c>
      <c r="C39" s="182" t="inlineStr">
        <is>
          <t>北京京能海赋置业有限公司</t>
        </is>
      </c>
      <c r="D39" s="182" t="inlineStr">
        <is>
          <t>ZI0290020026</t>
        </is>
      </c>
      <c r="E39" s="182" t="inlineStr">
        <is>
          <t>中国电建地产集团有限公司</t>
        </is>
      </c>
      <c r="F39" s="716" t="n"/>
      <c r="G39" s="716" t="n"/>
      <c r="H39" s="462" t="n"/>
    </row>
    <row r="40">
      <c r="A40" s="672" t="inlineStr">
        <is>
          <t>E100261</t>
        </is>
      </c>
      <c r="B40" s="767">
        <f>ROW()</f>
        <v/>
      </c>
      <c r="C40" s="182" t="inlineStr">
        <is>
          <t>北京京能恒星能源科技有限公司</t>
        </is>
      </c>
      <c r="D40" s="182" t="inlineStr">
        <is>
          <t>ZI0290020027</t>
        </is>
      </c>
      <c r="E40" s="182" t="inlineStr">
        <is>
          <t>恒星能源亚洲投资有限公司</t>
        </is>
      </c>
      <c r="F40" s="716" t="n"/>
      <c r="G40" s="716" t="n"/>
      <c r="H40" s="462" t="n"/>
    </row>
    <row r="41">
      <c r="A41" s="672" t="inlineStr">
        <is>
          <t>E100545</t>
        </is>
      </c>
      <c r="B41" s="767">
        <f>ROW()</f>
        <v/>
      </c>
      <c r="C41" s="182" t="inlineStr">
        <is>
          <t>北京京能京通新能源有限公司</t>
        </is>
      </c>
      <c r="D41" s="182" t="inlineStr">
        <is>
          <t>ZI0290020028</t>
        </is>
      </c>
      <c r="E41" s="182" t="inlineStr">
        <is>
          <t>北京中恺能源发展有限公司</t>
        </is>
      </c>
      <c r="F41" s="716" t="n"/>
      <c r="G41" s="716" t="n"/>
      <c r="H41" s="462" t="n"/>
    </row>
    <row r="42">
      <c r="A42" s="672" t="inlineStr">
        <is>
          <t>E100200</t>
        </is>
      </c>
      <c r="B42" s="767">
        <f>ROW()</f>
        <v/>
      </c>
      <c r="C42" s="182" t="inlineStr">
        <is>
          <t>北京京能能源技术研究有限责任公司</t>
        </is>
      </c>
      <c r="D42" s="182" t="inlineStr">
        <is>
          <t>ZI0290020029</t>
        </is>
      </c>
      <c r="E42" s="182" t="inlineStr">
        <is>
          <t>首航高科能源技术股份有限公司</t>
        </is>
      </c>
      <c r="F42" s="716" t="n"/>
      <c r="G42" s="716" t="n"/>
      <c r="H42" s="462" t="n"/>
    </row>
    <row r="43">
      <c r="A43" s="672" t="inlineStr">
        <is>
          <t>E100200G</t>
        </is>
      </c>
      <c r="B43" s="767">
        <f>ROW()</f>
        <v/>
      </c>
      <c r="C43" s="182" t="inlineStr">
        <is>
          <t>北京京能能源技术研究有限责任公司（合并）</t>
        </is>
      </c>
      <c r="D43" s="182" t="inlineStr">
        <is>
          <t>ZI0290020029</t>
        </is>
      </c>
      <c r="E43" s="182" t="inlineStr">
        <is>
          <t>首航高科能源技术股份有限公司</t>
        </is>
      </c>
      <c r="F43" s="716" t="n"/>
      <c r="G43" s="716" t="n"/>
      <c r="H43" s="462" t="n"/>
    </row>
    <row r="44">
      <c r="A44" s="672" t="inlineStr">
        <is>
          <t>E100858</t>
        </is>
      </c>
      <c r="B44" s="767">
        <f>ROW()</f>
        <v/>
      </c>
      <c r="C44" s="182" t="inlineStr">
        <is>
          <t>北京京能能源科技并购投资基金（有限合伙）</t>
        </is>
      </c>
      <c r="D44" s="182" t="inlineStr">
        <is>
          <t>ZI0290020030</t>
        </is>
      </c>
      <c r="E44" s="182" t="inlineStr">
        <is>
          <t>孚能科技产业投资（北京）有限责任公司</t>
        </is>
      </c>
      <c r="F44" s="716" t="n"/>
      <c r="G44" s="716" t="n"/>
      <c r="H44" s="462" t="n"/>
    </row>
    <row r="45">
      <c r="A45" s="672" t="inlineStr">
        <is>
          <t>E100858</t>
        </is>
      </c>
      <c r="B45" s="767">
        <f>ROW()</f>
        <v/>
      </c>
      <c r="C45" s="182" t="inlineStr">
        <is>
          <t>北京京能能源科技并购投资基金（有限合伙）</t>
        </is>
      </c>
      <c r="D45" s="182" t="inlineStr">
        <is>
          <t>ZI0290020031</t>
        </is>
      </c>
      <c r="E45" s="182" t="inlineStr">
        <is>
          <t>首正泽富创新投资（北京）有限公司</t>
        </is>
      </c>
      <c r="F45" s="716" t="n"/>
      <c r="G45" s="716" t="n"/>
      <c r="H45" s="462" t="n"/>
    </row>
    <row r="46">
      <c r="A46" s="672" t="inlineStr">
        <is>
          <t>E100858</t>
        </is>
      </c>
      <c r="B46" s="767">
        <f>ROW()</f>
        <v/>
      </c>
      <c r="C46" s="182" t="inlineStr">
        <is>
          <t>北京京能能源科技并购投资基金（有限合伙）</t>
        </is>
      </c>
      <c r="D46" s="182" t="inlineStr">
        <is>
          <t>ZI0290020032</t>
        </is>
      </c>
      <c r="E46" s="182" t="inlineStr">
        <is>
          <t>深圳市雄韬电源科技股份有限公司</t>
        </is>
      </c>
      <c r="F46" s="716" t="n"/>
      <c r="G46" s="716" t="n"/>
      <c r="H46" s="462" t="n"/>
    </row>
    <row r="47">
      <c r="A47" s="672" t="inlineStr">
        <is>
          <t>E100725</t>
        </is>
      </c>
      <c r="B47" s="767">
        <f>ROW()</f>
        <v/>
      </c>
      <c r="C47" s="182" t="inlineStr">
        <is>
          <t>北京京能氢源科技有限公司</t>
        </is>
      </c>
      <c r="D47" s="182" t="inlineStr">
        <is>
          <t>ZI0290020033</t>
        </is>
      </c>
      <c r="E47" s="182" t="inlineStr">
        <is>
          <t>山西美锦能源股份有限公司</t>
        </is>
      </c>
      <c r="F47" s="716" t="n"/>
      <c r="G47" s="716" t="n"/>
      <c r="H47" s="462" t="n"/>
    </row>
    <row r="48">
      <c r="A48" s="672" t="inlineStr">
        <is>
          <t>E100001</t>
        </is>
      </c>
      <c r="B48" s="767">
        <f>ROW()</f>
        <v/>
      </c>
      <c r="C48" s="182" t="inlineStr">
        <is>
          <t>北京京能清洁能源电力股份有限公司</t>
        </is>
      </c>
      <c r="D48" s="182" t="inlineStr">
        <is>
          <t>ZI0290020001</t>
        </is>
      </c>
      <c r="E48" s="182" t="inlineStr">
        <is>
          <t>北京国有资本运营管理有限公司</t>
        </is>
      </c>
      <c r="F48" s="716" t="n"/>
      <c r="G48" s="716" t="n"/>
      <c r="H48" s="462" t="n"/>
    </row>
    <row r="49">
      <c r="A49" s="672" t="inlineStr">
        <is>
          <t>E100001G</t>
        </is>
      </c>
      <c r="B49" s="767">
        <f>ROW()</f>
        <v/>
      </c>
      <c r="C49" s="182" t="inlineStr">
        <is>
          <t>北京京能清洁能源电力股份有限公司（合并）</t>
        </is>
      </c>
      <c r="D49" s="182" t="inlineStr">
        <is>
          <t>ZI0290020001</t>
        </is>
      </c>
      <c r="E49" s="182" t="inlineStr">
        <is>
          <t>北京国有资本运营管理有限公司</t>
        </is>
      </c>
      <c r="F49" s="716" t="n"/>
      <c r="G49" s="716" t="n"/>
      <c r="H49" s="462" t="n"/>
    </row>
    <row r="50">
      <c r="A50" s="672" t="inlineStr">
        <is>
          <t>E100001H</t>
        </is>
      </c>
      <c r="B50" s="767">
        <f>ROW()</f>
        <v/>
      </c>
      <c r="C50" s="182" t="inlineStr">
        <is>
          <t>北京京能清洁能源电力股份有限公司（合并）本部</t>
        </is>
      </c>
      <c r="D50" s="182" t="inlineStr">
        <is>
          <t>ZI0290020001</t>
        </is>
      </c>
      <c r="E50" s="182" t="inlineStr">
        <is>
          <t>北京国有资本运营管理有限公司</t>
        </is>
      </c>
      <c r="F50" s="716" t="n"/>
      <c r="G50" s="716" t="n"/>
      <c r="H50" s="462" t="n"/>
    </row>
    <row r="51">
      <c r="A51" s="672" t="inlineStr">
        <is>
          <t>E100375</t>
        </is>
      </c>
      <c r="B51" s="767">
        <f>ROW()</f>
        <v/>
      </c>
      <c r="C51" s="182" t="inlineStr">
        <is>
          <t>北京京能碳资产管理有限公司</t>
        </is>
      </c>
      <c r="D51" s="182" t="inlineStr">
        <is>
          <t>ZI0290020034</t>
        </is>
      </c>
      <c r="E51" s="182" t="inlineStr">
        <is>
          <t>中竞同创能源环境科技集团股份有限公司</t>
        </is>
      </c>
      <c r="F51" s="716" t="n"/>
      <c r="G51" s="716" t="n"/>
      <c r="H51" s="462" t="n"/>
    </row>
    <row r="52">
      <c r="A52" s="672" t="inlineStr">
        <is>
          <t>E100704</t>
        </is>
      </c>
      <c r="B52" s="767">
        <f>ROW()</f>
        <v/>
      </c>
      <c r="C52" s="182" t="inlineStr">
        <is>
          <t>北京京润仁康控股有限公司</t>
        </is>
      </c>
      <c r="D52" s="182" t="inlineStr">
        <is>
          <t>ZI0290020035</t>
        </is>
      </c>
      <c r="E52" s="182" t="inlineStr">
        <is>
          <t>华润医院控股有限公司</t>
        </is>
      </c>
      <c r="F52" s="716" t="n"/>
      <c r="G52" s="716" t="n"/>
      <c r="H52" s="462" t="n"/>
    </row>
    <row r="53">
      <c r="A53" s="672" t="inlineStr">
        <is>
          <t>E100704G</t>
        </is>
      </c>
      <c r="B53" s="767">
        <f>ROW()</f>
        <v/>
      </c>
      <c r="C53" s="182" t="inlineStr">
        <is>
          <t>北京京润仁康控股有限公司（合并）</t>
        </is>
      </c>
      <c r="D53" s="182" t="inlineStr">
        <is>
          <t>ZI0290020035</t>
        </is>
      </c>
      <c r="E53" s="182" t="inlineStr">
        <is>
          <t>华润医院控股有限公司</t>
        </is>
      </c>
      <c r="F53" s="716" t="n"/>
      <c r="G53" s="716" t="n"/>
      <c r="H53" s="462" t="n"/>
    </row>
    <row r="54">
      <c r="A54" s="672" t="inlineStr">
        <is>
          <t>E100705</t>
        </is>
      </c>
      <c r="B54" s="767">
        <f>ROW()</f>
        <v/>
      </c>
      <c r="C54" s="182" t="inlineStr">
        <is>
          <t>北京京润仁康医院管理有限公司</t>
        </is>
      </c>
      <c r="D54" s="182" t="inlineStr">
        <is>
          <t>ZI0290020035</t>
        </is>
      </c>
      <c r="E54" s="182" t="inlineStr">
        <is>
          <t>华润医院控股有限公司</t>
        </is>
      </c>
      <c r="F54" s="716" t="n"/>
      <c r="G54" s="716" t="n"/>
      <c r="H54" s="462" t="n"/>
    </row>
    <row r="55">
      <c r="A55" s="672" t="inlineStr">
        <is>
          <t>E100428</t>
        </is>
      </c>
      <c r="B55" s="767">
        <f>ROW()</f>
        <v/>
      </c>
      <c r="C55" s="182" t="inlineStr">
        <is>
          <t>北京京石融宁房地产开发有限公司</t>
        </is>
      </c>
      <c r="D55" s="182" t="inlineStr">
        <is>
          <t>ZI0290020036</t>
        </is>
      </c>
      <c r="E55" s="182" t="inlineStr">
        <is>
          <t>金融街融辰（北京）置业有限公司</t>
        </is>
      </c>
      <c r="F55" s="716" t="n"/>
      <c r="G55" s="716" t="n"/>
      <c r="H55" s="462" t="n"/>
    </row>
    <row r="56">
      <c r="A56" s="672" t="inlineStr">
        <is>
          <t>E100728</t>
        </is>
      </c>
      <c r="B56" s="767">
        <f>ROW()</f>
        <v/>
      </c>
      <c r="C56" s="182" t="inlineStr">
        <is>
          <t>北京京西生态文旅投资有限公司</t>
        </is>
      </c>
      <c r="D56" s="182" t="inlineStr">
        <is>
          <t>ZI0290020009</t>
        </is>
      </c>
      <c r="E56" s="182" t="inlineStr">
        <is>
          <t>北京城建设计发展集团股份有限公司</t>
        </is>
      </c>
      <c r="F56" s="716" t="n"/>
      <c r="G56" s="716" t="n"/>
      <c r="H56" s="462" t="n"/>
    </row>
    <row r="57">
      <c r="A57" s="672" t="inlineStr">
        <is>
          <t>E100728</t>
        </is>
      </c>
      <c r="B57" s="767">
        <f>ROW()</f>
        <v/>
      </c>
      <c r="C57" s="182" t="inlineStr">
        <is>
          <t>北京京西生态文旅投资有限公司</t>
        </is>
      </c>
      <c r="D57" s="182" t="inlineStr">
        <is>
          <t>ZI0290020037</t>
        </is>
      </c>
      <c r="E57" s="182" t="inlineStr">
        <is>
          <t>北京金隅集团股份有限公司</t>
        </is>
      </c>
      <c r="F57" s="716" t="n"/>
      <c r="G57" s="716" t="n"/>
      <c r="H57" s="462" t="n"/>
    </row>
    <row r="58">
      <c r="A58" s="672" t="inlineStr">
        <is>
          <t>E100728</t>
        </is>
      </c>
      <c r="B58" s="767">
        <f>ROW()</f>
        <v/>
      </c>
      <c r="C58" s="182" t="inlineStr">
        <is>
          <t>北京京西生态文旅投资有限公司</t>
        </is>
      </c>
      <c r="D58" s="182" t="inlineStr">
        <is>
          <t>ZI0290020038</t>
        </is>
      </c>
      <c r="E58" s="182" t="inlineStr">
        <is>
          <t>永定河流域投资有限公司</t>
        </is>
      </c>
      <c r="F58" s="716" t="n"/>
      <c r="G58" s="716" t="n"/>
      <c r="H58" s="462" t="n"/>
    </row>
    <row r="59">
      <c r="A59" s="672" t="inlineStr">
        <is>
          <t>E100728</t>
        </is>
      </c>
      <c r="B59" s="767">
        <f>ROW()</f>
        <v/>
      </c>
      <c r="C59" s="182" t="inlineStr">
        <is>
          <t>北京京西生态文旅投资有限公司</t>
        </is>
      </c>
      <c r="D59" s="182" t="inlineStr">
        <is>
          <t>ZI0290020039</t>
        </is>
      </c>
      <c r="E59" s="182" t="inlineStr">
        <is>
          <t>北京首都旅游集团有限责任公司</t>
        </is>
      </c>
      <c r="F59" s="716" t="n"/>
      <c r="G59" s="716" t="n"/>
      <c r="H59" s="462" t="n"/>
    </row>
    <row r="60">
      <c r="A60" s="672" t="inlineStr">
        <is>
          <t>E100728</t>
        </is>
      </c>
      <c r="B60" s="767">
        <f>ROW()</f>
        <v/>
      </c>
      <c r="C60" s="182" t="inlineStr">
        <is>
          <t>北京京西生态文旅投资有限公司</t>
        </is>
      </c>
      <c r="D60" s="182" t="inlineStr">
        <is>
          <t>ZI0290020040</t>
        </is>
      </c>
      <c r="E60" s="182" t="inlineStr">
        <is>
          <t>北京京西山水文化旅游投资控股有限公司</t>
        </is>
      </c>
      <c r="F60" s="716" t="n"/>
      <c r="G60" s="716" t="n"/>
      <c r="H60" s="462" t="n"/>
    </row>
    <row r="61">
      <c r="A61" s="672" t="inlineStr">
        <is>
          <t>E100830</t>
        </is>
      </c>
      <c r="B61" s="767">
        <f>ROW()</f>
        <v/>
      </c>
      <c r="C61" s="182" t="inlineStr">
        <is>
          <t>北京九樾房地产开发有限公司</t>
        </is>
      </c>
      <c r="D61" s="182" t="inlineStr">
        <is>
          <t>ZI0290020041</t>
        </is>
      </c>
      <c r="E61" s="182" t="inlineStr">
        <is>
          <t>北京城谷恒泰房地产开发有限公司</t>
        </is>
      </c>
      <c r="F61" s="716" t="n"/>
      <c r="G61" s="716" t="n"/>
      <c r="H61" s="462" t="n"/>
    </row>
    <row r="62">
      <c r="A62" s="672" t="inlineStr">
        <is>
          <t>E100288</t>
        </is>
      </c>
      <c r="B62" s="767">
        <f>ROW()</f>
        <v/>
      </c>
      <c r="C62" s="182" t="inlineStr">
        <is>
          <t>北京科技高级技术学校</t>
        </is>
      </c>
      <c r="D62" s="182" t="inlineStr">
        <is>
          <t>ZI0290020002</t>
        </is>
      </c>
      <c r="E62" s="182" t="inlineStr">
        <is>
          <t>北京市财政局</t>
        </is>
      </c>
      <c r="F62" s="716" t="n"/>
      <c r="G62" s="716" t="n"/>
      <c r="H62" s="462" t="n"/>
    </row>
    <row r="63">
      <c r="A63" s="672" t="inlineStr">
        <is>
          <t>E100191</t>
        </is>
      </c>
      <c r="B63" s="767">
        <f>ROW()</f>
        <v/>
      </c>
      <c r="C63" s="182" t="inlineStr">
        <is>
          <t>北京乐多港发展有限公司</t>
        </is>
      </c>
      <c r="D63" s="182" t="inlineStr">
        <is>
          <t>ZI0290020042</t>
        </is>
      </c>
      <c r="E63" s="182" t="inlineStr">
        <is>
          <t>中国农发重点建设基金有限公司</t>
        </is>
      </c>
      <c r="F63" s="716" t="n"/>
      <c r="G63" s="716" t="n"/>
      <c r="H63" s="462" t="n"/>
    </row>
    <row r="64">
      <c r="A64" s="672" t="inlineStr">
        <is>
          <t>E100558</t>
        </is>
      </c>
      <c r="B64" s="767">
        <f>ROW()</f>
        <v/>
      </c>
      <c r="C64" s="182" t="inlineStr">
        <is>
          <t>北京能工荟智机器人有限责任公司</t>
        </is>
      </c>
      <c r="D64" s="182" t="inlineStr">
        <is>
          <t>ZI0290020043</t>
        </is>
      </c>
      <c r="E64" s="182" t="inlineStr">
        <is>
          <t>京能工荟创科技中心（有限合伙）</t>
        </is>
      </c>
      <c r="F64" s="716" t="n"/>
      <c r="G64" s="716" t="n"/>
      <c r="H64" s="462" t="n"/>
    </row>
    <row r="65">
      <c r="A65" s="672" t="inlineStr">
        <is>
          <t>E100558</t>
        </is>
      </c>
      <c r="B65" s="767">
        <f>ROW()</f>
        <v/>
      </c>
      <c r="C65" s="182" t="inlineStr">
        <is>
          <t>北京能工荟智机器人有限责任公司</t>
        </is>
      </c>
      <c r="D65" s="182" t="inlineStr">
        <is>
          <t>ZI0290020044</t>
        </is>
      </c>
      <c r="E65" s="182" t="inlineStr">
        <is>
          <t>湖南哈工机器人研究院有限公司</t>
        </is>
      </c>
      <c r="F65" s="716" t="n"/>
      <c r="G65" s="716" t="n"/>
      <c r="H65" s="462" t="n"/>
    </row>
    <row r="66">
      <c r="A66" s="672" t="inlineStr">
        <is>
          <t>E100724</t>
        </is>
      </c>
      <c r="B66" s="767">
        <f>ROW()</f>
        <v/>
      </c>
      <c r="C66" s="182" t="inlineStr">
        <is>
          <t>北京能锐大数据有限责任公司</t>
        </is>
      </c>
      <c r="D66" s="182" t="inlineStr">
        <is>
          <t>ZI0290020045</t>
        </is>
      </c>
      <c r="E66" s="182" t="inlineStr">
        <is>
          <t>深圳鹏锐信息技术股份有限公司</t>
        </is>
      </c>
      <c r="F66" s="716" t="n"/>
      <c r="G66" s="716" t="n"/>
      <c r="H66" s="462" t="n"/>
    </row>
    <row r="67">
      <c r="A67" s="672" t="inlineStr">
        <is>
          <t>E100000</t>
        </is>
      </c>
      <c r="B67" s="767">
        <f>ROW()</f>
        <v/>
      </c>
      <c r="C67" s="182" t="inlineStr">
        <is>
          <t>北京能源集团有限责任公司</t>
        </is>
      </c>
      <c r="D67" s="182" t="inlineStr">
        <is>
          <t>ZI0290020001</t>
        </is>
      </c>
      <c r="E67" s="182" t="inlineStr">
        <is>
          <t>北京国有资本运营管理有限公司</t>
        </is>
      </c>
      <c r="F67" s="716" t="n"/>
      <c r="G67" s="716" t="n"/>
      <c r="H67" s="462" t="n"/>
    </row>
    <row r="68">
      <c r="A68" s="672" t="inlineStr">
        <is>
          <t>E100000G</t>
        </is>
      </c>
      <c r="B68" s="767">
        <f>ROW()</f>
        <v/>
      </c>
      <c r="C68" s="182" t="inlineStr">
        <is>
          <t>北京能源集团有限责任公司（合并）</t>
        </is>
      </c>
      <c r="D68" s="182" t="inlineStr">
        <is>
          <t>ZI0290020001</t>
        </is>
      </c>
      <c r="E68" s="182" t="inlineStr">
        <is>
          <t>北京国有资本运营管理有限公司</t>
        </is>
      </c>
      <c r="F68" s="716" t="n"/>
      <c r="G68" s="716" t="n"/>
      <c r="H68" s="462" t="n"/>
    </row>
    <row r="69">
      <c r="A69" s="672" t="inlineStr">
        <is>
          <t>E100000H</t>
        </is>
      </c>
      <c r="B69" s="767">
        <f>ROW()</f>
        <v/>
      </c>
      <c r="C69" s="182" t="inlineStr">
        <is>
          <t>北京能源集团有限责任公司（母公司）</t>
        </is>
      </c>
      <c r="D69" s="182" t="inlineStr">
        <is>
          <t>ZI0290020001</t>
        </is>
      </c>
      <c r="E69" s="182" t="inlineStr">
        <is>
          <t>北京国有资本运营管理有限公司</t>
        </is>
      </c>
      <c r="F69" s="716" t="n"/>
      <c r="G69" s="716" t="n"/>
      <c r="H69" s="462" t="n"/>
    </row>
    <row r="70">
      <c r="A70" s="672" t="inlineStr">
        <is>
          <t>E100009</t>
        </is>
      </c>
      <c r="B70" s="767">
        <f>ROW()</f>
        <v/>
      </c>
      <c r="C70" s="182" t="inlineStr">
        <is>
          <t>北京上庄燃气热电有限公司</t>
        </is>
      </c>
      <c r="D70" s="182" t="inlineStr">
        <is>
          <t>ZI0290020042</t>
        </is>
      </c>
      <c r="E70" s="182" t="inlineStr">
        <is>
          <t>中国农发重点建设基金有限公司</t>
        </is>
      </c>
      <c r="F70" s="716" t="n"/>
      <c r="G70" s="716" t="n"/>
      <c r="H70" s="462" t="n"/>
    </row>
    <row r="71">
      <c r="A71" s="672" t="inlineStr">
        <is>
          <t>E100008</t>
        </is>
      </c>
      <c r="B71" s="767">
        <f>ROW()</f>
        <v/>
      </c>
      <c r="C71" s="182" t="inlineStr">
        <is>
          <t>北京太阳宫燃气热电有限公司</t>
        </is>
      </c>
      <c r="D71" s="182" t="inlineStr">
        <is>
          <t>ZI0290020046</t>
        </is>
      </c>
      <c r="E71" s="182" t="inlineStr">
        <is>
          <t>国电电力发展股份有限公司</t>
        </is>
      </c>
      <c r="F71" s="716" t="n"/>
      <c r="G71" s="716" t="n"/>
      <c r="H71" s="462" t="n"/>
    </row>
    <row r="72">
      <c r="A72" s="672" t="inlineStr">
        <is>
          <t>E100424</t>
        </is>
      </c>
      <c r="B72" s="767">
        <f>ROW()</f>
        <v/>
      </c>
      <c r="C72" s="182" t="inlineStr">
        <is>
          <t>北京天创世缘房地产开发有限公司</t>
        </is>
      </c>
      <c r="D72" s="182" t="inlineStr">
        <is>
          <t>ZI0290020047</t>
        </is>
      </c>
      <c r="E72" s="182" t="inlineStr">
        <is>
          <t>北京鑫福海工贸集团公司</t>
        </is>
      </c>
      <c r="F72" s="716" t="n"/>
      <c r="G72" s="716" t="n"/>
      <c r="H72" s="462" t="n"/>
    </row>
    <row r="73">
      <c r="A73" s="672" t="inlineStr">
        <is>
          <t>E100374</t>
        </is>
      </c>
      <c r="B73" s="767">
        <f>ROW()</f>
        <v/>
      </c>
      <c r="C73" s="182" t="inlineStr">
        <is>
          <t>北京源深联众环保科技有限责任公司</t>
        </is>
      </c>
      <c r="D73" s="182" t="inlineStr">
        <is>
          <t>ZI0290020048</t>
        </is>
      </c>
      <c r="E73" s="182" t="inlineStr">
        <is>
          <t>北京舒文环保科技有限公司</t>
        </is>
      </c>
      <c r="F73" s="716" t="n"/>
      <c r="G73" s="716" t="n"/>
      <c r="H73" s="462" t="n"/>
    </row>
    <row r="74">
      <c r="A74" s="672" t="inlineStr">
        <is>
          <t>E100404</t>
        </is>
      </c>
      <c r="B74" s="767">
        <f>ROW()</f>
        <v/>
      </c>
      <c r="C74" s="182" t="inlineStr">
        <is>
          <t>北京源深能源科技有限责任公司</t>
        </is>
      </c>
      <c r="D74" s="182" t="inlineStr">
        <is>
          <t>ZI0290020049</t>
        </is>
      </c>
      <c r="E74" s="182" t="inlineStr">
        <is>
          <t>晟源高科（北京）科技有限公司</t>
        </is>
      </c>
      <c r="F74" s="716" t="n"/>
      <c r="G74" s="716" t="n"/>
      <c r="H74" s="462" t="n"/>
    </row>
    <row r="75">
      <c r="A75" s="672" t="inlineStr">
        <is>
          <t>E100404</t>
        </is>
      </c>
      <c r="B75" s="767">
        <f>ROW()</f>
        <v/>
      </c>
      <c r="C75" s="182" t="inlineStr">
        <is>
          <t>北京源深能源科技有限责任公司</t>
        </is>
      </c>
      <c r="D75" s="182" t="inlineStr">
        <is>
          <t>ZI0290020050</t>
        </is>
      </c>
      <c r="E75" s="182" t="inlineStr">
        <is>
          <t>北京众鑫源科技发展中心（有限合伙）</t>
        </is>
      </c>
      <c r="F75" s="716" t="n"/>
      <c r="G75" s="716" t="n"/>
      <c r="H75" s="462" t="n"/>
    </row>
    <row r="76">
      <c r="A76" s="672" t="inlineStr">
        <is>
          <t>E100431</t>
        </is>
      </c>
      <c r="B76" s="767">
        <f>ROW()</f>
        <v/>
      </c>
      <c r="C76" s="182" t="inlineStr">
        <is>
          <t>大连京能阳光房地产开发有限公司</t>
        </is>
      </c>
      <c r="D76" s="182" t="inlineStr">
        <is>
          <t>ZI0290020051</t>
        </is>
      </c>
      <c r="E76" s="182" t="inlineStr">
        <is>
          <t>大连阳光世界发展有限公司</t>
        </is>
      </c>
      <c r="F76" s="716" t="n"/>
      <c r="G76" s="716" t="n"/>
      <c r="H76" s="462" t="n"/>
    </row>
    <row r="77">
      <c r="A77" s="672" t="inlineStr">
        <is>
          <t>E100208</t>
        </is>
      </c>
      <c r="B77" s="767">
        <f>ROW()</f>
        <v/>
      </c>
      <c r="C77" s="182" t="inlineStr">
        <is>
          <t>鄂尔多斯市东铜铁路物流有限公司</t>
        </is>
      </c>
      <c r="D77" s="182" t="inlineStr">
        <is>
          <t>ZI0290020052</t>
        </is>
      </c>
      <c r="E77" s="182" t="inlineStr">
        <is>
          <t>新奥集团股份有限公司</t>
        </is>
      </c>
      <c r="F77" s="716" t="n"/>
      <c r="G77" s="716" t="n"/>
      <c r="H77" s="462" t="n"/>
    </row>
    <row r="78">
      <c r="A78" s="672" t="inlineStr">
        <is>
          <t>E100208</t>
        </is>
      </c>
      <c r="B78" s="767">
        <f>ROW()</f>
        <v/>
      </c>
      <c r="C78" s="182" t="inlineStr">
        <is>
          <t>鄂尔多斯市东铜铁路物流有限公司</t>
        </is>
      </c>
      <c r="D78" s="182" t="inlineStr">
        <is>
          <t>ZI0290020053</t>
        </is>
      </c>
      <c r="E78" s="182" t="inlineStr">
        <is>
          <t>鄂尔多斯市国有资产投资控股集团有限公司</t>
        </is>
      </c>
      <c r="F78" s="716" t="n"/>
      <c r="G78" s="716" t="n"/>
      <c r="H78" s="462" t="n"/>
    </row>
    <row r="79">
      <c r="A79" s="672" t="inlineStr">
        <is>
          <t>E100208</t>
        </is>
      </c>
      <c r="B79" s="767">
        <f>ROW()</f>
        <v/>
      </c>
      <c r="C79" s="182" t="inlineStr">
        <is>
          <t>鄂尔多斯市东铜铁路物流有限公司</t>
        </is>
      </c>
      <c r="D79" s="182" t="inlineStr">
        <is>
          <t>ZI0290020054</t>
        </is>
      </c>
      <c r="E79" s="182" t="inlineStr">
        <is>
          <t>鄂尔多斯市华研经贸集团有限责任公司</t>
        </is>
      </c>
      <c r="F79" s="716" t="n"/>
      <c r="G79" s="716" t="n"/>
      <c r="H79" s="462" t="n"/>
    </row>
    <row r="80">
      <c r="A80" s="672" t="inlineStr">
        <is>
          <t>E100208</t>
        </is>
      </c>
      <c r="B80" s="767">
        <f>ROW()</f>
        <v/>
      </c>
      <c r="C80" s="182" t="inlineStr">
        <is>
          <t>鄂尔多斯市东铜铁路物流有限公司</t>
        </is>
      </c>
      <c r="D80" s="182" t="inlineStr">
        <is>
          <t>ZI0290020055</t>
        </is>
      </c>
      <c r="E80" s="182" t="inlineStr">
        <is>
          <t>内蒙古蒙泰集团有限公司</t>
        </is>
      </c>
      <c r="F80" s="716" t="n"/>
      <c r="G80" s="716" t="n"/>
      <c r="H80" s="462" t="n"/>
    </row>
    <row r="81">
      <c r="A81" s="672" t="inlineStr">
        <is>
          <t>E100208</t>
        </is>
      </c>
      <c r="B81" s="767">
        <f>ROW()</f>
        <v/>
      </c>
      <c r="C81" s="182" t="inlineStr">
        <is>
          <t>鄂尔多斯市东铜铁路物流有限公司</t>
        </is>
      </c>
      <c r="D81" s="182" t="inlineStr">
        <is>
          <t>ZI0290020056</t>
        </is>
      </c>
      <c r="E81" s="182" t="inlineStr">
        <is>
          <t>内蒙古特弘投资集团有限责任公司</t>
        </is>
      </c>
      <c r="F81" s="716" t="n"/>
      <c r="G81" s="716" t="n"/>
      <c r="H81" s="462" t="n"/>
    </row>
    <row r="82">
      <c r="A82" s="672" t="inlineStr">
        <is>
          <t>E100207</t>
        </is>
      </c>
      <c r="B82" s="767">
        <f>ROW()</f>
        <v/>
      </c>
      <c r="C82" s="182" t="inlineStr">
        <is>
          <t>鄂尔多斯市昊华国泰化工有限公司</t>
        </is>
      </c>
      <c r="D82" s="182" t="inlineStr">
        <is>
          <t>ZI0290020057</t>
        </is>
      </c>
      <c r="E82" s="182" t="inlineStr">
        <is>
          <t>南京诚志清洁能源有限公司</t>
        </is>
      </c>
      <c r="F82" s="716" t="n"/>
      <c r="G82" s="716" t="n"/>
      <c r="H82" s="462" t="n"/>
    </row>
    <row r="83">
      <c r="A83" s="672" t="inlineStr">
        <is>
          <t>E100202</t>
        </is>
      </c>
      <c r="B83" s="767">
        <f>ROW()</f>
        <v/>
      </c>
      <c r="C83" s="182" t="inlineStr">
        <is>
          <t>鄂尔多斯市昊华精煤有限责任公司</t>
        </is>
      </c>
      <c r="D83" s="182" t="inlineStr">
        <is>
          <t>ZI0290020053</t>
        </is>
      </c>
      <c r="E83" s="182" t="inlineStr">
        <is>
          <t>鄂尔多斯市国有资产投资控股集团有限公司</t>
        </is>
      </c>
      <c r="F83" s="716" t="n"/>
      <c r="G83" s="716" t="n"/>
      <c r="H83" s="462" t="n"/>
    </row>
    <row r="84">
      <c r="A84" s="672" t="inlineStr">
        <is>
          <t>E100253</t>
        </is>
      </c>
      <c r="B84" s="767">
        <f>ROW()</f>
        <v/>
      </c>
      <c r="C84" s="182" t="inlineStr">
        <is>
          <t>抚松京热热力有限责任公司</t>
        </is>
      </c>
      <c r="D84" s="182" t="inlineStr">
        <is>
          <t>ZI0290020058</t>
        </is>
      </c>
      <c r="E84" s="182" t="inlineStr">
        <is>
          <t>抚松发展投资集团有限公司</t>
        </is>
      </c>
      <c r="F84" s="716" t="n"/>
      <c r="G84" s="716" t="n"/>
      <c r="H84" s="462" t="n"/>
    </row>
    <row r="85">
      <c r="A85" s="672" t="inlineStr">
        <is>
          <t>E101009</t>
        </is>
      </c>
      <c r="B85" s="767">
        <f>ROW()</f>
        <v/>
      </c>
      <c r="C85" s="182" t="inlineStr">
        <is>
          <t>国电察哈尔右翼前旗第二光伏发电有限公司</t>
        </is>
      </c>
      <c r="D85" s="182" t="inlineStr">
        <is>
          <t>ZI0290020059</t>
        </is>
      </c>
      <c r="E85" s="182" t="inlineStr">
        <is>
          <t>国能内蒙古电力蒙西新能源有限公司</t>
        </is>
      </c>
      <c r="F85" s="716" t="n"/>
      <c r="G85" s="716" t="n"/>
      <c r="H85" s="462" t="n"/>
    </row>
    <row r="86">
      <c r="A86" s="672" t="inlineStr">
        <is>
          <t>E100968</t>
        </is>
      </c>
      <c r="B86" s="767">
        <f>ROW()</f>
        <v/>
      </c>
      <c r="C86" s="182" t="inlineStr">
        <is>
          <t>国电察哈尔右翼前旗光伏发电有限公司</t>
        </is>
      </c>
      <c r="D86" s="182" t="inlineStr">
        <is>
          <t>ZI0290020059</t>
        </is>
      </c>
      <c r="E86" s="182" t="inlineStr">
        <is>
          <t>国能内蒙古电力蒙西新能源有限公司</t>
        </is>
      </c>
      <c r="F86" s="716" t="n"/>
      <c r="G86" s="716" t="n"/>
      <c r="H86" s="462" t="n"/>
    </row>
    <row r="87">
      <c r="A87" s="672" t="inlineStr">
        <is>
          <t>E101010</t>
        </is>
      </c>
      <c r="B87" s="767">
        <f>ROW()</f>
        <v/>
      </c>
      <c r="C87" s="182" t="inlineStr">
        <is>
          <t>国电科左中旗光伏发电有限公司</t>
        </is>
      </c>
      <c r="D87" s="182" t="inlineStr">
        <is>
          <t>ZI0290020060</t>
        </is>
      </c>
      <c r="E87" s="182" t="inlineStr">
        <is>
          <t>国电奈曼风电有限公司</t>
        </is>
      </c>
      <c r="F87" s="716" t="n"/>
      <c r="G87" s="716" t="n"/>
      <c r="H87" s="462" t="n"/>
    </row>
    <row r="88">
      <c r="A88" s="672" t="inlineStr">
        <is>
          <t>E101011</t>
        </is>
      </c>
      <c r="B88" s="767">
        <f>ROW()</f>
        <v/>
      </c>
      <c r="C88" s="182" t="inlineStr">
        <is>
          <t>国电商都县第二光伏发电有限公司</t>
        </is>
      </c>
      <c r="D88" s="182" t="inlineStr">
        <is>
          <t>ZI0290020059</t>
        </is>
      </c>
      <c r="E88" s="182" t="inlineStr">
        <is>
          <t>国能内蒙古电力蒙西新能源有限公司</t>
        </is>
      </c>
      <c r="F88" s="716" t="n"/>
      <c r="G88" s="716" t="n"/>
      <c r="H88" s="462" t="n"/>
    </row>
    <row r="89">
      <c r="A89" s="672" t="inlineStr">
        <is>
          <t>E100969</t>
        </is>
      </c>
      <c r="B89" s="767">
        <f>ROW()</f>
        <v/>
      </c>
      <c r="C89" s="182" t="inlineStr">
        <is>
          <t>国电托克托县光伏发电有限公司</t>
        </is>
      </c>
      <c r="D89" s="182" t="inlineStr">
        <is>
          <t>ZI0290020059</t>
        </is>
      </c>
      <c r="E89" s="182" t="inlineStr">
        <is>
          <t>国能内蒙古电力蒙西新能源有限公司</t>
        </is>
      </c>
      <c r="F89" s="716" t="n"/>
      <c r="G89" s="716" t="n"/>
      <c r="H89" s="462" t="n"/>
    </row>
    <row r="90">
      <c r="A90" s="672" t="inlineStr">
        <is>
          <t>E100967</t>
        </is>
      </c>
      <c r="B90" s="767">
        <f>ROW()</f>
        <v/>
      </c>
      <c r="C90" s="182" t="inlineStr">
        <is>
          <t>国电乌拉特后旗光伏发电有限公司</t>
        </is>
      </c>
      <c r="D90" s="182" t="inlineStr">
        <is>
          <t>ZI0290020059</t>
        </is>
      </c>
      <c r="E90" s="182" t="inlineStr">
        <is>
          <t>国能内蒙古电力蒙西新能源有限公司</t>
        </is>
      </c>
      <c r="F90" s="716" t="n"/>
      <c r="G90" s="716" t="n"/>
      <c r="H90" s="462" t="n"/>
    </row>
    <row r="91">
      <c r="A91" s="672" t="inlineStr">
        <is>
          <t>E100017</t>
        </is>
      </c>
      <c r="B91" s="767">
        <f>ROW()</f>
        <v/>
      </c>
      <c r="C91" s="182" t="inlineStr">
        <is>
          <t>海兴京兴新能源有限公司</t>
        </is>
      </c>
      <c r="D91" s="182" t="inlineStr">
        <is>
          <t>ZI0290020061</t>
        </is>
      </c>
      <c r="E91" s="182" t="inlineStr">
        <is>
          <t>横峰县晶泰电力有限公司</t>
        </is>
      </c>
      <c r="F91" s="716" t="n"/>
      <c r="G91" s="716" t="n"/>
      <c r="H91" s="462" t="n"/>
    </row>
    <row r="92">
      <c r="A92" s="672" t="inlineStr">
        <is>
          <t>E100976</t>
        </is>
      </c>
      <c r="B92" s="767">
        <f>ROW()</f>
        <v/>
      </c>
      <c r="C92" s="182" t="inlineStr">
        <is>
          <t>杭锦后旗国电光伏发电有限公司</t>
        </is>
      </c>
      <c r="D92" s="182" t="inlineStr">
        <is>
          <t>ZI0290020062</t>
        </is>
      </c>
      <c r="E92" s="182" t="inlineStr">
        <is>
          <t>国电电力内蒙古新能源开发有限公司</t>
        </is>
      </c>
      <c r="F92" s="716" t="n"/>
      <c r="G92" s="716" t="n"/>
      <c r="H92" s="462" t="n"/>
    </row>
    <row r="93">
      <c r="A93" s="672" t="inlineStr">
        <is>
          <t>E100203</t>
        </is>
      </c>
      <c r="B93" s="767">
        <f>ROW()</f>
        <v/>
      </c>
      <c r="C93" s="182" t="inlineStr">
        <is>
          <t>杭锦旗西部能源开发有限公司</t>
        </is>
      </c>
      <c r="D93" s="182" t="inlineStr">
        <is>
          <t>ZI0290020063</t>
        </is>
      </c>
      <c r="E93" s="182" t="inlineStr">
        <is>
          <t>山西中博房地产开发有限公司</t>
        </is>
      </c>
      <c r="F93" s="716" t="n"/>
      <c r="G93" s="716" t="n"/>
      <c r="H93" s="462" t="n"/>
    </row>
    <row r="94">
      <c r="A94" s="672" t="inlineStr">
        <is>
          <t>E100203G</t>
        </is>
      </c>
      <c r="B94" s="767">
        <f>ROW()</f>
        <v/>
      </c>
      <c r="C94" s="182" t="inlineStr">
        <is>
          <t>杭锦旗西部能源开发有限公司（合并）</t>
        </is>
      </c>
      <c r="D94" s="182" t="inlineStr">
        <is>
          <t>ZI0290020063</t>
        </is>
      </c>
      <c r="E94" s="182" t="inlineStr">
        <is>
          <t>山西中博房地产开发有限公司</t>
        </is>
      </c>
      <c r="F94" s="716" t="n"/>
      <c r="G94" s="716" t="n"/>
      <c r="H94" s="462" t="n"/>
    </row>
    <row r="95">
      <c r="A95" s="672" t="inlineStr">
        <is>
          <t>E100185</t>
        </is>
      </c>
      <c r="B95" s="767">
        <f>ROW()</f>
        <v/>
      </c>
      <c r="C95" s="182" t="inlineStr">
        <is>
          <t>河南通源热力有限公司</t>
        </is>
      </c>
      <c r="D95" s="182" t="inlineStr">
        <is>
          <t>ZI0290020064</t>
        </is>
      </c>
      <c r="E95" s="182" t="inlineStr">
        <is>
          <t>河南中锐环科清洁能源集团有限公司</t>
        </is>
      </c>
      <c r="F95" s="716" t="n"/>
      <c r="G95" s="716" t="n"/>
      <c r="H95" s="462" t="n"/>
    </row>
    <row r="96">
      <c r="A96" s="672" t="inlineStr">
        <is>
          <t>E100188</t>
        </is>
      </c>
      <c r="B96" s="767">
        <f>ROW()</f>
        <v/>
      </c>
      <c r="C96" s="182" t="inlineStr">
        <is>
          <t>呼伦贝尔京能能源发展有限公司</t>
        </is>
      </c>
      <c r="D96" s="182" t="inlineStr">
        <is>
          <t>ZI0290020065</t>
        </is>
      </c>
      <c r="E96" s="182" t="inlineStr">
        <is>
          <t>沈阳建设投资资产经营有限公司</t>
        </is>
      </c>
      <c r="F96" s="716" t="n"/>
      <c r="G96" s="716" t="n"/>
      <c r="H96" s="462" t="n"/>
    </row>
    <row r="97">
      <c r="A97" s="672" t="inlineStr">
        <is>
          <t>E100400</t>
        </is>
      </c>
      <c r="B97" s="767">
        <f>ROW()</f>
        <v/>
      </c>
      <c r="C97" s="182" t="inlineStr">
        <is>
          <t>湖州源兴能源有限公司</t>
        </is>
      </c>
      <c r="D97" s="182" t="inlineStr">
        <is>
          <t>ZI0290020066</t>
        </is>
      </c>
      <c r="E97" s="182" t="inlineStr">
        <is>
          <t>浙江昇茂新能源科技股份有限公司</t>
        </is>
      </c>
      <c r="F97" s="716" t="n"/>
      <c r="G97" s="716" t="n"/>
      <c r="H97" s="462" t="n"/>
    </row>
    <row r="98">
      <c r="A98" s="672" t="inlineStr">
        <is>
          <t>E100400</t>
        </is>
      </c>
      <c r="B98" s="767">
        <f>ROW()</f>
        <v/>
      </c>
      <c r="C98" s="182" t="inlineStr">
        <is>
          <t>湖州源兴能源有限公司</t>
        </is>
      </c>
      <c r="D98" s="182" t="inlineStr">
        <is>
          <t>ZI0290020067</t>
        </is>
      </c>
      <c r="E98" s="182" t="inlineStr">
        <is>
          <t>浙江诺欧博新能源股份有限公司</t>
        </is>
      </c>
      <c r="F98" s="716" t="n"/>
      <c r="G98" s="716" t="n"/>
      <c r="H98" s="462" t="n"/>
    </row>
    <row r="99">
      <c r="A99" s="672" t="inlineStr">
        <is>
          <t>E100401</t>
        </is>
      </c>
      <c r="B99" s="767">
        <f>ROW()</f>
        <v/>
      </c>
      <c r="C99" s="182" t="inlineStr">
        <is>
          <t>湖州源浔能源科技有限公司</t>
        </is>
      </c>
      <c r="D99" s="182" t="inlineStr">
        <is>
          <t>ZI0290020066</t>
        </is>
      </c>
      <c r="E99" s="182" t="inlineStr">
        <is>
          <t>海宁科茂微电网技术有限公司</t>
        </is>
      </c>
      <c r="F99" s="716" t="n"/>
      <c r="G99" s="716" t="n"/>
      <c r="H99" s="462" t="n"/>
    </row>
    <row r="100">
      <c r="A100" s="672" t="inlineStr">
        <is>
          <t>E100401</t>
        </is>
      </c>
      <c r="B100" s="767">
        <f>ROW()</f>
        <v/>
      </c>
      <c r="C100" s="182" t="inlineStr">
        <is>
          <t>湖州源浔能源科技有限公司</t>
        </is>
      </c>
      <c r="D100" s="182" t="inlineStr">
        <is>
          <t>ZI0290020067</t>
        </is>
      </c>
      <c r="E100" s="182" t="inlineStr">
        <is>
          <t>浙江诺欧博新能源股份有限公司</t>
        </is>
      </c>
      <c r="F100" s="716" t="n"/>
      <c r="G100" s="716" t="n"/>
      <c r="H100" s="462" t="n"/>
    </row>
    <row r="101">
      <c r="A101" s="672" t="inlineStr">
        <is>
          <t>E100822</t>
        </is>
      </c>
      <c r="B101" s="767">
        <f>ROW()</f>
        <v/>
      </c>
      <c r="C101" s="182" t="inlineStr">
        <is>
          <t>嘉燕（北京）新能源有限公司</t>
        </is>
      </c>
      <c r="D101" s="182" t="inlineStr">
        <is>
          <t>ZI0290020068</t>
        </is>
      </c>
      <c r="E101" s="182" t="inlineStr">
        <is>
          <t>新杰诺风光（北京）新能源有限责任公司</t>
        </is>
      </c>
      <c r="F101" s="716" t="n"/>
      <c r="G101" s="716" t="n"/>
      <c r="H101" s="462" t="n"/>
    </row>
    <row r="102">
      <c r="A102" s="672" t="inlineStr">
        <is>
          <t>E100443</t>
        </is>
      </c>
      <c r="B102" s="767">
        <f>ROW()</f>
        <v/>
      </c>
      <c r="C102" s="182" t="inlineStr">
        <is>
          <t>金泰丽城（天津）置业投资有限公司</t>
        </is>
      </c>
      <c r="D102" s="182" t="inlineStr">
        <is>
          <t>ZI0290020069</t>
        </is>
      </c>
      <c r="E102" s="182" t="inlineStr">
        <is>
          <t>北京鸿睿达投资有限公司</t>
        </is>
      </c>
      <c r="F102" s="716" t="n"/>
      <c r="G102" s="716" t="n"/>
      <c r="H102" s="462" t="n"/>
    </row>
    <row r="103">
      <c r="A103" s="672" t="inlineStr">
        <is>
          <t>E100770</t>
        </is>
      </c>
      <c r="B103" s="767">
        <f>ROW()</f>
        <v/>
      </c>
      <c r="C103" s="182" t="inlineStr">
        <is>
          <t>金泰壹号（天津）企业管理合伙企业（有限合伙）</t>
        </is>
      </c>
      <c r="D103" s="182" t="inlineStr">
        <is>
          <t>ZI0290020070</t>
        </is>
      </c>
      <c r="E103" s="182" t="inlineStr">
        <is>
          <t>中铁信托有限责任公司</t>
        </is>
      </c>
      <c r="F103" s="716" t="n"/>
      <c r="G103" s="716" t="n"/>
      <c r="H103" s="462" t="n"/>
    </row>
    <row r="104">
      <c r="A104" s="672" t="inlineStr">
        <is>
          <t>E100170</t>
        </is>
      </c>
      <c r="B104" s="767">
        <f>ROW()</f>
        <v/>
      </c>
      <c r="C104" s="182" t="inlineStr">
        <is>
          <t>京能（赤峰）能源发展有限公司</t>
        </is>
      </c>
      <c r="D104" s="182" t="inlineStr">
        <is>
          <t>ZI0290020071</t>
        </is>
      </c>
      <c r="E104" s="182" t="inlineStr">
        <is>
          <t>内蒙古平庄煤业（集团）有限责任公司</t>
        </is>
      </c>
      <c r="F104" s="716" t="n"/>
      <c r="G104" s="716" t="n"/>
      <c r="H104" s="462" t="n"/>
    </row>
    <row r="105">
      <c r="A105" s="672" t="inlineStr">
        <is>
          <t>E100023</t>
        </is>
      </c>
      <c r="B105" s="767">
        <f>ROW()</f>
        <v/>
      </c>
      <c r="C105" s="182" t="inlineStr">
        <is>
          <t>京能（迁西）发电有限公司</t>
        </is>
      </c>
      <c r="D105" s="182" t="inlineStr">
        <is>
          <t>ZI0290020072</t>
        </is>
      </c>
      <c r="E105" s="182" t="inlineStr">
        <is>
          <t>青岛东方铁塔股份有限公司</t>
        </is>
      </c>
      <c r="F105" s="716" t="n"/>
      <c r="G105" s="716" t="n"/>
      <c r="H105" s="462" t="n"/>
    </row>
    <row r="106">
      <c r="A106" s="672" t="inlineStr">
        <is>
          <t>E100156</t>
        </is>
      </c>
      <c r="B106" s="767">
        <f>ROW()</f>
        <v/>
      </c>
      <c r="C106" s="182" t="inlineStr">
        <is>
          <t>京能（锡林郭勒）发电有限公司</t>
        </is>
      </c>
      <c r="D106" s="182" t="inlineStr">
        <is>
          <t>ZI0290020073</t>
        </is>
      </c>
      <c r="E106" s="182" t="inlineStr">
        <is>
          <t>华润电力投资有限公司</t>
        </is>
      </c>
      <c r="F106" s="716" t="n"/>
      <c r="G106" s="716" t="n"/>
      <c r="H106" s="462" t="n"/>
    </row>
    <row r="107">
      <c r="A107" s="672" t="inlineStr">
        <is>
          <t>E100861</t>
        </is>
      </c>
      <c r="B107" s="767">
        <f>ROW()</f>
        <v/>
      </c>
      <c r="C107" s="182" t="inlineStr">
        <is>
          <t>京能阿巴嘎旗生态科技有限公司</t>
        </is>
      </c>
      <c r="D107" s="182" t="inlineStr">
        <is>
          <t>ZI0290020074</t>
        </is>
      </c>
      <c r="E107" s="182" t="inlineStr">
        <is>
          <t>阿巴嘎旗宝格达投资经营有限责任公司</t>
        </is>
      </c>
      <c r="F107" s="716" t="n"/>
      <c r="G107" s="716" t="n"/>
      <c r="H107" s="462" t="n"/>
    </row>
    <row r="108">
      <c r="A108" s="672" t="inlineStr">
        <is>
          <t>E100254</t>
        </is>
      </c>
      <c r="B108" s="767">
        <f>ROW()</f>
        <v/>
      </c>
      <c r="C108" s="182" t="inlineStr">
        <is>
          <t>京能大同热力有限公司</t>
        </is>
      </c>
      <c r="D108" s="182" t="inlineStr">
        <is>
          <t>ZI0290020075</t>
        </is>
      </c>
      <c r="E108" s="182" t="inlineStr">
        <is>
          <t>大同市经济建设投资集团有限责任公司</t>
        </is>
      </c>
      <c r="F108" s="716" t="n"/>
      <c r="G108" s="716" t="n"/>
      <c r="H108" s="462" t="n"/>
    </row>
    <row r="109">
      <c r="A109" s="672" t="inlineStr">
        <is>
          <t>E100254G</t>
        </is>
      </c>
      <c r="B109" s="767">
        <f>ROW()</f>
        <v/>
      </c>
      <c r="C109" s="182" t="inlineStr">
        <is>
          <t>京能大同热力有限公司（合并）</t>
        </is>
      </c>
      <c r="D109" s="182" t="inlineStr">
        <is>
          <t>ZI0290020075</t>
        </is>
      </c>
      <c r="E109" s="182" t="inlineStr">
        <is>
          <t>大同市经济建设投资集团有限责任公司</t>
        </is>
      </c>
      <c r="F109" s="716" t="n"/>
      <c r="G109" s="716" t="n"/>
      <c r="H109" s="462" t="n"/>
    </row>
    <row r="110">
      <c r="A110" s="672" t="inlineStr">
        <is>
          <t>E100254H</t>
        </is>
      </c>
      <c r="B110" s="767">
        <f>ROW()</f>
        <v/>
      </c>
      <c r="C110" s="182" t="inlineStr">
        <is>
          <t>京能大同热力有限公司（合并）本部</t>
        </is>
      </c>
      <c r="D110" s="182" t="inlineStr">
        <is>
          <t>ZI0290020075</t>
        </is>
      </c>
      <c r="E110" s="182" t="inlineStr">
        <is>
          <t>大同市经济建设投资集团有限责任公司</t>
        </is>
      </c>
      <c r="F110" s="716" t="n"/>
      <c r="G110" s="716" t="n"/>
      <c r="H110" s="462" t="n"/>
    </row>
    <row r="111">
      <c r="A111" s="672" t="inlineStr">
        <is>
          <t>E100189</t>
        </is>
      </c>
      <c r="B111" s="767">
        <f>ROW()</f>
        <v/>
      </c>
      <c r="C111" s="182" t="inlineStr">
        <is>
          <t>京能锡林郭勒能源有限公司</t>
        </is>
      </c>
      <c r="D111" s="182" t="inlineStr">
        <is>
          <t>ZI0290020076</t>
        </is>
      </c>
      <c r="E111" s="182" t="inlineStr">
        <is>
          <t>冀中能源峰峰集团有限公司</t>
        </is>
      </c>
      <c r="F111" s="716" t="n"/>
      <c r="G111" s="716" t="n"/>
      <c r="H111" s="462" t="n"/>
    </row>
    <row r="112">
      <c r="A112" s="672" t="inlineStr">
        <is>
          <t>E100399</t>
        </is>
      </c>
      <c r="B112" s="767">
        <f>ROW()</f>
        <v/>
      </c>
      <c r="C112" s="182" t="inlineStr">
        <is>
          <t>京能源深（嘉兴）能源科技有限公司</t>
        </is>
      </c>
      <c r="D112" s="182" t="inlineStr">
        <is>
          <t>ZI0290020066</t>
        </is>
      </c>
      <c r="E112" s="182" t="inlineStr">
        <is>
          <t>海宁科茂微电网技术有限公司</t>
        </is>
      </c>
      <c r="F112" s="716" t="n"/>
      <c r="G112" s="716" t="n"/>
      <c r="H112" s="462" t="n"/>
    </row>
    <row r="113">
      <c r="A113" s="672" t="inlineStr">
        <is>
          <t>E100399</t>
        </is>
      </c>
      <c r="B113" s="767">
        <f>ROW()</f>
        <v/>
      </c>
      <c r="C113" s="182" t="inlineStr">
        <is>
          <t>京能源深（嘉兴）能源科技有限公司</t>
        </is>
      </c>
      <c r="D113" s="182" t="inlineStr">
        <is>
          <t>ZI0290020067</t>
        </is>
      </c>
      <c r="E113" s="182" t="inlineStr">
        <is>
          <t>浙江诺欧博新能源股份有限公司</t>
        </is>
      </c>
      <c r="F113" s="716" t="n"/>
      <c r="G113" s="716" t="n"/>
      <c r="H113" s="462" t="n"/>
    </row>
    <row r="114">
      <c r="A114" s="672" t="inlineStr">
        <is>
          <t>E100262</t>
        </is>
      </c>
      <c r="B114" s="767">
        <f>ROW()</f>
        <v/>
      </c>
      <c r="C114" s="182" t="inlineStr">
        <is>
          <t>廊坊市华源盛世热力有限公司</t>
        </is>
      </c>
      <c r="D114" s="182" t="inlineStr">
        <is>
          <t>ZI0290020077</t>
        </is>
      </c>
      <c r="E114" s="182" t="inlineStr">
        <is>
          <t>廊坊市宏泰产业市镇投资有限公司</t>
        </is>
      </c>
      <c r="F114" s="716" t="n"/>
      <c r="G114" s="716" t="n"/>
      <c r="H114" s="462" t="n"/>
    </row>
    <row r="115">
      <c r="A115" s="672" t="inlineStr">
        <is>
          <t>E100810</t>
        </is>
      </c>
      <c r="B115" s="767">
        <f>ROW()</f>
        <v/>
      </c>
      <c r="C115" s="182" t="inlineStr">
        <is>
          <t>乐多港光穗（天津）投资合伙企业（有限合伙）</t>
        </is>
      </c>
      <c r="D115" s="182" t="inlineStr">
        <is>
          <t>ZI0290020078</t>
        </is>
      </c>
      <c r="E115" s="182" t="inlineStr">
        <is>
          <t>光大兴陇信托有限责任公司</t>
        </is>
      </c>
      <c r="F115" s="716" t="n"/>
      <c r="G115" s="716" t="n"/>
      <c r="H115" s="462" t="n"/>
    </row>
    <row r="116">
      <c r="A116" s="672" t="inlineStr">
        <is>
          <t>E100734</t>
        </is>
      </c>
      <c r="B116" s="767">
        <f>ROW()</f>
        <v/>
      </c>
      <c r="C116" s="182" t="inlineStr">
        <is>
          <t>联合光伏（常州）投资集团有限公司</t>
        </is>
      </c>
      <c r="D116" s="182" t="inlineStr">
        <is>
          <t>ZI0290020079</t>
        </is>
      </c>
      <c r="E116" s="182" t="inlineStr">
        <is>
          <t>工银金融资产投资有限公司</t>
        </is>
      </c>
      <c r="F116" s="716" t="n"/>
      <c r="G116" s="716" t="n"/>
      <c r="H116" s="462" t="n"/>
    </row>
    <row r="117">
      <c r="A117" s="672" t="inlineStr">
        <is>
          <t>E100750</t>
        </is>
      </c>
      <c r="B117" s="767">
        <f>ROW()</f>
        <v/>
      </c>
      <c r="C117" s="182" t="inlineStr">
        <is>
          <t>民丰县昂立光伏科技有限公司</t>
        </is>
      </c>
      <c r="D117" s="182" t="inlineStr">
        <is>
          <t>ZI0290020080</t>
        </is>
      </c>
      <c r="E117" s="182" t="inlineStr">
        <is>
          <t>正信光伏有限公司</t>
        </is>
      </c>
      <c r="F117" s="716" t="n"/>
      <c r="G117" s="716" t="n"/>
      <c r="H117" s="462" t="n"/>
    </row>
    <row r="118">
      <c r="A118" s="672" t="inlineStr">
        <is>
          <t>E100150</t>
        </is>
      </c>
      <c r="B118" s="767">
        <f>ROW()</f>
        <v/>
      </c>
      <c r="C118" s="182" t="inlineStr">
        <is>
          <t>内蒙古岱海发电有限责任公司</t>
        </is>
      </c>
      <c r="D118" s="182" t="inlineStr">
        <is>
          <t>ZI0290020081</t>
        </is>
      </c>
      <c r="E118" s="182" t="inlineStr">
        <is>
          <t>内蒙古蒙电华能热电股份有限公司</t>
        </is>
      </c>
      <c r="F118" s="716" t="n"/>
      <c r="G118" s="716" t="n"/>
      <c r="H118" s="462" t="n"/>
    </row>
    <row r="119">
      <c r="A119" s="672" t="inlineStr">
        <is>
          <t>E100155</t>
        </is>
      </c>
      <c r="B119" s="767">
        <f>ROW()</f>
        <v/>
      </c>
      <c r="C119" s="182" t="inlineStr">
        <is>
          <t>内蒙古华宁热电有限公司</t>
        </is>
      </c>
      <c r="D119" s="182" t="inlineStr">
        <is>
          <t>ZI0290020082</t>
        </is>
      </c>
      <c r="E119" s="182" t="inlineStr">
        <is>
          <t>内蒙古电力(集团)有限责任公司</t>
        </is>
      </c>
      <c r="F119" s="716" t="n"/>
      <c r="G119" s="716" t="n"/>
      <c r="H119" s="462" t="n"/>
    </row>
    <row r="120">
      <c r="A120" s="672" t="inlineStr">
        <is>
          <t>E100159</t>
        </is>
      </c>
      <c r="B120" s="767">
        <f>ROW()</f>
        <v/>
      </c>
      <c r="C120" s="182" t="inlineStr">
        <is>
          <t>内蒙古京海煤矸石发电有限责任公司</t>
        </is>
      </c>
      <c r="D120" s="182" t="inlineStr">
        <is>
          <t>ZI0290020083</t>
        </is>
      </c>
      <c r="E120" s="182" t="inlineStr">
        <is>
          <t>内蒙古广纳煤业（集团）有限责任公司</t>
        </is>
      </c>
      <c r="F120" s="716" t="n"/>
      <c r="G120" s="716" t="n"/>
      <c r="H120" s="462" t="n"/>
    </row>
    <row r="121">
      <c r="A121" s="672" t="inlineStr">
        <is>
          <t>E100165</t>
        </is>
      </c>
      <c r="B121" s="767">
        <f>ROW()</f>
        <v/>
      </c>
      <c r="C121" s="182" t="inlineStr">
        <is>
          <t>内蒙古京能康巴什热电有限公司</t>
        </is>
      </c>
      <c r="D121" s="182" t="inlineStr">
        <is>
          <t>ZI0290020084</t>
        </is>
      </c>
      <c r="E121" s="182" t="inlineStr">
        <is>
          <t>鄂尔多斯市裕鑫投资有限公司</t>
        </is>
      </c>
      <c r="F121" s="716" t="n"/>
      <c r="G121" s="716" t="n"/>
      <c r="H121" s="462" t="n"/>
    </row>
    <row r="122">
      <c r="A122" s="672" t="inlineStr">
        <is>
          <t>E100180</t>
        </is>
      </c>
      <c r="B122" s="767">
        <f>ROW()</f>
        <v/>
      </c>
      <c r="C122" s="182" t="inlineStr">
        <is>
          <t>内蒙古京能能源开发有限责任公司</t>
        </is>
      </c>
      <c r="D122" s="182" t="inlineStr">
        <is>
          <t>ZI0290020085</t>
        </is>
      </c>
      <c r="E122" s="182" t="inlineStr">
        <is>
          <t>内蒙古和林格尔新区基础设施开发建设投资有限公司</t>
        </is>
      </c>
      <c r="F122" s="716" t="n"/>
      <c r="G122" s="716" t="n"/>
      <c r="H122" s="462" t="n"/>
    </row>
    <row r="123">
      <c r="A123" s="672" t="inlineStr">
        <is>
          <t>E100180</t>
        </is>
      </c>
      <c r="B123" s="767">
        <f>ROW()</f>
        <v/>
      </c>
      <c r="C123" s="182" t="inlineStr">
        <is>
          <t>内蒙古京能能源开发有限责任公司</t>
        </is>
      </c>
      <c r="D123" s="182" t="inlineStr">
        <is>
          <t>ZI0290020147</t>
        </is>
      </c>
      <c r="E123" s="182" t="inlineStr">
        <is>
          <t>内蒙古和林格尔新区建设管理咨询有限公司</t>
        </is>
      </c>
      <c r="F123" s="716" t="n"/>
      <c r="G123" s="716" t="n"/>
      <c r="H123" s="462" t="n"/>
    </row>
    <row r="124">
      <c r="A124" s="672" t="inlineStr">
        <is>
          <t>E100171</t>
        </is>
      </c>
      <c r="B124" s="767">
        <f>ROW()</f>
        <v/>
      </c>
      <c r="C124" s="182" t="inlineStr">
        <is>
          <t>内蒙古京能双欣发电有限公司</t>
        </is>
      </c>
      <c r="D124" s="182" t="inlineStr">
        <is>
          <t>ZI0290020086</t>
        </is>
      </c>
      <c r="E124" s="182" t="inlineStr">
        <is>
          <t>中国能源建设集团天津电力建设有限公司</t>
        </is>
      </c>
      <c r="F124" s="716" t="n"/>
      <c r="G124" s="716" t="n"/>
      <c r="H124" s="462" t="n"/>
    </row>
    <row r="125">
      <c r="A125" s="672" t="inlineStr">
        <is>
          <t>E100171</t>
        </is>
      </c>
      <c r="B125" s="767">
        <f>ROW()</f>
        <v/>
      </c>
      <c r="C125" s="182" t="inlineStr">
        <is>
          <t>内蒙古京能双欣发电有限公司</t>
        </is>
      </c>
      <c r="D125" s="182" t="inlineStr">
        <is>
          <t>ZI0290020087</t>
        </is>
      </c>
      <c r="E125" s="182" t="inlineStr">
        <is>
          <t>鄂尔多斯市双欣化学工业有限责任公司</t>
        </is>
      </c>
      <c r="F125" s="716" t="n"/>
      <c r="G125" s="716" t="n"/>
      <c r="H125" s="462" t="n"/>
    </row>
    <row r="126">
      <c r="A126" s="672" t="inlineStr">
        <is>
          <t>E100157</t>
        </is>
      </c>
      <c r="B126" s="767">
        <f>ROW()</f>
        <v/>
      </c>
      <c r="C126" s="182" t="inlineStr">
        <is>
          <t>内蒙古京泰发电有限责任公司</t>
        </is>
      </c>
      <c r="D126" s="182" t="inlineStr">
        <is>
          <t>ZI0290020088</t>
        </is>
      </c>
      <c r="E126" s="182" t="inlineStr">
        <is>
          <t>内蒙古伊泰煤炭股份有限公司</t>
        </is>
      </c>
      <c r="F126" s="716" t="n"/>
      <c r="G126" s="716" t="n"/>
      <c r="H126" s="462" t="n"/>
    </row>
    <row r="127">
      <c r="A127" s="672" t="inlineStr">
        <is>
          <t>E100157</t>
        </is>
      </c>
      <c r="B127" s="767">
        <f>ROW()</f>
        <v/>
      </c>
      <c r="C127" s="182" t="inlineStr">
        <is>
          <t>内蒙古京泰发电有限责任公司</t>
        </is>
      </c>
      <c r="D127" s="182" t="inlineStr">
        <is>
          <t>ZI0290020089</t>
        </is>
      </c>
      <c r="E127" s="182" t="inlineStr">
        <is>
          <t>山西粤电能源有限公司</t>
        </is>
      </c>
      <c r="F127" s="716" t="n"/>
      <c r="G127" s="716" t="n"/>
      <c r="H127" s="462" t="n"/>
    </row>
    <row r="128">
      <c r="A128" s="672" t="inlineStr">
        <is>
          <t>E100205</t>
        </is>
      </c>
      <c r="B128" s="767">
        <f>ROW()</f>
        <v/>
      </c>
      <c r="C128" s="182" t="inlineStr">
        <is>
          <t>宁夏红墩子煤业有限公司</t>
        </is>
      </c>
      <c r="D128" s="182" t="inlineStr">
        <is>
          <t>ZI0290020090</t>
        </is>
      </c>
      <c r="E128" s="182" t="inlineStr">
        <is>
          <t>国家电投集团宁夏能源铝业有限公司</t>
        </is>
      </c>
      <c r="F128" s="716" t="n"/>
      <c r="G128" s="716" t="n"/>
      <c r="H128" s="462" t="n"/>
    </row>
    <row r="129">
      <c r="A129" s="672" t="inlineStr">
        <is>
          <t>E100205</t>
        </is>
      </c>
      <c r="B129" s="767">
        <f>ROW()</f>
        <v/>
      </c>
      <c r="C129" s="182" t="inlineStr">
        <is>
          <t>宁夏红墩子煤业有限公司</t>
        </is>
      </c>
      <c r="D129" s="182" t="inlineStr">
        <is>
          <t>ZI0290020131</t>
        </is>
      </c>
      <c r="E129" s="182" t="inlineStr">
        <is>
          <t>宁夏宝丰能源集团股份有限公司</t>
        </is>
      </c>
      <c r="F129" s="716" t="n"/>
      <c r="G129" s="716" t="n"/>
      <c r="H129" s="462" t="n"/>
    </row>
    <row r="130">
      <c r="A130" s="672" t="inlineStr">
        <is>
          <t>E100152</t>
        </is>
      </c>
      <c r="B130" s="767">
        <f>ROW()</f>
        <v/>
      </c>
      <c r="C130" s="182" t="inlineStr">
        <is>
          <t>宁夏京能宁东发电有限责任公司</t>
        </is>
      </c>
      <c r="D130" s="182" t="inlineStr">
        <is>
          <t>ZI0290020091</t>
        </is>
      </c>
      <c r="E130" s="182" t="inlineStr">
        <is>
          <t>中铝宁夏能源集团有限公司</t>
        </is>
      </c>
      <c r="F130" s="716" t="n"/>
      <c r="G130" s="716" t="n"/>
      <c r="H130" s="462" t="n"/>
    </row>
    <row r="131">
      <c r="A131" s="672" t="inlineStr">
        <is>
          <t>E100176</t>
        </is>
      </c>
      <c r="B131" s="767">
        <f>ROW()</f>
        <v/>
      </c>
      <c r="C131" s="182" t="inlineStr">
        <is>
          <t>宁夏太阳山京智综合能源（售电）有限公司</t>
        </is>
      </c>
      <c r="D131" s="182" t="inlineStr">
        <is>
          <t>ZI0290020092</t>
        </is>
      </c>
      <c r="E131" s="182" t="inlineStr">
        <is>
          <t>中宁县工业（物流）园区物业管理有限公司</t>
        </is>
      </c>
      <c r="F131" s="716" t="n"/>
      <c r="G131" s="716" t="n"/>
      <c r="H131" s="462" t="n"/>
    </row>
    <row r="132">
      <c r="A132" s="672" t="inlineStr">
        <is>
          <t>E100176</t>
        </is>
      </c>
      <c r="B132" s="767">
        <f>ROW()</f>
        <v/>
      </c>
      <c r="C132" s="182" t="inlineStr">
        <is>
          <t>宁夏太阳山京智综合能源（售电）有限公司</t>
        </is>
      </c>
      <c r="D132" s="182" t="inlineStr">
        <is>
          <t>ZI0290020093</t>
        </is>
      </c>
      <c r="E132" s="182" t="inlineStr">
        <is>
          <t>北京国网电力技术有限公司</t>
        </is>
      </c>
      <c r="F132" s="716" t="n"/>
      <c r="G132" s="716" t="n"/>
      <c r="H132" s="462" t="n"/>
    </row>
    <row r="133">
      <c r="A133" s="672" t="inlineStr">
        <is>
          <t>E100177</t>
        </is>
      </c>
      <c r="B133" s="767">
        <f>ROW()</f>
        <v/>
      </c>
      <c r="C133" s="182" t="inlineStr">
        <is>
          <t>青岛京能智汇综合能源有限公司</t>
        </is>
      </c>
      <c r="D133" s="182" t="inlineStr">
        <is>
          <t>ZI0290020094</t>
        </is>
      </c>
      <c r="E133" s="182" t="inlineStr">
        <is>
          <t>青岛有住投资控股有限公司</t>
        </is>
      </c>
      <c r="F133" s="716" t="n"/>
      <c r="G133" s="716" t="n"/>
      <c r="H133" s="462" t="n"/>
    </row>
    <row r="134">
      <c r="A134" s="672" t="inlineStr">
        <is>
          <t>E100953</t>
        </is>
      </c>
      <c r="B134" s="767">
        <f>ROW()</f>
        <v/>
      </c>
      <c r="C134" s="182" t="inlineStr">
        <is>
          <t>清水河县惠民光伏发电有限公司</t>
        </is>
      </c>
      <c r="D134" s="182" t="inlineStr">
        <is>
          <t>ZI0290020095</t>
        </is>
      </c>
      <c r="E134" s="182" t="inlineStr">
        <is>
          <t>呼和浩特市城乡建设投资有限责任公司</t>
        </is>
      </c>
      <c r="F134" s="716" t="n"/>
      <c r="G134" s="716" t="n"/>
      <c r="H134" s="462" t="n"/>
    </row>
    <row r="135">
      <c r="A135" s="672" t="inlineStr">
        <is>
          <t>E100172</t>
        </is>
      </c>
      <c r="B135" s="767">
        <f>ROW()</f>
        <v/>
      </c>
      <c r="C135" s="182" t="inlineStr">
        <is>
          <t>山西京能吕临发电有限公司</t>
        </is>
      </c>
      <c r="D135" s="182" t="inlineStr">
        <is>
          <t>ZI0290020096</t>
        </is>
      </c>
      <c r="E135" s="182" t="inlineStr">
        <is>
          <t>霍州煤电集团有限责任公司</t>
        </is>
      </c>
      <c r="F135" s="716" t="n"/>
      <c r="G135" s="716" t="n"/>
      <c r="H135" s="462" t="n"/>
    </row>
    <row r="136">
      <c r="A136" s="672" t="inlineStr">
        <is>
          <t>E101135</t>
        </is>
      </c>
      <c r="B136" s="767">
        <f>ROW()</f>
        <v/>
      </c>
      <c r="C136" s="182" t="inlineStr">
        <is>
          <t>山西鑫华源智能立体停车设备制造有限责任公司</t>
        </is>
      </c>
      <c r="D136" s="182" t="inlineStr">
        <is>
          <t>ZI0290020097</t>
        </is>
      </c>
      <c r="E136" s="182" t="inlineStr">
        <is>
          <t>山西电机制造有限公司</t>
        </is>
      </c>
      <c r="F136" s="716" t="n"/>
      <c r="G136" s="716" t="n"/>
      <c r="H136" s="462" t="n"/>
    </row>
    <row r="137">
      <c r="A137" s="672" t="inlineStr">
        <is>
          <t>E100219</t>
        </is>
      </c>
      <c r="B137" s="767">
        <f>ROW()</f>
        <v/>
      </c>
      <c r="C137" s="182" t="inlineStr">
        <is>
          <t>唐山京曹天然气有限公司</t>
        </is>
      </c>
      <c r="D137" s="182" t="inlineStr">
        <is>
          <t>ZI0290020098</t>
        </is>
      </c>
      <c r="E137" s="182" t="inlineStr">
        <is>
          <t>唐山曹妃甸发展投资集团有限公司</t>
        </is>
      </c>
      <c r="F137" s="716" t="n"/>
      <c r="G137" s="716" t="n"/>
      <c r="H137" s="462" t="n"/>
    </row>
    <row r="138">
      <c r="A138" s="672" t="inlineStr">
        <is>
          <t>E100430</t>
        </is>
      </c>
      <c r="B138" s="767">
        <f>ROW()</f>
        <v/>
      </c>
      <c r="C138" s="182" t="inlineStr">
        <is>
          <t>天津海航东海岸发展有限公司</t>
        </is>
      </c>
      <c r="D138" s="182" t="inlineStr">
        <is>
          <t>ZI0290020099</t>
        </is>
      </c>
      <c r="E138" s="182" t="inlineStr">
        <is>
          <t>康因投资控股有限公司</t>
        </is>
      </c>
      <c r="F138" s="716" t="n"/>
      <c r="G138" s="716" t="n"/>
      <c r="H138" s="462" t="n"/>
    </row>
    <row r="139">
      <c r="A139" s="672" t="inlineStr">
        <is>
          <t>E100430</t>
        </is>
      </c>
      <c r="B139" s="767">
        <f>ROW()</f>
        <v/>
      </c>
      <c r="C139" s="182" t="inlineStr">
        <is>
          <t>天津海航东海岸发展有限公司</t>
        </is>
      </c>
      <c r="D139" s="182" t="inlineStr">
        <is>
          <t>ZI0290020100</t>
        </is>
      </c>
      <c r="E139" s="182" t="inlineStr">
        <is>
          <t>天津通合投资有限公司</t>
        </is>
      </c>
      <c r="F139" s="716" t="n"/>
      <c r="G139" s="716" t="n"/>
      <c r="H139" s="462" t="n"/>
    </row>
    <row r="140">
      <c r="A140" s="672" t="inlineStr">
        <is>
          <t>E100442</t>
        </is>
      </c>
      <c r="B140" s="767">
        <f>ROW()</f>
        <v/>
      </c>
      <c r="C140" s="182" t="inlineStr">
        <is>
          <t>天津津浦伟业地产有限公司</t>
        </is>
      </c>
      <c r="D140" s="182" t="inlineStr">
        <is>
          <t>ZI0290020101</t>
        </is>
      </c>
      <c r="E140" s="182" t="inlineStr">
        <is>
          <t>天津懿嘉园林绿化工程有限公司</t>
        </is>
      </c>
      <c r="F140" s="716" t="n"/>
      <c r="G140" s="716" t="n"/>
      <c r="H140" s="462" t="n"/>
    </row>
    <row r="141">
      <c r="A141" s="672" t="inlineStr">
        <is>
          <t>E100483</t>
        </is>
      </c>
      <c r="B141" s="767">
        <f>ROW()</f>
        <v/>
      </c>
      <c r="C141" s="182" t="inlineStr">
        <is>
          <t>投资北京国际有限公司</t>
        </is>
      </c>
      <c r="D141" s="182" t="inlineStr">
        <is>
          <t>ZI0290020102</t>
        </is>
      </c>
      <c r="E141" s="182" t="inlineStr">
        <is>
          <t>北京市工程咨询有限公司</t>
        </is>
      </c>
      <c r="F141" s="716" t="n"/>
      <c r="G141" s="716" t="n"/>
      <c r="H141" s="462" t="n"/>
    </row>
    <row r="142">
      <c r="A142" s="672" t="inlineStr">
        <is>
          <t>E100995</t>
        </is>
      </c>
      <c r="B142" s="767">
        <f>ROW()</f>
        <v/>
      </c>
      <c r="C142" s="182" t="inlineStr">
        <is>
          <t>阳春市光晏光伏发电有限公司</t>
        </is>
      </c>
      <c r="D142" s="182" t="inlineStr">
        <is>
          <t>ZI0290020103</t>
        </is>
      </c>
      <c r="E142" s="182" t="inlineStr">
        <is>
          <t>常州市光晏新能源有限公司</t>
        </is>
      </c>
      <c r="F142" s="716" t="n"/>
      <c r="G142" s="716" t="n"/>
      <c r="H142" s="462" t="n"/>
    </row>
    <row r="143">
      <c r="A143" s="672" t="inlineStr">
        <is>
          <t>E100995</t>
        </is>
      </c>
      <c r="B143" s="767">
        <f>ROW()</f>
        <v/>
      </c>
      <c r="C143" s="182" t="inlineStr">
        <is>
          <t>阳春市光晏光伏发电有限公司</t>
        </is>
      </c>
      <c r="D143" s="182" t="inlineStr">
        <is>
          <t>ZI0290020126</t>
        </is>
      </c>
      <c r="E143" s="182" t="inlineStr">
        <is>
          <t>阳春市春州扶贫资产投资有限公司</t>
        </is>
      </c>
      <c r="F143" s="716" t="n"/>
      <c r="G143" s="716" t="n"/>
      <c r="H143" s="462" t="n"/>
    </row>
    <row r="144">
      <c r="A144" s="672" t="inlineStr">
        <is>
          <t>E100854</t>
        </is>
      </c>
      <c r="B144" s="767">
        <f>ROW()</f>
        <v/>
      </c>
      <c r="C144" s="182" t="inlineStr">
        <is>
          <t>阳春市招联绿辉光伏发电有限公司</t>
        </is>
      </c>
      <c r="D144" s="182" t="inlineStr">
        <is>
          <t>ZI0290020104</t>
        </is>
      </c>
      <c r="E144" s="182" t="inlineStr">
        <is>
          <t>阳春市春州扶贫资产投资有限公司</t>
        </is>
      </c>
      <c r="F144" s="716" t="n"/>
      <c r="G144" s="716" t="n"/>
      <c r="H144" s="462" t="n"/>
    </row>
    <row r="145">
      <c r="A145" s="672" t="inlineStr">
        <is>
          <t>E100727</t>
        </is>
      </c>
      <c r="B145" s="767">
        <f>ROW()</f>
        <v/>
      </c>
      <c r="C145" s="182" t="inlineStr">
        <is>
          <t>宜昌市夷陵区中基热电有限公司</t>
        </is>
      </c>
      <c r="D145" s="182" t="inlineStr">
        <is>
          <t>ZI0290020105</t>
        </is>
      </c>
      <c r="E145" s="182" t="inlineStr">
        <is>
          <t>中基能源（深圳）有限公司</t>
        </is>
      </c>
      <c r="F145" s="716" t="n"/>
      <c r="G145" s="716" t="n"/>
      <c r="H145" s="462" t="n"/>
    </row>
    <row r="146">
      <c r="A146" s="672" t="inlineStr">
        <is>
          <t>E100741</t>
        </is>
      </c>
      <c r="B146" s="767">
        <f>ROW()</f>
        <v/>
      </c>
      <c r="C146" s="182" t="inlineStr">
        <is>
          <t>永胜惠光光伏发电有限公司</t>
        </is>
      </c>
      <c r="D146" s="182" t="inlineStr">
        <is>
          <t>ZI0290020106</t>
        </is>
      </c>
      <c r="E146" s="182" t="inlineStr">
        <is>
          <t>招商局漳州开发区丝路新能源有限公司</t>
        </is>
      </c>
      <c r="F146" s="716" t="n"/>
      <c r="G146" s="716" t="n"/>
      <c r="H146" s="462" t="n"/>
    </row>
    <row r="147">
      <c r="A147" s="672" t="inlineStr">
        <is>
          <t>E100012</t>
        </is>
      </c>
      <c r="B147" s="767">
        <f>ROW()</f>
        <v/>
      </c>
      <c r="C147" s="182" t="inlineStr">
        <is>
          <t>珠海市钰海电力有限公司</t>
        </is>
      </c>
      <c r="D147" s="182" t="inlineStr">
        <is>
          <t>ZI0290020107</t>
        </is>
      </c>
      <c r="E147" s="182" t="inlineStr">
        <is>
          <t xml:space="preserve">深圳市利联太阳百货有限公司 </t>
        </is>
      </c>
      <c r="F147" s="716" t="n"/>
      <c r="G147" s="716" t="n"/>
      <c r="H147" s="462" t="n"/>
    </row>
    <row r="148">
      <c r="A148" s="672" t="inlineStr">
        <is>
          <t>E100803</t>
        </is>
      </c>
      <c r="B148" s="767">
        <f>ROW()</f>
        <v/>
      </c>
      <c r="C148" s="182" t="inlineStr">
        <is>
          <t>北京京能颐寿轩康养有限公司（原名东竹园康养）</t>
        </is>
      </c>
      <c r="D148" s="182" t="inlineStr">
        <is>
          <t>ZI0290020108</t>
        </is>
      </c>
      <c r="E148" s="182" t="inlineStr">
        <is>
          <t>北京市物价局培训中心</t>
        </is>
      </c>
      <c r="F148" s="716" t="n"/>
      <c r="G148" s="716" t="n"/>
      <c r="H148" s="462" t="n"/>
    </row>
    <row r="149">
      <c r="A149" s="672" t="inlineStr">
        <is>
          <t>E100083</t>
        </is>
      </c>
      <c r="B149" s="767">
        <f>ROW()</f>
        <v/>
      </c>
      <c r="C149" s="182" t="inlineStr">
        <is>
          <t>浑源京晶新能源有限公司</t>
        </is>
      </c>
      <c r="D149" s="182" t="inlineStr">
        <is>
          <t>ZI0290020124</t>
        </is>
      </c>
      <c r="E149" s="182" t="inlineStr">
        <is>
          <t>横峰县晶源电力有限公司</t>
        </is>
      </c>
      <c r="F149" s="716" t="n"/>
      <c r="G149" s="716" t="n"/>
      <c r="H149" s="462" t="n"/>
    </row>
    <row r="150">
      <c r="A150" s="672" t="inlineStr">
        <is>
          <t>E100084</t>
        </is>
      </c>
      <c r="B150" s="767">
        <f>ROW()</f>
        <v/>
      </c>
      <c r="C150" s="182" t="inlineStr">
        <is>
          <t>寿阳京寿光伏发电有限公司</t>
        </is>
      </c>
      <c r="D150" s="182" t="inlineStr">
        <is>
          <t>ZI0290020109</t>
        </is>
      </c>
      <c r="E150" s="182" t="inlineStr">
        <is>
          <t>横峰县晶能电力有限公司</t>
        </is>
      </c>
      <c r="F150" s="716" t="n"/>
      <c r="G150" s="716" t="n"/>
      <c r="H150" s="462" t="n"/>
    </row>
    <row r="151">
      <c r="A151" s="672" t="inlineStr">
        <is>
          <t>E101139</t>
        </is>
      </c>
      <c r="B151" s="767">
        <f>ROW()</f>
        <v/>
      </c>
      <c r="C151" s="182" t="inlineStr">
        <is>
          <t>天创科技发展有限公司</t>
        </is>
      </c>
      <c r="D151" s="182" t="inlineStr">
        <is>
          <t>ZI0290020110</t>
        </is>
      </c>
      <c r="E151" s="182" t="inlineStr">
        <is>
          <t>辽宁兴源资产管理有限公司</t>
        </is>
      </c>
      <c r="F151" s="716" t="n"/>
      <c r="G151" s="716" t="n"/>
      <c r="H151" s="462" t="n"/>
    </row>
    <row r="152">
      <c r="A152" s="672" t="inlineStr">
        <is>
          <t>E101139</t>
        </is>
      </c>
      <c r="B152" s="767">
        <f>ROW()</f>
        <v/>
      </c>
      <c r="C152" s="182" t="inlineStr">
        <is>
          <t>天创科技发展有限公司</t>
        </is>
      </c>
      <c r="D152" s="182" t="inlineStr">
        <is>
          <t>ZI0290020111</t>
        </is>
      </c>
      <c r="E152" s="182" t="inlineStr">
        <is>
          <t>北京威滋德投资咨询有限公司</t>
        </is>
      </c>
      <c r="F152" s="716" t="n"/>
      <c r="G152" s="716" t="n"/>
      <c r="H152" s="462" t="n"/>
    </row>
    <row r="153">
      <c r="A153" s="672" t="inlineStr">
        <is>
          <t>E100145</t>
        </is>
      </c>
      <c r="B153" s="767">
        <f>ROW()</f>
        <v/>
      </c>
      <c r="C153" s="182" t="inlineStr">
        <is>
          <t>北京京能电力股份有限公司</t>
        </is>
      </c>
      <c r="D153" s="182" t="inlineStr">
        <is>
          <t>ZI0290020112</t>
        </is>
      </c>
      <c r="E153" s="182" t="inlineStr">
        <is>
          <t>山西国际电力集团有限公司</t>
        </is>
      </c>
      <c r="F153" s="716" t="n"/>
      <c r="G153" s="716" t="n"/>
      <c r="H153" s="462" t="n"/>
    </row>
    <row r="154">
      <c r="A154" s="672" t="inlineStr">
        <is>
          <t>E101069</t>
        </is>
      </c>
      <c r="B154" s="767">
        <f>ROW()</f>
        <v/>
      </c>
      <c r="C154" s="182" t="inlineStr">
        <is>
          <t>昌都市中电建新能源开发有限公司</t>
        </is>
      </c>
      <c r="D154" s="182" t="inlineStr">
        <is>
          <t>ZI0290020113</t>
        </is>
      </c>
      <c r="E154" s="182" t="inlineStr">
        <is>
          <t>定日县联合光伏有限公司</t>
        </is>
      </c>
      <c r="F154" s="716" t="n"/>
      <c r="G154" s="716" t="n"/>
      <c r="H154" s="462" t="n"/>
    </row>
    <row r="155">
      <c r="A155" s="672" t="inlineStr">
        <is>
          <t>E100738</t>
        </is>
      </c>
      <c r="B155" s="767">
        <f>ROW()</f>
        <v/>
      </c>
      <c r="C155" s="182" t="inlineStr">
        <is>
          <t>西藏藏能股份有限公司</t>
        </is>
      </c>
      <c r="D155" s="182" t="inlineStr">
        <is>
          <t>ZI0290020114</t>
        </is>
      </c>
      <c r="E155" s="182" t="inlineStr">
        <is>
          <t>西藏自治区国有资产经营公司</t>
        </is>
      </c>
      <c r="F155" s="716" t="n"/>
      <c r="G155" s="716" t="n"/>
      <c r="H155" s="462" t="n"/>
    </row>
    <row r="156">
      <c r="A156" s="672" t="inlineStr">
        <is>
          <t>E100738</t>
        </is>
      </c>
      <c r="B156" s="767">
        <f>ROW()</f>
        <v/>
      </c>
      <c r="C156" s="182" t="inlineStr">
        <is>
          <t>西藏藏能股份有限公司</t>
        </is>
      </c>
      <c r="D156" s="182" t="inlineStr">
        <is>
          <t>ZI0290020115</t>
        </is>
      </c>
      <c r="E156" s="182" t="inlineStr">
        <is>
          <t>西藏自治区投资有限公司</t>
        </is>
      </c>
      <c r="F156" s="716" t="n"/>
      <c r="G156" s="716" t="n"/>
      <c r="H156" s="462" t="n"/>
    </row>
    <row r="157">
      <c r="A157" s="672" t="inlineStr">
        <is>
          <t>E100571</t>
        </is>
      </c>
      <c r="B157" s="767">
        <f>ROW()</f>
        <v/>
      </c>
      <c r="C157" s="182" t="inlineStr">
        <is>
          <t>京能远景领金智汇（北京）科技有限公司</t>
        </is>
      </c>
      <c r="D157" s="182" t="inlineStr">
        <is>
          <t>ZI0290020116</t>
        </is>
      </c>
      <c r="E157" s="182" t="inlineStr">
        <is>
          <t>上海远景科创智能科技有限公司</t>
        </is>
      </c>
      <c r="F157" s="716" t="n"/>
      <c r="G157" s="716" t="n"/>
      <c r="H157" s="462" t="n"/>
    </row>
    <row r="158">
      <c r="A158" s="672" t="inlineStr">
        <is>
          <t>E100571</t>
        </is>
      </c>
      <c r="B158" s="767">
        <f>ROW()</f>
        <v/>
      </c>
      <c r="C158" s="182" t="inlineStr">
        <is>
          <t>京能远景领金智汇（北京）科技有限公司</t>
        </is>
      </c>
      <c r="D158" s="182" t="inlineStr">
        <is>
          <t>ZI0290020117</t>
        </is>
      </c>
      <c r="E158" s="182" t="inlineStr">
        <is>
          <t>北京领金智汇科技合伙企业（有限合伙）</t>
        </is>
      </c>
      <c r="F158" s="716" t="n"/>
      <c r="G158" s="716" t="n"/>
      <c r="H158" s="462" t="n"/>
    </row>
    <row r="159">
      <c r="A159" s="672" t="inlineStr">
        <is>
          <t>E100566</t>
        </is>
      </c>
      <c r="B159" s="767">
        <f>ROW()</f>
        <v/>
      </c>
      <c r="C159" s="182" t="inlineStr">
        <is>
          <t>北京京能燕开综合能源服务有限公司</t>
        </is>
      </c>
      <c r="D159" s="182" t="inlineStr">
        <is>
          <t>ZI0290020118</t>
        </is>
      </c>
      <c r="E159" s="182" t="inlineStr">
        <is>
          <t>燕开电气股份有限公司</t>
        </is>
      </c>
      <c r="F159" s="716" t="n"/>
      <c r="G159" s="716" t="n"/>
      <c r="H159" s="462" t="n"/>
    </row>
    <row r="160">
      <c r="A160" s="672" t="inlineStr">
        <is>
          <t>E100566</t>
        </is>
      </c>
      <c r="B160" s="767">
        <f>ROW()</f>
        <v/>
      </c>
      <c r="C160" s="182" t="inlineStr">
        <is>
          <t>北京京能燕开综合能源服务有限公司</t>
        </is>
      </c>
      <c r="D160" s="182" t="inlineStr">
        <is>
          <t>ZI0290020119</t>
        </is>
      </c>
      <c r="E160" s="182" t="inlineStr">
        <is>
          <t>北京鑫源合盛电气技术有限公司</t>
        </is>
      </c>
      <c r="F160" s="716" t="n"/>
      <c r="G160" s="716" t="n"/>
      <c r="H160" s="462" t="n"/>
    </row>
    <row r="161">
      <c r="A161" s="672" t="inlineStr">
        <is>
          <t>E101141</t>
        </is>
      </c>
      <c r="B161" s="767">
        <f>ROW()</f>
        <v/>
      </c>
      <c r="C161" s="182" t="inlineStr">
        <is>
          <t>锡林郭勒峰峰能源有限公司</t>
        </is>
      </c>
      <c r="D161" s="182" t="inlineStr">
        <is>
          <t>ZI0290020076</t>
        </is>
      </c>
      <c r="E161" s="182" t="inlineStr">
        <is>
          <t>冀中能源峰峰集团有限公司</t>
        </is>
      </c>
      <c r="F161" s="716" t="n"/>
      <c r="G161" s="716" t="n"/>
      <c r="H161" s="462" t="n"/>
    </row>
    <row r="162">
      <c r="A162" s="672" t="inlineStr">
        <is>
          <t>E100163</t>
        </is>
      </c>
      <c r="B162" s="767">
        <f>ROW()</f>
        <v/>
      </c>
      <c r="C162" s="182" t="inlineStr">
        <is>
          <t>右玉县京玉污水处理有限责任公司</t>
        </is>
      </c>
      <c r="D162" s="182" t="inlineStr">
        <is>
          <t>ZI0290020120</t>
        </is>
      </c>
      <c r="E162" s="182" t="inlineStr">
        <is>
          <t>右玉县通顺城乡建设投资管理有限公司</t>
        </is>
      </c>
      <c r="F162" s="716" t="n"/>
      <c r="G162" s="716" t="n"/>
      <c r="H162" s="462" t="n"/>
    </row>
    <row r="163">
      <c r="A163" s="672" t="inlineStr">
        <is>
          <t>E100162</t>
        </is>
      </c>
      <c r="B163" s="767">
        <f>ROW()</f>
        <v/>
      </c>
      <c r="C163" s="182" t="inlineStr">
        <is>
          <t>山西京玉发电有限责任公司</t>
        </is>
      </c>
      <c r="D163" s="182" t="inlineStr">
        <is>
          <t>ZI0290020121</t>
        </is>
      </c>
      <c r="E163" s="182" t="inlineStr">
        <is>
          <t>格盟国际能源投资有限公司</t>
        </is>
      </c>
      <c r="F163" s="716" t="n"/>
      <c r="G163" s="716" t="n"/>
      <c r="H163" s="462" t="n"/>
    </row>
    <row r="164">
      <c r="A164" s="672" t="inlineStr">
        <is>
          <t>E100407</t>
        </is>
      </c>
      <c r="B164" s="767">
        <f>ROW()</f>
        <v/>
      </c>
      <c r="C164" s="182" t="inlineStr">
        <is>
          <t>北京华源高洁能源供应技术有限责任公司</t>
        </is>
      </c>
      <c r="D164" s="182" t="inlineStr">
        <is>
          <t>ZI0290020122</t>
        </is>
      </c>
      <c r="E164" s="182" t="inlineStr">
        <is>
          <t>文津国际投资（北京）有限公司</t>
        </is>
      </c>
      <c r="F164" s="716" t="n"/>
      <c r="G164" s="716" t="n"/>
      <c r="H164" s="462" t="n"/>
    </row>
    <row r="165">
      <c r="A165" s="672" t="inlineStr">
        <is>
          <t>E100257</t>
        </is>
      </c>
      <c r="B165" s="767">
        <f>ROW()</f>
        <v/>
      </c>
      <c r="C165" s="182" t="inlineStr">
        <is>
          <t>北京金马特诚供暖有限责任公司</t>
        </is>
      </c>
      <c r="D165" s="182" t="inlineStr">
        <is>
          <t>ZI0290020123</t>
        </is>
      </c>
      <c r="E165" s="182" t="inlineStr">
        <is>
          <t>北京金马驹开发建设有限公司</t>
        </is>
      </c>
      <c r="F165" s="716" t="n"/>
      <c r="G165" s="716" t="n"/>
      <c r="H165" s="462" t="n"/>
    </row>
    <row r="166">
      <c r="A166" s="672" t="inlineStr">
        <is>
          <t>E100000G</t>
        </is>
      </c>
      <c r="B166" s="767">
        <f>ROW()</f>
        <v/>
      </c>
      <c r="C166" s="182" t="inlineStr">
        <is>
          <t>北京能源集团有限责任公司（合并）</t>
        </is>
      </c>
      <c r="D166" s="182" t="inlineStr">
        <is>
          <t>ZI0290020001</t>
        </is>
      </c>
      <c r="E166" s="182" t="inlineStr">
        <is>
          <t>北京国有资本运营管理有限公司</t>
        </is>
      </c>
      <c r="F166" s="716" t="n"/>
      <c r="G166" s="716" t="n"/>
      <c r="H166" s="462" t="n"/>
    </row>
    <row r="167">
      <c r="A167" s="672" t="inlineStr">
        <is>
          <t>E100000H</t>
        </is>
      </c>
      <c r="B167" s="767">
        <f>ROW()</f>
        <v/>
      </c>
      <c r="C167" s="182" t="inlineStr">
        <is>
          <t>北京能源集团有限责任公司（母公司）</t>
        </is>
      </c>
      <c r="D167" s="182" t="inlineStr">
        <is>
          <t>ZI0290020001</t>
        </is>
      </c>
      <c r="E167" s="182" t="inlineStr">
        <is>
          <t>北京国有资本运营管理有限公司</t>
        </is>
      </c>
      <c r="F167" s="716" t="n"/>
      <c r="G167" s="716" t="n"/>
      <c r="H167" s="462" t="n"/>
    </row>
    <row r="168">
      <c r="A168" s="672" t="inlineStr">
        <is>
          <t>E100001G</t>
        </is>
      </c>
      <c r="B168" s="767">
        <f>ROW()</f>
        <v/>
      </c>
      <c r="C168" s="182" t="inlineStr">
        <is>
          <t>北京京能清洁能源电力股份有限公司（合并）</t>
        </is>
      </c>
      <c r="D168" s="182" t="inlineStr">
        <is>
          <t>ZI0290020001</t>
        </is>
      </c>
      <c r="E168" s="182" t="inlineStr">
        <is>
          <t>北京国有资本运营管理有限公司</t>
        </is>
      </c>
      <c r="F168" s="716" t="n"/>
      <c r="G168" s="716" t="n"/>
      <c r="H168" s="462" t="n"/>
    </row>
    <row r="169">
      <c r="A169" s="672" t="inlineStr">
        <is>
          <t>E100001H</t>
        </is>
      </c>
      <c r="B169" s="767">
        <f>ROW()</f>
        <v/>
      </c>
      <c r="C169" s="182" t="inlineStr">
        <is>
          <t>北京京能清洁能源电力股份有限公司（母公司）</t>
        </is>
      </c>
      <c r="D169" s="182" t="inlineStr">
        <is>
          <t>ZI0290020001</t>
        </is>
      </c>
      <c r="E169" s="182" t="inlineStr">
        <is>
          <t>北京国有资本运营管理有限公司</t>
        </is>
      </c>
      <c r="F169" s="716" t="n"/>
      <c r="G169" s="716" t="n"/>
      <c r="H169" s="462" t="n"/>
    </row>
    <row r="170">
      <c r="A170" s="672" t="inlineStr">
        <is>
          <t>E100145G</t>
        </is>
      </c>
      <c r="B170" s="767">
        <f>ROW()</f>
        <v/>
      </c>
      <c r="C170" s="182" t="inlineStr">
        <is>
          <t>北京京能电力股份有限公司（合并）上市</t>
        </is>
      </c>
      <c r="D170" s="182" t="inlineStr">
        <is>
          <t>ZI0290020112</t>
        </is>
      </c>
      <c r="E170" s="182" t="inlineStr">
        <is>
          <t>山西国际电力集团有限公司</t>
        </is>
      </c>
      <c r="F170" s="716" t="n"/>
      <c r="G170" s="716" t="n"/>
      <c r="H170" s="462" t="n"/>
    </row>
    <row r="171">
      <c r="A171" s="672" t="inlineStr">
        <is>
          <t>E100145H</t>
        </is>
      </c>
      <c r="B171" s="767">
        <f>ROW()</f>
        <v/>
      </c>
      <c r="C171" s="182" t="inlineStr">
        <is>
          <t>北京京能电力股份有限公司（合并）本部</t>
        </is>
      </c>
      <c r="D171" s="182" t="inlineStr">
        <is>
          <t>ZI0290020112</t>
        </is>
      </c>
      <c r="E171" s="182" t="inlineStr">
        <is>
          <t>山西国际电力集团有限公司</t>
        </is>
      </c>
      <c r="F171" s="716" t="n"/>
      <c r="G171" s="716" t="n"/>
      <c r="H171" s="462" t="n"/>
    </row>
    <row r="172">
      <c r="A172" s="672" t="inlineStr">
        <is>
          <t>E100162G</t>
        </is>
      </c>
      <c r="B172" s="767">
        <f>ROW()</f>
        <v/>
      </c>
      <c r="C172" s="182" t="inlineStr">
        <is>
          <t>山西京玉发电有限责任公司（合并）</t>
        </is>
      </c>
      <c r="D172" s="182" t="inlineStr">
        <is>
          <t>ZI0290020121</t>
        </is>
      </c>
      <c r="E172" s="182" t="inlineStr">
        <is>
          <t>格盟国际能源投资有限公司</t>
        </is>
      </c>
      <c r="F172" s="716" t="n"/>
      <c r="G172" s="716" t="n"/>
      <c r="H172" s="462" t="n"/>
    </row>
    <row r="173">
      <c r="A173" s="672" t="inlineStr">
        <is>
          <t>E100189G</t>
        </is>
      </c>
      <c r="B173" s="767">
        <f>ROW()</f>
        <v/>
      </c>
      <c r="C173" s="182" t="inlineStr">
        <is>
          <t>京能锡林郭勒能源有限公司（合并）</t>
        </is>
      </c>
      <c r="D173" s="182" t="inlineStr">
        <is>
          <t>ZI0290020076</t>
        </is>
      </c>
      <c r="E173" s="182" t="inlineStr">
        <is>
          <t>冀中能源峰峰集团有限公司</t>
        </is>
      </c>
      <c r="F173" s="716" t="n"/>
      <c r="G173" s="716" t="n"/>
      <c r="H173" s="462" t="n"/>
    </row>
    <row r="174">
      <c r="A174" s="672" t="inlineStr">
        <is>
          <t>E100191G</t>
        </is>
      </c>
      <c r="B174" s="767">
        <f>ROW()</f>
        <v/>
      </c>
      <c r="C174" s="182" t="inlineStr">
        <is>
          <t>北京乐多港发展有限公司（合并）</t>
        </is>
      </c>
      <c r="D174" s="182" t="inlineStr">
        <is>
          <t>ZI0290020042</t>
        </is>
      </c>
      <c r="E174" s="182" t="inlineStr">
        <is>
          <t>中国农发重点建设基金有限公司</t>
        </is>
      </c>
      <c r="F174" s="716" t="n"/>
      <c r="G174" s="716" t="n"/>
      <c r="H174" s="462" t="n"/>
    </row>
    <row r="175">
      <c r="A175" s="672" t="inlineStr">
        <is>
          <t>E100191H</t>
        </is>
      </c>
      <c r="B175" s="767">
        <f>ROW()</f>
        <v/>
      </c>
      <c r="C175" s="182" t="inlineStr">
        <is>
          <t>北京乐多港发展有限公司（母公司合并）</t>
        </is>
      </c>
      <c r="D175" s="182" t="inlineStr">
        <is>
          <t>ZI0290020042</t>
        </is>
      </c>
      <c r="E175" s="182" t="inlineStr">
        <is>
          <t>中国农发重点建设基金有限公司</t>
        </is>
      </c>
      <c r="F175" s="716" t="n"/>
      <c r="G175" s="716" t="n"/>
      <c r="H175" s="462" t="n"/>
    </row>
    <row r="176">
      <c r="A176" s="672" t="inlineStr">
        <is>
          <t>E100200G</t>
        </is>
      </c>
      <c r="B176" s="767">
        <f>ROW()</f>
        <v/>
      </c>
      <c r="C176" s="182" t="inlineStr">
        <is>
          <t>北京京能能源技术研究有限责任公司（合并）</t>
        </is>
      </c>
      <c r="D176" s="182" t="inlineStr">
        <is>
          <t>ZI0290020029</t>
        </is>
      </c>
      <c r="E176" s="182" t="inlineStr">
        <is>
          <t>首航高科能源技术股份有限公司</t>
        </is>
      </c>
      <c r="F176" s="716" t="n"/>
      <c r="G176" s="716" t="n"/>
      <c r="H176" s="462" t="n"/>
    </row>
    <row r="177">
      <c r="A177" s="672" t="inlineStr">
        <is>
          <t>E100201G</t>
        </is>
      </c>
      <c r="B177" s="767">
        <f>ROW()</f>
        <v/>
      </c>
      <c r="C177" s="182" t="inlineStr">
        <is>
          <t>北京昊华能源股份有限公司（合并）</t>
        </is>
      </c>
      <c r="D177" s="182" t="inlineStr">
        <is>
          <t>ZI0290020010</t>
        </is>
      </c>
      <c r="E177" s="182" t="inlineStr">
        <is>
          <t>中国中煤能源集团有限公司</t>
        </is>
      </c>
      <c r="F177" s="716" t="n"/>
      <c r="G177" s="716" t="n"/>
      <c r="H177" s="462" t="n"/>
    </row>
    <row r="178">
      <c r="A178" s="672" t="inlineStr">
        <is>
          <t>E100201H</t>
        </is>
      </c>
      <c r="B178" s="767">
        <f>ROW()</f>
        <v/>
      </c>
      <c r="C178" s="182" t="inlineStr">
        <is>
          <t>北京昊华能源股份有限公司（母公司）</t>
        </is>
      </c>
      <c r="D178" s="182" t="inlineStr">
        <is>
          <t>ZI0290020010</t>
        </is>
      </c>
      <c r="E178" s="182" t="inlineStr">
        <is>
          <t>中国中煤能源集团有限公司</t>
        </is>
      </c>
      <c r="F178" s="716" t="n"/>
      <c r="G178" s="716" t="n"/>
      <c r="H178" s="462" t="n"/>
    </row>
    <row r="179">
      <c r="A179" s="672" t="inlineStr">
        <is>
          <t>E100203G</t>
        </is>
      </c>
      <c r="B179" s="767">
        <f>ROW()</f>
        <v/>
      </c>
      <c r="C179" s="182" t="inlineStr">
        <is>
          <t>杭锦旗西部能源开发有限公司（合并）</t>
        </is>
      </c>
      <c r="D179" s="182" t="inlineStr">
        <is>
          <t>ZI0290020063</t>
        </is>
      </c>
      <c r="E179" s="182" t="inlineStr">
        <is>
          <t>山西中博房地产开发有限公司</t>
        </is>
      </c>
      <c r="F179" s="716" t="n"/>
      <c r="G179" s="716" t="n"/>
      <c r="H179" s="462" t="n"/>
    </row>
    <row r="180">
      <c r="A180" s="672" t="inlineStr">
        <is>
          <t>E100254G</t>
        </is>
      </c>
      <c r="B180" s="767">
        <f>ROW()</f>
        <v/>
      </c>
      <c r="C180" s="182" t="inlineStr">
        <is>
          <t>京能大同热力有限公司（合并）</t>
        </is>
      </c>
      <c r="D180" s="182" t="inlineStr">
        <is>
          <t>ZI0290020075</t>
        </is>
      </c>
      <c r="E180" s="182" t="inlineStr">
        <is>
          <t>大同市经济建设投资集团有限责任公司</t>
        </is>
      </c>
      <c r="F180" s="716" t="n"/>
      <c r="G180" s="716" t="n"/>
      <c r="H180" s="462" t="n"/>
    </row>
    <row r="181">
      <c r="A181" s="672" t="inlineStr">
        <is>
          <t>E100254H</t>
        </is>
      </c>
      <c r="B181" s="767">
        <f>ROW()</f>
        <v/>
      </c>
      <c r="C181" s="182" t="inlineStr">
        <is>
          <t>京能大同热力有限公司（合并）本部</t>
        </is>
      </c>
      <c r="D181" s="182" t="inlineStr">
        <is>
          <t>ZI0290020075</t>
        </is>
      </c>
      <c r="E181" s="182" t="inlineStr">
        <is>
          <t>大同市经济建设投资集团有限责任公司</t>
        </is>
      </c>
      <c r="F181" s="716" t="n"/>
      <c r="G181" s="716" t="n"/>
      <c r="H181" s="462" t="n"/>
    </row>
    <row r="182">
      <c r="A182" s="672" t="inlineStr">
        <is>
          <t>E100443H</t>
        </is>
      </c>
      <c r="B182" s="767">
        <f>ROW()</f>
        <v/>
      </c>
      <c r="C182" s="182" t="inlineStr">
        <is>
          <t>金泰丽城（天津）置业投资有限公司（汇总）</t>
        </is>
      </c>
      <c r="D182" s="182" t="inlineStr">
        <is>
          <t>ZI0290020069</t>
        </is>
      </c>
      <c r="E182" s="182" t="inlineStr">
        <is>
          <t>北京鸿睿达投资有限公司</t>
        </is>
      </c>
      <c r="F182" s="716" t="n"/>
      <c r="G182" s="716" t="n"/>
      <c r="H182" s="462" t="n"/>
    </row>
    <row r="183">
      <c r="A183" s="672" t="inlineStr">
        <is>
          <t>E100483G</t>
        </is>
      </c>
      <c r="B183" s="767">
        <f>ROW()</f>
        <v/>
      </c>
      <c r="C183" s="182" t="inlineStr">
        <is>
          <t>投资北京国际有限公司（合并）</t>
        </is>
      </c>
      <c r="D183" s="182" t="inlineStr">
        <is>
          <t>ZI0290020102</t>
        </is>
      </c>
      <c r="E183" s="182" t="inlineStr">
        <is>
          <t>北京市工程咨询有限公司</t>
        </is>
      </c>
      <c r="F183" s="716" t="n"/>
      <c r="G183" s="716" t="n"/>
      <c r="H183" s="462" t="n"/>
    </row>
    <row r="184">
      <c r="A184" s="672" t="inlineStr">
        <is>
          <t>E100538G</t>
        </is>
      </c>
      <c r="B184" s="767">
        <f>ROW()</f>
        <v/>
      </c>
      <c r="C184" s="182" t="inlineStr">
        <is>
          <t>北京京煤集团地质勘探队（合并）</t>
        </is>
      </c>
      <c r="D184" s="182" t="inlineStr">
        <is>
          <t>ZI0290020002</t>
        </is>
      </c>
      <c r="E184" s="182" t="inlineStr">
        <is>
          <t>北京市财政局</t>
        </is>
      </c>
      <c r="F184" s="716" t="n"/>
      <c r="G184" s="716" t="n"/>
      <c r="H184" s="462" t="n"/>
    </row>
    <row r="185">
      <c r="A185" s="672" t="inlineStr">
        <is>
          <t>E100704G</t>
        </is>
      </c>
      <c r="B185" s="767">
        <f>ROW()</f>
        <v/>
      </c>
      <c r="C185" s="182" t="inlineStr">
        <is>
          <t>北京京润仁康控股有限公司（合并）</t>
        </is>
      </c>
      <c r="D185" s="182" t="inlineStr">
        <is>
          <t>ZI0290020035</t>
        </is>
      </c>
      <c r="E185" s="182" t="inlineStr">
        <is>
          <t>华润医院控股有限公司</t>
        </is>
      </c>
      <c r="F185" s="716" t="n"/>
      <c r="G185" s="716" t="n"/>
      <c r="H185" s="462" t="n"/>
    </row>
    <row r="186">
      <c r="A186" s="672" t="inlineStr">
        <is>
          <t>E100734G</t>
        </is>
      </c>
      <c r="B186" s="767">
        <f>ROW()</f>
        <v/>
      </c>
      <c r="C186" s="182" t="inlineStr">
        <is>
          <t>联合光伏（常州）投资集团有限公司（合并）</t>
        </is>
      </c>
      <c r="D186" s="182" t="inlineStr">
        <is>
          <t>ZI0290020079</t>
        </is>
      </c>
      <c r="E186" s="182" t="inlineStr">
        <is>
          <t>工银金融资产投资有限公司</t>
        </is>
      </c>
      <c r="F186" s="716" t="n"/>
      <c r="G186" s="716" t="n"/>
      <c r="H186" s="462" t="n"/>
    </row>
    <row r="187">
      <c r="A187" s="672" t="inlineStr">
        <is>
          <t>E100738G</t>
        </is>
      </c>
      <c r="B187" s="767">
        <f>ROW()</f>
        <v/>
      </c>
      <c r="C187" s="182" t="inlineStr">
        <is>
          <t>西藏藏能股份有限公司（合并）</t>
        </is>
      </c>
      <c r="D187" s="182" t="inlineStr">
        <is>
          <t>ZI0290020114</t>
        </is>
      </c>
      <c r="E187" s="182" t="inlineStr">
        <is>
          <t>西藏自治区国有资产经营公司</t>
        </is>
      </c>
      <c r="F187" s="716" t="n"/>
      <c r="G187" s="716" t="n"/>
      <c r="H187" s="462" t="n"/>
    </row>
    <row r="188">
      <c r="A188" s="672" t="inlineStr">
        <is>
          <t>E100171</t>
        </is>
      </c>
      <c r="B188" s="767">
        <f>ROW()</f>
        <v/>
      </c>
      <c r="C188" s="182" t="inlineStr">
        <is>
          <t>内蒙古京能双欣发电有限公司</t>
        </is>
      </c>
      <c r="D188" s="182" t="inlineStr">
        <is>
          <t>ZI0290020087</t>
        </is>
      </c>
      <c r="E188" s="182" t="inlineStr">
        <is>
          <t>鄂尔多斯市双欣化学工业有限责任公司</t>
        </is>
      </c>
      <c r="F188" s="716" t="n"/>
      <c r="G188" s="716" t="n"/>
      <c r="H188" s="462" t="n"/>
    </row>
    <row r="189">
      <c r="A189" s="672" t="inlineStr">
        <is>
          <t>E100171</t>
        </is>
      </c>
      <c r="B189" s="767">
        <f>ROW()</f>
        <v/>
      </c>
      <c r="C189" s="182" t="inlineStr">
        <is>
          <t>内蒙古京能双欣发电有限公司</t>
        </is>
      </c>
      <c r="D189" s="182" t="inlineStr">
        <is>
          <t>ZI0290020086</t>
        </is>
      </c>
      <c r="E189" s="182" t="inlineStr">
        <is>
          <t>中国能源建设集团天津电力建设有限公司</t>
        </is>
      </c>
      <c r="F189" s="716" t="n"/>
      <c r="G189" s="716" t="n"/>
      <c r="H189" s="462" t="n"/>
    </row>
    <row r="190">
      <c r="A190" s="672" t="inlineStr">
        <is>
          <t>E100171</t>
        </is>
      </c>
      <c r="B190" s="767">
        <f>ROW()</f>
        <v/>
      </c>
      <c r="C190" s="182" t="inlineStr">
        <is>
          <t>内蒙古京能双欣发电有限公司</t>
        </is>
      </c>
      <c r="D190" s="182" t="inlineStr">
        <is>
          <t>ZI0290020125</t>
        </is>
      </c>
      <c r="E190" s="182" t="inlineStr">
        <is>
          <t>内蒙古双欣能源化工有限公司</t>
        </is>
      </c>
      <c r="F190" s="716" t="n"/>
      <c r="G190" s="716" t="n"/>
      <c r="H190" s="462" t="n"/>
    </row>
    <row r="191">
      <c r="A191" s="182" t="inlineStr">
        <is>
          <t>E101059</t>
        </is>
      </c>
      <c r="B191" s="767">
        <f>ROW()</f>
        <v/>
      </c>
      <c r="C191" s="182" t="inlineStr">
        <is>
          <t>迁西富龙热力有限责任公司</t>
        </is>
      </c>
      <c r="D191" s="182" t="inlineStr">
        <is>
          <t>ZI0290020127</t>
        </is>
      </c>
      <c r="E191" s="182" t="inlineStr">
        <is>
          <t>迁西县建城热力有限责任公司</t>
        </is>
      </c>
      <c r="F191" s="716" t="n"/>
      <c r="G191" s="716" t="n"/>
      <c r="H191" s="462" t="n"/>
    </row>
    <row r="192">
      <c r="A192" s="672" t="inlineStr">
        <is>
          <t>E101076</t>
        </is>
      </c>
      <c r="B192" s="767">
        <f>ROW()</f>
        <v/>
      </c>
      <c r="C192" s="182" t="inlineStr">
        <is>
          <t>京能胜科（海南）国际能源有限公司</t>
        </is>
      </c>
      <c r="D192" s="182" t="inlineStr">
        <is>
          <t>ZI0290020128</t>
        </is>
      </c>
      <c r="E192" s="182" t="inlineStr">
        <is>
          <t>胜科能源投资（上海）有限公司</t>
        </is>
      </c>
      <c r="F192" s="716" t="n"/>
      <c r="G192" s="716" t="n"/>
      <c r="H192" s="462" t="n"/>
    </row>
    <row r="193">
      <c r="A193" s="672" t="inlineStr">
        <is>
          <t>E100921</t>
        </is>
      </c>
      <c r="B193" s="767">
        <f>ROW()</f>
        <v/>
      </c>
      <c r="C193" s="182" t="inlineStr">
        <is>
          <t>北京京能绿通新能源有限公司</t>
        </is>
      </c>
      <c r="D193" s="182" t="inlineStr">
        <is>
          <t>ZI0290020129</t>
        </is>
      </c>
      <c r="E193" s="182" t="inlineStr">
        <is>
          <t>北京中恺能源发展有限公司</t>
        </is>
      </c>
      <c r="F193" s="716" t="n"/>
      <c r="G193" s="716" t="n"/>
      <c r="H193" s="462" t="n"/>
    </row>
    <row r="194">
      <c r="A194" s="672" t="inlineStr">
        <is>
          <t>E100921</t>
        </is>
      </c>
      <c r="B194" s="767">
        <f>ROW()</f>
        <v/>
      </c>
      <c r="C194" s="182" t="inlineStr">
        <is>
          <t>北京京能绿通新能源有限公司</t>
        </is>
      </c>
      <c r="D194" s="182" t="inlineStr">
        <is>
          <t>ZI0290020130</t>
        </is>
      </c>
      <c r="E194" s="182" t="inlineStr">
        <is>
          <t>北京云智优胜通讯科技发展有限公司</t>
        </is>
      </c>
      <c r="F194" s="716" t="n"/>
      <c r="G194" s="716" t="n"/>
      <c r="H194" s="462" t="n"/>
    </row>
    <row r="195">
      <c r="A195" s="672" t="inlineStr">
        <is>
          <t>E101188</t>
        </is>
      </c>
      <c r="B195" s="767">
        <f>ROW()</f>
        <v/>
      </c>
      <c r="C195" s="182" t="inlineStr">
        <is>
          <t>亚洲新能源（宝应）风力发电有限公司</t>
        </is>
      </c>
      <c r="D195" s="182" t="inlineStr">
        <is>
          <t>ZI0290020132</t>
        </is>
      </c>
      <c r="E195" s="182" t="inlineStr">
        <is>
          <t>哈尔滨九洲能源投资有限责任公司</t>
        </is>
      </c>
      <c r="F195" s="716" t="n"/>
      <c r="G195" s="716" t="n"/>
      <c r="H195" s="462" t="n"/>
    </row>
    <row r="196">
      <c r="A196" s="672" t="inlineStr">
        <is>
          <t>E101190</t>
        </is>
      </c>
      <c r="B196" s="767">
        <f>ROW()</f>
        <v/>
      </c>
      <c r="C196" s="182" t="inlineStr">
        <is>
          <t>保山能源发展股份有限公司</t>
        </is>
      </c>
      <c r="D196" s="182" t="inlineStr">
        <is>
          <t>ZI0290020133</t>
        </is>
      </c>
      <c r="E196" s="182" t="inlineStr">
        <is>
          <t>保山市国有资产经营有限责任公司</t>
        </is>
      </c>
      <c r="F196" s="716" t="n"/>
      <c r="G196" s="716" t="n"/>
      <c r="H196" s="462" t="n"/>
    </row>
    <row r="197">
      <c r="A197" s="672" t="inlineStr">
        <is>
          <t>E101190</t>
        </is>
      </c>
      <c r="B197" s="767">
        <f>ROW()</f>
        <v/>
      </c>
      <c r="C197" s="182" t="inlineStr">
        <is>
          <t>保山能源发展股份有限公司</t>
        </is>
      </c>
      <c r="D197" s="182" t="inlineStr">
        <is>
          <t>ZI0290020134</t>
        </is>
      </c>
      <c r="E197" s="182" t="inlineStr">
        <is>
          <t>腾冲县国有资产经营有限责任公司</t>
        </is>
      </c>
      <c r="F197" s="716" t="n"/>
      <c r="G197" s="716" t="n"/>
      <c r="H197" s="462" t="n"/>
    </row>
    <row r="198">
      <c r="A198" s="672" t="inlineStr">
        <is>
          <t>E101190</t>
        </is>
      </c>
      <c r="B198" s="767">
        <f>ROW()</f>
        <v/>
      </c>
      <c r="C198" s="182" t="inlineStr">
        <is>
          <t>保山能源发展股份有限公司</t>
        </is>
      </c>
      <c r="D198" s="182" t="inlineStr">
        <is>
          <t>ZI0290020135</t>
        </is>
      </c>
      <c r="E198" s="182" t="inlineStr">
        <is>
          <t>龙陵县国有资产经营有限责任公司</t>
        </is>
      </c>
      <c r="F198" s="716" t="n"/>
      <c r="G198" s="716" t="n"/>
      <c r="H198" s="462" t="n"/>
    </row>
    <row r="199" ht="16" customHeight="1" s="1181">
      <c r="A199" s="672" t="inlineStr">
        <is>
          <t>E101190</t>
        </is>
      </c>
      <c r="B199" s="767">
        <f>ROW()</f>
        <v/>
      </c>
      <c r="C199" s="182" t="inlineStr">
        <is>
          <t>保山能源发展股份有限公司</t>
        </is>
      </c>
      <c r="D199" s="182" t="inlineStr">
        <is>
          <t>ZI0290020136</t>
        </is>
      </c>
      <c r="E199" s="769" t="inlineStr">
        <is>
          <t>施甸县国有资产经营集团有限责任公司</t>
        </is>
      </c>
      <c r="F199" s="716" t="n"/>
      <c r="G199" s="716" t="n"/>
      <c r="H199" s="462" t="n"/>
    </row>
    <row r="200" ht="16" customHeight="1" s="1181">
      <c r="A200" s="672" t="inlineStr">
        <is>
          <t>E101190</t>
        </is>
      </c>
      <c r="B200" s="767">
        <f>ROW()</f>
        <v/>
      </c>
      <c r="C200" s="182" t="inlineStr">
        <is>
          <t>保山能源发展股份有限公司</t>
        </is>
      </c>
      <c r="D200" s="182" t="inlineStr">
        <is>
          <t>ZI0290020137</t>
        </is>
      </c>
      <c r="E200" s="769" t="inlineStr">
        <is>
          <t>保山市隆阳区国有资产经营有限责任公司</t>
        </is>
      </c>
      <c r="F200" s="716" t="n"/>
      <c r="G200" s="716" t="n"/>
      <c r="H200" s="462" t="n"/>
    </row>
    <row r="201">
      <c r="A201" s="672" t="inlineStr">
        <is>
          <t>E101190</t>
        </is>
      </c>
      <c r="B201" s="767">
        <f>ROW()</f>
        <v/>
      </c>
      <c r="C201" s="182" t="inlineStr">
        <is>
          <t>保山能源发展股份有限公司</t>
        </is>
      </c>
      <c r="D201" s="182" t="inlineStr">
        <is>
          <t>ZI0290020138</t>
        </is>
      </c>
      <c r="E201" s="182" t="inlineStr">
        <is>
          <t>昌宁县国有资产经营有限责任公司</t>
        </is>
      </c>
      <c r="F201" s="716" t="n"/>
      <c r="G201" s="716" t="n"/>
      <c r="H201" s="462" t="n"/>
    </row>
    <row r="202">
      <c r="A202" s="672" t="inlineStr">
        <is>
          <t>E101190</t>
        </is>
      </c>
      <c r="B202" s="767">
        <f>ROW()</f>
        <v/>
      </c>
      <c r="C202" s="182" t="inlineStr">
        <is>
          <t>保山能源发展股份有限公司</t>
        </is>
      </c>
      <c r="D202" s="182" t="inlineStr">
        <is>
          <t>ZI0290020139</t>
        </is>
      </c>
      <c r="E202" s="182" t="inlineStr">
        <is>
          <t>云南省地方电力实业开发有限公司</t>
        </is>
      </c>
      <c r="F202" s="716" t="n"/>
      <c r="G202" s="716" t="n"/>
      <c r="H202" s="462" t="n"/>
    </row>
    <row r="203" ht="16" customHeight="1" s="1181">
      <c r="A203" s="672" t="inlineStr">
        <is>
          <t>E101190</t>
        </is>
      </c>
      <c r="B203" s="767">
        <f>ROW()</f>
        <v/>
      </c>
      <c r="C203" s="182" t="inlineStr">
        <is>
          <t>保山能源发展股份有限公司</t>
        </is>
      </c>
      <c r="D203" s="182" t="inlineStr">
        <is>
          <t>ZI0290020140</t>
        </is>
      </c>
      <c r="E203" s="769" t="inlineStr">
        <is>
          <t>中国三峡新能源(集团)股份有限公司</t>
        </is>
      </c>
      <c r="F203" s="716" t="n"/>
      <c r="G203" s="716" t="n"/>
      <c r="H203" s="462" t="n"/>
    </row>
    <row r="204">
      <c r="A204" s="672" t="inlineStr">
        <is>
          <t>E101192</t>
        </is>
      </c>
      <c r="B204" s="767">
        <f>ROW()</f>
        <v/>
      </c>
      <c r="C204" s="182" t="inlineStr">
        <is>
          <t>保山龙川江水电开发有限公司</t>
        </is>
      </c>
      <c r="D204" s="182" t="inlineStr">
        <is>
          <t>ZI0290020141</t>
        </is>
      </c>
      <c r="E204" s="182" t="inlineStr">
        <is>
          <t>国家电投集团云南国际电力投资有限公司</t>
        </is>
      </c>
      <c r="F204" s="716" t="n"/>
      <c r="G204" s="716" t="n"/>
      <c r="H204" s="462" t="n"/>
    </row>
    <row r="205">
      <c r="A205" s="672" t="inlineStr">
        <is>
          <t>E100846</t>
        </is>
      </c>
      <c r="B205" s="767">
        <f>ROW()</f>
        <v/>
      </c>
      <c r="C205" s="182" t="inlineStr">
        <is>
          <t>内蒙古京能准旗新能源有限公司</t>
        </is>
      </c>
      <c r="D205" s="182" t="inlineStr">
        <is>
          <t>ZI0290020142</t>
        </is>
      </c>
      <c r="E205" s="182" t="inlineStr">
        <is>
          <t>阳光新能源开发股份有限公司</t>
        </is>
      </c>
      <c r="F205" s="716" t="n"/>
      <c r="G205" s="716" t="n"/>
      <c r="H205" s="462" t="n"/>
    </row>
    <row r="206">
      <c r="A206" s="672" t="inlineStr">
        <is>
          <t>E101152</t>
        </is>
      </c>
      <c r="B206" s="767">
        <f>ROW()</f>
        <v/>
      </c>
      <c r="C206" s="182" t="inlineStr">
        <is>
          <t>广西忻城京能新能源有限公司</t>
        </is>
      </c>
      <c r="D206" s="182" t="inlineStr">
        <is>
          <t>ZI0290020143</t>
        </is>
      </c>
      <c r="E206" s="182" t="inlineStr">
        <is>
          <t>广西忻城京海新能源有限公司</t>
        </is>
      </c>
      <c r="F206" s="716" t="n"/>
      <c r="G206" s="716" t="n"/>
      <c r="H206" s="462" t="n"/>
    </row>
    <row r="207">
      <c r="A207" s="672" t="inlineStr">
        <is>
          <t>E101137</t>
        </is>
      </c>
      <c r="B207" s="767">
        <f>ROW()</f>
        <v/>
      </c>
      <c r="C207" s="182" t="inlineStr">
        <is>
          <t>内蒙古京海煤矸石发电有限责任公司水泥分公司</t>
        </is>
      </c>
      <c r="D207" s="182" t="inlineStr">
        <is>
          <t>ZI0290020083</t>
        </is>
      </c>
      <c r="E207" s="182" t="inlineStr">
        <is>
          <t>内蒙古广纳煤业（集团）有限责任公司</t>
        </is>
      </c>
      <c r="F207" s="716" t="n"/>
      <c r="G207" s="716" t="n"/>
      <c r="H207" s="462" t="n"/>
    </row>
    <row r="208">
      <c r="A208" s="672" t="inlineStr">
        <is>
          <t>E101211</t>
        </is>
      </c>
      <c r="B208" s="767">
        <f>ROW()</f>
        <v/>
      </c>
      <c r="C208" s="672" t="inlineStr">
        <is>
          <t>航远5号集合资金信托计划</t>
        </is>
      </c>
      <c r="D208" s="182" t="inlineStr">
        <is>
          <t>ZI0290020144</t>
        </is>
      </c>
      <c r="E208" s="182" t="inlineStr">
        <is>
          <t>泰康资产管理有限责任公司</t>
        </is>
      </c>
      <c r="F208" s="716" t="n"/>
      <c r="G208" s="716" t="n"/>
      <c r="H208" s="462" t="n"/>
    </row>
    <row r="209">
      <c r="A209" s="672" t="inlineStr">
        <is>
          <t>E101216</t>
        </is>
      </c>
      <c r="B209" s="767">
        <f>ROW()</f>
        <v/>
      </c>
      <c r="C209" s="182" t="inlineStr">
        <is>
          <t>航远6号集合资金信托计划</t>
        </is>
      </c>
      <c r="D209" s="182" t="inlineStr">
        <is>
          <t>ZI0290020145</t>
        </is>
      </c>
      <c r="E209" s="182" t="inlineStr">
        <is>
          <t>国寿投资保险资产管理有限公司</t>
        </is>
      </c>
      <c r="F209" s="716" t="n"/>
      <c r="G209" s="716" t="n"/>
      <c r="H209" s="462" t="n"/>
    </row>
    <row r="210">
      <c r="A210" s="182" t="inlineStr">
        <is>
          <t>E101223</t>
        </is>
      </c>
      <c r="B210" s="767">
        <f>ROW()</f>
        <v/>
      </c>
      <c r="C210" s="182" t="inlineStr">
        <is>
          <t>亚洲新能源（金湖）风力发电有限公司</t>
        </is>
      </c>
      <c r="D210" s="182" t="inlineStr">
        <is>
          <t>ZI0290020132</t>
        </is>
      </c>
      <c r="E210" s="182" t="inlineStr">
        <is>
          <t>哈尔滨九洲能源投资有限责任公司</t>
        </is>
      </c>
      <c r="F210" s="716" t="n"/>
      <c r="G210" s="716" t="n"/>
      <c r="H210" s="462" t="n"/>
    </row>
    <row r="211">
      <c r="A211" s="672" t="inlineStr">
        <is>
          <t>E101215</t>
        </is>
      </c>
      <c r="B211" s="767">
        <f>ROW()</f>
        <v/>
      </c>
      <c r="C211" s="182" t="inlineStr">
        <is>
          <t>北京京热兴怀能源有限责任公司</t>
        </is>
      </c>
      <c r="D211" s="182" t="inlineStr">
        <is>
          <t>ZI0290020146</t>
        </is>
      </c>
      <c r="E211" s="182" t="inlineStr">
        <is>
          <t>北京怀胜城市建设开发有限公司</t>
        </is>
      </c>
      <c r="F211" s="716" t="n"/>
      <c r="G211" s="716" t="n"/>
      <c r="H211" s="462" t="n"/>
    </row>
    <row r="212">
      <c r="A212" s="672" t="inlineStr">
        <is>
          <t>E101336</t>
        </is>
      </c>
      <c r="B212" s="767">
        <f>ROW()</f>
        <v/>
      </c>
      <c r="C212" s="182" t="inlineStr">
        <is>
          <t>盛唐壹号(天津) 企业管理合伙企业(有限合伙）</t>
        </is>
      </c>
      <c r="D212" s="182" t="inlineStr">
        <is>
          <t>ZI0290020070</t>
        </is>
      </c>
      <c r="E212" s="182" t="inlineStr">
        <is>
          <t>中铁信托有限责任公司</t>
        </is>
      </c>
      <c r="F212" s="716" t="n"/>
      <c r="G212" s="716" t="n"/>
      <c r="H212" s="462" t="n"/>
    </row>
    <row r="213">
      <c r="A213" s="672" t="inlineStr">
        <is>
          <t>E101245</t>
        </is>
      </c>
      <c r="B213" s="767">
        <f>ROW()</f>
        <v/>
      </c>
      <c r="C213" s="182" t="inlineStr">
        <is>
          <t>盛唐贰号（天津）企业管理合伙企业（有限合伙）</t>
        </is>
      </c>
      <c r="D213" s="182" t="inlineStr">
        <is>
          <t>ZI0290020070</t>
        </is>
      </c>
      <c r="E213" s="182" t="inlineStr">
        <is>
          <t>中铁信托有限责任公司</t>
        </is>
      </c>
      <c r="F213" s="716" t="n"/>
      <c r="G213" s="716" t="n"/>
      <c r="H213" s="462" t="n"/>
    </row>
    <row r="214">
      <c r="A214" s="672" t="inlineStr">
        <is>
          <t>E101155</t>
        </is>
      </c>
      <c r="B214" s="767">
        <f>ROW()</f>
        <v/>
      </c>
      <c r="C214" s="182" t="inlineStr">
        <is>
          <t>京江（双柏）新能源有限公司</t>
        </is>
      </c>
      <c r="D214" s="182" t="inlineStr">
        <is>
          <t>ZI0290020148</t>
        </is>
      </c>
      <c r="E214" s="182" t="inlineStr">
        <is>
          <t>楚雄州金江能源开发有限公司</t>
        </is>
      </c>
      <c r="F214" s="716" t="n"/>
      <c r="G214" s="716" t="n"/>
      <c r="H214" s="462" t="n"/>
    </row>
    <row r="215">
      <c r="A215" s="672" t="inlineStr">
        <is>
          <t>E101288</t>
        </is>
      </c>
      <c r="B215" s="767">
        <f>ROW()</f>
        <v/>
      </c>
      <c r="C215" s="182" t="inlineStr">
        <is>
          <t>平泉市邦诚新能源科技有限公司</t>
        </is>
      </c>
      <c r="D215" s="182" t="inlineStr">
        <is>
          <t>ZI0290020149</t>
        </is>
      </c>
      <c r="E215" s="182" t="inlineStr">
        <is>
          <t>承德创时新能源科技有限公司</t>
        </is>
      </c>
      <c r="F215" s="716" t="n"/>
      <c r="G215" s="716" t="n"/>
      <c r="H215" s="462" t="n"/>
    </row>
    <row r="216">
      <c r="A216" s="672" t="inlineStr">
        <is>
          <t>E100713</t>
        </is>
      </c>
      <c r="B216" s="767">
        <f>ROW()</f>
        <v/>
      </c>
      <c r="C216" s="182" t="inlineStr">
        <is>
          <t>黑龙江京庆风力发电有限公司</t>
        </is>
      </c>
      <c r="D216" s="182" t="inlineStr">
        <is>
          <t>ZI0290020150</t>
        </is>
      </c>
      <c r="E216" s="182" t="inlineStr">
        <is>
          <t>慧莱能源科技发展（北京）有限公司</t>
        </is>
      </c>
      <c r="F216" s="716" t="n"/>
      <c r="G216" s="716" t="n"/>
      <c r="H216" s="462" t="n"/>
    </row>
    <row r="217">
      <c r="A217" s="672" t="inlineStr">
        <is>
          <t>E101132</t>
        </is>
      </c>
      <c r="B217" s="767">
        <f>ROW()</f>
        <v/>
      </c>
      <c r="C217" s="182" t="inlineStr">
        <is>
          <t>内蒙古京能岱海新能源有限公司</t>
        </is>
      </c>
      <c r="D217" s="182" t="inlineStr">
        <is>
          <t>ZI0290020151</t>
        </is>
      </c>
      <c r="E217" s="182" t="inlineStr">
        <is>
          <t>乌兰察布市能源投资开发有限责任公司</t>
        </is>
      </c>
      <c r="F217" s="716" t="n"/>
      <c r="G217" s="716" t="n"/>
      <c r="H217" s="462" t="n"/>
    </row>
    <row r="218">
      <c r="A218" s="672" t="inlineStr">
        <is>
          <t>E101227</t>
        </is>
      </c>
      <c r="B218" s="767">
        <f>ROW()</f>
        <v/>
      </c>
      <c r="C218" s="182" t="inlineStr">
        <is>
          <t>京能智汇（锡林郭勒）新能源有限公司</t>
        </is>
      </c>
      <c r="D218" s="672" t="inlineStr">
        <is>
          <t>ZI0290020155</t>
        </is>
      </c>
      <c r="E218" s="182" t="inlineStr">
        <is>
          <t>锡林郭勒盟智汇新能源有限公司</t>
        </is>
      </c>
      <c r="F218" s="716" t="n"/>
      <c r="G218" s="716" t="n"/>
      <c r="H218" s="462" t="n"/>
    </row>
    <row r="219">
      <c r="A219" s="672" t="inlineStr">
        <is>
          <t>E101279</t>
        </is>
      </c>
      <c r="B219" s="767">
        <f>ROW()</f>
        <v/>
      </c>
      <c r="C219" s="182" t="inlineStr">
        <is>
          <t>京能（重庆）能源有限公司</t>
        </is>
      </c>
      <c r="D219" s="182" t="inlineStr">
        <is>
          <t>ZI0290020152</t>
        </is>
      </c>
      <c r="E219" s="182" t="inlineStr">
        <is>
          <t>北京金桥能源有限公司</t>
        </is>
      </c>
      <c r="F219" s="716" t="n"/>
      <c r="G219" s="716" t="n"/>
      <c r="H219" s="462" t="n"/>
    </row>
    <row r="220">
      <c r="A220" s="672" t="inlineStr">
        <is>
          <t>E100862</t>
        </is>
      </c>
      <c r="B220" s="767">
        <f>ROW()</f>
        <v/>
      </c>
      <c r="C220" s="182" t="inlineStr">
        <is>
          <t>京能玉门新能源有限公司</t>
        </is>
      </c>
      <c r="D220" s="182" t="inlineStr">
        <is>
          <t>ZI0290020153</t>
        </is>
      </c>
      <c r="E220" s="182" t="inlineStr">
        <is>
          <t>酒泉市农业发展集团有限公司</t>
        </is>
      </c>
      <c r="F220" s="716" t="n"/>
      <c r="G220" s="716" t="n"/>
      <c r="H220" s="462" t="n"/>
    </row>
    <row r="221">
      <c r="A221" s="672" t="inlineStr">
        <is>
          <t>E100253</t>
        </is>
      </c>
      <c r="B221" s="767">
        <f>ROW()</f>
        <v/>
      </c>
      <c r="C221" s="182" t="inlineStr">
        <is>
          <t>抚松京热热力有限责任公司</t>
        </is>
      </c>
      <c r="D221" s="672" t="inlineStr">
        <is>
          <t>ZI0290020154</t>
        </is>
      </c>
      <c r="E221" s="182" t="inlineStr">
        <is>
          <t>抚松全域文化旅游集团有限公司</t>
        </is>
      </c>
      <c r="F221" s="716" t="n"/>
      <c r="G221" s="716" t="n"/>
      <c r="H221" s="462" t="n"/>
    </row>
    <row r="222" customFormat="1" s="672">
      <c r="A222" s="672" t="inlineStr">
        <is>
          <t>E101311</t>
        </is>
      </c>
      <c r="B222" s="767">
        <f>ROW()</f>
        <v/>
      </c>
      <c r="C222" s="672" t="inlineStr">
        <is>
          <t>镶黄旗京能智汇清洁能源有限公司</t>
        </is>
      </c>
      <c r="D222" s="672" t="inlineStr">
        <is>
          <t>ZI0290020155</t>
        </is>
      </c>
      <c r="E222" s="672" t="inlineStr">
        <is>
          <t>锡林郭勒盟智汇新能源有限公司</t>
        </is>
      </c>
      <c r="F222" s="672" t="n"/>
      <c r="G222" s="672" t="n"/>
      <c r="H222" s="672" t="n"/>
    </row>
    <row r="223" customFormat="1" s="672">
      <c r="A223" s="672" t="inlineStr">
        <is>
          <t>E101310</t>
        </is>
      </c>
      <c r="B223" s="767">
        <f>ROW()</f>
        <v/>
      </c>
      <c r="C223" s="672" t="inlineStr">
        <is>
          <t>苏尼特右旗京能智汇清洁能源有限公司</t>
        </is>
      </c>
      <c r="D223" s="672" t="inlineStr">
        <is>
          <t>ZI0290020155</t>
        </is>
      </c>
      <c r="E223" s="672" t="inlineStr">
        <is>
          <t>锡林郭勒盟智汇新能源有限公司</t>
        </is>
      </c>
      <c r="F223" s="672" t="n"/>
      <c r="G223" s="672" t="n"/>
      <c r="H223" s="672" t="n"/>
    </row>
    <row r="224" customFormat="1" s="672">
      <c r="A224" s="672" t="inlineStr">
        <is>
          <t>E101309</t>
        </is>
      </c>
      <c r="B224" s="767">
        <f>ROW()</f>
        <v/>
      </c>
      <c r="C224" s="672" t="inlineStr">
        <is>
          <t>锡林浩特市京能智汇清洁能源有限公司</t>
        </is>
      </c>
      <c r="D224" s="672" t="inlineStr">
        <is>
          <t>ZI0290020155</t>
        </is>
      </c>
      <c r="E224" s="672" t="inlineStr">
        <is>
          <t>锡林郭勒盟智汇新能源有限公司</t>
        </is>
      </c>
      <c r="F224" s="672" t="n"/>
      <c r="G224" s="672" t="n"/>
      <c r="H224" s="672" t="n"/>
    </row>
    <row r="225" customFormat="1" s="672">
      <c r="A225" s="672" t="inlineStr">
        <is>
          <t>E101313</t>
        </is>
      </c>
      <c r="B225" s="767">
        <f>ROW()</f>
        <v/>
      </c>
      <c r="C225" s="672" t="inlineStr">
        <is>
          <t>阿巴嘎旗京能智汇清洁能源有限公司</t>
        </is>
      </c>
      <c r="D225" s="672" t="inlineStr">
        <is>
          <t>ZI0290020155</t>
        </is>
      </c>
      <c r="E225" s="672" t="inlineStr">
        <is>
          <t>锡林郭勒盟智汇新能源有限公司</t>
        </is>
      </c>
      <c r="F225" s="672" t="n"/>
      <c r="G225" s="672" t="n"/>
      <c r="H225" s="672" t="n"/>
    </row>
    <row r="226" customFormat="1" s="672">
      <c r="A226" s="672" t="inlineStr">
        <is>
          <t>E101312</t>
        </is>
      </c>
      <c r="B226" s="767">
        <f>ROW()</f>
        <v/>
      </c>
      <c r="C226" s="672" t="inlineStr">
        <is>
          <t>正镶白旗京能智汇清洁能源有限公司</t>
        </is>
      </c>
      <c r="D226" s="672" t="inlineStr">
        <is>
          <t>ZI0290020155</t>
        </is>
      </c>
      <c r="E226" s="672" t="inlineStr">
        <is>
          <t>锡林郭勒盟智汇新能源有限公司</t>
        </is>
      </c>
      <c r="F226" s="672" t="n"/>
      <c r="G226" s="672" t="n"/>
      <c r="H226" s="672" t="n"/>
    </row>
    <row r="227">
      <c r="A227" s="672" t="inlineStr">
        <is>
          <t>E101328</t>
        </is>
      </c>
      <c r="B227" s="767">
        <f>ROW()</f>
        <v/>
      </c>
      <c r="C227" s="182" t="inlineStr">
        <is>
          <t>江门市新会区古井能源服务有限公司</t>
        </is>
      </c>
      <c r="D227" s="672" t="inlineStr">
        <is>
          <t>ZI0290020156</t>
        </is>
      </c>
      <c r="E227" s="182" t="inlineStr">
        <is>
          <t>江门市新会银洲湖能源有限公司</t>
        </is>
      </c>
      <c r="F227" s="716" t="n"/>
      <c r="G227" s="716" t="n"/>
      <c r="H227" s="462" t="n"/>
    </row>
    <row r="228">
      <c r="A228" s="672" t="inlineStr">
        <is>
          <t>E101328</t>
        </is>
      </c>
      <c r="B228" s="767">
        <f>ROW()</f>
        <v/>
      </c>
      <c r="C228" s="182" t="inlineStr">
        <is>
          <t>江门市新会区古井能源服务有限公司</t>
        </is>
      </c>
      <c r="D228" s="672" t="inlineStr">
        <is>
          <t>ZI0290020157</t>
        </is>
      </c>
      <c r="E228" s="182" t="inlineStr">
        <is>
          <t>江门市新会古井珠西新材料集聚区开发有限公司</t>
        </is>
      </c>
      <c r="F228" s="716" t="n"/>
      <c r="G228" s="716" t="n"/>
      <c r="H228" s="462" t="n"/>
    </row>
    <row r="229">
      <c r="A229" s="672" t="inlineStr">
        <is>
          <t>E101328</t>
        </is>
      </c>
      <c r="B229" s="767">
        <f>ROW()</f>
        <v/>
      </c>
      <c r="C229" s="182" t="inlineStr">
        <is>
          <t>江门市新会区古井能源服务有限公司</t>
        </is>
      </c>
      <c r="D229" s="672" t="inlineStr">
        <is>
          <t>ZI0290020158</t>
        </is>
      </c>
      <c r="E229" s="182" t="inlineStr">
        <is>
          <t>江门市新会区古井源丰资产管理有限公司</t>
        </is>
      </c>
      <c r="F229" s="716" t="n"/>
      <c r="G229" s="716" t="n"/>
      <c r="H229" s="462" t="n"/>
    </row>
    <row r="230">
      <c r="A230" s="672" t="inlineStr">
        <is>
          <t>E101323</t>
        </is>
      </c>
      <c r="B230" s="767">
        <f>ROW()</f>
        <v/>
      </c>
      <c r="C230" s="182" t="inlineStr">
        <is>
          <t>北京京能大成新能源有限公司</t>
        </is>
      </c>
      <c r="D230" s="672" t="inlineStr">
        <is>
          <t>ZI0290020160</t>
        </is>
      </c>
      <c r="E230" s="182" t="inlineStr">
        <is>
          <t>北京金隅资产经营管理有限责任公司</t>
        </is>
      </c>
      <c r="F230" s="716" t="n"/>
      <c r="G230" s="716" t="n"/>
      <c r="H230" s="462" t="n"/>
    </row>
    <row r="231">
      <c r="A231" s="672" t="inlineStr">
        <is>
          <t>E101317</t>
        </is>
      </c>
      <c r="B231" s="767">
        <f>ROW()</f>
        <v/>
      </c>
      <c r="C231" s="182" t="inlineStr">
        <is>
          <t>北京京能未来能源科技有限公司</t>
        </is>
      </c>
      <c r="D231" s="672" t="inlineStr">
        <is>
          <t>ZI0290020159</t>
        </is>
      </c>
      <c r="E231" s="182" t="inlineStr">
        <is>
          <t>北京未来科学城智慧能源有限公司</t>
        </is>
      </c>
      <c r="F231" s="716" t="n"/>
      <c r="G231" s="716" t="n"/>
      <c r="H231" s="462" t="n"/>
    </row>
    <row r="232">
      <c r="A232" s="716" t="n"/>
      <c r="B232" s="716" t="n"/>
      <c r="C232" s="716" t="n"/>
      <c r="D232" s="716" t="n"/>
      <c r="E232" s="716" t="n"/>
      <c r="F232" s="716" t="n"/>
      <c r="G232" s="716" t="n"/>
      <c r="H232" s="462" t="n"/>
    </row>
    <row r="233">
      <c r="A233" s="672" t="n"/>
      <c r="B233" s="767" t="n"/>
      <c r="C233" s="182" t="n"/>
      <c r="D233" s="672" t="n"/>
      <c r="E233" s="182" t="n"/>
      <c r="F233" s="716" t="n"/>
      <c r="G233" s="716" t="n"/>
      <c r="H233" s="462" t="n"/>
    </row>
    <row r="234">
      <c r="A234" s="761" t="inlineStr">
        <is>
          <t>实收资本-集团外-个人</t>
        </is>
      </c>
      <c r="B234" s="767">
        <f>ROW()</f>
        <v/>
      </c>
      <c r="C234" s="763" t="n"/>
      <c r="D234" s="178" t="n"/>
      <c r="E234" s="763" t="n"/>
      <c r="F234" s="716" t="n"/>
      <c r="G234" s="716" t="n"/>
      <c r="H234" s="462" t="n"/>
    </row>
    <row r="235">
      <c r="A235" s="672" t="inlineStr">
        <is>
          <t>E100333</t>
        </is>
      </c>
      <c r="B235" s="767">
        <f>ROW()</f>
        <v/>
      </c>
      <c r="C235" s="182" t="inlineStr">
        <is>
          <t>安徽马钢智能立体停车设备有限公司</t>
        </is>
      </c>
      <c r="D235" s="182" t="inlineStr">
        <is>
          <t>ZI0290030001</t>
        </is>
      </c>
      <c r="E235" s="182" t="inlineStr">
        <is>
          <t>周庄</t>
        </is>
      </c>
      <c r="F235" s="716" t="n"/>
      <c r="G235" s="716" t="n"/>
      <c r="H235" s="462" t="n"/>
    </row>
    <row r="236">
      <c r="A236" s="672" t="inlineStr">
        <is>
          <t>E100311</t>
        </is>
      </c>
      <c r="B236" s="767">
        <f>ROW()</f>
        <v/>
      </c>
      <c r="C236" s="182" t="inlineStr">
        <is>
          <t>北京奥之旅汽车销售服务有限公司</t>
        </is>
      </c>
      <c r="D236" s="182" t="inlineStr">
        <is>
          <t>ZI0290030002</t>
        </is>
      </c>
      <c r="E236" s="182" t="inlineStr">
        <is>
          <t>刘春启</t>
        </is>
      </c>
      <c r="F236" s="716" t="n"/>
      <c r="G236" s="716" t="n"/>
      <c r="H236" s="462" t="n"/>
    </row>
    <row r="237">
      <c r="A237" s="672" t="inlineStr">
        <is>
          <t>E100201</t>
        </is>
      </c>
      <c r="B237" s="767">
        <f>ROW()</f>
        <v/>
      </c>
      <c r="C237" s="182" t="inlineStr">
        <is>
          <t>北京昊华能源股份有限公司</t>
        </is>
      </c>
      <c r="D237" s="182" t="inlineStr">
        <is>
          <t>ZI0290030003</t>
        </is>
      </c>
      <c r="E237" s="182" t="inlineStr">
        <is>
          <t>王嘉苓</t>
        </is>
      </c>
      <c r="F237" s="716" t="n"/>
      <c r="G237" s="716" t="n"/>
      <c r="H237" s="462" t="n"/>
    </row>
    <row r="238">
      <c r="A238" s="672" t="inlineStr">
        <is>
          <t>E100201</t>
        </is>
      </c>
      <c r="B238" s="767">
        <f>ROW()</f>
        <v/>
      </c>
      <c r="C238" s="182" t="inlineStr">
        <is>
          <t>北京昊华能源股份有限公司</t>
        </is>
      </c>
      <c r="D238" s="182" t="inlineStr">
        <is>
          <t>ZI0290030004</t>
        </is>
      </c>
      <c r="E238" s="182" t="inlineStr">
        <is>
          <t>李加平</t>
        </is>
      </c>
      <c r="F238" s="716" t="n"/>
      <c r="G238" s="716" t="n"/>
      <c r="H238" s="462" t="n"/>
    </row>
    <row r="239">
      <c r="A239" s="672" t="inlineStr">
        <is>
          <t>E100201</t>
        </is>
      </c>
      <c r="B239" s="767">
        <f>ROW()</f>
        <v/>
      </c>
      <c r="C239" s="182" t="inlineStr">
        <is>
          <t>北京昊华能源股份有限公司</t>
        </is>
      </c>
      <c r="D239" s="182" t="inlineStr">
        <is>
          <t>ZI0290030005</t>
        </is>
      </c>
      <c r="E239" s="182" t="inlineStr">
        <is>
          <t>蒋建芬</t>
        </is>
      </c>
      <c r="F239" s="716" t="n"/>
      <c r="G239" s="716" t="n"/>
      <c r="H239" s="462" t="n"/>
    </row>
    <row r="240">
      <c r="A240" s="672" t="inlineStr">
        <is>
          <t>E100201G</t>
        </is>
      </c>
      <c r="B240" s="767">
        <f>ROW()</f>
        <v/>
      </c>
      <c r="C240" s="182" t="inlineStr">
        <is>
          <t>北京昊华能源股份有限公司（合并）</t>
        </is>
      </c>
      <c r="D240" s="182" t="inlineStr">
        <is>
          <t>ZI0290030003</t>
        </is>
      </c>
      <c r="E240" s="182" t="inlineStr">
        <is>
          <t>王嘉苓</t>
        </is>
      </c>
      <c r="F240" s="716" t="n"/>
      <c r="G240" s="716" t="n"/>
      <c r="H240" s="462" t="n"/>
    </row>
    <row r="241">
      <c r="A241" s="672" t="inlineStr">
        <is>
          <t>E100201G</t>
        </is>
      </c>
      <c r="B241" s="767">
        <f>ROW()</f>
        <v/>
      </c>
      <c r="C241" s="182" t="inlineStr">
        <is>
          <t>北京昊华能源股份有限公司（合并）</t>
        </is>
      </c>
      <c r="D241" s="182" t="inlineStr">
        <is>
          <t>ZI0290030004</t>
        </is>
      </c>
      <c r="E241" s="182" t="inlineStr">
        <is>
          <t>李加平</t>
        </is>
      </c>
      <c r="F241" s="716" t="n"/>
      <c r="G241" s="716" t="n"/>
      <c r="H241" s="462" t="n"/>
    </row>
    <row r="242">
      <c r="A242" s="672" t="inlineStr">
        <is>
          <t>E100201G</t>
        </is>
      </c>
      <c r="B242" s="767">
        <f>ROW()</f>
        <v/>
      </c>
      <c r="C242" s="182" t="inlineStr">
        <is>
          <t>北京昊华能源股份有限公司（合并）</t>
        </is>
      </c>
      <c r="D242" s="182" t="inlineStr">
        <is>
          <t>ZI0290030005</t>
        </is>
      </c>
      <c r="E242" s="182" t="inlineStr">
        <is>
          <t>蒋建芬</t>
        </is>
      </c>
      <c r="F242" s="716" t="n"/>
      <c r="G242" s="716" t="n"/>
      <c r="H242" s="462" t="n"/>
    </row>
    <row r="243">
      <c r="A243" s="672" t="inlineStr">
        <is>
          <t>E100201H</t>
        </is>
      </c>
      <c r="B243" s="767">
        <f>ROW()</f>
        <v/>
      </c>
      <c r="C243" s="182" t="inlineStr">
        <is>
          <t>北京昊华能源股份有限公司（母公司）</t>
        </is>
      </c>
      <c r="D243" s="182" t="inlineStr">
        <is>
          <t>ZI0290030003</t>
        </is>
      </c>
      <c r="E243" s="182" t="inlineStr">
        <is>
          <t>王嘉苓</t>
        </is>
      </c>
      <c r="F243" s="716" t="n"/>
      <c r="G243" s="716" t="n"/>
      <c r="H243" s="462" t="n"/>
    </row>
    <row r="244">
      <c r="A244" s="672" t="inlineStr">
        <is>
          <t>E100201H</t>
        </is>
      </c>
      <c r="B244" s="767">
        <f>ROW()</f>
        <v/>
      </c>
      <c r="C244" s="182" t="inlineStr">
        <is>
          <t>北京昊华能源股份有限公司（母公司）</t>
        </is>
      </c>
      <c r="D244" s="182" t="inlineStr">
        <is>
          <t>ZI0290030004</t>
        </is>
      </c>
      <c r="E244" s="182" t="inlineStr">
        <is>
          <t>李加平</t>
        </is>
      </c>
      <c r="F244" s="716" t="n"/>
      <c r="G244" s="716" t="n"/>
      <c r="H244" s="462" t="n"/>
    </row>
    <row r="245">
      <c r="A245" s="672" t="inlineStr">
        <is>
          <t>E100201H</t>
        </is>
      </c>
      <c r="B245" s="767">
        <f>ROW()</f>
        <v/>
      </c>
      <c r="C245" s="182" t="inlineStr">
        <is>
          <t>北京昊华能源股份有限公司（母公司）</t>
        </is>
      </c>
      <c r="D245" s="182" t="inlineStr">
        <is>
          <t>ZI0290030005</t>
        </is>
      </c>
      <c r="E245" s="182" t="inlineStr">
        <is>
          <t>蒋建芬</t>
        </is>
      </c>
      <c r="F245" s="716" t="n"/>
      <c r="G245" s="716" t="n"/>
      <c r="H245" s="462" t="n"/>
    </row>
    <row r="246">
      <c r="A246" s="672" t="inlineStr">
        <is>
          <t>E100281G</t>
        </is>
      </c>
      <c r="B246" s="767">
        <f>ROW()</f>
        <v/>
      </c>
      <c r="C246" s="182" t="inlineStr">
        <is>
          <t>北京京煤化工有限公司（合并）</t>
        </is>
      </c>
      <c r="D246" s="182" t="inlineStr">
        <is>
          <t>ZI0290030006</t>
        </is>
      </c>
      <c r="E246" s="182" t="inlineStr">
        <is>
          <t>坡.严吉玛</t>
        </is>
      </c>
      <c r="F246" s="716" t="n"/>
      <c r="G246" s="716" t="n"/>
      <c r="H246" s="462" t="n"/>
    </row>
    <row r="247">
      <c r="A247" s="672" t="inlineStr">
        <is>
          <t>E100281G</t>
        </is>
      </c>
      <c r="B247" s="767">
        <f>ROW()</f>
        <v/>
      </c>
      <c r="C247" s="182" t="inlineStr">
        <is>
          <t>北京京煤化工有限公司（合并）</t>
        </is>
      </c>
      <c r="D247" s="182" t="inlineStr">
        <is>
          <t>ZI0290030007</t>
        </is>
      </c>
      <c r="E247" s="182" t="inlineStr">
        <is>
          <t>宾巴苏荣</t>
        </is>
      </c>
      <c r="F247" s="716" t="n"/>
      <c r="G247" s="716" t="n"/>
      <c r="H247" s="462" t="n"/>
    </row>
    <row r="248">
      <c r="A248" s="672" t="inlineStr">
        <is>
          <t>E100332</t>
        </is>
      </c>
      <c r="B248" s="767">
        <f>ROW()</f>
        <v/>
      </c>
      <c r="C248" s="182" t="inlineStr">
        <is>
          <t>北京鑫华源机械制造有限责任公司</t>
        </is>
      </c>
      <c r="D248" s="182" t="inlineStr">
        <is>
          <t>ZI0290030008</t>
        </is>
      </c>
      <c r="E248" s="182" t="inlineStr">
        <is>
          <t>北京华源科创智能停车设备销售中心（有限合伙）</t>
        </is>
      </c>
      <c r="F248" s="716" t="n"/>
      <c r="G248" s="716" t="n"/>
      <c r="H248" s="462" t="n"/>
    </row>
    <row r="249">
      <c r="A249" s="672" t="inlineStr">
        <is>
          <t>E100332</t>
        </is>
      </c>
      <c r="B249" s="767">
        <f>ROW()</f>
        <v/>
      </c>
      <c r="C249" s="182" t="inlineStr">
        <is>
          <t>北京鑫华源机械制造有限责任公司</t>
        </is>
      </c>
      <c r="D249" s="182" t="inlineStr">
        <is>
          <t>ZI0290030009</t>
        </is>
      </c>
      <c r="E249" s="182" t="inlineStr">
        <is>
          <t>北京鑫华科创智能停车科技中心（有限合伙）</t>
        </is>
      </c>
      <c r="F249" s="716" t="n"/>
      <c r="G249" s="716" t="n"/>
      <c r="H249" s="462" t="n"/>
    </row>
    <row r="250">
      <c r="A250" s="672" t="inlineStr">
        <is>
          <t>E100332G</t>
        </is>
      </c>
      <c r="B250" s="767">
        <f>ROW()</f>
        <v/>
      </c>
      <c r="C250" s="182" t="inlineStr">
        <is>
          <t>北京鑫华源机械制造有限责任公司（合并）</t>
        </is>
      </c>
      <c r="D250" s="182" t="inlineStr">
        <is>
          <t>ZI0290030008</t>
        </is>
      </c>
      <c r="E250" s="182" t="inlineStr">
        <is>
          <t>北京华源科创智能停车设备销售中心（有限合伙）</t>
        </is>
      </c>
      <c r="F250" s="716" t="n"/>
      <c r="G250" s="716" t="n"/>
      <c r="H250" s="462" t="n"/>
    </row>
    <row r="251">
      <c r="A251" s="672" t="inlineStr">
        <is>
          <t>E100332G</t>
        </is>
      </c>
      <c r="B251" s="767">
        <f>ROW()</f>
        <v/>
      </c>
      <c r="C251" s="182" t="inlineStr">
        <is>
          <t>北京鑫华源机械制造有限责任公司（合并）</t>
        </is>
      </c>
      <c r="D251" s="182" t="inlineStr">
        <is>
          <t>ZI0290030009</t>
        </is>
      </c>
      <c r="E251" s="182" t="inlineStr">
        <is>
          <t>北京鑫华科创智能停车科技中心（有限合伙）</t>
        </is>
      </c>
      <c r="F251" s="716" t="n"/>
      <c r="G251" s="716" t="n"/>
      <c r="H251" s="462" t="n"/>
    </row>
    <row r="252">
      <c r="A252" s="672" t="inlineStr">
        <is>
          <t>E100287</t>
        </is>
      </c>
      <c r="B252" s="767">
        <f>ROW()</f>
        <v/>
      </c>
      <c r="C252" s="182" t="inlineStr">
        <is>
          <t>达瓦满度拉外商投资有限责任公司</t>
        </is>
      </c>
      <c r="D252" s="182" t="inlineStr">
        <is>
          <t>ZI0290030006</t>
        </is>
      </c>
      <c r="E252" s="182" t="inlineStr">
        <is>
          <t>坡.严吉玛</t>
        </is>
      </c>
      <c r="F252" s="716" t="n"/>
      <c r="G252" s="716" t="n"/>
      <c r="H252" s="462" t="n"/>
    </row>
    <row r="253">
      <c r="A253" s="672" t="inlineStr">
        <is>
          <t>E100287</t>
        </is>
      </c>
      <c r="B253" s="767">
        <f>ROW()</f>
        <v/>
      </c>
      <c r="C253" s="182" t="inlineStr">
        <is>
          <t>达瓦满度拉外商投资有限责任公司</t>
        </is>
      </c>
      <c r="D253" s="182" t="inlineStr">
        <is>
          <t>ZI0290030007</t>
        </is>
      </c>
      <c r="E253" s="182" t="inlineStr">
        <is>
          <t>宾巴苏荣</t>
        </is>
      </c>
      <c r="F253" s="716" t="n"/>
      <c r="G253" s="716" t="n"/>
      <c r="H253" s="462" t="n"/>
    </row>
    <row r="254">
      <c r="A254" s="672" t="inlineStr">
        <is>
          <t>E100537</t>
        </is>
      </c>
      <c r="B254" s="767">
        <f>ROW()</f>
        <v/>
      </c>
      <c r="C254" s="182" t="inlineStr">
        <is>
          <t>怀来昊璟矿建房地产开发有限公司</t>
        </is>
      </c>
      <c r="D254" s="182" t="inlineStr">
        <is>
          <t>ZI0290030010</t>
        </is>
      </c>
      <c r="E254" s="182" t="inlineStr">
        <is>
          <t>周文军</t>
        </is>
      </c>
      <c r="F254" s="716" t="n"/>
      <c r="G254" s="716" t="n"/>
      <c r="H254" s="462" t="n"/>
    </row>
    <row r="255">
      <c r="A255" s="672" t="inlineStr">
        <is>
          <t>E100332G</t>
        </is>
      </c>
      <c r="B255" s="767">
        <f>ROW()</f>
        <v/>
      </c>
      <c r="C255" s="182" t="inlineStr">
        <is>
          <t>北京鑫华源机械制造有限责任公司（合并）</t>
        </is>
      </c>
      <c r="D255" s="182" t="inlineStr">
        <is>
          <t>ZI0290030008</t>
        </is>
      </c>
      <c r="E255" s="182" t="inlineStr">
        <is>
          <t>北京华源科创智能停车设备销售中心（有限合伙）</t>
        </is>
      </c>
      <c r="F255" s="716" t="n"/>
      <c r="G255" s="716" t="n"/>
      <c r="H255" s="462" t="n"/>
    </row>
    <row r="256">
      <c r="A256" s="672" t="n"/>
      <c r="B256" s="767">
        <f>ROW()</f>
        <v/>
      </c>
      <c r="C256" s="182" t="n"/>
      <c r="D256" s="182" t="n"/>
      <c r="E256" s="182" t="n"/>
      <c r="F256" s="716" t="n"/>
      <c r="G256" s="716" t="n"/>
      <c r="H256" s="462" t="n"/>
    </row>
    <row r="257">
      <c r="A257" s="672" t="n"/>
      <c r="B257" s="767">
        <f>ROW()</f>
        <v/>
      </c>
      <c r="C257" s="182" t="n"/>
      <c r="D257" s="182" t="n"/>
      <c r="E257" s="182" t="n"/>
      <c r="F257" s="716" t="n"/>
      <c r="G257" s="716" t="n"/>
      <c r="H257" s="462" t="n"/>
    </row>
    <row r="258">
      <c r="A258" s="672" t="n"/>
      <c r="B258" s="767">
        <f>ROW()</f>
        <v/>
      </c>
      <c r="C258" s="182" t="n"/>
      <c r="D258" s="182" t="n"/>
      <c r="E258" s="182" t="n"/>
      <c r="F258" s="716" t="n"/>
      <c r="G258" s="716" t="n"/>
      <c r="H258" s="462" t="n"/>
    </row>
    <row r="259">
      <c r="A259" s="761" t="inlineStr">
        <is>
          <t>实收资本-集团外-其他</t>
        </is>
      </c>
      <c r="B259" s="767">
        <f>ROW()</f>
        <v/>
      </c>
      <c r="C259" s="763" t="n"/>
      <c r="D259" s="178" t="n"/>
      <c r="E259" s="763" t="n"/>
      <c r="F259" s="716" t="n"/>
      <c r="G259" s="716" t="n"/>
      <c r="H259" s="462" t="n"/>
    </row>
    <row r="260">
      <c r="A260" s="672" t="inlineStr">
        <is>
          <t>E100333</t>
        </is>
      </c>
      <c r="B260" s="767">
        <f>ROW()</f>
        <v/>
      </c>
      <c r="C260" s="182" t="inlineStr">
        <is>
          <t>安徽马钢智能立体停车设备有限公司</t>
        </is>
      </c>
      <c r="D260" s="182" t="inlineStr">
        <is>
          <t>ZI0299990001</t>
        </is>
      </c>
      <c r="E260" s="182" t="inlineStr">
        <is>
          <t>安徽马钢智能立体停车设备有限公司工会委员会</t>
        </is>
      </c>
      <c r="F260" s="716" t="n"/>
      <c r="G260" s="716" t="n"/>
      <c r="H260" s="462" t="n"/>
    </row>
    <row r="261">
      <c r="A261" s="672" t="inlineStr">
        <is>
          <t>E100001</t>
        </is>
      </c>
      <c r="B261" s="767">
        <f>ROW()</f>
        <v/>
      </c>
      <c r="C261" s="182" t="inlineStr">
        <is>
          <t>北京京能清洁能源电力股份有限公司</t>
        </is>
      </c>
      <c r="D261" s="182" t="inlineStr">
        <is>
          <t>ZI0299990002</t>
        </is>
      </c>
      <c r="E261" s="182" t="inlineStr">
        <is>
          <t>公众股本（H股）</t>
        </is>
      </c>
      <c r="F261" s="716" t="n"/>
      <c r="G261" s="716" t="n"/>
      <c r="H261" s="462" t="n"/>
    </row>
    <row r="262">
      <c r="A262" s="672" t="inlineStr">
        <is>
          <t>E100001G</t>
        </is>
      </c>
      <c r="B262" s="767">
        <f>ROW()</f>
        <v/>
      </c>
      <c r="C262" s="182" t="inlineStr">
        <is>
          <t>北京京能清洁能源电力股份有限公司（合并）</t>
        </is>
      </c>
      <c r="D262" s="182" t="inlineStr">
        <is>
          <t>ZI0299990002</t>
        </is>
      </c>
      <c r="E262" s="182" t="inlineStr">
        <is>
          <t>公众股本（H股）</t>
        </is>
      </c>
      <c r="F262" s="716" t="n"/>
      <c r="G262" s="716" t="n"/>
      <c r="H262" s="462" t="n"/>
    </row>
    <row r="263">
      <c r="A263" s="672" t="inlineStr">
        <is>
          <t>E100001H</t>
        </is>
      </c>
      <c r="B263" s="767">
        <f>ROW()</f>
        <v/>
      </c>
      <c r="C263" s="182" t="inlineStr">
        <is>
          <t>北京京能清洁能源电力股份有限公司（合并）本部</t>
        </is>
      </c>
      <c r="D263" s="182" t="inlineStr">
        <is>
          <t>ZI0299990002</t>
        </is>
      </c>
      <c r="E263" s="182" t="inlineStr">
        <is>
          <t>公众股本（H股）</t>
        </is>
      </c>
      <c r="F263" s="716" t="n"/>
      <c r="G263" s="716" t="n"/>
      <c r="H263" s="462" t="n"/>
    </row>
    <row r="264">
      <c r="A264" s="672" t="inlineStr">
        <is>
          <t>E100747</t>
        </is>
      </c>
      <c r="B264" s="767">
        <f>ROW()</f>
        <v/>
      </c>
      <c r="C264" s="182" t="inlineStr">
        <is>
          <t>北京能源国际控股有限公司</t>
        </is>
      </c>
      <c r="D264" s="182" t="inlineStr">
        <is>
          <t>ZI0299990003</t>
        </is>
      </c>
      <c r="E264" s="182" t="inlineStr">
        <is>
          <t>其他流通股股东</t>
        </is>
      </c>
      <c r="F264" s="716" t="n"/>
      <c r="G264" s="716" t="n"/>
      <c r="H264" s="462" t="n"/>
    </row>
    <row r="265">
      <c r="A265" s="672" t="inlineStr">
        <is>
          <t>E100420</t>
        </is>
      </c>
      <c r="B265" s="767">
        <f>ROW()</f>
        <v/>
      </c>
      <c r="C265" s="182" t="inlineStr">
        <is>
          <t>京能置业股份有限公司</t>
        </is>
      </c>
      <c r="D265" s="182" t="inlineStr">
        <is>
          <t>ZI0299990003</t>
        </is>
      </c>
      <c r="E265" s="182" t="inlineStr">
        <is>
          <t>其他流通股股东</t>
        </is>
      </c>
      <c r="F265" s="716" t="n"/>
      <c r="G265" s="716" t="n"/>
      <c r="H265" s="462" t="n"/>
    </row>
    <row r="266">
      <c r="A266" s="672" t="inlineStr">
        <is>
          <t>E100145</t>
        </is>
      </c>
      <c r="B266" s="767">
        <f>ROW()</f>
        <v/>
      </c>
      <c r="C266" s="182" t="inlineStr">
        <is>
          <t>北京京能电力股份有限公司</t>
        </is>
      </c>
      <c r="D266" s="182" t="inlineStr">
        <is>
          <t>ZI0299990003</t>
        </is>
      </c>
      <c r="E266" s="182" t="inlineStr">
        <is>
          <t>其他流通股股东</t>
        </is>
      </c>
      <c r="F266" s="716" t="n"/>
      <c r="G266" s="716" t="n"/>
      <c r="H266" s="462" t="n"/>
    </row>
    <row r="267">
      <c r="A267" s="672" t="inlineStr">
        <is>
          <t>E100201</t>
        </is>
      </c>
      <c r="B267" s="767">
        <f>ROW()</f>
        <v/>
      </c>
      <c r="C267" s="182" t="inlineStr">
        <is>
          <t>北京昊华能源股份有限公司</t>
        </is>
      </c>
      <c r="D267" s="182" t="inlineStr">
        <is>
          <t>ZI0299990003</t>
        </is>
      </c>
      <c r="E267" s="182" t="inlineStr">
        <is>
          <t>其他流通股股东</t>
        </is>
      </c>
      <c r="F267" s="716" t="n"/>
      <c r="G267" s="716" t="n"/>
      <c r="H267" s="462" t="n"/>
    </row>
    <row r="268">
      <c r="A268" s="672" t="inlineStr">
        <is>
          <t>E100420G</t>
        </is>
      </c>
      <c r="B268" s="767">
        <f>ROW()</f>
        <v/>
      </c>
      <c r="C268" s="182" t="inlineStr">
        <is>
          <t>京能置业股份有限公司（合并）</t>
        </is>
      </c>
      <c r="D268" s="182" t="inlineStr">
        <is>
          <t>ZI0299990003</t>
        </is>
      </c>
      <c r="E268" s="182" t="inlineStr">
        <is>
          <t>其他流通股股东</t>
        </is>
      </c>
      <c r="F268" s="716" t="n"/>
      <c r="G268" s="716" t="n"/>
      <c r="H268" s="462" t="n"/>
    </row>
    <row r="269">
      <c r="A269" s="672" t="inlineStr">
        <is>
          <t>E100747G</t>
        </is>
      </c>
      <c r="B269" s="767">
        <f>ROW()</f>
        <v/>
      </c>
      <c r="C269" s="182" t="inlineStr">
        <is>
          <t>北京能源国际控股有限公司（合并）</t>
        </is>
      </c>
      <c r="D269" s="182" t="inlineStr">
        <is>
          <t>ZI0299990003</t>
        </is>
      </c>
      <c r="E269" s="182" t="inlineStr">
        <is>
          <t>其他流通股股东</t>
        </is>
      </c>
      <c r="F269" s="716" t="n"/>
      <c r="G269" s="716" t="n"/>
      <c r="H269" s="462" t="n"/>
    </row>
    <row r="270">
      <c r="A270" s="672" t="inlineStr">
        <is>
          <t>E101054</t>
        </is>
      </c>
      <c r="B270" s="767">
        <f>ROW()</f>
        <v/>
      </c>
      <c r="C270" s="182" t="inlineStr">
        <is>
          <t>北京京能热力股份有限公司</t>
        </is>
      </c>
      <c r="D270" s="182" t="inlineStr">
        <is>
          <t>ZI0299990003</t>
        </is>
      </c>
      <c r="E270" s="182" t="inlineStr">
        <is>
          <t>其他流通股股东</t>
        </is>
      </c>
      <c r="F270" s="716" t="n"/>
      <c r="G270" s="716" t="n"/>
      <c r="H270" s="462" t="n"/>
    </row>
    <row r="271">
      <c r="A271" s="672" t="n"/>
      <c r="B271" s="767">
        <f>ROW()</f>
        <v/>
      </c>
      <c r="C271" s="182" t="n"/>
      <c r="D271" s="182" t="n"/>
      <c r="E271" s="182" t="n"/>
      <c r="F271" s="716" t="n"/>
      <c r="G271" s="716" t="n"/>
      <c r="H271" s="462" t="n"/>
    </row>
    <row r="272">
      <c r="A272" s="761" t="inlineStr">
        <is>
          <t>实收资本-集团内</t>
        </is>
      </c>
      <c r="B272" s="767">
        <f>ROW()</f>
        <v/>
      </c>
      <c r="C272" s="761" t="n"/>
      <c r="D272" s="27" t="n"/>
      <c r="E272" s="761" t="n"/>
      <c r="F272" s="716" t="n"/>
      <c r="G272" s="716" t="n"/>
      <c r="H272" s="462" t="n"/>
    </row>
    <row r="273">
      <c r="A273" s="672" t="inlineStr">
        <is>
          <t>E100883</t>
        </is>
      </c>
      <c r="B273" s="767">
        <f>ROW()</f>
        <v/>
      </c>
      <c r="C273" s="672" t="inlineStr">
        <is>
          <t>Beijing Energy International Investment Limited</t>
        </is>
      </c>
      <c r="D273" s="770" t="inlineStr">
        <is>
          <t>ZI029E100882</t>
        </is>
      </c>
      <c r="E273" s="672" t="inlineStr">
        <is>
          <t>China Technology New Energy Limited</t>
        </is>
      </c>
      <c r="F273" s="716" t="n"/>
      <c r="G273" s="716" t="n"/>
      <c r="H273" s="462" t="n"/>
    </row>
    <row r="274">
      <c r="A274" s="672" t="inlineStr">
        <is>
          <t>E101000</t>
        </is>
      </c>
      <c r="B274" s="767">
        <f>ROW()</f>
        <v/>
      </c>
      <c r="C274" s="672" t="inlineStr">
        <is>
          <t>China Merchants New Energy Limited</t>
        </is>
      </c>
      <c r="D274" s="672" t="inlineStr">
        <is>
          <t>ZI029E100882</t>
        </is>
      </c>
      <c r="E274" s="672" t="inlineStr">
        <is>
          <t>China Technology New Energy Limited</t>
        </is>
      </c>
      <c r="F274" s="716" t="n"/>
      <c r="G274" s="716" t="n"/>
      <c r="H274" s="462" t="n"/>
    </row>
    <row r="275">
      <c r="A275" s="672" t="inlineStr">
        <is>
          <t>E101041</t>
        </is>
      </c>
      <c r="B275" s="767">
        <f>ROW()</f>
        <v/>
      </c>
      <c r="C275" s="672" t="inlineStr">
        <is>
          <t>China New Energy Group （Hong Kong） Limited</t>
        </is>
      </c>
      <c r="D275" s="770" t="inlineStr">
        <is>
          <t>ZI029E101040</t>
        </is>
      </c>
      <c r="E275" s="672" t="inlineStr">
        <is>
          <t>Tibet Energy Investment Group （Hong Kong） Limited</t>
        </is>
      </c>
      <c r="F275" s="716" t="n"/>
      <c r="G275" s="716" t="n"/>
      <c r="H275" s="462" t="n"/>
    </row>
    <row r="276">
      <c r="A276" s="672" t="inlineStr">
        <is>
          <t>E101032</t>
        </is>
      </c>
      <c r="B276" s="767">
        <f>ROW()</f>
        <v/>
      </c>
      <c r="C276" s="672" t="inlineStr">
        <is>
          <t>China New Energy Holdings （Hong Kong） Limited</t>
        </is>
      </c>
      <c r="D276" s="672" t="inlineStr">
        <is>
          <t>ZI029E101031</t>
        </is>
      </c>
      <c r="E276" s="672" t="inlineStr">
        <is>
          <t>Panda Green Power Group Limited</t>
        </is>
      </c>
      <c r="F276" s="716" t="n"/>
      <c r="G276" s="716" t="n"/>
      <c r="H276" s="462" t="n"/>
    </row>
    <row r="277">
      <c r="A277" s="672" t="inlineStr">
        <is>
          <t>E100881</t>
        </is>
      </c>
      <c r="B277" s="767">
        <f>ROW()</f>
        <v/>
      </c>
      <c r="C277" s="672" t="inlineStr">
        <is>
          <t>China Solar Power Group Limited</t>
        </is>
      </c>
      <c r="D277" s="672" t="inlineStr">
        <is>
          <t>ZI029E100747</t>
        </is>
      </c>
      <c r="E277" s="672" t="inlineStr">
        <is>
          <t>北京能源国际控股有限公司</t>
        </is>
      </c>
      <c r="F277" s="716" t="n"/>
      <c r="G277" s="716" t="n"/>
      <c r="H277" s="462" t="n"/>
    </row>
    <row r="278">
      <c r="A278" s="672" t="inlineStr">
        <is>
          <t>E100882</t>
        </is>
      </c>
      <c r="B278" s="767">
        <f>ROW()</f>
        <v/>
      </c>
      <c r="C278" s="182" t="inlineStr">
        <is>
          <t>China Technology New Energy Limited</t>
        </is>
      </c>
      <c r="D278" s="182" t="inlineStr">
        <is>
          <t>ZI029E100881</t>
        </is>
      </c>
      <c r="E278" s="182" t="inlineStr">
        <is>
          <t>China Solar Power Group Limited</t>
        </is>
      </c>
      <c r="F278" s="716" t="n"/>
      <c r="G278" s="716" t="n"/>
      <c r="H278" s="462" t="n"/>
    </row>
    <row r="279">
      <c r="A279" s="672" t="inlineStr">
        <is>
          <t>E101003</t>
        </is>
      </c>
      <c r="B279" s="767">
        <f>ROW()</f>
        <v/>
      </c>
      <c r="C279" s="182" t="inlineStr">
        <is>
          <t>Driven Green Holdings Limited</t>
        </is>
      </c>
      <c r="D279" s="182" t="inlineStr">
        <is>
          <t>ZI029E101002</t>
        </is>
      </c>
      <c r="E279" s="182" t="inlineStr">
        <is>
          <t>Driven Noble Limited</t>
        </is>
      </c>
      <c r="F279" s="716" t="n"/>
      <c r="G279" s="716" t="n"/>
      <c r="H279" s="462" t="n"/>
    </row>
    <row r="280">
      <c r="A280" s="672" t="inlineStr">
        <is>
          <t>E101002</t>
        </is>
      </c>
      <c r="B280" s="767">
        <f>ROW()</f>
        <v/>
      </c>
      <c r="C280" s="182" t="inlineStr">
        <is>
          <t>Driven Noble Limited</t>
        </is>
      </c>
      <c r="D280" s="182" t="inlineStr">
        <is>
          <t>ZI029E101001</t>
        </is>
      </c>
      <c r="E280" s="182" t="inlineStr">
        <is>
          <t>Faster Assets Limited</t>
        </is>
      </c>
      <c r="F280" s="716" t="n"/>
      <c r="G280" s="716" t="n"/>
      <c r="H280" s="462" t="n"/>
    </row>
    <row r="281">
      <c r="A281" s="672" t="inlineStr">
        <is>
          <t>E101033</t>
        </is>
      </c>
      <c r="B281" s="767">
        <f>ROW()</f>
        <v/>
      </c>
      <c r="C281" s="182" t="inlineStr">
        <is>
          <t>East Asia New Energy Group Limited</t>
        </is>
      </c>
      <c r="D281" s="182" t="inlineStr">
        <is>
          <t>ZI029E101032</t>
        </is>
      </c>
      <c r="E281" s="182" t="inlineStr">
        <is>
          <t>China New Energy Holdings （Hong Kong） Limited</t>
        </is>
      </c>
      <c r="F281" s="716" t="n"/>
      <c r="G281" s="716" t="n"/>
      <c r="H281" s="462" t="n"/>
    </row>
    <row r="282">
      <c r="A282" s="672" t="inlineStr">
        <is>
          <t>E101027</t>
        </is>
      </c>
      <c r="B282" s="767">
        <f>ROW()</f>
        <v/>
      </c>
      <c r="C282" s="182" t="inlineStr">
        <is>
          <t>Ecoworld Global Limited</t>
        </is>
      </c>
      <c r="D282" s="182" t="inlineStr">
        <is>
          <t>ZI029E101022</t>
        </is>
      </c>
      <c r="E282" s="182" t="inlineStr">
        <is>
          <t>Global Renewable Energy Holdings Limited</t>
        </is>
      </c>
      <c r="F282" s="716" t="n"/>
      <c r="G282" s="716" t="n"/>
      <c r="H282" s="462" t="n"/>
    </row>
    <row r="283">
      <c r="A283" s="672" t="inlineStr">
        <is>
          <t>E101001</t>
        </is>
      </c>
      <c r="B283" s="767">
        <f>ROW()</f>
        <v/>
      </c>
      <c r="C283" s="182" t="inlineStr">
        <is>
          <t>Faster Assets Limited</t>
        </is>
      </c>
      <c r="D283" s="182" t="inlineStr">
        <is>
          <t>ZI029E100881</t>
        </is>
      </c>
      <c r="E283" s="182" t="inlineStr">
        <is>
          <t>China Solar Power Group Limited</t>
        </is>
      </c>
      <c r="F283" s="716" t="n"/>
      <c r="G283" s="716" t="n"/>
      <c r="H283" s="462" t="n"/>
    </row>
    <row r="284">
      <c r="A284" s="672" t="inlineStr">
        <is>
          <t>E101024</t>
        </is>
      </c>
      <c r="B284" s="767">
        <f>ROW()</f>
        <v/>
      </c>
      <c r="C284" s="182" t="inlineStr">
        <is>
          <t>Fortune Wheel Holdings Limited</t>
        </is>
      </c>
      <c r="D284" s="182" t="inlineStr">
        <is>
          <t>ZI029E101023</t>
        </is>
      </c>
      <c r="E284" s="182" t="inlineStr">
        <is>
          <t>Sino Delight Developments Limited</t>
        </is>
      </c>
      <c r="F284" s="716" t="n"/>
      <c r="G284" s="716" t="n"/>
      <c r="H284" s="462" t="n"/>
    </row>
    <row r="285">
      <c r="A285" s="672" t="inlineStr">
        <is>
          <t>E101022</t>
        </is>
      </c>
      <c r="B285" s="767">
        <f>ROW()</f>
        <v/>
      </c>
      <c r="C285" s="182" t="inlineStr">
        <is>
          <t>Global Renewable Energy Holdings Limited</t>
        </is>
      </c>
      <c r="D285" s="182" t="inlineStr">
        <is>
          <t>ZI029E101021</t>
        </is>
      </c>
      <c r="E285" s="182" t="inlineStr">
        <is>
          <t>Global Renewable Energy Limited</t>
        </is>
      </c>
      <c r="F285" s="716" t="n"/>
      <c r="G285" s="716" t="n"/>
      <c r="H285" s="462" t="n"/>
    </row>
    <row r="286">
      <c r="A286" s="672" t="inlineStr">
        <is>
          <t>E101021</t>
        </is>
      </c>
      <c r="B286" s="767">
        <f>ROW()</f>
        <v/>
      </c>
      <c r="C286" s="182" t="inlineStr">
        <is>
          <t>Global Renewable Energy Limited</t>
        </is>
      </c>
      <c r="D286" s="182" t="inlineStr">
        <is>
          <t>ZI029E100747</t>
        </is>
      </c>
      <c r="E286" s="182" t="inlineStr">
        <is>
          <t>北京能源国际控股有限公司</t>
        </is>
      </c>
      <c r="F286" s="716" t="n"/>
      <c r="G286" s="716" t="n"/>
      <c r="H286" s="462" t="n"/>
    </row>
    <row r="287">
      <c r="A287" s="672" t="inlineStr">
        <is>
          <t>E101014</t>
        </is>
      </c>
      <c r="B287" s="767">
        <f>ROW()</f>
        <v/>
      </c>
      <c r="C287" s="182" t="inlineStr">
        <is>
          <t>Green Horizon Developments Limited</t>
        </is>
      </c>
      <c r="D287" s="182" t="inlineStr">
        <is>
          <t>ZI029E101001</t>
        </is>
      </c>
      <c r="E287" s="182" t="inlineStr">
        <is>
          <t>Faster Assets Limited</t>
        </is>
      </c>
      <c r="F287" s="716" t="n"/>
      <c r="G287" s="716" t="n"/>
      <c r="H287" s="462" t="n"/>
    </row>
    <row r="288">
      <c r="A288" s="672" t="inlineStr">
        <is>
          <t>E101044</t>
        </is>
      </c>
      <c r="B288" s="767">
        <f>ROW()</f>
        <v/>
      </c>
      <c r="C288" s="182" t="inlineStr">
        <is>
          <t>JingNeng Renewable Energy International Group Limited</t>
        </is>
      </c>
      <c r="D288" s="182" t="inlineStr">
        <is>
          <t>ZI029E100747</t>
        </is>
      </c>
      <c r="E288" s="182" t="inlineStr">
        <is>
          <t>北京能源国际控股有限公司</t>
        </is>
      </c>
      <c r="F288" s="716" t="n"/>
      <c r="G288" s="716" t="n"/>
      <c r="H288" s="462" t="n"/>
    </row>
    <row r="289">
      <c r="A289" s="672" t="inlineStr">
        <is>
          <t>E101015</t>
        </is>
      </c>
      <c r="B289" s="767">
        <f>ROW()</f>
        <v/>
      </c>
      <c r="C289" s="182" t="inlineStr">
        <is>
          <t>New Light Assets Limited</t>
        </is>
      </c>
      <c r="D289" s="182" t="inlineStr">
        <is>
          <t>ZI029E101014</t>
        </is>
      </c>
      <c r="E289" s="182" t="inlineStr">
        <is>
          <t>Green Horizon Developments Limited</t>
        </is>
      </c>
      <c r="F289" s="716" t="n"/>
      <c r="G289" s="716" t="n"/>
      <c r="H289" s="462" t="n"/>
    </row>
    <row r="290">
      <c r="A290" s="672" t="inlineStr">
        <is>
          <t>E101043</t>
        </is>
      </c>
      <c r="B290" s="767">
        <f>ROW()</f>
        <v/>
      </c>
      <c r="C290" s="182" t="inlineStr">
        <is>
          <t>Panda Green Energy Group Limited</t>
        </is>
      </c>
      <c r="D290" s="182" t="inlineStr">
        <is>
          <t>ZI029E101042</t>
        </is>
      </c>
      <c r="E290" s="182" t="inlineStr">
        <is>
          <t>Panda Solar Power Holdings Limited</t>
        </is>
      </c>
      <c r="F290" s="716" t="n"/>
      <c r="G290" s="716" t="n"/>
      <c r="H290" s="462" t="n"/>
    </row>
    <row r="291">
      <c r="A291" s="672" t="inlineStr">
        <is>
          <t>E101031</t>
        </is>
      </c>
      <c r="B291" s="767">
        <f>ROW()</f>
        <v/>
      </c>
      <c r="C291" s="182" t="inlineStr">
        <is>
          <t>Panda Green Power Group Limited</t>
        </is>
      </c>
      <c r="D291" s="182" t="inlineStr">
        <is>
          <t>ZI029E100747</t>
        </is>
      </c>
      <c r="E291" s="182" t="inlineStr">
        <is>
          <t>北京能源国际控股有限公司</t>
        </is>
      </c>
      <c r="F291" s="716" t="n"/>
      <c r="G291" s="716" t="n"/>
      <c r="H291" s="462" t="n"/>
    </row>
    <row r="292">
      <c r="A292" s="672" t="inlineStr">
        <is>
          <t>E101042</t>
        </is>
      </c>
      <c r="B292" s="767">
        <f>ROW()</f>
        <v/>
      </c>
      <c r="C292" s="182" t="inlineStr">
        <is>
          <t>Panda Solar Power Holdings Limited</t>
        </is>
      </c>
      <c r="D292" s="182" t="inlineStr">
        <is>
          <t>ZI029E101031</t>
        </is>
      </c>
      <c r="E292" s="182" t="inlineStr">
        <is>
          <t>Panda Green Power Group Limited</t>
        </is>
      </c>
      <c r="F292" s="716" t="n"/>
      <c r="G292" s="716" t="n"/>
      <c r="H292" s="462" t="n"/>
    </row>
    <row r="293">
      <c r="A293" s="672" t="inlineStr">
        <is>
          <t>E101006</t>
        </is>
      </c>
      <c r="B293" s="767">
        <f>ROW()</f>
        <v/>
      </c>
      <c r="C293" s="182" t="inlineStr">
        <is>
          <t>Premier Yield Holdings Limited</t>
        </is>
      </c>
      <c r="D293" s="182" t="inlineStr">
        <is>
          <t>ZI029E101005</t>
        </is>
      </c>
      <c r="E293" s="182" t="inlineStr">
        <is>
          <t>Silver Yield Investments Limited</t>
        </is>
      </c>
      <c r="F293" s="716" t="n"/>
      <c r="G293" s="716" t="n"/>
      <c r="H293" s="462" t="n"/>
    </row>
    <row r="294">
      <c r="A294" s="672" t="inlineStr">
        <is>
          <t>E101028</t>
        </is>
      </c>
      <c r="B294" s="767">
        <f>ROW()</f>
        <v/>
      </c>
      <c r="C294" s="182" t="inlineStr">
        <is>
          <t>Renewable Energy UK Portfolio Limited</t>
        </is>
      </c>
      <c r="D294" s="182" t="inlineStr">
        <is>
          <t>ZI029E101027</t>
        </is>
      </c>
      <c r="E294" s="182" t="inlineStr">
        <is>
          <t>Ecoworld Global Limited</t>
        </is>
      </c>
      <c r="F294" s="716" t="n"/>
      <c r="G294" s="716" t="n"/>
      <c r="H294" s="462" t="n"/>
    </row>
    <row r="295">
      <c r="A295" s="672" t="inlineStr">
        <is>
          <t>E101005</t>
        </is>
      </c>
      <c r="B295" s="767">
        <f>ROW()</f>
        <v/>
      </c>
      <c r="C295" s="182" t="inlineStr">
        <is>
          <t>Silver Yield Investments Limited</t>
        </is>
      </c>
      <c r="D295" s="182" t="inlineStr">
        <is>
          <t>ZI029E101001</t>
        </is>
      </c>
      <c r="E295" s="182" t="inlineStr">
        <is>
          <t>Faster Assets Limited</t>
        </is>
      </c>
      <c r="F295" s="716" t="n"/>
      <c r="G295" s="716" t="n"/>
      <c r="H295" s="462" t="n"/>
    </row>
    <row r="296">
      <c r="A296" s="672" t="inlineStr">
        <is>
          <t>E101023</t>
        </is>
      </c>
      <c r="B296" s="767">
        <f>ROW()</f>
        <v/>
      </c>
      <c r="C296" s="182" t="inlineStr">
        <is>
          <t>Sino Delight Developments Limited</t>
        </is>
      </c>
      <c r="D296" s="182" t="inlineStr">
        <is>
          <t>ZI029E101022</t>
        </is>
      </c>
      <c r="E296" s="182" t="inlineStr">
        <is>
          <t>Global Renewable Energy Holdings Limited</t>
        </is>
      </c>
      <c r="F296" s="716" t="n"/>
      <c r="G296" s="716" t="n"/>
      <c r="H296" s="462" t="n"/>
    </row>
    <row r="297">
      <c r="A297" s="672" t="inlineStr">
        <is>
          <t>E101040</t>
        </is>
      </c>
      <c r="B297" s="767">
        <f>ROW()</f>
        <v/>
      </c>
      <c r="C297" s="182" t="inlineStr">
        <is>
          <t>Tibet Energy Investment Group （Hong Kong） Limited</t>
        </is>
      </c>
      <c r="D297" s="182" t="inlineStr">
        <is>
          <t>ZI029E101022</t>
        </is>
      </c>
      <c r="E297" s="182" t="inlineStr">
        <is>
          <t>Global Renewable Energy Holdings Limited</t>
        </is>
      </c>
      <c r="F297" s="716" t="n"/>
      <c r="G297" s="716" t="n"/>
      <c r="H297" s="462" t="n"/>
    </row>
    <row r="298">
      <c r="A298" s="672" t="inlineStr">
        <is>
          <t>E101040</t>
        </is>
      </c>
      <c r="B298" s="767">
        <f>ROW()</f>
        <v/>
      </c>
      <c r="C298" s="182" t="inlineStr">
        <is>
          <t>Tibet Energy Investment Group （Hong Kong） Limited</t>
        </is>
      </c>
      <c r="D298" s="182" t="inlineStr">
        <is>
          <t>ZI029E100738</t>
        </is>
      </c>
      <c r="E298" s="182" t="inlineStr">
        <is>
          <t>西藏藏能股份有限公司</t>
        </is>
      </c>
      <c r="F298" s="716" t="n"/>
      <c r="G298" s="716" t="n"/>
      <c r="H298" s="462" t="n"/>
    </row>
    <row r="299">
      <c r="A299" s="672" t="inlineStr">
        <is>
          <t>E100333</t>
        </is>
      </c>
      <c r="B299" s="767">
        <f>ROW()</f>
        <v/>
      </c>
      <c r="C299" s="182" t="inlineStr">
        <is>
          <t>安徽马钢智能立体停车设备有限公司</t>
        </is>
      </c>
      <c r="D299" s="182" t="inlineStr">
        <is>
          <t>ZI029E100332</t>
        </is>
      </c>
      <c r="E299" s="182" t="inlineStr">
        <is>
          <t>北京鑫华源机械制造有限责任公司</t>
        </is>
      </c>
      <c r="F299" s="716" t="n"/>
      <c r="G299" s="716" t="n"/>
      <c r="H299" s="462" t="n"/>
    </row>
    <row r="300">
      <c r="A300" s="672" t="inlineStr">
        <is>
          <t>E100994</t>
        </is>
      </c>
      <c r="B300" s="767">
        <f>ROW()</f>
        <v/>
      </c>
      <c r="C300" s="182" t="inlineStr">
        <is>
          <t>安徽招联清洁能源有限公司</t>
        </is>
      </c>
      <c r="D300" s="182" t="inlineStr">
        <is>
          <t>ZI029E100993</t>
        </is>
      </c>
      <c r="E300" s="182" t="inlineStr">
        <is>
          <t>常州市招联绿晖新能源有限公司</t>
        </is>
      </c>
      <c r="F300" s="716" t="n"/>
      <c r="G300" s="716" t="n"/>
      <c r="H300" s="462" t="n"/>
    </row>
    <row r="301">
      <c r="A301" s="672" t="inlineStr">
        <is>
          <t>E100709</t>
        </is>
      </c>
      <c r="B301" s="767">
        <f>ROW()</f>
        <v/>
      </c>
      <c r="C301" s="182" t="inlineStr">
        <is>
          <t>巴彦淖尔京能清洁能源电力有限公司</t>
        </is>
      </c>
      <c r="D301" s="182" t="inlineStr">
        <is>
          <t>ZI029E100001</t>
        </is>
      </c>
      <c r="E301" s="182" t="inlineStr">
        <is>
          <t>北京京能清洁能源电力股份有限公司</t>
        </is>
      </c>
      <c r="F301" s="716" t="n"/>
      <c r="G301" s="716" t="n"/>
      <c r="H301" s="462" t="n"/>
    </row>
    <row r="302">
      <c r="A302" s="672" t="inlineStr">
        <is>
          <t>E100924</t>
        </is>
      </c>
      <c r="B302" s="767">
        <f>ROW()</f>
        <v/>
      </c>
      <c r="C302" s="182" t="inlineStr">
        <is>
          <t>白城市华儒新能源开发有限公司</t>
        </is>
      </c>
      <c r="D302" s="182" t="inlineStr">
        <is>
          <t>ZI029E100730</t>
        </is>
      </c>
      <c r="E302" s="182" t="inlineStr">
        <is>
          <t>京能国际能源发展（北京）有限公司</t>
        </is>
      </c>
      <c r="F302" s="716" t="n"/>
      <c r="G302" s="716" t="n"/>
      <c r="H302" s="462" t="n"/>
    </row>
    <row r="303">
      <c r="A303" s="672" t="inlineStr">
        <is>
          <t>E101038</t>
        </is>
      </c>
      <c r="B303" s="767">
        <f>ROW()</f>
        <v/>
      </c>
      <c r="C303" s="182" t="inlineStr">
        <is>
          <t>白玉县赠曲河水电开发有限公司</t>
        </is>
      </c>
      <c r="D303" s="182" t="inlineStr">
        <is>
          <t>ZI029E100738</t>
        </is>
      </c>
      <c r="E303" s="182" t="inlineStr">
        <is>
          <t>西藏藏能股份有限公司</t>
        </is>
      </c>
      <c r="F303" s="716" t="n"/>
      <c r="G303" s="716" t="n"/>
      <c r="H303" s="462" t="n"/>
    </row>
    <row r="304">
      <c r="A304" s="672" t="inlineStr">
        <is>
          <t>E100564</t>
        </is>
      </c>
      <c r="B304" s="767">
        <f>ROW()</f>
        <v/>
      </c>
      <c r="C304" s="182" t="inlineStr">
        <is>
          <t>拜亚拉风电项目公司</t>
        </is>
      </c>
      <c r="D304" s="182" t="inlineStr">
        <is>
          <t>ZI029E100561</t>
        </is>
      </c>
      <c r="E304" s="182" t="inlineStr">
        <is>
          <t>北京京能清洁能源（澳洲）控股有限公司</t>
        </is>
      </c>
      <c r="F304" s="716" t="n"/>
      <c r="G304" s="716" t="n"/>
      <c r="H304" s="462" t="n"/>
    </row>
    <row r="305">
      <c r="A305" s="672" t="inlineStr">
        <is>
          <t>E100745</t>
        </is>
      </c>
      <c r="B305" s="767">
        <f>ROW()</f>
        <v/>
      </c>
      <c r="C305" s="182" t="inlineStr">
        <is>
          <t>包头市京能新能源科技有限公司</t>
        </is>
      </c>
      <c r="D305" s="182" t="inlineStr">
        <is>
          <t>ZI029E100145</t>
        </is>
      </c>
      <c r="E305" s="182" t="inlineStr">
        <is>
          <t>北京京能电力股份有限公司</t>
        </is>
      </c>
      <c r="F305" s="716" t="n"/>
      <c r="G305" s="716" t="n"/>
      <c r="H305" s="462" t="n"/>
    </row>
    <row r="306">
      <c r="A306" s="672" t="inlineStr">
        <is>
          <t>E101323</t>
        </is>
      </c>
      <c r="B306" s="767">
        <f>ROW()</f>
        <v/>
      </c>
      <c r="C306" s="182" t="inlineStr">
        <is>
          <t>北京京能大成新能源有限公司</t>
        </is>
      </c>
      <c r="D306" s="182" t="inlineStr">
        <is>
          <t>ZI029E100145</t>
        </is>
      </c>
      <c r="E306" s="182" t="inlineStr">
        <is>
          <t>北京京能电力股份有限公司</t>
        </is>
      </c>
      <c r="F306" s="716" t="n"/>
      <c r="G306" s="716" t="n"/>
      <c r="H306" s="462" t="n"/>
    </row>
    <row r="307">
      <c r="A307" s="672" t="inlineStr">
        <is>
          <t>E100217</t>
        </is>
      </c>
      <c r="B307" s="767">
        <f>ROW()</f>
        <v/>
      </c>
      <c r="C307" s="182" t="inlineStr">
        <is>
          <t>包头市盛华煤炭销售有限公司</t>
        </is>
      </c>
      <c r="D307" s="182" t="inlineStr">
        <is>
          <t>ZI029E100000</t>
        </is>
      </c>
      <c r="E307" s="182" t="inlineStr">
        <is>
          <t>北京能源集团有限责任公司</t>
        </is>
      </c>
      <c r="F307" s="716" t="n"/>
      <c r="G307" s="716" t="n"/>
      <c r="H307" s="462" t="n"/>
    </row>
    <row r="308">
      <c r="A308" s="672" t="inlineStr">
        <is>
          <t>E100447</t>
        </is>
      </c>
      <c r="B308" s="767">
        <f>ROW()</f>
        <v/>
      </c>
      <c r="C308" s="182" t="inlineStr">
        <is>
          <t>保定市金泰宏孚房地产开发有限公司</t>
        </is>
      </c>
      <c r="D308" s="182" t="inlineStr">
        <is>
          <t>ZI029E100421</t>
        </is>
      </c>
      <c r="E308" s="182" t="inlineStr">
        <is>
          <t>北京金泰房地产开发有限责任公司</t>
        </is>
      </c>
      <c r="F308" s="716" t="n"/>
      <c r="G308" s="716" t="n"/>
      <c r="H308" s="462" t="n"/>
    </row>
    <row r="309">
      <c r="A309" s="672" t="inlineStr">
        <is>
          <t>E100311</t>
        </is>
      </c>
      <c r="B309" s="767">
        <f>ROW()</f>
        <v/>
      </c>
      <c r="C309" s="182" t="inlineStr">
        <is>
          <t>北京奥之旅汽车销售服务有限公司</t>
        </is>
      </c>
      <c r="D309" s="182" t="inlineStr">
        <is>
          <t>ZI029E100353</t>
        </is>
      </c>
      <c r="E309" s="182" t="inlineStr">
        <is>
          <t>北京京能房产租赁经营有限责任公司</t>
        </is>
      </c>
      <c r="F309" s="716" t="n"/>
      <c r="G309" s="716" t="n"/>
      <c r="H309" s="462" t="n"/>
    </row>
    <row r="310">
      <c r="A310" s="672" t="inlineStr">
        <is>
          <t>E100406</t>
        </is>
      </c>
      <c r="B310" s="767">
        <f>ROW()</f>
        <v/>
      </c>
      <c r="C310" s="182" t="inlineStr">
        <is>
          <t>北京博尔节能设备技术开发有限责任公司</t>
        </is>
      </c>
      <c r="D310" s="182" t="inlineStr">
        <is>
          <t>ZI029E100405</t>
        </is>
      </c>
      <c r="E310" s="182" t="inlineStr">
        <is>
          <t>北京高新技术创业投资有限公司</t>
        </is>
      </c>
      <c r="F310" s="716" t="n"/>
      <c r="G310" s="716" t="n"/>
      <c r="H310" s="462" t="n"/>
    </row>
    <row r="311">
      <c r="A311" s="672" t="inlineStr">
        <is>
          <t>E100406</t>
        </is>
      </c>
      <c r="B311" s="767">
        <f>ROW()</f>
        <v/>
      </c>
      <c r="C311" s="182" t="inlineStr">
        <is>
          <t>北京博尔节能设备技术开发有限责任公司</t>
        </is>
      </c>
      <c r="D311" s="182" t="inlineStr">
        <is>
          <t>ZI029E100371</t>
        </is>
      </c>
      <c r="E311" s="182" t="inlineStr">
        <is>
          <t>北京京能科技有限公司</t>
        </is>
      </c>
      <c r="F311" s="716" t="n"/>
      <c r="G311" s="716" t="n"/>
      <c r="H311" s="462" t="n"/>
    </row>
    <row r="312">
      <c r="A312" s="672" t="inlineStr">
        <is>
          <t>E100406</t>
        </is>
      </c>
      <c r="B312" s="767">
        <f>ROW()</f>
        <v/>
      </c>
      <c r="C312" s="182" t="inlineStr">
        <is>
          <t>北京博尔节能设备技术开发有限责任公司</t>
        </is>
      </c>
      <c r="D312" s="182" t="inlineStr">
        <is>
          <t>ZI029E100222</t>
        </is>
      </c>
      <c r="E312" s="182" t="inlineStr">
        <is>
          <t>北京市热力集团有限责任公司</t>
        </is>
      </c>
      <c r="F312" s="716" t="n"/>
      <c r="G312" s="716" t="n"/>
      <c r="H312" s="462" t="n"/>
    </row>
    <row r="313">
      <c r="A313" s="672" t="inlineStr">
        <is>
          <t>E100814</t>
        </is>
      </c>
      <c r="B313" s="767">
        <f>ROW()</f>
        <v/>
      </c>
      <c r="C313" s="182" t="inlineStr">
        <is>
          <t>北京诚和敬投资有限责任公司</t>
        </is>
      </c>
      <c r="D313" s="182" t="inlineStr">
        <is>
          <t>ZI029E100776</t>
        </is>
      </c>
      <c r="E313" s="182" t="inlineStr">
        <is>
          <t>北京健康养老集团有限公司</t>
        </is>
      </c>
      <c r="F313" s="716" t="n"/>
      <c r="G313" s="716" t="n"/>
      <c r="H313" s="462" t="n"/>
    </row>
    <row r="314">
      <c r="A314" s="672" t="inlineStr">
        <is>
          <t>E100859</t>
        </is>
      </c>
      <c r="B314" s="767">
        <f>ROW()</f>
        <v/>
      </c>
      <c r="C314" s="182" t="inlineStr">
        <is>
          <t>北京诚和敬驿站养老服务有限公司</t>
        </is>
      </c>
      <c r="D314" s="182" t="inlineStr">
        <is>
          <t>ZI029E100814</t>
        </is>
      </c>
      <c r="E314" s="182" t="inlineStr">
        <is>
          <t>北京诚和敬投资有限责任公司</t>
        </is>
      </c>
      <c r="F314" s="716" t="n"/>
      <c r="G314" s="716" t="n"/>
      <c r="H314" s="462" t="n"/>
    </row>
    <row r="315">
      <c r="A315" s="672" t="inlineStr">
        <is>
          <t>E100274</t>
        </is>
      </c>
      <c r="B315" s="767">
        <f>ROW()</f>
        <v/>
      </c>
      <c r="C315" s="182" t="inlineStr">
        <is>
          <t>北京乘美乡居文化旅游发展有限公司</t>
        </is>
      </c>
      <c r="D315" s="182" t="inlineStr">
        <is>
          <t>ZI029E100268</t>
        </is>
      </c>
      <c r="E315" s="182" t="inlineStr">
        <is>
          <t>北京京煤集团有限责任公司</t>
        </is>
      </c>
      <c r="F315" s="716" t="n"/>
      <c r="G315" s="716" t="n"/>
      <c r="H315" s="462" t="n"/>
    </row>
    <row r="316">
      <c r="A316" s="672" t="inlineStr">
        <is>
          <t>E100274</t>
        </is>
      </c>
      <c r="B316" s="767">
        <f>ROW()</f>
        <v/>
      </c>
      <c r="C316" s="182" t="inlineStr">
        <is>
          <t>北京乘美乡居文化旅游发展有限公司</t>
        </is>
      </c>
      <c r="D316" s="182" t="inlineStr">
        <is>
          <t>ZI029E100320</t>
        </is>
      </c>
      <c r="E316" s="182" t="inlineStr">
        <is>
          <t>北京市天创房地产开发有限公司</t>
        </is>
      </c>
      <c r="F316" s="716" t="n"/>
      <c r="G316" s="716" t="n"/>
      <c r="H316" s="462" t="n"/>
    </row>
    <row r="317">
      <c r="A317" s="672" t="inlineStr">
        <is>
          <t>E100328</t>
        </is>
      </c>
      <c r="B317" s="767">
        <f>ROW()</f>
        <v/>
      </c>
      <c r="C317" s="182" t="inlineStr">
        <is>
          <t>北京稻香村花市食品有限责任公司</t>
        </is>
      </c>
      <c r="D317" s="182" t="inlineStr">
        <is>
          <t>ZI029E100353</t>
        </is>
      </c>
      <c r="E317" s="182" t="inlineStr">
        <is>
          <t>北京京能房产租赁经营有限责任公司</t>
        </is>
      </c>
      <c r="F317" s="716" t="n"/>
      <c r="G317" s="716" t="n"/>
      <c r="H317" s="462" t="n"/>
    </row>
    <row r="318">
      <c r="A318" s="672" t="inlineStr">
        <is>
          <t>E100405</t>
        </is>
      </c>
      <c r="B318" s="767">
        <f>ROW()</f>
        <v/>
      </c>
      <c r="C318" s="182" t="inlineStr">
        <is>
          <t>北京高新技术创业投资有限公司</t>
        </is>
      </c>
      <c r="D318" s="182" t="inlineStr">
        <is>
          <t>ZI029E100000</t>
        </is>
      </c>
      <c r="E318" s="182" t="inlineStr">
        <is>
          <t>北京能源集团有限责任公司</t>
        </is>
      </c>
      <c r="F318" s="716" t="n"/>
      <c r="G318" s="716" t="n"/>
      <c r="H318" s="462" t="n"/>
    </row>
    <row r="319">
      <c r="A319" s="672" t="inlineStr">
        <is>
          <t>E100405</t>
        </is>
      </c>
      <c r="B319" s="767">
        <f>ROW()</f>
        <v/>
      </c>
      <c r="C319" s="182" t="inlineStr">
        <is>
          <t>北京高新技术创业投资有限公司</t>
        </is>
      </c>
      <c r="D319" s="182" t="inlineStr">
        <is>
          <t>ZI029E100371</t>
        </is>
      </c>
      <c r="E319" s="182" t="inlineStr">
        <is>
          <t>北京京能科技有限公司</t>
        </is>
      </c>
      <c r="F319" s="716" t="n"/>
      <c r="G319" s="716" t="n"/>
      <c r="H319" s="462" t="n"/>
    </row>
    <row r="320">
      <c r="A320" s="672" t="inlineStr">
        <is>
          <t>E100425</t>
        </is>
      </c>
      <c r="B320" s="767">
        <f>ROW()</f>
        <v/>
      </c>
      <c r="C320" s="182" t="inlineStr">
        <is>
          <t>北京国电房地产开发有限公司</t>
        </is>
      </c>
      <c r="D320" s="182" t="inlineStr">
        <is>
          <t>ZI029E100420</t>
        </is>
      </c>
      <c r="E320" s="182" t="inlineStr">
        <is>
          <t>京能置业股份有限公司</t>
        </is>
      </c>
      <c r="F320" s="716" t="n"/>
      <c r="G320" s="716" t="n"/>
      <c r="H320" s="462" t="n"/>
    </row>
    <row r="321">
      <c r="A321" s="672" t="inlineStr">
        <is>
          <t>E100425</t>
        </is>
      </c>
      <c r="B321" s="767">
        <f>ROW()</f>
        <v/>
      </c>
      <c r="C321" s="182" t="inlineStr">
        <is>
          <t>北京国电房地产开发有限公司</t>
        </is>
      </c>
      <c r="D321" s="182" t="inlineStr">
        <is>
          <t>ZI029E100000</t>
        </is>
      </c>
      <c r="E321" s="182" t="inlineStr">
        <is>
          <t>北京能源集团有限责任公司</t>
        </is>
      </c>
      <c r="F321" s="716" t="n"/>
      <c r="G321" s="716" t="n"/>
      <c r="H321" s="462" t="n"/>
    </row>
    <row r="322">
      <c r="A322" s="672" t="inlineStr">
        <is>
          <t>E100941</t>
        </is>
      </c>
      <c r="B322" s="767">
        <f>ROW()</f>
        <v/>
      </c>
      <c r="C322" s="182" t="inlineStr">
        <is>
          <t>北京国电盛唐科技发展有限公司</t>
        </is>
      </c>
      <c r="D322" s="182" t="inlineStr">
        <is>
          <t>ZI029E100730</t>
        </is>
      </c>
      <c r="E322" s="182" t="inlineStr">
        <is>
          <t>京能国际能源发展（北京）有限公司</t>
        </is>
      </c>
      <c r="F322" s="716" t="n"/>
      <c r="G322" s="716" t="n"/>
      <c r="H322" s="462" t="n"/>
    </row>
    <row r="323">
      <c r="A323" s="672" t="inlineStr">
        <is>
          <t>E100197</t>
        </is>
      </c>
      <c r="B323" s="767">
        <f>ROW()</f>
        <v/>
      </c>
      <c r="C323" s="182" t="inlineStr">
        <is>
          <t>北京国际电气工程有限责任公司</t>
        </is>
      </c>
      <c r="D323" s="182" t="inlineStr">
        <is>
          <t>ZI029E100000</t>
        </is>
      </c>
      <c r="E323" s="182" t="inlineStr">
        <is>
          <t>北京能源集团有限责任公司</t>
        </is>
      </c>
      <c r="F323" s="716" t="n"/>
      <c r="G323" s="716" t="n"/>
      <c r="H323" s="462" t="n"/>
    </row>
    <row r="324">
      <c r="A324" s="672" t="inlineStr">
        <is>
          <t>E100201</t>
        </is>
      </c>
      <c r="B324" s="767">
        <f>ROW()</f>
        <v/>
      </c>
      <c r="C324" s="182" t="inlineStr">
        <is>
          <t>北京昊华能源股份有限公司</t>
        </is>
      </c>
      <c r="D324" s="182" t="inlineStr">
        <is>
          <t>ZI029E100000</t>
        </is>
      </c>
      <c r="E324" s="182" t="inlineStr">
        <is>
          <t>北京能源集团有限责任公司</t>
        </is>
      </c>
      <c r="F324" s="716" t="n"/>
      <c r="G324" s="716" t="n"/>
      <c r="H324" s="462" t="n"/>
    </row>
    <row r="325">
      <c r="A325" s="672" t="inlineStr">
        <is>
          <t>E100201G</t>
        </is>
      </c>
      <c r="B325" s="767">
        <f>ROW()</f>
        <v/>
      </c>
      <c r="C325" s="182" t="inlineStr">
        <is>
          <t>北京昊华能源股份有限公司（合并）</t>
        </is>
      </c>
      <c r="D325" s="182" t="inlineStr">
        <is>
          <t>ZI029E100000</t>
        </is>
      </c>
      <c r="E325" s="182" t="inlineStr">
        <is>
          <t>北京能源集团有限责任公司</t>
        </is>
      </c>
      <c r="F325" s="716" t="n"/>
      <c r="G325" s="716" t="n"/>
      <c r="H325" s="462" t="n"/>
    </row>
    <row r="326">
      <c r="A326" s="672" t="inlineStr">
        <is>
          <t>E100201H</t>
        </is>
      </c>
      <c r="B326" s="767">
        <f>ROW()</f>
        <v/>
      </c>
      <c r="C326" s="182" t="inlineStr">
        <is>
          <t>北京昊华能源股份有限公司（母公司）</t>
        </is>
      </c>
      <c r="D326" s="182" t="inlineStr">
        <is>
          <t>ZI029E100000</t>
        </is>
      </c>
      <c r="E326" s="182" t="inlineStr">
        <is>
          <t>北京能源集团有限责任公司</t>
        </is>
      </c>
      <c r="F326" s="716" t="n"/>
      <c r="G326" s="716" t="n"/>
      <c r="H326" s="462" t="n"/>
    </row>
    <row r="327">
      <c r="A327" s="672" t="inlineStr">
        <is>
          <t>E100210</t>
        </is>
      </c>
      <c r="B327" s="767">
        <f>ROW()</f>
        <v/>
      </c>
      <c r="C327" s="182" t="inlineStr">
        <is>
          <t>北京昊华鑫达商贸有限公司</t>
        </is>
      </c>
      <c r="D327" s="182" t="inlineStr">
        <is>
          <t>ZI029E100201</t>
        </is>
      </c>
      <c r="E327" s="182" t="inlineStr">
        <is>
          <t>北京昊华能源股份有限公司</t>
        </is>
      </c>
      <c r="F327" s="716" t="n"/>
      <c r="G327" s="716" t="n"/>
      <c r="H327" s="462" t="n"/>
    </row>
    <row r="328">
      <c r="A328" s="672" t="inlineStr">
        <is>
          <t>E100434</t>
        </is>
      </c>
      <c r="B328" s="767">
        <f>ROW()</f>
        <v/>
      </c>
      <c r="C328" s="182" t="inlineStr">
        <is>
          <t>北京昊泰房地产开发有限公司</t>
        </is>
      </c>
      <c r="D328" s="182" t="inlineStr">
        <is>
          <t>ZI029E100268</t>
        </is>
      </c>
      <c r="E328" s="182" t="inlineStr">
        <is>
          <t>北京京煤集团有限责任公司</t>
        </is>
      </c>
      <c r="F328" s="716" t="n"/>
      <c r="G328" s="716" t="n"/>
      <c r="H328" s="462" t="n"/>
    </row>
    <row r="329">
      <c r="A329" s="672" t="inlineStr">
        <is>
          <t>E100255</t>
        </is>
      </c>
      <c r="B329" s="767">
        <f>ROW()</f>
        <v/>
      </c>
      <c r="C329" s="182" t="inlineStr">
        <is>
          <t>北京华热科技发展有限公司</t>
        </is>
      </c>
      <c r="D329" s="182" t="inlineStr">
        <is>
          <t>ZI029E100222</t>
        </is>
      </c>
      <c r="E329" s="182" t="inlineStr">
        <is>
          <t>北京市热力集团有限责任公司</t>
        </is>
      </c>
      <c r="F329" s="716" t="n"/>
      <c r="G329" s="716" t="n"/>
      <c r="H329" s="462" t="n"/>
    </row>
    <row r="330">
      <c r="A330" s="672" t="inlineStr">
        <is>
          <t>E101057</t>
        </is>
      </c>
      <c r="B330" s="767">
        <f>ROW()</f>
        <v/>
      </c>
      <c r="C330" s="182" t="inlineStr">
        <is>
          <t>北京华通兴远节能技术有限公司</t>
        </is>
      </c>
      <c r="D330" s="182" t="inlineStr">
        <is>
          <t>ZI029E101054</t>
        </is>
      </c>
      <c r="E330" s="182" t="inlineStr">
        <is>
          <t>北京京能热力股份有限公司</t>
        </is>
      </c>
      <c r="F330" s="716" t="n"/>
      <c r="G330" s="716" t="n"/>
      <c r="H330" s="462" t="n"/>
    </row>
    <row r="331">
      <c r="A331" s="672" t="inlineStr">
        <is>
          <t>E101056</t>
        </is>
      </c>
      <c r="B331" s="767">
        <f>ROW()</f>
        <v/>
      </c>
      <c r="C331" s="182" t="inlineStr">
        <is>
          <t>北京华意龙达科技发展有限公司</t>
        </is>
      </c>
      <c r="D331" s="182" t="inlineStr">
        <is>
          <t>ZI029E101054</t>
        </is>
      </c>
      <c r="E331" s="182" t="inlineStr">
        <is>
          <t>北京京能热力股份有限公司</t>
        </is>
      </c>
      <c r="F331" s="716" t="n"/>
      <c r="G331" s="716" t="n"/>
      <c r="H331" s="182" t="n"/>
    </row>
    <row r="332">
      <c r="A332" s="672" t="inlineStr">
        <is>
          <t>E101056G</t>
        </is>
      </c>
      <c r="B332" s="767">
        <f>ROW()</f>
        <v/>
      </c>
      <c r="C332" s="182" t="inlineStr">
        <is>
          <t>北京华意龙达科技发展有限公司（合并）</t>
        </is>
      </c>
      <c r="D332" s="182" t="inlineStr">
        <is>
          <t>ZI029E101054</t>
        </is>
      </c>
      <c r="E332" s="182" t="inlineStr">
        <is>
          <t>北京京能热力股份有限公司</t>
        </is>
      </c>
      <c r="F332" s="716" t="n"/>
      <c r="G332" s="716" t="n"/>
      <c r="H332" s="462" t="n"/>
    </row>
    <row r="333">
      <c r="A333" s="672" t="inlineStr">
        <is>
          <t>E101316</t>
        </is>
      </c>
      <c r="B333" s="767">
        <f>ROW()</f>
        <v/>
      </c>
      <c r="C333" s="182" t="inlineStr">
        <is>
          <t>北京京能未来能源科技有限公司</t>
        </is>
      </c>
      <c r="D333" s="182" t="inlineStr">
        <is>
          <t>ZI029E101054</t>
        </is>
      </c>
      <c r="E333" s="182" t="inlineStr">
        <is>
          <t>北京京能热力股份有限公司</t>
        </is>
      </c>
      <c r="F333" s="716" t="n"/>
      <c r="G333" s="716" t="n"/>
      <c r="H333" s="462" t="n"/>
    </row>
    <row r="334">
      <c r="A334" s="672" t="inlineStr">
        <is>
          <t>E100407</t>
        </is>
      </c>
      <c r="B334" s="767">
        <f>ROW()</f>
        <v/>
      </c>
      <c r="C334" s="182" t="inlineStr">
        <is>
          <t>北京华源高洁能源供应技术有限责任公司</t>
        </is>
      </c>
      <c r="D334" s="182" t="inlineStr">
        <is>
          <t>ZI029E100405</t>
        </is>
      </c>
      <c r="E334" s="182" t="inlineStr">
        <is>
          <t>北京高新技术创业投资有限公司</t>
        </is>
      </c>
      <c r="F334" s="716" t="n"/>
      <c r="G334" s="716" t="n"/>
      <c r="H334" s="462" t="n"/>
    </row>
    <row r="335">
      <c r="A335" s="672" t="inlineStr">
        <is>
          <t>E100407</t>
        </is>
      </c>
      <c r="B335" s="767">
        <f>ROW()</f>
        <v/>
      </c>
      <c r="C335" s="182" t="inlineStr">
        <is>
          <t>北京华源高洁能源供应技术有限责任公司</t>
        </is>
      </c>
      <c r="D335" s="182" t="inlineStr">
        <is>
          <t>ZI029E100371</t>
        </is>
      </c>
      <c r="E335" s="182" t="inlineStr">
        <is>
          <t>北京京能科技有限公司</t>
        </is>
      </c>
      <c r="F335" s="716" t="n"/>
      <c r="G335" s="716" t="n"/>
      <c r="H335" s="462" t="n"/>
    </row>
    <row r="336">
      <c r="A336" s="672" t="inlineStr">
        <is>
          <t>E101058</t>
        </is>
      </c>
      <c r="B336" s="767">
        <f>ROW()</f>
        <v/>
      </c>
      <c r="C336" s="182" t="inlineStr">
        <is>
          <t>北京华远意通节能科技发展有限公司</t>
        </is>
      </c>
      <c r="D336" s="182" t="inlineStr">
        <is>
          <t>ZI029E101054</t>
        </is>
      </c>
      <c r="E336" s="182" t="inlineStr">
        <is>
          <t>北京京能热力股份有限公司</t>
        </is>
      </c>
      <c r="F336" s="716" t="n"/>
      <c r="G336" s="716" t="n"/>
      <c r="H336" s="462" t="n"/>
    </row>
    <row r="337">
      <c r="A337" s="672" t="inlineStr">
        <is>
          <t>E101054</t>
        </is>
      </c>
      <c r="B337" s="767">
        <f>ROW()</f>
        <v/>
      </c>
      <c r="C337" s="182" t="inlineStr">
        <is>
          <t>北京华远意通热力科技股份有限公司</t>
        </is>
      </c>
      <c r="D337" s="182" t="inlineStr">
        <is>
          <t>ZI029E100000</t>
        </is>
      </c>
      <c r="E337" s="182" t="inlineStr">
        <is>
          <t>北京能源集团有限责任公司</t>
        </is>
      </c>
      <c r="F337" s="716" t="n"/>
      <c r="G337" s="716" t="n"/>
      <c r="H337" s="462" t="n"/>
    </row>
    <row r="338">
      <c r="A338" s="672" t="inlineStr">
        <is>
          <t>E101054G</t>
        </is>
      </c>
      <c r="B338" s="767">
        <f>ROW()</f>
        <v/>
      </c>
      <c r="C338" s="182" t="inlineStr">
        <is>
          <t>北京华远意通热力科技股份有限公司（合并）</t>
        </is>
      </c>
      <c r="D338" s="182" t="inlineStr">
        <is>
          <t>ZI029E100000</t>
        </is>
      </c>
      <c r="E338" s="182" t="inlineStr">
        <is>
          <t>北京能源集团有限责任公司</t>
        </is>
      </c>
      <c r="F338" s="716" t="n"/>
      <c r="G338" s="716" t="n"/>
      <c r="H338" s="462" t="n"/>
    </row>
    <row r="339">
      <c r="A339" s="672" t="inlineStr">
        <is>
          <t>E101054H</t>
        </is>
      </c>
      <c r="B339" s="767">
        <f>ROW()</f>
        <v/>
      </c>
      <c r="C339" s="182" t="inlineStr">
        <is>
          <t>北京华远意通热力科技股份有限公司（母公司）</t>
        </is>
      </c>
      <c r="D339" s="182" t="inlineStr">
        <is>
          <t>ZI029E101054</t>
        </is>
      </c>
      <c r="E339" s="182" t="inlineStr">
        <is>
          <t>北京京能热力股份有限公司</t>
        </is>
      </c>
      <c r="F339" s="716" t="n"/>
      <c r="G339" s="716" t="n"/>
      <c r="H339" s="462" t="n"/>
    </row>
    <row r="340">
      <c r="A340" s="672" t="inlineStr">
        <is>
          <t>E101055</t>
        </is>
      </c>
      <c r="B340" s="767">
        <f>ROW()</f>
        <v/>
      </c>
      <c r="C340" s="182" t="inlineStr">
        <is>
          <t>北京华远意通热力科技股份有限公司平谷分公司</t>
        </is>
      </c>
      <c r="D340" s="182" t="inlineStr">
        <is>
          <t>ZI029E101054</t>
        </is>
      </c>
      <c r="E340" s="182" t="inlineStr">
        <is>
          <t>北京京能热力股份有限公司</t>
        </is>
      </c>
      <c r="F340" s="716" t="n"/>
      <c r="G340" s="716" t="n"/>
      <c r="H340" s="462" t="n"/>
    </row>
    <row r="341">
      <c r="A341" s="672" t="inlineStr">
        <is>
          <t>E100451</t>
        </is>
      </c>
      <c r="B341" s="767">
        <f>ROW()</f>
        <v/>
      </c>
      <c r="C341" s="182" t="inlineStr">
        <is>
          <t>北京吉平劳务分包有限公司</t>
        </is>
      </c>
      <c r="D341" s="182" t="inlineStr">
        <is>
          <t>ZI029E100422</t>
        </is>
      </c>
      <c r="E341" s="182" t="inlineStr">
        <is>
          <t>北京京能建设集团有限公司</t>
        </is>
      </c>
      <c r="F341" s="716" t="n"/>
      <c r="G341" s="716" t="n"/>
      <c r="H341" s="462" t="n"/>
    </row>
    <row r="342">
      <c r="A342" s="672" t="inlineStr">
        <is>
          <t>E100776</t>
        </is>
      </c>
      <c r="B342" s="767">
        <f>ROW()</f>
        <v/>
      </c>
      <c r="C342" s="182" t="inlineStr">
        <is>
          <t>北京健康养老集团有限公司</t>
        </is>
      </c>
      <c r="D342" s="182" t="inlineStr">
        <is>
          <t>ZI029E100000</t>
        </is>
      </c>
      <c r="E342" s="182" t="inlineStr">
        <is>
          <t>北京能源集团有限责任公司</t>
        </is>
      </c>
      <c r="F342" s="716" t="n"/>
      <c r="G342" s="716" t="n"/>
      <c r="H342" s="462" t="n"/>
    </row>
    <row r="343">
      <c r="A343" s="672" t="inlineStr">
        <is>
          <t>E100377</t>
        </is>
      </c>
      <c r="B343" s="767">
        <f>ROW()</f>
        <v/>
      </c>
      <c r="C343" s="182" t="inlineStr">
        <is>
          <t>北京节能技术监测中心</t>
        </is>
      </c>
      <c r="D343" s="182" t="inlineStr">
        <is>
          <t>ZI029E100371</t>
        </is>
      </c>
      <c r="E343" s="182" t="inlineStr">
        <is>
          <t>北京京能科技有限公司</t>
        </is>
      </c>
      <c r="F343" s="716" t="n"/>
      <c r="G343" s="716" t="n"/>
      <c r="H343" s="462" t="n"/>
    </row>
    <row r="344">
      <c r="A344" s="672" t="inlineStr">
        <is>
          <t>E100237</t>
        </is>
      </c>
      <c r="B344" s="767">
        <f>ROW()</f>
        <v/>
      </c>
      <c r="C344" s="182" t="inlineStr">
        <is>
          <t>北京金光眼特种设备检验检测有限公司</t>
        </is>
      </c>
      <c r="D344" s="182" t="inlineStr">
        <is>
          <t>ZI029E100222</t>
        </is>
      </c>
      <c r="E344" s="182" t="inlineStr">
        <is>
          <t>北京市热力集团有限责任公司</t>
        </is>
      </c>
      <c r="F344" s="716" t="n"/>
      <c r="G344" s="716" t="n"/>
      <c r="H344" s="462" t="n"/>
    </row>
    <row r="345">
      <c r="A345" s="672" t="inlineStr">
        <is>
          <t>E100257</t>
        </is>
      </c>
      <c r="B345" s="767">
        <f>ROW()</f>
        <v/>
      </c>
      <c r="C345" s="182" t="inlineStr">
        <is>
          <t>北京金马特诚供暖有限责任公司</t>
        </is>
      </c>
      <c r="D345" s="182" t="inlineStr">
        <is>
          <t>ZI029E100245</t>
        </is>
      </c>
      <c r="E345" s="182" t="inlineStr">
        <is>
          <t>北京市特诚热力有限责任公司</t>
        </is>
      </c>
      <c r="F345" s="716" t="n"/>
      <c r="G345" s="716" t="n"/>
      <c r="H345" s="462" t="n"/>
    </row>
    <row r="346">
      <c r="A346" s="672" t="inlineStr">
        <is>
          <t>E100446</t>
        </is>
      </c>
      <c r="B346" s="767">
        <f>ROW()</f>
        <v/>
      </c>
      <c r="C346" s="182" t="inlineStr">
        <is>
          <t>北京金泰（辽宁）房地产开发有限责任公司</t>
        </is>
      </c>
      <c r="D346" s="182" t="inlineStr">
        <is>
          <t>ZI029E100421</t>
        </is>
      </c>
      <c r="E346" s="182" t="inlineStr">
        <is>
          <t>北京金泰房地产开发有限责任公司</t>
        </is>
      </c>
      <c r="F346" s="716" t="n"/>
      <c r="G346" s="716" t="n"/>
      <c r="H346" s="462" t="n"/>
    </row>
    <row r="347">
      <c r="A347" s="672" t="inlineStr">
        <is>
          <t>E100327</t>
        </is>
      </c>
      <c r="B347" s="767">
        <f>ROW()</f>
        <v/>
      </c>
      <c r="C347" s="182" t="inlineStr">
        <is>
          <t>北京金泰诚信经贸有限公司</t>
        </is>
      </c>
      <c r="D347" s="182" t="inlineStr">
        <is>
          <t>ZI029E100353</t>
        </is>
      </c>
      <c r="E347" s="182" t="inlineStr">
        <is>
          <t>北京京能房产租赁经营有限责任公司</t>
        </is>
      </c>
      <c r="F347" s="716" t="n"/>
      <c r="G347" s="716" t="n"/>
      <c r="H347" s="462" t="n"/>
    </row>
    <row r="348">
      <c r="A348" s="672" t="inlineStr">
        <is>
          <t>E100421</t>
        </is>
      </c>
      <c r="B348" s="767">
        <f>ROW()</f>
        <v/>
      </c>
      <c r="C348" s="182" t="inlineStr">
        <is>
          <t>北京金泰房地产开发有限责任公司</t>
        </is>
      </c>
      <c r="D348" s="182" t="inlineStr">
        <is>
          <t>ZI029E100000</t>
        </is>
      </c>
      <c r="E348" s="182" t="inlineStr">
        <is>
          <t>北京能源集团有限责任公司</t>
        </is>
      </c>
      <c r="F348" s="716" t="n"/>
      <c r="G348" s="716" t="n"/>
      <c r="H348" s="462" t="n"/>
    </row>
    <row r="349">
      <c r="A349" s="672" t="inlineStr">
        <is>
          <t>E100299</t>
        </is>
      </c>
      <c r="B349" s="767">
        <f>ROW()</f>
        <v/>
      </c>
      <c r="C349" s="182" t="inlineStr">
        <is>
          <t>北京金泰福龙餐饮有限公司</t>
        </is>
      </c>
      <c r="D349" s="182" t="inlineStr">
        <is>
          <t>ZI029E100293</t>
        </is>
      </c>
      <c r="E349" s="182" t="inlineStr">
        <is>
          <t>北京京能酒店管理有限公司</t>
        </is>
      </c>
      <c r="F349" s="716" t="n"/>
      <c r="G349" s="716" t="n"/>
      <c r="H349" s="462" t="n"/>
    </row>
    <row r="350">
      <c r="A350" s="672" t="inlineStr">
        <is>
          <t>E100364</t>
        </is>
      </c>
      <c r="B350" s="767">
        <f>ROW()</f>
        <v/>
      </c>
      <c r="C350" s="182" t="inlineStr">
        <is>
          <t>北京金泰港物流有限公司</t>
        </is>
      </c>
      <c r="D350" s="182" t="inlineStr">
        <is>
          <t>ZI029E100268</t>
        </is>
      </c>
      <c r="E350" s="182" t="inlineStr">
        <is>
          <t>北京京煤集团有限责任公司</t>
        </is>
      </c>
      <c r="F350" s="716" t="n"/>
      <c r="G350" s="716" t="n"/>
      <c r="H350" s="462" t="n"/>
    </row>
    <row r="351">
      <c r="A351" s="672" t="inlineStr">
        <is>
          <t>E100294</t>
        </is>
      </c>
      <c r="B351" s="767">
        <f>ROW()</f>
        <v/>
      </c>
      <c r="C351" s="182" t="inlineStr">
        <is>
          <t>北京金泰国际会展有限公司</t>
        </is>
      </c>
      <c r="D351" s="182" t="inlineStr">
        <is>
          <t>ZI029E100293</t>
        </is>
      </c>
      <c r="E351" s="182" t="inlineStr">
        <is>
          <t>北京京能酒店管理有限公司</t>
        </is>
      </c>
      <c r="F351" s="716" t="n"/>
      <c r="G351" s="716" t="n"/>
      <c r="H351" s="462" t="n"/>
    </row>
    <row r="352">
      <c r="A352" s="672" t="inlineStr">
        <is>
          <t>E100294G</t>
        </is>
      </c>
      <c r="B352" s="767">
        <f>ROW()</f>
        <v/>
      </c>
      <c r="C352" s="182" t="inlineStr">
        <is>
          <t>北京金泰国际会展有限公司（合并）</t>
        </is>
      </c>
      <c r="D352" s="182" t="inlineStr">
        <is>
          <t>ZI029E100293</t>
        </is>
      </c>
      <c r="E352" s="182" t="inlineStr">
        <is>
          <t>北京京能酒店管理有限公司</t>
        </is>
      </c>
      <c r="F352" s="716" t="n"/>
      <c r="G352" s="716" t="n"/>
      <c r="H352" s="462" t="n"/>
    </row>
    <row r="353">
      <c r="A353" s="672" t="inlineStr">
        <is>
          <t>E100294H</t>
        </is>
      </c>
      <c r="B353" s="767">
        <f>ROW()</f>
        <v/>
      </c>
      <c r="C353" s="182" t="inlineStr">
        <is>
          <t>北京金泰国际会展有限公司（母公司）</t>
        </is>
      </c>
      <c r="D353" s="182" t="inlineStr">
        <is>
          <t>ZI029E100293</t>
        </is>
      </c>
      <c r="E353" s="182" t="inlineStr">
        <is>
          <t>北京京能酒店管理有限公司</t>
        </is>
      </c>
      <c r="F353" s="716" t="n"/>
      <c r="G353" s="716" t="n"/>
      <c r="H353" s="462" t="n"/>
    </row>
    <row r="354">
      <c r="A354" s="672" t="inlineStr">
        <is>
          <t>E100349</t>
        </is>
      </c>
      <c r="B354" s="767">
        <f>ROW()</f>
        <v/>
      </c>
      <c r="C354" s="182" t="inlineStr">
        <is>
          <t>北京金泰恒业晟通商贸有限公司</t>
        </is>
      </c>
      <c r="D354" s="182" t="inlineStr">
        <is>
          <t>ZI029E100353</t>
        </is>
      </c>
      <c r="E354" s="182" t="inlineStr">
        <is>
          <t>北京京能房产租赁经营有限责任公司</t>
        </is>
      </c>
      <c r="F354" s="716" t="n"/>
      <c r="G354" s="716" t="n"/>
      <c r="H354" s="462" t="n"/>
    </row>
    <row r="355">
      <c r="A355" s="672" t="inlineStr">
        <is>
          <t>E100293</t>
        </is>
      </c>
      <c r="B355" s="767">
        <f>ROW()</f>
        <v/>
      </c>
      <c r="C355" s="182" t="inlineStr">
        <is>
          <t>北京京能酒店管理有限公司</t>
        </is>
      </c>
      <c r="D355" s="182" t="inlineStr">
        <is>
          <t>ZI029E100268</t>
        </is>
      </c>
      <c r="E355" s="182" t="inlineStr">
        <is>
          <t>北京京煤集团有限责任公司</t>
        </is>
      </c>
      <c r="F355" s="716" t="n"/>
      <c r="G355" s="716" t="n"/>
      <c r="H355" s="462" t="n"/>
    </row>
    <row r="356">
      <c r="A356" s="672" t="inlineStr">
        <is>
          <t>E100293G</t>
        </is>
      </c>
      <c r="B356" s="767">
        <f>ROW()</f>
        <v/>
      </c>
      <c r="C356" s="182" t="inlineStr">
        <is>
          <t>北京京能酒店管理有限公司（合并）</t>
        </is>
      </c>
      <c r="D356" s="182" t="inlineStr">
        <is>
          <t>ZI029E100268</t>
        </is>
      </c>
      <c r="E356" s="182" t="inlineStr">
        <is>
          <t>北京京煤集团有限责任公司</t>
        </is>
      </c>
      <c r="F356" s="716" t="n"/>
      <c r="G356" s="716" t="n"/>
      <c r="H356" s="462" t="n"/>
    </row>
    <row r="357">
      <c r="A357" s="672" t="inlineStr">
        <is>
          <t>E100293H</t>
        </is>
      </c>
      <c r="B357" s="767">
        <f>ROW()</f>
        <v/>
      </c>
      <c r="C357" s="182" t="inlineStr">
        <is>
          <t>北京京能酒店管理有限公司（母公司）</t>
        </is>
      </c>
      <c r="D357" s="182" t="inlineStr">
        <is>
          <t>ZI029E100268</t>
        </is>
      </c>
      <c r="E357" s="182" t="inlineStr">
        <is>
          <t>北京京煤集团有限责任公司</t>
        </is>
      </c>
      <c r="F357" s="716" t="n"/>
      <c r="G357" s="716" t="n"/>
      <c r="H357" s="462" t="n"/>
    </row>
    <row r="358">
      <c r="A358" s="672" t="inlineStr">
        <is>
          <t>E100314</t>
        </is>
      </c>
      <c r="B358" s="767">
        <f>ROW()</f>
        <v/>
      </c>
      <c r="C358" s="182" t="inlineStr">
        <is>
          <t>北京金泰恒业燃料有限公司</t>
        </is>
      </c>
      <c r="D358" s="182" t="inlineStr">
        <is>
          <t>ZI029E100353</t>
        </is>
      </c>
      <c r="E358" s="182" t="inlineStr">
        <is>
          <t>北京京能房产租赁经营有限责任公司</t>
        </is>
      </c>
      <c r="F358" s="716" t="n"/>
      <c r="G358" s="716" t="n"/>
      <c r="H358" s="462" t="n"/>
    </row>
    <row r="359">
      <c r="A359" s="672" t="inlineStr">
        <is>
          <t>E100298</t>
        </is>
      </c>
      <c r="B359" s="767">
        <f>ROW()</f>
        <v/>
      </c>
      <c r="C359" s="182" t="inlineStr">
        <is>
          <t>北京金泰汇民出租汽车有限公司</t>
        </is>
      </c>
      <c r="D359" s="182" t="inlineStr">
        <is>
          <t>ZI029E100353</t>
        </is>
      </c>
      <c r="E359" s="182" t="inlineStr">
        <is>
          <t>北京京能房产租赁经营有限责任公司</t>
        </is>
      </c>
      <c r="F359" s="716" t="n"/>
      <c r="G359" s="716" t="n"/>
      <c r="H359" s="462" t="n"/>
    </row>
    <row r="360">
      <c r="A360" s="672" t="inlineStr">
        <is>
          <t>E100329</t>
        </is>
      </c>
      <c r="B360" s="767">
        <f>ROW()</f>
        <v/>
      </c>
      <c r="C360" s="182" t="inlineStr">
        <is>
          <t>北京金泰汇通商贸有限公司</t>
        </is>
      </c>
      <c r="D360" s="182" t="inlineStr">
        <is>
          <t>ZI029E100353</t>
        </is>
      </c>
      <c r="E360" s="182" t="inlineStr">
        <is>
          <t>北京京能房产租赁经营有限责任公司</t>
        </is>
      </c>
      <c r="F360" s="716" t="n"/>
      <c r="G360" s="716" t="n"/>
      <c r="H360" s="462" t="n"/>
    </row>
    <row r="361">
      <c r="A361" s="672" t="inlineStr">
        <is>
          <t>E100313</t>
        </is>
      </c>
      <c r="B361" s="767">
        <f>ROW()</f>
        <v/>
      </c>
      <c r="C361" s="182" t="inlineStr">
        <is>
          <t>北京金泰开润旧机动车经纪有限公司</t>
        </is>
      </c>
      <c r="D361" s="182" t="inlineStr">
        <is>
          <t>ZI029E100353</t>
        </is>
      </c>
      <c r="E361" s="182" t="inlineStr">
        <is>
          <t>北京京能房产租赁经营有限责任公司</t>
        </is>
      </c>
      <c r="F361" s="716" t="n"/>
      <c r="G361" s="716" t="n"/>
      <c r="H361" s="462" t="n"/>
    </row>
    <row r="362">
      <c r="A362" s="672" t="inlineStr">
        <is>
          <t>E100308</t>
        </is>
      </c>
      <c r="B362" s="767">
        <f>ROW()</f>
        <v/>
      </c>
      <c r="C362" s="182" t="inlineStr">
        <is>
          <t>北京金泰开元汽车销售服务有限公司</t>
        </is>
      </c>
      <c r="D362" s="182" t="inlineStr">
        <is>
          <t>ZI029E100353</t>
        </is>
      </c>
      <c r="E362" s="182" t="inlineStr">
        <is>
          <t>北京京能房产租赁经营有限责任公司</t>
        </is>
      </c>
      <c r="F362" s="716" t="n"/>
      <c r="G362" s="716" t="n"/>
      <c r="H362" s="462" t="n"/>
    </row>
    <row r="363">
      <c r="A363" s="672" t="inlineStr">
        <is>
          <t>E100309</t>
        </is>
      </c>
      <c r="B363" s="767">
        <f>ROW()</f>
        <v/>
      </c>
      <c r="C363" s="182" t="inlineStr">
        <is>
          <t>北京金泰凯迪汽车销售服务有限公司</t>
        </is>
      </c>
      <c r="D363" s="182" t="inlineStr">
        <is>
          <t>ZI029E100353</t>
        </is>
      </c>
      <c r="E363" s="182" t="inlineStr">
        <is>
          <t>北京京能房产租赁经营有限责任公司</t>
        </is>
      </c>
      <c r="F363" s="716" t="n"/>
      <c r="G363" s="716" t="n"/>
      <c r="H363" s="462" t="n"/>
    </row>
    <row r="364">
      <c r="A364" s="672" t="inlineStr">
        <is>
          <t>E100310</t>
        </is>
      </c>
      <c r="B364" s="767">
        <f>ROW()</f>
        <v/>
      </c>
      <c r="C364" s="182" t="inlineStr">
        <is>
          <t>北京金泰凯盛汽车销售服务有限公司</t>
        </is>
      </c>
      <c r="D364" s="182" t="inlineStr">
        <is>
          <t>ZI029E100353</t>
        </is>
      </c>
      <c r="E364" s="182" t="inlineStr">
        <is>
          <t>北京京能房产租赁经营有限责任公司</t>
        </is>
      </c>
      <c r="F364" s="716" t="n"/>
      <c r="G364" s="716" t="n"/>
      <c r="H364" s="462" t="n"/>
    </row>
    <row r="365">
      <c r="A365" s="672" t="inlineStr">
        <is>
          <t>E100277</t>
        </is>
      </c>
      <c r="B365" s="767">
        <f>ROW()</f>
        <v/>
      </c>
      <c r="C365" s="182" t="inlineStr">
        <is>
          <t>北京金泰利达房屋租赁有限公司</t>
        </is>
      </c>
      <c r="D365" s="182" t="inlineStr">
        <is>
          <t>ZI029E100353</t>
        </is>
      </c>
      <c r="E365" s="182" t="inlineStr">
        <is>
          <t>北京京能房产租赁经营有限责任公司</t>
        </is>
      </c>
      <c r="F365" s="716" t="n"/>
      <c r="G365" s="716" t="n"/>
      <c r="H365" s="462" t="n"/>
    </row>
    <row r="366">
      <c r="A366" s="672" t="inlineStr">
        <is>
          <t>E100301</t>
        </is>
      </c>
      <c r="B366" s="767">
        <f>ROW()</f>
        <v/>
      </c>
      <c r="C366" s="182" t="inlineStr">
        <is>
          <t>北京金泰梅苑宾馆有限公司</t>
        </is>
      </c>
      <c r="D366" s="182" t="inlineStr">
        <is>
          <t>ZI029E100293</t>
        </is>
      </c>
      <c r="E366" s="182" t="inlineStr">
        <is>
          <t>北京京能酒店管理有限公司</t>
        </is>
      </c>
      <c r="F366" s="716" t="n"/>
      <c r="G366" s="716" t="n"/>
      <c r="H366" s="462" t="n"/>
    </row>
    <row r="367">
      <c r="A367" s="672" t="inlineStr">
        <is>
          <t>E100378</t>
        </is>
      </c>
      <c r="B367" s="767">
        <f>ROW()</f>
        <v/>
      </c>
      <c r="C367" s="182" t="inlineStr">
        <is>
          <t>北京金泰明达节能科技有限公司</t>
        </is>
      </c>
      <c r="D367" s="182" t="inlineStr">
        <is>
          <t>ZI029E100371</t>
        </is>
      </c>
      <c r="E367" s="182" t="inlineStr">
        <is>
          <t>北京京能科技有限公司</t>
        </is>
      </c>
      <c r="F367" s="716" t="n"/>
      <c r="G367" s="716" t="n"/>
      <c r="H367" s="462" t="n"/>
    </row>
    <row r="368">
      <c r="A368" s="672" t="inlineStr">
        <is>
          <t>E100326</t>
        </is>
      </c>
      <c r="B368" s="767">
        <f>ROW()</f>
        <v/>
      </c>
      <c r="C368" s="182" t="inlineStr">
        <is>
          <t>北京金泰通华商贸有限责任公司</t>
        </is>
      </c>
      <c r="D368" s="182" t="inlineStr">
        <is>
          <t>ZI029E100353</t>
        </is>
      </c>
      <c r="E368" s="182" t="inlineStr">
        <is>
          <t>北京京能房产租赁经营有限责任公司</t>
        </is>
      </c>
      <c r="F368" s="716" t="n"/>
      <c r="G368" s="716" t="n"/>
      <c r="H368" s="462" t="n"/>
    </row>
    <row r="369">
      <c r="A369" s="672" t="inlineStr">
        <is>
          <t>E100362</t>
        </is>
      </c>
      <c r="B369" s="767">
        <f>ROW()</f>
        <v/>
      </c>
      <c r="C369" s="182" t="inlineStr">
        <is>
          <t>北京金泰物业管理有限公司</t>
        </is>
      </c>
      <c r="D369" s="182" t="inlineStr">
        <is>
          <t>ZI029E100268</t>
        </is>
      </c>
      <c r="E369" s="182" t="inlineStr">
        <is>
          <t>北京京煤集团有限责任公司</t>
        </is>
      </c>
      <c r="F369" s="716" t="n"/>
      <c r="G369" s="716" t="n"/>
      <c r="H369" s="462" t="n"/>
    </row>
    <row r="370">
      <c r="A370" s="672" t="inlineStr">
        <is>
          <t>E100362G</t>
        </is>
      </c>
      <c r="B370" s="767">
        <f>ROW()</f>
        <v/>
      </c>
      <c r="C370" s="182" t="inlineStr">
        <is>
          <t>北京金泰物业管理有限公司（合并）</t>
        </is>
      </c>
      <c r="D370" s="182" t="inlineStr">
        <is>
          <t>ZI029E100268</t>
        </is>
      </c>
      <c r="E370" s="182" t="inlineStr">
        <is>
          <t>北京京煤集团有限责任公司</t>
        </is>
      </c>
      <c r="F370" s="716" t="n"/>
      <c r="G370" s="716" t="n"/>
      <c r="H370" s="462" t="n"/>
    </row>
    <row r="371">
      <c r="A371" s="672" t="inlineStr">
        <is>
          <t>E100362H</t>
        </is>
      </c>
      <c r="B371" s="767">
        <f>ROW()</f>
        <v/>
      </c>
      <c r="C371" s="182" t="inlineStr">
        <is>
          <t>北京金泰物业管理有限公司（汇总）</t>
        </is>
      </c>
      <c r="D371" s="182" t="inlineStr">
        <is>
          <t>ZI029E100268</t>
        </is>
      </c>
      <c r="E371" s="182" t="inlineStr">
        <is>
          <t>北京京煤集团有限责任公司</t>
        </is>
      </c>
      <c r="F371" s="716" t="n"/>
      <c r="G371" s="716" t="n"/>
      <c r="H371" s="462" t="n"/>
    </row>
    <row r="372">
      <c r="A372" s="672" t="inlineStr">
        <is>
          <t>E100279</t>
        </is>
      </c>
      <c r="B372" s="767">
        <f>ROW()</f>
        <v/>
      </c>
      <c r="C372" s="182" t="inlineStr">
        <is>
          <t>北京金泰翔达投资管理有限公司</t>
        </is>
      </c>
      <c r="D372" s="182" t="inlineStr">
        <is>
          <t>ZI029E100353</t>
        </is>
      </c>
      <c r="E372" s="182" t="inlineStr">
        <is>
          <t>北京京能房产租赁经营有限责任公司</t>
        </is>
      </c>
      <c r="F372" s="716" t="n"/>
      <c r="G372" s="716" t="n"/>
      <c r="H372" s="462" t="n"/>
    </row>
    <row r="373">
      <c r="A373" s="672" t="inlineStr">
        <is>
          <t>E100366</t>
        </is>
      </c>
      <c r="B373" s="767">
        <f>ROW()</f>
        <v/>
      </c>
      <c r="C373" s="182" t="inlineStr">
        <is>
          <t>北京金泰新钢联科贸有限公司</t>
        </is>
      </c>
      <c r="D373" s="182" t="inlineStr">
        <is>
          <t>ZI029E100353</t>
        </is>
      </c>
      <c r="E373" s="182" t="inlineStr">
        <is>
          <t>北京京能房产租赁经营有限责任公司</t>
        </is>
      </c>
      <c r="F373" s="716" t="n"/>
      <c r="G373" s="716" t="n"/>
      <c r="H373" s="462" t="n"/>
    </row>
    <row r="374">
      <c r="A374" s="672" t="inlineStr">
        <is>
          <t>E100346</t>
        </is>
      </c>
      <c r="B374" s="767">
        <f>ROW()</f>
        <v/>
      </c>
      <c r="C374" s="182" t="inlineStr">
        <is>
          <t>北京金泰颐寿轩敬老院</t>
        </is>
      </c>
      <c r="D374" s="182" t="inlineStr">
        <is>
          <t>ZI029E100353</t>
        </is>
      </c>
      <c r="E374" s="182" t="inlineStr">
        <is>
          <t>北京京能房产租赁经营有限责任公司</t>
        </is>
      </c>
      <c r="F374" s="716" t="n"/>
      <c r="G374" s="716" t="n"/>
      <c r="H374" s="462" t="n"/>
    </row>
    <row r="375">
      <c r="A375" s="672" t="inlineStr">
        <is>
          <t>E100296</t>
        </is>
      </c>
      <c r="B375" s="767">
        <f>ROW()</f>
        <v/>
      </c>
      <c r="C375" s="182" t="inlineStr">
        <is>
          <t>北京金泰之家宾馆有限公司</t>
        </is>
      </c>
      <c r="D375" s="182" t="inlineStr">
        <is>
          <t>ZI029E100293</t>
        </is>
      </c>
      <c r="E375" s="182" t="inlineStr">
        <is>
          <t>北京京能酒店管理有限公司</t>
        </is>
      </c>
      <c r="F375" s="716" t="n"/>
      <c r="G375" s="716" t="n"/>
      <c r="H375" s="462" t="n"/>
    </row>
    <row r="376">
      <c r="A376" s="672" t="inlineStr">
        <is>
          <t>E100296G</t>
        </is>
      </c>
      <c r="B376" s="767">
        <f>ROW()</f>
        <v/>
      </c>
      <c r="C376" s="182" t="inlineStr">
        <is>
          <t>北京金泰之家宾馆有限公司（合并）</t>
        </is>
      </c>
      <c r="D376" s="182" t="inlineStr">
        <is>
          <t>ZI029E100293</t>
        </is>
      </c>
      <c r="E376" s="182" t="inlineStr">
        <is>
          <t>北京京能酒店管理有限公司</t>
        </is>
      </c>
      <c r="F376" s="716" t="n"/>
      <c r="G376" s="716" t="n"/>
      <c r="H376" s="462" t="n"/>
    </row>
    <row r="377">
      <c r="A377" s="672" t="inlineStr">
        <is>
          <t>E100296H</t>
        </is>
      </c>
      <c r="B377" s="767">
        <f>ROW()</f>
        <v/>
      </c>
      <c r="C377" s="182" t="inlineStr">
        <is>
          <t>北京金泰之家宾馆有限公司（母公司）</t>
        </is>
      </c>
      <c r="D377" s="182" t="inlineStr">
        <is>
          <t>ZI029E100293</t>
        </is>
      </c>
      <c r="E377" s="182" t="inlineStr">
        <is>
          <t>北京京能酒店管理有限公司</t>
        </is>
      </c>
      <c r="F377" s="716" t="n"/>
      <c r="G377" s="716" t="n"/>
      <c r="H377" s="462" t="n"/>
    </row>
    <row r="378">
      <c r="A378" s="672" t="inlineStr">
        <is>
          <t>E100278</t>
        </is>
      </c>
      <c r="B378" s="767">
        <f>ROW()</f>
        <v/>
      </c>
      <c r="C378" s="182" t="inlineStr">
        <is>
          <t>北京金泰之家聚隆宾馆有限公司</t>
        </is>
      </c>
      <c r="D378" s="182" t="inlineStr">
        <is>
          <t>ZI029E100293</t>
        </is>
      </c>
      <c r="E378" s="182" t="inlineStr">
        <is>
          <t>北京京能酒店管理有限公司</t>
        </is>
      </c>
      <c r="F378" s="716" t="n"/>
      <c r="G378" s="716" t="n"/>
      <c r="H378" s="462" t="n"/>
    </row>
    <row r="379">
      <c r="A379" s="672" t="inlineStr">
        <is>
          <t>E100305</t>
        </is>
      </c>
      <c r="B379" s="767">
        <f>ROW()</f>
        <v/>
      </c>
      <c r="C379" s="182" t="inlineStr">
        <is>
          <t>北京金泰之家通华苑饭店有限公司</t>
        </is>
      </c>
      <c r="D379" s="182" t="inlineStr">
        <is>
          <t>ZI029E100293</t>
        </is>
      </c>
      <c r="E379" s="182" t="inlineStr">
        <is>
          <t>北京京能酒店管理有限公司</t>
        </is>
      </c>
      <c r="F379" s="716" t="n"/>
      <c r="G379" s="716" t="n"/>
      <c r="H379" s="462" t="n"/>
    </row>
    <row r="380">
      <c r="A380" s="672" t="inlineStr">
        <is>
          <t>E100305G</t>
        </is>
      </c>
      <c r="B380" s="767">
        <f>ROW()</f>
        <v/>
      </c>
      <c r="C380" s="182" t="inlineStr">
        <is>
          <t>北京金泰之家通华苑饭店有限公司（合并）</t>
        </is>
      </c>
      <c r="D380" s="182" t="inlineStr">
        <is>
          <t>ZI029E100293</t>
        </is>
      </c>
      <c r="E380" s="182" t="inlineStr">
        <is>
          <t>北京京能酒店管理有限公司</t>
        </is>
      </c>
      <c r="F380" s="716" t="n"/>
      <c r="G380" s="716" t="n"/>
      <c r="H380" s="462" t="n"/>
    </row>
    <row r="381">
      <c r="A381" s="672" t="inlineStr">
        <is>
          <t>E100305H</t>
        </is>
      </c>
      <c r="B381" s="767">
        <f>ROW()</f>
        <v/>
      </c>
      <c r="C381" s="182" t="inlineStr">
        <is>
          <t>北京金泰之家通华苑饭店有限公司（母公司）</t>
        </is>
      </c>
      <c r="D381" s="182" t="inlineStr">
        <is>
          <t>ZI029E100293</t>
        </is>
      </c>
      <c r="E381" s="182" t="inlineStr">
        <is>
          <t>北京京能酒店管理有限公司</t>
        </is>
      </c>
      <c r="F381" s="716" t="n"/>
      <c r="G381" s="716" t="n"/>
      <c r="H381" s="462" t="n"/>
    </row>
    <row r="382">
      <c r="A382" s="672" t="inlineStr">
        <is>
          <t>E100450</t>
        </is>
      </c>
      <c r="B382" s="767">
        <f>ROW()</f>
        <v/>
      </c>
      <c r="C382" s="182" t="inlineStr">
        <is>
          <t>北京金泰中阳房地产开发有限公司</t>
        </is>
      </c>
      <c r="D382" s="182" t="inlineStr">
        <is>
          <t>ZI029E100421</t>
        </is>
      </c>
      <c r="E382" s="182" t="inlineStr">
        <is>
          <t>北京金泰房地产开发有限责任公司</t>
        </is>
      </c>
      <c r="F382" s="716" t="n"/>
      <c r="G382" s="716" t="n"/>
      <c r="H382" s="462" t="n"/>
    </row>
    <row r="383">
      <c r="A383" s="672" t="inlineStr">
        <is>
          <t>E100448</t>
        </is>
      </c>
      <c r="B383" s="767">
        <f>ROW()</f>
        <v/>
      </c>
      <c r="C383" s="182" t="inlineStr">
        <is>
          <t>北京金泰卓越物业管理有限公司</t>
        </is>
      </c>
      <c r="D383" s="182" t="inlineStr">
        <is>
          <t>ZI029E100421</t>
        </is>
      </c>
      <c r="E383" s="182" t="inlineStr">
        <is>
          <t>北京金泰房地产开发有限责任公司</t>
        </is>
      </c>
      <c r="F383" s="716" t="n"/>
      <c r="G383" s="716" t="n"/>
      <c r="H383" s="462" t="n"/>
    </row>
    <row r="384">
      <c r="A384" s="672" t="inlineStr">
        <is>
          <t>E100354</t>
        </is>
      </c>
      <c r="B384" s="767">
        <f>ROW()</f>
        <v/>
      </c>
      <c r="C384" s="182" t="inlineStr">
        <is>
          <t>北京金质生活商贸有限责任公司</t>
        </is>
      </c>
      <c r="D384" s="182" t="inlineStr">
        <is>
          <t>ZI029E100353</t>
        </is>
      </c>
      <c r="E384" s="182" t="inlineStr">
        <is>
          <t>北京京能房产租赁经营有限责任公司</t>
        </is>
      </c>
      <c r="F384" s="716" t="n"/>
      <c r="G384" s="716" t="n"/>
      <c r="H384" s="462" t="n"/>
    </row>
    <row r="385">
      <c r="A385" s="672" t="inlineStr">
        <is>
          <t>E100258</t>
        </is>
      </c>
      <c r="B385" s="767">
        <f>ROW()</f>
        <v/>
      </c>
      <c r="C385" s="182" t="inlineStr">
        <is>
          <t>北京京诚供热有限责任公司</t>
        </is>
      </c>
      <c r="D385" s="182" t="inlineStr">
        <is>
          <t>ZI029E100245</t>
        </is>
      </c>
      <c r="E385" s="182" t="inlineStr">
        <is>
          <t>北京市特诚热力有限责任公司</t>
        </is>
      </c>
      <c r="F385" s="716" t="n"/>
      <c r="G385" s="716" t="n"/>
      <c r="H385" s="462" t="n"/>
    </row>
    <row r="386">
      <c r="A386" s="672" t="inlineStr">
        <is>
          <t>E100003</t>
        </is>
      </c>
      <c r="B386" s="767">
        <f>ROW()</f>
        <v/>
      </c>
      <c r="C386" s="182" t="inlineStr">
        <is>
          <t>北京京丰燃气发电有限责任公司</t>
        </is>
      </c>
      <c r="D386" s="182" t="inlineStr">
        <is>
          <t>ZI029E100001</t>
        </is>
      </c>
      <c r="E386" s="182" t="inlineStr">
        <is>
          <t>北京京能清洁能源电力股份有限公司</t>
        </is>
      </c>
      <c r="F386" s="716" t="n"/>
      <c r="G386" s="716" t="n"/>
      <c r="H386" s="462" t="n"/>
    </row>
    <row r="387">
      <c r="A387" s="672" t="inlineStr">
        <is>
          <t>E100004</t>
        </is>
      </c>
      <c r="B387" s="767">
        <f>ROW()</f>
        <v/>
      </c>
      <c r="C387" s="182" t="inlineStr">
        <is>
          <t>北京京丰热电有限责任公司</t>
        </is>
      </c>
      <c r="D387" s="182" t="inlineStr">
        <is>
          <t>ZI029E100000</t>
        </is>
      </c>
      <c r="E387" s="182" t="inlineStr">
        <is>
          <t>北京能源集团有限责任公司</t>
        </is>
      </c>
      <c r="F387" s="716" t="n"/>
      <c r="G387" s="716" t="n"/>
      <c r="H387" s="462" t="n"/>
    </row>
    <row r="388">
      <c r="A388" s="672" t="inlineStr">
        <is>
          <t>E100302</t>
        </is>
      </c>
      <c r="B388" s="767">
        <f>ROW()</f>
        <v/>
      </c>
      <c r="C388" s="182" t="inlineStr">
        <is>
          <t>北京京辉高尔夫俱乐部有限公司</t>
        </is>
      </c>
      <c r="D388" s="182" t="inlineStr">
        <is>
          <t>ZI029E100320</t>
        </is>
      </c>
      <c r="E388" s="182" t="inlineStr">
        <is>
          <t>北京市天创房地产开发有限公司</t>
        </is>
      </c>
      <c r="F388" s="716" t="n"/>
      <c r="G388" s="716" t="n"/>
      <c r="H388" s="462" t="n"/>
    </row>
    <row r="389">
      <c r="A389" s="672" t="inlineStr">
        <is>
          <t>E100302</t>
        </is>
      </c>
      <c r="B389" s="767">
        <f>ROW()</f>
        <v/>
      </c>
      <c r="C389" s="182" t="inlineStr">
        <is>
          <t>北京京辉高尔夫俱乐部有限公司</t>
        </is>
      </c>
      <c r="D389" s="182" t="inlineStr">
        <is>
          <t>ZI029E100268</t>
        </is>
      </c>
      <c r="E389" s="182" t="inlineStr">
        <is>
          <t>北京京煤集团有限责任公司</t>
        </is>
      </c>
      <c r="F389" s="716" t="n"/>
      <c r="G389" s="716" t="n"/>
      <c r="H389" s="462" t="n"/>
    </row>
    <row r="390">
      <c r="A390" s="672" t="inlineStr">
        <is>
          <t>E100302</t>
        </is>
      </c>
      <c r="B390" s="767">
        <f>ROW()</f>
        <v/>
      </c>
      <c r="C390" s="182" t="inlineStr">
        <is>
          <t>北京京辉高尔夫俱乐部有限公司</t>
        </is>
      </c>
      <c r="D390" s="182" t="inlineStr">
        <is>
          <t>ZI029E100000</t>
        </is>
      </c>
      <c r="E390" s="182" t="inlineStr">
        <is>
          <t>北京能源集团有限责任公司</t>
        </is>
      </c>
      <c r="F390" s="716" t="n"/>
      <c r="G390" s="716" t="n"/>
      <c r="H390" s="462" t="n"/>
    </row>
    <row r="391">
      <c r="A391" s="672" t="inlineStr">
        <is>
          <t>E100302G</t>
        </is>
      </c>
      <c r="B391" s="767">
        <f>ROW()</f>
        <v/>
      </c>
      <c r="C391" s="182" t="inlineStr">
        <is>
          <t>北京京辉高尔夫俱乐部有限公司（合并）</t>
        </is>
      </c>
      <c r="D391" s="182" t="inlineStr">
        <is>
          <t>ZI029E100320</t>
        </is>
      </c>
      <c r="E391" s="182" t="inlineStr">
        <is>
          <t>北京市天创房地产开发有限公司</t>
        </is>
      </c>
      <c r="F391" s="716" t="n"/>
      <c r="G391" s="716" t="n"/>
      <c r="H391" s="462" t="n"/>
    </row>
    <row r="392">
      <c r="A392" s="672" t="inlineStr">
        <is>
          <t>E100302G</t>
        </is>
      </c>
      <c r="B392" s="767">
        <f>ROW()</f>
        <v/>
      </c>
      <c r="C392" s="182" t="inlineStr">
        <is>
          <t>北京京辉高尔夫俱乐部有限公司（合并）</t>
        </is>
      </c>
      <c r="D392" s="182" t="inlineStr">
        <is>
          <t>ZI029E100000</t>
        </is>
      </c>
      <c r="E392" s="182" t="inlineStr">
        <is>
          <t>北京能源集团有限责任公司</t>
        </is>
      </c>
      <c r="F392" s="716" t="n"/>
      <c r="G392" s="716" t="n"/>
      <c r="H392" s="462" t="n"/>
    </row>
    <row r="393">
      <c r="A393" s="672" t="inlineStr">
        <is>
          <t>E100302G</t>
        </is>
      </c>
      <c r="B393" s="767">
        <f>ROW()</f>
        <v/>
      </c>
      <c r="C393" s="182" t="inlineStr">
        <is>
          <t>北京京辉高尔夫俱乐部有限公司（合并）</t>
        </is>
      </c>
      <c r="D393" s="182" t="inlineStr">
        <is>
          <t>ZI029E100268</t>
        </is>
      </c>
      <c r="E393" s="182" t="inlineStr">
        <is>
          <t>北京京煤集团有限责任公司</t>
        </is>
      </c>
      <c r="F393" s="716" t="n"/>
      <c r="G393" s="716" t="n"/>
      <c r="H393" s="462" t="n"/>
    </row>
    <row r="394">
      <c r="A394" s="672" t="inlineStr">
        <is>
          <t>E100281</t>
        </is>
      </c>
      <c r="B394" s="767">
        <f>ROW()</f>
        <v/>
      </c>
      <c r="C394" s="182" t="inlineStr">
        <is>
          <t>北京京煤化工有限公司</t>
        </is>
      </c>
      <c r="D394" s="182" t="inlineStr">
        <is>
          <t>ZI029E100268</t>
        </is>
      </c>
      <c r="E394" s="182" t="inlineStr">
        <is>
          <t>北京京煤集团有限责任公司</t>
        </is>
      </c>
      <c r="F394" s="716" t="n"/>
      <c r="G394" s="716" t="n"/>
      <c r="H394" s="462" t="n"/>
    </row>
    <row r="395">
      <c r="A395" s="672" t="inlineStr">
        <is>
          <t>E100281G</t>
        </is>
      </c>
      <c r="B395" s="767">
        <f>ROW()</f>
        <v/>
      </c>
      <c r="C395" s="182" t="inlineStr">
        <is>
          <t>北京京煤化工有限公司（合并）</t>
        </is>
      </c>
      <c r="D395" s="182" t="inlineStr">
        <is>
          <t>ZI029E100268</t>
        </is>
      </c>
      <c r="E395" s="182" t="inlineStr">
        <is>
          <t>北京京煤集团有限责任公司</t>
        </is>
      </c>
      <c r="F395" s="716" t="n"/>
      <c r="G395" s="716" t="n"/>
      <c r="H395" s="462" t="n"/>
    </row>
    <row r="396">
      <c r="A396" s="672" t="inlineStr">
        <is>
          <t>E100268</t>
        </is>
      </c>
      <c r="B396" s="767">
        <f>ROW()</f>
        <v/>
      </c>
      <c r="C396" s="182" t="inlineStr">
        <is>
          <t>北京京煤集团有限责任公司</t>
        </is>
      </c>
      <c r="D396" s="182" t="inlineStr">
        <is>
          <t>ZI029E100000</t>
        </is>
      </c>
      <c r="E396" s="182" t="inlineStr">
        <is>
          <t>北京能源集团有限责任公司</t>
        </is>
      </c>
      <c r="F396" s="716" t="n"/>
      <c r="G396" s="716" t="n"/>
      <c r="H396" s="462" t="n"/>
    </row>
    <row r="397">
      <c r="A397" s="672" t="inlineStr">
        <is>
          <t>E100268G</t>
        </is>
      </c>
      <c r="B397" s="767">
        <f>ROW()</f>
        <v/>
      </c>
      <c r="C397" s="182" t="inlineStr">
        <is>
          <t>北京京煤集团有限责任公司（合并）</t>
        </is>
      </c>
      <c r="D397" s="182" t="inlineStr">
        <is>
          <t>ZI029E100000</t>
        </is>
      </c>
      <c r="E397" s="182" t="inlineStr">
        <is>
          <t>北京能源集团有限责任公司</t>
        </is>
      </c>
      <c r="F397" s="716" t="n"/>
      <c r="G397" s="716" t="n"/>
      <c r="H397" s="462" t="n"/>
    </row>
    <row r="398">
      <c r="A398" s="672" t="inlineStr">
        <is>
          <t>E100268H</t>
        </is>
      </c>
      <c r="B398" s="767">
        <f>ROW()</f>
        <v/>
      </c>
      <c r="C398" s="182" t="inlineStr">
        <is>
          <t>北京京煤集团有限责任公司（母公司）</t>
        </is>
      </c>
      <c r="D398" s="182" t="inlineStr">
        <is>
          <t>ZI029E100000</t>
        </is>
      </c>
      <c r="E398" s="182" t="inlineStr">
        <is>
          <t>北京能源集团有限责任公司</t>
        </is>
      </c>
      <c r="F398" s="716" t="n"/>
      <c r="G398" s="716" t="n"/>
      <c r="H398" s="462" t="n"/>
    </row>
    <row r="399">
      <c r="A399" s="672" t="inlineStr">
        <is>
          <t>E100317</t>
        </is>
      </c>
      <c r="B399" s="767">
        <f>ROW()</f>
        <v/>
      </c>
      <c r="C399" s="182" t="inlineStr">
        <is>
          <t>北京京煤文旅发展有限公司</t>
        </is>
      </c>
      <c r="D399" s="182" t="inlineStr">
        <is>
          <t>ZI029E100268</t>
        </is>
      </c>
      <c r="E399" s="182" t="inlineStr">
        <is>
          <t>北京京煤集团有限责任公司</t>
        </is>
      </c>
      <c r="F399" s="716" t="n"/>
      <c r="G399" s="716" t="n"/>
      <c r="H399" s="462" t="n"/>
    </row>
    <row r="400">
      <c r="A400" s="672" t="inlineStr">
        <is>
          <t>E100457</t>
        </is>
      </c>
      <c r="B400" s="767">
        <f>ROW()</f>
        <v/>
      </c>
      <c r="C400" s="182" t="inlineStr">
        <is>
          <t>北京京能地质工程有限公司</t>
        </is>
      </c>
      <c r="D400" s="182" t="inlineStr">
        <is>
          <t>ZI029E100538</t>
        </is>
      </c>
      <c r="E400" s="182" t="inlineStr">
        <is>
          <t>北京京煤集团地质勘探队</t>
        </is>
      </c>
      <c r="F400" s="716" t="n"/>
      <c r="G400" s="716" t="n"/>
      <c r="H400" s="462" t="n"/>
    </row>
    <row r="401">
      <c r="A401" s="672" t="inlineStr">
        <is>
          <t>E100145</t>
        </is>
      </c>
      <c r="B401" s="767">
        <f>ROW()</f>
        <v/>
      </c>
      <c r="C401" s="182" t="inlineStr">
        <is>
          <t>北京京能电力股份有限公司</t>
        </is>
      </c>
      <c r="D401" s="182" t="inlineStr">
        <is>
          <t>ZI029E100142</t>
        </is>
      </c>
      <c r="E401" s="182" t="inlineStr">
        <is>
          <t>北京京能国际能源股份有限公司</t>
        </is>
      </c>
      <c r="F401" s="716" t="n"/>
      <c r="G401" s="716" t="n"/>
      <c r="H401" s="462" t="n"/>
    </row>
    <row r="402">
      <c r="A402" s="672" t="inlineStr">
        <is>
          <t>E100145</t>
        </is>
      </c>
      <c r="B402" s="767">
        <f>ROW()</f>
        <v/>
      </c>
      <c r="C402" s="182" t="inlineStr">
        <is>
          <t>北京京能电力股份有限公司</t>
        </is>
      </c>
      <c r="D402" s="182" t="inlineStr">
        <is>
          <t>ZI029E100000</t>
        </is>
      </c>
      <c r="E402" s="182" t="inlineStr">
        <is>
          <t>北京能源集团有限责任公司</t>
        </is>
      </c>
      <c r="F402" s="716" t="n"/>
      <c r="G402" s="716" t="n"/>
      <c r="H402" s="462" t="n"/>
    </row>
    <row r="403">
      <c r="A403" s="672" t="inlineStr">
        <is>
          <t>E100149</t>
        </is>
      </c>
      <c r="B403" s="767">
        <f>ROW()</f>
        <v/>
      </c>
      <c r="C403" s="182" t="inlineStr">
        <is>
          <t>北京京能电力燃料有限公司</t>
        </is>
      </c>
      <c r="D403" s="182" t="inlineStr">
        <is>
          <t>ZI029E100145</t>
        </is>
      </c>
      <c r="E403" s="182" t="inlineStr">
        <is>
          <t>北京京能电力股份有限公司</t>
        </is>
      </c>
      <c r="F403" s="716" t="n"/>
      <c r="G403" s="716" t="n"/>
      <c r="H403" s="462" t="n"/>
    </row>
    <row r="404">
      <c r="A404" s="672" t="inlineStr">
        <is>
          <t>E100353</t>
        </is>
      </c>
      <c r="B404" s="767">
        <f>ROW()</f>
        <v/>
      </c>
      <c r="C404" s="182" t="inlineStr">
        <is>
          <t>北京京能房产租赁经营有限责任公司</t>
        </is>
      </c>
      <c r="D404" s="182" t="inlineStr">
        <is>
          <t>ZI029E100268</t>
        </is>
      </c>
      <c r="E404" s="182" t="inlineStr">
        <is>
          <t>北京京煤集团有限责任公司</t>
        </is>
      </c>
      <c r="F404" s="716" t="n"/>
      <c r="G404" s="716" t="n"/>
      <c r="H404" s="462" t="n"/>
    </row>
    <row r="405">
      <c r="A405" s="672" t="inlineStr">
        <is>
          <t>E100353G</t>
        </is>
      </c>
      <c r="B405" s="767">
        <f>ROW()</f>
        <v/>
      </c>
      <c r="C405" s="182" t="inlineStr">
        <is>
          <t>北京京能房产租赁经营有限责任公司（合并）</t>
        </is>
      </c>
      <c r="D405" s="182" t="inlineStr">
        <is>
          <t>ZI029E100268</t>
        </is>
      </c>
      <c r="E405" s="182" t="inlineStr">
        <is>
          <t>北京京煤集团有限责任公司</t>
        </is>
      </c>
      <c r="F405" s="716" t="n"/>
      <c r="G405" s="716" t="n"/>
      <c r="H405" s="462" t="n"/>
    </row>
    <row r="406">
      <c r="A406" s="672" t="inlineStr">
        <is>
          <t>E100353T</t>
        </is>
      </c>
      <c r="B406" s="767">
        <f>ROW()</f>
        <v/>
      </c>
      <c r="C406" s="182" t="inlineStr">
        <is>
          <t>北京京能房产租赁经营有限责任公司（合并）本部</t>
        </is>
      </c>
      <c r="D406" s="182" t="inlineStr">
        <is>
          <t>ZI029E100268</t>
        </is>
      </c>
      <c r="E406" s="182" t="inlineStr">
        <is>
          <t>北京京煤集团有限责任公司</t>
        </is>
      </c>
      <c r="F406" s="716" t="n"/>
      <c r="G406" s="716" t="n"/>
      <c r="H406" s="462" t="n"/>
    </row>
    <row r="407">
      <c r="A407" s="672" t="inlineStr">
        <is>
          <t>E100353H</t>
        </is>
      </c>
      <c r="B407" s="767">
        <f>ROW()</f>
        <v/>
      </c>
      <c r="C407" s="182" t="inlineStr">
        <is>
          <t>北京京能房产租赁经营有限责任公司（母公司）</t>
        </is>
      </c>
      <c r="D407" s="182" t="inlineStr">
        <is>
          <t>ZI029E100268</t>
        </is>
      </c>
      <c r="E407" s="182" t="inlineStr">
        <is>
          <t>北京京煤集团有限责任公司</t>
        </is>
      </c>
      <c r="F407" s="716" t="n"/>
      <c r="G407" s="716" t="n"/>
      <c r="H407" s="462" t="n"/>
    </row>
    <row r="408">
      <c r="A408" s="672" t="inlineStr">
        <is>
          <t>E100260</t>
        </is>
      </c>
      <c r="B408" s="767">
        <f>ROW()</f>
        <v/>
      </c>
      <c r="C408" s="182" t="inlineStr">
        <is>
          <t>北京京能房山热力供应有限公司</t>
        </is>
      </c>
      <c r="D408" s="182" t="inlineStr">
        <is>
          <t>ZI029E100259</t>
        </is>
      </c>
      <c r="E408" s="182" t="inlineStr">
        <is>
          <t>北京京能热力发展有限公司</t>
        </is>
      </c>
      <c r="F408" s="716" t="n"/>
      <c r="G408" s="716" t="n"/>
      <c r="H408" s="462" t="n"/>
    </row>
    <row r="409">
      <c r="A409" s="672" t="inlineStr">
        <is>
          <t>E100002</t>
        </is>
      </c>
      <c r="B409" s="767">
        <f>ROW()</f>
        <v/>
      </c>
      <c r="C409" s="182" t="inlineStr">
        <is>
          <t>北京京能高安屯燃气热电有限责任公司</t>
        </is>
      </c>
      <c r="D409" s="182" t="inlineStr">
        <is>
          <t>ZI029E100001</t>
        </is>
      </c>
      <c r="E409" s="182" t="inlineStr">
        <is>
          <t>北京京能清洁能源电力股份有限公司</t>
        </is>
      </c>
      <c r="F409" s="716" t="n"/>
      <c r="G409" s="716" t="n"/>
      <c r="H409" s="462" t="n"/>
    </row>
    <row r="410">
      <c r="A410" s="672" t="inlineStr">
        <is>
          <t>E100195</t>
        </is>
      </c>
      <c r="B410" s="767">
        <f>ROW()</f>
        <v/>
      </c>
      <c r="C410" s="182" t="inlineStr">
        <is>
          <t>北京京能高新能源科技有限公司</t>
        </is>
      </c>
      <c r="D410" s="182" t="inlineStr">
        <is>
          <t>ZI029E100405</t>
        </is>
      </c>
      <c r="E410" s="182" t="inlineStr">
        <is>
          <t>北京高新技术创业投资有限公司</t>
        </is>
      </c>
      <c r="F410" s="716" t="n"/>
      <c r="G410" s="716" t="n"/>
      <c r="H410" s="462" t="n"/>
    </row>
    <row r="411">
      <c r="A411" s="672" t="inlineStr">
        <is>
          <t>E100195</t>
        </is>
      </c>
      <c r="B411" s="767">
        <f>ROW()</f>
        <v/>
      </c>
      <c r="C411" s="182" t="inlineStr">
        <is>
          <t>北京京能高新能源科技有限公司</t>
        </is>
      </c>
      <c r="D411" s="182" t="inlineStr">
        <is>
          <t>ZI029E100191</t>
        </is>
      </c>
      <c r="E411" s="182" t="inlineStr">
        <is>
          <t>北京乐多港发展有限公司</t>
        </is>
      </c>
      <c r="F411" s="716" t="n"/>
      <c r="G411" s="716" t="n"/>
      <c r="H411" s="462" t="n"/>
    </row>
    <row r="412">
      <c r="A412" s="672" t="inlineStr">
        <is>
          <t>E100195</t>
        </is>
      </c>
      <c r="B412" s="767">
        <f>ROW()</f>
        <v/>
      </c>
      <c r="C412" s="182" t="inlineStr">
        <is>
          <t>北京京能高新能源科技有限公司</t>
        </is>
      </c>
      <c r="D412" s="182" t="inlineStr">
        <is>
          <t>ZI029E100371</t>
        </is>
      </c>
      <c r="E412" s="182" t="inlineStr">
        <is>
          <t>北京京能科技有限公司</t>
        </is>
      </c>
      <c r="F412" s="716" t="n"/>
      <c r="G412" s="716" t="n"/>
      <c r="H412" s="462" t="n"/>
    </row>
    <row r="413">
      <c r="A413" s="672" t="inlineStr">
        <is>
          <t>E100142</t>
        </is>
      </c>
      <c r="B413" s="767">
        <f>ROW()</f>
        <v/>
      </c>
      <c r="C413" s="182" t="inlineStr">
        <is>
          <t>北京京能国际能源股份有限公司</t>
        </is>
      </c>
      <c r="D413" s="182" t="inlineStr">
        <is>
          <t>ZI029E100000</t>
        </is>
      </c>
      <c r="E413" s="182" t="inlineStr">
        <is>
          <t>北京能源集团有限责任公司</t>
        </is>
      </c>
      <c r="F413" s="716" t="n"/>
      <c r="G413" s="716" t="n"/>
      <c r="H413" s="462" t="n"/>
    </row>
    <row r="414">
      <c r="A414" s="672" t="inlineStr">
        <is>
          <t>E100142</t>
        </is>
      </c>
      <c r="B414" s="767">
        <f>ROW()</f>
        <v/>
      </c>
      <c r="C414" s="182" t="inlineStr">
        <is>
          <t>北京京能国际能源股份有限公司</t>
        </is>
      </c>
      <c r="D414" s="182" t="inlineStr">
        <is>
          <t>ZI029E100001</t>
        </is>
      </c>
      <c r="E414" s="182" t="inlineStr">
        <is>
          <t>北京京能清洁能源电力股份有限公司</t>
        </is>
      </c>
      <c r="F414" s="716" t="n"/>
      <c r="G414" s="716" t="n"/>
      <c r="H414" s="462" t="n"/>
    </row>
    <row r="415">
      <c r="A415" s="672" t="inlineStr">
        <is>
          <t>E100199</t>
        </is>
      </c>
      <c r="B415" s="767">
        <f>ROW()</f>
        <v/>
      </c>
      <c r="C415" s="182" t="inlineStr">
        <is>
          <t>北京京能国际能源技术有限公司</t>
        </is>
      </c>
      <c r="D415" s="182" t="inlineStr">
        <is>
          <t>ZI029E100197</t>
        </is>
      </c>
      <c r="E415" s="182" t="inlineStr">
        <is>
          <t>北京国际电气工程有限责任公司</t>
        </is>
      </c>
      <c r="F415" s="716" t="n"/>
      <c r="G415" s="716" t="n"/>
      <c r="H415" s="462" t="n"/>
    </row>
    <row r="416">
      <c r="A416" s="672" t="inlineStr">
        <is>
          <t>E100199</t>
        </is>
      </c>
      <c r="B416" s="767">
        <f>ROW()</f>
        <v/>
      </c>
      <c r="C416" s="182" t="inlineStr">
        <is>
          <t>北京京能国际能源技术有限公司</t>
        </is>
      </c>
      <c r="D416" s="182" t="inlineStr">
        <is>
          <t>ZI029E100001</t>
        </is>
      </c>
      <c r="E416" s="182" t="inlineStr">
        <is>
          <t>北京京能清洁能源电力股份有限公司</t>
        </is>
      </c>
      <c r="F416" s="716" t="n"/>
      <c r="G416" s="716" t="n"/>
      <c r="H416" s="462" t="n"/>
    </row>
    <row r="417">
      <c r="A417" s="672" t="inlineStr">
        <is>
          <t>E100261</t>
        </is>
      </c>
      <c r="B417" s="767">
        <f>ROW()</f>
        <v/>
      </c>
      <c r="C417" s="182" t="inlineStr">
        <is>
          <t>北京京能恒星能源科技有限公司</t>
        </is>
      </c>
      <c r="D417" s="182" t="inlineStr">
        <is>
          <t>ZI029E100259</t>
        </is>
      </c>
      <c r="E417" s="182" t="inlineStr">
        <is>
          <t>北京京能热力发展有限公司</t>
        </is>
      </c>
      <c r="F417" s="716" t="n"/>
      <c r="G417" s="716" t="n"/>
      <c r="H417" s="462" t="n"/>
    </row>
    <row r="418">
      <c r="A418" s="672" t="inlineStr">
        <is>
          <t>E100453</t>
        </is>
      </c>
      <c r="B418" s="767">
        <f>ROW()</f>
        <v/>
      </c>
      <c r="C418" s="182" t="inlineStr">
        <is>
          <t>北京京能建设机械安装有限公司</t>
        </is>
      </c>
      <c r="D418" s="182" t="inlineStr">
        <is>
          <t>ZI029E100422</t>
        </is>
      </c>
      <c r="E418" s="182" t="inlineStr">
        <is>
          <t>北京京能建设集团有限公司</t>
        </is>
      </c>
      <c r="F418" s="716" t="n"/>
      <c r="G418" s="716" t="n"/>
      <c r="H418" s="462" t="n"/>
    </row>
    <row r="419">
      <c r="A419" s="672" t="inlineStr">
        <is>
          <t>E100422</t>
        </is>
      </c>
      <c r="B419" s="767">
        <f>ROW()</f>
        <v/>
      </c>
      <c r="C419" s="182" t="inlineStr">
        <is>
          <t>北京京能建设集团有限公司</t>
        </is>
      </c>
      <c r="D419" s="182" t="inlineStr">
        <is>
          <t>ZI029E100000</t>
        </is>
      </c>
      <c r="E419" s="182" t="inlineStr">
        <is>
          <t>北京能源集团有限责任公司</t>
        </is>
      </c>
      <c r="F419" s="716" t="n"/>
      <c r="G419" s="716" t="n"/>
      <c r="H419" s="462" t="n"/>
    </row>
    <row r="420">
      <c r="A420" s="672" t="inlineStr">
        <is>
          <t>E100545</t>
        </is>
      </c>
      <c r="B420" s="767">
        <f>ROW()</f>
        <v/>
      </c>
      <c r="C420" s="182" t="inlineStr">
        <is>
          <t>北京京能京通新能源有限公司</t>
        </is>
      </c>
      <c r="D420" s="182" t="inlineStr">
        <is>
          <t>ZI029E100001</t>
        </is>
      </c>
      <c r="E420" s="182" t="inlineStr">
        <is>
          <t>北京京能清洁能源电力股份有限公司</t>
        </is>
      </c>
      <c r="F420" s="716" t="n"/>
      <c r="G420" s="716" t="n"/>
      <c r="H420" s="462" t="n"/>
    </row>
    <row r="421">
      <c r="A421" s="672" t="inlineStr">
        <is>
          <t>E100371</t>
        </is>
      </c>
      <c r="B421" s="767">
        <f>ROW()</f>
        <v/>
      </c>
      <c r="C421" s="182" t="inlineStr">
        <is>
          <t>北京京能科技有限公司</t>
        </is>
      </c>
      <c r="D421" s="182" t="inlineStr">
        <is>
          <t>ZI029E100000</t>
        </is>
      </c>
      <c r="E421" s="182" t="inlineStr">
        <is>
          <t>北京能源集团有限责任公司</t>
        </is>
      </c>
      <c r="F421" s="716" t="n"/>
      <c r="G421" s="716" t="n"/>
      <c r="H421" s="462" t="n"/>
    </row>
    <row r="422">
      <c r="A422" s="672" t="inlineStr">
        <is>
          <t>E100860</t>
        </is>
      </c>
      <c r="B422" s="767">
        <f>ROW()</f>
        <v/>
      </c>
      <c r="C422" s="182" t="inlineStr">
        <is>
          <t>北京京能绿色能源并购投资基金（有限合伙）</t>
        </is>
      </c>
      <c r="D422" s="182" t="inlineStr">
        <is>
          <t>ZI029E100000</t>
        </is>
      </c>
      <c r="E422" s="182" t="inlineStr">
        <is>
          <t>北京能源集团有限责任公司</t>
        </is>
      </c>
      <c r="F422" s="716" t="n"/>
      <c r="G422" s="716" t="n"/>
      <c r="H422" s="462" t="n"/>
    </row>
    <row r="423">
      <c r="A423" s="672" t="inlineStr">
        <is>
          <t>E100860</t>
        </is>
      </c>
      <c r="B423" s="767">
        <f>ROW()</f>
        <v/>
      </c>
      <c r="C423" s="182" t="inlineStr">
        <is>
          <t>北京京能绿色能源并购投资基金（有限合伙）</t>
        </is>
      </c>
      <c r="D423" s="182" t="inlineStr">
        <is>
          <t>ZI029E100484</t>
        </is>
      </c>
      <c r="E423" s="182" t="inlineStr">
        <is>
          <t>北京京能同鑫投资管理有限公司</t>
        </is>
      </c>
      <c r="F423" s="716" t="n"/>
      <c r="G423" s="716" t="n"/>
      <c r="H423" s="462" t="n"/>
    </row>
    <row r="424">
      <c r="A424" s="672" t="inlineStr">
        <is>
          <t>E100823</t>
        </is>
      </c>
      <c r="B424" s="767">
        <f>ROW()</f>
        <v/>
      </c>
      <c r="C424" s="182" t="inlineStr">
        <is>
          <t>北京京能马坊新能源科技有限公司</t>
        </is>
      </c>
      <c r="D424" s="182" t="inlineStr">
        <is>
          <t>ZI029E100730</t>
        </is>
      </c>
      <c r="E424" s="182" t="inlineStr">
        <is>
          <t>京能国际能源发展（北京）有限公司</t>
        </is>
      </c>
      <c r="F424" s="716" t="n"/>
      <c r="G424" s="716" t="n"/>
      <c r="H424" s="462" t="n"/>
    </row>
    <row r="425">
      <c r="A425" s="672" t="inlineStr">
        <is>
          <t>E100200</t>
        </is>
      </c>
      <c r="B425" s="767">
        <f>ROW()</f>
        <v/>
      </c>
      <c r="C425" s="182" t="inlineStr">
        <is>
          <t>北京京能能源技术研究有限责任公司</t>
        </is>
      </c>
      <c r="D425" s="182" t="inlineStr">
        <is>
          <t>ZI029E100000</t>
        </is>
      </c>
      <c r="E425" s="182" t="inlineStr">
        <is>
          <t>北京能源集团有限责任公司</t>
        </is>
      </c>
      <c r="F425" s="716" t="n"/>
      <c r="G425" s="716" t="n"/>
      <c r="H425" s="462" t="n"/>
    </row>
    <row r="426">
      <c r="A426" s="672" t="inlineStr">
        <is>
          <t>E100200G</t>
        </is>
      </c>
      <c r="B426" s="767">
        <f>ROW()</f>
        <v/>
      </c>
      <c r="C426" s="182" t="inlineStr">
        <is>
          <t>北京京能能源技术研究有限责任公司（合并）</t>
        </is>
      </c>
      <c r="D426" s="182" t="inlineStr">
        <is>
          <t>ZI029E100000</t>
        </is>
      </c>
      <c r="E426" s="182" t="inlineStr">
        <is>
          <t>北京能源集团有限责任公司</t>
        </is>
      </c>
      <c r="F426" s="716" t="n"/>
      <c r="G426" s="716" t="n"/>
      <c r="H426" s="462" t="n"/>
    </row>
    <row r="427">
      <c r="A427" s="672" t="inlineStr">
        <is>
          <t>E100858</t>
        </is>
      </c>
      <c r="B427" s="767">
        <f>ROW()</f>
        <v/>
      </c>
      <c r="C427" s="182" t="inlineStr">
        <is>
          <t>北京京能能源科技并购投资基金（有限合伙）</t>
        </is>
      </c>
      <c r="D427" s="182" t="inlineStr">
        <is>
          <t>ZI029E100000</t>
        </is>
      </c>
      <c r="E427" s="182" t="inlineStr">
        <is>
          <t>北京能源集团有限责任公司</t>
        </is>
      </c>
      <c r="F427" s="716" t="n"/>
      <c r="G427" s="716" t="n"/>
      <c r="H427" s="462" t="n"/>
    </row>
    <row r="428">
      <c r="A428" s="672" t="inlineStr">
        <is>
          <t>E100858</t>
        </is>
      </c>
      <c r="B428" s="767">
        <f>ROW()</f>
        <v/>
      </c>
      <c r="C428" s="182" t="inlineStr">
        <is>
          <t>北京京能能源科技并购投资基金（有限合伙）</t>
        </is>
      </c>
      <c r="D428" s="182" t="inlineStr">
        <is>
          <t>ZI029E100484</t>
        </is>
      </c>
      <c r="E428" s="182" t="inlineStr">
        <is>
          <t>北京京能同鑫投资管理有限公司</t>
        </is>
      </c>
      <c r="F428" s="716" t="n"/>
      <c r="G428" s="716" t="n"/>
      <c r="H428" s="462" t="n"/>
    </row>
    <row r="429">
      <c r="A429" s="672" t="inlineStr">
        <is>
          <t>E100725</t>
        </is>
      </c>
      <c r="B429" s="767">
        <f>ROW()</f>
        <v/>
      </c>
      <c r="C429" s="182" t="inlineStr">
        <is>
          <t>北京京能氢源科技有限公司</t>
        </is>
      </c>
      <c r="D429" s="182" t="inlineStr">
        <is>
          <t>ZI029E100371</t>
        </is>
      </c>
      <c r="E429" s="182" t="inlineStr">
        <is>
          <t>北京京能科技有限公司</t>
        </is>
      </c>
      <c r="F429" s="716" t="n"/>
      <c r="G429" s="716" t="n"/>
      <c r="H429" s="462" t="n"/>
    </row>
    <row r="430">
      <c r="A430" s="672" t="inlineStr">
        <is>
          <t>E100725</t>
        </is>
      </c>
      <c r="B430" s="767">
        <f>ROW()</f>
        <v/>
      </c>
      <c r="C430" s="182" t="inlineStr">
        <is>
          <t>北京京能氢源科技有限公司</t>
        </is>
      </c>
      <c r="D430" s="182" t="inlineStr">
        <is>
          <t>ZI029E100000</t>
        </is>
      </c>
      <c r="E430" s="182" t="inlineStr">
        <is>
          <t>北京能源集团有限责任公司</t>
        </is>
      </c>
      <c r="F430" s="716" t="n"/>
      <c r="G430" s="716" t="n"/>
      <c r="H430" s="462" t="n"/>
    </row>
    <row r="431">
      <c r="A431" s="672" t="inlineStr">
        <is>
          <t>E100561</t>
        </is>
      </c>
      <c r="B431" s="767">
        <f>ROW()</f>
        <v/>
      </c>
      <c r="C431" s="182" t="inlineStr">
        <is>
          <t>北京京能清洁能源（澳洲）控股有限公司</t>
        </is>
      </c>
      <c r="D431" s="182" t="inlineStr">
        <is>
          <t>ZI029E100543</t>
        </is>
      </c>
      <c r="E431" s="182" t="inlineStr">
        <is>
          <t>北京京能清洁能源电力股份（香港）有限公司</t>
        </is>
      </c>
      <c r="F431" s="716" t="n"/>
      <c r="G431" s="716" t="n"/>
      <c r="H431" s="462" t="n"/>
    </row>
    <row r="432">
      <c r="A432" s="672" t="inlineStr">
        <is>
          <t>E100561</t>
        </is>
      </c>
      <c r="B432" s="767">
        <f>ROW()</f>
        <v/>
      </c>
      <c r="C432" s="182" t="inlineStr">
        <is>
          <t>北京京能清洁能源（澳洲）控股有限公司</t>
        </is>
      </c>
      <c r="D432" s="182" t="inlineStr">
        <is>
          <t>ZI029E101045</t>
        </is>
      </c>
      <c r="E432" s="182" t="inlineStr">
        <is>
          <t>Beijing Energy International （Australia） Holding Pty Ltd</t>
        </is>
      </c>
      <c r="F432" s="716" t="n"/>
      <c r="G432" s="716" t="n"/>
      <c r="H432" s="462" t="n"/>
    </row>
    <row r="433">
      <c r="A433" s="672" t="inlineStr">
        <is>
          <t>E100543</t>
        </is>
      </c>
      <c r="B433" s="767">
        <f>ROW()</f>
        <v/>
      </c>
      <c r="C433" s="182" t="inlineStr">
        <is>
          <t>北京京能清洁能源电力股份（香港）有限公司</t>
        </is>
      </c>
      <c r="D433" s="182" t="inlineStr">
        <is>
          <t>ZI029E100001</t>
        </is>
      </c>
      <c r="E433" s="182" t="inlineStr">
        <is>
          <t>北京京能清洁能源电力股份有限公司</t>
        </is>
      </c>
      <c r="F433" s="716" t="n"/>
      <c r="G433" s="716" t="n"/>
      <c r="H433" s="462" t="n"/>
    </row>
    <row r="434">
      <c r="A434" s="672" t="inlineStr">
        <is>
          <t>E100543G</t>
        </is>
      </c>
      <c r="B434" s="767">
        <f>ROW()</f>
        <v/>
      </c>
      <c r="C434" s="182" t="inlineStr">
        <is>
          <t>北京京能清洁能源电力股份（香港）有限公司（合并）</t>
        </is>
      </c>
      <c r="D434" s="182" t="inlineStr">
        <is>
          <t>ZI029E100001</t>
        </is>
      </c>
      <c r="E434" s="182" t="inlineStr">
        <is>
          <t>北京京能清洁能源电力股份有限公司</t>
        </is>
      </c>
      <c r="F434" s="716" t="n"/>
      <c r="G434" s="716" t="n"/>
      <c r="H434" s="462" t="n"/>
    </row>
    <row r="435">
      <c r="A435" s="672" t="inlineStr">
        <is>
          <t>E100001</t>
        </is>
      </c>
      <c r="B435" s="767">
        <f>ROW()</f>
        <v/>
      </c>
      <c r="C435" s="182" t="inlineStr">
        <is>
          <t>北京京能清洁能源电力股份有限公司</t>
        </is>
      </c>
      <c r="D435" s="182" t="inlineStr">
        <is>
          <t>ZI029E100000</t>
        </is>
      </c>
      <c r="E435" s="182" t="inlineStr">
        <is>
          <t>北京能源集团有限责任公司</t>
        </is>
      </c>
      <c r="F435" s="716" t="n"/>
      <c r="G435" s="716" t="n"/>
      <c r="H435" s="462" t="n"/>
    </row>
    <row r="436">
      <c r="A436" s="672" t="inlineStr">
        <is>
          <t>E100001</t>
        </is>
      </c>
      <c r="B436" s="767">
        <f>ROW()</f>
        <v/>
      </c>
      <c r="C436" s="182" t="inlineStr">
        <is>
          <t>北京京能清洁能源电力股份有限公司</t>
        </is>
      </c>
      <c r="D436" s="182" t="inlineStr">
        <is>
          <t>ZI029E100197</t>
        </is>
      </c>
      <c r="E436" s="182" t="inlineStr">
        <is>
          <t>北京国际电气工程有限责任公司</t>
        </is>
      </c>
      <c r="F436" s="716" t="n"/>
      <c r="G436" s="716" t="n"/>
      <c r="H436" s="462" t="n"/>
    </row>
    <row r="437">
      <c r="A437" s="672" t="inlineStr">
        <is>
          <t>E100001</t>
        </is>
      </c>
      <c r="B437" s="767">
        <f>ROW()</f>
        <v/>
      </c>
      <c r="C437" s="182" t="inlineStr">
        <is>
          <t>北京京能清洁能源电力股份有限公司</t>
        </is>
      </c>
      <c r="D437" s="182" t="inlineStr">
        <is>
          <t>ZI029E100222</t>
        </is>
      </c>
      <c r="E437" s="182" t="inlineStr">
        <is>
          <t>北京市热力集团有限责任公司</t>
        </is>
      </c>
      <c r="F437" s="716" t="n"/>
      <c r="G437" s="716" t="n"/>
      <c r="H437" s="462" t="n"/>
    </row>
    <row r="438">
      <c r="A438" s="672" t="inlineStr">
        <is>
          <t>E100001</t>
        </is>
      </c>
      <c r="B438" s="767">
        <f>ROW()</f>
        <v/>
      </c>
      <c r="C438" s="182" t="inlineStr">
        <is>
          <t>北京京能清洁能源电力股份有限公司</t>
        </is>
      </c>
      <c r="D438" s="182" t="inlineStr">
        <is>
          <t>ZI029E100559</t>
        </is>
      </c>
      <c r="E438" s="182" t="inlineStr">
        <is>
          <t>北京能源投资集团（香港）有限公司</t>
        </is>
      </c>
      <c r="F438" s="716" t="n"/>
      <c r="G438" s="716" t="n"/>
      <c r="H438" s="462" t="n"/>
    </row>
    <row r="439">
      <c r="A439" s="672" t="inlineStr">
        <is>
          <t>E100001G</t>
        </is>
      </c>
      <c r="B439" s="767">
        <f>ROW()</f>
        <v/>
      </c>
      <c r="C439" s="182" t="inlineStr">
        <is>
          <t>北京京能清洁能源电力股份有限公司（合并）</t>
        </is>
      </c>
      <c r="D439" s="182" t="inlineStr">
        <is>
          <t>ZI029E100000</t>
        </is>
      </c>
      <c r="E439" s="182" t="inlineStr">
        <is>
          <t>北京能源集团有限责任公司</t>
        </is>
      </c>
      <c r="F439" s="716" t="n"/>
      <c r="G439" s="716" t="n"/>
      <c r="H439" s="462" t="n"/>
    </row>
    <row r="440">
      <c r="A440" s="672" t="inlineStr">
        <is>
          <t>E100001G</t>
        </is>
      </c>
      <c r="B440" s="767">
        <f>ROW()</f>
        <v/>
      </c>
      <c r="C440" s="182" t="inlineStr">
        <is>
          <t>北京京能清洁能源电力股份有限公司（合并）</t>
        </is>
      </c>
      <c r="D440" s="182" t="inlineStr">
        <is>
          <t>ZI029E100197</t>
        </is>
      </c>
      <c r="E440" s="182" t="inlineStr">
        <is>
          <t>北京国际电气工程有限责任公司</t>
        </is>
      </c>
      <c r="F440" s="716" t="n"/>
      <c r="G440" s="716" t="n"/>
      <c r="H440" s="462" t="n"/>
    </row>
    <row r="441">
      <c r="A441" s="672" t="inlineStr">
        <is>
          <t>E100001G</t>
        </is>
      </c>
      <c r="B441" s="767">
        <f>ROW()</f>
        <v/>
      </c>
      <c r="C441" s="182" t="inlineStr">
        <is>
          <t>北京京能清洁能源电力股份有限公司（合并）</t>
        </is>
      </c>
      <c r="D441" s="182" t="inlineStr">
        <is>
          <t>ZI029E100222</t>
        </is>
      </c>
      <c r="E441" s="182" t="inlineStr">
        <is>
          <t>北京市热力集团有限责任公司</t>
        </is>
      </c>
      <c r="F441" s="716" t="n"/>
      <c r="G441" s="716" t="n"/>
      <c r="H441" s="462" t="n"/>
    </row>
    <row r="442">
      <c r="A442" s="672" t="inlineStr">
        <is>
          <t>E100001G</t>
        </is>
      </c>
      <c r="B442" s="767">
        <f>ROW()</f>
        <v/>
      </c>
      <c r="C442" s="182" t="inlineStr">
        <is>
          <t>北京京能清洁能源电力股份有限公司（合并）</t>
        </is>
      </c>
      <c r="D442" s="182" t="inlineStr">
        <is>
          <t>ZI029E100559</t>
        </is>
      </c>
      <c r="E442" s="182" t="inlineStr">
        <is>
          <t>北京能源投资集团（香港）有限公司</t>
        </is>
      </c>
      <c r="F442" s="716" t="n"/>
      <c r="G442" s="716" t="n"/>
      <c r="H442" s="462" t="n"/>
    </row>
    <row r="443">
      <c r="A443" s="672" t="inlineStr">
        <is>
          <t>E100001H</t>
        </is>
      </c>
      <c r="B443" s="767">
        <f>ROW()</f>
        <v/>
      </c>
      <c r="C443" s="182" t="inlineStr">
        <is>
          <t>北京京能清洁能源电力股份有限公司（合并）本部</t>
        </is>
      </c>
      <c r="D443" s="182" t="inlineStr">
        <is>
          <t>ZI029E100000</t>
        </is>
      </c>
      <c r="E443" s="182" t="inlineStr">
        <is>
          <t>北京能源集团有限责任公司</t>
        </is>
      </c>
      <c r="F443" s="716" t="n"/>
      <c r="G443" s="716" t="n"/>
      <c r="H443" s="462" t="n"/>
    </row>
    <row r="444">
      <c r="A444" s="672" t="inlineStr">
        <is>
          <t>E100001H</t>
        </is>
      </c>
      <c r="B444" s="767">
        <f>ROW()</f>
        <v/>
      </c>
      <c r="C444" s="182" t="inlineStr">
        <is>
          <t>北京京能清洁能源电力股份有限公司（合并）本部</t>
        </is>
      </c>
      <c r="D444" s="182" t="inlineStr">
        <is>
          <t>ZI029E100197</t>
        </is>
      </c>
      <c r="E444" s="182" t="inlineStr">
        <is>
          <t>北京国际电气工程有限责任公司</t>
        </is>
      </c>
      <c r="F444" s="716" t="n"/>
      <c r="G444" s="716" t="n"/>
      <c r="H444" s="462" t="n"/>
    </row>
    <row r="445">
      <c r="A445" s="672" t="inlineStr">
        <is>
          <t>E100001H</t>
        </is>
      </c>
      <c r="B445" s="767">
        <f>ROW()</f>
        <v/>
      </c>
      <c r="C445" s="182" t="inlineStr">
        <is>
          <t>北京京能清洁能源电力股份有限公司（合并）本部</t>
        </is>
      </c>
      <c r="D445" s="182" t="inlineStr">
        <is>
          <t>ZI029E100222</t>
        </is>
      </c>
      <c r="E445" s="182" t="inlineStr">
        <is>
          <t>北京市热力集团有限责任公司</t>
        </is>
      </c>
      <c r="F445" s="716" t="n"/>
      <c r="G445" s="716" t="n"/>
      <c r="H445" s="462" t="n"/>
    </row>
    <row r="446">
      <c r="A446" s="672" t="inlineStr">
        <is>
          <t>E100001H</t>
        </is>
      </c>
      <c r="B446" s="767">
        <f>ROW()</f>
        <v/>
      </c>
      <c r="C446" s="182" t="inlineStr">
        <is>
          <t>北京京能清洁能源电力股份有限公司（合并）本部</t>
        </is>
      </c>
      <c r="D446" s="182" t="inlineStr">
        <is>
          <t>ZI029E100559</t>
        </is>
      </c>
      <c r="E446" s="182" t="inlineStr">
        <is>
          <t>北京能源投资集团（香港）有限公司</t>
        </is>
      </c>
      <c r="F446" s="716" t="n"/>
      <c r="G446" s="716" t="n"/>
      <c r="H446" s="462" t="n"/>
    </row>
    <row r="447">
      <c r="A447" s="672" t="inlineStr">
        <is>
          <t>E100792</t>
        </is>
      </c>
      <c r="B447" s="767">
        <f>ROW()</f>
        <v/>
      </c>
      <c r="C447" s="182" t="inlineStr">
        <is>
          <t>北京京能清洁能源电力股份有限公司新疆分公司</t>
        </is>
      </c>
      <c r="D447" s="182" t="inlineStr">
        <is>
          <t>ZI029E100001</t>
        </is>
      </c>
      <c r="E447" s="182" t="inlineStr">
        <is>
          <t>北京京能清洁能源电力股份有限公司</t>
        </is>
      </c>
      <c r="F447" s="716" t="n"/>
      <c r="G447" s="716" t="n"/>
      <c r="H447" s="462" t="n"/>
    </row>
    <row r="448">
      <c r="A448" s="672" t="inlineStr">
        <is>
          <t>E100259</t>
        </is>
      </c>
      <c r="B448" s="767">
        <f>ROW()</f>
        <v/>
      </c>
      <c r="C448" s="182" t="inlineStr">
        <is>
          <t>北京京能热力发展有限公司</t>
        </is>
      </c>
      <c r="D448" s="182" t="inlineStr">
        <is>
          <t>ZI029E100000</t>
        </is>
      </c>
      <c r="E448" s="182" t="inlineStr">
        <is>
          <t>北京能源集团有限责任公司</t>
        </is>
      </c>
      <c r="F448" s="716" t="n"/>
      <c r="G448" s="716" t="n"/>
      <c r="H448" s="462" t="n"/>
    </row>
    <row r="449">
      <c r="A449" s="672" t="inlineStr">
        <is>
          <t>E100259</t>
        </is>
      </c>
      <c r="B449" s="767">
        <f>ROW()</f>
        <v/>
      </c>
      <c r="C449" s="182" t="inlineStr">
        <is>
          <t>北京京能热力发展有限公司</t>
        </is>
      </c>
      <c r="D449" s="182" t="inlineStr">
        <is>
          <t>ZI029E100222</t>
        </is>
      </c>
      <c r="E449" s="182" t="inlineStr">
        <is>
          <t>北京市热力集团有限责任公司</t>
        </is>
      </c>
      <c r="F449" s="716" t="n"/>
      <c r="G449" s="716" t="n"/>
      <c r="H449" s="462" t="n"/>
    </row>
    <row r="450">
      <c r="A450" s="672" t="inlineStr">
        <is>
          <t>E100259G</t>
        </is>
      </c>
      <c r="B450" s="767">
        <f>ROW()</f>
        <v/>
      </c>
      <c r="C450" s="182" t="inlineStr">
        <is>
          <t>北京京能热力发展有限公司（合并）</t>
        </is>
      </c>
      <c r="D450" s="182" t="inlineStr">
        <is>
          <t>ZI029E100000</t>
        </is>
      </c>
      <c r="E450" s="182" t="inlineStr">
        <is>
          <t>北京能源集团有限责任公司</t>
        </is>
      </c>
      <c r="F450" s="716" t="n"/>
      <c r="G450" s="716" t="n"/>
      <c r="H450" s="462" t="n"/>
    </row>
    <row r="451">
      <c r="A451" s="672" t="inlineStr">
        <is>
          <t>E100259G</t>
        </is>
      </c>
      <c r="B451" s="767">
        <f>ROW()</f>
        <v/>
      </c>
      <c r="C451" s="182" t="inlineStr">
        <is>
          <t>北京京能热力发展有限公司（合并）</t>
        </is>
      </c>
      <c r="D451" s="182" t="inlineStr">
        <is>
          <t>ZI029E100222</t>
        </is>
      </c>
      <c r="E451" s="182" t="inlineStr">
        <is>
          <t>北京市热力集团有限责任公司</t>
        </is>
      </c>
      <c r="F451" s="716" t="n"/>
      <c r="G451" s="716" t="n"/>
      <c r="H451" s="462" t="n"/>
    </row>
    <row r="452">
      <c r="A452" s="672" t="inlineStr">
        <is>
          <t>E100196</t>
        </is>
      </c>
      <c r="B452" s="767">
        <f>ROW()</f>
        <v/>
      </c>
      <c r="C452" s="182" t="inlineStr">
        <is>
          <t>北京京能人力资源服务有限公司</t>
        </is>
      </c>
      <c r="D452" s="182" t="inlineStr">
        <is>
          <t>ZI029E100000</t>
        </is>
      </c>
      <c r="E452" s="182" t="inlineStr">
        <is>
          <t>北京能源集团有限责任公司</t>
        </is>
      </c>
      <c r="F452" s="716" t="n"/>
      <c r="G452" s="716" t="n"/>
      <c r="H452" s="462" t="n"/>
    </row>
    <row r="453">
      <c r="A453" s="672" t="inlineStr">
        <is>
          <t>E100106</t>
        </is>
      </c>
      <c r="B453" s="767">
        <f>ROW()</f>
        <v/>
      </c>
      <c r="C453" s="182" t="inlineStr">
        <is>
          <t>北京京能融资租赁有限公司</t>
        </is>
      </c>
      <c r="D453" s="182" t="inlineStr">
        <is>
          <t>ZI029E100000</t>
        </is>
      </c>
      <c r="E453" s="182" t="inlineStr">
        <is>
          <t>北京能源集团有限责任公司</t>
        </is>
      </c>
      <c r="F453" s="716" t="n"/>
      <c r="G453" s="716" t="n"/>
      <c r="H453" s="462" t="n"/>
    </row>
    <row r="454">
      <c r="A454" s="672" t="inlineStr">
        <is>
          <t>E100484</t>
        </is>
      </c>
      <c r="B454" s="767">
        <f>ROW()</f>
        <v/>
      </c>
      <c r="C454" s="182" t="inlineStr">
        <is>
          <t>北京京能同鑫投资管理有限公司</t>
        </is>
      </c>
      <c r="D454" s="182" t="inlineStr">
        <is>
          <t>ZI029E100000</t>
        </is>
      </c>
      <c r="E454" s="182" t="inlineStr">
        <is>
          <t>北京能源集团有限责任公司</t>
        </is>
      </c>
      <c r="F454" s="716" t="n"/>
      <c r="G454" s="716" t="n"/>
      <c r="H454" s="462" t="n"/>
    </row>
    <row r="455">
      <c r="A455" s="672" t="inlineStr">
        <is>
          <t>E100010</t>
        </is>
      </c>
      <c r="B455" s="767">
        <f>ROW()</f>
        <v/>
      </c>
      <c r="C455" s="182" t="inlineStr">
        <is>
          <t>北京京能未来燃气热电有限公司</t>
        </is>
      </c>
      <c r="D455" s="182" t="inlineStr">
        <is>
          <t>ZI029E100001</t>
        </is>
      </c>
      <c r="E455" s="182" t="inlineStr">
        <is>
          <t>北京京能清洁能源电力股份有限公司</t>
        </is>
      </c>
      <c r="F455" s="716" t="n"/>
      <c r="G455" s="716" t="n"/>
      <c r="H455" s="462" t="n"/>
    </row>
    <row r="456">
      <c r="A456" s="672" t="inlineStr">
        <is>
          <t>E100014</t>
        </is>
      </c>
      <c r="B456" s="767">
        <f>ROW()</f>
        <v/>
      </c>
      <c r="C456" s="182" t="inlineStr">
        <is>
          <t>北京京能新能源有限公司</t>
        </is>
      </c>
      <c r="D456" s="182" t="inlineStr">
        <is>
          <t>ZI029E100001</t>
        </is>
      </c>
      <c r="E456" s="182" t="inlineStr">
        <is>
          <t>北京京能清洁能源电力股份有限公司</t>
        </is>
      </c>
      <c r="F456" s="716" t="n"/>
      <c r="G456" s="716" t="n"/>
      <c r="H456" s="462" t="n"/>
    </row>
    <row r="457">
      <c r="A457" s="672" t="inlineStr">
        <is>
          <t>E100014G</t>
        </is>
      </c>
      <c r="B457" s="767">
        <f>ROW()</f>
        <v/>
      </c>
      <c r="C457" s="182" t="inlineStr">
        <is>
          <t>北京京能新能源有限公司（合并）</t>
        </is>
      </c>
      <c r="D457" s="182" t="inlineStr">
        <is>
          <t>ZI029E100001</t>
        </is>
      </c>
      <c r="E457" s="182" t="inlineStr">
        <is>
          <t>北京京能清洁能源电力股份有限公司</t>
        </is>
      </c>
      <c r="F457" s="716" t="n"/>
      <c r="G457" s="716" t="n"/>
      <c r="H457" s="462" t="n"/>
    </row>
    <row r="458">
      <c r="A458" s="672" t="inlineStr">
        <is>
          <t>E100014H</t>
        </is>
      </c>
      <c r="B458" s="767">
        <f>ROW()</f>
        <v/>
      </c>
      <c r="C458" s="182" t="inlineStr">
        <is>
          <t>北京京能新能源有限公司（合并）</t>
        </is>
      </c>
      <c r="D458" s="182" t="inlineStr">
        <is>
          <t>ZI029E100001</t>
        </is>
      </c>
      <c r="E458" s="182" t="inlineStr">
        <is>
          <t>北京京能清洁能源电力股份有限公司</t>
        </is>
      </c>
      <c r="F458" s="716" t="n"/>
      <c r="G458" s="716" t="n"/>
      <c r="H458" s="462" t="n"/>
    </row>
    <row r="459">
      <c r="A459" s="672" t="inlineStr">
        <is>
          <t>E100198</t>
        </is>
      </c>
      <c r="B459" s="767">
        <f>ROW()</f>
        <v/>
      </c>
      <c r="C459" s="182" t="inlineStr">
        <is>
          <t>北京京能信息技术有限公司</t>
        </is>
      </c>
      <c r="D459" s="182" t="inlineStr">
        <is>
          <t>ZI029E100000</t>
        </is>
      </c>
      <c r="E459" s="182" t="inlineStr">
        <is>
          <t>北京能源集团有限责任公司</t>
        </is>
      </c>
      <c r="F459" s="716" t="n"/>
      <c r="G459" s="716" t="n"/>
      <c r="H459" s="462" t="n"/>
    </row>
    <row r="460">
      <c r="A460" s="672" t="inlineStr">
        <is>
          <t>E100198</t>
        </is>
      </c>
      <c r="B460" s="767">
        <f>ROW()</f>
        <v/>
      </c>
      <c r="C460" s="182" t="inlineStr">
        <is>
          <t>北京京能信息技术有限公司</t>
        </is>
      </c>
      <c r="D460" s="182" t="inlineStr">
        <is>
          <t>ZI029E100197</t>
        </is>
      </c>
      <c r="E460" s="182" t="inlineStr">
        <is>
          <t>北京国际电气工程有限责任公司</t>
        </is>
      </c>
      <c r="F460" s="716" t="n"/>
      <c r="G460" s="716" t="n"/>
      <c r="H460" s="462" t="n"/>
    </row>
    <row r="461">
      <c r="A461" s="672" t="inlineStr">
        <is>
          <t>E100244</t>
        </is>
      </c>
      <c r="B461" s="767">
        <f>ROW()</f>
        <v/>
      </c>
      <c r="C461" s="182" t="inlineStr">
        <is>
          <t>北京京能延庆热力有限责任公司</t>
        </is>
      </c>
      <c r="D461" s="182" t="inlineStr">
        <is>
          <t>ZI029E100259</t>
        </is>
      </c>
      <c r="E461" s="182" t="inlineStr">
        <is>
          <t>北京京能热力发展有限公司</t>
        </is>
      </c>
      <c r="F461" s="716" t="n"/>
      <c r="G461" s="716" t="n"/>
      <c r="H461" s="462" t="n"/>
    </row>
    <row r="462">
      <c r="A462" s="672" t="inlineStr">
        <is>
          <t>E100946</t>
        </is>
      </c>
      <c r="B462" s="767">
        <f>ROW()</f>
        <v/>
      </c>
      <c r="C462" s="182" t="inlineStr">
        <is>
          <t>北京京能雁栖新能源技术有限公司</t>
        </is>
      </c>
      <c r="D462" s="182" t="inlineStr">
        <is>
          <t>ZI029E100730</t>
        </is>
      </c>
      <c r="E462" s="182" t="inlineStr">
        <is>
          <t>京能国际能源发展（北京）有限公司</t>
        </is>
      </c>
      <c r="F462" s="716" t="n"/>
      <c r="G462" s="716" t="n"/>
      <c r="H462" s="462" t="n"/>
    </row>
    <row r="463">
      <c r="A463" s="672" t="inlineStr">
        <is>
          <t>E100566</t>
        </is>
      </c>
      <c r="B463" s="767">
        <f>ROW()</f>
        <v/>
      </c>
      <c r="C463" s="182" t="inlineStr">
        <is>
          <t>北京京能燕开综合能源服务有限公司</t>
        </is>
      </c>
      <c r="D463" s="182" t="inlineStr">
        <is>
          <t>ZI029E100405</t>
        </is>
      </c>
      <c r="E463" s="182" t="inlineStr">
        <is>
          <t>北京高新技术创业投资有限公司</t>
        </is>
      </c>
      <c r="F463" s="716" t="n"/>
      <c r="G463" s="716" t="n"/>
      <c r="H463" s="462" t="n"/>
    </row>
    <row r="464">
      <c r="A464" s="672" t="inlineStr">
        <is>
          <t>E100345</t>
        </is>
      </c>
      <c r="B464" s="767">
        <f>ROW()</f>
        <v/>
      </c>
      <c r="C464" s="182" t="inlineStr">
        <is>
          <t>北京京能颐寿养老服务有限公司</t>
        </is>
      </c>
      <c r="D464" s="182" t="inlineStr">
        <is>
          <t>ZI029E100268</t>
        </is>
      </c>
      <c r="E464" s="182" t="inlineStr">
        <is>
          <t>北京京煤集团有限责任公司</t>
        </is>
      </c>
      <c r="F464" s="716" t="n"/>
      <c r="G464" s="716" t="n"/>
      <c r="H464" s="462" t="n"/>
    </row>
    <row r="465">
      <c r="A465" s="672" t="inlineStr">
        <is>
          <t>E100218</t>
        </is>
      </c>
      <c r="B465" s="767">
        <f>ROW()</f>
        <v/>
      </c>
      <c r="C465" s="182" t="inlineStr">
        <is>
          <t>北京京能油气资源开发有限公司</t>
        </is>
      </c>
      <c r="D465" s="182" t="inlineStr">
        <is>
          <t>ZI029E100000</t>
        </is>
      </c>
      <c r="E465" s="182" t="inlineStr">
        <is>
          <t>北京能源集团有限责任公司</t>
        </is>
      </c>
      <c r="F465" s="716" t="n"/>
      <c r="G465" s="716" t="n"/>
      <c r="H465" s="462" t="n"/>
    </row>
    <row r="466">
      <c r="A466" s="672" t="inlineStr">
        <is>
          <t>E100218G</t>
        </is>
      </c>
      <c r="B466" s="767">
        <f>ROW()</f>
        <v/>
      </c>
      <c r="C466" s="182" t="inlineStr">
        <is>
          <t>北京京能油气资源开发有限公司（合并）</t>
        </is>
      </c>
      <c r="D466" s="182" t="inlineStr">
        <is>
          <t>ZI029E100000</t>
        </is>
      </c>
      <c r="E466" s="182" t="inlineStr">
        <is>
          <t>北京能源集团有限责任公司</t>
        </is>
      </c>
      <c r="F466" s="716" t="n"/>
      <c r="G466" s="716" t="n"/>
      <c r="H466" s="462" t="n"/>
    </row>
    <row r="467">
      <c r="A467" s="672" t="inlineStr">
        <is>
          <t>E100426</t>
        </is>
      </c>
      <c r="B467" s="767">
        <f>ROW()</f>
        <v/>
      </c>
      <c r="C467" s="182" t="inlineStr">
        <is>
          <t>北京京能云泰房地产开发有限公司</t>
        </is>
      </c>
      <c r="D467" s="182" t="inlineStr">
        <is>
          <t>ZI029E100000</t>
        </is>
      </c>
      <c r="E467" s="182" t="inlineStr">
        <is>
          <t>北京能源集团有限责任公司</t>
        </is>
      </c>
      <c r="F467" s="716" t="n"/>
      <c r="G467" s="716" t="n"/>
      <c r="H467" s="462" t="n"/>
    </row>
    <row r="468">
      <c r="A468" s="672" t="inlineStr">
        <is>
          <t>E100426</t>
        </is>
      </c>
      <c r="B468" s="767">
        <f>ROW()</f>
        <v/>
      </c>
      <c r="C468" s="182" t="inlineStr">
        <is>
          <t>北京京能云泰房地产开发有限公司</t>
        </is>
      </c>
      <c r="D468" s="182" t="inlineStr">
        <is>
          <t>ZI029E100420</t>
        </is>
      </c>
      <c r="E468" s="182" t="inlineStr">
        <is>
          <t>京能置业股份有限公司</t>
        </is>
      </c>
      <c r="F468" s="716" t="n"/>
      <c r="G468" s="716" t="n"/>
      <c r="H468" s="462" t="n"/>
    </row>
    <row r="469">
      <c r="A469" s="672" t="inlineStr">
        <is>
          <t>E100102</t>
        </is>
      </c>
      <c r="B469" s="767">
        <f>ROW()</f>
        <v/>
      </c>
      <c r="C469" s="182" t="inlineStr">
        <is>
          <t>北京京能招标集采中心有限责任公司</t>
        </is>
      </c>
      <c r="D469" s="182" t="inlineStr">
        <is>
          <t>ZI029E100000</t>
        </is>
      </c>
      <c r="E469" s="182" t="inlineStr">
        <is>
          <t>北京能源集团有限责任公司</t>
        </is>
      </c>
      <c r="F469" s="716" t="n"/>
      <c r="G469" s="716" t="n"/>
      <c r="H469" s="462" t="n"/>
    </row>
    <row r="470">
      <c r="A470" s="672" t="inlineStr">
        <is>
          <t>E100005</t>
        </is>
      </c>
      <c r="B470" s="767">
        <f>ROW()</f>
        <v/>
      </c>
      <c r="C470" s="182" t="inlineStr">
        <is>
          <t>北京京桥热电有限责任公司</t>
        </is>
      </c>
      <c r="D470" s="182" t="inlineStr">
        <is>
          <t>ZI029E100001</t>
        </is>
      </c>
      <c r="E470" s="182" t="inlineStr">
        <is>
          <t>北京京能清洁能源电力股份有限公司</t>
        </is>
      </c>
      <c r="F470" s="716" t="n"/>
      <c r="G470" s="716" t="n"/>
      <c r="H470" s="462" t="n"/>
    </row>
    <row r="471">
      <c r="A471" s="672" t="inlineStr">
        <is>
          <t>E100300</t>
        </is>
      </c>
      <c r="B471" s="767">
        <f>ROW()</f>
        <v/>
      </c>
      <c r="C471" s="182" t="inlineStr">
        <is>
          <t>北京京西晨光饭店有限责任公司</t>
        </is>
      </c>
      <c r="D471" s="182" t="inlineStr">
        <is>
          <t>ZI029E100293</t>
        </is>
      </c>
      <c r="E471" s="182" t="inlineStr">
        <is>
          <t>北京京能酒店管理有限公司</t>
        </is>
      </c>
      <c r="F471" s="716" t="n"/>
      <c r="G471" s="716" t="n"/>
      <c r="H471" s="462" t="n"/>
    </row>
    <row r="472">
      <c r="A472" s="672" t="inlineStr">
        <is>
          <t>E100007</t>
        </is>
      </c>
      <c r="B472" s="767">
        <f>ROW()</f>
        <v/>
      </c>
      <c r="C472" s="182" t="inlineStr">
        <is>
          <t>北京京西发电有限责任公司</t>
        </is>
      </c>
      <c r="D472" s="182" t="inlineStr">
        <is>
          <t>ZI029E100000</t>
        </is>
      </c>
      <c r="E472" s="182" t="inlineStr">
        <is>
          <t>北京能源集团有限责任公司</t>
        </is>
      </c>
      <c r="F472" s="716" t="n"/>
      <c r="G472" s="716" t="n"/>
      <c r="H472" s="462" t="n"/>
    </row>
    <row r="473">
      <c r="A473" s="672" t="inlineStr">
        <is>
          <t>E100454</t>
        </is>
      </c>
      <c r="B473" s="767">
        <f>ROW()</f>
        <v/>
      </c>
      <c r="C473" s="182" t="inlineStr">
        <is>
          <t>北京京西建筑勘察设计院有限公司</t>
        </is>
      </c>
      <c r="D473" s="182" t="inlineStr">
        <is>
          <t>ZI029E100422</t>
        </is>
      </c>
      <c r="E473" s="182" t="inlineStr">
        <is>
          <t>北京京能建设集团有限公司</t>
        </is>
      </c>
      <c r="F473" s="716" t="n"/>
      <c r="G473" s="716" t="n"/>
      <c r="H473" s="462" t="n"/>
    </row>
    <row r="474">
      <c r="A474" s="672" t="inlineStr">
        <is>
          <t>E100006</t>
        </is>
      </c>
      <c r="B474" s="767">
        <f>ROW()</f>
        <v/>
      </c>
      <c r="C474" s="182" t="inlineStr">
        <is>
          <t>北京京西燃气热电有限公司</t>
        </is>
      </c>
      <c r="D474" s="182" t="inlineStr">
        <is>
          <t>ZI029E100001</t>
        </is>
      </c>
      <c r="E474" s="182" t="inlineStr">
        <is>
          <t>北京京能清洁能源电力股份有限公司</t>
        </is>
      </c>
      <c r="F474" s="716" t="n"/>
      <c r="G474" s="716" t="n"/>
      <c r="H474" s="462" t="n"/>
    </row>
    <row r="475">
      <c r="A475" s="672" t="inlineStr">
        <is>
          <t>E100728</t>
        </is>
      </c>
      <c r="B475" s="767">
        <f>ROW()</f>
        <v/>
      </c>
      <c r="C475" s="182" t="inlineStr">
        <is>
          <t>北京京西生态文旅投资有限公司</t>
        </is>
      </c>
      <c r="D475" s="182" t="inlineStr">
        <is>
          <t>ZI029E100000</t>
        </is>
      </c>
      <c r="E475" s="182" t="inlineStr">
        <is>
          <t>北京能源集团有限责任公司</t>
        </is>
      </c>
      <c r="F475" s="716" t="n"/>
      <c r="G475" s="716" t="n"/>
      <c r="H475" s="462" t="n"/>
    </row>
    <row r="476">
      <c r="A476" s="672" t="inlineStr">
        <is>
          <t>E100728</t>
        </is>
      </c>
      <c r="B476" s="767">
        <f>ROW()</f>
        <v/>
      </c>
      <c r="C476" s="182" t="inlineStr">
        <is>
          <t>北京京西生态文旅投资有限公司</t>
        </is>
      </c>
      <c r="D476" s="182" t="inlineStr">
        <is>
          <t>ZI029E100268</t>
        </is>
      </c>
      <c r="E476" s="182" t="inlineStr">
        <is>
          <t>北京京煤集团有限责任公司</t>
        </is>
      </c>
      <c r="F476" s="716" t="n"/>
      <c r="G476" s="716" t="n"/>
      <c r="H476" s="462" t="n"/>
    </row>
    <row r="477">
      <c r="A477" s="672" t="inlineStr">
        <is>
          <t>E100243</t>
        </is>
      </c>
      <c r="B477" s="767">
        <f>ROW()</f>
        <v/>
      </c>
      <c r="C477" s="182" t="inlineStr">
        <is>
          <t>北京科利源热电有限公司</t>
        </is>
      </c>
      <c r="D477" s="182" t="inlineStr">
        <is>
          <t>ZI029E100259</t>
        </is>
      </c>
      <c r="E477" s="182" t="inlineStr">
        <is>
          <t>北京京能热力发展有限公司</t>
        </is>
      </c>
      <c r="F477" s="716" t="n"/>
      <c r="G477" s="716" t="n"/>
      <c r="H477" s="462" t="n"/>
    </row>
    <row r="478">
      <c r="A478" s="672" t="inlineStr">
        <is>
          <t>E100191</t>
        </is>
      </c>
      <c r="B478" s="767">
        <f>ROW()</f>
        <v/>
      </c>
      <c r="C478" s="182" t="inlineStr">
        <is>
          <t>北京乐多港发展有限公司</t>
        </is>
      </c>
      <c r="D478" s="182" t="inlineStr">
        <is>
          <t>ZI029E100000</t>
        </is>
      </c>
      <c r="E478" s="182" t="inlineStr">
        <is>
          <t>北京能源集团有限责任公司</t>
        </is>
      </c>
      <c r="F478" s="716" t="n"/>
      <c r="G478" s="716" t="n"/>
      <c r="H478" s="462" t="n"/>
    </row>
    <row r="479">
      <c r="A479" s="672" t="inlineStr">
        <is>
          <t>E100191G</t>
        </is>
      </c>
      <c r="B479" s="767">
        <f>ROW()</f>
        <v/>
      </c>
      <c r="C479" s="182" t="inlineStr">
        <is>
          <t>北京乐多港发展有限公司（合并）</t>
        </is>
      </c>
      <c r="D479" s="182" t="inlineStr">
        <is>
          <t>ZI029E100000</t>
        </is>
      </c>
      <c r="E479" s="182" t="inlineStr">
        <is>
          <t>北京能源集团有限责任公司</t>
        </is>
      </c>
      <c r="F479" s="716" t="n"/>
      <c r="G479" s="716" t="n"/>
      <c r="H479" s="462" t="n"/>
    </row>
    <row r="480">
      <c r="A480" s="672" t="inlineStr">
        <is>
          <t>E100194</t>
        </is>
      </c>
      <c r="B480" s="767">
        <f>ROW()</f>
        <v/>
      </c>
      <c r="C480" s="182" t="inlineStr">
        <is>
          <t>北京乐多港发展有限公司乐多港万豪酒店分公司</t>
        </is>
      </c>
      <c r="D480" s="182" t="inlineStr">
        <is>
          <t>ZI029E100191</t>
        </is>
      </c>
      <c r="E480" s="182" t="inlineStr">
        <is>
          <t>北京乐多港发展有限公司</t>
        </is>
      </c>
      <c r="F480" s="716" t="n"/>
      <c r="G480" s="716" t="n"/>
      <c r="H480" s="462" t="n"/>
    </row>
    <row r="481">
      <c r="A481" s="672" t="inlineStr">
        <is>
          <t>E100193</t>
        </is>
      </c>
      <c r="B481" s="767">
        <f>ROW()</f>
        <v/>
      </c>
      <c r="C481" s="182" t="inlineStr">
        <is>
          <t>北京乐多港发展有限公司商业分公司</t>
        </is>
      </c>
      <c r="D481" s="182" t="inlineStr">
        <is>
          <t>ZI029E100191</t>
        </is>
      </c>
      <c r="E481" s="182" t="inlineStr">
        <is>
          <t>北京乐多港发展有限公司</t>
        </is>
      </c>
      <c r="F481" s="716" t="n"/>
      <c r="G481" s="716" t="n"/>
      <c r="H481" s="462" t="n"/>
    </row>
    <row r="482">
      <c r="A482" s="672" t="inlineStr">
        <is>
          <t>E100192</t>
        </is>
      </c>
      <c r="B482" s="767">
        <f>ROW()</f>
        <v/>
      </c>
      <c r="C482" s="182" t="inlineStr">
        <is>
          <t>北京乐多港发展有限公司文化旅游分公司</t>
        </is>
      </c>
      <c r="D482" s="182" t="inlineStr">
        <is>
          <t>ZI029E100191</t>
        </is>
      </c>
      <c r="E482" s="182" t="inlineStr">
        <is>
          <t>北京乐多港发展有限公司</t>
        </is>
      </c>
      <c r="F482" s="716" t="n"/>
      <c r="G482" s="716" t="n"/>
      <c r="H482" s="462" t="n"/>
    </row>
    <row r="483">
      <c r="A483" s="672" t="inlineStr">
        <is>
          <t>E100558</t>
        </is>
      </c>
      <c r="B483" s="767">
        <f>ROW()</f>
        <v/>
      </c>
      <c r="C483" s="182" t="inlineStr">
        <is>
          <t>北京能工荟智机器人有限责任公司</t>
        </is>
      </c>
      <c r="D483" s="182" t="inlineStr">
        <is>
          <t>ZI029E100200</t>
        </is>
      </c>
      <c r="E483" s="182" t="inlineStr">
        <is>
          <t>北京京能能源技术研究有限责任公司</t>
        </is>
      </c>
      <c r="F483" s="716" t="n"/>
      <c r="G483" s="716" t="n"/>
      <c r="H483" s="462" t="n"/>
    </row>
    <row r="484">
      <c r="A484" s="672" t="inlineStr">
        <is>
          <t>E100724</t>
        </is>
      </c>
      <c r="B484" s="767">
        <f>ROW()</f>
        <v/>
      </c>
      <c r="C484" s="182" t="inlineStr">
        <is>
          <t>北京能锐大数据有限责任公司</t>
        </is>
      </c>
      <c r="D484" s="182" t="inlineStr">
        <is>
          <t>ZI029E100200</t>
        </is>
      </c>
      <c r="E484" s="182" t="inlineStr">
        <is>
          <t>北京京能能源技术研究有限责任公司</t>
        </is>
      </c>
      <c r="F484" s="716" t="n"/>
      <c r="G484" s="716" t="n"/>
      <c r="H484" s="462" t="n"/>
    </row>
    <row r="485">
      <c r="A485" s="672" t="inlineStr">
        <is>
          <t>E100747</t>
        </is>
      </c>
      <c r="B485" s="767">
        <f>ROW()</f>
        <v/>
      </c>
      <c r="C485" s="182" t="inlineStr">
        <is>
          <t>北京能源国际控股有限公司</t>
        </is>
      </c>
      <c r="D485" s="182" t="inlineStr">
        <is>
          <t>ZI029E100559</t>
        </is>
      </c>
      <c r="E485" s="182" t="inlineStr">
        <is>
          <t>北京能源投资(香港)有限公司</t>
        </is>
      </c>
      <c r="F485" s="716" t="n"/>
      <c r="G485" s="716" t="n"/>
      <c r="H485" s="462" t="n"/>
    </row>
    <row r="486">
      <c r="A486" s="672" t="inlineStr">
        <is>
          <t>E100235</t>
        </is>
      </c>
      <c r="B486" s="767">
        <f>ROW()</f>
        <v/>
      </c>
      <c r="C486" s="182" t="inlineStr">
        <is>
          <t>北京热力市政工程建设有限公司</t>
        </is>
      </c>
      <c r="D486" s="182" t="inlineStr">
        <is>
          <t>ZI029E100222</t>
        </is>
      </c>
      <c r="E486" s="182" t="inlineStr">
        <is>
          <t>北京市热力集团有限责任公司</t>
        </is>
      </c>
      <c r="F486" s="716" t="n"/>
      <c r="G486" s="716" t="n"/>
      <c r="H486" s="462" t="n"/>
    </row>
    <row r="487">
      <c r="A487" s="672" t="inlineStr">
        <is>
          <t>E100241</t>
        </is>
      </c>
      <c r="B487" s="767">
        <f>ROW()</f>
        <v/>
      </c>
      <c r="C487" s="182" t="inlineStr">
        <is>
          <t>北京热力特佳物业管理有限责任公司</t>
        </is>
      </c>
      <c r="D487" s="182" t="inlineStr">
        <is>
          <t>ZI029E100222</t>
        </is>
      </c>
      <c r="E487" s="182" t="inlineStr">
        <is>
          <t>北京市热力集团有限责任公司</t>
        </is>
      </c>
      <c r="F487" s="716" t="n"/>
      <c r="G487" s="716" t="n"/>
      <c r="H487" s="462" t="n"/>
    </row>
    <row r="488">
      <c r="A488" s="672" t="inlineStr">
        <is>
          <t>E100236</t>
        </is>
      </c>
      <c r="B488" s="767">
        <f>ROW()</f>
        <v/>
      </c>
      <c r="C488" s="182" t="inlineStr">
        <is>
          <t>北京热力智能控制技术有限责任公司</t>
        </is>
      </c>
      <c r="D488" s="182" t="inlineStr">
        <is>
          <t>ZI029E100222</t>
        </is>
      </c>
      <c r="E488" s="182" t="inlineStr">
        <is>
          <t>北京市热力集团有限责任公司</t>
        </is>
      </c>
      <c r="F488" s="716" t="n"/>
      <c r="G488" s="716" t="n"/>
      <c r="H488" s="462" t="n"/>
    </row>
    <row r="489">
      <c r="A489" s="672" t="inlineStr">
        <is>
          <t>E100238</t>
        </is>
      </c>
      <c r="B489" s="767">
        <f>ROW()</f>
        <v/>
      </c>
      <c r="C489" s="182" t="inlineStr">
        <is>
          <t>北京热力装备制造有限公司</t>
        </is>
      </c>
      <c r="D489" s="182" t="inlineStr">
        <is>
          <t>ZI029E100222</t>
        </is>
      </c>
      <c r="E489" s="182" t="inlineStr">
        <is>
          <t>北京市热力集团有限责任公司</t>
        </is>
      </c>
      <c r="F489" s="716" t="n"/>
      <c r="G489" s="716" t="n"/>
      <c r="H489" s="462" t="n"/>
    </row>
    <row r="490">
      <c r="A490" s="672" t="inlineStr">
        <is>
          <t>E100238G</t>
        </is>
      </c>
      <c r="B490" s="767">
        <f>ROW()</f>
        <v/>
      </c>
      <c r="C490" s="182" t="inlineStr">
        <is>
          <t>北京热力装备制造有限公司（合并）</t>
        </is>
      </c>
      <c r="D490" s="182" t="inlineStr">
        <is>
          <t>ZI029E100222</t>
        </is>
      </c>
      <c r="E490" s="182" t="inlineStr">
        <is>
          <t>北京市热力集团有限责任公司</t>
        </is>
      </c>
      <c r="F490" s="716" t="n"/>
      <c r="G490" s="716" t="n"/>
      <c r="H490" s="462" t="n"/>
    </row>
    <row r="491">
      <c r="A491" s="672" t="inlineStr">
        <is>
          <t>E100238H</t>
        </is>
      </c>
      <c r="B491" s="767">
        <f>ROW()</f>
        <v/>
      </c>
      <c r="C491" s="182" t="inlineStr">
        <is>
          <t>北京热力装备制造有限公司（母公司）</t>
        </is>
      </c>
      <c r="D491" s="182" t="inlineStr">
        <is>
          <t>ZI029E100222</t>
        </is>
      </c>
      <c r="E491" s="182" t="inlineStr">
        <is>
          <t>北京市热力集团有限责任公司</t>
        </is>
      </c>
      <c r="F491" s="716" t="n"/>
      <c r="G491" s="716" t="n"/>
      <c r="H491" s="462" t="n"/>
    </row>
    <row r="492">
      <c r="A492" s="672" t="inlineStr">
        <is>
          <t>E100009</t>
        </is>
      </c>
      <c r="B492" s="767">
        <f>ROW()</f>
        <v/>
      </c>
      <c r="C492" s="182" t="inlineStr">
        <is>
          <t>北京上庄燃气热电有限公司</t>
        </is>
      </c>
      <c r="D492" s="182" t="inlineStr">
        <is>
          <t>ZI029E100001</t>
        </is>
      </c>
      <c r="E492" s="182" t="inlineStr">
        <is>
          <t>北京京能清洁能源电力股份有限公司</t>
        </is>
      </c>
      <c r="F492" s="716" t="n"/>
      <c r="G492" s="716" t="n"/>
      <c r="H492" s="462" t="n"/>
    </row>
    <row r="493">
      <c r="A493" s="672" t="inlineStr">
        <is>
          <t>E100347</t>
        </is>
      </c>
      <c r="B493" s="767">
        <f>ROW()</f>
        <v/>
      </c>
      <c r="C493" s="182" t="inlineStr">
        <is>
          <t>北京市丰台区金泰福寿老年公寓</t>
        </is>
      </c>
      <c r="D493" s="182" t="inlineStr">
        <is>
          <t>ZI029E100353</t>
        </is>
      </c>
      <c r="E493" s="182" t="inlineStr">
        <is>
          <t>北京京能房产租赁经营有限责任公司</t>
        </is>
      </c>
      <c r="F493" s="716" t="n"/>
      <c r="G493" s="716" t="n"/>
      <c r="H493" s="462" t="n"/>
    </row>
    <row r="494">
      <c r="A494" s="672" t="inlineStr">
        <is>
          <t>E100233</t>
        </is>
      </c>
      <c r="B494" s="767">
        <f>ROW()</f>
        <v/>
      </c>
      <c r="C494" s="182" t="inlineStr">
        <is>
          <t>北京市热力工程设计有限责任公司</t>
        </is>
      </c>
      <c r="D494" s="182" t="inlineStr">
        <is>
          <t>ZI029E100222</t>
        </is>
      </c>
      <c r="E494" s="182" t="inlineStr">
        <is>
          <t>北京市热力集团有限责任公司</t>
        </is>
      </c>
      <c r="F494" s="716" t="n"/>
      <c r="G494" s="716" t="n"/>
      <c r="H494" s="462" t="n"/>
    </row>
    <row r="495">
      <c r="A495" s="672" t="inlineStr">
        <is>
          <t>E100233G</t>
        </is>
      </c>
      <c r="B495" s="767">
        <f>ROW()</f>
        <v/>
      </c>
      <c r="C495" s="182" t="inlineStr">
        <is>
          <t>北京市热力工程设计有限责任公司（合并）</t>
        </is>
      </c>
      <c r="D495" s="182" t="inlineStr">
        <is>
          <t>ZI029E100222</t>
        </is>
      </c>
      <c r="E495" s="182" t="inlineStr">
        <is>
          <t>北京市热力集团有限责任公司</t>
        </is>
      </c>
      <c r="F495" s="716" t="n"/>
      <c r="G495" s="716" t="n"/>
      <c r="H495" s="462" t="n"/>
    </row>
    <row r="496">
      <c r="A496" s="672" t="inlineStr">
        <is>
          <t>E100233H</t>
        </is>
      </c>
      <c r="B496" s="767">
        <f>ROW()</f>
        <v/>
      </c>
      <c r="C496" s="182" t="inlineStr">
        <is>
          <t>北京市热力工程设计有限责任公司（合并）本部</t>
        </is>
      </c>
      <c r="D496" s="182" t="inlineStr">
        <is>
          <t>ZI029E100222</t>
        </is>
      </c>
      <c r="E496" s="182" t="inlineStr">
        <is>
          <t>北京市热力集团有限责任公司</t>
        </is>
      </c>
      <c r="F496" s="716" t="n"/>
      <c r="G496" s="716" t="n"/>
      <c r="H496" s="462" t="n"/>
    </row>
    <row r="497">
      <c r="A497" s="672" t="inlineStr">
        <is>
          <t>E100222</t>
        </is>
      </c>
      <c r="B497" s="767">
        <f>ROW()</f>
        <v/>
      </c>
      <c r="C497" s="182" t="inlineStr">
        <is>
          <t>北京市热力集团有限责任公司</t>
        </is>
      </c>
      <c r="D497" s="182" t="inlineStr">
        <is>
          <t>ZI029E100000</t>
        </is>
      </c>
      <c r="E497" s="182" t="inlineStr">
        <is>
          <t>北京能源集团有限责任公司</t>
        </is>
      </c>
      <c r="F497" s="716" t="n"/>
      <c r="G497" s="716" t="n"/>
      <c r="H497" s="462" t="n"/>
    </row>
    <row r="498">
      <c r="A498" s="672" t="inlineStr">
        <is>
          <t>E100222G</t>
        </is>
      </c>
      <c r="B498" s="767">
        <f>ROW()</f>
        <v/>
      </c>
      <c r="C498" s="182" t="inlineStr">
        <is>
          <t>北京市热力集团有限责任公司（合并）</t>
        </is>
      </c>
      <c r="D498" s="182" t="inlineStr">
        <is>
          <t>ZI029E100000</t>
        </is>
      </c>
      <c r="E498" s="182" t="inlineStr">
        <is>
          <t>北京能源集团有限责任公司</t>
        </is>
      </c>
      <c r="F498" s="716" t="n"/>
      <c r="G498" s="716" t="n"/>
      <c r="H498" s="462" t="n"/>
    </row>
    <row r="499">
      <c r="A499" s="672" t="inlineStr">
        <is>
          <t>E100222H</t>
        </is>
      </c>
      <c r="B499" s="767">
        <f>ROW()</f>
        <v/>
      </c>
      <c r="C499" s="182" t="inlineStr">
        <is>
          <t>北京市热力集团有限责任公司（母公司）</t>
        </is>
      </c>
      <c r="D499" s="182" t="inlineStr">
        <is>
          <t>ZI029E100000</t>
        </is>
      </c>
      <c r="E499" s="182" t="inlineStr">
        <is>
          <t>北京能源集团有限责任公司</t>
        </is>
      </c>
      <c r="F499" s="716" t="n"/>
      <c r="G499" s="716" t="n"/>
      <c r="H499" s="462" t="n"/>
    </row>
    <row r="500">
      <c r="A500" s="672" t="inlineStr">
        <is>
          <t>E100250</t>
        </is>
      </c>
      <c r="B500" s="767">
        <f>ROW()</f>
        <v/>
      </c>
      <c r="C500" s="182" t="inlineStr">
        <is>
          <t>北京市热力集团有限责任公司培训中心</t>
        </is>
      </c>
      <c r="D500" s="182" t="inlineStr">
        <is>
          <t>ZI029E100222</t>
        </is>
      </c>
      <c r="E500" s="182" t="inlineStr">
        <is>
          <t>北京市热力集团有限责任公司</t>
        </is>
      </c>
      <c r="F500" s="716" t="n"/>
      <c r="G500" s="716" t="n"/>
      <c r="H500" s="462" t="n"/>
    </row>
    <row r="501">
      <c r="A501" s="672" t="inlineStr">
        <is>
          <t>E100251</t>
        </is>
      </c>
      <c r="B501" s="767">
        <f>ROW()</f>
        <v/>
      </c>
      <c r="C501" s="182" t="inlineStr">
        <is>
          <t>北京市热力职业技能培训学校</t>
        </is>
      </c>
      <c r="D501" s="182" t="inlineStr">
        <is>
          <t>ZI029E100222</t>
        </is>
      </c>
      <c r="E501" s="182" t="inlineStr">
        <is>
          <t>北京市热力集团有限责任公司</t>
        </is>
      </c>
      <c r="F501" s="716" t="n"/>
      <c r="G501" s="716" t="n"/>
      <c r="H501" s="462" t="n"/>
    </row>
    <row r="502">
      <c r="A502" s="672" t="inlineStr">
        <is>
          <t>E100245</t>
        </is>
      </c>
      <c r="B502" s="767">
        <f>ROW()</f>
        <v/>
      </c>
      <c r="C502" s="182" t="inlineStr">
        <is>
          <t>北京市特诚热力有限责任公司</t>
        </is>
      </c>
      <c r="D502" s="182" t="inlineStr">
        <is>
          <t>ZI029E100259</t>
        </is>
      </c>
      <c r="E502" s="182" t="inlineStr">
        <is>
          <t>北京京能热力发展有限公司</t>
        </is>
      </c>
      <c r="F502" s="716" t="n"/>
      <c r="G502" s="716" t="n"/>
      <c r="H502" s="462" t="n"/>
    </row>
    <row r="503">
      <c r="A503" s="672" t="inlineStr">
        <is>
          <t>E100245G</t>
        </is>
      </c>
      <c r="B503" s="767">
        <f>ROW()</f>
        <v/>
      </c>
      <c r="C503" s="182" t="inlineStr">
        <is>
          <t>北京市特诚热力有限责任公司（合并）</t>
        </is>
      </c>
      <c r="D503" s="182" t="inlineStr">
        <is>
          <t>ZI029E100259</t>
        </is>
      </c>
      <c r="E503" s="182" t="inlineStr">
        <is>
          <t>北京京能热力发展有限公司</t>
        </is>
      </c>
      <c r="F503" s="716" t="n"/>
      <c r="G503" s="716" t="n"/>
      <c r="H503" s="462" t="n"/>
    </row>
    <row r="504">
      <c r="A504" s="672" t="inlineStr">
        <is>
          <t>E100234</t>
        </is>
      </c>
      <c r="B504" s="767">
        <f>ROW()</f>
        <v/>
      </c>
      <c r="C504" s="182" t="inlineStr">
        <is>
          <t>北京市特得热力技术发展有限责任公司</t>
        </is>
      </c>
      <c r="D504" s="182" t="inlineStr">
        <is>
          <t>ZI029E100222</t>
        </is>
      </c>
      <c r="E504" s="182" t="inlineStr">
        <is>
          <t>北京市热力集团有限责任公司</t>
        </is>
      </c>
      <c r="F504" s="716" t="n"/>
      <c r="G504" s="716" t="n"/>
      <c r="H504" s="462" t="n"/>
    </row>
    <row r="505">
      <c r="A505" s="672" t="inlineStr">
        <is>
          <t>E100320</t>
        </is>
      </c>
      <c r="B505" s="767">
        <f>ROW()</f>
        <v/>
      </c>
      <c r="C505" s="182" t="inlineStr">
        <is>
          <t>北京市天创房地产开发有限公司</t>
        </is>
      </c>
      <c r="D505" s="182" t="inlineStr">
        <is>
          <t>ZI029E100268</t>
        </is>
      </c>
      <c r="E505" s="182" t="inlineStr">
        <is>
          <t>北京京煤集团有限责任公司</t>
        </is>
      </c>
      <c r="F505" s="716" t="n"/>
      <c r="G505" s="716" t="n"/>
      <c r="H505" s="462" t="n"/>
    </row>
    <row r="506">
      <c r="A506" s="672" t="inlineStr">
        <is>
          <t>E100435</t>
        </is>
      </c>
      <c r="B506" s="767">
        <f>ROW()</f>
        <v/>
      </c>
      <c r="C506" s="182" t="inlineStr">
        <is>
          <t>北京市西达房地产开发有限责任公司</t>
        </is>
      </c>
      <c r="D506" s="182" t="inlineStr">
        <is>
          <t>ZI029E100268</t>
        </is>
      </c>
      <c r="E506" s="182" t="inlineStr">
        <is>
          <t>北京京煤集团有限责任公司</t>
        </is>
      </c>
      <c r="F506" s="716" t="n"/>
      <c r="G506" s="716" t="n"/>
      <c r="H506" s="462" t="n"/>
    </row>
    <row r="507">
      <c r="A507" s="672" t="inlineStr">
        <is>
          <t>E100008</t>
        </is>
      </c>
      <c r="B507" s="767">
        <f>ROW()</f>
        <v/>
      </c>
      <c r="C507" s="182" t="inlineStr">
        <is>
          <t>北京太阳宫燃气热电有限公司</t>
        </is>
      </c>
      <c r="D507" s="182" t="inlineStr">
        <is>
          <t>ZI029E100001</t>
        </is>
      </c>
      <c r="E507" s="182" t="inlineStr">
        <is>
          <t>北京京能清洁能源电力股份有限公司</t>
        </is>
      </c>
      <c r="F507" s="716" t="n"/>
      <c r="G507" s="716" t="n"/>
      <c r="H507" s="462" t="n"/>
    </row>
    <row r="508">
      <c r="A508" s="672" t="inlineStr">
        <is>
          <t>E100239</t>
        </is>
      </c>
      <c r="B508" s="767">
        <f>ROW()</f>
        <v/>
      </c>
      <c r="C508" s="182" t="inlineStr">
        <is>
          <t>北京特洁能环保技术发展有限公司</t>
        </is>
      </c>
      <c r="D508" s="182" t="inlineStr">
        <is>
          <t>ZI029E100222</t>
        </is>
      </c>
      <c r="E508" s="182" t="inlineStr">
        <is>
          <t>北京市热力集团有限责任公司</t>
        </is>
      </c>
      <c r="F508" s="716" t="n"/>
      <c r="G508" s="716" t="n"/>
      <c r="H508" s="462" t="n"/>
    </row>
    <row r="509">
      <c r="A509" s="672" t="inlineStr">
        <is>
          <t>E100256</t>
        </is>
      </c>
      <c r="B509" s="767">
        <f>ROW()</f>
        <v/>
      </c>
      <c r="C509" s="182" t="inlineStr">
        <is>
          <t>北京特泽热力工程设计有限责任公司</t>
        </is>
      </c>
      <c r="D509" s="182" t="inlineStr">
        <is>
          <t>ZI029E100233</t>
        </is>
      </c>
      <c r="E509" s="182" t="inlineStr">
        <is>
          <t>北京市热力工程设计有限责任公司</t>
        </is>
      </c>
      <c r="F509" s="716" t="n"/>
      <c r="G509" s="716" t="n"/>
      <c r="H509" s="462" t="n"/>
    </row>
    <row r="510">
      <c r="A510" s="672" t="inlineStr">
        <is>
          <t>E100355</t>
        </is>
      </c>
      <c r="B510" s="767">
        <f>ROW()</f>
        <v/>
      </c>
      <c r="C510" s="182" t="inlineStr">
        <is>
          <t>北京天宁寺驻青园农副产品市场有限责任公司</t>
        </is>
      </c>
      <c r="D510" s="182" t="inlineStr">
        <is>
          <t>ZI029E100353</t>
        </is>
      </c>
      <c r="E510" s="182" t="inlineStr">
        <is>
          <t>北京京能房产租赁经营有限责任公司</t>
        </is>
      </c>
      <c r="F510" s="716" t="n"/>
      <c r="G510" s="716" t="n"/>
      <c r="H510" s="462" t="n"/>
    </row>
    <row r="511">
      <c r="A511" s="672" t="inlineStr">
        <is>
          <t>E100504</t>
        </is>
      </c>
      <c r="B511" s="767">
        <f>ROW()</f>
        <v/>
      </c>
      <c r="C511" s="182" t="inlineStr">
        <is>
          <t>北京天睿庄园商务中心有限公司</t>
        </is>
      </c>
      <c r="D511" s="182" t="inlineStr">
        <is>
          <t>ZI029E100302</t>
        </is>
      </c>
      <c r="E511" s="182" t="inlineStr">
        <is>
          <t>北京京辉高尔夫俱乐部有限公司</t>
        </is>
      </c>
      <c r="F511" s="716" t="n"/>
      <c r="G511" s="716" t="n"/>
      <c r="H511" s="462" t="n"/>
    </row>
    <row r="512">
      <c r="A512" s="672" t="inlineStr">
        <is>
          <t>E100504</t>
        </is>
      </c>
      <c r="B512" s="767">
        <f>ROW()</f>
        <v/>
      </c>
      <c r="C512" s="182" t="inlineStr">
        <is>
          <t>北京天睿庄园商务中心有限公司</t>
        </is>
      </c>
      <c r="D512" s="182" t="inlineStr">
        <is>
          <t>ZI029E100320</t>
        </is>
      </c>
      <c r="E512" s="182" t="inlineStr">
        <is>
          <t>北京市天创房地产开发有限公司</t>
        </is>
      </c>
      <c r="F512" s="716" t="n"/>
      <c r="G512" s="716" t="n"/>
      <c r="H512" s="462" t="n"/>
    </row>
    <row r="513">
      <c r="A513" s="672" t="inlineStr">
        <is>
          <t>E100490</t>
        </is>
      </c>
      <c r="B513" s="767">
        <f>ROW()</f>
        <v/>
      </c>
      <c r="C513" s="182" t="inlineStr">
        <is>
          <t>北京望京蓝天供热有限公司</t>
        </is>
      </c>
      <c r="D513" s="182" t="inlineStr">
        <is>
          <t>ZI029E100222</t>
        </is>
      </c>
      <c r="E513" s="182" t="inlineStr">
        <is>
          <t>北京市热力集团有限责任公司</t>
        </is>
      </c>
      <c r="F513" s="716" t="n"/>
      <c r="G513" s="716" t="n"/>
      <c r="H513" s="462" t="n"/>
    </row>
    <row r="514">
      <c r="A514" s="672" t="inlineStr">
        <is>
          <t>E100332</t>
        </is>
      </c>
      <c r="B514" s="767">
        <f>ROW()</f>
        <v/>
      </c>
      <c r="C514" s="182" t="inlineStr">
        <is>
          <t>北京鑫华源机械制造有限责任公司</t>
        </is>
      </c>
      <c r="D514" s="182" t="inlineStr">
        <is>
          <t>ZI029E100268</t>
        </is>
      </c>
      <c r="E514" s="182" t="inlineStr">
        <is>
          <t>北京京煤集团有限责任公司</t>
        </is>
      </c>
      <c r="F514" s="716" t="n"/>
      <c r="G514" s="716" t="n"/>
      <c r="H514" s="462" t="n"/>
    </row>
    <row r="515">
      <c r="A515" s="672" t="inlineStr">
        <is>
          <t>E100332G</t>
        </is>
      </c>
      <c r="B515" s="767">
        <f>ROW()</f>
        <v/>
      </c>
      <c r="C515" s="182" t="inlineStr">
        <is>
          <t>北京鑫华源机械制造有限责任公司（合并）</t>
        </is>
      </c>
      <c r="D515" s="182" t="inlineStr">
        <is>
          <t>ZI029E100268</t>
        </is>
      </c>
      <c r="E515" s="182" t="inlineStr">
        <is>
          <t>北京京煤集团有限责任公司</t>
        </is>
      </c>
      <c r="F515" s="716" t="n"/>
      <c r="G515" s="716" t="n"/>
      <c r="H515" s="462" t="n"/>
    </row>
    <row r="516">
      <c r="A516" s="672" t="inlineStr">
        <is>
          <t>E100374</t>
        </is>
      </c>
      <c r="B516" s="767">
        <f>ROW()</f>
        <v/>
      </c>
      <c r="C516" s="182" t="inlineStr">
        <is>
          <t>北京源深联众环保科技有限责任公司</t>
        </is>
      </c>
      <c r="D516" s="182" t="inlineStr">
        <is>
          <t>ZI029E100371</t>
        </is>
      </c>
      <c r="E516" s="182" t="inlineStr">
        <is>
          <t>北京京能科技有限公司</t>
        </is>
      </c>
      <c r="F516" s="716" t="n"/>
      <c r="G516" s="716" t="n"/>
      <c r="H516" s="462" t="n"/>
    </row>
    <row r="517">
      <c r="A517" s="672" t="inlineStr">
        <is>
          <t>E100404</t>
        </is>
      </c>
      <c r="B517" s="767">
        <f>ROW()</f>
        <v/>
      </c>
      <c r="C517" s="182" t="inlineStr">
        <is>
          <t>北京源深能源科技有限责任公司</t>
        </is>
      </c>
      <c r="D517" s="182" t="inlineStr">
        <is>
          <t>ZI029E100371</t>
        </is>
      </c>
      <c r="E517" s="182" t="inlineStr">
        <is>
          <t>北京京能科技有限公司</t>
        </is>
      </c>
      <c r="F517" s="716" t="n"/>
      <c r="G517" s="716" t="n"/>
      <c r="H517" s="462" t="n"/>
    </row>
    <row r="518">
      <c r="A518" s="672" t="inlineStr">
        <is>
          <t>E100572</t>
        </is>
      </c>
      <c r="B518" s="767">
        <f>ROW()</f>
        <v/>
      </c>
      <c r="C518" s="182" t="inlineStr">
        <is>
          <t>北京智慧互联能源有限公司</t>
        </is>
      </c>
      <c r="D518" s="182" t="inlineStr">
        <is>
          <t>ZI029E100405</t>
        </is>
      </c>
      <c r="E518" s="182" t="inlineStr">
        <is>
          <t>北京高新技术创业投资有限公司</t>
        </is>
      </c>
      <c r="F518" s="716" t="n"/>
      <c r="G518" s="716" t="n"/>
      <c r="H518" s="462" t="n"/>
    </row>
    <row r="519">
      <c r="A519" s="672" t="inlineStr">
        <is>
          <t>E100572</t>
        </is>
      </c>
      <c r="B519" s="767">
        <f>ROW()</f>
        <v/>
      </c>
      <c r="C519" s="182" t="inlineStr">
        <is>
          <t>北京智慧互联能源有限公司</t>
        </is>
      </c>
      <c r="D519" s="182" t="inlineStr">
        <is>
          <t>ZI029E100371</t>
        </is>
      </c>
      <c r="E519" s="182" t="inlineStr">
        <is>
          <t>北京京能科技有限公司</t>
        </is>
      </c>
      <c r="F519" s="716" t="n"/>
      <c r="G519" s="716" t="n"/>
      <c r="H519" s="462" t="n"/>
    </row>
    <row r="520">
      <c r="A520" s="672" t="inlineStr">
        <is>
          <t>E100565</t>
        </is>
      </c>
      <c r="B520" s="767">
        <f>ROW()</f>
        <v/>
      </c>
      <c r="C520" s="182" t="inlineStr">
        <is>
          <t>北京中观经济调查有限公司</t>
        </is>
      </c>
      <c r="D520" s="182" t="inlineStr">
        <is>
          <t>ZI029E100483</t>
        </is>
      </c>
      <c r="E520" s="182" t="inlineStr">
        <is>
          <t>投资北京国际有限公司</t>
        </is>
      </c>
      <c r="F520" s="716" t="n"/>
      <c r="G520" s="716" t="n"/>
      <c r="H520" s="462" t="n"/>
    </row>
    <row r="521">
      <c r="A521" s="672" t="inlineStr">
        <is>
          <t>E100380</t>
        </is>
      </c>
      <c r="B521" s="767">
        <f>ROW()</f>
        <v/>
      </c>
      <c r="C521" s="182" t="inlineStr">
        <is>
          <t>北京中冠宝新能源投资有限公司</t>
        </is>
      </c>
      <c r="D521" s="182" t="inlineStr">
        <is>
          <t>ZI029E100371</t>
        </is>
      </c>
      <c r="E521" s="182" t="inlineStr">
        <is>
          <t>北京京能科技有限公司</t>
        </is>
      </c>
      <c r="F521" s="716" t="n"/>
      <c r="G521" s="716" t="n"/>
      <c r="H521" s="462" t="n"/>
    </row>
    <row r="522">
      <c r="A522" s="672" t="inlineStr">
        <is>
          <t>E100048</t>
        </is>
      </c>
      <c r="B522" s="767">
        <f>ROW()</f>
        <v/>
      </c>
      <c r="C522" s="182" t="inlineStr">
        <is>
          <t>北票京能新能源有限公司</t>
        </is>
      </c>
      <c r="D522" s="182" t="inlineStr">
        <is>
          <t>ZI029E100001</t>
        </is>
      </c>
      <c r="E522" s="182" t="inlineStr">
        <is>
          <t>北京京能清洁能源电力股份有限公司</t>
        </is>
      </c>
      <c r="F522" s="716" t="n"/>
      <c r="G522" s="716" t="n"/>
      <c r="H522" s="462" t="n"/>
    </row>
    <row r="523">
      <c r="A523" s="672" t="inlineStr">
        <is>
          <t>E100813</t>
        </is>
      </c>
      <c r="B523" s="767">
        <f>ROW()</f>
        <v/>
      </c>
      <c r="C523" s="182" t="inlineStr">
        <is>
          <t>茶陵京能新能源有限公司</t>
        </is>
      </c>
      <c r="D523" s="182" t="inlineStr">
        <is>
          <t>ZI029E100730</t>
        </is>
      </c>
      <c r="E523" s="182" t="inlineStr">
        <is>
          <t>京能国际能源发展（北京）有限公司</t>
        </is>
      </c>
      <c r="F523" s="716" t="n"/>
      <c r="G523" s="716" t="n"/>
      <c r="H523" s="462" t="n"/>
    </row>
    <row r="524">
      <c r="A524" s="672" t="inlineStr">
        <is>
          <t>E100973</t>
        </is>
      </c>
      <c r="B524" s="767">
        <f>ROW()</f>
        <v/>
      </c>
      <c r="C524" s="182" t="inlineStr">
        <is>
          <t>察右前旗联合光伏发电有限公司</t>
        </is>
      </c>
      <c r="D524" s="182" t="inlineStr">
        <is>
          <t>ZI029E100735</t>
        </is>
      </c>
      <c r="E524" s="182" t="inlineStr">
        <is>
          <t>内蒙古京能新能源科技有限公司</t>
        </is>
      </c>
      <c r="F524" s="716" t="n"/>
      <c r="G524" s="716" t="n"/>
      <c r="H524" s="462" t="n"/>
    </row>
    <row r="525">
      <c r="A525" s="672" t="inlineStr">
        <is>
          <t>E100841</t>
        </is>
      </c>
      <c r="B525" s="767">
        <f>ROW()</f>
        <v/>
      </c>
      <c r="C525" s="182" t="inlineStr">
        <is>
          <t>昌吉亿晶光伏科技有限公司</t>
        </is>
      </c>
      <c r="D525" s="182" t="inlineStr">
        <is>
          <t>ZI029E100730</t>
        </is>
      </c>
      <c r="E525" s="182" t="inlineStr">
        <is>
          <t>京能国际能源发展（北京）有限公司</t>
        </is>
      </c>
      <c r="F525" s="716" t="n"/>
      <c r="G525" s="716" t="n"/>
      <c r="H525" s="462" t="n"/>
    </row>
    <row r="526">
      <c r="A526" s="672" t="inlineStr">
        <is>
          <t>E100064</t>
        </is>
      </c>
      <c r="B526" s="767">
        <f>ROW()</f>
        <v/>
      </c>
      <c r="C526" s="182" t="inlineStr">
        <is>
          <t>常德宏润新能源有限公司</t>
        </is>
      </c>
      <c r="D526" s="182" t="inlineStr">
        <is>
          <t>ZI029E100001</t>
        </is>
      </c>
      <c r="E526" s="182" t="inlineStr">
        <is>
          <t>北京京能清洁能源电力股份有限公司</t>
        </is>
      </c>
      <c r="F526" s="716" t="n"/>
      <c r="G526" s="716" t="n"/>
      <c r="H526" s="462" t="n"/>
    </row>
    <row r="527">
      <c r="A527" s="672" t="inlineStr">
        <is>
          <t>E100065</t>
        </is>
      </c>
      <c r="B527" s="767">
        <f>ROW()</f>
        <v/>
      </c>
      <c r="C527" s="182" t="inlineStr">
        <is>
          <t>常德瑞露新能源有限公司</t>
        </is>
      </c>
      <c r="D527" s="182" t="inlineStr">
        <is>
          <t>ZI029E100001</t>
        </is>
      </c>
      <c r="E527" s="182" t="inlineStr">
        <is>
          <t>北京京能清洁能源电力股份有限公司</t>
        </is>
      </c>
      <c r="F527" s="716" t="n"/>
      <c r="G527" s="716" t="n"/>
      <c r="H527" s="462" t="n"/>
    </row>
    <row r="528">
      <c r="A528" s="672" t="inlineStr">
        <is>
          <t>E100066</t>
        </is>
      </c>
      <c r="B528" s="767">
        <f>ROW()</f>
        <v/>
      </c>
      <c r="C528" s="182" t="inlineStr">
        <is>
          <t>常德润鹏新能源有限公司</t>
        </is>
      </c>
      <c r="D528" s="182" t="inlineStr">
        <is>
          <t>ZI029E100001</t>
        </is>
      </c>
      <c r="E528" s="182" t="inlineStr">
        <is>
          <t>北京京能清洁能源电力股份有限公司</t>
        </is>
      </c>
      <c r="F528" s="716" t="n"/>
      <c r="G528" s="716" t="n"/>
      <c r="H528" s="462" t="n"/>
    </row>
    <row r="529">
      <c r="A529" s="672" t="inlineStr">
        <is>
          <t>E100067</t>
        </is>
      </c>
      <c r="B529" s="767">
        <f>ROW()</f>
        <v/>
      </c>
      <c r="C529" s="182" t="inlineStr">
        <is>
          <t>常德润勇新能源有限公司</t>
        </is>
      </c>
      <c r="D529" s="182" t="inlineStr">
        <is>
          <t>ZI029E100001</t>
        </is>
      </c>
      <c r="E529" s="182" t="inlineStr">
        <is>
          <t>北京京能清洁能源电力股份有限公司</t>
        </is>
      </c>
      <c r="F529" s="716" t="n"/>
      <c r="G529" s="716" t="n"/>
      <c r="H529" s="462" t="n"/>
    </row>
    <row r="530">
      <c r="A530" s="672" t="inlineStr">
        <is>
          <t>E100069</t>
        </is>
      </c>
      <c r="B530" s="767">
        <f>ROW()</f>
        <v/>
      </c>
      <c r="C530" s="182" t="inlineStr">
        <is>
          <t>常宁光聚电力开发有限公司</t>
        </is>
      </c>
      <c r="D530" s="182" t="inlineStr">
        <is>
          <t>ZI029E100001</t>
        </is>
      </c>
      <c r="E530" s="182" t="inlineStr">
        <is>
          <t>北京京能清洁能源电力股份有限公司</t>
        </is>
      </c>
      <c r="F530" s="716" t="n"/>
      <c r="G530" s="716" t="n"/>
      <c r="H530" s="462" t="n"/>
    </row>
    <row r="531">
      <c r="A531" s="672" t="inlineStr">
        <is>
          <t>E100991</t>
        </is>
      </c>
      <c r="B531" s="767">
        <f>ROW()</f>
        <v/>
      </c>
      <c r="C531" s="182" t="inlineStr">
        <is>
          <t>常熟宏丰光伏电站开发有限公司</t>
        </is>
      </c>
      <c r="D531" s="182" t="inlineStr">
        <is>
          <t>ZI029E100988</t>
        </is>
      </c>
      <c r="E531" s="182" t="inlineStr">
        <is>
          <t>常州市招联绿睿新能源有限公司</t>
        </is>
      </c>
      <c r="F531" s="716" t="n"/>
      <c r="G531" s="716" t="n"/>
      <c r="H531" s="462" t="n"/>
    </row>
    <row r="532">
      <c r="A532" s="672" t="inlineStr">
        <is>
          <t>E100955</t>
        </is>
      </c>
      <c r="B532" s="767">
        <f>ROW()</f>
        <v/>
      </c>
      <c r="C532" s="182" t="inlineStr">
        <is>
          <t>常州鼎晖新能源有限公司</t>
        </is>
      </c>
      <c r="D532" s="182" t="inlineStr">
        <is>
          <t>ZI029E100734</t>
        </is>
      </c>
      <c r="E532" s="182" t="inlineStr">
        <is>
          <t>联合光伏（常州）投资集团有限公司</t>
        </is>
      </c>
      <c r="F532" s="716" t="n"/>
      <c r="G532" s="716" t="n"/>
      <c r="H532" s="462" t="n"/>
    </row>
    <row r="533">
      <c r="A533" s="672" t="inlineStr">
        <is>
          <t>E100956</t>
        </is>
      </c>
      <c r="B533" s="767">
        <f>ROW()</f>
        <v/>
      </c>
      <c r="C533" s="182" t="inlineStr">
        <is>
          <t>常州光昱新能源有限公司</t>
        </is>
      </c>
      <c r="D533" s="182" t="inlineStr">
        <is>
          <t>ZI029E100734</t>
        </is>
      </c>
      <c r="E533" s="182" t="inlineStr">
        <is>
          <t>联合光伏（常州）投资集团有限公司</t>
        </is>
      </c>
      <c r="F533" s="716" t="n"/>
      <c r="G533" s="716" t="n"/>
      <c r="H533" s="462" t="n"/>
    </row>
    <row r="534">
      <c r="A534" s="672" t="inlineStr">
        <is>
          <t>E100825</t>
        </is>
      </c>
      <c r="B534" s="767">
        <f>ROW()</f>
        <v/>
      </c>
      <c r="C534" s="182" t="inlineStr">
        <is>
          <t>常州晶恒光伏有限公司</t>
        </is>
      </c>
      <c r="D534" s="182" t="inlineStr">
        <is>
          <t>ZI029E100371</t>
        </is>
      </c>
      <c r="E534" s="182" t="inlineStr">
        <is>
          <t>北京京能科技有限公司</t>
        </is>
      </c>
      <c r="F534" s="716" t="n"/>
      <c r="G534" s="716" t="n"/>
      <c r="H534" s="462" t="n"/>
    </row>
    <row r="535">
      <c r="A535" s="672" t="inlineStr">
        <is>
          <t>E100960</t>
        </is>
      </c>
      <c r="B535" s="767">
        <f>ROW()</f>
        <v/>
      </c>
      <c r="C535" s="182" t="inlineStr">
        <is>
          <t>常州市晖达新能源有限公司</t>
        </is>
      </c>
      <c r="D535" s="182" t="inlineStr">
        <is>
          <t>ZI029E100958</t>
        </is>
      </c>
      <c r="E535" s="182" t="inlineStr">
        <is>
          <t>常州市招联绿港新能源有限公司</t>
        </is>
      </c>
      <c r="F535" s="716" t="n"/>
      <c r="G535" s="716" t="n"/>
      <c r="H535" s="462" t="n"/>
    </row>
    <row r="536">
      <c r="A536" s="672" t="inlineStr">
        <is>
          <t>E100985</t>
        </is>
      </c>
      <c r="B536" s="767">
        <f>ROW()</f>
        <v/>
      </c>
      <c r="C536" s="182" t="inlineStr">
        <is>
          <t>常州市招联绿邦新能源有限公司</t>
        </is>
      </c>
      <c r="D536" s="182" t="inlineStr">
        <is>
          <t>ZI029E100734</t>
        </is>
      </c>
      <c r="E536" s="182" t="inlineStr">
        <is>
          <t>联合光伏（常州）投资集团有限公司</t>
        </is>
      </c>
      <c r="F536" s="716" t="n"/>
      <c r="G536" s="716" t="n"/>
      <c r="H536" s="462" t="n"/>
    </row>
    <row r="537">
      <c r="A537" s="672" t="inlineStr">
        <is>
          <t>E101026</t>
        </is>
      </c>
      <c r="B537" s="767">
        <f>ROW()</f>
        <v/>
      </c>
      <c r="C537" s="182" t="inlineStr">
        <is>
          <t>常州市招联绿灿新能源有限公司</t>
        </is>
      </c>
      <c r="D537" s="182" t="inlineStr">
        <is>
          <t>ZI029E101025</t>
        </is>
      </c>
      <c r="E537" s="182" t="inlineStr">
        <is>
          <t>招联（珠海）清洁能源投资有限公司</t>
        </is>
      </c>
      <c r="F537" s="716" t="n"/>
      <c r="G537" s="716" t="n"/>
      <c r="H537" s="462" t="n"/>
    </row>
    <row r="538">
      <c r="A538" s="672" t="inlineStr">
        <is>
          <t>E100957</t>
        </is>
      </c>
      <c r="B538" s="767">
        <f>ROW()</f>
        <v/>
      </c>
      <c r="C538" s="182" t="inlineStr">
        <is>
          <t>常州市招联绿达新能源有限公司</t>
        </is>
      </c>
      <c r="D538" s="182" t="inlineStr">
        <is>
          <t>ZI029E100734</t>
        </is>
      </c>
      <c r="E538" s="182" t="inlineStr">
        <is>
          <t>联合光伏（常州）投资集团有限公司</t>
        </is>
      </c>
      <c r="F538" s="716" t="n"/>
      <c r="G538" s="716" t="n"/>
      <c r="H538" s="462" t="n"/>
    </row>
    <row r="539">
      <c r="A539" s="672" t="inlineStr">
        <is>
          <t>E101012</t>
        </is>
      </c>
      <c r="B539" s="767">
        <f>ROW()</f>
        <v/>
      </c>
      <c r="C539" s="182" t="inlineStr">
        <is>
          <t>常州市招联绿伏新能源有限公司</t>
        </is>
      </c>
      <c r="D539" s="182" t="inlineStr">
        <is>
          <t>ZI029E101008</t>
        </is>
      </c>
      <c r="E539" s="182" t="inlineStr">
        <is>
          <t>南京丝绸之路新能源有限公司</t>
        </is>
      </c>
      <c r="F539" s="716" t="n"/>
      <c r="G539" s="716" t="n"/>
      <c r="H539" s="462" t="n"/>
    </row>
    <row r="540">
      <c r="A540" s="672" t="inlineStr">
        <is>
          <t>E100958</t>
        </is>
      </c>
      <c r="B540" s="767">
        <f>ROW()</f>
        <v/>
      </c>
      <c r="C540" s="182" t="inlineStr">
        <is>
          <t>常州市招联绿港新能源有限公司</t>
        </is>
      </c>
      <c r="D540" s="182" t="inlineStr">
        <is>
          <t>ZI029E100734</t>
        </is>
      </c>
      <c r="E540" s="182" t="inlineStr">
        <is>
          <t>联合光伏（常州）投资集团有限公司</t>
        </is>
      </c>
      <c r="F540" s="716" t="n"/>
      <c r="G540" s="716" t="n"/>
      <c r="H540" s="462" t="n"/>
    </row>
    <row r="541">
      <c r="A541" s="672" t="inlineStr">
        <is>
          <t>E100983</t>
        </is>
      </c>
      <c r="B541" s="767">
        <f>ROW()</f>
        <v/>
      </c>
      <c r="C541" s="182" t="inlineStr">
        <is>
          <t>常州市招联绿格新能源有限公司</t>
        </is>
      </c>
      <c r="D541" s="182" t="inlineStr">
        <is>
          <t>ZI029E100734</t>
        </is>
      </c>
      <c r="E541" s="182" t="inlineStr">
        <is>
          <t>联合光伏（常州）投资集团有限公司</t>
        </is>
      </c>
      <c r="F541" s="716" t="n"/>
      <c r="G541" s="716" t="n"/>
      <c r="H541" s="462" t="n"/>
    </row>
    <row r="542">
      <c r="A542" s="672" t="inlineStr">
        <is>
          <t>E100993</t>
        </is>
      </c>
      <c r="B542" s="767">
        <f>ROW()</f>
        <v/>
      </c>
      <c r="C542" s="182" t="inlineStr">
        <is>
          <t>常州市招联绿晖新能源有限公司</t>
        </is>
      </c>
      <c r="D542" s="182" t="inlineStr">
        <is>
          <t>ZI029E100734</t>
        </is>
      </c>
      <c r="E542" s="182" t="inlineStr">
        <is>
          <t>联合光伏（常州）投资集团有限公司</t>
        </is>
      </c>
      <c r="F542" s="716" t="n"/>
      <c r="G542" s="716" t="n"/>
      <c r="H542" s="462" t="n"/>
    </row>
    <row r="543">
      <c r="A543" s="672" t="inlineStr">
        <is>
          <t>E100986</t>
        </is>
      </c>
      <c r="B543" s="767">
        <f>ROW()</f>
        <v/>
      </c>
      <c r="C543" s="182" t="inlineStr">
        <is>
          <t>常州市招联绿景新能源有限公司</t>
        </is>
      </c>
      <c r="D543" s="182" t="inlineStr">
        <is>
          <t>ZI029E100734</t>
        </is>
      </c>
      <c r="E543" s="182" t="inlineStr">
        <is>
          <t>联合光伏（常州）投资集团有限公司</t>
        </is>
      </c>
      <c r="F543" s="716" t="n"/>
      <c r="G543" s="716" t="n"/>
      <c r="H543" s="462" t="n"/>
    </row>
    <row r="544">
      <c r="A544" s="672" t="inlineStr">
        <is>
          <t>E100981</t>
        </is>
      </c>
      <c r="B544" s="767">
        <f>ROW()</f>
        <v/>
      </c>
      <c r="C544" s="182" t="inlineStr">
        <is>
          <t>常州市招联绿庆新能源有限公司</t>
        </is>
      </c>
      <c r="D544" s="182" t="inlineStr">
        <is>
          <t>ZI029E100734</t>
        </is>
      </c>
      <c r="E544" s="182" t="inlineStr">
        <is>
          <t>联合光伏（常州）投资集团有限公司</t>
        </is>
      </c>
      <c r="F544" s="716" t="n"/>
      <c r="G544" s="716" t="n"/>
      <c r="H544" s="462" t="n"/>
    </row>
    <row r="545">
      <c r="A545" s="672" t="inlineStr">
        <is>
          <t>E100988</t>
        </is>
      </c>
      <c r="B545" s="767">
        <f>ROW()</f>
        <v/>
      </c>
      <c r="C545" s="182" t="inlineStr">
        <is>
          <t>常州市招联绿睿新能源有限公司</t>
        </is>
      </c>
      <c r="D545" s="182" t="inlineStr">
        <is>
          <t>ZI029E100734</t>
        </is>
      </c>
      <c r="E545" s="182" t="inlineStr">
        <is>
          <t>联合光伏（常州）投资集团有限公司</t>
        </is>
      </c>
      <c r="F545" s="716" t="n"/>
      <c r="G545" s="716" t="n"/>
      <c r="H545" s="462" t="n"/>
    </row>
    <row r="546">
      <c r="A546" s="672" t="inlineStr">
        <is>
          <t>E100978</t>
        </is>
      </c>
      <c r="B546" s="767">
        <f>ROW()</f>
        <v/>
      </c>
      <c r="C546" s="182" t="inlineStr">
        <is>
          <t>常州市招联绿新新能源有限公司</t>
        </is>
      </c>
      <c r="D546" s="182" t="inlineStr">
        <is>
          <t>ZI029E100734</t>
        </is>
      </c>
      <c r="E546" s="182" t="inlineStr">
        <is>
          <t>联合光伏（常州）投资集团有限公司</t>
        </is>
      </c>
      <c r="F546" s="716" t="n"/>
      <c r="G546" s="716" t="n"/>
      <c r="H546" s="462" t="n"/>
    </row>
    <row r="547">
      <c r="A547" s="672" t="inlineStr">
        <is>
          <t>E100980</t>
        </is>
      </c>
      <c r="B547" s="767">
        <f>ROW()</f>
        <v/>
      </c>
      <c r="C547" s="182" t="inlineStr">
        <is>
          <t>常州市招联绿盈新能源有限公司</t>
        </is>
      </c>
      <c r="D547" s="182" t="inlineStr">
        <is>
          <t>ZI029E100734</t>
        </is>
      </c>
      <c r="E547" s="182" t="inlineStr">
        <is>
          <t>联合光伏（常州）投资集团有限公司</t>
        </is>
      </c>
      <c r="F547" s="716" t="n"/>
      <c r="G547" s="716" t="n"/>
      <c r="H547" s="462" t="n"/>
    </row>
    <row r="548">
      <c r="A548" s="672" t="inlineStr">
        <is>
          <t>E100987</t>
        </is>
      </c>
      <c r="B548" s="767">
        <f>ROW()</f>
        <v/>
      </c>
      <c r="C548" s="182" t="inlineStr">
        <is>
          <t>常州市招联绿臻新能源有限公司</t>
        </is>
      </c>
      <c r="D548" s="182" t="inlineStr">
        <is>
          <t>ZI029E100734</t>
        </is>
      </c>
      <c r="E548" s="182" t="inlineStr">
        <is>
          <t>联合光伏（常州）投资集团有限公司</t>
        </is>
      </c>
      <c r="F548" s="716" t="n"/>
      <c r="G548" s="716" t="n"/>
      <c r="H548" s="462" t="n"/>
    </row>
    <row r="549">
      <c r="A549" s="672" t="inlineStr">
        <is>
          <t>E100943</t>
        </is>
      </c>
      <c r="B549" s="767">
        <f>ROW()</f>
        <v/>
      </c>
      <c r="C549" s="182" t="inlineStr">
        <is>
          <t>常州市智晖新能源有限公司</t>
        </is>
      </c>
      <c r="D549" s="182" t="inlineStr">
        <is>
          <t>ZI029E100730</t>
        </is>
      </c>
      <c r="E549" s="182" t="inlineStr">
        <is>
          <t>京能国际能源发展（北京）有限公司</t>
        </is>
      </c>
      <c r="F549" s="716" t="n"/>
      <c r="G549" s="716" t="n"/>
      <c r="H549" s="462" t="n"/>
    </row>
    <row r="550">
      <c r="A550" s="672" t="inlineStr">
        <is>
          <t>E101017</t>
        </is>
      </c>
      <c r="B550" s="767">
        <f>ROW()</f>
        <v/>
      </c>
      <c r="C550" s="182" t="inlineStr">
        <is>
          <t>常州新光新能源有限公司</t>
        </is>
      </c>
      <c r="D550" s="182" t="inlineStr">
        <is>
          <t>ZI029E101016</t>
        </is>
      </c>
      <c r="E550" s="182" t="inlineStr">
        <is>
          <t>丝绸之路招商新能源（常州）有限公司</t>
        </is>
      </c>
      <c r="F550" s="716" t="n"/>
      <c r="G550" s="716" t="n"/>
      <c r="H550" s="462" t="n"/>
    </row>
    <row r="551">
      <c r="A551" s="672" t="inlineStr">
        <is>
          <t>E100053</t>
        </is>
      </c>
      <c r="B551" s="767">
        <f>ROW()</f>
        <v/>
      </c>
      <c r="C551" s="182" t="inlineStr">
        <is>
          <t>朝阳县京能新能源有限公司</t>
        </is>
      </c>
      <c r="D551" s="182" t="inlineStr">
        <is>
          <t>ZI029E100001</t>
        </is>
      </c>
      <c r="E551" s="182" t="inlineStr">
        <is>
          <t>北京京能清洁能源电力股份有限公司</t>
        </is>
      </c>
      <c r="F551" s="716" t="n"/>
      <c r="G551" s="716" t="n"/>
      <c r="H551" s="462" t="n"/>
    </row>
    <row r="552">
      <c r="A552" s="672" t="inlineStr">
        <is>
          <t>E100101</t>
        </is>
      </c>
      <c r="B552" s="767">
        <f>ROW()</f>
        <v/>
      </c>
      <c r="C552" s="182" t="inlineStr">
        <is>
          <t>成都金华能电力实业有限责任公司</t>
        </is>
      </c>
      <c r="D552" s="182" t="inlineStr">
        <is>
          <t>ZI029E100096</t>
        </is>
      </c>
      <c r="E552" s="182" t="inlineStr">
        <is>
          <t>四川大川电力有限公司</t>
        </is>
      </c>
      <c r="F552" s="716" t="n"/>
      <c r="G552" s="716" t="n"/>
      <c r="H552" s="462" t="n"/>
    </row>
    <row r="553">
      <c r="A553" s="672" t="inlineStr">
        <is>
          <t>E100101</t>
        </is>
      </c>
      <c r="B553" s="767">
        <f>ROW()</f>
        <v/>
      </c>
      <c r="C553" s="182" t="inlineStr">
        <is>
          <t>成都金华能电力实业有限责任公司</t>
        </is>
      </c>
      <c r="D553" s="182" t="inlineStr">
        <is>
          <t>ZI029E100097</t>
        </is>
      </c>
      <c r="E553" s="182" t="inlineStr">
        <is>
          <t>四川众能电力有限公司</t>
        </is>
      </c>
      <c r="F553" s="716" t="n"/>
      <c r="G553" s="716" t="n"/>
      <c r="H553" s="462" t="n"/>
    </row>
    <row r="554">
      <c r="A554" s="672" t="inlineStr">
        <is>
          <t>E100287</t>
        </is>
      </c>
      <c r="B554" s="767">
        <f>ROW()</f>
        <v/>
      </c>
      <c r="C554" s="182" t="inlineStr">
        <is>
          <t>达瓦满度拉外商投资有限责任公司</t>
        </is>
      </c>
      <c r="D554" s="182" t="inlineStr">
        <is>
          <t>ZI029E100281</t>
        </is>
      </c>
      <c r="E554" s="182" t="inlineStr">
        <is>
          <t>北京京煤化工有限公司</t>
        </is>
      </c>
      <c r="F554" s="716" t="n"/>
      <c r="G554" s="716" t="n"/>
      <c r="H554" s="462" t="n"/>
    </row>
    <row r="555">
      <c r="A555" s="672" t="inlineStr">
        <is>
          <t>E100082</t>
        </is>
      </c>
      <c r="B555" s="767">
        <f>ROW()</f>
        <v/>
      </c>
      <c r="C555" s="182" t="inlineStr">
        <is>
          <t>大同京能新能源有限公司</t>
        </is>
      </c>
      <c r="D555" s="182" t="inlineStr">
        <is>
          <t>ZI029E100001</t>
        </is>
      </c>
      <c r="E555" s="182" t="inlineStr">
        <is>
          <t>北京京能清洁能源电力股份有限公司</t>
        </is>
      </c>
      <c r="F555" s="716" t="n"/>
      <c r="G555" s="716" t="n"/>
      <c r="H555" s="462" t="n"/>
    </row>
    <row r="556">
      <c r="A556" s="672" t="inlineStr">
        <is>
          <t>E100954</t>
        </is>
      </c>
      <c r="B556" s="767">
        <f>ROW()</f>
        <v/>
      </c>
      <c r="C556" s="182" t="inlineStr">
        <is>
          <t>大同联合光伏新能源有限公司</t>
        </is>
      </c>
      <c r="D556" s="182" t="inlineStr">
        <is>
          <t>ZI029E100734</t>
        </is>
      </c>
      <c r="E556" s="182" t="inlineStr">
        <is>
          <t>联合光伏（常州）投资集团有限公司</t>
        </is>
      </c>
      <c r="F556" s="716" t="n"/>
      <c r="G556" s="716" t="n"/>
      <c r="H556" s="462" t="n"/>
    </row>
    <row r="557">
      <c r="A557" s="716" t="inlineStr">
        <is>
          <t>E100954</t>
        </is>
      </c>
      <c r="B557" s="767">
        <f>ROW()</f>
        <v/>
      </c>
      <c r="C557" s="182" t="inlineStr">
        <is>
          <t>大同联合光伏新能源有限公司</t>
        </is>
      </c>
      <c r="D557" s="182" t="inlineStr">
        <is>
          <t>ZI029E101336</t>
        </is>
      </c>
      <c r="E557" s="182" t="inlineStr">
        <is>
          <t>盛唐贰号（天津）企业管理合伙企业（有限合伙）</t>
        </is>
      </c>
      <c r="F557" s="716" t="n"/>
      <c r="G557" s="716" t="n"/>
      <c r="H557" s="462" t="n"/>
    </row>
    <row r="558">
      <c r="A558" s="672" t="inlineStr">
        <is>
          <t>E100811</t>
        </is>
      </c>
      <c r="B558" s="767">
        <f>ROW()</f>
        <v/>
      </c>
      <c r="C558" s="182" t="inlineStr">
        <is>
          <t>大同市云冈区京能新能源有限公司</t>
        </is>
      </c>
      <c r="D558" s="182" t="inlineStr">
        <is>
          <t>ZI029E100730</t>
        </is>
      </c>
      <c r="E558" s="182" t="inlineStr">
        <is>
          <t>京能国际能源发展（北京）有限公司</t>
        </is>
      </c>
      <c r="F558" s="716" t="n"/>
      <c r="G558" s="716" t="n"/>
      <c r="H558" s="462" t="n"/>
    </row>
    <row r="559">
      <c r="A559" s="672" t="inlineStr">
        <is>
          <t>E100491</t>
        </is>
      </c>
      <c r="B559" s="767">
        <f>ROW()</f>
        <v/>
      </c>
      <c r="C559" s="182" t="inlineStr">
        <is>
          <t>大同市云西热力有限责任公司</t>
        </is>
      </c>
      <c r="D559" s="182" t="inlineStr">
        <is>
          <t>ZI029E100254</t>
        </is>
      </c>
      <c r="E559" s="182" t="inlineStr">
        <is>
          <t>京能大同热力有限公司</t>
        </is>
      </c>
      <c r="F559" s="716" t="n"/>
      <c r="G559" s="716" t="n"/>
      <c r="H559" s="462" t="n"/>
    </row>
    <row r="560">
      <c r="A560" s="672" t="inlineStr">
        <is>
          <t>E100731</t>
        </is>
      </c>
      <c r="B560" s="767">
        <f>ROW()</f>
        <v/>
      </c>
      <c r="C560" s="182" t="inlineStr">
        <is>
          <t>大同熊猫光伏发电有限公司</t>
        </is>
      </c>
      <c r="D560" s="182" t="inlineStr">
        <is>
          <t>ZI029E100978</t>
        </is>
      </c>
      <c r="E560" s="182" t="inlineStr">
        <is>
          <t>常州市招联绿新新能源有限公司</t>
        </is>
      </c>
      <c r="F560" s="716" t="n"/>
      <c r="G560" s="716" t="n"/>
      <c r="H560" s="462" t="n"/>
    </row>
    <row r="561">
      <c r="A561" s="672" t="inlineStr">
        <is>
          <t>E100821</t>
        </is>
      </c>
      <c r="B561" s="767">
        <f>ROW()</f>
        <v/>
      </c>
      <c r="C561" s="182" t="inlineStr">
        <is>
          <t>德州市陵城区乾超兄弟能源科技有限公司</t>
        </is>
      </c>
      <c r="D561" s="182" t="inlineStr">
        <is>
          <t>ZI029E100730</t>
        </is>
      </c>
      <c r="E561" s="182" t="inlineStr">
        <is>
          <t>京能国际能源发展（北京）有限公司</t>
        </is>
      </c>
      <c r="F561" s="716" t="n"/>
      <c r="G561" s="716" t="n"/>
      <c r="H561" s="462" t="n"/>
    </row>
    <row r="562">
      <c r="A562" s="672" t="inlineStr">
        <is>
          <t>E100839</t>
        </is>
      </c>
      <c r="B562" s="767">
        <f>ROW()</f>
        <v/>
      </c>
      <c r="C562" s="182" t="inlineStr">
        <is>
          <t>东台市宏旭新能源科技有限公司</t>
        </is>
      </c>
      <c r="D562" s="182" t="inlineStr">
        <is>
          <t>ZI029E100371</t>
        </is>
      </c>
      <c r="E562" s="182" t="inlineStr">
        <is>
          <t>北京京能科技有限公司</t>
        </is>
      </c>
      <c r="F562" s="716" t="n"/>
      <c r="G562" s="716" t="n"/>
      <c r="H562" s="462" t="n"/>
    </row>
    <row r="563">
      <c r="A563" s="672" t="inlineStr">
        <is>
          <t>E100061</t>
        </is>
      </c>
      <c r="B563" s="767">
        <f>ROW()</f>
        <v/>
      </c>
      <c r="C563" s="182" t="inlineStr">
        <is>
          <t>东源天华阳光新能源电力有限公司</t>
        </is>
      </c>
      <c r="D563" s="182" t="inlineStr">
        <is>
          <t>ZI029E100001</t>
        </is>
      </c>
      <c r="E563" s="182" t="inlineStr">
        <is>
          <t>北京京能清洁能源电力股份有限公司</t>
        </is>
      </c>
      <c r="F563" s="716" t="n"/>
      <c r="G563" s="716" t="n"/>
      <c r="H563" s="462" t="n"/>
    </row>
    <row r="564">
      <c r="A564" s="672" t="inlineStr">
        <is>
          <t>E100962</t>
        </is>
      </c>
      <c r="B564" s="767">
        <f>ROW()</f>
        <v/>
      </c>
      <c r="C564" s="182" t="inlineStr">
        <is>
          <t>东源县老围光电科技有限公司</t>
        </is>
      </c>
      <c r="D564" s="182" t="inlineStr">
        <is>
          <t>ZI029E100961</t>
        </is>
      </c>
      <c r="E564" s="182" t="inlineStr">
        <is>
          <t>惠州市晟合光电科技有限公司</t>
        </is>
      </c>
      <c r="F564" s="716" t="n"/>
      <c r="G564" s="716" t="n"/>
      <c r="H564" s="462" t="n"/>
    </row>
    <row r="565">
      <c r="A565" s="672" t="inlineStr">
        <is>
          <t>E100815</t>
        </is>
      </c>
      <c r="B565" s="767">
        <f>ROW()</f>
        <v/>
      </c>
      <c r="C565" s="182" t="inlineStr">
        <is>
          <t>东源县顺风光电科技有限公司</t>
        </is>
      </c>
      <c r="D565" s="182" t="inlineStr">
        <is>
          <t>ZI029E100001</t>
        </is>
      </c>
      <c r="E565" s="182" t="inlineStr">
        <is>
          <t>北京京能清洁能源电力股份有限公司</t>
        </is>
      </c>
      <c r="F565" s="716" t="n"/>
      <c r="G565" s="716" t="n"/>
      <c r="H565" s="462" t="n"/>
    </row>
    <row r="566">
      <c r="A566" s="672" t="inlineStr">
        <is>
          <t>E100208</t>
        </is>
      </c>
      <c r="B566" s="767">
        <f>ROW()</f>
        <v/>
      </c>
      <c r="C566" s="182" t="inlineStr">
        <is>
          <t>鄂尔多斯市东铜铁路物流有限公司</t>
        </is>
      </c>
      <c r="D566" s="182" t="inlineStr">
        <is>
          <t>ZI029E100201</t>
        </is>
      </c>
      <c r="E566" s="182" t="inlineStr">
        <is>
          <t>北京昊华能源股份有限公司</t>
        </is>
      </c>
      <c r="F566" s="716" t="n"/>
      <c r="G566" s="716" t="n"/>
      <c r="H566" s="462" t="n"/>
    </row>
    <row r="567">
      <c r="A567" s="672" t="inlineStr">
        <is>
          <t>E100207</t>
        </is>
      </c>
      <c r="B567" s="767">
        <f>ROW()</f>
        <v/>
      </c>
      <c r="C567" s="182" t="inlineStr">
        <is>
          <t>鄂尔多斯市昊华国泰化工有限公司</t>
        </is>
      </c>
      <c r="D567" s="182" t="inlineStr">
        <is>
          <t>ZI029E100201</t>
        </is>
      </c>
      <c r="E567" s="182" t="inlineStr">
        <is>
          <t>北京昊华能源股份有限公司</t>
        </is>
      </c>
      <c r="F567" s="716" t="n"/>
      <c r="G567" s="716" t="n"/>
      <c r="H567" s="462" t="n"/>
    </row>
    <row r="568">
      <c r="A568" s="672" t="inlineStr">
        <is>
          <t>E100204</t>
        </is>
      </c>
      <c r="B568" s="767">
        <f>ROW()</f>
        <v/>
      </c>
      <c r="C568" s="182" t="inlineStr">
        <is>
          <t>鄂尔多斯市昊华红庆梁矿业有限公司</t>
        </is>
      </c>
      <c r="D568" s="182" t="inlineStr">
        <is>
          <t>ZI029E100203</t>
        </is>
      </c>
      <c r="E568" s="182" t="inlineStr">
        <is>
          <t>杭锦旗西部能源开发有限公司</t>
        </is>
      </c>
      <c r="F568" s="716" t="n"/>
      <c r="G568" s="716" t="n"/>
      <c r="H568" s="462" t="n"/>
    </row>
    <row r="569">
      <c r="A569" s="672" t="inlineStr">
        <is>
          <t>E100202</t>
        </is>
      </c>
      <c r="B569" s="767">
        <f>ROW()</f>
        <v/>
      </c>
      <c r="C569" s="182" t="inlineStr">
        <is>
          <t>鄂尔多斯市昊华精煤有限责任公司</t>
        </is>
      </c>
      <c r="D569" s="182" t="inlineStr">
        <is>
          <t>ZI029E100201</t>
        </is>
      </c>
      <c r="E569" s="182" t="inlineStr">
        <is>
          <t>北京昊华能源股份有限公司</t>
        </is>
      </c>
      <c r="F569" s="716" t="n"/>
      <c r="G569" s="716" t="n"/>
      <c r="H569" s="462" t="n"/>
    </row>
    <row r="570">
      <c r="A570" s="672" t="inlineStr">
        <is>
          <t>E100209</t>
        </is>
      </c>
      <c r="B570" s="767">
        <f>ROW()</f>
        <v/>
      </c>
      <c r="C570" s="182" t="inlineStr">
        <is>
          <t>鄂尔多斯市昊华鑫通物资有限责任公司</t>
        </is>
      </c>
      <c r="D570" s="182" t="inlineStr">
        <is>
          <t>ZI029E100201</t>
        </is>
      </c>
      <c r="E570" s="182" t="inlineStr">
        <is>
          <t>北京昊华能源股份有限公司</t>
        </is>
      </c>
      <c r="F570" s="716" t="n"/>
      <c r="G570" s="716" t="n"/>
      <c r="H570" s="462" t="n"/>
    </row>
    <row r="571">
      <c r="A571" s="672" t="inlineStr">
        <is>
          <t>E100753</t>
        </is>
      </c>
      <c r="B571" s="767">
        <f>ROW()</f>
        <v/>
      </c>
      <c r="C571" s="182" t="inlineStr">
        <is>
          <t>鄂尔多斯市京能新能源科技有限公司</t>
        </is>
      </c>
      <c r="D571" s="182" t="inlineStr">
        <is>
          <t>ZI029E100145</t>
        </is>
      </c>
      <c r="E571" s="182" t="inlineStr">
        <is>
          <t>北京京能电力股份有限公司</t>
        </is>
      </c>
      <c r="F571" s="716" t="n"/>
      <c r="G571" s="716" t="n"/>
      <c r="H571" s="462" t="n"/>
    </row>
    <row r="572">
      <c r="A572" s="672" t="inlineStr">
        <is>
          <t>E100711</t>
        </is>
      </c>
      <c r="B572" s="767">
        <f>ROW()</f>
        <v/>
      </c>
      <c r="C572" s="182" t="inlineStr">
        <is>
          <t>鄂托克前旗晟日新能源科技有限公司</t>
        </is>
      </c>
      <c r="D572" s="182" t="inlineStr">
        <is>
          <t>ZI029E100001</t>
        </is>
      </c>
      <c r="E572" s="182" t="inlineStr">
        <is>
          <t>北京京能清洁能源电力股份有限公司</t>
        </is>
      </c>
      <c r="F572" s="716" t="n"/>
      <c r="G572" s="716" t="n"/>
      <c r="H572" s="462" t="n"/>
    </row>
    <row r="573">
      <c r="A573" s="672" t="inlineStr">
        <is>
          <t>E100711G</t>
        </is>
      </c>
      <c r="B573" s="767">
        <f>ROW()</f>
        <v/>
      </c>
      <c r="C573" s="182" t="inlineStr">
        <is>
          <t>鄂托克前旗晟日新能源科技有限公司（合并）</t>
        </is>
      </c>
      <c r="D573" s="182" t="inlineStr">
        <is>
          <t>ZI029E100001</t>
        </is>
      </c>
      <c r="E573" s="182" t="inlineStr">
        <is>
          <t>北京京能清洁能源电力股份有限公司</t>
        </is>
      </c>
      <c r="F573" s="716" t="n"/>
      <c r="G573" s="716" t="n"/>
      <c r="H573" s="462" t="n"/>
    </row>
    <row r="574">
      <c r="A574" s="672" t="inlineStr">
        <is>
          <t>E100845</t>
        </is>
      </c>
      <c r="B574" s="767">
        <f>ROW()</f>
        <v/>
      </c>
      <c r="C574" s="182" t="inlineStr">
        <is>
          <t>二连浩特京能新能源有限公司</t>
        </is>
      </c>
      <c r="D574" s="182" t="inlineStr">
        <is>
          <t>ZI029E100145</t>
        </is>
      </c>
      <c r="E574" s="182" t="inlineStr">
        <is>
          <t>北京京能电力股份有限公司</t>
        </is>
      </c>
      <c r="F574" s="716" t="n"/>
      <c r="G574" s="716" t="n"/>
      <c r="H574" s="462" t="n"/>
    </row>
    <row r="575">
      <c r="A575" s="672" t="inlineStr">
        <is>
          <t>E100253</t>
        </is>
      </c>
      <c r="B575" s="767">
        <f>ROW()</f>
        <v/>
      </c>
      <c r="C575" s="182" t="inlineStr">
        <is>
          <t>抚松京热热力有限责任公司</t>
        </is>
      </c>
      <c r="D575" s="182" t="inlineStr">
        <is>
          <t>ZI029E100222</t>
        </is>
      </c>
      <c r="E575" s="182" t="inlineStr">
        <is>
          <t>北京市热力集团有限责任公司</t>
        </is>
      </c>
      <c r="F575" s="716" t="n"/>
      <c r="G575" s="716" t="n"/>
      <c r="H575" s="462" t="n"/>
    </row>
    <row r="576">
      <c r="A576" s="672" t="inlineStr">
        <is>
          <t>E100093</t>
        </is>
      </c>
      <c r="B576" s="767">
        <f>ROW()</f>
        <v/>
      </c>
      <c r="C576" s="182" t="inlineStr">
        <is>
          <t>府谷县京能新能源有限公司</t>
        </is>
      </c>
      <c r="D576" s="182" t="inlineStr">
        <is>
          <t>ZI029E100001</t>
        </is>
      </c>
      <c r="E576" s="182" t="inlineStr">
        <is>
          <t>北京京能清洁能源电力股份有限公司</t>
        </is>
      </c>
      <c r="F576" s="716" t="n"/>
      <c r="G576" s="716" t="n"/>
      <c r="H576" s="462" t="n"/>
    </row>
    <row r="577">
      <c r="A577" s="672" t="inlineStr">
        <is>
          <t>E100832</t>
        </is>
      </c>
      <c r="B577" s="767">
        <f>ROW()</f>
        <v/>
      </c>
      <c r="C577" s="182" t="inlineStr">
        <is>
          <t>阜新爱友新能源有限公司</t>
        </is>
      </c>
      <c r="D577" s="182" t="inlineStr">
        <is>
          <t>ZI029E100730</t>
        </is>
      </c>
      <c r="E577" s="182" t="inlineStr">
        <is>
          <t>京能国际能源发展（北京）有限公司</t>
        </is>
      </c>
      <c r="F577" s="716" t="n"/>
      <c r="G577" s="716" t="n"/>
      <c r="H577" s="462" t="n"/>
    </row>
    <row r="578">
      <c r="A578" s="672" t="inlineStr">
        <is>
          <t>E100833</t>
        </is>
      </c>
      <c r="B578" s="767">
        <f>ROW()</f>
        <v/>
      </c>
      <c r="C578" s="182" t="inlineStr">
        <is>
          <t>阜新东泰新能源有限公司</t>
        </is>
      </c>
      <c r="D578" s="182" t="inlineStr">
        <is>
          <t>ZI029E100730</t>
        </is>
      </c>
      <c r="E578" s="182" t="inlineStr">
        <is>
          <t>京能国际能源发展（北京）有限公司</t>
        </is>
      </c>
      <c r="F578" s="716" t="n"/>
      <c r="G578" s="716" t="n"/>
      <c r="H578" s="462" t="n"/>
    </row>
    <row r="579">
      <c r="A579" s="672" t="inlineStr">
        <is>
          <t>E100834</t>
        </is>
      </c>
      <c r="B579" s="767">
        <f>ROW()</f>
        <v/>
      </c>
      <c r="C579" s="182" t="inlineStr">
        <is>
          <t>阜新吉娅泰新能源有限公司</t>
        </is>
      </c>
      <c r="D579" s="182" t="inlineStr">
        <is>
          <t>ZI029E100730</t>
        </is>
      </c>
      <c r="E579" s="182" t="inlineStr">
        <is>
          <t>京能国际能源发展（北京）有限公司</t>
        </is>
      </c>
      <c r="F579" s="716" t="n"/>
      <c r="G579" s="716" t="n"/>
      <c r="H579" s="462" t="n"/>
    </row>
    <row r="580">
      <c r="A580" s="672" t="inlineStr">
        <is>
          <t>E100835</t>
        </is>
      </c>
      <c r="B580" s="767">
        <f>ROW()</f>
        <v/>
      </c>
      <c r="C580" s="182" t="inlineStr">
        <is>
          <t>阜新架木苏新能源有限公司</t>
        </is>
      </c>
      <c r="D580" s="182" t="inlineStr">
        <is>
          <t>ZI029E100730</t>
        </is>
      </c>
      <c r="E580" s="182" t="inlineStr">
        <is>
          <t>京能国际能源发展（北京）有限公司</t>
        </is>
      </c>
      <c r="F580" s="716" t="n"/>
      <c r="G580" s="716" t="n"/>
      <c r="H580" s="462" t="n"/>
    </row>
    <row r="581">
      <c r="A581" s="672" t="inlineStr">
        <is>
          <t>E100836</t>
        </is>
      </c>
      <c r="B581" s="767">
        <f>ROW()</f>
        <v/>
      </c>
      <c r="C581" s="182" t="inlineStr">
        <is>
          <t>阜新金元新能源有限公司</t>
        </is>
      </c>
      <c r="D581" s="182" t="inlineStr">
        <is>
          <t>ZI029E100730</t>
        </is>
      </c>
      <c r="E581" s="182" t="inlineStr">
        <is>
          <t>京能国际能源发展（北京）有限公司</t>
        </is>
      </c>
      <c r="F581" s="716" t="n"/>
      <c r="G581" s="716" t="n"/>
      <c r="H581" s="462" t="n"/>
    </row>
    <row r="582">
      <c r="A582" s="672" t="inlineStr">
        <is>
          <t>E100837</t>
        </is>
      </c>
      <c r="B582" s="767">
        <f>ROW()</f>
        <v/>
      </c>
      <c r="C582" s="182" t="inlineStr">
        <is>
          <t>阜新塞罕新能源有限公司</t>
        </is>
      </c>
      <c r="D582" s="182" t="inlineStr">
        <is>
          <t>ZI029E100730</t>
        </is>
      </c>
      <c r="E582" s="182" t="inlineStr">
        <is>
          <t>京能国际能源发展（北京）有限公司</t>
        </is>
      </c>
      <c r="F582" s="716" t="n"/>
      <c r="G582" s="716" t="n"/>
      <c r="H582" s="462" t="n"/>
    </row>
    <row r="583">
      <c r="A583" s="672" t="inlineStr">
        <is>
          <t>E100838</t>
        </is>
      </c>
      <c r="B583" s="767">
        <f>ROW()</f>
        <v/>
      </c>
      <c r="C583" s="182" t="inlineStr">
        <is>
          <t>阜新赛纳新能源有限公司</t>
        </is>
      </c>
      <c r="D583" s="182" t="inlineStr">
        <is>
          <t>ZI029E100730</t>
        </is>
      </c>
      <c r="E583" s="182" t="inlineStr">
        <is>
          <t>京能国际能源发展（北京）有限公司</t>
        </is>
      </c>
      <c r="F583" s="716" t="n"/>
      <c r="G583" s="716" t="n"/>
      <c r="H583" s="462" t="n"/>
    </row>
    <row r="584">
      <c r="A584" s="672" t="inlineStr">
        <is>
          <t>E100884</t>
        </is>
      </c>
      <c r="B584" s="767">
        <f>ROW()</f>
        <v/>
      </c>
      <c r="C584" s="182" t="inlineStr">
        <is>
          <t>高安京能赛拉弗光伏发电有限公司</t>
        </is>
      </c>
      <c r="D584" s="182" t="inlineStr">
        <is>
          <t>ZI029E100883</t>
        </is>
      </c>
      <c r="E584" s="182" t="inlineStr">
        <is>
          <t>Beijing Energy International Investment Limited</t>
        </is>
      </c>
      <c r="F584" s="716" t="n"/>
      <c r="G584" s="716" t="n"/>
      <c r="H584" s="462" t="n"/>
    </row>
    <row r="585">
      <c r="A585" s="672" t="inlineStr">
        <is>
          <t>E100016</t>
        </is>
      </c>
      <c r="B585" s="767">
        <f>ROW()</f>
        <v/>
      </c>
      <c r="C585" s="182" t="inlineStr">
        <is>
          <t>格尔木京能新能源有限公司</t>
        </is>
      </c>
      <c r="D585" s="182" t="inlineStr">
        <is>
          <t>ZI029E100001</t>
        </is>
      </c>
      <c r="E585" s="182" t="inlineStr">
        <is>
          <t>北京京能清洁能源电力股份有限公司</t>
        </is>
      </c>
      <c r="F585" s="716" t="n"/>
      <c r="G585" s="716" t="n"/>
      <c r="H585" s="462" t="n"/>
    </row>
    <row r="586">
      <c r="A586" s="672" t="inlineStr">
        <is>
          <t>E100563</t>
        </is>
      </c>
      <c r="B586" s="767">
        <f>ROW()</f>
        <v/>
      </c>
      <c r="C586" s="182" t="inlineStr">
        <is>
          <t>格伦光伏项目公司</t>
        </is>
      </c>
      <c r="D586" s="182" t="inlineStr">
        <is>
          <t>ZI029E100561</t>
        </is>
      </c>
      <c r="E586" s="182" t="inlineStr">
        <is>
          <t>北京京能清洁能源（澳洲）控股有限公司</t>
        </is>
      </c>
      <c r="F586" s="716" t="n"/>
      <c r="G586" s="716" t="n"/>
      <c r="H586" s="462" t="n"/>
    </row>
    <row r="587">
      <c r="A587" s="672" t="inlineStr">
        <is>
          <t>E100028</t>
        </is>
      </c>
      <c r="B587" s="767">
        <f>ROW()</f>
        <v/>
      </c>
      <c r="C587" s="182" t="inlineStr">
        <is>
          <t>共和京能清洁能源有限公司</t>
        </is>
      </c>
      <c r="D587" s="182" t="inlineStr">
        <is>
          <t>ZI029E100001</t>
        </is>
      </c>
      <c r="E587" s="182" t="inlineStr">
        <is>
          <t>北京京能清洁能源电力股份有限公司</t>
        </is>
      </c>
      <c r="F587" s="716" t="n"/>
      <c r="G587" s="716" t="n"/>
      <c r="H587" s="462" t="n"/>
    </row>
    <row r="588">
      <c r="A588" s="672" t="inlineStr">
        <is>
          <t>E100029</t>
        </is>
      </c>
      <c r="B588" s="767">
        <f>ROW()</f>
        <v/>
      </c>
      <c r="C588" s="182" t="inlineStr">
        <is>
          <t>共和源通光伏发电有限公司</t>
        </is>
      </c>
      <c r="D588" s="182" t="inlineStr">
        <is>
          <t>ZI029E100001</t>
        </is>
      </c>
      <c r="E588" s="182" t="inlineStr">
        <is>
          <t>北京京能清洁能源电力股份有限公司</t>
        </is>
      </c>
      <c r="F588" s="716" t="n"/>
      <c r="G588" s="716" t="n"/>
      <c r="H588" s="462" t="n"/>
    </row>
    <row r="589">
      <c r="A589" s="672" t="inlineStr">
        <is>
          <t>E100912</t>
        </is>
      </c>
      <c r="B589" s="767">
        <f>ROW()</f>
        <v/>
      </c>
      <c r="C589" s="182" t="inlineStr">
        <is>
          <t>光山县辉达新能源科技有限公司</t>
        </is>
      </c>
      <c r="D589" s="182" t="inlineStr">
        <is>
          <t>ZI029E100908</t>
        </is>
      </c>
      <c r="E589" s="182" t="inlineStr">
        <is>
          <t>北京通力日昇新能源科技有限公司</t>
        </is>
      </c>
      <c r="F589" s="716" t="n"/>
      <c r="G589" s="716" t="n"/>
      <c r="H589" s="462" t="n"/>
    </row>
    <row r="590">
      <c r="A590" s="672" t="inlineStr">
        <is>
          <t>E100781</t>
        </is>
      </c>
      <c r="B590" s="767">
        <f>ROW()</f>
        <v/>
      </c>
      <c r="C590" s="182" t="inlineStr">
        <is>
          <t>广东辉宇新能源投资有限公司</t>
        </is>
      </c>
      <c r="D590" s="182" t="inlineStr">
        <is>
          <t>ZI029E100001</t>
        </is>
      </c>
      <c r="E590" s="182" t="inlineStr">
        <is>
          <t>北京京能清洁能源电力股份有限公司</t>
        </is>
      </c>
      <c r="F590" s="716" t="n"/>
      <c r="G590" s="716" t="n"/>
      <c r="H590" s="462" t="n"/>
    </row>
    <row r="591">
      <c r="A591" s="672" t="inlineStr">
        <is>
          <t>E100781G</t>
        </is>
      </c>
      <c r="B591" s="767">
        <f>ROW()</f>
        <v/>
      </c>
      <c r="C591" s="182" t="inlineStr">
        <is>
          <t>广东辉宇新能源投资有限公司（合并）</t>
        </is>
      </c>
      <c r="D591" s="182" t="inlineStr">
        <is>
          <t>ZI029E100001</t>
        </is>
      </c>
      <c r="E591" s="182" t="inlineStr">
        <is>
          <t>北京京能清洁能源电力股份有限公司</t>
        </is>
      </c>
      <c r="F591" s="716" t="n"/>
      <c r="G591" s="716" t="n"/>
      <c r="H591" s="462" t="n"/>
    </row>
    <row r="592">
      <c r="A592" s="672" t="inlineStr">
        <is>
          <t>E100782</t>
        </is>
      </c>
      <c r="B592" s="767">
        <f>ROW()</f>
        <v/>
      </c>
      <c r="C592" s="182" t="inlineStr">
        <is>
          <t>广东万顺新能源有限公司</t>
        </is>
      </c>
      <c r="D592" s="182" t="inlineStr">
        <is>
          <t>ZI029E100781</t>
        </is>
      </c>
      <c r="E592" s="182" t="inlineStr">
        <is>
          <t>广东辉宇新能源投资有限公司</t>
        </is>
      </c>
      <c r="F592" s="716" t="n"/>
      <c r="G592" s="716" t="n"/>
      <c r="H592" s="462" t="n"/>
    </row>
    <row r="593">
      <c r="A593" s="672" t="inlineStr">
        <is>
          <t>E100756</t>
        </is>
      </c>
      <c r="B593" s="767">
        <f>ROW()</f>
        <v/>
      </c>
      <c r="C593" s="182" t="inlineStr">
        <is>
          <t>贵港市绿色方舟新能源有限公司</t>
        </is>
      </c>
      <c r="D593" s="182" t="inlineStr">
        <is>
          <t>ZI029E101026</t>
        </is>
      </c>
      <c r="E593" s="182" t="inlineStr">
        <is>
          <t>常州市招联绿灿新能源有限公司</t>
        </is>
      </c>
      <c r="F593" s="716" t="n"/>
      <c r="G593" s="716" t="n"/>
      <c r="H593" s="462" t="n"/>
    </row>
    <row r="594">
      <c r="A594" s="672" t="inlineStr">
        <is>
          <t>E100304</t>
        </is>
      </c>
      <c r="B594" s="767">
        <f>ROW()</f>
        <v/>
      </c>
      <c r="C594" s="182" t="inlineStr">
        <is>
          <t>贵州华联旅业有限责任公司</t>
        </is>
      </c>
      <c r="D594" s="182" t="inlineStr">
        <is>
          <t>ZI029E100293</t>
        </is>
      </c>
      <c r="E594" s="182" t="inlineStr">
        <is>
          <t>北京京能酒店管理有限公司</t>
        </is>
      </c>
      <c r="F594" s="716" t="n"/>
      <c r="G594" s="716" t="n"/>
      <c r="H594" s="462" t="n"/>
    </row>
    <row r="595">
      <c r="A595" s="672" t="inlineStr">
        <is>
          <t>E101009</t>
        </is>
      </c>
      <c r="B595" s="767">
        <f>ROW()</f>
        <v/>
      </c>
      <c r="C595" s="182" t="inlineStr">
        <is>
          <t>国电察哈尔右翼前旗第二光伏发电有限公司</t>
        </is>
      </c>
      <c r="D595" s="182" t="inlineStr">
        <is>
          <t>ZI029E101008</t>
        </is>
      </c>
      <c r="E595" s="182" t="inlineStr">
        <is>
          <t>南京丝绸之路新能源有限公司</t>
        </is>
      </c>
      <c r="F595" s="716" t="n"/>
      <c r="G595" s="716" t="n"/>
      <c r="H595" s="462" t="n"/>
    </row>
    <row r="596">
      <c r="A596" s="672" t="inlineStr">
        <is>
          <t>E100968</t>
        </is>
      </c>
      <c r="B596" s="767">
        <f>ROW()</f>
        <v/>
      </c>
      <c r="C596" s="182" t="inlineStr">
        <is>
          <t>国电察哈尔右翼前旗光伏发电有限公司</t>
        </is>
      </c>
      <c r="D596" s="182" t="inlineStr">
        <is>
          <t>ZI029E100735</t>
        </is>
      </c>
      <c r="E596" s="182" t="inlineStr">
        <is>
          <t>内蒙古京能新能源科技有限公司</t>
        </is>
      </c>
      <c r="F596" s="716" t="n"/>
      <c r="G596" s="716" t="n"/>
      <c r="H596" s="462" t="n"/>
    </row>
    <row r="597">
      <c r="A597" s="672" t="inlineStr">
        <is>
          <t>E101010</t>
        </is>
      </c>
      <c r="B597" s="767">
        <f>ROW()</f>
        <v/>
      </c>
      <c r="C597" s="182" t="inlineStr">
        <is>
          <t>国电科左中旗光伏发电有限公司</t>
        </is>
      </c>
      <c r="D597" s="182" t="inlineStr">
        <is>
          <t>ZI029E101008</t>
        </is>
      </c>
      <c r="E597" s="182" t="inlineStr">
        <is>
          <t>南京丝绸之路新能源有限公司</t>
        </is>
      </c>
      <c r="F597" s="716" t="n"/>
      <c r="G597" s="716" t="n"/>
      <c r="H597" s="462" t="n"/>
    </row>
    <row r="598">
      <c r="A598" s="672" t="inlineStr">
        <is>
          <t>E101011</t>
        </is>
      </c>
      <c r="B598" s="767">
        <f>ROW()</f>
        <v/>
      </c>
      <c r="C598" s="182" t="inlineStr">
        <is>
          <t>国电商都县第二光伏发电有限公司</t>
        </is>
      </c>
      <c r="D598" s="182" t="inlineStr">
        <is>
          <t>ZI029E101008</t>
        </is>
      </c>
      <c r="E598" s="182" t="inlineStr">
        <is>
          <t>南京丝绸之路新能源有限公司</t>
        </is>
      </c>
      <c r="F598" s="716" t="n"/>
      <c r="G598" s="716" t="n"/>
      <c r="H598" s="462" t="n"/>
    </row>
    <row r="599">
      <c r="A599" s="672" t="inlineStr">
        <is>
          <t>E100969</t>
        </is>
      </c>
      <c r="B599" s="767">
        <f>ROW()</f>
        <v/>
      </c>
      <c r="C599" s="182" t="inlineStr">
        <is>
          <t>国电托克托县光伏发电有限公司</t>
        </is>
      </c>
      <c r="D599" s="182" t="inlineStr">
        <is>
          <t>ZI029E100735</t>
        </is>
      </c>
      <c r="E599" s="182" t="inlineStr">
        <is>
          <t>内蒙古京能新能源科技有限公司</t>
        </is>
      </c>
      <c r="F599" s="716" t="n"/>
      <c r="G599" s="716" t="n"/>
      <c r="H599" s="462" t="n"/>
    </row>
    <row r="600">
      <c r="A600" s="672" t="inlineStr">
        <is>
          <t>E100967</t>
        </is>
      </c>
      <c r="B600" s="767">
        <f>ROW()</f>
        <v/>
      </c>
      <c r="C600" s="182" t="inlineStr">
        <is>
          <t>国电乌拉特后旗光伏发电有限公司</t>
        </is>
      </c>
      <c r="D600" s="182" t="inlineStr">
        <is>
          <t>ZI029E100735</t>
        </is>
      </c>
      <c r="E600" s="182" t="inlineStr">
        <is>
          <t>内蒙古京能新能源科技有限公司</t>
        </is>
      </c>
      <c r="F600" s="716" t="n"/>
      <c r="G600" s="716" t="n"/>
      <c r="H600" s="462" t="n"/>
    </row>
    <row r="601">
      <c r="A601" s="672" t="inlineStr">
        <is>
          <t>E100765</t>
        </is>
      </c>
      <c r="B601" s="767">
        <f>ROW()</f>
        <v/>
      </c>
      <c r="C601" s="182" t="inlineStr">
        <is>
          <t>哈密辉腾光伏电力有限公司</t>
        </is>
      </c>
      <c r="D601" s="182" t="inlineStr">
        <is>
          <t>ZI029E100956</t>
        </is>
      </c>
      <c r="E601" s="182" t="inlineStr">
        <is>
          <t>常州光昱新能源有限公司</t>
        </is>
      </c>
      <c r="F601" s="716" t="n"/>
      <c r="G601" s="716" t="n"/>
      <c r="H601" s="462" t="n"/>
    </row>
    <row r="602">
      <c r="A602" s="672" t="inlineStr">
        <is>
          <t>E100856</t>
        </is>
      </c>
      <c r="B602" s="767">
        <f>ROW()</f>
        <v/>
      </c>
      <c r="C602" s="182" t="inlineStr">
        <is>
          <t>海东市乐都区融智新能源开发有限公司</t>
        </is>
      </c>
      <c r="D602" s="182" t="inlineStr">
        <is>
          <t>ZI029E100932</t>
        </is>
      </c>
      <c r="E602" s="182" t="inlineStr">
        <is>
          <t>青海思迅新能源有限公司</t>
        </is>
      </c>
      <c r="F602" s="716" t="n"/>
      <c r="G602" s="716" t="n"/>
      <c r="H602" s="462" t="n"/>
    </row>
    <row r="603">
      <c r="A603" s="672" t="inlineStr">
        <is>
          <t>E100280</t>
        </is>
      </c>
      <c r="B603" s="767">
        <f>ROW()</f>
        <v/>
      </c>
      <c r="C603" s="182" t="inlineStr">
        <is>
          <t>海南金泰旅业开发有限公司</t>
        </is>
      </c>
      <c r="D603" s="182" t="inlineStr">
        <is>
          <t>ZI029E100353</t>
        </is>
      </c>
      <c r="E603" s="182" t="inlineStr">
        <is>
          <t>北京京能房产租赁经营有限责任公司</t>
        </is>
      </c>
      <c r="F603" s="716" t="n"/>
      <c r="G603" s="716" t="n"/>
      <c r="H603" s="462" t="n"/>
    </row>
    <row r="604">
      <c r="A604" s="672" t="inlineStr">
        <is>
          <t>E100732</t>
        </is>
      </c>
      <c r="B604" s="767">
        <f>ROW()</f>
        <v/>
      </c>
      <c r="C604" s="182" t="inlineStr">
        <is>
          <t>海南州亚晖新能源电力有限公司</t>
        </is>
      </c>
      <c r="D604" s="182" t="inlineStr">
        <is>
          <t>ZI029E100955</t>
        </is>
      </c>
      <c r="E604" s="182" t="inlineStr">
        <is>
          <t>常州鼎晖新能源有限公司</t>
        </is>
      </c>
      <c r="F604" s="716" t="n"/>
      <c r="G604" s="716" t="n"/>
      <c r="H604" s="462" t="n"/>
    </row>
    <row r="605">
      <c r="A605" s="672" t="inlineStr">
        <is>
          <t>E100017</t>
        </is>
      </c>
      <c r="B605" s="767">
        <f>ROW()</f>
        <v/>
      </c>
      <c r="C605" s="182" t="inlineStr">
        <is>
          <t>海兴京兴新能源有限公司</t>
        </is>
      </c>
      <c r="D605" s="182" t="inlineStr">
        <is>
          <t>ZI029E100001</t>
        </is>
      </c>
      <c r="E605" s="182" t="inlineStr">
        <is>
          <t>北京京能清洁能源电力股份有限公司</t>
        </is>
      </c>
      <c r="F605" s="716" t="n"/>
      <c r="G605" s="716" t="n"/>
      <c r="H605" s="462" t="n"/>
    </row>
    <row r="606">
      <c r="A606" s="672" t="inlineStr">
        <is>
          <t>E100017</t>
        </is>
      </c>
      <c r="B606" s="767">
        <f>ROW()</f>
        <v/>
      </c>
      <c r="C606" s="182" t="inlineStr">
        <is>
          <t>海兴京兴新能源有限公司</t>
        </is>
      </c>
      <c r="D606" s="182" t="inlineStr">
        <is>
          <t>ZI029E101187</t>
        </is>
      </c>
      <c r="E606" s="182" t="inlineStr">
        <is>
          <t>横峰县晶泰电力有限公司</t>
        </is>
      </c>
      <c r="F606" s="716" t="n"/>
      <c r="G606" s="716" t="n"/>
      <c r="H606" s="462" t="n"/>
    </row>
    <row r="607">
      <c r="A607" s="672" t="inlineStr">
        <is>
          <t>E101013</t>
        </is>
      </c>
      <c r="B607" s="767">
        <f>ROW()</f>
        <v/>
      </c>
      <c r="C607" s="182" t="inlineStr">
        <is>
          <t>海阳鑫顺风光电科技有限公司</t>
        </is>
      </c>
      <c r="D607" s="182" t="inlineStr">
        <is>
          <t>ZI029E101012</t>
        </is>
      </c>
      <c r="E607" s="182" t="inlineStr">
        <is>
          <t>常州市招联绿伏新能源有限公司</t>
        </is>
      </c>
      <c r="F607" s="716" t="n"/>
      <c r="G607" s="716" t="n"/>
      <c r="H607" s="462" t="n"/>
    </row>
    <row r="608">
      <c r="A608" s="672" t="inlineStr">
        <is>
          <t>E100783</t>
        </is>
      </c>
      <c r="B608" s="767">
        <f>ROW()</f>
        <v/>
      </c>
      <c r="C608" s="182" t="inlineStr">
        <is>
          <t>韩城京能清洁能源有限公司</t>
        </is>
      </c>
      <c r="D608" s="182" t="inlineStr">
        <is>
          <t>ZI029E100001</t>
        </is>
      </c>
      <c r="E608" s="182" t="inlineStr">
        <is>
          <t>北京京能清洁能源电力股份有限公司</t>
        </is>
      </c>
      <c r="F608" s="716" t="n"/>
      <c r="G608" s="716" t="n"/>
      <c r="H608" s="462" t="n"/>
    </row>
    <row r="609">
      <c r="A609" s="672" t="inlineStr">
        <is>
          <t>E100990</t>
        </is>
      </c>
      <c r="B609" s="767">
        <f>ROW()</f>
        <v/>
      </c>
      <c r="C609" s="182" t="inlineStr">
        <is>
          <t>汉寿昊晖太阳能发电有限公司</t>
        </is>
      </c>
      <c r="D609" s="182" t="inlineStr">
        <is>
          <t>ZI029E100988</t>
        </is>
      </c>
      <c r="E609" s="182" t="inlineStr">
        <is>
          <t>常州市招联绿睿新能源有限公司</t>
        </is>
      </c>
      <c r="F609" s="716" t="n"/>
      <c r="G609" s="716" t="n"/>
      <c r="H609" s="462" t="n"/>
    </row>
    <row r="610">
      <c r="A610" s="672" t="inlineStr">
        <is>
          <t>E100068</t>
        </is>
      </c>
      <c r="B610" s="767">
        <f>ROW()</f>
        <v/>
      </c>
      <c r="C610" s="182" t="inlineStr">
        <is>
          <t>汉寿县润鑫新能源有限公司</t>
        </is>
      </c>
      <c r="D610" s="182" t="inlineStr">
        <is>
          <t>ZI029E100001</t>
        </is>
      </c>
      <c r="E610" s="182" t="inlineStr">
        <is>
          <t>北京京能清洁能源电力股份有限公司</t>
        </is>
      </c>
      <c r="F610" s="716" t="n"/>
      <c r="G610" s="716" t="n"/>
      <c r="H610" s="462" t="n"/>
    </row>
    <row r="611">
      <c r="A611" s="672" t="inlineStr">
        <is>
          <t>E100992</t>
        </is>
      </c>
      <c r="B611" s="767">
        <f>ROW()</f>
        <v/>
      </c>
      <c r="C611" s="182" t="inlineStr">
        <is>
          <t>汉寿中晖太阳能发电有限公司</t>
        </is>
      </c>
      <c r="D611" s="182" t="inlineStr">
        <is>
          <t>ZI029E100991</t>
        </is>
      </c>
      <c r="E611" s="182" t="inlineStr">
        <is>
          <t>常熟宏丰光伏电站开发有限公司</t>
        </is>
      </c>
      <c r="F611" s="716" t="n"/>
      <c r="G611" s="716" t="n"/>
      <c r="H611" s="462" t="n"/>
    </row>
    <row r="612">
      <c r="A612" s="672" t="inlineStr">
        <is>
          <t>E100976</t>
        </is>
      </c>
      <c r="B612" s="767">
        <f>ROW()</f>
        <v/>
      </c>
      <c r="C612" s="182" t="inlineStr">
        <is>
          <t>杭锦后旗国电光伏发电有限公司</t>
        </is>
      </c>
      <c r="D612" s="182" t="inlineStr">
        <is>
          <t>ZI029E100973</t>
        </is>
      </c>
      <c r="E612" s="182" t="inlineStr">
        <is>
          <t>察右前旗联合光伏发电有限公司</t>
        </is>
      </c>
      <c r="F612" s="716" t="n"/>
      <c r="G612" s="716" t="n"/>
      <c r="H612" s="462" t="n"/>
    </row>
    <row r="613">
      <c r="A613" s="672" t="inlineStr">
        <is>
          <t>E100203</t>
        </is>
      </c>
      <c r="B613" s="767">
        <f>ROW()</f>
        <v/>
      </c>
      <c r="C613" s="182" t="inlineStr">
        <is>
          <t>杭锦旗西部能源开发有限公司</t>
        </is>
      </c>
      <c r="D613" s="182" t="inlineStr">
        <is>
          <t>ZI029E100201</t>
        </is>
      </c>
      <c r="E613" s="182" t="inlineStr">
        <is>
          <t>北京昊华能源股份有限公司</t>
        </is>
      </c>
      <c r="F613" s="716" t="n"/>
      <c r="G613" s="716" t="n"/>
      <c r="H613" s="462" t="n"/>
    </row>
    <row r="614">
      <c r="A614" s="672" t="inlineStr">
        <is>
          <t>E100203G</t>
        </is>
      </c>
      <c r="B614" s="767">
        <f>ROW()</f>
        <v/>
      </c>
      <c r="C614" s="182" t="inlineStr">
        <is>
          <t>杭锦旗西部能源开发有限公司（合并）</t>
        </is>
      </c>
      <c r="D614" s="182" t="inlineStr">
        <is>
          <t>ZI029E100201</t>
        </is>
      </c>
      <c r="E614" s="182" t="inlineStr">
        <is>
          <t>北京昊华能源股份有限公司</t>
        </is>
      </c>
      <c r="F614" s="716" t="n"/>
      <c r="G614" s="716" t="n"/>
      <c r="H614" s="462" t="n"/>
    </row>
    <row r="615">
      <c r="A615" s="672" t="inlineStr">
        <is>
          <t>E100984</t>
        </is>
      </c>
      <c r="B615" s="767">
        <f>ROW()</f>
        <v/>
      </c>
      <c r="C615" s="182" t="inlineStr">
        <is>
          <t>杭州灿鸿投资管理合伙企业（有限合伙）</t>
        </is>
      </c>
      <c r="D615" s="182" t="inlineStr">
        <is>
          <t>ZI029E100985</t>
        </is>
      </c>
      <c r="E615" s="182" t="inlineStr">
        <is>
          <t>常州市招联绿邦新能源有限公司</t>
        </is>
      </c>
      <c r="F615" s="716" t="n"/>
      <c r="G615" s="716" t="n"/>
      <c r="H615" s="462" t="n"/>
    </row>
    <row r="616">
      <c r="A616" s="672" t="inlineStr">
        <is>
          <t>E100402</t>
        </is>
      </c>
      <c r="B616" s="767">
        <f>ROW()</f>
        <v/>
      </c>
      <c r="C616" s="182" t="inlineStr">
        <is>
          <t>杭州源江能源科技有限公司</t>
        </is>
      </c>
      <c r="D616" s="182" t="inlineStr">
        <is>
          <t>ZI029E100371</t>
        </is>
      </c>
      <c r="E616" s="182" t="inlineStr">
        <is>
          <t>北京京能科技有限公司</t>
        </is>
      </c>
      <c r="F616" s="716" t="n"/>
      <c r="G616" s="716" t="n"/>
      <c r="H616" s="462" t="n"/>
    </row>
    <row r="617">
      <c r="A617" s="672" t="inlineStr">
        <is>
          <t>E100216</t>
        </is>
      </c>
      <c r="B617" s="767">
        <f>ROW()</f>
        <v/>
      </c>
      <c r="C617" s="182" t="inlineStr">
        <is>
          <t>昊华能源国际（香港）有限公司</t>
        </is>
      </c>
      <c r="D617" s="182" t="inlineStr">
        <is>
          <t>ZI029E100201</t>
        </is>
      </c>
      <c r="E617" s="182" t="inlineStr">
        <is>
          <t>北京昊华能源股份有限公司</t>
        </is>
      </c>
      <c r="F617" s="716" t="n"/>
      <c r="G617" s="716" t="n"/>
      <c r="H617" s="462" t="n"/>
    </row>
    <row r="618">
      <c r="A618" s="672" t="inlineStr">
        <is>
          <t>E100929</t>
        </is>
      </c>
      <c r="B618" s="767">
        <f>ROW()</f>
        <v/>
      </c>
      <c r="C618" s="182" t="inlineStr">
        <is>
          <t>和顺县斯能风电有限公司</t>
        </is>
      </c>
      <c r="D618" s="182" t="inlineStr">
        <is>
          <t>ZI029E100730</t>
        </is>
      </c>
      <c r="E618" s="182" t="inlineStr">
        <is>
          <t>京能国际能源发展（北京）有限公司</t>
        </is>
      </c>
      <c r="F618" s="716" t="n"/>
      <c r="G618" s="716" t="n"/>
      <c r="H618" s="462" t="n"/>
    </row>
    <row r="619">
      <c r="A619" s="672" t="inlineStr">
        <is>
          <t>E100708</t>
        </is>
      </c>
      <c r="B619" s="767">
        <f>ROW()</f>
        <v/>
      </c>
      <c r="C619" s="182" t="inlineStr">
        <is>
          <t>河北融智新源电力有限公司</t>
        </is>
      </c>
      <c r="D619" s="182" t="inlineStr">
        <is>
          <t>ZI029E100001</t>
        </is>
      </c>
      <c r="E619" s="182" t="inlineStr">
        <is>
          <t>北京京能清洁能源电力股份有限公司</t>
        </is>
      </c>
      <c r="F619" s="716" t="n"/>
      <c r="G619" s="716" t="n"/>
      <c r="H619" s="462" t="n"/>
    </row>
    <row r="620">
      <c r="A620" s="672" t="inlineStr">
        <is>
          <t>E100708G</t>
        </is>
      </c>
      <c r="B620" s="767">
        <f>ROW()</f>
        <v/>
      </c>
      <c r="C620" s="182" t="inlineStr">
        <is>
          <t>河北融智新源电力有限公司（合并）</t>
        </is>
      </c>
      <c r="D620" s="182" t="inlineStr">
        <is>
          <t>ZI029E100001</t>
        </is>
      </c>
      <c r="E620" s="182" t="inlineStr">
        <is>
          <t>北京京能清洁能源电力股份有限公司</t>
        </is>
      </c>
      <c r="F620" s="716" t="n"/>
      <c r="G620" s="716" t="n"/>
      <c r="H620" s="462" t="n"/>
    </row>
    <row r="621">
      <c r="A621" s="672" t="inlineStr">
        <is>
          <t>E100168</t>
        </is>
      </c>
      <c r="B621" s="767">
        <f>ROW()</f>
        <v/>
      </c>
      <c r="C621" s="182" t="inlineStr">
        <is>
          <t>河北涿州京源热电有限责任公司</t>
        </is>
      </c>
      <c r="D621" s="182" t="inlineStr">
        <is>
          <t>ZI029E100145</t>
        </is>
      </c>
      <c r="E621" s="182" t="inlineStr">
        <is>
          <t>北京京能电力股份有限公司</t>
        </is>
      </c>
      <c r="F621" s="716" t="n"/>
      <c r="G621" s="716" t="n"/>
      <c r="H621" s="462" t="n"/>
    </row>
    <row r="622">
      <c r="A622" s="672" t="inlineStr">
        <is>
          <t>E100168</t>
        </is>
      </c>
      <c r="B622" s="767">
        <f>ROW()</f>
        <v/>
      </c>
      <c r="C622" s="182" t="inlineStr">
        <is>
          <t>河北涿州京源热电有限责任公司</t>
        </is>
      </c>
      <c r="D622" s="182" t="inlineStr">
        <is>
          <t>ZI029E100000</t>
        </is>
      </c>
      <c r="E622" s="182" t="inlineStr">
        <is>
          <t>北京能源集团有限责任公司</t>
        </is>
      </c>
      <c r="F622" s="716" t="n"/>
      <c r="G622" s="716" t="n"/>
      <c r="H622" s="462" t="n"/>
    </row>
    <row r="623">
      <c r="A623" s="672" t="inlineStr">
        <is>
          <t>E101065</t>
        </is>
      </c>
      <c r="B623" s="767">
        <f>ROW()</f>
        <v/>
      </c>
      <c r="C623" s="182" t="inlineStr">
        <is>
          <t>河津市潞安毓华风力发电有限公司</t>
        </is>
      </c>
      <c r="D623" s="182" t="inlineStr">
        <is>
          <t>ZI029E101070</t>
        </is>
      </c>
      <c r="E623" s="182" t="inlineStr">
        <is>
          <t>深圳市前海毓华清洁能源投资有限公司</t>
        </is>
      </c>
      <c r="F623" s="716" t="n"/>
      <c r="G623" s="716" t="n"/>
      <c r="H623" s="462" t="n"/>
    </row>
    <row r="624">
      <c r="A624" s="672" t="inlineStr">
        <is>
          <t>E100174</t>
        </is>
      </c>
      <c r="B624" s="767">
        <f>ROW()</f>
        <v/>
      </c>
      <c r="C624" s="182" t="inlineStr">
        <is>
          <t>河南京能滑州热电有限责任公司</t>
        </is>
      </c>
      <c r="D624" s="182" t="inlineStr">
        <is>
          <t>ZI029E100145</t>
        </is>
      </c>
      <c r="E624" s="182" t="inlineStr">
        <is>
          <t>北京京能电力股份有限公司</t>
        </is>
      </c>
      <c r="F624" s="716" t="n"/>
      <c r="G624" s="716" t="n"/>
      <c r="H624" s="462" t="n"/>
    </row>
    <row r="625">
      <c r="A625" s="672" t="inlineStr">
        <is>
          <t>E100185</t>
        </is>
      </c>
      <c r="B625" s="767">
        <f>ROW()</f>
        <v/>
      </c>
      <c r="C625" s="182" t="inlineStr">
        <is>
          <t>河南通源热力有限公司</t>
        </is>
      </c>
      <c r="D625" s="182" t="inlineStr">
        <is>
          <t>ZI029E100145</t>
        </is>
      </c>
      <c r="E625" s="182" t="inlineStr">
        <is>
          <t>北京京能电力股份有限公司</t>
        </is>
      </c>
      <c r="F625" s="716" t="n"/>
      <c r="G625" s="716" t="n"/>
      <c r="H625" s="462" t="n"/>
    </row>
    <row r="626">
      <c r="A626" s="672" t="inlineStr">
        <is>
          <t>E100713</t>
        </is>
      </c>
      <c r="B626" s="767">
        <f>ROW()</f>
        <v/>
      </c>
      <c r="C626" s="182" t="inlineStr">
        <is>
          <t>黑龙江京庆风力发电有限公司</t>
        </is>
      </c>
      <c r="D626" s="182" t="inlineStr">
        <is>
          <t>ZI029E100001</t>
        </is>
      </c>
      <c r="E626" s="182" t="inlineStr">
        <is>
          <t>北京京能清洁能源电力股份有限公司</t>
        </is>
      </c>
      <c r="F626" s="716" t="n"/>
      <c r="G626" s="716" t="n"/>
      <c r="H626" s="462" t="n"/>
    </row>
    <row r="627">
      <c r="A627" s="672" t="inlineStr">
        <is>
          <t>E100098</t>
        </is>
      </c>
      <c r="B627" s="767">
        <f>ROW()</f>
        <v/>
      </c>
      <c r="C627" s="182" t="inlineStr">
        <is>
          <t>黑水县三联水电开发有限责任公司</t>
        </is>
      </c>
      <c r="D627" s="182" t="inlineStr">
        <is>
          <t>ZI029E100096</t>
        </is>
      </c>
      <c r="E627" s="182" t="inlineStr">
        <is>
          <t>四川大川电力有限公司</t>
        </is>
      </c>
      <c r="F627" s="716" t="n"/>
      <c r="G627" s="716" t="n"/>
      <c r="H627" s="462" t="n"/>
    </row>
    <row r="628">
      <c r="A628" s="672" t="inlineStr">
        <is>
          <t>E100098</t>
        </is>
      </c>
      <c r="B628" s="767">
        <f>ROW()</f>
        <v/>
      </c>
      <c r="C628" s="182" t="inlineStr">
        <is>
          <t>黑水县三联水电开发有限责任公司</t>
        </is>
      </c>
      <c r="D628" s="182" t="inlineStr">
        <is>
          <t>ZI029E100001</t>
        </is>
      </c>
      <c r="E628" s="182" t="inlineStr">
        <is>
          <t>北京京能清洁能源电力股份有限公司</t>
        </is>
      </c>
      <c r="F628" s="716" t="n"/>
      <c r="G628" s="716" t="n"/>
      <c r="H628" s="462" t="n"/>
    </row>
    <row r="629">
      <c r="A629" s="672" t="inlineStr">
        <is>
          <t>E100952</t>
        </is>
      </c>
      <c r="B629" s="767">
        <f>ROW()</f>
        <v/>
      </c>
      <c r="C629" s="182" t="inlineStr">
        <is>
          <t>呼和浩特市联合新能源开发有限公司</t>
        </is>
      </c>
      <c r="D629" s="182" t="inlineStr">
        <is>
          <t>ZI029E100950</t>
        </is>
      </c>
      <c r="E629" s="182" t="inlineStr">
        <is>
          <t>内蒙古明华新能源股份有限公司</t>
        </is>
      </c>
      <c r="F629" s="716" t="n"/>
      <c r="G629" s="716" t="n"/>
      <c r="H629" s="462" t="n"/>
    </row>
    <row r="630">
      <c r="A630" s="672" t="inlineStr">
        <is>
          <t>E100188</t>
        </is>
      </c>
      <c r="B630" s="767">
        <f>ROW()</f>
        <v/>
      </c>
      <c r="C630" s="182" t="inlineStr">
        <is>
          <t>呼伦贝尔京能能源发展有限公司</t>
        </is>
      </c>
      <c r="D630" s="182" t="inlineStr">
        <is>
          <t>ZI029E100000</t>
        </is>
      </c>
      <c r="E630" s="182" t="inlineStr">
        <is>
          <t>北京能源集团有限责任公司</t>
        </is>
      </c>
      <c r="F630" s="716" t="n"/>
      <c r="G630" s="716" t="n"/>
      <c r="H630" s="462" t="n"/>
    </row>
    <row r="631">
      <c r="A631" s="672" t="inlineStr">
        <is>
          <t>E100047</t>
        </is>
      </c>
      <c r="B631" s="767">
        <f>ROW()</f>
        <v/>
      </c>
      <c r="C631" s="182" t="inlineStr">
        <is>
          <t>葫芦岛南票京泰新能源有限公司</t>
        </is>
      </c>
      <c r="D631" s="182" t="inlineStr">
        <is>
          <t>ZI029E100001</t>
        </is>
      </c>
      <c r="E631" s="182" t="inlineStr">
        <is>
          <t>北京京能清洁能源电力股份有限公司</t>
        </is>
      </c>
      <c r="F631" s="716" t="n"/>
      <c r="G631" s="716" t="n"/>
      <c r="H631" s="462" t="n"/>
    </row>
    <row r="632">
      <c r="A632" s="672" t="inlineStr">
        <is>
          <t>E100054</t>
        </is>
      </c>
      <c r="B632" s="767">
        <f>ROW()</f>
        <v/>
      </c>
      <c r="C632" s="182" t="inlineStr">
        <is>
          <t>葫芦岛南票万和新能源有限公司</t>
        </is>
      </c>
      <c r="D632" s="182" t="inlineStr">
        <is>
          <t>ZI029E100001</t>
        </is>
      </c>
      <c r="E632" s="182" t="inlineStr">
        <is>
          <t>北京京能清洁能源电力股份有限公司</t>
        </is>
      </c>
      <c r="F632" s="716" t="n"/>
      <c r="G632" s="716" t="n"/>
      <c r="H632" s="462" t="n"/>
    </row>
    <row r="633">
      <c r="A633" s="672" t="inlineStr">
        <is>
          <t>E100799</t>
        </is>
      </c>
      <c r="B633" s="767">
        <f>ROW()</f>
        <v/>
      </c>
      <c r="C633" s="182" t="inlineStr">
        <is>
          <t>湖北京能京堰新能源有限公司</t>
        </is>
      </c>
      <c r="D633" s="182" t="inlineStr">
        <is>
          <t>ZI029E100145</t>
        </is>
      </c>
      <c r="E633" s="182" t="inlineStr">
        <is>
          <t>北京京能电力股份有限公司</t>
        </is>
      </c>
      <c r="F633" s="716" t="n"/>
      <c r="G633" s="716" t="n"/>
      <c r="H633" s="462" t="n"/>
    </row>
    <row r="634">
      <c r="A634" s="672" t="inlineStr">
        <is>
          <t>E100979</t>
        </is>
      </c>
      <c r="B634" s="767">
        <f>ROW()</f>
        <v/>
      </c>
      <c r="C634" s="182" t="inlineStr">
        <is>
          <t>湖北晶泰光伏电力有限公司</t>
        </is>
      </c>
      <c r="D634" s="182" t="inlineStr">
        <is>
          <t>ZI029E100734</t>
        </is>
      </c>
      <c r="E634" s="182" t="inlineStr">
        <is>
          <t>联合光伏（常州）投资集团有限公司</t>
        </is>
      </c>
      <c r="F634" s="716" t="n"/>
      <c r="G634" s="716" t="n"/>
      <c r="H634" s="462" t="n"/>
    </row>
    <row r="635">
      <c r="A635" s="672" t="inlineStr">
        <is>
          <t>E100384</t>
        </is>
      </c>
      <c r="B635" s="767">
        <f>ROW()</f>
        <v/>
      </c>
      <c r="C635" s="182" t="inlineStr">
        <is>
          <t>湖州源深太阳能科技有限公司</t>
        </is>
      </c>
      <c r="D635" s="182" t="inlineStr">
        <is>
          <t>ZI029E100371</t>
        </is>
      </c>
      <c r="E635" s="182" t="inlineStr">
        <is>
          <t>北京京能科技有限公司</t>
        </is>
      </c>
      <c r="F635" s="716" t="n"/>
      <c r="G635" s="716" t="n"/>
      <c r="H635" s="462" t="n"/>
    </row>
    <row r="636">
      <c r="A636" s="672" t="inlineStr">
        <is>
          <t>E100400</t>
        </is>
      </c>
      <c r="B636" s="767">
        <f>ROW()</f>
        <v/>
      </c>
      <c r="C636" s="182" t="inlineStr">
        <is>
          <t>湖州源兴能源有限公司</t>
        </is>
      </c>
      <c r="D636" s="182" t="inlineStr">
        <is>
          <t>ZI029E100371</t>
        </is>
      </c>
      <c r="E636" s="182" t="inlineStr">
        <is>
          <t>北京京能科技有限公司</t>
        </is>
      </c>
      <c r="F636" s="716" t="n"/>
      <c r="G636" s="716" t="n"/>
      <c r="H636" s="462" t="n"/>
    </row>
    <row r="637">
      <c r="A637" s="672" t="inlineStr">
        <is>
          <t>E100401</t>
        </is>
      </c>
      <c r="B637" s="767">
        <f>ROW()</f>
        <v/>
      </c>
      <c r="C637" s="182" t="inlineStr">
        <is>
          <t>湖州源浔能源科技有限公司</t>
        </is>
      </c>
      <c r="D637" s="182" t="inlineStr">
        <is>
          <t>ZI029E100371</t>
        </is>
      </c>
      <c r="E637" s="182" t="inlineStr">
        <is>
          <t>北京京能科技有限公司</t>
        </is>
      </c>
      <c r="F637" s="716" t="n"/>
      <c r="G637" s="716" t="n"/>
      <c r="H637" s="462" t="n"/>
    </row>
    <row r="638">
      <c r="A638" s="672" t="inlineStr">
        <is>
          <t>E100537</t>
        </is>
      </c>
      <c r="B638" s="767">
        <f>ROW()</f>
        <v/>
      </c>
      <c r="C638" s="182" t="inlineStr">
        <is>
          <t>怀来昊璟矿建房地产开发有限公司</t>
        </is>
      </c>
      <c r="D638" s="182" t="inlineStr">
        <is>
          <t>ZI029E100422</t>
        </is>
      </c>
      <c r="E638" s="182" t="inlineStr">
        <is>
          <t>北京京能建设集团有限公司</t>
        </is>
      </c>
      <c r="F638" s="716" t="n"/>
      <c r="G638" s="716" t="n"/>
      <c r="H638" s="462" t="n"/>
    </row>
    <row r="639">
      <c r="A639" s="672" t="inlineStr">
        <is>
          <t>E100455</t>
        </is>
      </c>
      <c r="B639" s="767">
        <f>ROW()</f>
        <v/>
      </c>
      <c r="C639" s="182" t="inlineStr">
        <is>
          <t>怀来矿建物业服务有限公司</t>
        </is>
      </c>
      <c r="D639" s="182" t="inlineStr">
        <is>
          <t>ZI029E100422</t>
        </is>
      </c>
      <c r="E639" s="182" t="inlineStr">
        <is>
          <t>北京京能建设集团有限公司</t>
        </is>
      </c>
      <c r="F639" s="716" t="n"/>
      <c r="G639" s="716" t="n"/>
      <c r="H639" s="462" t="n"/>
    </row>
    <row r="640">
      <c r="A640" s="672" t="inlineStr">
        <is>
          <t>E101131</t>
        </is>
      </c>
      <c r="B640" s="767">
        <f>ROW()</f>
        <v/>
      </c>
      <c r="C640" s="182" t="inlineStr">
        <is>
          <t>怀来中尚新能源科技有限公司</t>
        </is>
      </c>
      <c r="D640" s="182" t="inlineStr">
        <is>
          <t>ZI029E100001</t>
        </is>
      </c>
      <c r="E640" s="182" t="inlineStr">
        <is>
          <t>北京京能清洁能源电力股份有限公司</t>
        </is>
      </c>
      <c r="F640" s="716" t="n"/>
      <c r="G640" s="716" t="n"/>
      <c r="H640" s="462" t="n"/>
    </row>
    <row r="641">
      <c r="A641" s="672" t="inlineStr">
        <is>
          <t>E100961</t>
        </is>
      </c>
      <c r="B641" s="767">
        <f>ROW()</f>
        <v/>
      </c>
      <c r="C641" s="182" t="inlineStr">
        <is>
          <t>惠州市晟合光电科技有限公司</t>
        </is>
      </c>
      <c r="D641" s="182" t="inlineStr">
        <is>
          <t>ZI029E100960</t>
        </is>
      </c>
      <c r="E641" s="182" t="inlineStr">
        <is>
          <t>常州市晖达新能源有限公司</t>
        </is>
      </c>
      <c r="F641" s="716" t="n"/>
      <c r="G641" s="716" t="n"/>
      <c r="H641" s="462" t="n"/>
    </row>
    <row r="642">
      <c r="A642" s="672" t="inlineStr">
        <is>
          <t>E100070</t>
        </is>
      </c>
      <c r="B642" s="767">
        <f>ROW()</f>
        <v/>
      </c>
      <c r="C642" s="182" t="inlineStr">
        <is>
          <t>惠州市永景新能源科技有限公司</t>
        </is>
      </c>
      <c r="D642" s="182" t="inlineStr">
        <is>
          <t>ZI029E100001</t>
        </is>
      </c>
      <c r="E642" s="182" t="inlineStr">
        <is>
          <t>北京京能清洁能源电力股份有限公司</t>
        </is>
      </c>
      <c r="F642" s="716" t="n"/>
      <c r="G642" s="716" t="n"/>
      <c r="H642" s="462" t="n"/>
    </row>
    <row r="643">
      <c r="A643" s="672" t="inlineStr">
        <is>
          <t>E100083</t>
        </is>
      </c>
      <c r="B643" s="767">
        <f>ROW()</f>
        <v/>
      </c>
      <c r="C643" s="182" t="inlineStr">
        <is>
          <t>浑源京晶新能源有限公司</t>
        </is>
      </c>
      <c r="D643" s="182" t="inlineStr">
        <is>
          <t>ZI029E100001</t>
        </is>
      </c>
      <c r="E643" s="182" t="inlineStr">
        <is>
          <t>北京京能清洁能源电力股份有限公司</t>
        </is>
      </c>
      <c r="F643" s="716" t="n"/>
      <c r="G643" s="716" t="n"/>
      <c r="H643" s="462" t="n"/>
    </row>
    <row r="644" ht="16.8" customHeight="1" s="1181">
      <c r="A644" s="672" t="inlineStr">
        <is>
          <t>E100083</t>
        </is>
      </c>
      <c r="B644" s="767">
        <f>ROW()</f>
        <v/>
      </c>
      <c r="C644" s="182" t="inlineStr">
        <is>
          <t>浑源京晶新能源有限公司</t>
        </is>
      </c>
      <c r="D644" s="390" t="inlineStr">
        <is>
          <t>ZI029E101144</t>
        </is>
      </c>
      <c r="E644" s="390" t="inlineStr">
        <is>
          <t>横峰县晶源电力有限公司</t>
        </is>
      </c>
      <c r="F644" s="716" t="n"/>
      <c r="G644" s="716" t="n"/>
      <c r="H644" s="462" t="n"/>
    </row>
    <row r="645">
      <c r="A645" s="672" t="inlineStr">
        <is>
          <t>E100930</t>
        </is>
      </c>
      <c r="B645" s="767">
        <f>ROW()</f>
        <v/>
      </c>
      <c r="C645" s="182" t="inlineStr">
        <is>
          <t>浑源斯能新能源有限公司</t>
        </is>
      </c>
      <c r="D645" s="182" t="inlineStr">
        <is>
          <t>ZI029E100730</t>
        </is>
      </c>
      <c r="E645" s="182" t="inlineStr">
        <is>
          <t>京能国际能源发展（北京）有限公司</t>
        </is>
      </c>
      <c r="F645" s="716" t="n"/>
      <c r="G645" s="716" t="n"/>
      <c r="H645" s="462" t="n"/>
    </row>
    <row r="646">
      <c r="A646" s="672" t="inlineStr">
        <is>
          <t>E100910</t>
        </is>
      </c>
      <c r="B646" s="767">
        <f>ROW()</f>
        <v/>
      </c>
      <c r="C646" s="182" t="inlineStr">
        <is>
          <t>霍邱县华钦新能源有限公司</t>
        </is>
      </c>
      <c r="D646" s="182" t="inlineStr">
        <is>
          <t>ZI029E100909</t>
        </is>
      </c>
      <c r="E646" s="182" t="inlineStr">
        <is>
          <t>六安华钦新能源有限公司</t>
        </is>
      </c>
      <c r="F646" s="716" t="n"/>
      <c r="G646" s="716" t="n"/>
      <c r="H646" s="462" t="n"/>
    </row>
    <row r="647">
      <c r="A647" s="672" t="inlineStr">
        <is>
          <t>E100822</t>
        </is>
      </c>
      <c r="B647" s="767">
        <f>ROW()</f>
        <v/>
      </c>
      <c r="C647" s="182" t="inlineStr">
        <is>
          <t>嘉燕（北京）新能源有限公司</t>
        </is>
      </c>
      <c r="D647" s="182" t="inlineStr">
        <is>
          <t>ZI029E100748</t>
        </is>
      </c>
      <c r="E647" s="182" t="inlineStr">
        <is>
          <t>北京京能国际综合智慧能源有限公司</t>
        </is>
      </c>
      <c r="F647" s="716" t="n"/>
      <c r="G647" s="716" t="n"/>
      <c r="H647" s="462" t="n"/>
    </row>
    <row r="648">
      <c r="A648" s="672" t="inlineStr">
        <is>
          <t>E101094</t>
        </is>
      </c>
      <c r="B648" s="767">
        <f>ROW()</f>
        <v/>
      </c>
      <c r="C648" s="182" t="inlineStr">
        <is>
          <t>京宝（北京）综合能源服务有限公司</t>
        </is>
      </c>
      <c r="D648" s="182" t="inlineStr">
        <is>
          <t>ZI029E100748</t>
        </is>
      </c>
      <c r="E648" s="182" t="inlineStr">
        <is>
          <t>北京京能国际综合智慧能源有限公司</t>
        </is>
      </c>
      <c r="F648" s="716" t="n"/>
      <c r="G648" s="716" t="n"/>
      <c r="H648" s="462" t="n"/>
    </row>
    <row r="649">
      <c r="A649" s="672" t="inlineStr">
        <is>
          <t>E101342</t>
        </is>
      </c>
      <c r="B649" s="767">
        <f>ROW()</f>
        <v/>
      </c>
      <c r="C649" s="182" t="inlineStr">
        <is>
          <t>京海能航（北京）新能源有限公司</t>
        </is>
      </c>
      <c r="D649" s="182" t="inlineStr">
        <is>
          <t>ZI029E100748</t>
        </is>
      </c>
      <c r="E649" s="182" t="inlineStr">
        <is>
          <t>北京京能国际综合智慧能源有限公司</t>
        </is>
      </c>
      <c r="F649" s="716" t="n"/>
      <c r="G649" s="716" t="n"/>
      <c r="H649" s="462" t="n"/>
    </row>
    <row r="650">
      <c r="A650" s="672" t="inlineStr">
        <is>
          <t>E100026</t>
        </is>
      </c>
      <c r="B650" s="767">
        <f>ROW()</f>
        <v/>
      </c>
      <c r="C650" s="182" t="inlineStr">
        <is>
          <t>建湖京能新能源有限公司</t>
        </is>
      </c>
      <c r="D650" s="182" t="inlineStr">
        <is>
          <t>ZI029E100001</t>
        </is>
      </c>
      <c r="E650" s="182" t="inlineStr">
        <is>
          <t>北京京能清洁能源电力股份有限公司</t>
        </is>
      </c>
      <c r="F650" s="716" t="n"/>
      <c r="G650" s="716" t="n"/>
      <c r="H650" s="462" t="n"/>
    </row>
    <row r="651">
      <c r="A651" s="672" t="inlineStr">
        <is>
          <t>E100714</t>
        </is>
      </c>
      <c r="B651" s="767">
        <f>ROW()</f>
        <v/>
      </c>
      <c r="C651" s="182" t="inlineStr">
        <is>
          <t>建平京能风力发电有限公司</t>
        </is>
      </c>
      <c r="D651" s="182" t="inlineStr">
        <is>
          <t>ZI029E100001</t>
        </is>
      </c>
      <c r="E651" s="182" t="inlineStr">
        <is>
          <t>北京京能清洁能源电力股份有限公司</t>
        </is>
      </c>
      <c r="F651" s="716" t="n"/>
      <c r="G651" s="716" t="n"/>
      <c r="H651" s="462" t="n"/>
    </row>
    <row r="652">
      <c r="A652" s="672" t="inlineStr">
        <is>
          <t>E100175</t>
        </is>
      </c>
      <c r="B652" s="767">
        <f>ROW()</f>
        <v/>
      </c>
      <c r="C652" s="182" t="inlineStr">
        <is>
          <t>江西宜春京能热电有限责任公司</t>
        </is>
      </c>
      <c r="D652" s="182" t="inlineStr">
        <is>
          <t>ZI029E100145</t>
        </is>
      </c>
      <c r="E652" s="182" t="inlineStr">
        <is>
          <t>北京京能电力股份有限公司</t>
        </is>
      </c>
      <c r="F652" s="716" t="n"/>
      <c r="G652" s="716" t="n"/>
      <c r="H652" s="462" t="n"/>
    </row>
    <row r="653">
      <c r="A653" s="672" t="inlineStr">
        <is>
          <t>E100916</t>
        </is>
      </c>
      <c r="B653" s="767">
        <f>ROW()</f>
        <v/>
      </c>
      <c r="C653" s="182" t="inlineStr">
        <is>
          <t>焦作市盈聚新能源科技有限公司</t>
        </is>
      </c>
      <c r="D653" s="182" t="inlineStr">
        <is>
          <t>ZI029E100908</t>
        </is>
      </c>
      <c r="E653" s="182" t="inlineStr">
        <is>
          <t>北京通力日昇新能源科技有限公司</t>
        </is>
      </c>
      <c r="F653" s="716" t="n"/>
      <c r="G653" s="716" t="n"/>
      <c r="H653" s="462" t="n"/>
    </row>
    <row r="654">
      <c r="A654" s="672" t="inlineStr">
        <is>
          <t>E100443</t>
        </is>
      </c>
      <c r="B654" s="767">
        <f>ROW()</f>
        <v/>
      </c>
      <c r="C654" s="182" t="inlineStr">
        <is>
          <t>金泰丽城（天津）置业投资有限公司</t>
        </is>
      </c>
      <c r="D654" s="182" t="inlineStr">
        <is>
          <t>ZI029E100421</t>
        </is>
      </c>
      <c r="E654" s="182" t="inlineStr">
        <is>
          <t>北京金泰房地产开发有限责任公司</t>
        </is>
      </c>
      <c r="F654" s="716" t="n"/>
      <c r="G654" s="716" t="n"/>
      <c r="H654" s="462" t="n"/>
    </row>
    <row r="655">
      <c r="A655" s="672" t="inlineStr">
        <is>
          <t>E100770</t>
        </is>
      </c>
      <c r="B655" s="767">
        <f>ROW()</f>
        <v/>
      </c>
      <c r="C655" s="182" t="inlineStr">
        <is>
          <t>金泰壹号（天津）企业管理合伙企业（有限合伙）</t>
        </is>
      </c>
      <c r="D655" s="182" t="inlineStr">
        <is>
          <t>ZI029E100268</t>
        </is>
      </c>
      <c r="E655" s="182" t="inlineStr">
        <is>
          <t>北京京煤集团有限责任公司</t>
        </is>
      </c>
      <c r="F655" s="716" t="n"/>
      <c r="G655" s="716" t="n"/>
      <c r="H655" s="462" t="n"/>
    </row>
    <row r="656">
      <c r="A656" s="672" t="inlineStr">
        <is>
          <t>E100770</t>
        </is>
      </c>
      <c r="B656" s="767">
        <f>ROW()</f>
        <v/>
      </c>
      <c r="C656" s="182" t="inlineStr">
        <is>
          <t>金泰壹号（天津）企业管理合伙企业（有限合伙）</t>
        </is>
      </c>
      <c r="D656" s="182" t="inlineStr">
        <is>
          <t>ZI029E100353</t>
        </is>
      </c>
      <c r="E656" s="182" t="inlineStr">
        <is>
          <t>北京京能房产租赁经营有限责任公司</t>
        </is>
      </c>
      <c r="F656" s="716" t="n"/>
      <c r="G656" s="716" t="n"/>
      <c r="H656" s="462" t="n"/>
    </row>
    <row r="657">
      <c r="A657" s="672" t="inlineStr">
        <is>
          <t>E100733</t>
        </is>
      </c>
      <c r="B657" s="767">
        <f>ROW()</f>
        <v/>
      </c>
      <c r="C657" s="182" t="inlineStr">
        <is>
          <t>晋中晋合新能源有限公司</t>
        </is>
      </c>
      <c r="D657" s="182" t="inlineStr">
        <is>
          <t>ZI029E100949</t>
        </is>
      </c>
      <c r="E657" s="182" t="inlineStr">
        <is>
          <t>常州晋合新能源有限公司</t>
        </is>
      </c>
      <c r="F657" s="716" t="n"/>
      <c r="G657" s="716" t="n"/>
      <c r="H657" s="462" t="n"/>
    </row>
    <row r="658">
      <c r="A658" s="672" t="inlineStr">
        <is>
          <t>E100030</t>
        </is>
      </c>
      <c r="B658" s="767">
        <f>ROW()</f>
        <v/>
      </c>
      <c r="C658" s="182" t="inlineStr">
        <is>
          <t>缙云县京能新能源有限公司</t>
        </is>
      </c>
      <c r="D658" s="182" t="inlineStr">
        <is>
          <t>ZI029E100001</t>
        </is>
      </c>
      <c r="E658" s="182" t="inlineStr">
        <is>
          <t>北京京能清洁能源电力股份有限公司</t>
        </is>
      </c>
      <c r="F658" s="716" t="n"/>
      <c r="G658" s="716" t="n"/>
      <c r="H658" s="462" t="n"/>
    </row>
    <row r="659">
      <c r="A659" s="672" t="inlineStr">
        <is>
          <t>E100922</t>
        </is>
      </c>
      <c r="B659" s="767">
        <f>ROW()</f>
        <v/>
      </c>
      <c r="C659" s="182" t="inlineStr">
        <is>
          <t>京傲（达茂）新能源有限公司</t>
        </is>
      </c>
      <c r="D659" s="182" t="inlineStr">
        <is>
          <t>ZI029E100730</t>
        </is>
      </c>
      <c r="E659" s="182" t="inlineStr">
        <is>
          <t>京能国际能源发展（北京）有限公司</t>
        </is>
      </c>
      <c r="F659" s="716" t="n"/>
      <c r="G659" s="716" t="n"/>
      <c r="H659" s="462" t="n"/>
    </row>
    <row r="660">
      <c r="A660" s="672" t="inlineStr">
        <is>
          <t>E100888</t>
        </is>
      </c>
      <c r="B660" s="767">
        <f>ROW()</f>
        <v/>
      </c>
      <c r="C660" s="182" t="inlineStr">
        <is>
          <t>京济（临沂）新能源技术有限公司</t>
        </is>
      </c>
      <c r="D660" s="182" t="inlineStr">
        <is>
          <t>ZI029E100883</t>
        </is>
      </c>
      <c r="E660" s="182" t="inlineStr">
        <is>
          <t>Beijing Energy International Investment Limited</t>
        </is>
      </c>
      <c r="F660" s="716" t="n"/>
      <c r="G660" s="716" t="n"/>
      <c r="H660" s="462" t="n"/>
    </row>
    <row r="661">
      <c r="A661" s="672" t="inlineStr">
        <is>
          <t>E100895</t>
        </is>
      </c>
      <c r="B661" s="767">
        <f>ROW()</f>
        <v/>
      </c>
      <c r="C661" s="182" t="inlineStr">
        <is>
          <t>京临（沂水）新能源有限公司</t>
        </is>
      </c>
      <c r="D661" s="182" t="inlineStr">
        <is>
          <t>ZI029E100883</t>
        </is>
      </c>
      <c r="E661" s="182" t="inlineStr">
        <is>
          <t>Beijing Energy International Investment Limited</t>
        </is>
      </c>
      <c r="F661" s="716" t="n"/>
      <c r="G661" s="716" t="n"/>
      <c r="H661" s="462" t="n"/>
    </row>
    <row r="662">
      <c r="A662" s="672" t="inlineStr">
        <is>
          <t>E100886</t>
        </is>
      </c>
      <c r="B662" s="767">
        <f>ROW()</f>
        <v/>
      </c>
      <c r="C662" s="182" t="inlineStr">
        <is>
          <t>京能（鞍山）新能源有限公司</t>
        </is>
      </c>
      <c r="D662" s="182" t="inlineStr">
        <is>
          <t>ZI029E100883</t>
        </is>
      </c>
      <c r="E662" s="182" t="inlineStr">
        <is>
          <t>Beijing Energy International Investment Limited</t>
        </is>
      </c>
      <c r="F662" s="716" t="n"/>
      <c r="G662" s="716" t="n"/>
      <c r="H662" s="462" t="n"/>
    </row>
    <row r="663">
      <c r="A663" s="672" t="inlineStr">
        <is>
          <t>E100170</t>
        </is>
      </c>
      <c r="B663" s="767">
        <f>ROW()</f>
        <v/>
      </c>
      <c r="C663" s="182" t="inlineStr">
        <is>
          <t>京能（赤峰）能源发展有限公司</t>
        </is>
      </c>
      <c r="D663" s="182" t="inlineStr">
        <is>
          <t>ZI029E100145</t>
        </is>
      </c>
      <c r="E663" s="182" t="inlineStr">
        <is>
          <t>北京京能电力股份有限公司</t>
        </is>
      </c>
      <c r="F663" s="716" t="n"/>
      <c r="G663" s="716" t="n"/>
      <c r="H663" s="462" t="n"/>
    </row>
    <row r="664">
      <c r="A664" s="672" t="inlineStr">
        <is>
          <t>E100889</t>
        </is>
      </c>
      <c r="B664" s="767">
        <f>ROW()</f>
        <v/>
      </c>
      <c r="C664" s="182" t="inlineStr">
        <is>
          <t>京能（德城区）新能源科技有限公司</t>
        </is>
      </c>
      <c r="D664" s="182" t="inlineStr">
        <is>
          <t>ZI029E100883</t>
        </is>
      </c>
      <c r="E664" s="182" t="inlineStr">
        <is>
          <t>Beijing Energy International Investment Limited</t>
        </is>
      </c>
      <c r="F664" s="716" t="n"/>
      <c r="G664" s="716" t="n"/>
      <c r="H664" s="462" t="n"/>
    </row>
    <row r="665">
      <c r="A665" s="672" t="inlineStr">
        <is>
          <t>E100824</t>
        </is>
      </c>
      <c r="B665" s="767">
        <f>ROW()</f>
        <v/>
      </c>
      <c r="C665" s="182" t="inlineStr">
        <is>
          <t>京能（高碑店）新能源科技有限公司</t>
        </is>
      </c>
      <c r="D665" s="182" t="inlineStr">
        <is>
          <t>ZI029E100730</t>
        </is>
      </c>
      <c r="E665" s="182" t="inlineStr">
        <is>
          <t>京能国际能源发展（北京）有限公司</t>
        </is>
      </c>
      <c r="F665" s="716" t="n"/>
      <c r="G665" s="716" t="n"/>
      <c r="H665" s="462" t="n"/>
    </row>
    <row r="666">
      <c r="A666" s="672" t="inlineStr">
        <is>
          <t>E101061</t>
        </is>
      </c>
      <c r="B666" s="767">
        <f>ROW()</f>
        <v/>
      </c>
      <c r="C666" s="182" t="inlineStr">
        <is>
          <t>京能（故城）新能源有限公司</t>
        </is>
      </c>
      <c r="D666" s="182" t="inlineStr">
        <is>
          <t>ZI029E100730</t>
        </is>
      </c>
      <c r="E666" s="182" t="inlineStr">
        <is>
          <t>京能国际能源发展（北京）有限公司</t>
        </is>
      </c>
      <c r="F666" s="716" t="n"/>
      <c r="G666" s="716" t="n"/>
      <c r="H666" s="462" t="n"/>
    </row>
    <row r="667">
      <c r="A667" s="672" t="inlineStr">
        <is>
          <t>E100791</t>
        </is>
      </c>
      <c r="B667" s="767">
        <f>ROW()</f>
        <v/>
      </c>
      <c r="C667" s="182" t="inlineStr">
        <is>
          <t>京能（嘉兴秀洲）新能源有限公司</t>
        </is>
      </c>
      <c r="D667" s="182" t="inlineStr">
        <is>
          <t>ZI029E100730</t>
        </is>
      </c>
      <c r="E667" s="182" t="inlineStr">
        <is>
          <t>京能国际能源发展（北京）有限公司</t>
        </is>
      </c>
      <c r="F667" s="716" t="n"/>
      <c r="G667" s="716" t="n"/>
      <c r="H667" s="462" t="n"/>
    </row>
    <row r="668">
      <c r="A668" s="672" t="inlineStr">
        <is>
          <t>E100892</t>
        </is>
      </c>
      <c r="B668" s="767">
        <f>ROW()</f>
        <v/>
      </c>
      <c r="C668" s="182" t="inlineStr">
        <is>
          <t>京能（莱阳）新能源有限公司</t>
        </is>
      </c>
      <c r="D668" s="182" t="inlineStr">
        <is>
          <t>ZI029E100883</t>
        </is>
      </c>
      <c r="E668" s="182" t="inlineStr">
        <is>
          <t>Beijing Energy International Investment Limited</t>
        </is>
      </c>
      <c r="F668" s="716" t="n"/>
      <c r="G668" s="716" t="n"/>
      <c r="H668" s="462" t="n"/>
    </row>
    <row r="669">
      <c r="A669" s="672" t="inlineStr">
        <is>
          <t>E100891</t>
        </is>
      </c>
      <c r="B669" s="767">
        <f>ROW()</f>
        <v/>
      </c>
      <c r="C669" s="182" t="inlineStr">
        <is>
          <t>京能（莱州）新能源有限公司</t>
        </is>
      </c>
      <c r="D669" s="182" t="inlineStr">
        <is>
          <t>ZI029E100883</t>
        </is>
      </c>
      <c r="E669" s="182" t="inlineStr">
        <is>
          <t>Beijing Energy International Investment Limited</t>
        </is>
      </c>
      <c r="F669" s="716" t="n"/>
      <c r="G669" s="716" t="n"/>
      <c r="H669" s="462" t="n"/>
    </row>
    <row r="670">
      <c r="A670" s="672" t="inlineStr">
        <is>
          <t>E100998</t>
        </is>
      </c>
      <c r="B670" s="767">
        <f>ROW()</f>
        <v/>
      </c>
      <c r="C670" s="182" t="inlineStr">
        <is>
          <t>京能（聊城）风力发电有限公司</t>
        </is>
      </c>
      <c r="D670" s="182" t="inlineStr">
        <is>
          <t>ZI029E100883</t>
        </is>
      </c>
      <c r="E670" s="182" t="inlineStr">
        <is>
          <t>Beijing Energy International Investment Limited</t>
        </is>
      </c>
      <c r="F670" s="716" t="n"/>
      <c r="G670" s="716" t="n"/>
      <c r="H670" s="462" t="n"/>
    </row>
    <row r="671">
      <c r="A671" s="672" t="inlineStr">
        <is>
          <t>E100023</t>
        </is>
      </c>
      <c r="B671" s="767">
        <f>ROW()</f>
        <v/>
      </c>
      <c r="C671" s="182" t="inlineStr">
        <is>
          <t>京能（迁西）发电有限公司</t>
        </is>
      </c>
      <c r="D671" s="182" t="inlineStr">
        <is>
          <t>ZI029E100001</t>
        </is>
      </c>
      <c r="E671" s="182" t="inlineStr">
        <is>
          <t>北京京能清洁能源电力股份有限公司</t>
        </is>
      </c>
      <c r="F671" s="716" t="n"/>
      <c r="G671" s="716" t="n"/>
      <c r="H671" s="462" t="n"/>
    </row>
    <row r="672">
      <c r="A672" s="672" t="inlineStr">
        <is>
          <t>E100887</t>
        </is>
      </c>
      <c r="B672" s="767">
        <f>ROW()</f>
        <v/>
      </c>
      <c r="C672" s="182" t="inlineStr">
        <is>
          <t>京能（荣成）新能源有限公司</t>
        </is>
      </c>
      <c r="D672" s="182" t="inlineStr">
        <is>
          <t>ZI029E100883</t>
        </is>
      </c>
      <c r="E672" s="182" t="inlineStr">
        <is>
          <t>Beijing Energy International Investment Limited</t>
        </is>
      </c>
      <c r="F672" s="716" t="n"/>
      <c r="G672" s="716" t="n"/>
      <c r="H672" s="462" t="n"/>
    </row>
    <row r="673">
      <c r="A673" s="672" t="inlineStr">
        <is>
          <t>E100885</t>
        </is>
      </c>
      <c r="B673" s="767">
        <f>ROW()</f>
        <v/>
      </c>
      <c r="C673" s="182" t="inlineStr">
        <is>
          <t>京能（乳山）新能源有限公司</t>
        </is>
      </c>
      <c r="D673" s="182" t="inlineStr">
        <is>
          <t>ZI029E100883</t>
        </is>
      </c>
      <c r="E673" s="182" t="inlineStr">
        <is>
          <t>Beijing Energy International Investment Limited</t>
        </is>
      </c>
      <c r="F673" s="716" t="n"/>
      <c r="G673" s="716" t="n"/>
      <c r="H673" s="462" t="n"/>
    </row>
    <row r="674">
      <c r="A674" s="672" t="inlineStr">
        <is>
          <t>E100156</t>
        </is>
      </c>
      <c r="B674" s="767">
        <f>ROW()</f>
        <v/>
      </c>
      <c r="C674" s="182" t="inlineStr">
        <is>
          <t>京能（锡林郭勒）发电有限公司</t>
        </is>
      </c>
      <c r="D674" s="182" t="inlineStr">
        <is>
          <t>ZI029E100145</t>
        </is>
      </c>
      <c r="E674" s="182" t="inlineStr">
        <is>
          <t>北京京能电力股份有限公司</t>
        </is>
      </c>
      <c r="F674" s="716" t="n"/>
      <c r="G674" s="716" t="n"/>
      <c r="H674" s="462" t="n"/>
    </row>
    <row r="675">
      <c r="A675" s="672" t="inlineStr">
        <is>
          <t>E100896</t>
        </is>
      </c>
      <c r="B675" s="767">
        <f>ROW()</f>
        <v/>
      </c>
      <c r="C675" s="182" t="inlineStr">
        <is>
          <t>京能（兴城）新能源有限公司</t>
        </is>
      </c>
      <c r="D675" s="182" t="inlineStr">
        <is>
          <t>ZI029E100883</t>
        </is>
      </c>
      <c r="E675" s="182" t="inlineStr">
        <is>
          <t>Beijing Energy International Investment Limited</t>
        </is>
      </c>
      <c r="F675" s="716" t="n"/>
      <c r="G675" s="716" t="n"/>
      <c r="H675" s="462" t="n"/>
    </row>
    <row r="676">
      <c r="A676" s="672" t="inlineStr">
        <is>
          <t>E100997</t>
        </is>
      </c>
      <c r="B676" s="767">
        <f>ROW()</f>
        <v/>
      </c>
      <c r="C676" s="182" t="inlineStr">
        <is>
          <t>京能（烟台栖霞市）光伏发电有限公司</t>
        </is>
      </c>
      <c r="D676" s="182" t="inlineStr">
        <is>
          <t>ZI029E100730</t>
        </is>
      </c>
      <c r="E676" s="182" t="inlineStr">
        <is>
          <t>京能国际能源发展（北京）有限公司</t>
        </is>
      </c>
      <c r="F676" s="716" t="n"/>
      <c r="G676" s="716" t="n"/>
      <c r="H676" s="462" t="n"/>
    </row>
    <row r="677">
      <c r="A677" s="672" t="inlineStr">
        <is>
          <t>E100861</t>
        </is>
      </c>
      <c r="B677" s="767">
        <f>ROW()</f>
        <v/>
      </c>
      <c r="C677" s="182" t="inlineStr">
        <is>
          <t>京能阿巴嘎旗生态科技有限公司</t>
        </is>
      </c>
      <c r="D677" s="182" t="inlineStr">
        <is>
          <t>ZI029E100189</t>
        </is>
      </c>
      <c r="E677" s="182" t="inlineStr">
        <is>
          <t>京能锡林郭勒能源有限公司</t>
        </is>
      </c>
      <c r="F677" s="716" t="n"/>
      <c r="G677" s="716" t="n"/>
      <c r="H677" s="462" t="n"/>
    </row>
    <row r="678">
      <c r="A678" s="672" t="inlineStr">
        <is>
          <t>E100715</t>
        </is>
      </c>
      <c r="B678" s="767">
        <f>ROW()</f>
        <v/>
      </c>
      <c r="C678" s="182" t="inlineStr">
        <is>
          <t>京能保险经纪有限公司</t>
        </is>
      </c>
      <c r="D678" s="182" t="inlineStr">
        <is>
          <t>ZI029E100000</t>
        </is>
      </c>
      <c r="E678" s="182" t="inlineStr">
        <is>
          <t>北京能源集团有限责任公司</t>
        </is>
      </c>
      <c r="F678" s="716" t="n"/>
      <c r="G678" s="716" t="n"/>
      <c r="H678" s="462" t="n"/>
    </row>
    <row r="679">
      <c r="A679" s="672" t="inlineStr">
        <is>
          <t>E100254</t>
        </is>
      </c>
      <c r="B679" s="767">
        <f>ROW()</f>
        <v/>
      </c>
      <c r="C679" s="182" t="inlineStr">
        <is>
          <t>京能大同热力有限公司</t>
        </is>
      </c>
      <c r="D679" s="182" t="inlineStr">
        <is>
          <t>ZI029E100222</t>
        </is>
      </c>
      <c r="E679" s="182" t="inlineStr">
        <is>
          <t>北京市热力集团有限责任公司</t>
        </is>
      </c>
      <c r="F679" s="716" t="n"/>
      <c r="G679" s="716" t="n"/>
      <c r="H679" s="462" t="n"/>
    </row>
    <row r="680">
      <c r="A680" s="672" t="inlineStr">
        <is>
          <t>E100254G</t>
        </is>
      </c>
      <c r="B680" s="767">
        <f>ROW()</f>
        <v/>
      </c>
      <c r="C680" s="182" t="inlineStr">
        <is>
          <t>京能大同热力有限公司（合并）</t>
        </is>
      </c>
      <c r="D680" s="182" t="inlineStr">
        <is>
          <t>ZI029E100222</t>
        </is>
      </c>
      <c r="E680" s="182" t="inlineStr">
        <is>
          <t>北京市热力集团有限责任公司</t>
        </is>
      </c>
      <c r="F680" s="716" t="n"/>
      <c r="G680" s="716" t="n"/>
      <c r="H680" s="462" t="n"/>
    </row>
    <row r="681">
      <c r="A681" s="672" t="inlineStr">
        <is>
          <t>E100254H</t>
        </is>
      </c>
      <c r="B681" s="767">
        <f>ROW()</f>
        <v/>
      </c>
      <c r="C681" s="182" t="inlineStr">
        <is>
          <t>京能大同热力有限公司（合并）本部</t>
        </is>
      </c>
      <c r="D681" s="182" t="inlineStr">
        <is>
          <t>ZI029E100222</t>
        </is>
      </c>
      <c r="E681" s="182" t="inlineStr">
        <is>
          <t>北京市热力集团有限责任公司</t>
        </is>
      </c>
      <c r="F681" s="716" t="n"/>
      <c r="G681" s="716" t="n"/>
      <c r="H681" s="462" t="n"/>
    </row>
    <row r="682">
      <c r="A682" s="672" t="inlineStr">
        <is>
          <t>E100109</t>
        </is>
      </c>
      <c r="B682" s="767">
        <f>ROW()</f>
        <v/>
      </c>
      <c r="C682" s="182" t="inlineStr">
        <is>
          <t>京能电力后勤服务有限公司</t>
        </is>
      </c>
      <c r="D682" s="182" t="inlineStr">
        <is>
          <t>ZI029E100000</t>
        </is>
      </c>
      <c r="E682" s="182" t="inlineStr">
        <is>
          <t>北京能源集团有限责任公司</t>
        </is>
      </c>
      <c r="F682" s="716" t="n"/>
      <c r="G682" s="716" t="n"/>
      <c r="H682" s="462" t="n"/>
    </row>
    <row r="683">
      <c r="A683" s="672" t="inlineStr">
        <is>
          <t>E100109G</t>
        </is>
      </c>
      <c r="B683" s="767">
        <f>ROW()</f>
        <v/>
      </c>
      <c r="C683" s="182" t="inlineStr">
        <is>
          <t>京能电力后勤服务有限公司（合并）</t>
        </is>
      </c>
      <c r="D683" s="182" t="inlineStr">
        <is>
          <t>ZI029E100000</t>
        </is>
      </c>
      <c r="E683" s="182" t="inlineStr">
        <is>
          <t>北京能源集团有限责任公司</t>
        </is>
      </c>
      <c r="F683" s="716" t="n"/>
      <c r="G683" s="716" t="n"/>
      <c r="H683" s="462" t="n"/>
    </row>
    <row r="684">
      <c r="A684" s="672" t="inlineStr">
        <is>
          <t>E100128</t>
        </is>
      </c>
      <c r="B684" s="767">
        <f>ROW()</f>
        <v/>
      </c>
      <c r="C684" s="182" t="inlineStr">
        <is>
          <t>京能电力科技环保有限公司</t>
        </is>
      </c>
      <c r="D684" s="182" t="inlineStr">
        <is>
          <t>ZI029E100109</t>
        </is>
      </c>
      <c r="E684" s="182" t="inlineStr">
        <is>
          <t>京能电力后勤服务有限公司</t>
        </is>
      </c>
      <c r="F684" s="716" t="n"/>
      <c r="G684" s="716" t="n"/>
      <c r="H684" s="462" t="n"/>
    </row>
    <row r="685">
      <c r="A685" s="672" t="inlineStr">
        <is>
          <t>E100135</t>
        </is>
      </c>
      <c r="B685" s="767">
        <f>ROW()</f>
        <v/>
      </c>
      <c r="C685" s="182" t="inlineStr">
        <is>
          <t>京能电力涿州科技环保有限公司</t>
        </is>
      </c>
      <c r="D685" s="182" t="inlineStr">
        <is>
          <t>ZI029E100109</t>
        </is>
      </c>
      <c r="E685" s="182" t="inlineStr">
        <is>
          <t>京能电力后勤服务有限公司</t>
        </is>
      </c>
      <c r="F685" s="716" t="n"/>
      <c r="G685" s="716" t="n"/>
      <c r="H685" s="462" t="n"/>
    </row>
    <row r="686">
      <c r="A686" s="672" t="inlineStr">
        <is>
          <t>E100135G</t>
        </is>
      </c>
      <c r="B686" s="767">
        <f>ROW()</f>
        <v/>
      </c>
      <c r="C686" s="182" t="inlineStr">
        <is>
          <t>京能电力涿州科技环保有限公司（合并）</t>
        </is>
      </c>
      <c r="D686" s="182" t="inlineStr">
        <is>
          <t>ZI029E100109</t>
        </is>
      </c>
      <c r="E686" s="182" t="inlineStr">
        <is>
          <t>京能电力后勤服务有限公司</t>
        </is>
      </c>
      <c r="F686" s="716" t="n"/>
      <c r="G686" s="716" t="n"/>
      <c r="H686" s="462" t="n"/>
    </row>
    <row r="687">
      <c r="A687" s="672" t="inlineStr">
        <is>
          <t>E100186</t>
        </is>
      </c>
      <c r="B687" s="767">
        <f>ROW()</f>
        <v/>
      </c>
      <c r="C687" s="182" t="inlineStr">
        <is>
          <t>京能东风（十堰）能源发展有限公司</t>
        </is>
      </c>
      <c r="D687" s="182" t="inlineStr">
        <is>
          <t>ZI029E100000</t>
        </is>
      </c>
      <c r="E687" s="182" t="inlineStr">
        <is>
          <t>北京能源集团有限责任公司</t>
        </is>
      </c>
      <c r="F687" s="716" t="n"/>
      <c r="G687" s="716" t="n"/>
      <c r="H687" s="462" t="n"/>
    </row>
    <row r="688">
      <c r="A688" s="672" t="inlineStr">
        <is>
          <t>E100108</t>
        </is>
      </c>
      <c r="B688" s="767">
        <f>ROW()</f>
        <v/>
      </c>
      <c r="C688" s="182" t="inlineStr">
        <is>
          <t>京能服务管理有限公司</t>
        </is>
      </c>
      <c r="D688" s="182" t="inlineStr">
        <is>
          <t>ZI029E100000</t>
        </is>
      </c>
      <c r="E688" s="182" t="inlineStr">
        <is>
          <t>北京能源集团有限责任公司</t>
        </is>
      </c>
      <c r="F688" s="716" t="n"/>
      <c r="G688" s="716" t="n"/>
      <c r="H688" s="462" t="n"/>
    </row>
    <row r="689">
      <c r="A689" s="672" t="inlineStr">
        <is>
          <t>E100108H</t>
        </is>
      </c>
      <c r="B689" s="767">
        <f>ROW()</f>
        <v/>
      </c>
      <c r="C689" s="182" t="inlineStr">
        <is>
          <t>京能服务管理有限公司（合并）</t>
        </is>
      </c>
      <c r="D689" s="182" t="inlineStr">
        <is>
          <t>ZI029E100000</t>
        </is>
      </c>
      <c r="E689" s="182" t="inlineStr">
        <is>
          <t>北京能源集团有限责任公司</t>
        </is>
      </c>
      <c r="F689" s="716" t="n"/>
      <c r="G689" s="716" t="n"/>
      <c r="H689" s="462" t="n"/>
    </row>
    <row r="690">
      <c r="A690" s="672" t="inlineStr">
        <is>
          <t>E100894</t>
        </is>
      </c>
      <c r="B690" s="767">
        <f>ROW()</f>
        <v/>
      </c>
      <c r="C690" s="182" t="inlineStr">
        <is>
          <t>京能国际（高邮）新能源有限公司</t>
        </is>
      </c>
      <c r="D690" s="182" t="inlineStr">
        <is>
          <t>ZI029E100883</t>
        </is>
      </c>
      <c r="E690" s="182" t="inlineStr">
        <is>
          <t>Beijing Energy International Investment Limited</t>
        </is>
      </c>
      <c r="F690" s="716" t="n"/>
      <c r="G690" s="716" t="n"/>
      <c r="H690" s="462" t="n"/>
    </row>
    <row r="691">
      <c r="A691" s="672" t="inlineStr">
        <is>
          <t>E100730</t>
        </is>
      </c>
      <c r="B691" s="767">
        <f>ROW()</f>
        <v/>
      </c>
      <c r="C691" s="182" t="inlineStr">
        <is>
          <t>京能国际能源发展（北京）有限公司</t>
        </is>
      </c>
      <c r="D691" s="182" t="inlineStr">
        <is>
          <t>ZI029E100883</t>
        </is>
      </c>
      <c r="E691" s="182" t="inlineStr">
        <is>
          <t>Beijing Energy International Investment Limited</t>
        </is>
      </c>
      <c r="F691" s="716" t="n"/>
      <c r="G691" s="716" t="n"/>
      <c r="H691" s="462" t="n"/>
    </row>
    <row r="692">
      <c r="A692" s="672" t="inlineStr">
        <is>
          <t>E100730</t>
        </is>
      </c>
      <c r="B692" s="767">
        <f>ROW()</f>
        <v/>
      </c>
      <c r="C692" s="182" t="inlineStr">
        <is>
          <t>京能国际能源发展（北京）有限公司</t>
        </is>
      </c>
      <c r="D692" s="182" t="inlineStr">
        <is>
          <t>ZI029E100729</t>
        </is>
      </c>
      <c r="E692" s="182" t="inlineStr">
        <is>
          <t>北京京能国际控股有限公司</t>
        </is>
      </c>
      <c r="F692" s="716" t="n"/>
      <c r="G692" s="716" t="n"/>
      <c r="H692" s="462" t="n"/>
    </row>
    <row r="693">
      <c r="A693" s="672" t="inlineStr">
        <is>
          <t>E100730</t>
        </is>
      </c>
      <c r="B693" s="767">
        <f>ROW()</f>
        <v/>
      </c>
      <c r="C693" s="182" t="inlineStr">
        <is>
          <t>京能国际能源发展（北京）有限公司</t>
        </is>
      </c>
      <c r="D693" s="182" t="inlineStr">
        <is>
          <t>ZI029E100963</t>
        </is>
      </c>
      <c r="E693" s="182" t="inlineStr">
        <is>
          <t>丝绸之路新能源（常州）有限公司</t>
        </is>
      </c>
      <c r="F693" s="716" t="n"/>
      <c r="G693" s="716" t="n"/>
      <c r="H693" s="462" t="n"/>
    </row>
    <row r="694">
      <c r="A694" s="672" t="inlineStr">
        <is>
          <t>E100036</t>
        </is>
      </c>
      <c r="B694" s="767">
        <f>ROW()</f>
        <v/>
      </c>
      <c r="C694" s="182" t="inlineStr">
        <is>
          <t>京能怀南河北风电有限责任公司</t>
        </is>
      </c>
      <c r="D694" s="182" t="inlineStr">
        <is>
          <t>ZI029E100001</t>
        </is>
      </c>
      <c r="E694" s="182" t="inlineStr">
        <is>
          <t>北京京能清洁能源电力股份有限公司</t>
        </is>
      </c>
      <c r="F694" s="716" t="n"/>
      <c r="G694" s="716" t="n"/>
      <c r="H694" s="462" t="n"/>
    </row>
    <row r="695">
      <c r="A695" s="672" t="inlineStr">
        <is>
          <t>E100801</t>
        </is>
      </c>
      <c r="B695" s="767">
        <f>ROW()</f>
        <v/>
      </c>
      <c r="C695" s="182" t="inlineStr">
        <is>
          <t>京能浑源清洁能源有限公司</t>
        </is>
      </c>
      <c r="D695" s="182" t="inlineStr">
        <is>
          <t>ZI029E100001</t>
        </is>
      </c>
      <c r="E695" s="182" t="inlineStr">
        <is>
          <t>北京京能清洁能源电力股份有限公司</t>
        </is>
      </c>
      <c r="F695" s="716" t="n"/>
      <c r="G695" s="716" t="n"/>
      <c r="H695" s="462" t="n"/>
    </row>
    <row r="696">
      <c r="A696" s="672" t="inlineStr">
        <is>
          <t>E100104</t>
        </is>
      </c>
      <c r="B696" s="767">
        <f>ROW()</f>
        <v/>
      </c>
      <c r="C696" s="182" t="inlineStr">
        <is>
          <t>京能集团财务有限公司</t>
        </is>
      </c>
      <c r="D696" s="182" t="inlineStr">
        <is>
          <t>ZI029E100000</t>
        </is>
      </c>
      <c r="E696" s="182" t="inlineStr">
        <is>
          <t>北京能源集团有限责任公司</t>
        </is>
      </c>
      <c r="F696" s="716" t="n"/>
      <c r="G696" s="716" t="n"/>
      <c r="H696" s="462" t="n"/>
    </row>
    <row r="697">
      <c r="A697" s="672" t="inlineStr">
        <is>
          <t>E100104</t>
        </is>
      </c>
      <c r="B697" s="767">
        <f>ROW()</f>
        <v/>
      </c>
      <c r="C697" s="182" t="inlineStr">
        <is>
          <t>京能集团财务有限公司</t>
        </is>
      </c>
      <c r="D697" s="182" t="inlineStr">
        <is>
          <t>ZI029E100001</t>
        </is>
      </c>
      <c r="E697" s="182" t="inlineStr">
        <is>
          <t>北京京能清洁能源电力股份有限公司</t>
        </is>
      </c>
      <c r="F697" s="716" t="n"/>
      <c r="G697" s="716" t="n"/>
      <c r="H697" s="462" t="n"/>
    </row>
    <row r="698">
      <c r="A698" s="672" t="inlineStr">
        <is>
          <t>E100104</t>
        </is>
      </c>
      <c r="B698" s="767">
        <f>ROW()</f>
        <v/>
      </c>
      <c r="C698" s="182" t="inlineStr">
        <is>
          <t>京能集团财务有限公司</t>
        </is>
      </c>
      <c r="D698" s="182" t="inlineStr">
        <is>
          <t>ZI029E100145</t>
        </is>
      </c>
      <c r="E698" s="182" t="inlineStr">
        <is>
          <t>北京京能电力股份有限公司</t>
        </is>
      </c>
      <c r="F698" s="716" t="n"/>
      <c r="G698" s="716" t="n"/>
      <c r="H698" s="462" t="n"/>
    </row>
    <row r="699">
      <c r="A699" s="672" t="inlineStr">
        <is>
          <t>E100744</t>
        </is>
      </c>
      <c r="B699" s="767">
        <f>ROW()</f>
        <v/>
      </c>
      <c r="C699" s="182" t="inlineStr">
        <is>
          <t>京能酒泉新能源有限公司</t>
        </is>
      </c>
      <c r="D699" s="182" t="inlineStr">
        <is>
          <t>ZI029E100145</t>
        </is>
      </c>
      <c r="E699" s="182" t="inlineStr">
        <is>
          <t>北京京能电力股份有限公司</t>
        </is>
      </c>
      <c r="F699" s="716" t="n"/>
      <c r="G699" s="716" t="n"/>
      <c r="H699" s="462" t="n"/>
    </row>
    <row r="700">
      <c r="A700" s="672" t="inlineStr">
        <is>
          <t>E100817</t>
        </is>
      </c>
      <c r="B700" s="767">
        <f>ROW()</f>
        <v/>
      </c>
      <c r="C700" s="182" t="inlineStr">
        <is>
          <t>京能联合（琼海）新能源有限公司</t>
        </is>
      </c>
      <c r="D700" s="182" t="inlineStr">
        <is>
          <t>ZI029E100883</t>
        </is>
      </c>
      <c r="E700" s="182" t="inlineStr">
        <is>
          <t>Beijing Energy International Investment Limited</t>
        </is>
      </c>
      <c r="F700" s="716" t="n"/>
      <c r="G700" s="716" t="n"/>
      <c r="H700" s="462" t="n"/>
    </row>
    <row r="701">
      <c r="A701" s="672" t="inlineStr">
        <is>
          <t>E100816</t>
        </is>
      </c>
      <c r="B701" s="767">
        <f>ROW()</f>
        <v/>
      </c>
      <c r="C701" s="182" t="inlineStr">
        <is>
          <t>京能翎碳（上海）综合能源服务有限公司</t>
        </is>
      </c>
      <c r="D701" s="182" t="inlineStr">
        <is>
          <t>ZI029E100371</t>
        </is>
      </c>
      <c r="E701" s="182" t="inlineStr">
        <is>
          <t>北京京能科技有限公司</t>
        </is>
      </c>
      <c r="F701" s="716" t="n"/>
      <c r="G701" s="716" t="n"/>
      <c r="H701" s="462" t="n"/>
    </row>
    <row r="702">
      <c r="A702" s="672" t="inlineStr">
        <is>
          <t>E100173</t>
        </is>
      </c>
      <c r="B702" s="767">
        <f>ROW()</f>
        <v/>
      </c>
      <c r="C702" s="182" t="inlineStr">
        <is>
          <t>京能秦皇岛热电有限公司</t>
        </is>
      </c>
      <c r="D702" s="182" t="inlineStr">
        <is>
          <t>ZI029E100145</t>
        </is>
      </c>
      <c r="E702" s="182" t="inlineStr">
        <is>
          <t>北京京能电力股份有限公司</t>
        </is>
      </c>
      <c r="F702" s="716" t="n"/>
      <c r="G702" s="716" t="n"/>
      <c r="H702" s="462" t="n"/>
    </row>
    <row r="703">
      <c r="A703" s="672" t="inlineStr">
        <is>
          <t>E100169</t>
        </is>
      </c>
      <c r="B703" s="767">
        <f>ROW()</f>
        <v/>
      </c>
      <c r="C703" s="182" t="inlineStr">
        <is>
          <t>京能十堰热电有限公司</t>
        </is>
      </c>
      <c r="D703" s="182" t="inlineStr">
        <is>
          <t>ZI029E100145</t>
        </is>
      </c>
      <c r="E703" s="182" t="inlineStr">
        <is>
          <t>北京京能电力股份有限公司</t>
        </is>
      </c>
      <c r="F703" s="716" t="n"/>
      <c r="G703" s="716" t="n"/>
      <c r="H703" s="462" t="n"/>
    </row>
    <row r="704">
      <c r="A704" s="672" t="inlineStr">
        <is>
          <t>E100169</t>
        </is>
      </c>
      <c r="B704" s="767">
        <f>ROW()</f>
        <v/>
      </c>
      <c r="C704" s="182" t="inlineStr">
        <is>
          <t>京能十堰热电有限公司</t>
        </is>
      </c>
      <c r="D704" s="182" t="inlineStr">
        <is>
          <t>ZI029E100000</t>
        </is>
      </c>
      <c r="E704" s="182" t="inlineStr">
        <is>
          <t>北京能源集团有限责任公司</t>
        </is>
      </c>
      <c r="F704" s="716" t="n"/>
      <c r="G704" s="716" t="n"/>
      <c r="H704" s="462" t="n"/>
    </row>
    <row r="705">
      <c r="A705" s="672" t="inlineStr">
        <is>
          <t>E100189</t>
        </is>
      </c>
      <c r="B705" s="767">
        <f>ROW()</f>
        <v/>
      </c>
      <c r="C705" s="182" t="inlineStr">
        <is>
          <t>京能锡林郭勒能源有限公司</t>
        </is>
      </c>
      <c r="D705" s="182" t="inlineStr">
        <is>
          <t>ZI029E100000</t>
        </is>
      </c>
      <c r="E705" s="182" t="inlineStr">
        <is>
          <t>北京能源集团有限责任公司</t>
        </is>
      </c>
      <c r="F705" s="716" t="n"/>
      <c r="G705" s="716" t="n"/>
      <c r="H705" s="462" t="n"/>
    </row>
    <row r="706">
      <c r="A706" s="672" t="inlineStr">
        <is>
          <t>E100399</t>
        </is>
      </c>
      <c r="B706" s="767">
        <f>ROW()</f>
        <v/>
      </c>
      <c r="C706" s="182" t="inlineStr">
        <is>
          <t>京能源深（嘉兴）能源科技有限公司</t>
        </is>
      </c>
      <c r="D706" s="182" t="inlineStr">
        <is>
          <t>ZI029E100371</t>
        </is>
      </c>
      <c r="E706" s="182" t="inlineStr">
        <is>
          <t>北京京能科技有限公司</t>
        </is>
      </c>
      <c r="F706" s="716" t="n"/>
      <c r="G706" s="716" t="n"/>
      <c r="H706" s="462" t="n"/>
    </row>
    <row r="707">
      <c r="A707" s="672" t="inlineStr">
        <is>
          <t>E100381</t>
        </is>
      </c>
      <c r="B707" s="767">
        <f>ROW()</f>
        <v/>
      </c>
      <c r="C707" s="182" t="inlineStr">
        <is>
          <t>京能源深（苏州）能源科技有限公司</t>
        </is>
      </c>
      <c r="D707" s="182" t="inlineStr">
        <is>
          <t>ZI029E100371</t>
        </is>
      </c>
      <c r="E707" s="182" t="inlineStr">
        <is>
          <t>北京京能科技有限公司</t>
        </is>
      </c>
      <c r="F707" s="716" t="n"/>
      <c r="G707" s="716" t="n"/>
      <c r="H707" s="462" t="n"/>
    </row>
    <row r="708">
      <c r="A708" s="672" t="inlineStr">
        <is>
          <t>E100383</t>
        </is>
      </c>
      <c r="B708" s="767">
        <f>ROW()</f>
        <v/>
      </c>
      <c r="C708" s="182" t="inlineStr">
        <is>
          <t>京能源深能源科技盐城有限公司</t>
        </is>
      </c>
      <c r="D708" s="182" t="inlineStr">
        <is>
          <t>ZI029E100371</t>
        </is>
      </c>
      <c r="E708" s="182" t="inlineStr">
        <is>
          <t>北京京能科技有限公司</t>
        </is>
      </c>
      <c r="F708" s="716" t="n"/>
      <c r="G708" s="716" t="n"/>
      <c r="H708" s="462" t="n"/>
    </row>
    <row r="709">
      <c r="A709" s="672" t="inlineStr">
        <is>
          <t>E100382</t>
        </is>
      </c>
      <c r="B709" s="767">
        <f>ROW()</f>
        <v/>
      </c>
      <c r="C709" s="182" t="inlineStr">
        <is>
          <t>京能源深泰州能源科技有限公司</t>
        </is>
      </c>
      <c r="D709" s="182" t="inlineStr">
        <is>
          <t>ZI029E100371</t>
        </is>
      </c>
      <c r="E709" s="182" t="inlineStr">
        <is>
          <t>北京京能科技有限公司</t>
        </is>
      </c>
      <c r="F709" s="716" t="n"/>
      <c r="G709" s="716" t="n"/>
      <c r="H709" s="462" t="n"/>
    </row>
    <row r="710">
      <c r="A710" s="672" t="inlineStr">
        <is>
          <t>E100571</t>
        </is>
      </c>
      <c r="B710" s="767">
        <f>ROW()</f>
        <v/>
      </c>
      <c r="C710" s="182" t="inlineStr">
        <is>
          <t>京能远景领金智汇（北京）科技有限公司</t>
        </is>
      </c>
      <c r="D710" s="182" t="inlineStr">
        <is>
          <t>ZI029E100405</t>
        </is>
      </c>
      <c r="E710" s="182" t="inlineStr">
        <is>
          <t>北京高新技术创业投资有限公司</t>
        </is>
      </c>
      <c r="F710" s="716" t="n"/>
      <c r="G710" s="716" t="n"/>
      <c r="H710" s="462" t="n"/>
    </row>
    <row r="711">
      <c r="A711" s="672" t="inlineStr">
        <is>
          <t>E100429</t>
        </is>
      </c>
      <c r="B711" s="767">
        <f>ROW()</f>
        <v/>
      </c>
      <c r="C711" s="182" t="inlineStr">
        <is>
          <t>京能置业（天津）有限公司</t>
        </is>
      </c>
      <c r="D711" s="182" t="inlineStr">
        <is>
          <t>ZI029E100420</t>
        </is>
      </c>
      <c r="E711" s="182" t="inlineStr">
        <is>
          <t>京能置业股份有限公司</t>
        </is>
      </c>
      <c r="F711" s="716" t="n"/>
      <c r="G711" s="716" t="n"/>
      <c r="H711" s="462" t="n"/>
    </row>
    <row r="712">
      <c r="A712" s="672" t="inlineStr">
        <is>
          <t>E100429</t>
        </is>
      </c>
      <c r="B712" s="767">
        <f>ROW()</f>
        <v/>
      </c>
      <c r="C712" s="182" t="inlineStr">
        <is>
          <t>京能置业（天津）有限公司</t>
        </is>
      </c>
      <c r="D712" s="182" t="inlineStr">
        <is>
          <t>ZI029E100000</t>
        </is>
      </c>
      <c r="E712" s="182" t="inlineStr">
        <is>
          <t>北京能源集团有限责任公司</t>
        </is>
      </c>
      <c r="F712" s="716" t="n"/>
      <c r="G712" s="716" t="n"/>
      <c r="H712" s="462" t="n"/>
    </row>
    <row r="713">
      <c r="A713" s="672" t="inlineStr">
        <is>
          <t>E100420</t>
        </is>
      </c>
      <c r="B713" s="767">
        <f>ROW()</f>
        <v/>
      </c>
      <c r="C713" s="182" t="inlineStr">
        <is>
          <t>京能置业股份有限公司</t>
        </is>
      </c>
      <c r="D713" s="182" t="inlineStr">
        <is>
          <t>ZI029E100000</t>
        </is>
      </c>
      <c r="E713" s="182" t="inlineStr">
        <is>
          <t>北京能源集团有限责任公司</t>
        </is>
      </c>
      <c r="F713" s="716" t="n"/>
      <c r="G713" s="716" t="n"/>
      <c r="H713" s="462" t="n"/>
    </row>
    <row r="714">
      <c r="A714" s="672" t="inlineStr">
        <is>
          <t>E100248</t>
        </is>
      </c>
      <c r="B714" s="767">
        <f>ROW()</f>
        <v/>
      </c>
      <c r="C714" s="182" t="inlineStr">
        <is>
          <t>京热（阜平）热力有限责任公司</t>
        </is>
      </c>
      <c r="D714" s="182" t="inlineStr">
        <is>
          <t>ZI029E100259</t>
        </is>
      </c>
      <c r="E714" s="182" t="inlineStr">
        <is>
          <t>北京京能热力发展有限公司</t>
        </is>
      </c>
      <c r="F714" s="716" t="n"/>
      <c r="G714" s="716" t="n"/>
      <c r="H714" s="462" t="n"/>
    </row>
    <row r="715">
      <c r="A715" s="672" t="inlineStr">
        <is>
          <t>E100246</t>
        </is>
      </c>
      <c r="B715" s="767">
        <f>ROW()</f>
        <v/>
      </c>
      <c r="C715" s="182" t="inlineStr">
        <is>
          <t>京热（潜江）热力有限责任公司</t>
        </is>
      </c>
      <c r="D715" s="182" t="inlineStr">
        <is>
          <t>ZI029E100259</t>
        </is>
      </c>
      <c r="E715" s="182" t="inlineStr">
        <is>
          <t>北京京能热力发展有限公司</t>
        </is>
      </c>
      <c r="F715" s="716" t="n"/>
      <c r="G715" s="716" t="n"/>
      <c r="H715" s="462" t="n"/>
    </row>
    <row r="716">
      <c r="A716" s="672" t="inlineStr">
        <is>
          <t>E100249</t>
        </is>
      </c>
      <c r="B716" s="767">
        <f>ROW()</f>
        <v/>
      </c>
      <c r="C716" s="182" t="inlineStr">
        <is>
          <t>京热（乌兰察布）热力有限责任公司</t>
        </is>
      </c>
      <c r="D716" s="182" t="inlineStr">
        <is>
          <t>ZI029E100222</t>
        </is>
      </c>
      <c r="E716" s="182" t="inlineStr">
        <is>
          <t>北京市热力集团有限责任公司</t>
        </is>
      </c>
      <c r="F716" s="716" t="n"/>
      <c r="G716" s="716" t="n"/>
      <c r="H716" s="462" t="n"/>
    </row>
    <row r="717">
      <c r="A717" s="672" t="inlineStr">
        <is>
          <t>E101068</t>
        </is>
      </c>
      <c r="B717" s="767">
        <f>ROW()</f>
        <v/>
      </c>
      <c r="C717" s="182" t="inlineStr">
        <is>
          <t>京姚（林州）新能源有限公司</t>
        </is>
      </c>
      <c r="D717" s="182" t="inlineStr">
        <is>
          <t>ZI029E100883</t>
        </is>
      </c>
      <c r="E717" s="182" t="inlineStr">
        <is>
          <t>Beijing Energy International Investment Limited</t>
        </is>
      </c>
      <c r="F717" s="716" t="n"/>
      <c r="G717" s="716" t="n"/>
      <c r="H717" s="462" t="n"/>
    </row>
    <row r="718">
      <c r="A718" s="672" t="inlineStr">
        <is>
          <t>E100094</t>
        </is>
      </c>
      <c r="B718" s="767">
        <f>ROW()</f>
        <v/>
      </c>
      <c r="C718" s="182" t="inlineStr">
        <is>
          <t>靖远京能新能源有限公司</t>
        </is>
      </c>
      <c r="D718" s="182" t="inlineStr">
        <is>
          <t>ZI029E100001</t>
        </is>
      </c>
      <c r="E718" s="182" t="inlineStr">
        <is>
          <t>北京京能清洁能源电力股份有限公司</t>
        </is>
      </c>
      <c r="F718" s="716" t="n"/>
      <c r="G718" s="716" t="n"/>
      <c r="H718" s="462" t="n"/>
    </row>
    <row r="719">
      <c r="A719" s="672" t="inlineStr">
        <is>
          <t>E100034</t>
        </is>
      </c>
      <c r="B719" s="767">
        <f>ROW()</f>
        <v/>
      </c>
      <c r="C719" s="182" t="inlineStr">
        <is>
          <t>康保新京清洁能源有限公司</t>
        </is>
      </c>
      <c r="D719" s="182" t="inlineStr">
        <is>
          <t>ZI029E100001</t>
        </is>
      </c>
      <c r="E719" s="182" t="inlineStr">
        <is>
          <t>北京京能清洁能源电力股份有限公司</t>
        </is>
      </c>
      <c r="F719" s="716" t="n"/>
      <c r="G719" s="716" t="n"/>
      <c r="H719" s="716" t="n"/>
    </row>
    <row r="720">
      <c r="A720" s="672" t="inlineStr">
        <is>
          <t>E100959</t>
        </is>
      </c>
      <c r="B720" s="767">
        <f>ROW()</f>
        <v/>
      </c>
      <c r="C720" s="182" t="inlineStr">
        <is>
          <t>昆明邦业新能源发电有限公司</t>
        </is>
      </c>
      <c r="D720" s="182" t="inlineStr">
        <is>
          <t>ZI029E100958</t>
        </is>
      </c>
      <c r="E720" s="182" t="inlineStr">
        <is>
          <t>常州市招联绿港新能源有限公司</t>
        </is>
      </c>
      <c r="F720" s="716" t="n"/>
      <c r="G720" s="716" t="n"/>
      <c r="H720" s="462" t="n"/>
    </row>
    <row r="721">
      <c r="A721" s="672" t="inlineStr">
        <is>
          <t>E100262</t>
        </is>
      </c>
      <c r="B721" s="767">
        <f>ROW()</f>
        <v/>
      </c>
      <c r="C721" s="182" t="inlineStr">
        <is>
          <t>廊坊市华源盛世热力有限公司</t>
        </is>
      </c>
      <c r="D721" s="182" t="inlineStr">
        <is>
          <t>ZI029E100259</t>
        </is>
      </c>
      <c r="E721" s="182" t="inlineStr">
        <is>
          <t>北京京能热力发展有限公司</t>
        </is>
      </c>
      <c r="F721" s="716" t="n"/>
      <c r="G721" s="716" t="n"/>
      <c r="H721" s="462" t="n"/>
    </row>
    <row r="722">
      <c r="A722" s="672" t="inlineStr">
        <is>
          <t>E100810</t>
        </is>
      </c>
      <c r="B722" s="767">
        <f>ROW()</f>
        <v/>
      </c>
      <c r="C722" s="182" t="inlineStr">
        <is>
          <t>乐多港光穗（天津）投资合伙企业（有限合伙）</t>
        </is>
      </c>
      <c r="D722" s="182" t="inlineStr">
        <is>
          <t>ZI029E100000</t>
        </is>
      </c>
      <c r="E722" s="182" t="inlineStr">
        <is>
          <t>北京能源集团有限责任公司</t>
        </is>
      </c>
      <c r="F722" s="716" t="n"/>
      <c r="G722" s="716" t="n"/>
      <c r="H722" s="462" t="n"/>
    </row>
    <row r="723">
      <c r="A723" s="672" t="inlineStr">
        <is>
          <t>E100810</t>
        </is>
      </c>
      <c r="B723" s="767">
        <f>ROW()</f>
        <v/>
      </c>
      <c r="C723" s="182" t="inlineStr">
        <is>
          <t>乐多港光穗（天津）投资合伙企业（有限合伙）</t>
        </is>
      </c>
      <c r="D723" s="182" t="inlineStr">
        <is>
          <t>ZI029E100191</t>
        </is>
      </c>
      <c r="E723" s="182" t="inlineStr">
        <is>
          <t>北京乐多港发展有限公司</t>
        </is>
      </c>
      <c r="F723" s="716" t="n"/>
      <c r="G723" s="716" t="n"/>
      <c r="H723" s="462" t="n"/>
    </row>
    <row r="724">
      <c r="A724" s="672" t="inlineStr">
        <is>
          <t>E100734</t>
        </is>
      </c>
      <c r="B724" s="767">
        <f>ROW()</f>
        <v/>
      </c>
      <c r="C724" s="182" t="inlineStr">
        <is>
          <t>联合光伏（常州）投资集团有限公司</t>
        </is>
      </c>
      <c r="D724" s="182" t="inlineStr">
        <is>
          <t>ZI029E100883</t>
        </is>
      </c>
      <c r="E724" s="182" t="inlineStr">
        <is>
          <t>Beijing Energy International Investment Limited</t>
        </is>
      </c>
      <c r="F724" s="716" t="n"/>
      <c r="G724" s="716" t="n"/>
      <c r="H724" s="462" t="n"/>
    </row>
    <row r="725">
      <c r="A725" s="672" t="inlineStr">
        <is>
          <t>E100734</t>
        </is>
      </c>
      <c r="B725" s="767">
        <f>ROW()</f>
        <v/>
      </c>
      <c r="C725" s="182" t="inlineStr">
        <is>
          <t>联合光伏（常州）投资集团有限公司</t>
        </is>
      </c>
      <c r="D725" s="182" t="inlineStr">
        <is>
          <t>ZI029E100764</t>
        </is>
      </c>
      <c r="E725" s="182" t="inlineStr">
        <is>
          <t>联合光伏（深圳）有限公司</t>
        </is>
      </c>
      <c r="F725" s="716" t="n"/>
      <c r="G725" s="716" t="n"/>
      <c r="H725" s="462" t="n"/>
    </row>
    <row r="726">
      <c r="A726" s="672" t="inlineStr">
        <is>
          <t>E100734</t>
        </is>
      </c>
      <c r="B726" s="767">
        <f>ROW()</f>
        <v/>
      </c>
      <c r="C726" s="182" t="inlineStr">
        <is>
          <t>联合光伏(常州)投资集团有限公司</t>
        </is>
      </c>
      <c r="D726" s="182" t="inlineStr">
        <is>
          <t>ZI029E100729</t>
        </is>
      </c>
      <c r="E726" s="182" t="inlineStr">
        <is>
          <t>北京京能国际控股有限公司</t>
        </is>
      </c>
      <c r="F726" s="716" t="n"/>
      <c r="G726" s="716" t="n"/>
      <c r="H726" s="462" t="n"/>
    </row>
    <row r="727">
      <c r="A727" s="672" t="inlineStr">
        <is>
          <t>E100764</t>
        </is>
      </c>
      <c r="B727" s="767">
        <f>ROW()</f>
        <v/>
      </c>
      <c r="C727" s="182" t="inlineStr">
        <is>
          <t>联合光伏（深圳）有限公司</t>
        </is>
      </c>
      <c r="D727" s="182" t="inlineStr">
        <is>
          <t>ZI029E100883</t>
        </is>
      </c>
      <c r="E727" s="182" t="inlineStr">
        <is>
          <t>Beijing Energy International Investment Limited</t>
        </is>
      </c>
      <c r="F727" s="716" t="n"/>
      <c r="G727" s="716" t="n"/>
      <c r="H727" s="462" t="n"/>
    </row>
    <row r="728">
      <c r="A728" s="672" t="inlineStr">
        <is>
          <t>E100437</t>
        </is>
      </c>
      <c r="B728" s="767">
        <f>ROW()</f>
        <v/>
      </c>
      <c r="C728" s="182" t="inlineStr">
        <is>
          <t>辽宁金泰房地产开发有限公司</t>
        </is>
      </c>
      <c r="D728" s="182" t="inlineStr">
        <is>
          <t>ZI029E100421</t>
        </is>
      </c>
      <c r="E728" s="182" t="inlineStr">
        <is>
          <t>北京金泰房地产开发有限责任公司</t>
        </is>
      </c>
      <c r="F728" s="716" t="n"/>
      <c r="G728" s="716" t="n"/>
      <c r="H728" s="462" t="n"/>
    </row>
    <row r="729">
      <c r="A729" s="672" t="inlineStr">
        <is>
          <t>E100970</t>
        </is>
      </c>
      <c r="B729" s="767">
        <f>ROW()</f>
        <v/>
      </c>
      <c r="C729" s="182" t="inlineStr">
        <is>
          <t>林周藏电开发有限公司</t>
        </is>
      </c>
      <c r="D729" s="182" t="inlineStr">
        <is>
          <t>ZI029E100864</t>
        </is>
      </c>
      <c r="E729" s="182" t="inlineStr">
        <is>
          <t>西藏中自新能源技术有限公司</t>
        </is>
      </c>
      <c r="F729" s="716" t="n"/>
      <c r="G729" s="716" t="n"/>
      <c r="H729" s="462" t="n"/>
    </row>
    <row r="730">
      <c r="A730" s="672" t="inlineStr">
        <is>
          <t>E100904</t>
        </is>
      </c>
      <c r="B730" s="767">
        <f>ROW()</f>
        <v/>
      </c>
      <c r="C730" s="182" t="inlineStr">
        <is>
          <t>灵石京合光伏发电有限公司</t>
        </is>
      </c>
      <c r="D730" s="182" t="inlineStr">
        <is>
          <t>ZI029E100730</t>
        </is>
      </c>
      <c r="E730" s="182" t="inlineStr">
        <is>
          <t>京能国际能源发展（北京）有限公司</t>
        </is>
      </c>
      <c r="F730" s="716" t="n"/>
      <c r="G730" s="716" t="n"/>
      <c r="H730" s="462" t="n"/>
    </row>
    <row r="731">
      <c r="A731" s="672" t="inlineStr">
        <is>
          <t>E100049</t>
        </is>
      </c>
      <c r="B731" s="767">
        <f>ROW()</f>
        <v/>
      </c>
      <c r="C731" s="182" t="inlineStr">
        <is>
          <t>凌源东大光伏发电有限公司</t>
        </is>
      </c>
      <c r="D731" s="182" t="inlineStr">
        <is>
          <t>ZI029E100001</t>
        </is>
      </c>
      <c r="E731" s="182" t="inlineStr">
        <is>
          <t>北京京能清洁能源电力股份有限公司</t>
        </is>
      </c>
      <c r="F731" s="716" t="n"/>
      <c r="G731" s="716" t="n"/>
      <c r="H731" s="462" t="n"/>
    </row>
    <row r="732">
      <c r="A732" s="672" t="inlineStr">
        <is>
          <t>E100909</t>
        </is>
      </c>
      <c r="B732" s="767">
        <f>ROW()</f>
        <v/>
      </c>
      <c r="C732" s="182" t="inlineStr">
        <is>
          <t>六安华钦新能源有限公司</t>
        </is>
      </c>
      <c r="D732" s="182" t="inlineStr">
        <is>
          <t>ZI029E100730</t>
        </is>
      </c>
      <c r="E732" s="182" t="inlineStr">
        <is>
          <t>京能国际能源发展（北京）有限公司</t>
        </is>
      </c>
      <c r="F732" s="716" t="n"/>
      <c r="G732" s="716" t="n"/>
      <c r="H732" s="462" t="n"/>
    </row>
    <row r="733">
      <c r="A733" s="672" t="inlineStr">
        <is>
          <t>E100749</t>
        </is>
      </c>
      <c r="B733" s="767">
        <f>ROW()</f>
        <v/>
      </c>
      <c r="C733" s="182" t="inlineStr">
        <is>
          <t>炉霍联合光伏开发有限公司</t>
        </is>
      </c>
      <c r="D733" s="182" t="inlineStr">
        <is>
          <t>ZI029E100737</t>
        </is>
      </c>
      <c r="E733" s="182" t="inlineStr">
        <is>
          <t>四川联合光伏有限公司</t>
        </is>
      </c>
      <c r="F733" s="716" t="n"/>
      <c r="G733" s="716" t="n"/>
      <c r="H733" s="462" t="n"/>
    </row>
    <row r="734">
      <c r="A734" s="672" t="inlineStr">
        <is>
          <t>E100063</t>
        </is>
      </c>
      <c r="B734" s="767">
        <f>ROW()</f>
        <v/>
      </c>
      <c r="C734" s="182" t="inlineStr">
        <is>
          <t>陆丰市明大新能源科技有限公司</t>
        </is>
      </c>
      <c r="D734" s="182" t="inlineStr">
        <is>
          <t>ZI029E100001</t>
        </is>
      </c>
      <c r="E734" s="182" t="inlineStr">
        <is>
          <t>北京京能清洁能源电力股份有限公司</t>
        </is>
      </c>
      <c r="F734" s="716" t="n"/>
      <c r="G734" s="716" t="n"/>
      <c r="H734" s="462" t="n"/>
    </row>
    <row r="735">
      <c r="A735" s="672" t="inlineStr">
        <is>
          <t>E100942</t>
        </is>
      </c>
      <c r="B735" s="767">
        <f>ROW()</f>
        <v/>
      </c>
      <c r="C735" s="182" t="inlineStr">
        <is>
          <t>玛纳斯京能新能源有限公司</t>
        </is>
      </c>
      <c r="D735" s="182" t="inlineStr">
        <is>
          <t>ZI029E100730</t>
        </is>
      </c>
      <c r="E735" s="182" t="inlineStr">
        <is>
          <t>京能国际能源发展（北京）有限公司</t>
        </is>
      </c>
      <c r="F735" s="716" t="n"/>
      <c r="G735" s="716" t="n"/>
      <c r="H735" s="462" t="n"/>
    </row>
    <row r="736">
      <c r="A736" s="672" t="inlineStr">
        <is>
          <t>E100750</t>
        </is>
      </c>
      <c r="B736" s="767">
        <f>ROW()</f>
        <v/>
      </c>
      <c r="C736" s="182" t="inlineStr">
        <is>
          <t>民丰县昂立光伏科技有限公司</t>
        </is>
      </c>
      <c r="D736" s="182" t="inlineStr">
        <is>
          <t>ZI029E100734</t>
        </is>
      </c>
      <c r="E736" s="182" t="inlineStr">
        <is>
          <t>联合光伏（常州）投资集团有限公司</t>
        </is>
      </c>
      <c r="F736" s="716" t="n"/>
      <c r="G736" s="716" t="n"/>
      <c r="H736" s="462" t="n"/>
    </row>
    <row r="737">
      <c r="A737" s="672" t="inlineStr">
        <is>
          <t>E100936</t>
        </is>
      </c>
      <c r="B737" s="767">
        <f>ROW()</f>
        <v/>
      </c>
      <c r="C737" s="182" t="inlineStr">
        <is>
          <t>木垒县通川风光新能源有限公司</t>
        </is>
      </c>
      <c r="D737" s="182" t="inlineStr">
        <is>
          <t>ZI029E100730</t>
        </is>
      </c>
      <c r="E737" s="182" t="inlineStr">
        <is>
          <t>京能国际能源发展（北京）有限公司</t>
        </is>
      </c>
      <c r="F737" s="716" t="n"/>
      <c r="G737" s="716" t="n"/>
      <c r="H737" s="462" t="n"/>
    </row>
    <row r="738">
      <c r="A738" s="672" t="inlineStr">
        <is>
          <t>E100812</t>
        </is>
      </c>
      <c r="B738" s="767">
        <f>ROW()</f>
        <v/>
      </c>
      <c r="C738" s="182" t="inlineStr">
        <is>
          <t>南昌京能富蓝新能源有限公司</t>
        </is>
      </c>
      <c r="D738" s="182" t="inlineStr">
        <is>
          <t>ZI029E100730</t>
        </is>
      </c>
      <c r="E738" s="182" t="inlineStr">
        <is>
          <t>京能国际能源发展（北京）有限公司</t>
        </is>
      </c>
      <c r="F738" s="716" t="n"/>
      <c r="G738" s="716" t="n"/>
      <c r="H738" s="462" t="n"/>
    </row>
    <row r="739">
      <c r="A739" s="672" t="inlineStr">
        <is>
          <t>E100928</t>
        </is>
      </c>
      <c r="B739" s="767">
        <f>ROW()</f>
        <v/>
      </c>
      <c r="C739" s="182" t="inlineStr">
        <is>
          <t>南宫市国隆新能源科技有限公司</t>
        </is>
      </c>
      <c r="D739" s="182" t="inlineStr">
        <is>
          <t>ZI029E100730</t>
        </is>
      </c>
      <c r="E739" s="182" t="inlineStr">
        <is>
          <t>京能国际能源发展（北京）有限公司</t>
        </is>
      </c>
      <c r="F739" s="716" t="n"/>
      <c r="G739" s="716" t="n"/>
      <c r="H739" s="462" t="n"/>
    </row>
    <row r="740">
      <c r="A740" s="672" t="inlineStr">
        <is>
          <t>E101008</t>
        </is>
      </c>
      <c r="B740" s="767">
        <f>ROW()</f>
        <v/>
      </c>
      <c r="C740" s="182" t="inlineStr">
        <is>
          <t>南京丝绸之路新能源有限公司</t>
        </is>
      </c>
      <c r="D740" s="182" t="inlineStr">
        <is>
          <t>ZI029E101007</t>
        </is>
      </c>
      <c r="E740" s="182" t="inlineStr">
        <is>
          <t>骏耀新能源（常州）有限公司</t>
        </is>
      </c>
      <c r="F740" s="716" t="n"/>
      <c r="G740" s="716" t="n"/>
      <c r="H740" s="462" t="n"/>
    </row>
    <row r="741">
      <c r="A741" s="672" t="inlineStr">
        <is>
          <t>E100951</t>
        </is>
      </c>
      <c r="B741" s="767">
        <f>ROW()</f>
        <v/>
      </c>
      <c r="C741" s="182" t="inlineStr">
        <is>
          <t>内蒙古傲都能源有限公司</t>
        </is>
      </c>
      <c r="D741" s="182" t="inlineStr">
        <is>
          <t>ZI029E100950</t>
        </is>
      </c>
      <c r="E741" s="182" t="inlineStr">
        <is>
          <t>内蒙古明华新能源股份有限公司</t>
        </is>
      </c>
      <c r="F741" s="716" t="n"/>
      <c r="G741" s="716" t="n"/>
      <c r="H741" s="462" t="n"/>
    </row>
    <row r="742">
      <c r="A742" s="672" t="inlineStr">
        <is>
          <t>E100440</t>
        </is>
      </c>
      <c r="B742" s="767">
        <f>ROW()</f>
        <v/>
      </c>
      <c r="C742" s="182" t="inlineStr">
        <is>
          <t>内蒙古大伟房地产开发有限公司</t>
        </is>
      </c>
      <c r="D742" s="182" t="inlineStr">
        <is>
          <t>ZI029E100421</t>
        </is>
      </c>
      <c r="E742" s="182" t="inlineStr">
        <is>
          <t>北京金泰房地产开发有限责任公司</t>
        </is>
      </c>
      <c r="F742" s="716" t="n"/>
      <c r="G742" s="716" t="n"/>
      <c r="H742" s="462" t="n"/>
    </row>
    <row r="743">
      <c r="A743" s="672" t="inlineStr">
        <is>
          <t>E100131</t>
        </is>
      </c>
      <c r="B743" s="767">
        <f>ROW()</f>
        <v/>
      </c>
      <c r="C743" s="182" t="inlineStr">
        <is>
          <t>内蒙古岱电房地产开发有限公司</t>
        </is>
      </c>
      <c r="D743" s="182" t="inlineStr">
        <is>
          <t>ZI029E100109</t>
        </is>
      </c>
      <c r="E743" s="182" t="inlineStr">
        <is>
          <t>京能电力后勤服务有限公司</t>
        </is>
      </c>
      <c r="F743" s="716" t="n"/>
      <c r="G743" s="716" t="n"/>
      <c r="H743" s="462" t="n"/>
    </row>
    <row r="744">
      <c r="A744" s="672" t="inlineStr">
        <is>
          <t>E100150</t>
        </is>
      </c>
      <c r="B744" s="767">
        <f>ROW()</f>
        <v/>
      </c>
      <c r="C744" s="182" t="inlineStr">
        <is>
          <t>内蒙古岱海发电有限责任公司</t>
        </is>
      </c>
      <c r="D744" s="182" t="inlineStr">
        <is>
          <t>ZI029E100145</t>
        </is>
      </c>
      <c r="E744" s="182" t="inlineStr">
        <is>
          <t>北京京能电力股份有限公司</t>
        </is>
      </c>
      <c r="F744" s="716" t="n"/>
      <c r="G744" s="716" t="n"/>
      <c r="H744" s="462" t="n"/>
    </row>
    <row r="745">
      <c r="A745" s="672" t="inlineStr">
        <is>
          <t>E100130</t>
        </is>
      </c>
      <c r="B745" s="767">
        <f>ROW()</f>
        <v/>
      </c>
      <c r="C745" s="182" t="inlineStr">
        <is>
          <t>内蒙古岱海旅游学校</t>
        </is>
      </c>
      <c r="D745" s="182" t="inlineStr">
        <is>
          <t>ZI029E100109</t>
        </is>
      </c>
      <c r="E745" s="182" t="inlineStr">
        <is>
          <t>京能电力后勤服务有限公司</t>
        </is>
      </c>
      <c r="F745" s="716" t="n"/>
      <c r="G745" s="716" t="n"/>
      <c r="H745" s="462" t="n"/>
    </row>
    <row r="746">
      <c r="A746" s="672" t="inlineStr">
        <is>
          <t>E100977</t>
        </is>
      </c>
      <c r="B746" s="767">
        <f>ROW()</f>
        <v/>
      </c>
      <c r="C746" s="182" t="inlineStr">
        <is>
          <t>内蒙古国瑞农业有限公司</t>
        </is>
      </c>
      <c r="D746" s="182" t="inlineStr">
        <is>
          <t>ZI029E100735</t>
        </is>
      </c>
      <c r="E746" s="182" t="inlineStr">
        <is>
          <t>内蒙古京能新能源科技有限公司</t>
        </is>
      </c>
      <c r="F746" s="716" t="n"/>
      <c r="G746" s="716" t="n"/>
      <c r="H746" s="462" t="n"/>
    </row>
    <row r="747">
      <c r="A747" s="672" t="inlineStr">
        <is>
          <t>E100974</t>
        </is>
      </c>
      <c r="B747" s="767">
        <f>ROW()</f>
        <v/>
      </c>
      <c r="C747" s="182" t="inlineStr">
        <is>
          <t>内蒙古国润（察右前旗）发电有限公司</t>
        </is>
      </c>
      <c r="D747" s="182" t="inlineStr">
        <is>
          <t>ZI029E100973</t>
        </is>
      </c>
      <c r="E747" s="182" t="inlineStr">
        <is>
          <t>察右前旗联合光伏发电有限公司</t>
        </is>
      </c>
      <c r="F747" s="716" t="n"/>
      <c r="G747" s="716" t="n"/>
      <c r="H747" s="462" t="n"/>
    </row>
    <row r="748">
      <c r="A748" s="672" t="inlineStr">
        <is>
          <t>E100155</t>
        </is>
      </c>
      <c r="B748" s="767">
        <f>ROW()</f>
        <v/>
      </c>
      <c r="C748" s="182" t="inlineStr">
        <is>
          <t>内蒙古华宁热电有限公司</t>
        </is>
      </c>
      <c r="D748" s="182" t="inlineStr">
        <is>
          <t>ZI029E100154</t>
        </is>
      </c>
      <c r="E748" s="182" t="inlineStr">
        <is>
          <t>内蒙古京隆发电有限责任公司</t>
        </is>
      </c>
      <c r="F748" s="716" t="n"/>
      <c r="G748" s="716" t="n"/>
      <c r="H748" s="462" t="n"/>
    </row>
    <row r="749">
      <c r="A749" s="672" t="inlineStr">
        <is>
          <t>E100159</t>
        </is>
      </c>
      <c r="B749" s="767">
        <f>ROW()</f>
        <v/>
      </c>
      <c r="C749" s="182" t="inlineStr">
        <is>
          <t>内蒙古京海煤矸石发电有限责任公司</t>
        </is>
      </c>
      <c r="D749" s="182" t="inlineStr">
        <is>
          <t>ZI029E100145</t>
        </is>
      </c>
      <c r="E749" s="182" t="inlineStr">
        <is>
          <t>北京京能电力股份有限公司</t>
        </is>
      </c>
      <c r="F749" s="716" t="n"/>
      <c r="G749" s="716" t="n"/>
      <c r="H749" s="462" t="n"/>
    </row>
    <row r="750">
      <c r="A750" s="672" t="inlineStr">
        <is>
          <t>E100154</t>
        </is>
      </c>
      <c r="B750" s="767">
        <f>ROW()</f>
        <v/>
      </c>
      <c r="C750" s="182" t="inlineStr">
        <is>
          <t>内蒙古京隆发电有限责任公司</t>
        </is>
      </c>
      <c r="D750" s="182" t="inlineStr">
        <is>
          <t>ZI029E100145</t>
        </is>
      </c>
      <c r="E750" s="182" t="inlineStr">
        <is>
          <t>北京京能电力股份有限公司</t>
        </is>
      </c>
      <c r="F750" s="716" t="n"/>
      <c r="G750" s="716" t="n"/>
      <c r="H750" s="462" t="n"/>
    </row>
    <row r="751">
      <c r="A751" s="672" t="inlineStr">
        <is>
          <t>E100046</t>
        </is>
      </c>
      <c r="B751" s="767">
        <f>ROW()</f>
        <v/>
      </c>
      <c r="C751" s="182" t="inlineStr">
        <is>
          <t>内蒙古京能巴林右风力发电有限责任公司</t>
        </is>
      </c>
      <c r="D751" s="182" t="inlineStr">
        <is>
          <t>ZI029E100001</t>
        </is>
      </c>
      <c r="E751" s="182" t="inlineStr">
        <is>
          <t>北京京能清洁能源电力股份有限公司</t>
        </is>
      </c>
      <c r="F751" s="716" t="n"/>
      <c r="G751" s="716" t="n"/>
      <c r="H751" s="462" t="n"/>
    </row>
    <row r="752">
      <c r="A752" s="672" t="inlineStr">
        <is>
          <t>E100075</t>
        </is>
      </c>
      <c r="B752" s="767">
        <f>ROW()</f>
        <v/>
      </c>
      <c r="C752" s="182" t="inlineStr">
        <is>
          <t>内蒙古京能察右中风力发电有限责任公司</t>
        </is>
      </c>
      <c r="D752" s="182" t="inlineStr">
        <is>
          <t>ZI029E100001</t>
        </is>
      </c>
      <c r="E752" s="182" t="inlineStr">
        <is>
          <t>北京京能清洁能源电力股份有限公司</t>
        </is>
      </c>
      <c r="F752" s="716" t="n"/>
      <c r="G752" s="716" t="n"/>
      <c r="H752" s="462" t="n"/>
    </row>
    <row r="753">
      <c r="A753" s="672" t="inlineStr">
        <is>
          <t>E100182</t>
        </is>
      </c>
      <c r="B753" s="767">
        <f>ROW()</f>
        <v/>
      </c>
      <c r="C753" s="182" t="inlineStr">
        <is>
          <t>内蒙古京能电力检修有限公司</t>
        </is>
      </c>
      <c r="D753" s="182" t="inlineStr">
        <is>
          <t>ZI029E100145</t>
        </is>
      </c>
      <c r="E753" s="182" t="inlineStr">
        <is>
          <t>北京京能电力股份有限公司</t>
        </is>
      </c>
      <c r="F753" s="716" t="n"/>
      <c r="G753" s="716" t="n"/>
      <c r="H753" s="462" t="n"/>
    </row>
    <row r="754">
      <c r="A754" s="672" t="inlineStr">
        <is>
          <t>E100043</t>
        </is>
      </c>
      <c r="B754" s="767">
        <f>ROW()</f>
        <v/>
      </c>
      <c r="C754" s="182" t="inlineStr">
        <is>
          <t>内蒙古京能霍林郭勒风力发电有限责任公司</t>
        </is>
      </c>
      <c r="D754" s="182" t="inlineStr">
        <is>
          <t>ZI029E100001</t>
        </is>
      </c>
      <c r="E754" s="182" t="inlineStr">
        <is>
          <t>北京京能清洁能源电力股份有限公司</t>
        </is>
      </c>
      <c r="F754" s="716" t="n"/>
      <c r="G754" s="716" t="n"/>
      <c r="H754" s="462" t="n"/>
    </row>
    <row r="755">
      <c r="A755" s="672" t="inlineStr">
        <is>
          <t>E100133</t>
        </is>
      </c>
      <c r="B755" s="767">
        <f>ROW()</f>
        <v/>
      </c>
      <c r="C755" s="182" t="inlineStr">
        <is>
          <t>内蒙古京能建筑安装工程有限公司</t>
        </is>
      </c>
      <c r="D755" s="182" t="inlineStr">
        <is>
          <t>ZI029E100109</t>
        </is>
      </c>
      <c r="E755" s="182" t="inlineStr">
        <is>
          <t>京能电力后勤服务有限公司</t>
        </is>
      </c>
      <c r="F755" s="716" t="n"/>
      <c r="G755" s="716" t="n"/>
      <c r="H755" s="462" t="n"/>
    </row>
    <row r="756">
      <c r="A756" s="672" t="inlineStr">
        <is>
          <t>E100165</t>
        </is>
      </c>
      <c r="B756" s="767">
        <f>ROW()</f>
        <v/>
      </c>
      <c r="C756" s="182" t="inlineStr">
        <is>
          <t>内蒙古京能康巴什热电有限公司</t>
        </is>
      </c>
      <c r="D756" s="182" t="inlineStr">
        <is>
          <t>ZI029E100145</t>
        </is>
      </c>
      <c r="E756" s="182" t="inlineStr">
        <is>
          <t>北京京能电力股份有限公司</t>
        </is>
      </c>
      <c r="F756" s="716" t="n"/>
      <c r="G756" s="716" t="n"/>
      <c r="H756" s="462" t="n"/>
    </row>
    <row r="757">
      <c r="A757" s="672" t="inlineStr">
        <is>
          <t>E100044</t>
        </is>
      </c>
      <c r="B757" s="767">
        <f>ROW()</f>
        <v/>
      </c>
      <c r="C757" s="182" t="inlineStr">
        <is>
          <t>内蒙古京能科右中风力发电有限责任公司</t>
        </is>
      </c>
      <c r="D757" s="182" t="inlineStr">
        <is>
          <t>ZI029E100001</t>
        </is>
      </c>
      <c r="E757" s="182" t="inlineStr">
        <is>
          <t>北京京能清洁能源电力股份有限公司</t>
        </is>
      </c>
      <c r="F757" s="716" t="n"/>
      <c r="G757" s="716" t="n"/>
      <c r="H757" s="462" t="n"/>
    </row>
    <row r="758">
      <c r="A758" s="672" t="inlineStr">
        <is>
          <t>E100181</t>
        </is>
      </c>
      <c r="B758" s="767">
        <f>ROW()</f>
        <v/>
      </c>
      <c r="C758" s="182" t="inlineStr">
        <is>
          <t>京能乌兰察布能源管理服务有限公司</t>
        </is>
      </c>
      <c r="D758" s="182" t="inlineStr">
        <is>
          <t>ZI029E100145</t>
        </is>
      </c>
      <c r="E758" s="182" t="inlineStr">
        <is>
          <t>北京京能电力股份有限公司</t>
        </is>
      </c>
      <c r="F758" s="716" t="n"/>
      <c r="G758" s="716" t="n"/>
      <c r="H758" s="462" t="n"/>
    </row>
    <row r="759">
      <c r="A759" s="672" t="inlineStr">
        <is>
          <t>E100180</t>
        </is>
      </c>
      <c r="B759" s="767">
        <f>ROW()</f>
        <v/>
      </c>
      <c r="C759" s="182" t="inlineStr">
        <is>
          <t>内蒙古京能能源开发有限责任公司</t>
        </is>
      </c>
      <c r="D759" s="182" t="inlineStr">
        <is>
          <t>ZI029E100145</t>
        </is>
      </c>
      <c r="E759" s="182" t="inlineStr">
        <is>
          <t>北京京能电力股份有限公司</t>
        </is>
      </c>
      <c r="F759" s="716" t="n"/>
      <c r="G759" s="716" t="n"/>
      <c r="H759" s="462" t="n"/>
    </row>
    <row r="760">
      <c r="A760" s="672" t="inlineStr">
        <is>
          <t>E100042</t>
        </is>
      </c>
      <c r="B760" s="767">
        <f>ROW()</f>
        <v/>
      </c>
      <c r="C760" s="182" t="inlineStr">
        <is>
          <t>内蒙古京能旗杆风力发电有限公司</t>
        </is>
      </c>
      <c r="D760" s="182" t="inlineStr">
        <is>
          <t>ZI029E100001</t>
        </is>
      </c>
      <c r="E760" s="182" t="inlineStr">
        <is>
          <t>北京京能清洁能源电力股份有限公司</t>
        </is>
      </c>
      <c r="F760" s="716" t="n"/>
      <c r="G760" s="716" t="n"/>
      <c r="H760" s="462" t="n"/>
    </row>
    <row r="761">
      <c r="A761" s="672" t="inlineStr">
        <is>
          <t>E100079</t>
        </is>
      </c>
      <c r="B761" s="767">
        <f>ROW()</f>
        <v/>
      </c>
      <c r="C761" s="182" t="inlineStr">
        <is>
          <t>内蒙古京能商都风力发电有限责任公司</t>
        </is>
      </c>
      <c r="D761" s="182" t="inlineStr">
        <is>
          <t>ZI029E100001</t>
        </is>
      </c>
      <c r="E761" s="182" t="inlineStr">
        <is>
          <t>北京京能清洁能源电力股份有限公司</t>
        </is>
      </c>
      <c r="F761" s="716" t="n"/>
      <c r="G761" s="716" t="n"/>
      <c r="H761" s="462" t="n"/>
    </row>
    <row r="762">
      <c r="A762" s="672" t="inlineStr">
        <is>
          <t>E100134</t>
        </is>
      </c>
      <c r="B762" s="767">
        <f>ROW()</f>
        <v/>
      </c>
      <c r="C762" s="182" t="inlineStr">
        <is>
          <t>内蒙古京能生态农业发展有限公司</t>
        </is>
      </c>
      <c r="D762" s="182" t="inlineStr">
        <is>
          <t>ZI029E100109</t>
        </is>
      </c>
      <c r="E762" s="182" t="inlineStr">
        <is>
          <t>京能电力后勤服务有限公司</t>
        </is>
      </c>
      <c r="F762" s="716" t="n"/>
      <c r="G762" s="716" t="n"/>
      <c r="H762" s="462" t="n"/>
    </row>
    <row r="763">
      <c r="A763" s="672" t="inlineStr">
        <is>
          <t>E100166</t>
        </is>
      </c>
      <c r="B763" s="767">
        <f>ROW()</f>
        <v/>
      </c>
      <c r="C763" s="182" t="inlineStr">
        <is>
          <t>内蒙古京能盛乐热电有限公司</t>
        </is>
      </c>
      <c r="D763" s="182" t="inlineStr">
        <is>
          <t>ZI029E100145</t>
        </is>
      </c>
      <c r="E763" s="182" t="inlineStr">
        <is>
          <t>北京京能电力股份有限公司</t>
        </is>
      </c>
      <c r="F763" s="716" t="n"/>
      <c r="G763" s="716" t="n"/>
      <c r="H763" s="462" t="n"/>
    </row>
    <row r="764">
      <c r="A764" s="672" t="inlineStr">
        <is>
          <t>E100171</t>
        </is>
      </c>
      <c r="B764" s="767">
        <f>ROW()</f>
        <v/>
      </c>
      <c r="C764" s="182" t="inlineStr">
        <is>
          <t>内蒙古京能双欣发电有限公司</t>
        </is>
      </c>
      <c r="D764" s="182" t="inlineStr">
        <is>
          <t>ZI029E100145</t>
        </is>
      </c>
      <c r="E764" s="182" t="inlineStr">
        <is>
          <t>北京京能电力股份有限公司</t>
        </is>
      </c>
      <c r="F764" s="716" t="n"/>
      <c r="G764" s="716" t="n"/>
      <c r="H764" s="462" t="n"/>
    </row>
    <row r="765">
      <c r="A765" s="672" t="inlineStr">
        <is>
          <t>E100178</t>
        </is>
      </c>
      <c r="B765" s="767">
        <f>ROW()</f>
        <v/>
      </c>
      <c r="C765" s="182" t="inlineStr">
        <is>
          <t>内蒙古京能苏里格能源管理服务有限公司</t>
        </is>
      </c>
      <c r="D765" s="182" t="inlineStr">
        <is>
          <t>ZI029E100145</t>
        </is>
      </c>
      <c r="E765" s="182" t="inlineStr">
        <is>
          <t>北京京能电力股份有限公司</t>
        </is>
      </c>
      <c r="F765" s="716" t="n"/>
      <c r="G765" s="716" t="n"/>
      <c r="H765" s="462" t="n"/>
    </row>
    <row r="766">
      <c r="A766" s="672" t="inlineStr">
        <is>
          <t>E100050</t>
        </is>
      </c>
      <c r="B766" s="767">
        <f>ROW()</f>
        <v/>
      </c>
      <c r="C766" s="182" t="inlineStr">
        <is>
          <t>内蒙古京能苏尼特风力发电有限公司</t>
        </is>
      </c>
      <c r="D766" s="182" t="inlineStr">
        <is>
          <t>ZI029E100001</t>
        </is>
      </c>
      <c r="E766" s="182" t="inlineStr">
        <is>
          <t>北京京能清洁能源电力股份有限公司</t>
        </is>
      </c>
      <c r="F766" s="716" t="n"/>
      <c r="G766" s="716" t="n"/>
      <c r="H766" s="462" t="n"/>
    </row>
    <row r="767">
      <c r="A767" s="672" t="inlineStr">
        <is>
          <t>E100050G</t>
        </is>
      </c>
      <c r="B767" s="767">
        <f>ROW()</f>
        <v/>
      </c>
      <c r="C767" s="182" t="inlineStr">
        <is>
          <t>内蒙古京能苏尼特风力发电有限公司（合并）</t>
        </is>
      </c>
      <c r="D767" s="182" t="inlineStr">
        <is>
          <t>ZI029E100001</t>
        </is>
      </c>
      <c r="E767" s="182" t="inlineStr">
        <is>
          <t>北京京能清洁能源电力股份有限公司</t>
        </is>
      </c>
      <c r="F767" s="716" t="n"/>
      <c r="G767" s="716" t="n"/>
      <c r="H767" s="462" t="n"/>
    </row>
    <row r="768">
      <c r="A768" s="672" t="inlineStr">
        <is>
          <t>E100080</t>
        </is>
      </c>
      <c r="B768" s="767">
        <f>ROW()</f>
        <v/>
      </c>
      <c r="C768" s="182" t="inlineStr">
        <is>
          <t>内蒙古京能文贡乌拉风力发电有限公司</t>
        </is>
      </c>
      <c r="D768" s="182" t="inlineStr">
        <is>
          <t>ZI029E100001</t>
        </is>
      </c>
      <c r="E768" s="182" t="inlineStr">
        <is>
          <t>北京京能清洁能源电力股份有限公司</t>
        </is>
      </c>
      <c r="F768" s="716" t="n"/>
      <c r="G768" s="716" t="n"/>
      <c r="H768" s="462" t="n"/>
    </row>
    <row r="769">
      <c r="A769" s="672" t="inlineStr">
        <is>
          <t>E100045</t>
        </is>
      </c>
      <c r="B769" s="767">
        <f>ROW()</f>
        <v/>
      </c>
      <c r="C769" s="182" t="inlineStr">
        <is>
          <t>内蒙古京能乌兰风力发电有限公司</t>
        </is>
      </c>
      <c r="D769" s="182" t="inlineStr">
        <is>
          <t>ZI029E100001</t>
        </is>
      </c>
      <c r="E769" s="182" t="inlineStr">
        <is>
          <t>北京京能清洁能源电力股份有限公司</t>
        </is>
      </c>
      <c r="F769" s="716" t="n"/>
      <c r="G769" s="716" t="n"/>
      <c r="H769" s="462" t="n"/>
    </row>
    <row r="770">
      <c r="A770" s="672" t="inlineStr">
        <is>
          <t>E100073</t>
        </is>
      </c>
      <c r="B770" s="767">
        <f>ROW()</f>
        <v/>
      </c>
      <c r="C770" s="182" t="inlineStr">
        <is>
          <t>内蒙古京能乌兰伊力更风力发电有限责任公司</t>
        </is>
      </c>
      <c r="D770" s="182" t="inlineStr">
        <is>
          <t>ZI029E100001</t>
        </is>
      </c>
      <c r="E770" s="182" t="inlineStr">
        <is>
          <t>北京京能清洁能源电力股份有限公司</t>
        </is>
      </c>
      <c r="F770" s="716" t="n"/>
      <c r="G770" s="716" t="n"/>
      <c r="H770" s="462" t="n"/>
    </row>
    <row r="771">
      <c r="A771" s="672" t="inlineStr">
        <is>
          <t>E100221</t>
        </is>
      </c>
      <c r="B771" s="767">
        <f>ROW()</f>
        <v/>
      </c>
      <c r="C771" s="182" t="inlineStr">
        <is>
          <t>内蒙古京能锡林煤化有限责任公司</t>
        </is>
      </c>
      <c r="D771" s="182" t="inlineStr">
        <is>
          <t>ZI029E100000</t>
        </is>
      </c>
      <c r="E771" s="182" t="inlineStr">
        <is>
          <t>北京能源集团有限责任公司</t>
        </is>
      </c>
      <c r="F771" s="716" t="n"/>
      <c r="G771" s="716" t="n"/>
      <c r="H771" s="462" t="n"/>
    </row>
    <row r="772">
      <c r="A772" s="672" t="inlineStr">
        <is>
          <t>E100735</t>
        </is>
      </c>
      <c r="B772" s="767">
        <f>ROW()</f>
        <v/>
      </c>
      <c r="C772" s="182" t="inlineStr">
        <is>
          <t>内蒙古京能新能源科技有限公司</t>
        </is>
      </c>
      <c r="D772" s="182" t="inlineStr">
        <is>
          <t>ZI029E100963</t>
        </is>
      </c>
      <c r="E772" s="182" t="inlineStr">
        <is>
          <t>丝绸之路新能源（常州）有限公司</t>
        </is>
      </c>
      <c r="F772" s="716" t="n"/>
      <c r="G772" s="716" t="n"/>
      <c r="H772" s="462" t="n"/>
    </row>
    <row r="773">
      <c r="A773" s="672" t="inlineStr">
        <is>
          <t>E100167</t>
        </is>
      </c>
      <c r="B773" s="767">
        <f>ROW()</f>
        <v/>
      </c>
      <c r="C773" s="182" t="inlineStr">
        <is>
          <t>内蒙古京宁热电有限责任公司</t>
        </is>
      </c>
      <c r="D773" s="182" t="inlineStr">
        <is>
          <t>ZI029E100145</t>
        </is>
      </c>
      <c r="E773" s="182" t="inlineStr">
        <is>
          <t>北京京能电力股份有限公司</t>
        </is>
      </c>
      <c r="F773" s="716" t="n"/>
      <c r="G773" s="716" t="n"/>
      <c r="H773" s="462" t="n"/>
    </row>
    <row r="774">
      <c r="A774" s="672" t="inlineStr">
        <is>
          <t>E100157</t>
        </is>
      </c>
      <c r="B774" s="767">
        <f>ROW()</f>
        <v/>
      </c>
      <c r="C774" s="182" t="inlineStr">
        <is>
          <t>内蒙古京泰发电有限责任公司</t>
        </is>
      </c>
      <c r="D774" s="182" t="inlineStr">
        <is>
          <t>ZI029E100145</t>
        </is>
      </c>
      <c r="E774" s="182" t="inlineStr">
        <is>
          <t>北京京能电力股份有限公司</t>
        </is>
      </c>
      <c r="F774" s="716" t="n"/>
      <c r="G774" s="716" t="n"/>
      <c r="H774" s="462" t="n"/>
    </row>
    <row r="775">
      <c r="A775" s="672" t="inlineStr">
        <is>
          <t>E100950</t>
        </is>
      </c>
      <c r="B775" s="767">
        <f>ROW()</f>
        <v/>
      </c>
      <c r="C775" s="182" t="inlineStr">
        <is>
          <t>内蒙古明华新能源股份有限公司</t>
        </is>
      </c>
      <c r="D775" s="182" t="inlineStr">
        <is>
          <t>ZI029E100735</t>
        </is>
      </c>
      <c r="E775" s="182" t="inlineStr">
        <is>
          <t>内蒙古京能新能源科技有限公司</t>
        </is>
      </c>
      <c r="F775" s="716" t="n"/>
      <c r="G775" s="716" t="n"/>
      <c r="H775" s="462" t="n"/>
    </row>
    <row r="776">
      <c r="A776" s="672" t="inlineStr">
        <is>
          <t>E100950</t>
        </is>
      </c>
      <c r="B776" s="767">
        <f>ROW()</f>
        <v/>
      </c>
      <c r="C776" s="182" t="inlineStr">
        <is>
          <t>内蒙古明华新能源股份有限公司</t>
        </is>
      </c>
      <c r="D776" s="182" t="inlineStr">
        <is>
          <t>ZI029E100730</t>
        </is>
      </c>
      <c r="E776" s="182" t="inlineStr">
        <is>
          <t>京能国际能源发展（北京）有限公司</t>
        </is>
      </c>
      <c r="F776" s="716" t="n"/>
      <c r="G776" s="716" t="n"/>
      <c r="H776" s="462" t="n"/>
    </row>
    <row r="777">
      <c r="A777" s="672" t="inlineStr">
        <is>
          <t>E100183</t>
        </is>
      </c>
      <c r="B777" s="767">
        <f>ROW()</f>
        <v/>
      </c>
      <c r="C777" s="182" t="inlineStr">
        <is>
          <t>内蒙古兴海电力服务有限责任公司</t>
        </is>
      </c>
      <c r="D777" s="182" t="inlineStr">
        <is>
          <t>ZI029E100145</t>
        </is>
      </c>
      <c r="E777" s="182" t="inlineStr">
        <is>
          <t>北京京能电力股份有限公司</t>
        </is>
      </c>
      <c r="F777" s="716" t="n"/>
      <c r="G777" s="716" t="n"/>
      <c r="H777" s="462" t="n"/>
    </row>
    <row r="778">
      <c r="A778" s="672" t="inlineStr">
        <is>
          <t>E100989</t>
        </is>
      </c>
      <c r="B778" s="767">
        <f>ROW()</f>
        <v/>
      </c>
      <c r="C778" s="182" t="inlineStr">
        <is>
          <t>宁波保税区招联绿邦新能源有限公司</t>
        </is>
      </c>
      <c r="D778" s="182" t="inlineStr">
        <is>
          <t>ZI029E100988</t>
        </is>
      </c>
      <c r="E778" s="182" t="inlineStr">
        <is>
          <t>常州市招联绿睿新能源有限公司</t>
        </is>
      </c>
      <c r="F778" s="716" t="n"/>
      <c r="G778" s="716" t="n"/>
      <c r="H778" s="462" t="n"/>
    </row>
    <row r="779">
      <c r="A779" s="672" t="inlineStr">
        <is>
          <t>E100786</t>
        </is>
      </c>
      <c r="B779" s="767">
        <f>ROW()</f>
        <v/>
      </c>
      <c r="C779" s="182" t="inlineStr">
        <is>
          <t>宁夏博阳新能源有限公司</t>
        </is>
      </c>
      <c r="D779" s="182" t="inlineStr">
        <is>
          <t>ZI029E100001</t>
        </is>
      </c>
      <c r="E779" s="182" t="inlineStr">
        <is>
          <t>北京京能清洁能源电力股份有限公司</t>
        </is>
      </c>
      <c r="F779" s="716" t="n"/>
      <c r="G779" s="716" t="n"/>
      <c r="H779" s="462" t="n"/>
    </row>
    <row r="780">
      <c r="A780" s="672" t="inlineStr">
        <is>
          <t>E100092</t>
        </is>
      </c>
      <c r="B780" s="767">
        <f>ROW()</f>
        <v/>
      </c>
      <c r="C780" s="182" t="inlineStr">
        <is>
          <t>宁夏海原京能新能源有限公司</t>
        </is>
      </c>
      <c r="D780" s="182" t="inlineStr">
        <is>
          <t>ZI029E100001</t>
        </is>
      </c>
      <c r="E780" s="182" t="inlineStr">
        <is>
          <t>北京京能清洁能源电力股份有限公司</t>
        </is>
      </c>
      <c r="F780" s="716" t="n"/>
      <c r="G780" s="716" t="n"/>
      <c r="H780" s="462" t="n"/>
    </row>
    <row r="781">
      <c r="A781" s="672" t="inlineStr">
        <is>
          <t>E100091</t>
        </is>
      </c>
      <c r="B781" s="767">
        <f>ROW()</f>
        <v/>
      </c>
      <c r="C781" s="182" t="inlineStr">
        <is>
          <t>宁夏贺兰京能新能源有限公司</t>
        </is>
      </c>
      <c r="D781" s="182" t="inlineStr">
        <is>
          <t>ZI029E100001</t>
        </is>
      </c>
      <c r="E781" s="182" t="inlineStr">
        <is>
          <t>北京京能清洁能源电力股份有限公司</t>
        </is>
      </c>
      <c r="F781" s="716" t="n"/>
      <c r="G781" s="716" t="n"/>
      <c r="H781" s="462" t="n"/>
    </row>
    <row r="782">
      <c r="A782" s="672" t="inlineStr">
        <is>
          <t>E100205</t>
        </is>
      </c>
      <c r="B782" s="767">
        <f>ROW()</f>
        <v/>
      </c>
      <c r="C782" s="182" t="inlineStr">
        <is>
          <t>宁夏红墩子煤业有限公司</t>
        </is>
      </c>
      <c r="D782" s="182" t="inlineStr">
        <is>
          <t>ZI029E100201</t>
        </is>
      </c>
      <c r="E782" s="182" t="inlineStr">
        <is>
          <t>北京昊华能源股份有限公司</t>
        </is>
      </c>
      <c r="F782" s="716" t="n"/>
      <c r="G782" s="716" t="n"/>
      <c r="H782" s="462" t="n"/>
    </row>
    <row r="783">
      <c r="A783" s="672" t="inlineStr">
        <is>
          <t>E100376</t>
        </is>
      </c>
      <c r="B783" s="767">
        <f>ROW()</f>
        <v/>
      </c>
      <c r="C783" s="182" t="inlineStr">
        <is>
          <t>宁夏红寺堡京能源深光伏发展有限公司</t>
        </is>
      </c>
      <c r="D783" s="182" t="inlineStr">
        <is>
          <t>ZI029E100371</t>
        </is>
      </c>
      <c r="E783" s="182" t="inlineStr">
        <is>
          <t>北京京能科技有限公司</t>
        </is>
      </c>
      <c r="F783" s="716" t="n"/>
      <c r="G783" s="716" t="n"/>
      <c r="H783" s="462" t="n"/>
    </row>
    <row r="784">
      <c r="A784" s="672" t="inlineStr">
        <is>
          <t>E100306</t>
        </is>
      </c>
      <c r="B784" s="767">
        <f>ROW()</f>
        <v/>
      </c>
      <c r="C784" s="182" t="inlineStr">
        <is>
          <t>宁夏京能创业房地产开发有限公司</t>
        </is>
      </c>
      <c r="D784" s="182" t="inlineStr">
        <is>
          <t>ZI029E100268</t>
        </is>
      </c>
      <c r="E784" s="182" t="inlineStr">
        <is>
          <t>北京京煤集团有限责任公司</t>
        </is>
      </c>
      <c r="F784" s="716" t="n"/>
      <c r="G784" s="716" t="n"/>
      <c r="H784" s="462" t="n"/>
    </row>
    <row r="785">
      <c r="A785" s="672" t="inlineStr">
        <is>
          <t>E100432</t>
        </is>
      </c>
      <c r="B785" s="767">
        <f>ROW()</f>
        <v/>
      </c>
      <c r="C785" s="182" t="inlineStr">
        <is>
          <t>宁夏京能房地产开发有限公司</t>
        </is>
      </c>
      <c r="D785" s="182" t="inlineStr">
        <is>
          <t>ZI029E100420</t>
        </is>
      </c>
      <c r="E785" s="182" t="inlineStr">
        <is>
          <t>京能置业股份有限公司</t>
        </is>
      </c>
      <c r="F785" s="716" t="n"/>
      <c r="G785" s="716" t="n"/>
      <c r="H785" s="462" t="n"/>
    </row>
    <row r="786">
      <c r="A786" s="672" t="inlineStr">
        <is>
          <t>E100432</t>
        </is>
      </c>
      <c r="B786" s="767">
        <f>ROW()</f>
        <v/>
      </c>
      <c r="C786" s="182" t="inlineStr">
        <is>
          <t>宁夏京能房地产开发有限公司</t>
        </is>
      </c>
      <c r="D786" s="182" t="inlineStr">
        <is>
          <t>ZI029E100000</t>
        </is>
      </c>
      <c r="E786" s="182" t="inlineStr">
        <is>
          <t>北京能源集团有限责任公司</t>
        </is>
      </c>
      <c r="F786" s="716" t="n"/>
      <c r="G786" s="716" t="n"/>
      <c r="H786" s="462" t="n"/>
    </row>
    <row r="787">
      <c r="A787" s="672" t="inlineStr">
        <is>
          <t>E100088</t>
        </is>
      </c>
      <c r="B787" s="767">
        <f>ROW()</f>
        <v/>
      </c>
      <c r="C787" s="182" t="inlineStr">
        <is>
          <t>宁夏京能灵武风电有限公司</t>
        </is>
      </c>
      <c r="D787" s="182" t="inlineStr">
        <is>
          <t>ZI029E100001</t>
        </is>
      </c>
      <c r="E787" s="182" t="inlineStr">
        <is>
          <t>北京京能清洁能源电力股份有限公司</t>
        </is>
      </c>
      <c r="F787" s="716" t="n"/>
      <c r="G787" s="716" t="n"/>
      <c r="H787" s="462" t="n"/>
    </row>
    <row r="788">
      <c r="A788" s="672" t="inlineStr">
        <is>
          <t>E100152</t>
        </is>
      </c>
      <c r="B788" s="767">
        <f>ROW()</f>
        <v/>
      </c>
      <c r="C788" s="182" t="inlineStr">
        <is>
          <t>宁夏京能宁东发电有限责任公司</t>
        </is>
      </c>
      <c r="D788" s="182" t="inlineStr">
        <is>
          <t>ZI029E100145</t>
        </is>
      </c>
      <c r="E788" s="182" t="inlineStr">
        <is>
          <t>北京京能电力股份有限公司</t>
        </is>
      </c>
      <c r="F788" s="716" t="n"/>
      <c r="G788" s="716" t="n"/>
      <c r="H788" s="462" t="n"/>
    </row>
    <row r="789">
      <c r="A789" s="672" t="inlineStr">
        <is>
          <t>E100819</t>
        </is>
      </c>
      <c r="B789" s="767">
        <f>ROW()</f>
        <v/>
      </c>
      <c r="C789" s="182" t="inlineStr">
        <is>
          <t>宁夏京能宁东新能源有限公司</t>
        </is>
      </c>
      <c r="D789" s="182" t="inlineStr">
        <is>
          <t>ZI029E100145</t>
        </is>
      </c>
      <c r="E789" s="182" t="inlineStr">
        <is>
          <t>北京京能电力股份有限公司</t>
        </is>
      </c>
      <c r="F789" s="716" t="n"/>
      <c r="G789" s="716" t="n"/>
      <c r="H789" s="462" t="n"/>
    </row>
    <row r="790">
      <c r="A790" s="672" t="inlineStr">
        <is>
          <t>E100087</t>
        </is>
      </c>
      <c r="B790" s="767">
        <f>ROW()</f>
        <v/>
      </c>
      <c r="C790" s="182" t="inlineStr">
        <is>
          <t>宁夏京能新能源有限公司</t>
        </is>
      </c>
      <c r="D790" s="182" t="inlineStr">
        <is>
          <t>ZI029E100001</t>
        </is>
      </c>
      <c r="E790" s="182" t="inlineStr">
        <is>
          <t>北京京能清洁能源电力股份有限公司</t>
        </is>
      </c>
      <c r="F790" s="716" t="n"/>
      <c r="G790" s="716" t="n"/>
      <c r="H790" s="462" t="n"/>
    </row>
    <row r="791">
      <c r="A791" s="672" t="inlineStr">
        <is>
          <t>E100089</t>
        </is>
      </c>
      <c r="B791" s="767">
        <f>ROW()</f>
        <v/>
      </c>
      <c r="C791" s="182" t="inlineStr">
        <is>
          <t>宁夏京能中卫新能源有限公司</t>
        </is>
      </c>
      <c r="D791" s="182" t="inlineStr">
        <is>
          <t>ZI029E100001</t>
        </is>
      </c>
      <c r="E791" s="182" t="inlineStr">
        <is>
          <t>北京京能清洁能源电力股份有限公司</t>
        </is>
      </c>
      <c r="F791" s="716" t="n"/>
      <c r="G791" s="716" t="n"/>
      <c r="H791" s="462" t="n"/>
    </row>
    <row r="792">
      <c r="A792" s="672" t="inlineStr">
        <is>
          <t>E100785</t>
        </is>
      </c>
      <c r="B792" s="767">
        <f>ROW()</f>
        <v/>
      </c>
      <c r="C792" s="182" t="inlineStr">
        <is>
          <t>宁夏恺阳新能源有限公司</t>
        </is>
      </c>
      <c r="D792" s="182" t="inlineStr">
        <is>
          <t>ZI029E100001</t>
        </is>
      </c>
      <c r="E792" s="182" t="inlineStr">
        <is>
          <t>北京京能清洁能源电力股份有限公司</t>
        </is>
      </c>
      <c r="F792" s="716" t="n"/>
      <c r="G792" s="716" t="n"/>
      <c r="H792" s="462" t="n"/>
    </row>
    <row r="793">
      <c r="A793" s="672" t="inlineStr">
        <is>
          <t>E100570</t>
        </is>
      </c>
      <c r="B793" s="767">
        <f>ROW()</f>
        <v/>
      </c>
      <c r="C793" s="182" t="inlineStr">
        <is>
          <t>宁夏杉阳新能源有限公司</t>
        </is>
      </c>
      <c r="D793" s="182" t="inlineStr">
        <is>
          <t>ZI029E100001</t>
        </is>
      </c>
      <c r="E793" s="182" t="inlineStr">
        <is>
          <t>北京京能清洁能源电力股份有限公司</t>
        </is>
      </c>
      <c r="F793" s="716" t="n"/>
      <c r="G793" s="716" t="n"/>
      <c r="H793" s="462" t="n"/>
    </row>
    <row r="794">
      <c r="A794" s="672" t="inlineStr">
        <is>
          <t>E100176</t>
        </is>
      </c>
      <c r="B794" s="767">
        <f>ROW()</f>
        <v/>
      </c>
      <c r="C794" s="182" t="inlineStr">
        <is>
          <t>宁夏太阳山京智综合能源（售电）有限公司</t>
        </is>
      </c>
      <c r="D794" s="182" t="inlineStr">
        <is>
          <t>ZI029E100145</t>
        </is>
      </c>
      <c r="E794" s="182" t="inlineStr">
        <is>
          <t>北京京能电力股份有限公司</t>
        </is>
      </c>
      <c r="F794" s="716" t="n"/>
      <c r="G794" s="716" t="n"/>
      <c r="H794" s="462" t="n"/>
    </row>
    <row r="795">
      <c r="A795" s="672" t="inlineStr">
        <is>
          <t>E100547</t>
        </is>
      </c>
      <c r="B795" s="767">
        <f>ROW()</f>
        <v/>
      </c>
      <c r="C795" s="182" t="inlineStr">
        <is>
          <t>宁夏同心大地日盛新能源有限公司</t>
        </is>
      </c>
      <c r="D795" s="182" t="inlineStr">
        <is>
          <t>ZI029E100001</t>
        </is>
      </c>
      <c r="E795" s="182" t="inlineStr">
        <is>
          <t>北京京能清洁能源电力股份有限公司</t>
        </is>
      </c>
      <c r="F795" s="716" t="n"/>
      <c r="G795" s="716" t="n"/>
      <c r="H795" s="462" t="n"/>
    </row>
    <row r="796">
      <c r="A796" s="672" t="inlineStr">
        <is>
          <t>E100855</t>
        </is>
      </c>
      <c r="B796" s="767">
        <f>ROW()</f>
        <v/>
      </c>
      <c r="C796" s="182" t="inlineStr">
        <is>
          <t>宁夏盐池凯能光伏发电有限公司</t>
        </is>
      </c>
      <c r="D796" s="182" t="inlineStr">
        <is>
          <t>ZI029E100730</t>
        </is>
      </c>
      <c r="E796" s="182" t="inlineStr">
        <is>
          <t>京能国际能源发展（北京）有限公司</t>
        </is>
      </c>
      <c r="F796" s="716" t="n"/>
      <c r="G796" s="716" t="n"/>
      <c r="H796" s="462" t="n"/>
    </row>
    <row r="797">
      <c r="A797" s="672" t="inlineStr">
        <is>
          <t>E100090</t>
        </is>
      </c>
      <c r="B797" s="767">
        <f>ROW()</f>
        <v/>
      </c>
      <c r="C797" s="182" t="inlineStr">
        <is>
          <t>宁夏中宁县京能新能源有限公司</t>
        </is>
      </c>
      <c r="D797" s="182" t="inlineStr">
        <is>
          <t>ZI029E100001</t>
        </is>
      </c>
      <c r="E797" s="182" t="inlineStr">
        <is>
          <t>北京京能清洁能源电力股份有限公司</t>
        </is>
      </c>
      <c r="F797" s="716" t="n"/>
      <c r="G797" s="716" t="n"/>
      <c r="H797" s="462" t="n"/>
    </row>
    <row r="798">
      <c r="A798" s="672" t="inlineStr">
        <is>
          <t>E100736</t>
        </is>
      </c>
      <c r="B798" s="767">
        <f>ROW()</f>
        <v/>
      </c>
      <c r="C798" s="182" t="inlineStr">
        <is>
          <t>宁夏中自太阳能光伏发电有限公司</t>
        </is>
      </c>
      <c r="D798" s="182" t="inlineStr">
        <is>
          <t>ZI029E100864</t>
        </is>
      </c>
      <c r="E798" s="182" t="inlineStr">
        <is>
          <t>西藏中自新能源技术有限公司</t>
        </is>
      </c>
      <c r="F798" s="716" t="n"/>
      <c r="G798" s="716" t="n"/>
      <c r="H798" s="462" t="n"/>
    </row>
    <row r="799">
      <c r="A799" s="672" t="inlineStr">
        <is>
          <t>E100893</t>
        </is>
      </c>
      <c r="B799" s="767">
        <f>ROW()</f>
        <v/>
      </c>
      <c r="C799" s="182" t="inlineStr">
        <is>
          <t>纽莱（威海）新能源有限公司</t>
        </is>
      </c>
      <c r="D799" s="182" t="inlineStr">
        <is>
          <t>ZI029E100883</t>
        </is>
      </c>
      <c r="E799" s="182" t="inlineStr">
        <is>
          <t>Beijing Energy International Investment Limited</t>
        </is>
      </c>
      <c r="F799" s="716" t="n"/>
      <c r="G799" s="716" t="n"/>
      <c r="H799" s="462" t="n"/>
    </row>
    <row r="800">
      <c r="A800" s="672" t="inlineStr">
        <is>
          <t>E100927</t>
        </is>
      </c>
      <c r="B800" s="767">
        <f>ROW()</f>
        <v/>
      </c>
      <c r="C800" s="182" t="inlineStr">
        <is>
          <t>偏关县斯能风电有限公司</t>
        </is>
      </c>
      <c r="D800" s="182" t="inlineStr">
        <is>
          <t>ZI029E100730</t>
        </is>
      </c>
      <c r="E800" s="182" t="inlineStr">
        <is>
          <t>京能国际能源发展（北京）有限公司</t>
        </is>
      </c>
      <c r="F800" s="716" t="n"/>
      <c r="G800" s="716" t="n"/>
      <c r="H800" s="462" t="n"/>
    </row>
    <row r="801">
      <c r="A801" s="672" t="inlineStr">
        <is>
          <t>E100784</t>
        </is>
      </c>
      <c r="B801" s="767">
        <f>ROW()</f>
        <v/>
      </c>
      <c r="C801" s="182" t="inlineStr">
        <is>
          <t>平罗县旭清新能源有限公司</t>
        </is>
      </c>
      <c r="D801" s="182" t="inlineStr">
        <is>
          <t>ZI029E100001</t>
        </is>
      </c>
      <c r="E801" s="182" t="inlineStr">
        <is>
          <t>北京京能清洁能源电力股份有限公司</t>
        </is>
      </c>
      <c r="F801" s="716" t="n"/>
      <c r="G801" s="716" t="n"/>
      <c r="H801" s="462" t="n"/>
    </row>
    <row r="802">
      <c r="A802" s="672" t="inlineStr">
        <is>
          <t>E100925</t>
        </is>
      </c>
      <c r="B802" s="767">
        <f>ROW()</f>
        <v/>
      </c>
      <c r="C802" s="182" t="inlineStr">
        <is>
          <t>平山县天汇能源科技有限公司</t>
        </is>
      </c>
      <c r="D802" s="182" t="inlineStr">
        <is>
          <t>ZI029E100730</t>
        </is>
      </c>
      <c r="E802" s="182" t="inlineStr">
        <is>
          <t>京能国际能源发展（北京）有限公司</t>
        </is>
      </c>
      <c r="F802" s="716" t="n"/>
      <c r="G802" s="716" t="n"/>
      <c r="H802" s="462" t="n"/>
    </row>
    <row r="803">
      <c r="A803" s="672" t="inlineStr">
        <is>
          <t>E101059</t>
        </is>
      </c>
      <c r="B803" s="767">
        <f>ROW()</f>
        <v/>
      </c>
      <c r="C803" s="182" t="inlineStr">
        <is>
          <t>迁西富龙热力有限责任公司</t>
        </is>
      </c>
      <c r="D803" s="182" t="inlineStr">
        <is>
          <t>ZI029E101056</t>
        </is>
      </c>
      <c r="E803" s="182" t="inlineStr">
        <is>
          <t>北京华意龙达科技发展有限公司</t>
        </is>
      </c>
      <c r="F803" s="716" t="n"/>
      <c r="G803" s="716" t="n"/>
      <c r="H803" s="462" t="n"/>
    </row>
    <row r="804">
      <c r="A804" s="672" t="inlineStr">
        <is>
          <t>E101060</t>
        </is>
      </c>
      <c r="B804" s="767">
        <f>ROW()</f>
        <v/>
      </c>
      <c r="C804" s="182" t="inlineStr">
        <is>
          <t>迁西和然节能科技有限责任公司</t>
        </is>
      </c>
      <c r="D804" s="182" t="inlineStr">
        <is>
          <t>ZI029E101056</t>
        </is>
      </c>
      <c r="E804" s="182" t="inlineStr">
        <is>
          <t>北京华意龙达科技发展有限公司</t>
        </is>
      </c>
      <c r="F804" s="716" t="n"/>
      <c r="G804" s="716" t="n"/>
      <c r="H804" s="462" t="n"/>
    </row>
    <row r="805">
      <c r="A805" s="672" t="inlineStr">
        <is>
          <t>E100800</t>
        </is>
      </c>
      <c r="B805" s="767">
        <f>ROW()</f>
        <v/>
      </c>
      <c r="C805" s="182" t="inlineStr">
        <is>
          <t>钦州京能清洁能源有限公司</t>
        </is>
      </c>
      <c r="D805" s="182" t="inlineStr">
        <is>
          <t>ZI029E100001</t>
        </is>
      </c>
      <c r="E805" s="182" t="inlineStr">
        <is>
          <t>北京京能清洁能源电力股份有限公司</t>
        </is>
      </c>
      <c r="F805" s="716" t="n"/>
      <c r="G805" s="716" t="n"/>
      <c r="H805" s="462" t="n"/>
    </row>
    <row r="806">
      <c r="A806" s="672" t="inlineStr">
        <is>
          <t>E100177</t>
        </is>
      </c>
      <c r="B806" s="767">
        <f>ROW()</f>
        <v/>
      </c>
      <c r="C806" s="182" t="inlineStr">
        <is>
          <t>青岛京能智汇综合能源有限公司</t>
        </is>
      </c>
      <c r="D806" s="182" t="inlineStr">
        <is>
          <t>ZI029E100145</t>
        </is>
      </c>
      <c r="E806" s="182" t="inlineStr">
        <is>
          <t>北京京能电力股份有限公司</t>
        </is>
      </c>
      <c r="F806" s="716" t="n"/>
      <c r="G806" s="716" t="n"/>
      <c r="H806" s="462" t="n"/>
    </row>
    <row r="807">
      <c r="A807" s="672" t="inlineStr">
        <is>
          <t>E100932</t>
        </is>
      </c>
      <c r="B807" s="767">
        <f>ROW()</f>
        <v/>
      </c>
      <c r="C807" s="182" t="inlineStr">
        <is>
          <t>青海思迅新能源有限公司</t>
        </is>
      </c>
      <c r="D807" s="182" t="inlineStr">
        <is>
          <t>ZI029E100730</t>
        </is>
      </c>
      <c r="E807" s="182" t="inlineStr">
        <is>
          <t>京能国际能源发展（北京）有限公司</t>
        </is>
      </c>
      <c r="F807" s="716" t="n"/>
      <c r="G807" s="716" t="n"/>
      <c r="H807" s="462" t="n"/>
    </row>
    <row r="808">
      <c r="A808" s="672" t="inlineStr">
        <is>
          <t>E100953</t>
        </is>
      </c>
      <c r="B808" s="767">
        <f>ROW()</f>
        <v/>
      </c>
      <c r="C808" s="182" t="inlineStr">
        <is>
          <t>清水河县惠民光伏发电有限公司</t>
        </is>
      </c>
      <c r="D808" s="182" t="inlineStr">
        <is>
          <t>ZI029E100952</t>
        </is>
      </c>
      <c r="E808" s="182" t="inlineStr">
        <is>
          <t>呼和浩特市联合新能源开发有限公司</t>
        </is>
      </c>
      <c r="F808" s="716" t="n"/>
      <c r="G808" s="716" t="n"/>
      <c r="H808" s="462" t="n"/>
    </row>
    <row r="809">
      <c r="A809" s="672" t="inlineStr">
        <is>
          <t>E100971</t>
        </is>
      </c>
      <c r="B809" s="767">
        <f>ROW()</f>
        <v/>
      </c>
      <c r="C809" s="182" t="inlineStr">
        <is>
          <t>曲水茂昌光伏产业发展有限公司</t>
        </is>
      </c>
      <c r="D809" s="182" t="inlineStr">
        <is>
          <t>ZI029E100864</t>
        </is>
      </c>
      <c r="E809" s="182" t="inlineStr">
        <is>
          <t>西藏中自新能源技术有限公司</t>
        </is>
      </c>
      <c r="F809" s="716" t="n"/>
      <c r="G809" s="716" t="n"/>
      <c r="H809" s="462" t="n"/>
    </row>
    <row r="810">
      <c r="A810" s="672" t="inlineStr">
        <is>
          <t>E100027</t>
        </is>
      </c>
      <c r="B810" s="767">
        <f>ROW()</f>
        <v/>
      </c>
      <c r="C810" s="182" t="inlineStr">
        <is>
          <t>润峰格尔木电力有限公司</t>
        </is>
      </c>
      <c r="D810" s="182" t="inlineStr">
        <is>
          <t>ZI029E100001</t>
        </is>
      </c>
      <c r="E810" s="182" t="inlineStr">
        <is>
          <t>北京京能清洁能源电力股份有限公司</t>
        </is>
      </c>
      <c r="F810" s="716" t="n"/>
      <c r="G810" s="716" t="n"/>
      <c r="H810" s="462" t="n"/>
    </row>
    <row r="811">
      <c r="A811" s="672" t="inlineStr">
        <is>
          <t>E100252</t>
        </is>
      </c>
      <c r="B811" s="767">
        <f>ROW()</f>
        <v/>
      </c>
      <c r="C811" s="182" t="inlineStr">
        <is>
          <t>三河新源供热有限公司</t>
        </is>
      </c>
      <c r="D811" s="182" t="inlineStr">
        <is>
          <t>ZI029E100259</t>
        </is>
      </c>
      <c r="E811" s="182" t="inlineStr">
        <is>
          <t>北京京能热力发展有限公司</t>
        </is>
      </c>
      <c r="F811" s="716" t="n"/>
      <c r="G811" s="716" t="n"/>
      <c r="H811" s="462" t="n"/>
    </row>
    <row r="812">
      <c r="A812" s="672" t="inlineStr">
        <is>
          <t>E100252G</t>
        </is>
      </c>
      <c r="B812" s="767">
        <f>ROW()</f>
        <v/>
      </c>
      <c r="C812" s="182" t="inlineStr">
        <is>
          <t>三河新源供热有限公司（合并）</t>
        </is>
      </c>
      <c r="D812" s="182" t="inlineStr">
        <is>
          <t>ZI029E100259</t>
        </is>
      </c>
      <c r="E812" s="182" t="inlineStr">
        <is>
          <t>北京京能热力发展有限公司</t>
        </is>
      </c>
      <c r="F812" s="716" t="n"/>
      <c r="G812" s="716" t="n"/>
      <c r="H812" s="462" t="n"/>
    </row>
    <row r="813">
      <c r="A813" s="672" t="inlineStr">
        <is>
          <t>E100252H</t>
        </is>
      </c>
      <c r="B813" s="767">
        <f>ROW()</f>
        <v/>
      </c>
      <c r="C813" s="182" t="inlineStr">
        <is>
          <t>三河新源供热有限公司（母公司）</t>
        </is>
      </c>
      <c r="D813" s="182" t="inlineStr">
        <is>
          <t>ZI029E100259</t>
        </is>
      </c>
      <c r="E813" s="182" t="inlineStr">
        <is>
          <t>北京京能热力发展有限公司</t>
        </is>
      </c>
      <c r="F813" s="716" t="n"/>
      <c r="G813" s="716" t="n"/>
      <c r="H813" s="462" t="n"/>
    </row>
    <row r="814">
      <c r="A814" s="672" t="inlineStr">
        <is>
          <t>E100780</t>
        </is>
      </c>
      <c r="B814" s="767">
        <f>ROW()</f>
        <v/>
      </c>
      <c r="C814" s="182" t="inlineStr">
        <is>
          <t>三明京能清洁能源电力有限公司</t>
        </is>
      </c>
      <c r="D814" s="182" t="inlineStr">
        <is>
          <t>ZI029E100001</t>
        </is>
      </c>
      <c r="E814" s="182" t="inlineStr">
        <is>
          <t>北京京能清洁能源电力股份有限公司</t>
        </is>
      </c>
      <c r="F814" s="716" t="n"/>
      <c r="G814" s="716" t="n"/>
      <c r="H814" s="462" t="n"/>
    </row>
    <row r="815">
      <c r="A815" s="672" t="inlineStr">
        <is>
          <t>E100947</t>
        </is>
      </c>
      <c r="B815" s="767">
        <f>ROW()</f>
        <v/>
      </c>
      <c r="C815" s="182" t="inlineStr">
        <is>
          <t>山东新泰楼德佳阳光伏发电有限公司</t>
        </is>
      </c>
      <c r="D815" s="182" t="inlineStr">
        <is>
          <t>ZI029E100730</t>
        </is>
      </c>
      <c r="E815" s="182" t="inlineStr">
        <is>
          <t>京能国际能源发展（北京）有限公司</t>
        </is>
      </c>
      <c r="F815" s="716" t="n"/>
      <c r="G815" s="716" t="n"/>
      <c r="H815" s="462" t="n"/>
    </row>
    <row r="816">
      <c r="A816" s="672" t="inlineStr">
        <is>
          <t>E100831</t>
        </is>
      </c>
      <c r="B816" s="767">
        <f>ROW()</f>
        <v/>
      </c>
      <c r="C816" s="182" t="inlineStr">
        <is>
          <t>山西京潞新能源有限公司</t>
        </is>
      </c>
      <c r="D816" s="182" t="inlineStr">
        <is>
          <t>ZI029E100151</t>
        </is>
      </c>
      <c r="E816" s="182" t="inlineStr">
        <is>
          <t>山西漳山发电有限责任公司</t>
        </is>
      </c>
      <c r="F816" s="716" t="n"/>
      <c r="G816" s="716" t="n"/>
      <c r="H816" s="462" t="n"/>
    </row>
    <row r="817">
      <c r="A817" s="672" t="inlineStr">
        <is>
          <t>E100172</t>
        </is>
      </c>
      <c r="B817" s="767">
        <f>ROW()</f>
        <v/>
      </c>
      <c r="C817" s="182" t="inlineStr">
        <is>
          <t>山西京能吕临发电有限公司</t>
        </is>
      </c>
      <c r="D817" s="182" t="inlineStr">
        <is>
          <t>ZI029E100145</t>
        </is>
      </c>
      <c r="E817" s="182" t="inlineStr">
        <is>
          <t>北京京能电力股份有限公司</t>
        </is>
      </c>
      <c r="F817" s="716" t="n"/>
      <c r="G817" s="716" t="n"/>
      <c r="H817" s="462" t="n"/>
    </row>
    <row r="818">
      <c r="A818" s="672" t="inlineStr">
        <is>
          <t>E100179</t>
        </is>
      </c>
      <c r="B818" s="767">
        <f>ROW()</f>
        <v/>
      </c>
      <c r="C818" s="182" t="inlineStr">
        <is>
          <t>山西京能售电有限责任公司</t>
        </is>
      </c>
      <c r="D818" s="182" t="inlineStr">
        <is>
          <t>ZI029E100145</t>
        </is>
      </c>
      <c r="E818" s="182" t="inlineStr">
        <is>
          <t>北京京能电力股份有限公司</t>
        </is>
      </c>
      <c r="F818" s="716" t="n"/>
      <c r="G818" s="716" t="n"/>
      <c r="H818" s="462" t="n"/>
    </row>
    <row r="819">
      <c r="A819" s="672" t="inlineStr">
        <is>
          <t>E100164</t>
        </is>
      </c>
      <c r="B819" s="767">
        <f>ROW()</f>
        <v/>
      </c>
      <c r="C819" s="182" t="inlineStr">
        <is>
          <t>山西京同热电有限公司</t>
        </is>
      </c>
      <c r="D819" s="182" t="inlineStr">
        <is>
          <t>ZI029E100145</t>
        </is>
      </c>
      <c r="E819" s="182" t="inlineStr">
        <is>
          <t>北京京能电力股份有限公司</t>
        </is>
      </c>
      <c r="F819" s="716" t="n"/>
      <c r="G819" s="716" t="n"/>
      <c r="H819" s="462" t="n"/>
    </row>
    <row r="820">
      <c r="A820" s="672" t="inlineStr">
        <is>
          <t>E100162</t>
        </is>
      </c>
      <c r="B820" s="767">
        <f>ROW()</f>
        <v/>
      </c>
      <c r="C820" s="182" t="inlineStr">
        <is>
          <t>山西京玉发电有限责任公司</t>
        </is>
      </c>
      <c r="D820" s="182" t="inlineStr">
        <is>
          <t>ZI029E100145</t>
        </is>
      </c>
      <c r="E820" s="182" t="inlineStr">
        <is>
          <t>北京京能电力股份有限公司</t>
        </is>
      </c>
      <c r="F820" s="716" t="n"/>
      <c r="G820" s="716" t="n"/>
      <c r="H820" s="462" t="n"/>
    </row>
    <row r="821">
      <c r="A821" s="672" t="inlineStr">
        <is>
          <t>E10006861</t>
        </is>
      </c>
      <c r="B821" s="767">
        <f>ROW()</f>
        <v/>
      </c>
      <c r="C821" s="182" t="inlineStr">
        <is>
          <t>山西鑫华源智能立体停车设备制造有限责任公司</t>
        </is>
      </c>
      <c r="D821" s="182" t="inlineStr">
        <is>
          <t>ZI029E100332</t>
        </is>
      </c>
      <c r="E821" s="182" t="inlineStr">
        <is>
          <t>北京鑫华源机械制造有限责任公司</t>
        </is>
      </c>
      <c r="F821" s="716" t="n"/>
      <c r="G821" s="716" t="n"/>
      <c r="H821" s="462" t="n"/>
    </row>
    <row r="822">
      <c r="A822" s="672" t="inlineStr">
        <is>
          <t>E100151</t>
        </is>
      </c>
      <c r="B822" s="767">
        <f>ROW()</f>
        <v/>
      </c>
      <c r="C822" s="182" t="inlineStr">
        <is>
          <t>山西漳山发电有限责任公司</t>
        </is>
      </c>
      <c r="D822" s="182" t="inlineStr">
        <is>
          <t>ZI029E100145</t>
        </is>
      </c>
      <c r="E822" s="182" t="inlineStr">
        <is>
          <t>北京京能电力股份有限公司</t>
        </is>
      </c>
      <c r="F822" s="716" t="n"/>
      <c r="G822" s="716" t="n"/>
      <c r="H822" s="462" t="n"/>
    </row>
    <row r="823">
      <c r="A823" s="672" t="inlineStr">
        <is>
          <t>E100033</t>
        </is>
      </c>
      <c r="B823" s="767">
        <f>ROW()</f>
        <v/>
      </c>
      <c r="C823" s="182" t="inlineStr">
        <is>
          <t>尚义京能新能源有限公司</t>
        </is>
      </c>
      <c r="D823" s="182" t="inlineStr">
        <is>
          <t>ZI029E100001</t>
        </is>
      </c>
      <c r="E823" s="182" t="inlineStr">
        <is>
          <t>北京京能清洁能源电力股份有限公司</t>
        </is>
      </c>
      <c r="F823" s="716" t="n"/>
      <c r="G823" s="716" t="n"/>
      <c r="H823" s="462" t="n"/>
    </row>
    <row r="824">
      <c r="A824" s="672" t="inlineStr">
        <is>
          <t>E100712</t>
        </is>
      </c>
      <c r="B824" s="767">
        <f>ROW()</f>
        <v/>
      </c>
      <c r="C824" s="182" t="inlineStr">
        <is>
          <t>尚义县旭蓝新能源科技有限公司</t>
        </is>
      </c>
      <c r="D824" s="182" t="inlineStr">
        <is>
          <t>ZI029E100711</t>
        </is>
      </c>
      <c r="E824" s="182" t="inlineStr">
        <is>
          <t>鄂托克前旗晟日新能源科技有限公司</t>
        </is>
      </c>
      <c r="F824" s="716" t="n"/>
      <c r="G824" s="716" t="n"/>
      <c r="H824" s="462" t="n"/>
    </row>
    <row r="825">
      <c r="A825" s="672" t="inlineStr">
        <is>
          <t>E100917</t>
        </is>
      </c>
      <c r="B825" s="767">
        <f>ROW()</f>
        <v/>
      </c>
      <c r="C825" s="182" t="inlineStr">
        <is>
          <t>绍兴昱耀新能源科技有限公司</t>
        </is>
      </c>
      <c r="D825" s="182" t="inlineStr">
        <is>
          <t>ZI029E100908</t>
        </is>
      </c>
      <c r="E825" s="182" t="inlineStr">
        <is>
          <t>北京通力日昇新能源科技有限公司</t>
        </is>
      </c>
      <c r="F825" s="716" t="n"/>
      <c r="G825" s="716" t="n"/>
      <c r="H825" s="462" t="n"/>
    </row>
    <row r="826">
      <c r="A826" s="672" t="inlineStr">
        <is>
          <t>E100557</t>
        </is>
      </c>
      <c r="B826" s="767">
        <f>ROW()</f>
        <v/>
      </c>
      <c r="C826" s="182" t="inlineStr">
        <is>
          <t>深圳京能清洁能源融资租赁有限公司</t>
        </is>
      </c>
      <c r="D826" s="182" t="inlineStr">
        <is>
          <t>ZI029E100543</t>
        </is>
      </c>
      <c r="E826" s="182" t="inlineStr">
        <is>
          <t>北京京能清洁能源电力股份（香港）有限公司</t>
        </is>
      </c>
      <c r="F826" s="716" t="n"/>
      <c r="G826" s="716" t="n"/>
      <c r="H826" s="462" t="n"/>
    </row>
    <row r="827">
      <c r="A827" s="672" t="inlineStr">
        <is>
          <t>E100107</t>
        </is>
      </c>
      <c r="B827" s="767">
        <f>ROW()</f>
        <v/>
      </c>
      <c r="C827" s="182" t="inlineStr">
        <is>
          <t>深圳京能融资租赁有限公司</t>
        </is>
      </c>
      <c r="D827" s="182" t="inlineStr">
        <is>
          <t>ZI029E100000</t>
        </is>
      </c>
      <c r="E827" s="182" t="inlineStr">
        <is>
          <t>北京能源集团有限责任公司</t>
        </is>
      </c>
      <c r="F827" s="716" t="n"/>
      <c r="G827" s="716" t="n"/>
      <c r="H827" s="462" t="n"/>
    </row>
    <row r="828">
      <c r="A828" s="672" t="inlineStr">
        <is>
          <t>E100107</t>
        </is>
      </c>
      <c r="B828" s="767">
        <f>ROW()</f>
        <v/>
      </c>
      <c r="C828" s="182" t="inlineStr">
        <is>
          <t>深圳京能融资租赁有限公司</t>
        </is>
      </c>
      <c r="D828" s="182" t="inlineStr">
        <is>
          <t>ZI029E100559</t>
        </is>
      </c>
      <c r="E828" s="182" t="inlineStr">
        <is>
          <t>北京能源投资集团（香港）有限公司</t>
        </is>
      </c>
      <c r="F828" s="716" t="n"/>
      <c r="G828" s="716" t="n"/>
      <c r="H828" s="462" t="n"/>
    </row>
    <row r="829">
      <c r="A829" s="672" t="inlineStr">
        <is>
          <t>E100107</t>
        </is>
      </c>
      <c r="B829" s="767">
        <f>ROW()</f>
        <v/>
      </c>
      <c r="C829" s="182" t="inlineStr">
        <is>
          <t>深圳京能融资租赁有限公司</t>
        </is>
      </c>
      <c r="D829" s="182" t="inlineStr">
        <is>
          <t>ZI029E100001</t>
        </is>
      </c>
      <c r="E829" s="182" t="inlineStr">
        <is>
          <t>北京京能清洁能源电力股份有限公司</t>
        </is>
      </c>
      <c r="F829" s="716" t="n"/>
      <c r="G829" s="716" t="n"/>
      <c r="H829" s="462" t="n"/>
    </row>
    <row r="830">
      <c r="A830" s="672" t="inlineStr">
        <is>
          <t>E101070</t>
        </is>
      </c>
      <c r="B830" s="767">
        <f>ROW()</f>
        <v/>
      </c>
      <c r="C830" s="182" t="inlineStr">
        <is>
          <t>深圳市前海毓华清洁能源投资有限公司</t>
        </is>
      </c>
      <c r="D830" s="182" t="inlineStr">
        <is>
          <t>ZI029E100730</t>
        </is>
      </c>
      <c r="E830" s="182" t="inlineStr">
        <is>
          <t>京能国际能源发展（北京）有限公司</t>
        </is>
      </c>
      <c r="F830" s="716" t="n"/>
      <c r="G830" s="716" t="n"/>
      <c r="H830" s="462" t="n"/>
    </row>
    <row r="831">
      <c r="A831" s="672" t="inlineStr">
        <is>
          <t>E100011</t>
        </is>
      </c>
      <c r="B831" s="767">
        <f>ROW()</f>
        <v/>
      </c>
      <c r="C831" s="182" t="inlineStr">
        <is>
          <t>深圳钰湖电力有限公司</t>
        </is>
      </c>
      <c r="D831" s="182" t="inlineStr">
        <is>
          <t>ZI029E100000</t>
        </is>
      </c>
      <c r="E831" s="182" t="inlineStr">
        <is>
          <t>北京能源集团有限责任公司</t>
        </is>
      </c>
      <c r="F831" s="716" t="n"/>
      <c r="G831" s="716" t="n"/>
      <c r="H831" s="462" t="n"/>
    </row>
    <row r="832">
      <c r="A832" s="672" t="inlineStr">
        <is>
          <t>E100025</t>
        </is>
      </c>
      <c r="B832" s="767">
        <f>ROW()</f>
        <v/>
      </c>
      <c r="C832" s="182" t="inlineStr">
        <is>
          <t>深州电阳新能源有限公司</t>
        </is>
      </c>
      <c r="D832" s="182" t="inlineStr">
        <is>
          <t>ZI029E100001</t>
        </is>
      </c>
      <c r="E832" s="182" t="inlineStr">
        <is>
          <t>北京京能清洁能源电力股份有限公司</t>
        </is>
      </c>
      <c r="F832" s="716" t="n"/>
      <c r="G832" s="716" t="n"/>
      <c r="H832" s="462" t="n"/>
    </row>
    <row r="833">
      <c r="A833" s="672" t="inlineStr">
        <is>
          <t>E100965</t>
        </is>
      </c>
      <c r="B833" s="767">
        <f>ROW()</f>
        <v/>
      </c>
      <c r="C833" s="182" t="inlineStr">
        <is>
          <t>石拐丝绸之路光伏发电有限公司</t>
        </is>
      </c>
      <c r="D833" s="182" t="inlineStr">
        <is>
          <t>ZI029E100963</t>
        </is>
      </c>
      <c r="E833" s="182" t="inlineStr">
        <is>
          <t>丝绸之路新能源（常州）有限公司</t>
        </is>
      </c>
      <c r="F833" s="716" t="n"/>
      <c r="G833" s="716" t="n"/>
      <c r="H833" s="462" t="n"/>
    </row>
    <row r="834">
      <c r="A834" s="672" t="inlineStr">
        <is>
          <t>E100084</t>
        </is>
      </c>
      <c r="B834" s="767">
        <f>ROW()</f>
        <v/>
      </c>
      <c r="C834" s="182" t="inlineStr">
        <is>
          <t>寿阳京寿光伏发电有限公司</t>
        </is>
      </c>
      <c r="D834" s="182" t="inlineStr">
        <is>
          <t>ZI029E100001</t>
        </is>
      </c>
      <c r="E834" s="182" t="inlineStr">
        <is>
          <t>北京京能清洁能源电力股份有限公司</t>
        </is>
      </c>
      <c r="F834" s="716" t="n"/>
      <c r="G834" s="716" t="n"/>
      <c r="H834" s="462" t="n"/>
    </row>
    <row r="835">
      <c r="A835" s="672" t="inlineStr">
        <is>
          <t>E100084</t>
        </is>
      </c>
      <c r="B835" s="767">
        <f>ROW()</f>
        <v/>
      </c>
      <c r="C835" s="182" t="inlineStr">
        <is>
          <t>寿阳京寿光伏发电有限公司</t>
        </is>
      </c>
      <c r="D835" s="182" t="inlineStr">
        <is>
          <t>ZI029E101160</t>
        </is>
      </c>
      <c r="E835" s="182" t="inlineStr">
        <is>
          <t>横峰县晶能电力有限公司</t>
        </is>
      </c>
      <c r="F835" s="716" t="n"/>
      <c r="G835" s="716" t="n"/>
      <c r="H835" s="462" t="n"/>
    </row>
    <row r="836">
      <c r="A836" s="672" t="inlineStr">
        <is>
          <t>E101064</t>
        </is>
      </c>
      <c r="B836" s="767">
        <f>ROW()</f>
        <v/>
      </c>
      <c r="C836" s="182" t="inlineStr">
        <is>
          <t>朔州市平鲁区红沟风电有限公司</t>
        </is>
      </c>
      <c r="D836" s="182" t="inlineStr">
        <is>
          <t>ZI029E100730</t>
        </is>
      </c>
      <c r="E836" s="182" t="inlineStr">
        <is>
          <t>京能国际能源发展（北京）有限公司</t>
        </is>
      </c>
      <c r="F836" s="716" t="n"/>
      <c r="G836" s="716" t="n"/>
      <c r="H836" s="462" t="n"/>
    </row>
    <row r="837">
      <c r="A837" s="716" t="inlineStr">
        <is>
          <t>E101064</t>
        </is>
      </c>
      <c r="B837" s="767">
        <f>ROW()</f>
        <v/>
      </c>
      <c r="C837" s="182" t="inlineStr">
        <is>
          <t>朔州市平鲁区红沟风电有限公司</t>
        </is>
      </c>
      <c r="D837" s="182" t="inlineStr">
        <is>
          <t>ZI029E101336</t>
        </is>
      </c>
      <c r="E837" s="182" t="inlineStr">
        <is>
          <t>盛唐贰号（天津）企业管理合伙企业（有限合伙）</t>
        </is>
      </c>
      <c r="F837" s="716" t="n"/>
      <c r="G837" s="716" t="n"/>
      <c r="H837" s="462" t="n"/>
    </row>
    <row r="838">
      <c r="A838" s="672" t="inlineStr">
        <is>
          <t>E100963</t>
        </is>
      </c>
      <c r="B838" s="767">
        <f>ROW()</f>
        <v/>
      </c>
      <c r="C838" s="182" t="inlineStr">
        <is>
          <t>丝绸之路新能源（常州）有限公司</t>
        </is>
      </c>
      <c r="D838" s="182" t="inlineStr">
        <is>
          <t>ZI029E100734</t>
        </is>
      </c>
      <c r="E838" s="182" t="inlineStr">
        <is>
          <t>联合光伏（常州）投资集团有限公司</t>
        </is>
      </c>
      <c r="F838" s="716" t="n"/>
      <c r="G838" s="716" t="n"/>
      <c r="H838" s="462" t="n"/>
    </row>
    <row r="839">
      <c r="A839" s="672" t="inlineStr">
        <is>
          <t>E101016</t>
        </is>
      </c>
      <c r="B839" s="767">
        <f>ROW()</f>
        <v/>
      </c>
      <c r="C839" s="182" t="inlineStr">
        <is>
          <t>丝绸之路招商新能源（常州）有限公司</t>
        </is>
      </c>
      <c r="D839" s="182" t="inlineStr">
        <is>
          <t>ZI029E101015</t>
        </is>
      </c>
      <c r="E839" s="182" t="inlineStr">
        <is>
          <t>New Light Assets Limited</t>
        </is>
      </c>
      <c r="F839" s="716" t="n"/>
      <c r="G839" s="716" t="n"/>
      <c r="H839" s="462" t="n"/>
    </row>
    <row r="840">
      <c r="A840" s="672" t="inlineStr">
        <is>
          <t>E100096</t>
        </is>
      </c>
      <c r="B840" s="767">
        <f>ROW()</f>
        <v/>
      </c>
      <c r="C840" s="182" t="inlineStr">
        <is>
          <t>四川大川电力有限公司</t>
        </is>
      </c>
      <c r="D840" s="182" t="inlineStr">
        <is>
          <t>ZI029E100001</t>
        </is>
      </c>
      <c r="E840" s="182" t="inlineStr">
        <is>
          <t>北京京能清洁能源电力股份有限公司</t>
        </is>
      </c>
      <c r="F840" s="716" t="n"/>
      <c r="G840" s="716" t="n"/>
      <c r="H840" s="462" t="n"/>
    </row>
    <row r="841">
      <c r="A841" s="672" t="inlineStr">
        <is>
          <t>E100737</t>
        </is>
      </c>
      <c r="B841" s="767">
        <f>ROW()</f>
        <v/>
      </c>
      <c r="C841" s="182" t="inlineStr">
        <is>
          <t>四川联合光伏有限公司</t>
        </is>
      </c>
      <c r="D841" s="182" t="inlineStr">
        <is>
          <t>ZI029E100963</t>
        </is>
      </c>
      <c r="E841" s="182" t="inlineStr">
        <is>
          <t>丝绸之路新能源（常州）有限公司</t>
        </is>
      </c>
      <c r="F841" s="716" t="n"/>
      <c r="G841" s="716" t="n"/>
      <c r="H841" s="462" t="n"/>
    </row>
    <row r="842">
      <c r="A842" s="672" t="inlineStr">
        <is>
          <t>E100097</t>
        </is>
      </c>
      <c r="B842" s="767">
        <f>ROW()</f>
        <v/>
      </c>
      <c r="C842" s="182" t="inlineStr">
        <is>
          <t>四川众能电力有限公司</t>
        </is>
      </c>
      <c r="D842" s="182" t="inlineStr">
        <is>
          <t>ZI029E100001</t>
        </is>
      </c>
      <c r="E842" s="182" t="inlineStr">
        <is>
          <t>北京京能清洁能源电力股份有限公司</t>
        </is>
      </c>
      <c r="F842" s="716" t="n"/>
      <c r="G842" s="716" t="n"/>
      <c r="H842" s="462" t="n"/>
    </row>
    <row r="843">
      <c r="A843" s="672" t="inlineStr">
        <is>
          <t>E100826</t>
        </is>
      </c>
      <c r="B843" s="767">
        <f>ROW()</f>
        <v/>
      </c>
      <c r="C843" s="182" t="inlineStr">
        <is>
          <t>宿迁市宿豫区宏旭新能源科技有限公司</t>
        </is>
      </c>
      <c r="D843" s="182" t="inlineStr">
        <is>
          <t>ZI029E100371</t>
        </is>
      </c>
      <c r="E843" s="182" t="inlineStr">
        <is>
          <t>北京京能科技有限公司</t>
        </is>
      </c>
      <c r="F843" s="716" t="n"/>
      <c r="G843" s="716" t="n"/>
      <c r="H843" s="462" t="n"/>
    </row>
    <row r="844">
      <c r="A844" s="672" t="inlineStr">
        <is>
          <t>E100827</t>
        </is>
      </c>
      <c r="B844" s="767">
        <f>ROW()</f>
        <v/>
      </c>
      <c r="C844" s="182" t="inlineStr">
        <is>
          <t>台州德鸿新能源科技有限公司</t>
        </is>
      </c>
      <c r="D844" s="182" t="inlineStr">
        <is>
          <t>ZI029E100371</t>
        </is>
      </c>
      <c r="E844" s="182" t="inlineStr">
        <is>
          <t>北京京能科技有限公司</t>
        </is>
      </c>
      <c r="F844" s="716" t="n"/>
      <c r="G844" s="716" t="n"/>
      <c r="H844" s="462" t="n"/>
    </row>
    <row r="845">
      <c r="A845" s="672" t="inlineStr">
        <is>
          <t>E100219</t>
        </is>
      </c>
      <c r="B845" s="767">
        <f>ROW()</f>
        <v/>
      </c>
      <c r="C845" s="182" t="inlineStr">
        <is>
          <t>唐山京曹天然气有限公司</t>
        </is>
      </c>
      <c r="D845" s="182" t="inlineStr">
        <is>
          <t>ZI029E100218</t>
        </is>
      </c>
      <c r="E845" s="182" t="inlineStr">
        <is>
          <t>北京京能油气资源开发有限公司</t>
        </is>
      </c>
      <c r="F845" s="716" t="n"/>
      <c r="G845" s="716" t="n"/>
      <c r="H845" s="462" t="n"/>
    </row>
    <row r="846">
      <c r="A846" s="672" t="inlineStr">
        <is>
          <t>E100903</t>
        </is>
      </c>
      <c r="B846" s="767">
        <f>ROW()</f>
        <v/>
      </c>
      <c r="C846" s="182" t="inlineStr">
        <is>
          <t>唐山招新生态农业开发有限公司</t>
        </is>
      </c>
      <c r="D846" s="182" t="inlineStr">
        <is>
          <t>ZI029E100902</t>
        </is>
      </c>
      <c r="E846" s="182" t="inlineStr">
        <is>
          <t>张家口丝绸之路新能源有限公司</t>
        </is>
      </c>
      <c r="F846" s="716" t="n"/>
      <c r="G846" s="716" t="n"/>
      <c r="H846" s="462" t="n"/>
    </row>
    <row r="847">
      <c r="A847" s="672" t="inlineStr">
        <is>
          <t>E100945</t>
        </is>
      </c>
      <c r="B847" s="767">
        <f>ROW()</f>
        <v/>
      </c>
      <c r="C847" s="182" t="inlineStr">
        <is>
          <t>唐山招新太阳能发电有限公司</t>
        </is>
      </c>
      <c r="D847" s="182" t="inlineStr">
        <is>
          <t>ZI029E100944</t>
        </is>
      </c>
      <c r="E847" s="182" t="inlineStr">
        <is>
          <t>招新诺能（常州）新能源有限公司</t>
        </is>
      </c>
      <c r="F847" s="716" t="n"/>
      <c r="G847" s="716" t="n"/>
      <c r="H847" s="462" t="n"/>
    </row>
    <row r="848">
      <c r="A848" s="672" t="inlineStr">
        <is>
          <t>E100100</t>
        </is>
      </c>
      <c r="B848" s="767">
        <f>ROW()</f>
        <v/>
      </c>
      <c r="C848" s="182" t="inlineStr">
        <is>
          <t>腾冲县猴桥永兴河水电开发有限公司</t>
        </is>
      </c>
      <c r="D848" s="182" t="inlineStr">
        <is>
          <t>ZI029E100001</t>
        </is>
      </c>
      <c r="E848" s="182" t="inlineStr">
        <is>
          <t>北京京能清洁能源电力股份有限公司</t>
        </is>
      </c>
      <c r="F848" s="716" t="n"/>
      <c r="G848" s="716" t="n"/>
      <c r="H848" s="462" t="n"/>
    </row>
    <row r="849">
      <c r="A849" s="672" t="inlineStr">
        <is>
          <t>E100844</t>
        </is>
      </c>
      <c r="B849" s="767">
        <f>ROW()</f>
        <v/>
      </c>
      <c r="C849" s="182" t="inlineStr">
        <is>
          <t>天津津南京能清洁能源有限公司</t>
        </is>
      </c>
      <c r="D849" s="182" t="inlineStr">
        <is>
          <t>ZI029E100001</t>
        </is>
      </c>
      <c r="E849" s="182" t="inlineStr">
        <is>
          <t>北京京能清洁能源电力股份有限公司</t>
        </is>
      </c>
      <c r="F849" s="716" t="n"/>
      <c r="G849" s="716" t="n"/>
      <c r="H849" s="462" t="n"/>
    </row>
    <row r="850">
      <c r="A850" s="672" t="inlineStr">
        <is>
          <t>E100442</t>
        </is>
      </c>
      <c r="B850" s="767">
        <f>ROW()</f>
        <v/>
      </c>
      <c r="C850" s="182" t="inlineStr">
        <is>
          <t>天津津浦伟业地产有限公司</t>
        </is>
      </c>
      <c r="D850" s="182" t="inlineStr">
        <is>
          <t>ZI029E100421</t>
        </is>
      </c>
      <c r="E850" s="182" t="inlineStr">
        <is>
          <t>北京金泰房地产开发有限责任公司</t>
        </is>
      </c>
      <c r="F850" s="716" t="n"/>
      <c r="G850" s="716" t="n"/>
      <c r="H850" s="462" t="n"/>
    </row>
    <row r="851">
      <c r="A851" s="672" t="inlineStr">
        <is>
          <t>E100037</t>
        </is>
      </c>
      <c r="B851" s="767">
        <f>ROW()</f>
        <v/>
      </c>
      <c r="C851" s="182" t="inlineStr">
        <is>
          <t>天津京河新能源有限公司</t>
        </is>
      </c>
      <c r="D851" s="182" t="inlineStr">
        <is>
          <t>ZI029E100001</t>
        </is>
      </c>
      <c r="E851" s="182" t="inlineStr">
        <is>
          <t>北京京能清洁能源电力股份有限公司</t>
        </is>
      </c>
      <c r="F851" s="716" t="n"/>
      <c r="G851" s="716" t="n"/>
      <c r="H851" s="462" t="n"/>
    </row>
    <row r="852">
      <c r="A852" s="672" t="inlineStr">
        <is>
          <t>E100818</t>
        </is>
      </c>
      <c r="B852" s="767">
        <f>ROW()</f>
        <v/>
      </c>
      <c r="C852" s="182" t="inlineStr">
        <is>
          <t>天津京能东棘坨清洁能源有限公司</t>
        </is>
      </c>
      <c r="D852" s="182" t="inlineStr">
        <is>
          <t>ZI029E100001</t>
        </is>
      </c>
      <c r="E852" s="182" t="inlineStr">
        <is>
          <t>北京京能清洁能源电力股份有限公司</t>
        </is>
      </c>
      <c r="F852" s="716" t="n"/>
      <c r="G852" s="716" t="n"/>
      <c r="H852" s="462" t="n"/>
    </row>
    <row r="853">
      <c r="A853" s="672" t="inlineStr">
        <is>
          <t>E100038</t>
        </is>
      </c>
      <c r="B853" s="767">
        <f>ROW()</f>
        <v/>
      </c>
      <c r="C853" s="182" t="inlineStr">
        <is>
          <t>天津京能新能源有限公司</t>
        </is>
      </c>
      <c r="D853" s="182" t="inlineStr">
        <is>
          <t>ZI029E100001</t>
        </is>
      </c>
      <c r="E853" s="182" t="inlineStr">
        <is>
          <t>北京京能清洁能源电力股份有限公司</t>
        </is>
      </c>
      <c r="F853" s="716" t="n"/>
      <c r="G853" s="716" t="n"/>
      <c r="H853" s="462" t="n"/>
    </row>
    <row r="854">
      <c r="A854" s="672" t="inlineStr">
        <is>
          <t>E100019</t>
        </is>
      </c>
      <c r="B854" s="767">
        <f>ROW()</f>
        <v/>
      </c>
      <c r="C854" s="182" t="inlineStr">
        <is>
          <t>天津团泊明瑞新能源有限公司</t>
        </is>
      </c>
      <c r="D854" s="182" t="inlineStr">
        <is>
          <t>ZI029E100001</t>
        </is>
      </c>
      <c r="E854" s="182" t="inlineStr">
        <is>
          <t>北京京能清洁能源电力股份有限公司</t>
        </is>
      </c>
      <c r="F854" s="716" t="n"/>
      <c r="G854" s="716" t="n"/>
      <c r="H854" s="462" t="n"/>
    </row>
    <row r="855">
      <c r="A855" s="672" t="inlineStr">
        <is>
          <t>E100018</t>
        </is>
      </c>
      <c r="B855" s="767">
        <f>ROW()</f>
        <v/>
      </c>
      <c r="C855" s="182" t="inlineStr">
        <is>
          <t>天津团泊昱合光伏科技有限公司</t>
        </is>
      </c>
      <c r="D855" s="182" t="inlineStr">
        <is>
          <t>ZI029E100001</t>
        </is>
      </c>
      <c r="E855" s="182" t="inlineStr">
        <is>
          <t>北京京能清洁能源电力股份有限公司</t>
        </is>
      </c>
      <c r="F855" s="716" t="n"/>
      <c r="G855" s="716" t="n"/>
      <c r="H855" s="462" t="n"/>
    </row>
    <row r="856">
      <c r="A856" s="672" t="inlineStr">
        <is>
          <t>E100021</t>
        </is>
      </c>
      <c r="B856" s="767">
        <f>ROW()</f>
        <v/>
      </c>
      <c r="C856" s="182" t="inlineStr">
        <is>
          <t>天津团泊昱宏光伏科技有限公司</t>
        </is>
      </c>
      <c r="D856" s="182" t="inlineStr">
        <is>
          <t>ZI029E100001</t>
        </is>
      </c>
      <c r="E856" s="182" t="inlineStr">
        <is>
          <t>北京京能清洁能源电力股份有限公司</t>
        </is>
      </c>
      <c r="F856" s="716" t="n"/>
      <c r="G856" s="716" t="n"/>
      <c r="H856" s="462" t="n"/>
    </row>
    <row r="857">
      <c r="A857" s="672" t="inlineStr">
        <is>
          <t>E100020</t>
        </is>
      </c>
      <c r="B857" s="767">
        <f>ROW()</f>
        <v/>
      </c>
      <c r="C857" s="182" t="inlineStr">
        <is>
          <t>天津团泊昱隆光伏科技有限公司</t>
        </is>
      </c>
      <c r="D857" s="182" t="inlineStr">
        <is>
          <t>ZI029E100001</t>
        </is>
      </c>
      <c r="E857" s="182" t="inlineStr">
        <is>
          <t>北京京能清洁能源电力股份有限公司</t>
        </is>
      </c>
      <c r="F857" s="716" t="n"/>
      <c r="G857" s="716" t="n"/>
      <c r="H857" s="462" t="n"/>
    </row>
    <row r="858">
      <c r="A858" s="672" t="inlineStr">
        <is>
          <t>E100022</t>
        </is>
      </c>
      <c r="B858" s="767">
        <f>ROW()</f>
        <v/>
      </c>
      <c r="C858" s="182" t="inlineStr">
        <is>
          <t>天津永能光伏发电有限公司</t>
        </is>
      </c>
      <c r="D858" s="182" t="inlineStr">
        <is>
          <t>ZI029E100001</t>
        </is>
      </c>
      <c r="E858" s="182" t="inlineStr">
        <is>
          <t>北京京能清洁能源电力股份有限公司</t>
        </is>
      </c>
      <c r="F858" s="716" t="n"/>
      <c r="G858" s="716" t="n"/>
      <c r="H858" s="462" t="n"/>
    </row>
    <row r="859">
      <c r="A859" s="672" t="inlineStr">
        <is>
          <t>E100385</t>
        </is>
      </c>
      <c r="B859" s="767">
        <f>ROW()</f>
        <v/>
      </c>
      <c r="C859" s="182" t="inlineStr">
        <is>
          <t>桐乡科茂新能源有限公司</t>
        </is>
      </c>
      <c r="D859" s="182" t="inlineStr">
        <is>
          <t>ZI029E100371</t>
        </is>
      </c>
      <c r="E859" s="182" t="inlineStr">
        <is>
          <t>北京京能科技有限公司</t>
        </is>
      </c>
      <c r="F859" s="716" t="n"/>
      <c r="G859" s="716" t="n"/>
      <c r="H859" s="462" t="n"/>
    </row>
    <row r="860">
      <c r="A860" s="672" t="inlineStr">
        <is>
          <t>E100483</t>
        </is>
      </c>
      <c r="B860" s="767">
        <f>ROW()</f>
        <v/>
      </c>
      <c r="C860" s="182" t="inlineStr">
        <is>
          <t>投资北京国际有限公司</t>
        </is>
      </c>
      <c r="D860" s="182" t="inlineStr">
        <is>
          <t>ZI029E100000</t>
        </is>
      </c>
      <c r="E860" s="182" t="inlineStr">
        <is>
          <t>北京能源集团有限责任公司</t>
        </is>
      </c>
      <c r="F860" s="716" t="n"/>
      <c r="G860" s="716" t="n"/>
      <c r="H860" s="462" t="n"/>
    </row>
    <row r="861">
      <c r="A861" s="672" t="inlineStr">
        <is>
          <t>E100556</t>
        </is>
      </c>
      <c r="B861" s="767">
        <f>ROW()</f>
        <v/>
      </c>
      <c r="C861" s="182" t="inlineStr">
        <is>
          <t>投资北京投资顾问有限公司</t>
        </is>
      </c>
      <c r="D861" s="182" t="inlineStr">
        <is>
          <t>ZI029E100483</t>
        </is>
      </c>
      <c r="E861" s="182" t="inlineStr">
        <is>
          <t>投资北京国际有限公司</t>
        </is>
      </c>
      <c r="F861" s="716" t="n"/>
      <c r="G861" s="716" t="n"/>
      <c r="H861" s="462" t="n"/>
    </row>
    <row r="862">
      <c r="A862" s="672" t="inlineStr">
        <is>
          <t>E100964</t>
        </is>
      </c>
      <c r="B862" s="767">
        <f>ROW()</f>
        <v/>
      </c>
      <c r="C862" s="182" t="inlineStr">
        <is>
          <t>吐鲁番禾粟农业科技有限公司</t>
        </is>
      </c>
      <c r="D862" s="182" t="inlineStr">
        <is>
          <t>ZI029E100963</t>
        </is>
      </c>
      <c r="E862" s="182" t="inlineStr">
        <is>
          <t>丝绸之路新能源（常州）有限公司</t>
        </is>
      </c>
      <c r="F862" s="716" t="n"/>
      <c r="G862" s="716" t="n"/>
      <c r="H862" s="462" t="n"/>
    </row>
    <row r="863">
      <c r="A863" s="672" t="inlineStr">
        <is>
          <t>E100751</t>
        </is>
      </c>
      <c r="B863" s="767">
        <f>ROW()</f>
        <v/>
      </c>
      <c r="C863" s="182" t="inlineStr">
        <is>
          <t>吐鲁番中利腾晖光伏发电有限公司</t>
        </is>
      </c>
      <c r="D863" s="182" t="inlineStr">
        <is>
          <t>ZI029E101004</t>
        </is>
      </c>
      <c r="E863" s="182" t="inlineStr">
        <is>
          <t>绿联新能源（常州）有限公司</t>
        </is>
      </c>
      <c r="F863" s="716" t="n"/>
      <c r="G863" s="716" t="n"/>
      <c r="H863" s="462" t="n"/>
    </row>
    <row r="864">
      <c r="A864" s="672" t="inlineStr">
        <is>
          <t>E100948</t>
        </is>
      </c>
      <c r="B864" s="767">
        <f>ROW()</f>
        <v/>
      </c>
      <c r="C864" s="182" t="inlineStr">
        <is>
          <t>威县天海光伏发电有限公司</t>
        </is>
      </c>
      <c r="D864" s="182" t="inlineStr">
        <is>
          <t>ZI029E100730</t>
        </is>
      </c>
      <c r="E864" s="182" t="inlineStr">
        <is>
          <t>京能国际能源发展（北京）有限公司</t>
        </is>
      </c>
      <c r="F864" s="716" t="n"/>
      <c r="G864" s="716" t="n"/>
      <c r="H864" s="462" t="n"/>
    </row>
    <row r="865">
      <c r="A865" s="672" t="inlineStr">
        <is>
          <t>E100809</t>
        </is>
      </c>
      <c r="B865" s="767">
        <f>ROW()</f>
        <v/>
      </c>
      <c r="C865" s="182" t="inlineStr">
        <is>
          <t>文安县京能新能源有限公司</t>
        </is>
      </c>
      <c r="D865" s="182" t="inlineStr">
        <is>
          <t>ZI029E100001</t>
        </is>
      </c>
      <c r="E865" s="182" t="inlineStr">
        <is>
          <t>北京京能清洁能源电力股份有限公司</t>
        </is>
      </c>
      <c r="F865" s="716" t="n"/>
      <c r="G865" s="716" t="n"/>
      <c r="H865" s="462" t="n"/>
    </row>
    <row r="866">
      <c r="A866" s="672" t="inlineStr">
        <is>
          <t>E100939</t>
        </is>
      </c>
      <c r="B866" s="767">
        <f>ROW()</f>
        <v/>
      </c>
      <c r="C866" s="182" t="inlineStr">
        <is>
          <t>乌拉特后旗源海新能源有限责任公司</t>
        </is>
      </c>
      <c r="D866" s="182" t="inlineStr">
        <is>
          <t>ZI029E100730</t>
        </is>
      </c>
      <c r="E866" s="182" t="inlineStr">
        <is>
          <t>京能国际能源发展（北京）有限公司</t>
        </is>
      </c>
      <c r="F866" s="716" t="n"/>
      <c r="G866" s="716" t="n"/>
      <c r="H866" s="462" t="n"/>
    </row>
    <row r="867">
      <c r="A867" s="672" t="inlineStr">
        <is>
          <t>E100031</t>
        </is>
      </c>
      <c r="B867" s="767">
        <f>ROW()</f>
        <v/>
      </c>
      <c r="C867" s="182" t="inlineStr">
        <is>
          <t>五家渠京能新能源有限责任公司</t>
        </is>
      </c>
      <c r="D867" s="182" t="inlineStr">
        <is>
          <t>ZI029E100001</t>
        </is>
      </c>
      <c r="E867" s="182" t="inlineStr">
        <is>
          <t>北京京能清洁能源电力股份有限公司</t>
        </is>
      </c>
      <c r="F867" s="716" t="n"/>
      <c r="G867" s="716" t="n"/>
      <c r="H867" s="462" t="n"/>
    </row>
    <row r="868">
      <c r="A868" s="672" t="inlineStr">
        <is>
          <t>E100779</t>
        </is>
      </c>
      <c r="B868" s="767">
        <f>ROW()</f>
        <v/>
      </c>
      <c r="C868" s="182" t="inlineStr">
        <is>
          <t>五家渠利商光伏电力有限公司</t>
        </is>
      </c>
      <c r="D868" s="182" t="inlineStr">
        <is>
          <t>ZI029E101017</t>
        </is>
      </c>
      <c r="E868" s="182" t="inlineStr">
        <is>
          <t>常州新光新能源有限公司</t>
        </is>
      </c>
      <c r="F868" s="716" t="n"/>
      <c r="G868" s="716" t="n"/>
      <c r="H868" s="462" t="n"/>
    </row>
    <row r="869">
      <c r="A869" s="672" t="inlineStr">
        <is>
          <t>E100738</t>
        </is>
      </c>
      <c r="B869" s="767">
        <f>ROW()</f>
        <v/>
      </c>
      <c r="C869" s="182" t="inlineStr">
        <is>
          <t>西藏藏能股份有限公司</t>
        </is>
      </c>
      <c r="D869" s="182" t="inlineStr">
        <is>
          <t>ZI029E101034</t>
        </is>
      </c>
      <c r="E869" s="182" t="inlineStr">
        <is>
          <t>西藏顺吉新能源科技有限公司</t>
        </is>
      </c>
      <c r="F869" s="716" t="n"/>
      <c r="G869" s="716" t="n"/>
      <c r="H869" s="462" t="n"/>
    </row>
    <row r="870">
      <c r="A870" s="672" t="inlineStr">
        <is>
          <t>E101037</t>
        </is>
      </c>
      <c r="B870" s="767">
        <f>ROW()</f>
        <v/>
      </c>
      <c r="C870" s="182" t="inlineStr">
        <is>
          <t>西藏昌都藏能新能源开发有限公司</t>
        </is>
      </c>
      <c r="D870" s="182" t="inlineStr">
        <is>
          <t>ZI029E100738</t>
        </is>
      </c>
      <c r="E870" s="182" t="inlineStr">
        <is>
          <t>西藏藏能股份有限公司</t>
        </is>
      </c>
      <c r="F870" s="716" t="n"/>
      <c r="G870" s="716" t="n"/>
      <c r="H870" s="462" t="n"/>
    </row>
    <row r="871">
      <c r="A871" s="672" t="inlineStr">
        <is>
          <t>E101036</t>
        </is>
      </c>
      <c r="B871" s="767">
        <f>ROW()</f>
        <v/>
      </c>
      <c r="C871" s="182" t="inlineStr">
        <is>
          <t>西藏林芝藏能拉月曲水电开发有限责任公司</t>
        </is>
      </c>
      <c r="D871" s="182" t="inlineStr">
        <is>
          <t>ZI029E100738</t>
        </is>
      </c>
      <c r="E871" s="182" t="inlineStr">
        <is>
          <t>西藏藏能股份有限公司</t>
        </is>
      </c>
      <c r="F871" s="716" t="n"/>
      <c r="G871" s="716" t="n"/>
      <c r="H871" s="462" t="n"/>
    </row>
    <row r="872">
      <c r="A872" s="672" t="inlineStr">
        <is>
          <t>E101035</t>
        </is>
      </c>
      <c r="B872" s="767">
        <f>ROW()</f>
        <v/>
      </c>
      <c r="C872" s="182" t="inlineStr">
        <is>
          <t>西藏林周县藏能新能源开发有限公司</t>
        </is>
      </c>
      <c r="D872" s="182" t="inlineStr">
        <is>
          <t>ZI029E100738</t>
        </is>
      </c>
      <c r="E872" s="182" t="inlineStr">
        <is>
          <t>西藏藏能股份有限公司</t>
        </is>
      </c>
      <c r="F872" s="716" t="n"/>
      <c r="G872" s="716" t="n"/>
      <c r="H872" s="462" t="n"/>
    </row>
    <row r="873">
      <c r="A873" s="672" t="inlineStr">
        <is>
          <t>E100788</t>
        </is>
      </c>
      <c r="B873" s="767">
        <f>ROW()</f>
        <v/>
      </c>
      <c r="C873" s="182" t="inlineStr">
        <is>
          <t>西藏尼木县藏能新能源开发有限公司</t>
        </is>
      </c>
      <c r="D873" s="182" t="inlineStr">
        <is>
          <t>ZI029E100738</t>
        </is>
      </c>
      <c r="E873" s="182" t="inlineStr">
        <is>
          <t>西藏藏能股份有限公司</t>
        </is>
      </c>
      <c r="F873" s="716" t="n"/>
      <c r="G873" s="716" t="n"/>
      <c r="H873" s="462" t="n"/>
    </row>
    <row r="874">
      <c r="A874" s="672" t="inlineStr">
        <is>
          <t>E100864</t>
        </is>
      </c>
      <c r="B874" s="767">
        <f>ROW()</f>
        <v/>
      </c>
      <c r="C874" s="182" t="inlineStr">
        <is>
          <t>西藏中自新能源技术有限公司</t>
        </is>
      </c>
      <c r="D874" s="182" t="inlineStr">
        <is>
          <t>ZI029E100735</t>
        </is>
      </c>
      <c r="E874" s="182" t="inlineStr">
        <is>
          <t>内蒙古京能新能源科技有限公司</t>
        </is>
      </c>
      <c r="F874" s="716" t="n"/>
      <c r="G874" s="716" t="n"/>
      <c r="H874" s="462" t="n"/>
    </row>
    <row r="875">
      <c r="A875" s="672" t="inlineStr">
        <is>
          <t>E101062</t>
        </is>
      </c>
      <c r="B875" s="767">
        <f>ROW()</f>
        <v/>
      </c>
      <c r="C875" s="182" t="inlineStr">
        <is>
          <t>昔阳县斯能风电有限公司</t>
        </is>
      </c>
      <c r="D875" s="182" t="inlineStr">
        <is>
          <t>ZI029E100730</t>
        </is>
      </c>
      <c r="E875" s="182" t="inlineStr">
        <is>
          <t>京能国际能源发展（北京）有限公司</t>
        </is>
      </c>
      <c r="F875" s="716" t="n"/>
      <c r="G875" s="716" t="n"/>
      <c r="H875" s="462" t="n"/>
    </row>
    <row r="876">
      <c r="A876" s="672" t="inlineStr">
        <is>
          <t>E100076</t>
        </is>
      </c>
      <c r="B876" s="767">
        <f>ROW()</f>
        <v/>
      </c>
      <c r="C876" s="182" t="inlineStr">
        <is>
          <t>锡林郭勒吉相华亚风力发电有限责任公司</t>
        </is>
      </c>
      <c r="D876" s="182" t="inlineStr">
        <is>
          <t>ZI029E100001</t>
        </is>
      </c>
      <c r="E876" s="182" t="inlineStr">
        <is>
          <t>北京京能清洁能源电力股份有限公司</t>
        </is>
      </c>
      <c r="F876" s="716" t="n"/>
      <c r="G876" s="716" t="n"/>
      <c r="H876" s="462" t="n"/>
    </row>
    <row r="877">
      <c r="A877" s="672" t="inlineStr">
        <is>
          <t>E100966</t>
        </is>
      </c>
      <c r="B877" s="767">
        <f>ROW()</f>
        <v/>
      </c>
      <c r="C877" s="182" t="inlineStr">
        <is>
          <t>乡城联合光伏开发有限公司</t>
        </is>
      </c>
      <c r="D877" s="182" t="inlineStr">
        <is>
          <t>ZI029E100737</t>
        </is>
      </c>
      <c r="E877" s="182" t="inlineStr">
        <is>
          <t>四川联合光伏有限公司</t>
        </is>
      </c>
      <c r="F877" s="716" t="n"/>
      <c r="G877" s="716" t="n"/>
      <c r="H877" s="462" t="n"/>
    </row>
    <row r="878">
      <c r="A878" s="672" t="inlineStr">
        <is>
          <t>E100060</t>
        </is>
      </c>
      <c r="B878" s="767">
        <f>ROW()</f>
        <v/>
      </c>
      <c r="C878" s="182" t="inlineStr">
        <is>
          <t>湘阴县晶和新能源有限公司</t>
        </is>
      </c>
      <c r="D878" s="182" t="inlineStr">
        <is>
          <t>ZI029E100001</t>
        </is>
      </c>
      <c r="E878" s="182" t="inlineStr">
        <is>
          <t>北京京能清洁能源电力股份有限公司</t>
        </is>
      </c>
      <c r="F878" s="716" t="n"/>
      <c r="G878" s="716" t="n"/>
      <c r="H878" s="462" t="n"/>
    </row>
    <row r="879">
      <c r="A879" s="672" t="inlineStr">
        <is>
          <t>E100562</t>
        </is>
      </c>
      <c r="B879" s="767">
        <f>ROW()</f>
        <v/>
      </c>
      <c r="C879" s="182" t="inlineStr">
        <is>
          <t>新格伦风电项目公司</t>
        </is>
      </c>
      <c r="D879" s="182" t="inlineStr">
        <is>
          <t>ZI029E100543</t>
        </is>
      </c>
      <c r="E879" s="182" t="inlineStr">
        <is>
          <t>北京京能清洁能源电力股份（香港）有限公司</t>
        </is>
      </c>
      <c r="F879" s="716" t="n"/>
      <c r="G879" s="716" t="n"/>
      <c r="H879" s="462" t="n"/>
    </row>
    <row r="880">
      <c r="A880" s="672" t="inlineStr">
        <is>
          <t>E100562</t>
        </is>
      </c>
      <c r="B880" s="767">
        <f>ROW()</f>
        <v/>
      </c>
      <c r="C880" s="182" t="inlineStr">
        <is>
          <t>新格伦风电项目公司</t>
        </is>
      </c>
      <c r="D880" s="182" t="inlineStr">
        <is>
          <t>ZI029E100561</t>
        </is>
      </c>
      <c r="E880" s="182" t="inlineStr">
        <is>
          <t>北京京能清洁能源（澳洲）控股有限公司</t>
        </is>
      </c>
      <c r="F880" s="716" t="n"/>
      <c r="G880" s="716" t="n"/>
      <c r="H880" s="462" t="n"/>
    </row>
    <row r="881">
      <c r="A881" s="672" t="inlineStr">
        <is>
          <t>E100220</t>
        </is>
      </c>
      <c r="B881" s="767">
        <f>ROW()</f>
        <v/>
      </c>
      <c r="C881" s="182" t="inlineStr">
        <is>
          <t>新疆京能建设投资有限公司</t>
        </is>
      </c>
      <c r="D881" s="182" t="inlineStr">
        <is>
          <t>ZI029E100000</t>
        </is>
      </c>
      <c r="E881" s="182" t="inlineStr">
        <is>
          <t>北京能源集团有限责任公司</t>
        </is>
      </c>
      <c r="F881" s="716" t="n"/>
      <c r="G881" s="716" t="n"/>
      <c r="H881" s="462" t="n"/>
    </row>
    <row r="882">
      <c r="A882" s="672" t="inlineStr">
        <is>
          <t>E100840</t>
        </is>
      </c>
      <c r="B882" s="767">
        <f>ROW()</f>
        <v/>
      </c>
      <c r="C882" s="182" t="inlineStr">
        <is>
          <t>新疆信友新能源发电有限公司</t>
        </is>
      </c>
      <c r="D882" s="182" t="inlineStr">
        <is>
          <t>ZI029E100730</t>
        </is>
      </c>
      <c r="E882" s="182" t="inlineStr">
        <is>
          <t>京能国际能源发展（北京）有限公司</t>
        </is>
      </c>
      <c r="F882" s="716" t="n"/>
      <c r="G882" s="716" t="n"/>
      <c r="H882" s="462" t="n"/>
    </row>
    <row r="883">
      <c r="A883" s="672" t="inlineStr">
        <is>
          <t>E100334</t>
        </is>
      </c>
      <c r="B883" s="767">
        <f>ROW()</f>
        <v/>
      </c>
      <c r="C883" s="182" t="inlineStr">
        <is>
          <t>鑫华源曹妃甸智能停车设备制造有限责任公司</t>
        </is>
      </c>
      <c r="D883" s="182" t="inlineStr">
        <is>
          <t>ZI029E100332</t>
        </is>
      </c>
      <c r="E883" s="182" t="inlineStr">
        <is>
          <t>北京鑫华源机械制造有限责任公司</t>
        </is>
      </c>
      <c r="F883" s="716" t="n"/>
      <c r="G883" s="716" t="n"/>
      <c r="H883" s="462" t="n"/>
    </row>
    <row r="884">
      <c r="A884" s="672" t="inlineStr">
        <is>
          <t>E100058</t>
        </is>
      </c>
      <c r="B884" s="767">
        <f>ROW()</f>
        <v/>
      </c>
      <c r="C884" s="182" t="inlineStr">
        <is>
          <t>徐闻京能新能源有限公司</t>
        </is>
      </c>
      <c r="D884" s="182" t="inlineStr">
        <is>
          <t>ZI029E100001</t>
        </is>
      </c>
      <c r="E884" s="182" t="inlineStr">
        <is>
          <t>北京京能清洁能源电力股份有限公司</t>
        </is>
      </c>
      <c r="F884" s="716" t="n"/>
      <c r="G884" s="716" t="n"/>
      <c r="H884" s="462" t="n"/>
    </row>
    <row r="885">
      <c r="A885" s="672" t="inlineStr">
        <is>
          <t>E100854</t>
        </is>
      </c>
      <c r="B885" s="767">
        <f>ROW()</f>
        <v/>
      </c>
      <c r="C885" s="182" t="inlineStr">
        <is>
          <t>阳春市招联绿辉光伏发电有限公司</t>
        </is>
      </c>
      <c r="D885" s="182" t="inlineStr">
        <is>
          <t>ZI029E100957</t>
        </is>
      </c>
      <c r="E885" s="182" t="inlineStr">
        <is>
          <t>常州市招联绿达新能源有限公司</t>
        </is>
      </c>
      <c r="F885" s="716" t="n"/>
      <c r="G885" s="716" t="n"/>
      <c r="H885" s="462" t="n"/>
    </row>
    <row r="886">
      <c r="A886" s="672" t="inlineStr">
        <is>
          <t>E100071</t>
        </is>
      </c>
      <c r="B886" s="767">
        <f>ROW()</f>
        <v/>
      </c>
      <c r="C886" s="182" t="inlineStr">
        <is>
          <t>阳江华晶绿色能源科技有限公司</t>
        </is>
      </c>
      <c r="D886" s="182" t="inlineStr">
        <is>
          <t>ZI029E100001</t>
        </is>
      </c>
      <c r="E886" s="182" t="inlineStr">
        <is>
          <t>北京京能清洁能源电力股份有限公司</t>
        </is>
      </c>
      <c r="F886" s="716" t="n"/>
      <c r="G886" s="716" t="n"/>
      <c r="H886" s="462" t="n"/>
    </row>
    <row r="887">
      <c r="A887" s="672" t="inlineStr">
        <is>
          <t>E100848</t>
        </is>
      </c>
      <c r="B887" s="767">
        <f>ROW()</f>
        <v/>
      </c>
      <c r="C887" s="182" t="inlineStr">
        <is>
          <t>阳曲县蔚蓝新能源有限公司</t>
        </is>
      </c>
      <c r="D887" s="182" t="inlineStr">
        <is>
          <t>ZI029E100730</t>
        </is>
      </c>
      <c r="E887" s="182" t="inlineStr">
        <is>
          <t>京能国际能源发展（北京）有限公司</t>
        </is>
      </c>
      <c r="F887" s="716" t="n"/>
      <c r="G887" s="716" t="n"/>
      <c r="H887" s="462" t="n"/>
    </row>
    <row r="888">
      <c r="A888" s="672" t="inlineStr">
        <is>
          <t>E100062</t>
        </is>
      </c>
      <c r="B888" s="767">
        <f>ROW()</f>
        <v/>
      </c>
      <c r="C888" s="182" t="inlineStr">
        <is>
          <t>阳西清芸阳光新能源科技有限公司</t>
        </is>
      </c>
      <c r="D888" s="182" t="inlineStr">
        <is>
          <t>ZI029E100001</t>
        </is>
      </c>
      <c r="E888" s="182" t="inlineStr">
        <is>
          <t>北京京能清洁能源电力股份有限公司</t>
        </is>
      </c>
      <c r="F888" s="716" t="n"/>
      <c r="G888" s="716" t="n"/>
      <c r="H888" s="462" t="n"/>
    </row>
    <row r="889">
      <c r="A889" s="672" t="inlineStr">
        <is>
          <t>E101018</t>
        </is>
      </c>
      <c r="B889" s="767">
        <f>ROW()</f>
        <v/>
      </c>
      <c r="C889" s="182" t="inlineStr">
        <is>
          <t>阳原中久能源开发科技有限公司</t>
        </is>
      </c>
      <c r="D889" s="182" t="inlineStr">
        <is>
          <t>ZI029E101017</t>
        </is>
      </c>
      <c r="E889" s="182" t="inlineStr">
        <is>
          <t>常州新光新能源有限公司</t>
        </is>
      </c>
      <c r="F889" s="716" t="n"/>
      <c r="G889" s="716" t="n"/>
      <c r="H889" s="462" t="n"/>
    </row>
    <row r="890">
      <c r="A890" s="672" t="inlineStr">
        <is>
          <t>E100727</t>
        </is>
      </c>
      <c r="B890" s="767">
        <f>ROW()</f>
        <v/>
      </c>
      <c r="C890" s="182" t="inlineStr">
        <is>
          <t>宜昌市夷陵区中基热电有限公司</t>
        </is>
      </c>
      <c r="D890" s="182" t="inlineStr">
        <is>
          <t>ZI029E100001</t>
        </is>
      </c>
      <c r="E890" s="182" t="inlineStr">
        <is>
          <t>北京京能清洁能源电力股份有限公司</t>
        </is>
      </c>
      <c r="F890" s="716" t="n"/>
      <c r="G890" s="716" t="n"/>
      <c r="H890" s="462" t="n"/>
    </row>
    <row r="891">
      <c r="A891" s="672" t="inlineStr">
        <is>
          <t>E101134</t>
        </is>
      </c>
      <c r="B891" s="767">
        <f>ROW()</f>
        <v/>
      </c>
      <c r="C891" s="182" t="inlineStr">
        <is>
          <t>宜春京能清洁能源有限公司</t>
        </is>
      </c>
      <c r="D891" s="182" t="inlineStr">
        <is>
          <t>ZI029E100001</t>
        </is>
      </c>
      <c r="E891" s="182" t="inlineStr">
        <is>
          <t>北京京能清洁能源电力股份有限公司</t>
        </is>
      </c>
      <c r="F891" s="716" t="n"/>
      <c r="G891" s="716" t="n"/>
      <c r="H891" s="462" t="n"/>
    </row>
    <row r="892">
      <c r="A892" s="672" t="inlineStr">
        <is>
          <t>E101134</t>
        </is>
      </c>
      <c r="B892" s="767">
        <f>ROW()</f>
        <v/>
      </c>
      <c r="C892" s="182">
        <f>IF(_epmOfflineCondition_,"宜春京能清洁能源有限公司",EPMMemberDesc(A892))</f>
        <v/>
      </c>
      <c r="D892" s="182" t="inlineStr">
        <is>
          <t>ZI029E100543</t>
        </is>
      </c>
      <c r="E892" s="182" t="inlineStr">
        <is>
          <t>北京京能清洁能源电力股份（香港）有限公司</t>
        </is>
      </c>
      <c r="F892" s="716" t="n"/>
      <c r="G892" s="716" t="n"/>
      <c r="H892" s="462" t="n"/>
    </row>
    <row r="893">
      <c r="A893" s="672" t="inlineStr">
        <is>
          <t>E100051</t>
        </is>
      </c>
      <c r="B893" s="767">
        <f>ROW()</f>
        <v/>
      </c>
      <c r="C893" s="182" t="inlineStr">
        <is>
          <t>义县珈煜光伏电力有限公司</t>
        </is>
      </c>
      <c r="D893" s="182" t="inlineStr">
        <is>
          <t>ZI029E100001</t>
        </is>
      </c>
      <c r="E893" s="182" t="inlineStr">
        <is>
          <t>北京京能清洁能源电力股份有限公司</t>
        </is>
      </c>
      <c r="F893" s="716" t="n"/>
      <c r="G893" s="716" t="n"/>
      <c r="H893" s="462" t="n"/>
    </row>
    <row r="894">
      <c r="A894" s="672" t="inlineStr">
        <is>
          <t>E100059</t>
        </is>
      </c>
      <c r="B894" s="767">
        <f>ROW()</f>
        <v/>
      </c>
      <c r="C894" s="182" t="inlineStr">
        <is>
          <t>益阳大通湖东大光伏发电有限公司</t>
        </is>
      </c>
      <c r="D894" s="182" t="inlineStr">
        <is>
          <t>ZI029E100001</t>
        </is>
      </c>
      <c r="E894" s="182" t="inlineStr">
        <is>
          <t>北京京能清洁能源电力股份有限公司</t>
        </is>
      </c>
      <c r="F894" s="716" t="n"/>
      <c r="G894" s="716" t="n"/>
      <c r="H894" s="462" t="n"/>
    </row>
    <row r="895">
      <c r="A895" s="672" t="inlineStr">
        <is>
          <t>E100569</t>
        </is>
      </c>
      <c r="B895" s="767">
        <f>ROW()</f>
        <v/>
      </c>
      <c r="C895" s="182" t="inlineStr">
        <is>
          <t>银川京能清洁能源有限公司</t>
        </is>
      </c>
      <c r="D895" s="182" t="inlineStr">
        <is>
          <t>ZI029E100001</t>
        </is>
      </c>
      <c r="E895" s="182" t="inlineStr">
        <is>
          <t>北京京能清洁能源电力股份有限公司</t>
        </is>
      </c>
      <c r="F895" s="716" t="n"/>
      <c r="G895" s="716" t="n"/>
      <c r="H895" s="462" t="n"/>
    </row>
    <row r="896">
      <c r="A896" s="672" t="inlineStr">
        <is>
          <t>E100099</t>
        </is>
      </c>
      <c r="B896" s="767">
        <f>ROW()</f>
        <v/>
      </c>
      <c r="C896" s="182" t="inlineStr">
        <is>
          <t>盈江华富水电开发有限公司</t>
        </is>
      </c>
      <c r="D896" s="182" t="inlineStr">
        <is>
          <t>ZI029E100001</t>
        </is>
      </c>
      <c r="E896" s="182" t="inlineStr">
        <is>
          <t>北京京能清洁能源电力股份有限公司</t>
        </is>
      </c>
      <c r="F896" s="716" t="n"/>
      <c r="G896" s="716" t="n"/>
      <c r="H896" s="462" t="n"/>
    </row>
    <row r="897">
      <c r="A897" s="672" t="inlineStr">
        <is>
          <t>E100438</t>
        </is>
      </c>
      <c r="B897" s="767">
        <f>ROW()</f>
        <v/>
      </c>
      <c r="C897" s="182" t="inlineStr">
        <is>
          <t>营口卧龙湾实业有限公司</t>
        </is>
      </c>
      <c r="D897" s="182" t="inlineStr">
        <is>
          <t>ZI029E100421</t>
        </is>
      </c>
      <c r="E897" s="182" t="inlineStr">
        <is>
          <t>北京金泰房地产开发有限责任公司</t>
        </is>
      </c>
      <c r="F897" s="716" t="n"/>
      <c r="G897" s="716" t="n"/>
      <c r="H897" s="462" t="n"/>
    </row>
    <row r="898">
      <c r="A898" s="672" t="inlineStr">
        <is>
          <t>E100740</t>
        </is>
      </c>
      <c r="B898" s="767">
        <f>ROW()</f>
        <v/>
      </c>
      <c r="C898" s="182" t="inlineStr">
        <is>
          <t>永仁惠光光伏发电有限公司</t>
        </is>
      </c>
      <c r="D898" s="182" t="inlineStr">
        <is>
          <t>ZI029E101017</t>
        </is>
      </c>
      <c r="E898" s="182" t="inlineStr">
        <is>
          <t>常州新光新能源有限公司</t>
        </is>
      </c>
      <c r="F898" s="716" t="n"/>
      <c r="G898" s="716" t="n"/>
      <c r="H898" s="462" t="n"/>
    </row>
    <row r="899">
      <c r="A899" s="672" t="inlineStr">
        <is>
          <t>E100741</t>
        </is>
      </c>
      <c r="B899" s="767">
        <f>ROW()</f>
        <v/>
      </c>
      <c r="C899" s="182" t="inlineStr">
        <is>
          <t>永胜惠光光伏发电有限公司</t>
        </is>
      </c>
      <c r="D899" s="182" t="inlineStr">
        <is>
          <t>ZI029E101017</t>
        </is>
      </c>
      <c r="E899" s="182" t="inlineStr">
        <is>
          <t>常州新光新能源有限公司</t>
        </is>
      </c>
      <c r="F899" s="716" t="n"/>
      <c r="G899" s="716" t="n"/>
      <c r="H899" s="462" t="n"/>
    </row>
    <row r="900">
      <c r="A900" s="672" t="inlineStr">
        <is>
          <t>E100163</t>
        </is>
      </c>
      <c r="B900" s="767">
        <f>ROW()</f>
        <v/>
      </c>
      <c r="C900" s="182" t="inlineStr">
        <is>
          <t>右玉县京玉污水处理有限责任公司</t>
        </is>
      </c>
      <c r="D900" s="182" t="inlineStr">
        <is>
          <t>ZI029E100162</t>
        </is>
      </c>
      <c r="E900" s="182" t="inlineStr">
        <is>
          <t>山西京玉发电有限责任公司</t>
        </is>
      </c>
      <c r="F900" s="716" t="n"/>
      <c r="G900" s="716" t="n"/>
      <c r="H900" s="462" t="n"/>
    </row>
    <row r="901">
      <c r="A901" s="672" t="inlineStr">
        <is>
          <t>E101066</t>
        </is>
      </c>
      <c r="B901" s="767">
        <f>ROW()</f>
        <v/>
      </c>
      <c r="C901" s="182" t="inlineStr">
        <is>
          <t>右玉县斯能风电有限公司</t>
        </is>
      </c>
      <c r="D901" s="182" t="inlineStr">
        <is>
          <t>ZI029E100730</t>
        </is>
      </c>
      <c r="E901" s="182" t="inlineStr">
        <is>
          <t>京能国际能源发展（北京）有限公司</t>
        </is>
      </c>
      <c r="F901" s="716" t="n"/>
      <c r="G901" s="716" t="n"/>
      <c r="H901" s="462" t="n"/>
    </row>
    <row r="902">
      <c r="A902" s="672" t="inlineStr">
        <is>
          <t>E100940</t>
        </is>
      </c>
      <c r="B902" s="767">
        <f>ROW()</f>
        <v/>
      </c>
      <c r="C902" s="182" t="inlineStr">
        <is>
          <t>榆林市江山永宸新能源有限公司</t>
        </is>
      </c>
      <c r="D902" s="182" t="inlineStr">
        <is>
          <t>ZI029E100730</t>
        </is>
      </c>
      <c r="E902" s="182" t="inlineStr">
        <is>
          <t>京能国际能源发展（北京）有限公司</t>
        </is>
      </c>
      <c r="F902" s="716" t="n"/>
      <c r="G902" s="716" t="n"/>
      <c r="H902" s="462" t="n"/>
    </row>
    <row r="903">
      <c r="A903" s="672" t="inlineStr">
        <is>
          <t>E100379</t>
        </is>
      </c>
      <c r="B903" s="767">
        <f>ROW()</f>
        <v/>
      </c>
      <c r="C903" s="182" t="inlineStr">
        <is>
          <t>源深怀来能源科技有限公司</t>
        </is>
      </c>
      <c r="D903" s="182" t="inlineStr">
        <is>
          <t>ZI029E100371</t>
        </is>
      </c>
      <c r="E903" s="182" t="inlineStr">
        <is>
          <t>北京京能科技有限公司</t>
        </is>
      </c>
      <c r="F903" s="716" t="n"/>
      <c r="G903" s="716" t="n"/>
      <c r="H903" s="462" t="n"/>
    </row>
    <row r="904">
      <c r="A904" s="672" t="inlineStr">
        <is>
          <t>E100707</t>
        </is>
      </c>
      <c r="B904" s="767">
        <f>ROW()</f>
        <v/>
      </c>
      <c r="C904" s="182" t="inlineStr">
        <is>
          <t>湛江市鼎瑞太阳能发电有限公司</t>
        </is>
      </c>
      <c r="D904" s="182" t="inlineStr">
        <is>
          <t>ZI029E100001</t>
        </is>
      </c>
      <c r="E904" s="182" t="inlineStr">
        <is>
          <t>北京京能清洁能源电力股份有限公司</t>
        </is>
      </c>
      <c r="F904" s="716" t="n"/>
      <c r="G904" s="716" t="n"/>
      <c r="H904" s="462" t="n"/>
    </row>
    <row r="905">
      <c r="A905" s="672" t="inlineStr">
        <is>
          <t>E100794</t>
        </is>
      </c>
      <c r="B905" s="767">
        <f>ROW()</f>
        <v/>
      </c>
      <c r="C905" s="182" t="inlineStr">
        <is>
          <t>张北风沐新能源有限公司</t>
        </is>
      </c>
      <c r="D905" s="182" t="inlineStr">
        <is>
          <t>ZI029E100793</t>
        </is>
      </c>
      <c r="E905" s="182" t="inlineStr">
        <is>
          <t>张家口风沐新能源有限公司</t>
        </is>
      </c>
      <c r="F905" s="716" t="n"/>
      <c r="G905" s="716" t="n"/>
      <c r="H905" s="462" t="n"/>
    </row>
    <row r="906">
      <c r="A906" s="672" t="inlineStr">
        <is>
          <t>E100035</t>
        </is>
      </c>
      <c r="B906" s="767">
        <f>ROW()</f>
        <v/>
      </c>
      <c r="C906" s="182" t="inlineStr">
        <is>
          <t>张北京能清洁能源有限公司</t>
        </is>
      </c>
      <c r="D906" s="182" t="inlineStr">
        <is>
          <t>ZI029E100001</t>
        </is>
      </c>
      <c r="E906" s="182" t="inlineStr">
        <is>
          <t>北京京能清洁能源电力股份有限公司</t>
        </is>
      </c>
      <c r="F906" s="716" t="n"/>
      <c r="G906" s="716" t="n"/>
      <c r="H906" s="462" t="n"/>
    </row>
    <row r="907">
      <c r="A907" s="672" t="inlineStr">
        <is>
          <t>E100710</t>
        </is>
      </c>
      <c r="B907" s="767">
        <f>ROW()</f>
        <v/>
      </c>
      <c r="C907" s="182" t="inlineStr">
        <is>
          <t>张北融智新源电力有限公司</t>
        </is>
      </c>
      <c r="D907" s="182" t="inlineStr">
        <is>
          <t>ZI029E100708</t>
        </is>
      </c>
      <c r="E907" s="182" t="inlineStr">
        <is>
          <t>河北融智新源电力有限公司</t>
        </is>
      </c>
      <c r="F907" s="716" t="n"/>
      <c r="G907" s="716" t="n"/>
      <c r="H907" s="462" t="n"/>
    </row>
    <row r="908">
      <c r="A908" s="672" t="inlineStr">
        <is>
          <t>E100793</t>
        </is>
      </c>
      <c r="B908" s="767">
        <f>ROW()</f>
        <v/>
      </c>
      <c r="C908" s="182" t="inlineStr">
        <is>
          <t>张家口风沐新能源有限公司</t>
        </is>
      </c>
      <c r="D908" s="182" t="inlineStr">
        <is>
          <t>ZI029E100001</t>
        </is>
      </c>
      <c r="E908" s="182" t="inlineStr">
        <is>
          <t>北京京能清洁能源电力股份有限公司</t>
        </is>
      </c>
      <c r="F908" s="716" t="n"/>
      <c r="G908" s="716" t="n"/>
      <c r="H908" s="462" t="n"/>
    </row>
    <row r="909">
      <c r="A909" s="672" t="inlineStr">
        <is>
          <t>E100793G</t>
        </is>
      </c>
      <c r="B909" s="767">
        <f>ROW()</f>
        <v/>
      </c>
      <c r="C909" s="182" t="inlineStr">
        <is>
          <t>张家口风沐新能源有限公司（合并）</t>
        </is>
      </c>
      <c r="D909" s="182" t="inlineStr">
        <is>
          <t>ZI029E100001</t>
        </is>
      </c>
      <c r="E909" s="182" t="inlineStr">
        <is>
          <t>北京京能清洁能源电力股份有限公司</t>
        </is>
      </c>
      <c r="F909" s="716" t="n"/>
      <c r="G909" s="716" t="n"/>
      <c r="H909" s="462" t="n"/>
    </row>
    <row r="910">
      <c r="A910" s="672" t="inlineStr">
        <is>
          <t>E100902</t>
        </is>
      </c>
      <c r="B910" s="767">
        <f>ROW()</f>
        <v/>
      </c>
      <c r="C910" s="182" t="inlineStr">
        <is>
          <t>张家口丝绸之路新能源有限公司</t>
        </is>
      </c>
      <c r="D910" s="182" t="inlineStr">
        <is>
          <t>ZI029E100730</t>
        </is>
      </c>
      <c r="E910" s="182" t="inlineStr">
        <is>
          <t>京能国际能源发展（北京）有限公司</t>
        </is>
      </c>
      <c r="F910" s="716" t="n"/>
      <c r="G910" s="716" t="n"/>
      <c r="H910" s="462" t="n"/>
    </row>
    <row r="911">
      <c r="A911" s="672" t="inlineStr">
        <is>
          <t>E100842</t>
        </is>
      </c>
      <c r="B911" s="767">
        <f>ROW()</f>
        <v/>
      </c>
      <c r="C911" s="182" t="inlineStr">
        <is>
          <t>张家口万全区京能清洁能源有限公司</t>
        </is>
      </c>
      <c r="D911" s="182" t="inlineStr">
        <is>
          <t>ZI029E100001</t>
        </is>
      </c>
      <c r="E911" s="182" t="inlineStr">
        <is>
          <t>北京京能清洁能源电力股份有限公司</t>
        </is>
      </c>
      <c r="F911" s="716" t="n"/>
      <c r="G911" s="716" t="n"/>
      <c r="H911" s="462" t="n"/>
    </row>
    <row r="912">
      <c r="A912" s="672" t="inlineStr">
        <is>
          <t>E100778</t>
        </is>
      </c>
      <c r="B912" s="767">
        <f>ROW()</f>
        <v/>
      </c>
      <c r="C912" s="182" t="inlineStr">
        <is>
          <t>漳州京能清洁能源电力有限公司</t>
        </is>
      </c>
      <c r="D912" s="182" t="inlineStr">
        <is>
          <t>ZI029E100001</t>
        </is>
      </c>
      <c r="E912" s="182" t="inlineStr">
        <is>
          <t>北京京能清洁能源电力股份有限公司</t>
        </is>
      </c>
      <c r="F912" s="716" t="n"/>
      <c r="G912" s="716" t="n"/>
      <c r="H912" s="462" t="n"/>
    </row>
    <row r="913">
      <c r="A913" s="672" t="inlineStr">
        <is>
          <t>E101020</t>
        </is>
      </c>
      <c r="B913" s="767">
        <f>ROW()</f>
        <v/>
      </c>
      <c r="C913" s="182" t="inlineStr">
        <is>
          <t>招商局漳州开发区博新太阳能科技有限公司</t>
        </is>
      </c>
      <c r="D913" s="182" t="inlineStr">
        <is>
          <t>ZI029E101019</t>
        </is>
      </c>
      <c r="E913" s="182" t="inlineStr">
        <is>
          <t>招商局漳州开发区丝路方舟碳资产管理有限公司</t>
        </is>
      </c>
      <c r="F913" s="716" t="n"/>
      <c r="G913" s="716" t="n"/>
      <c r="H913" s="462" t="n"/>
    </row>
    <row r="914">
      <c r="A914" s="672" t="inlineStr">
        <is>
          <t>E101019</t>
        </is>
      </c>
      <c r="B914" s="767">
        <f>ROW()</f>
        <v/>
      </c>
      <c r="C914" s="182" t="inlineStr">
        <is>
          <t>招商局漳州开发区丝路方舟碳资产管理有限公司</t>
        </is>
      </c>
      <c r="D914" s="182" t="inlineStr">
        <is>
          <t>ZI029E100881</t>
        </is>
      </c>
      <c r="E914" s="182" t="inlineStr">
        <is>
          <t>China Solar Power Group Limited</t>
        </is>
      </c>
      <c r="F914" s="716" t="n"/>
      <c r="G914" s="716" t="n"/>
      <c r="H914" s="462" t="n"/>
    </row>
    <row r="915">
      <c r="A915" s="672" t="inlineStr">
        <is>
          <t>E100944</t>
        </is>
      </c>
      <c r="B915" s="767">
        <f>ROW()</f>
        <v/>
      </c>
      <c r="C915" s="182" t="inlineStr">
        <is>
          <t>招新诺能（常州）新能源有限公司</t>
        </is>
      </c>
      <c r="D915" s="182" t="inlineStr">
        <is>
          <t>ZI029E100730</t>
        </is>
      </c>
      <c r="E915" s="182" t="inlineStr">
        <is>
          <t>京能国际能源发展（北京）有限公司</t>
        </is>
      </c>
      <c r="F915" s="716" t="n"/>
      <c r="G915" s="716" t="n"/>
      <c r="H915" s="462" t="n"/>
    </row>
    <row r="916">
      <c r="A916" s="672" t="inlineStr">
        <is>
          <t>E100926</t>
        </is>
      </c>
      <c r="B916" s="767">
        <f>ROW()</f>
        <v/>
      </c>
      <c r="C916" s="182" t="inlineStr">
        <is>
          <t>浙江阿波溪仑光伏科技有限公司</t>
        </is>
      </c>
      <c r="D916" s="182" t="inlineStr">
        <is>
          <t>ZI029E100730</t>
        </is>
      </c>
      <c r="E916" s="182" t="inlineStr">
        <is>
          <t>京能国际能源发展（北京）有限公司</t>
        </is>
      </c>
      <c r="F916" s="716" t="n"/>
      <c r="G916" s="716" t="n"/>
      <c r="H916" s="462" t="n"/>
    </row>
    <row r="917">
      <c r="A917" s="672" t="inlineStr">
        <is>
          <t>E100820</t>
        </is>
      </c>
      <c r="B917" s="767">
        <f>ROW()</f>
        <v/>
      </c>
      <c r="C917" s="182" t="inlineStr">
        <is>
          <t>正蓝旗国电光伏发电有限公司</t>
        </is>
      </c>
      <c r="D917" s="182" t="inlineStr">
        <is>
          <t>ZI029E100730</t>
        </is>
      </c>
      <c r="E917" s="182" t="inlineStr">
        <is>
          <t>京能国际能源发展（北京）有限公司</t>
        </is>
      </c>
      <c r="F917" s="716" t="n"/>
      <c r="G917" s="716" t="n"/>
      <c r="H917" s="462" t="n"/>
    </row>
    <row r="918">
      <c r="A918" s="672" t="inlineStr">
        <is>
          <t>E100369</t>
        </is>
      </c>
      <c r="B918" s="767">
        <f>ROW()</f>
        <v/>
      </c>
      <c r="C918" s="182" t="inlineStr">
        <is>
          <t>中国共产党北京能源集团有限责任公司委员会党校</t>
        </is>
      </c>
      <c r="D918" s="182" t="inlineStr">
        <is>
          <t>ZI029E100000</t>
        </is>
      </c>
      <c r="E918" s="182" t="inlineStr">
        <is>
          <t>北京能源集团有限责任公司</t>
        </is>
      </c>
      <c r="F918" s="716" t="n"/>
      <c r="G918" s="716" t="n"/>
      <c r="H918" s="462" t="n"/>
    </row>
    <row r="919">
      <c r="A919" s="672" t="inlineStr">
        <is>
          <t>E100754</t>
        </is>
      </c>
      <c r="B919" s="767">
        <f>ROW()</f>
        <v/>
      </c>
      <c r="C919" s="182" t="inlineStr">
        <is>
          <t>中利腾晖（嘉峪关）光伏发电有限公司</t>
        </is>
      </c>
      <c r="D919" s="182" t="inlineStr">
        <is>
          <t>ZI029E100982</t>
        </is>
      </c>
      <c r="E919" s="182" t="inlineStr">
        <is>
          <t>青海晖达光伏有限公司</t>
        </is>
      </c>
      <c r="F919" s="716" t="n"/>
      <c r="G919" s="716" t="n"/>
      <c r="H919" s="462" t="n"/>
    </row>
    <row r="920">
      <c r="A920" s="672" t="inlineStr">
        <is>
          <t>E100742</t>
        </is>
      </c>
      <c r="B920" s="767">
        <f>ROW()</f>
        <v/>
      </c>
      <c r="C920" s="182" t="inlineStr">
        <is>
          <t>中利腾晖共和光伏发电有限公司</t>
        </is>
      </c>
      <c r="D920" s="182" t="inlineStr">
        <is>
          <t>ZI029E100734</t>
        </is>
      </c>
      <c r="E920" s="182" t="inlineStr">
        <is>
          <t>联合光伏（常州）投资集团有限公司</t>
        </is>
      </c>
      <c r="F920" s="716" t="n"/>
      <c r="G920" s="716" t="n"/>
      <c r="H920" s="462" t="n"/>
    </row>
    <row r="921">
      <c r="A921" s="672" t="inlineStr">
        <is>
          <t>E100743</t>
        </is>
      </c>
      <c r="B921" s="767">
        <f>ROW()</f>
        <v/>
      </c>
      <c r="C921" s="182" t="inlineStr">
        <is>
          <t>中利腾晖共和新能源有限公司</t>
        </is>
      </c>
      <c r="D921" s="182" t="inlineStr">
        <is>
          <t>ZI029E100955</t>
        </is>
      </c>
      <c r="E921" s="182" t="inlineStr">
        <is>
          <t>常州鼎晖新能源有限公司</t>
        </is>
      </c>
      <c r="F921" s="716" t="n"/>
      <c r="G921" s="716" t="n"/>
      <c r="H921" s="462" t="n"/>
    </row>
    <row r="922">
      <c r="A922" s="672" t="inlineStr">
        <is>
          <t>E100546</t>
        </is>
      </c>
      <c r="B922" s="767">
        <f>ROW()</f>
        <v/>
      </c>
      <c r="C922" s="182" t="inlineStr">
        <is>
          <t>珠海市京湾综合能源有限公司</t>
        </is>
      </c>
      <c r="D922" s="182" t="inlineStr">
        <is>
          <t>ZI029E100000</t>
        </is>
      </c>
      <c r="E922" s="182" t="inlineStr">
        <is>
          <t>北京能源集团有限责任公司</t>
        </is>
      </c>
      <c r="F922" s="716" t="n"/>
      <c r="G922" s="716" t="n"/>
      <c r="H922" s="462" t="n"/>
    </row>
    <row r="923">
      <c r="A923" s="672" t="inlineStr">
        <is>
          <t>E100012</t>
        </is>
      </c>
      <c r="B923" s="767">
        <f>ROW()</f>
        <v/>
      </c>
      <c r="C923" s="182" t="inlineStr">
        <is>
          <t>珠海市钰海电力有限公司</t>
        </is>
      </c>
      <c r="D923" s="182" t="inlineStr">
        <is>
          <t>ZI029E100000</t>
        </is>
      </c>
      <c r="E923" s="182" t="inlineStr">
        <is>
          <t>北京能源集团有限责任公司</t>
        </is>
      </c>
      <c r="F923" s="716" t="n"/>
      <c r="G923" s="716" t="n"/>
      <c r="H923" s="462" t="n"/>
    </row>
    <row r="924">
      <c r="A924" s="672" t="inlineStr">
        <is>
          <t>E100247</t>
        </is>
      </c>
      <c r="B924" s="767">
        <f>ROW()</f>
        <v/>
      </c>
      <c r="C924" s="182" t="inlineStr">
        <is>
          <t>涿州市京热热力有限责任公司</t>
        </is>
      </c>
      <c r="D924" s="182" t="inlineStr">
        <is>
          <t>ZI029E100259</t>
        </is>
      </c>
      <c r="E924" s="182" t="inlineStr">
        <is>
          <t>北京京能热力发展有限公司</t>
        </is>
      </c>
      <c r="F924" s="716" t="n"/>
      <c r="G924" s="716" t="n"/>
      <c r="H924" s="462" t="n"/>
    </row>
    <row r="925">
      <c r="A925" s="672" t="inlineStr">
        <is>
          <t>E100975</t>
        </is>
      </c>
      <c r="B925" s="767">
        <f>ROW()</f>
        <v/>
      </c>
      <c r="C925" s="182" t="inlineStr">
        <is>
          <t>卓资县陆阳新能源有限公司</t>
        </is>
      </c>
      <c r="D925" s="182" t="inlineStr">
        <is>
          <t>ZI029E100973</t>
        </is>
      </c>
      <c r="E925" s="182" t="inlineStr">
        <is>
          <t>察右前旗联合光伏发电有限公司</t>
        </is>
      </c>
      <c r="F925" s="716" t="n"/>
      <c r="G925" s="716" t="n"/>
      <c r="H925" s="462" t="n"/>
    </row>
    <row r="926">
      <c r="A926" s="672" t="inlineStr">
        <is>
          <t>E100081</t>
        </is>
      </c>
      <c r="B926" s="767">
        <f>ROW()</f>
        <v/>
      </c>
      <c r="C926" s="182" t="inlineStr">
        <is>
          <t>左云京能风力发电有限责任公司</t>
        </is>
      </c>
      <c r="D926" s="182" t="inlineStr">
        <is>
          <t>ZI029E100001</t>
        </is>
      </c>
      <c r="E926" s="182" t="inlineStr">
        <is>
          <t>北京京能清洁能源电力股份有限公司</t>
        </is>
      </c>
      <c r="F926" s="716" t="n"/>
      <c r="G926" s="716" t="n"/>
      <c r="H926" s="462" t="n"/>
    </row>
    <row r="927">
      <c r="A927" s="672" t="inlineStr">
        <is>
          <t>E100747</t>
        </is>
      </c>
      <c r="B927" s="767">
        <f>ROW()</f>
        <v/>
      </c>
      <c r="C927" s="182" t="inlineStr">
        <is>
          <t>北京能源国际控股有限公司</t>
        </is>
      </c>
      <c r="D927" s="182" t="inlineStr">
        <is>
          <t>ZI029E199999</t>
        </is>
      </c>
      <c r="E927" s="182" t="inlineStr">
        <is>
          <t>北京能源投资（香港）有限公司</t>
        </is>
      </c>
      <c r="F927" s="716" t="n"/>
      <c r="G927" s="716" t="n"/>
      <c r="H927" s="462" t="n"/>
    </row>
    <row r="928">
      <c r="A928" s="672" t="inlineStr">
        <is>
          <t>E100303</t>
        </is>
      </c>
      <c r="B928" s="767">
        <f>ROW()</f>
        <v/>
      </c>
      <c r="C928" s="182" t="inlineStr">
        <is>
          <t>北京天湖会议中心有限公司</t>
        </is>
      </c>
      <c r="D928" s="182" t="inlineStr">
        <is>
          <t>ZI029E100320</t>
        </is>
      </c>
      <c r="E928" s="182" t="inlineStr">
        <is>
          <t>北京市天创房地产开发有限公司</t>
        </is>
      </c>
      <c r="F928" s="716" t="n"/>
      <c r="G928" s="716" t="n"/>
      <c r="H928" s="462" t="n"/>
    </row>
    <row r="929">
      <c r="A929" s="672" t="inlineStr">
        <is>
          <t>E100375</t>
        </is>
      </c>
      <c r="B929" s="767">
        <f>ROW()</f>
        <v/>
      </c>
      <c r="C929" s="672" t="inlineStr">
        <is>
          <t>北京京能碳资产管理有限公司</t>
        </is>
      </c>
      <c r="D929" s="182" t="inlineStr">
        <is>
          <t>ZI029E100371</t>
        </is>
      </c>
      <c r="E929" s="672" t="inlineStr">
        <is>
          <t>北京京能科技有限公司</t>
        </is>
      </c>
      <c r="F929" s="716" t="n"/>
      <c r="G929" s="716" t="n"/>
      <c r="H929" s="462" t="n"/>
    </row>
    <row r="930">
      <c r="A930" s="672" t="inlineStr">
        <is>
          <t>E100321</t>
        </is>
      </c>
      <c r="B930" s="767">
        <f>ROW()</f>
        <v/>
      </c>
      <c r="C930" s="672" t="inlineStr">
        <is>
          <t>北京京能天泰房地产开发有限公司</t>
        </is>
      </c>
      <c r="D930" s="182" t="inlineStr">
        <is>
          <t>ZI029E100320</t>
        </is>
      </c>
      <c r="E930" s="182" t="inlineStr">
        <is>
          <t>北京市天创房地产开发有限公司</t>
        </is>
      </c>
      <c r="F930" s="716" t="n"/>
      <c r="G930" s="716" t="n"/>
      <c r="H930" s="462" t="n"/>
    </row>
    <row r="931">
      <c r="A931" s="672" t="inlineStr">
        <is>
          <t>E100428</t>
        </is>
      </c>
      <c r="B931" s="767">
        <f>ROW()</f>
        <v/>
      </c>
      <c r="C931" s="182" t="inlineStr">
        <is>
          <t>北京京石融宁房地产开发有限公司</t>
        </is>
      </c>
      <c r="D931" s="182" t="inlineStr">
        <is>
          <t>ZI029E100420</t>
        </is>
      </c>
      <c r="E931" s="182" t="inlineStr">
        <is>
          <t>京能置业股份有限公司</t>
        </is>
      </c>
      <c r="F931" s="716" t="n"/>
      <c r="G931" s="716" t="n"/>
      <c r="H931" s="462" t="n"/>
    </row>
    <row r="932">
      <c r="A932" s="672" t="inlineStr">
        <is>
          <t>E100431</t>
        </is>
      </c>
      <c r="B932" s="767">
        <f>ROW()</f>
        <v/>
      </c>
      <c r="C932" s="182" t="inlineStr">
        <is>
          <t>大连京能阳光房地产开发有限公司</t>
        </is>
      </c>
      <c r="D932" s="182" t="inlineStr">
        <is>
          <t>ZI029E100420</t>
        </is>
      </c>
      <c r="E932" s="182" t="inlineStr">
        <is>
          <t>京能置业股份有限公司</t>
        </is>
      </c>
      <c r="F932" s="716" t="n"/>
      <c r="G932" s="716" t="n"/>
      <c r="H932" s="462" t="n"/>
    </row>
    <row r="933">
      <c r="A933" s="672" t="inlineStr">
        <is>
          <t>E100424</t>
        </is>
      </c>
      <c r="B933" s="767">
        <f>ROW()</f>
        <v/>
      </c>
      <c r="C933" s="182" t="inlineStr">
        <is>
          <t>北京天创世缘房地产开发有限公司</t>
        </is>
      </c>
      <c r="D933" s="182" t="inlineStr">
        <is>
          <t>ZI029E100420</t>
        </is>
      </c>
      <c r="E933" s="182" t="inlineStr">
        <is>
          <t>京能置业股份有限公司</t>
        </is>
      </c>
      <c r="F933" s="716" t="n"/>
      <c r="G933" s="716" t="n"/>
      <c r="H933" s="462" t="n"/>
    </row>
    <row r="934">
      <c r="A934" s="672" t="inlineStr">
        <is>
          <t>E100430</t>
        </is>
      </c>
      <c r="B934" s="767">
        <f>ROW()</f>
        <v/>
      </c>
      <c r="C934" s="182" t="inlineStr">
        <is>
          <t>天津海航东海岸发展有限公司</t>
        </is>
      </c>
      <c r="D934" s="182" t="inlineStr">
        <is>
          <t>ZI029E100420</t>
        </is>
      </c>
      <c r="E934" s="182" t="inlineStr">
        <is>
          <t>京能置业股份有限公司</t>
        </is>
      </c>
      <c r="F934" s="716" t="n"/>
      <c r="G934" s="716" t="n"/>
      <c r="H934" s="462" t="n"/>
    </row>
    <row r="935">
      <c r="A935" s="672" t="inlineStr">
        <is>
          <t>E100427</t>
        </is>
      </c>
      <c r="B935" s="767">
        <f>ROW()</f>
        <v/>
      </c>
      <c r="C935" s="182" t="inlineStr">
        <is>
          <t>北京京能海赋置业有限公司</t>
        </is>
      </c>
      <c r="D935" s="182" t="inlineStr">
        <is>
          <t>ZI029E100420</t>
        </is>
      </c>
      <c r="E935" s="182" t="inlineStr">
        <is>
          <t>京能置业股份有限公司</t>
        </is>
      </c>
      <c r="F935" s="716" t="n"/>
      <c r="G935" s="716" t="n"/>
      <c r="H935" s="462" t="n"/>
    </row>
    <row r="936">
      <c r="A936" s="672" t="inlineStr">
        <is>
          <t>E100423</t>
        </is>
      </c>
      <c r="B936" s="767">
        <f>ROW()</f>
        <v/>
      </c>
      <c r="C936" s="182" t="inlineStr">
        <is>
          <t>北京京能育兴房地产开发有限公司</t>
        </is>
      </c>
      <c r="D936" s="182" t="inlineStr">
        <is>
          <t>ZI029E100420</t>
        </is>
      </c>
      <c r="E936" s="182" t="inlineStr">
        <is>
          <t>京能置业股份有限公司</t>
        </is>
      </c>
      <c r="F936" s="716" t="n"/>
      <c r="G936" s="716" t="n"/>
      <c r="H936" s="462" t="n"/>
    </row>
    <row r="937">
      <c r="A937" s="672" t="inlineStr">
        <is>
          <t>E100535</t>
        </is>
      </c>
      <c r="B937" s="767">
        <f>ROW()</f>
        <v/>
      </c>
      <c r="C937" s="182" t="inlineStr">
        <is>
          <t>北京京能京西房地产开发有限公司</t>
        </is>
      </c>
      <c r="D937" s="182" t="inlineStr">
        <is>
          <t>ZI029E100420</t>
        </is>
      </c>
      <c r="E937" s="182" t="inlineStr">
        <is>
          <t>京能置业股份有限公司</t>
        </is>
      </c>
      <c r="F937" s="716" t="n"/>
      <c r="G937" s="716" t="n"/>
      <c r="H937" s="462" t="n"/>
    </row>
    <row r="938">
      <c r="A938" s="672" t="inlineStr">
        <is>
          <t>E100806</t>
        </is>
      </c>
      <c r="B938" s="767">
        <f>ROW()</f>
        <v/>
      </c>
      <c r="C938" s="182" t="inlineStr">
        <is>
          <t>北京京珑置业有限公司</t>
        </is>
      </c>
      <c r="D938" s="182" t="inlineStr">
        <is>
          <t>ZI029E100420</t>
        </is>
      </c>
      <c r="E938" s="182" t="inlineStr">
        <is>
          <t>京能置业股份有限公司</t>
        </is>
      </c>
      <c r="F938" s="716" t="n"/>
      <c r="G938" s="716" t="n"/>
      <c r="H938" s="462" t="n"/>
    </row>
    <row r="939">
      <c r="A939" s="672" t="inlineStr">
        <is>
          <t>E100830</t>
        </is>
      </c>
      <c r="B939" s="767">
        <f>ROW()</f>
        <v/>
      </c>
      <c r="C939" s="182" t="inlineStr">
        <is>
          <t>北京九樾房地产开发有限公司</t>
        </is>
      </c>
      <c r="D939" s="182" t="inlineStr">
        <is>
          <t>ZI029E100420</t>
        </is>
      </c>
      <c r="E939" s="182" t="inlineStr">
        <is>
          <t>京能置业股份有限公司</t>
        </is>
      </c>
      <c r="F939" s="716" t="n"/>
      <c r="G939" s="716" t="n"/>
      <c r="H939" s="462" t="n"/>
    </row>
    <row r="940">
      <c r="A940" s="672" t="inlineStr">
        <is>
          <t>E100433</t>
        </is>
      </c>
      <c r="B940" s="767">
        <f>ROW()</f>
        <v/>
      </c>
      <c r="C940" s="182" t="inlineStr">
        <is>
          <t>北京丽富房地产开发有限公司</t>
        </is>
      </c>
      <c r="D940" s="182" t="inlineStr">
        <is>
          <t>ZI029E100420</t>
        </is>
      </c>
      <c r="E940" s="182" t="inlineStr">
        <is>
          <t>京能置业股份有限公司</t>
        </is>
      </c>
      <c r="F940" s="716" t="n"/>
      <c r="G940" s="716" t="n"/>
      <c r="H940" s="462" t="n"/>
    </row>
    <row r="941">
      <c r="A941" s="672" t="inlineStr">
        <is>
          <t>E100704</t>
        </is>
      </c>
      <c r="B941" s="767">
        <f>ROW()</f>
        <v/>
      </c>
      <c r="C941" s="182" t="inlineStr">
        <is>
          <t>北京京润仁康控股有限公司</t>
        </is>
      </c>
      <c r="D941" s="182" t="inlineStr">
        <is>
          <t>ZI029E100268</t>
        </is>
      </c>
      <c r="E941" s="182" t="inlineStr">
        <is>
          <t>北京京煤集团有限责任公司</t>
        </is>
      </c>
      <c r="F941" s="716" t="n"/>
      <c r="G941" s="716" t="n"/>
      <c r="H941" s="462" t="n"/>
    </row>
    <row r="942">
      <c r="A942" s="672" t="inlineStr">
        <is>
          <t>E100705</t>
        </is>
      </c>
      <c r="B942" s="767">
        <f>ROW()</f>
        <v/>
      </c>
      <c r="C942" s="182" t="inlineStr">
        <is>
          <t>北京京润仁康医院管理有限公司</t>
        </is>
      </c>
      <c r="D942" s="182" t="inlineStr">
        <is>
          <t>ZI029E100268</t>
        </is>
      </c>
      <c r="E942" s="182" t="inlineStr">
        <is>
          <t>北京京煤集团有限责任公司</t>
        </is>
      </c>
      <c r="F942" s="716" t="n"/>
      <c r="G942" s="716" t="n"/>
      <c r="H942" s="462" t="n"/>
    </row>
    <row r="943">
      <c r="A943" s="672" t="inlineStr">
        <is>
          <t>E100704G</t>
        </is>
      </c>
      <c r="B943" s="767">
        <f>ROW()</f>
        <v/>
      </c>
      <c r="C943" s="182" t="inlineStr">
        <is>
          <t>北京京润仁康控股有限公司（合并）</t>
        </is>
      </c>
      <c r="D943" s="182" t="inlineStr">
        <is>
          <t>ZI029E100268</t>
        </is>
      </c>
      <c r="E943" s="182" t="inlineStr">
        <is>
          <t>北京京煤集团有限责任公司</t>
        </is>
      </c>
      <c r="F943" s="716" t="n"/>
      <c r="G943" s="716" t="n"/>
      <c r="H943" s="462" t="n"/>
    </row>
    <row r="944">
      <c r="A944" s="672" t="inlineStr">
        <is>
          <t>E101139</t>
        </is>
      </c>
      <c r="B944" s="767">
        <f>ROW()</f>
        <v/>
      </c>
      <c r="C944" s="182" t="inlineStr">
        <is>
          <t>天创科技发展有限公司</t>
        </is>
      </c>
      <c r="D944" s="182" t="inlineStr">
        <is>
          <t>ZI029E100320</t>
        </is>
      </c>
      <c r="E944" s="182" t="inlineStr">
        <is>
          <t>北京市天创房地产开发有限公司</t>
        </is>
      </c>
      <c r="F944" s="716" t="n"/>
      <c r="G944" s="716" t="n"/>
      <c r="H944" s="462" t="n"/>
    </row>
    <row r="945">
      <c r="A945" s="672" t="inlineStr">
        <is>
          <t>E101098</t>
        </is>
      </c>
      <c r="B945" s="767">
        <f>ROW()</f>
        <v/>
      </c>
      <c r="C945" s="182" t="inlineStr">
        <is>
          <t>肇庆市莱特斯新能源有限公司</t>
        </is>
      </c>
      <c r="D945" s="182" t="inlineStr">
        <is>
          <t>ZI029E101097</t>
        </is>
      </c>
      <c r="E945" s="182" t="inlineStr">
        <is>
          <t>肇庆市莱湾新能源科技有限公司</t>
        </is>
      </c>
      <c r="F945" s="716" t="n"/>
      <c r="G945" s="716" t="n"/>
      <c r="H945" s="462" t="n"/>
    </row>
    <row r="946">
      <c r="A946" s="672" t="inlineStr">
        <is>
          <t>E101097</t>
        </is>
      </c>
      <c r="B946" s="767">
        <f>ROW()</f>
        <v/>
      </c>
      <c r="C946" s="182" t="inlineStr">
        <is>
          <t>肇庆市莱湾新能源科技有限公司</t>
        </is>
      </c>
      <c r="D946" s="182" t="inlineStr">
        <is>
          <t>ZI029E100730</t>
        </is>
      </c>
      <c r="E946" s="182" t="inlineStr">
        <is>
          <t>京能国际能源发展（北京）有限公司</t>
        </is>
      </c>
      <c r="F946" s="716" t="n"/>
      <c r="G946" s="716" t="n"/>
      <c r="H946" s="462" t="n"/>
    </row>
    <row r="947">
      <c r="A947" s="672" t="inlineStr">
        <is>
          <t>E101085</t>
        </is>
      </c>
      <c r="B947" s="767">
        <f>ROW()</f>
        <v/>
      </c>
      <c r="C947" s="182" t="inlineStr">
        <is>
          <t>京邗（扬州）光伏发电有限公司</t>
        </is>
      </c>
      <c r="D947" s="182" t="inlineStr">
        <is>
          <t>ZI029E100883</t>
        </is>
      </c>
      <c r="E947" s="182" t="inlineStr">
        <is>
          <t>Beijing Energy International Investment Limited</t>
        </is>
      </c>
      <c r="F947" s="716" t="n"/>
      <c r="G947" s="716" t="n"/>
      <c r="H947" s="462" t="n"/>
    </row>
    <row r="948">
      <c r="A948" s="672" t="inlineStr">
        <is>
          <t>E101100</t>
        </is>
      </c>
      <c r="B948" s="767">
        <f>ROW()</f>
        <v/>
      </c>
      <c r="C948" s="182" t="inlineStr">
        <is>
          <t>凤台县晟阳新能源发电有限公司</t>
        </is>
      </c>
      <c r="D948" s="182" t="inlineStr">
        <is>
          <t>ZI029E100730</t>
        </is>
      </c>
      <c r="E948" s="182" t="inlineStr">
        <is>
          <t>京能国际能源发展（北京）有限公司</t>
        </is>
      </c>
      <c r="F948" s="716" t="n"/>
      <c r="G948" s="716" t="n"/>
      <c r="H948" s="462" t="n"/>
    </row>
    <row r="949">
      <c r="A949" s="672" t="inlineStr">
        <is>
          <t>E101091</t>
        </is>
      </c>
      <c r="B949" s="767">
        <f>ROW()</f>
        <v/>
      </c>
      <c r="C949" s="182" t="inlineStr">
        <is>
          <t>北京京亦综合能源有限公司</t>
        </is>
      </c>
      <c r="D949" s="182" t="inlineStr">
        <is>
          <t>ZI029E100748</t>
        </is>
      </c>
      <c r="E949" s="182" t="inlineStr">
        <is>
          <t>北京京能国际综合智慧能源有限公司</t>
        </is>
      </c>
      <c r="F949" s="716" t="n"/>
      <c r="G949" s="716" t="n"/>
      <c r="H949" s="462" t="n"/>
    </row>
    <row r="950">
      <c r="A950" s="672" t="inlineStr">
        <is>
          <t>E100344</t>
        </is>
      </c>
      <c r="B950" s="767">
        <f>ROW()</f>
        <v/>
      </c>
      <c r="C950" s="182" t="inlineStr">
        <is>
          <t>北京京煤集团总医院</t>
        </is>
      </c>
      <c r="D950" s="182" t="inlineStr">
        <is>
          <t>ZI029E100704</t>
        </is>
      </c>
      <c r="E950" s="182" t="inlineStr">
        <is>
          <t>北京京润仁康控股有限公司</t>
        </is>
      </c>
      <c r="F950" s="716" t="n"/>
      <c r="G950" s="716" t="n"/>
      <c r="H950" s="462" t="n"/>
    </row>
    <row r="951">
      <c r="A951" s="672" t="inlineStr">
        <is>
          <t>E100288</t>
        </is>
      </c>
      <c r="B951" s="767">
        <f>ROW()</f>
        <v/>
      </c>
      <c r="C951" s="182" t="inlineStr">
        <is>
          <t>北京科技高级技术学校</t>
        </is>
      </c>
      <c r="D951" s="182" t="inlineStr">
        <is>
          <t>ZI029E100268</t>
        </is>
      </c>
      <c r="E951" s="182" t="inlineStr">
        <is>
          <t>北京京煤集团有限责任公司</t>
        </is>
      </c>
      <c r="F951" s="716" t="n"/>
      <c r="G951" s="716" t="n"/>
      <c r="H951" s="462" t="n"/>
    </row>
    <row r="952">
      <c r="A952" s="672" t="inlineStr">
        <is>
          <t>E100803</t>
        </is>
      </c>
      <c r="B952" s="767">
        <f>ROW()</f>
        <v/>
      </c>
      <c r="C952" s="182" t="inlineStr">
        <is>
          <t>北京京能颐寿轩康养有限公司（原名东竹园康养）</t>
        </is>
      </c>
      <c r="D952" s="182" t="inlineStr">
        <is>
          <t>ZI029E100776</t>
        </is>
      </c>
      <c r="E952" s="182" t="inlineStr">
        <is>
          <t>北京健康养老集团有限公司</t>
        </is>
      </c>
      <c r="F952" s="716" t="n"/>
      <c r="G952" s="716" t="n"/>
      <c r="H952" s="462" t="n"/>
    </row>
    <row r="953">
      <c r="A953" s="672" t="inlineStr">
        <is>
          <t>E101141</t>
        </is>
      </c>
      <c r="B953" s="767">
        <f>ROW()</f>
        <v/>
      </c>
      <c r="C953" s="182" t="inlineStr">
        <is>
          <t>锡林郭勒峰峰能源有限公司</t>
        </is>
      </c>
      <c r="D953" s="182" t="inlineStr">
        <is>
          <t>ZI029E100000</t>
        </is>
      </c>
      <c r="E953" s="182" t="inlineStr">
        <is>
          <t>北京能源集团有限责任公司</t>
        </is>
      </c>
      <c r="F953" s="716" t="n"/>
      <c r="G953" s="716" t="n"/>
      <c r="H953" s="462" t="n"/>
    </row>
    <row r="954">
      <c r="A954" s="672" t="inlineStr">
        <is>
          <t>E100559</t>
        </is>
      </c>
      <c r="B954" s="767">
        <f>ROW()</f>
        <v/>
      </c>
      <c r="C954" s="182" t="inlineStr">
        <is>
          <t>北京能源投资集团（香港）有限公司</t>
        </is>
      </c>
      <c r="D954" s="182" t="inlineStr">
        <is>
          <t>ZI029E100000</t>
        </is>
      </c>
      <c r="E954" s="182" t="inlineStr">
        <is>
          <t>北京能源集团有限责任公司</t>
        </is>
      </c>
      <c r="F954" s="716" t="n"/>
      <c r="G954" s="716" t="n"/>
      <c r="H954" s="462" t="n"/>
    </row>
    <row r="955">
      <c r="A955" s="672" t="inlineStr">
        <is>
          <t>E101133</t>
        </is>
      </c>
      <c r="B955" s="767">
        <f>ROW()</f>
        <v/>
      </c>
      <c r="C955" s="182" t="inlineStr">
        <is>
          <t>京能冀北新能源（唐山）有限公司</t>
        </is>
      </c>
      <c r="D955" s="182" t="inlineStr">
        <is>
          <t>ZI029E100145</t>
        </is>
      </c>
      <c r="E955" s="182" t="inlineStr">
        <is>
          <t>北京京能电力股份有限公司</t>
        </is>
      </c>
      <c r="F955" s="716" t="n"/>
      <c r="G955" s="716" t="n"/>
      <c r="H955" s="462" t="n"/>
    </row>
    <row r="956">
      <c r="A956" s="672" t="inlineStr">
        <is>
          <t>E101142</t>
        </is>
      </c>
      <c r="B956" s="767">
        <f>ROW()</f>
        <v/>
      </c>
      <c r="C956" s="182">
        <f>IF(_epmOfflineCondition_,"灵寿县清智新能源科技有限公司",EPMMemberDesc(A956))</f>
        <v/>
      </c>
      <c r="D956" s="182" t="inlineStr">
        <is>
          <t>ZI029E100001</t>
        </is>
      </c>
      <c r="E956" s="182" t="inlineStr">
        <is>
          <t>北京京能清洁能源电力股份有限公司</t>
        </is>
      </c>
      <c r="F956" s="716" t="n"/>
      <c r="G956" s="716" t="n"/>
      <c r="H956" s="462" t="n"/>
    </row>
    <row r="957">
      <c r="A957" s="672" t="inlineStr">
        <is>
          <t>E100843</t>
        </is>
      </c>
      <c r="B957" s="767">
        <f>ROW()</f>
        <v/>
      </c>
      <c r="C957" s="182" t="inlineStr">
        <is>
          <t>北康秦皇岛健康养老有限公司</t>
        </is>
      </c>
      <c r="D957" s="182" t="inlineStr">
        <is>
          <t>ZI029E100776</t>
        </is>
      </c>
      <c r="E957" s="182" t="inlineStr">
        <is>
          <t>北京健康养老集团有限公司</t>
        </is>
      </c>
      <c r="F957" s="716" t="n"/>
      <c r="G957" s="716" t="n"/>
      <c r="H957" s="462" t="n"/>
    </row>
    <row r="958">
      <c r="A958" s="672" t="inlineStr">
        <is>
          <t>E101136</t>
        </is>
      </c>
      <c r="B958" s="767">
        <f>ROW()</f>
        <v/>
      </c>
      <c r="C958" s="182" t="inlineStr">
        <is>
          <t>北京市石景山区老年福养老服务中心</t>
        </is>
      </c>
      <c r="D958" s="182" t="inlineStr">
        <is>
          <t>ZI029E100776</t>
        </is>
      </c>
      <c r="E958" s="182" t="inlineStr">
        <is>
          <t>北京健康养老集团有限公司</t>
        </is>
      </c>
      <c r="F958" s="716" t="n"/>
      <c r="G958" s="716" t="n"/>
      <c r="H958" s="462" t="n"/>
    </row>
    <row r="959">
      <c r="A959" s="672" t="inlineStr">
        <is>
          <t>E101138</t>
        </is>
      </c>
      <c r="B959" s="767">
        <f>ROW()</f>
        <v/>
      </c>
      <c r="C959" s="182" t="inlineStr">
        <is>
          <t>北京市门头沟区沁心园养老照料中心</t>
        </is>
      </c>
      <c r="D959" s="182" t="inlineStr">
        <is>
          <t>ZI029E101136</t>
        </is>
      </c>
      <c r="E959" s="182" t="inlineStr">
        <is>
          <t>北京市石景山区老年福养老服务中心</t>
        </is>
      </c>
      <c r="F959" s="716" t="n"/>
      <c r="G959" s="716" t="n"/>
      <c r="H959" s="462" t="n"/>
    </row>
    <row r="960">
      <c r="A960" s="672" t="inlineStr">
        <is>
          <t>E100014H</t>
        </is>
      </c>
      <c r="B960" s="767">
        <f>ROW()</f>
        <v/>
      </c>
      <c r="C960" s="182" t="inlineStr">
        <is>
          <t>北京京能新能源有限公司（合并）</t>
        </is>
      </c>
      <c r="D960" s="182" t="inlineStr">
        <is>
          <t>ZI029E100001</t>
        </is>
      </c>
      <c r="E960" s="182" t="inlineStr">
        <is>
          <t>北京京能清洁能源电力股份有限公司</t>
        </is>
      </c>
      <c r="F960" s="716" t="n"/>
      <c r="G960" s="716" t="n"/>
      <c r="H960" s="462" t="n"/>
    </row>
    <row r="961">
      <c r="A961" s="672" t="inlineStr">
        <is>
          <t>E100031H</t>
        </is>
      </c>
      <c r="B961" s="767">
        <f>ROW()</f>
        <v/>
      </c>
      <c r="C961" s="182" t="inlineStr">
        <is>
          <t>五家渠京能新能源有限责任公司（合并）</t>
        </is>
      </c>
      <c r="D961" s="182" t="inlineStr">
        <is>
          <t>ZI029E100001</t>
        </is>
      </c>
      <c r="E961" s="182" t="inlineStr">
        <is>
          <t>北京京能清洁能源电力股份有限公司</t>
        </is>
      </c>
      <c r="F961" s="716" t="n"/>
      <c r="G961" s="716" t="n"/>
      <c r="H961" s="462" t="n"/>
    </row>
    <row r="962">
      <c r="A962" s="672" t="inlineStr">
        <is>
          <t>E100050G</t>
        </is>
      </c>
      <c r="B962" s="767">
        <f>ROW()</f>
        <v/>
      </c>
      <c r="C962" s="182" t="inlineStr">
        <is>
          <t>内蒙古京能苏尼特风力发电有限公司（合并）</t>
        </is>
      </c>
      <c r="D962" s="182" t="inlineStr">
        <is>
          <t>ZI029E100001</t>
        </is>
      </c>
      <c r="E962" s="182" t="inlineStr">
        <is>
          <t>北京京能清洁能源电力股份有限公司</t>
        </is>
      </c>
      <c r="F962" s="716" t="n"/>
      <c r="G962" s="716" t="n"/>
      <c r="H962" s="462" t="n"/>
    </row>
    <row r="963">
      <c r="A963" s="672" t="inlineStr">
        <is>
          <t>E100096G</t>
        </is>
      </c>
      <c r="B963" s="767">
        <f>ROW()</f>
        <v/>
      </c>
      <c r="C963" s="182" t="inlineStr">
        <is>
          <t>四川大川电力有限公司（合并）</t>
        </is>
      </c>
      <c r="D963" s="182" t="inlineStr">
        <is>
          <t>ZI029E100001</t>
        </is>
      </c>
      <c r="E963" s="182" t="inlineStr">
        <is>
          <t>北京京能清洁能源电力股份有限公司</t>
        </is>
      </c>
      <c r="F963" s="716" t="n"/>
      <c r="G963" s="716" t="n"/>
      <c r="H963" s="462" t="n"/>
    </row>
    <row r="964">
      <c r="A964" s="672" t="inlineStr">
        <is>
          <t>E100108H</t>
        </is>
      </c>
      <c r="B964" s="767">
        <f>ROW()</f>
        <v/>
      </c>
      <c r="C964" s="182" t="inlineStr">
        <is>
          <t>京能服务管理有限公司（合并）</t>
        </is>
      </c>
      <c r="D964" s="182" t="inlineStr">
        <is>
          <t>ZI029E100000</t>
        </is>
      </c>
      <c r="E964" s="182" t="inlineStr">
        <is>
          <t>北京能源集团有限责任公司</t>
        </is>
      </c>
      <c r="F964" s="716" t="n"/>
      <c r="G964" s="716" t="n"/>
      <c r="H964" s="462" t="n"/>
    </row>
    <row r="965">
      <c r="A965" s="672" t="inlineStr">
        <is>
          <t>E100109G</t>
        </is>
      </c>
      <c r="B965" s="767">
        <f>ROW()</f>
        <v/>
      </c>
      <c r="C965" s="182" t="inlineStr">
        <is>
          <t>京能电力后勤服务有限公司（合并）</t>
        </is>
      </c>
      <c r="D965" s="182" t="inlineStr">
        <is>
          <t>ZI029E100000</t>
        </is>
      </c>
      <c r="E965" s="182" t="inlineStr">
        <is>
          <t>北京能源集团有限责任公司</t>
        </is>
      </c>
      <c r="F965" s="716" t="n"/>
      <c r="G965" s="716" t="n"/>
      <c r="H965" s="462" t="n"/>
    </row>
    <row r="966">
      <c r="A966" s="672" t="inlineStr">
        <is>
          <t>E100109H</t>
        </is>
      </c>
      <c r="B966" s="767">
        <f>ROW()</f>
        <v/>
      </c>
      <c r="C966" s="182" t="inlineStr">
        <is>
          <t>京能电力后勤服务有限公司（母公司）</t>
        </is>
      </c>
      <c r="D966" s="182" t="inlineStr">
        <is>
          <t>ZI029E100000</t>
        </is>
      </c>
      <c r="E966" s="182" t="inlineStr">
        <is>
          <t>北京能源集团有限责任公司</t>
        </is>
      </c>
      <c r="F966" s="716" t="n"/>
      <c r="G966" s="716" t="n"/>
      <c r="H966" s="462" t="n"/>
    </row>
    <row r="967">
      <c r="A967" s="672" t="inlineStr">
        <is>
          <t>E100135H</t>
        </is>
      </c>
      <c r="B967" s="767">
        <f>ROW()</f>
        <v/>
      </c>
      <c r="C967" s="182" t="inlineStr">
        <is>
          <t>京能电力涿州科技环保有限公司（合并）</t>
        </is>
      </c>
      <c r="D967" s="182" t="inlineStr">
        <is>
          <t>ZI029E100109</t>
        </is>
      </c>
      <c r="E967" s="182" t="inlineStr">
        <is>
          <t>京能电力后勤服务有限公司</t>
        </is>
      </c>
      <c r="F967" s="716" t="n"/>
      <c r="G967" s="716" t="n"/>
      <c r="H967" s="462" t="n"/>
    </row>
    <row r="968">
      <c r="A968" s="672" t="inlineStr">
        <is>
          <t>E100142G</t>
        </is>
      </c>
      <c r="B968" s="767">
        <f>ROW()</f>
        <v/>
      </c>
      <c r="C968" s="182" t="inlineStr">
        <is>
          <t>北京京能国际能源股份有限公司（合并）</t>
        </is>
      </c>
      <c r="D968" s="182" t="inlineStr">
        <is>
          <t>ZI029E100000</t>
        </is>
      </c>
      <c r="E968" s="182" t="inlineStr">
        <is>
          <t>北京能源集团有限责任公司</t>
        </is>
      </c>
      <c r="F968" s="716" t="n"/>
      <c r="G968" s="716" t="n"/>
      <c r="H968" s="462" t="n"/>
    </row>
    <row r="969">
      <c r="A969" s="672" t="inlineStr">
        <is>
          <t>E100151G</t>
        </is>
      </c>
      <c r="B969" s="767">
        <f>ROW()</f>
        <v/>
      </c>
      <c r="C969" s="182" t="inlineStr">
        <is>
          <t>山西漳山发电有限责任公司（合并）</t>
        </is>
      </c>
      <c r="D969" s="182" t="inlineStr">
        <is>
          <t>ZI029E100145</t>
        </is>
      </c>
      <c r="E969" s="182" t="inlineStr">
        <is>
          <t>北京京能电力股份有限公司</t>
        </is>
      </c>
      <c r="F969" s="716" t="n"/>
      <c r="G969" s="716" t="n"/>
      <c r="H969" s="462" t="n"/>
    </row>
    <row r="970">
      <c r="A970" s="672" t="inlineStr">
        <is>
          <t>E100154G</t>
        </is>
      </c>
      <c r="B970" s="767">
        <f>ROW()</f>
        <v/>
      </c>
      <c r="C970" s="182" t="inlineStr">
        <is>
          <t>内蒙古京隆发电有限责任公司（合并）</t>
        </is>
      </c>
      <c r="D970" s="182" t="inlineStr">
        <is>
          <t>ZI029E100145</t>
        </is>
      </c>
      <c r="E970" s="182" t="inlineStr">
        <is>
          <t>北京京能电力股份有限公司</t>
        </is>
      </c>
      <c r="F970" s="716" t="n"/>
      <c r="G970" s="716" t="n"/>
      <c r="H970" s="462" t="n"/>
    </row>
    <row r="971">
      <c r="A971" s="672" t="inlineStr">
        <is>
          <t>E100218G</t>
        </is>
      </c>
      <c r="B971" s="767">
        <f>ROW()</f>
        <v/>
      </c>
      <c r="C971" s="182" t="inlineStr">
        <is>
          <t>北京京能油气资源开发有限公司（合并）</t>
        </is>
      </c>
      <c r="D971" s="182" t="inlineStr">
        <is>
          <t>ZI029E100000</t>
        </is>
      </c>
      <c r="E971" s="182" t="inlineStr">
        <is>
          <t>北京能源集团有限责任公司</t>
        </is>
      </c>
      <c r="F971" s="716" t="n"/>
      <c r="G971" s="716" t="n"/>
      <c r="H971" s="462" t="n"/>
    </row>
    <row r="972">
      <c r="A972" s="672" t="inlineStr">
        <is>
          <t>E100222G</t>
        </is>
      </c>
      <c r="B972" s="767">
        <f>ROW()</f>
        <v/>
      </c>
      <c r="C972" s="182" t="inlineStr">
        <is>
          <t>北京市热力集团有限责任公司（合并）</t>
        </is>
      </c>
      <c r="D972" s="182" t="inlineStr">
        <is>
          <t>ZI029E100000</t>
        </is>
      </c>
      <c r="E972" s="182" t="inlineStr">
        <is>
          <t>北京能源集团有限责任公司</t>
        </is>
      </c>
      <c r="F972" s="716" t="n"/>
      <c r="G972" s="716" t="n"/>
      <c r="H972" s="462" t="n"/>
    </row>
    <row r="973">
      <c r="A973" s="672" t="inlineStr">
        <is>
          <t>E100222H</t>
        </is>
      </c>
      <c r="B973" s="767">
        <f>ROW()</f>
        <v/>
      </c>
      <c r="C973" s="182" t="inlineStr">
        <is>
          <t>北京市热力集团有限责任公司（母公司）</t>
        </is>
      </c>
      <c r="D973" s="182" t="inlineStr">
        <is>
          <t>ZI029E100000</t>
        </is>
      </c>
      <c r="E973" s="182" t="inlineStr">
        <is>
          <t>北京能源集团有限责任公司</t>
        </is>
      </c>
      <c r="F973" s="716" t="n"/>
      <c r="G973" s="716" t="n"/>
      <c r="H973" s="462" t="n"/>
    </row>
    <row r="974">
      <c r="A974" s="672" t="inlineStr">
        <is>
          <t>E100233G</t>
        </is>
      </c>
      <c r="B974" s="767">
        <f>ROW()</f>
        <v/>
      </c>
      <c r="C974" s="182" t="inlineStr">
        <is>
          <t>北京市热力工程设计有限责任公司（合并）</t>
        </is>
      </c>
      <c r="D974" s="182" t="inlineStr">
        <is>
          <t>ZI029E100222</t>
        </is>
      </c>
      <c r="E974" s="182" t="inlineStr">
        <is>
          <t>北京市热力集团有限责任公司</t>
        </is>
      </c>
      <c r="F974" s="716" t="n"/>
      <c r="G974" s="716" t="n"/>
      <c r="H974" s="462" t="n"/>
    </row>
    <row r="975">
      <c r="A975" s="672" t="inlineStr">
        <is>
          <t>E100233H</t>
        </is>
      </c>
      <c r="B975" s="767">
        <f>ROW()</f>
        <v/>
      </c>
      <c r="C975" s="182" t="inlineStr">
        <is>
          <t>北京市热力工程设计有限责任公司（母公司）</t>
        </is>
      </c>
      <c r="D975" s="182" t="inlineStr">
        <is>
          <t>ZI029E100222</t>
        </is>
      </c>
      <c r="E975" s="182" t="inlineStr">
        <is>
          <t>北京市热力集团有限责任公司</t>
        </is>
      </c>
      <c r="F975" s="716" t="n"/>
      <c r="G975" s="716" t="n"/>
      <c r="H975" s="462" t="n"/>
    </row>
    <row r="976">
      <c r="A976" s="672" t="inlineStr">
        <is>
          <t>E100238H</t>
        </is>
      </c>
      <c r="B976" s="767">
        <f>ROW()</f>
        <v/>
      </c>
      <c r="C976" s="182" t="inlineStr">
        <is>
          <t>北京热力装备制造有限公司（母公司）</t>
        </is>
      </c>
      <c r="D976" s="182" t="inlineStr">
        <is>
          <t>ZI029E100222</t>
        </is>
      </c>
      <c r="E976" s="182" t="inlineStr">
        <is>
          <t>北京市热力集团有限责任公司</t>
        </is>
      </c>
      <c r="F976" s="716" t="n"/>
      <c r="G976" s="716" t="n"/>
      <c r="H976" s="462" t="n"/>
    </row>
    <row r="977">
      <c r="A977" s="672" t="inlineStr">
        <is>
          <t>E100245G</t>
        </is>
      </c>
      <c r="B977" s="767">
        <f>ROW()</f>
        <v/>
      </c>
      <c r="C977" s="182" t="inlineStr">
        <is>
          <t>北京市特诚热力有限责任公司（合并）</t>
        </is>
      </c>
      <c r="D977" s="182" t="inlineStr">
        <is>
          <t>ZI029E100259</t>
        </is>
      </c>
      <c r="E977" s="182" t="inlineStr">
        <is>
          <t>北京京能热力发展有限公司</t>
        </is>
      </c>
      <c r="F977" s="716" t="n"/>
      <c r="G977" s="716" t="n"/>
      <c r="H977" s="462" t="n"/>
    </row>
    <row r="978">
      <c r="A978" s="672" t="inlineStr">
        <is>
          <t>E100252H</t>
        </is>
      </c>
      <c r="B978" s="767">
        <f>ROW()</f>
        <v/>
      </c>
      <c r="C978" s="182" t="inlineStr">
        <is>
          <t>三河新源供热有限公司（母公司）</t>
        </is>
      </c>
      <c r="D978" s="182" t="inlineStr">
        <is>
          <t>ZI029E100259</t>
        </is>
      </c>
      <c r="E978" s="182" t="inlineStr">
        <is>
          <t>北京京能热力发展有限公司</t>
        </is>
      </c>
      <c r="F978" s="716" t="n"/>
      <c r="G978" s="716" t="n"/>
      <c r="H978" s="462" t="n"/>
    </row>
    <row r="979">
      <c r="A979" s="672" t="inlineStr">
        <is>
          <t>E100259G</t>
        </is>
      </c>
      <c r="B979" s="767">
        <f>ROW()</f>
        <v/>
      </c>
      <c r="C979" s="182" t="inlineStr">
        <is>
          <t>北京京能热力发展有限公司（合并）</t>
        </is>
      </c>
      <c r="D979" s="182" t="inlineStr">
        <is>
          <t>ZI029E100000</t>
        </is>
      </c>
      <c r="E979" s="182" t="inlineStr">
        <is>
          <t>北京能源集团有限责任公司</t>
        </is>
      </c>
      <c r="F979" s="716" t="n"/>
      <c r="G979" s="716" t="n"/>
      <c r="H979" s="462" t="n"/>
    </row>
    <row r="980">
      <c r="A980" s="672" t="inlineStr">
        <is>
          <t>E100259H</t>
        </is>
      </c>
      <c r="B980" s="767">
        <f>ROW()</f>
        <v/>
      </c>
      <c r="C980" s="182" t="inlineStr">
        <is>
          <t>北京京能热力发展有限公司（母公司）</t>
        </is>
      </c>
      <c r="D980" s="182" t="inlineStr">
        <is>
          <t>ZI029E100000</t>
        </is>
      </c>
      <c r="E980" s="182" t="inlineStr">
        <is>
          <t>北京能源集团有限责任公司</t>
        </is>
      </c>
      <c r="F980" s="716" t="n"/>
      <c r="G980" s="716" t="n"/>
      <c r="H980" s="462" t="n"/>
    </row>
    <row r="981">
      <c r="A981" s="672" t="inlineStr">
        <is>
          <t>E100268G</t>
        </is>
      </c>
      <c r="B981" s="767">
        <f>ROW()</f>
        <v/>
      </c>
      <c r="C981" s="182" t="inlineStr">
        <is>
          <t>北京京煤集团有限责任公司（合并）</t>
        </is>
      </c>
      <c r="D981" s="182" t="inlineStr">
        <is>
          <t>ZI029E100000</t>
        </is>
      </c>
      <c r="E981" s="182" t="inlineStr">
        <is>
          <t>北京能源集团有限责任公司</t>
        </is>
      </c>
      <c r="F981" s="716" t="n"/>
      <c r="G981" s="716" t="n"/>
      <c r="H981" s="462" t="n"/>
    </row>
    <row r="982">
      <c r="A982" s="672" t="inlineStr">
        <is>
          <t>E100268H</t>
        </is>
      </c>
      <c r="B982" s="767">
        <f>ROW()</f>
        <v/>
      </c>
      <c r="C982" s="182" t="inlineStr">
        <is>
          <t>北京京煤集团有限责任公司（母公司）</t>
        </is>
      </c>
      <c r="D982" s="182" t="inlineStr">
        <is>
          <t>ZI029E100000</t>
        </is>
      </c>
      <c r="E982" s="182" t="inlineStr">
        <is>
          <t>北京能源集团有限责任公司</t>
        </is>
      </c>
      <c r="F982" s="716" t="n"/>
      <c r="G982" s="716" t="n"/>
      <c r="H982" s="462" t="n"/>
    </row>
    <row r="983">
      <c r="A983" s="672" t="inlineStr">
        <is>
          <t>E100280H</t>
        </is>
      </c>
      <c r="B983" s="767">
        <f>ROW()</f>
        <v/>
      </c>
      <c r="C983" s="182" t="inlineStr">
        <is>
          <t>海南金泰旅业开发有限公司（汇总）</t>
        </is>
      </c>
      <c r="D983" s="182" t="inlineStr">
        <is>
          <t>ZI029E100353</t>
        </is>
      </c>
      <c r="E983" s="182" t="inlineStr">
        <is>
          <t>北京京能房产租赁经营有限责任公司</t>
        </is>
      </c>
      <c r="F983" s="716" t="n"/>
      <c r="G983" s="716" t="n"/>
      <c r="H983" s="462" t="n"/>
    </row>
    <row r="984">
      <c r="A984" s="672" t="inlineStr">
        <is>
          <t>E100293G</t>
        </is>
      </c>
      <c r="B984" s="767">
        <f>ROW()</f>
        <v/>
      </c>
      <c r="C984" s="182" t="inlineStr">
        <is>
          <t>北京京能酒店管理有限公司（合并）</t>
        </is>
      </c>
      <c r="D984" s="182" t="inlineStr">
        <is>
          <t>ZI029E100268</t>
        </is>
      </c>
      <c r="E984" s="182" t="inlineStr">
        <is>
          <t>北京京煤集团有限责任公司</t>
        </is>
      </c>
      <c r="F984" s="716" t="n"/>
      <c r="G984" s="716" t="n"/>
      <c r="H984" s="462" t="n"/>
    </row>
    <row r="985">
      <c r="A985" s="672" t="inlineStr">
        <is>
          <t>E100293H</t>
        </is>
      </c>
      <c r="B985" s="767">
        <f>ROW()</f>
        <v/>
      </c>
      <c r="C985" s="182" t="inlineStr">
        <is>
          <t>北京京能酒店管理有限公司（母公司）</t>
        </is>
      </c>
      <c r="D985" s="182" t="inlineStr">
        <is>
          <t>ZI029E100268</t>
        </is>
      </c>
      <c r="E985" s="182" t="inlineStr">
        <is>
          <t>北京京煤集团有限责任公司</t>
        </is>
      </c>
      <c r="F985" s="716" t="n"/>
      <c r="G985" s="716" t="n"/>
      <c r="H985" s="462" t="n"/>
    </row>
    <row r="986">
      <c r="A986" s="672" t="inlineStr">
        <is>
          <t>E100294H</t>
        </is>
      </c>
      <c r="B986" s="767">
        <f>ROW()</f>
        <v/>
      </c>
      <c r="C986" s="182" t="inlineStr">
        <is>
          <t>北京金泰国际会展有限公司（母公司）</t>
        </is>
      </c>
      <c r="D986" s="182" t="inlineStr">
        <is>
          <t>ZI029E100293</t>
        </is>
      </c>
      <c r="E986" s="182" t="inlineStr">
        <is>
          <t>北京京能酒店管理有限公司</t>
        </is>
      </c>
      <c r="F986" s="716" t="n"/>
      <c r="G986" s="716" t="n"/>
      <c r="H986" s="462" t="n"/>
    </row>
    <row r="987">
      <c r="A987" s="672" t="inlineStr">
        <is>
          <t>E100296H</t>
        </is>
      </c>
      <c r="B987" s="767">
        <f>ROW()</f>
        <v/>
      </c>
      <c r="C987" s="182" t="inlineStr">
        <is>
          <t>北京金泰之家宾馆有限公司（母公司）</t>
        </is>
      </c>
      <c r="D987" s="182" t="inlineStr">
        <is>
          <t>ZI029E100293</t>
        </is>
      </c>
      <c r="E987" s="182" t="inlineStr">
        <is>
          <t>北京京能酒店管理有限公司</t>
        </is>
      </c>
      <c r="F987" s="716" t="n"/>
      <c r="G987" s="716" t="n"/>
      <c r="H987" s="462" t="n"/>
    </row>
    <row r="988">
      <c r="A988" s="672" t="inlineStr">
        <is>
          <t>E100302G</t>
        </is>
      </c>
      <c r="B988" s="767">
        <f>ROW()</f>
        <v/>
      </c>
      <c r="C988" s="182" t="inlineStr">
        <is>
          <t>北京京辉高尔夫俱乐部有限公司（合并）</t>
        </is>
      </c>
      <c r="D988" s="182" t="inlineStr">
        <is>
          <t>ZI029E100320</t>
        </is>
      </c>
      <c r="E988" s="182" t="inlineStr">
        <is>
          <t>北京市天创房地产开发有限公司</t>
        </is>
      </c>
      <c r="F988" s="716" t="n"/>
      <c r="G988" s="716" t="n"/>
      <c r="H988" s="462" t="n"/>
    </row>
    <row r="989">
      <c r="A989" s="672" t="inlineStr">
        <is>
          <t>E100305H</t>
        </is>
      </c>
      <c r="B989" s="767">
        <f>ROW()</f>
        <v/>
      </c>
      <c r="C989" s="182" t="inlineStr">
        <is>
          <t>北京金泰之家通华苑饭店有限公司（母公司）</t>
        </is>
      </c>
      <c r="D989" s="182" t="inlineStr">
        <is>
          <t>ZI029E100293</t>
        </is>
      </c>
      <c r="E989" s="182" t="inlineStr">
        <is>
          <t>北京京能酒店管理有限公司</t>
        </is>
      </c>
      <c r="F989" s="716" t="n"/>
      <c r="G989" s="716" t="n"/>
      <c r="H989" s="462" t="n"/>
    </row>
    <row r="990">
      <c r="A990" s="672" t="inlineStr">
        <is>
          <t>E100306H</t>
        </is>
      </c>
      <c r="B990" s="767">
        <f>ROW()</f>
        <v/>
      </c>
      <c r="C990" s="182" t="inlineStr">
        <is>
          <t>宁夏京能创业房地产开发有限公司（汇总）</t>
        </is>
      </c>
      <c r="D990" s="182" t="inlineStr">
        <is>
          <t>ZI029E100268</t>
        </is>
      </c>
      <c r="E990" s="182" t="inlineStr">
        <is>
          <t>北京京煤集团有限责任公司</t>
        </is>
      </c>
      <c r="F990" s="716" t="n"/>
      <c r="G990" s="716" t="n"/>
      <c r="H990" s="462" t="n"/>
    </row>
    <row r="991">
      <c r="A991" s="672" t="inlineStr">
        <is>
          <t>E100314H</t>
        </is>
      </c>
      <c r="B991" s="767">
        <f>ROW()</f>
        <v/>
      </c>
      <c r="C991" s="182" t="inlineStr">
        <is>
          <t>北京金泰恒业燃料有限公司（汇总）</t>
        </is>
      </c>
      <c r="D991" s="182" t="inlineStr">
        <is>
          <t>ZI029E100353</t>
        </is>
      </c>
      <c r="E991" s="182" t="inlineStr">
        <is>
          <t>北京京能房产租赁经营有限责任公司</t>
        </is>
      </c>
      <c r="F991" s="716" t="n"/>
      <c r="G991" s="716" t="n"/>
      <c r="H991" s="462" t="n"/>
    </row>
    <row r="992">
      <c r="A992" s="672" t="inlineStr">
        <is>
          <t>E100320G</t>
        </is>
      </c>
      <c r="B992" s="767">
        <f>ROW()</f>
        <v/>
      </c>
      <c r="C992" s="182" t="inlineStr">
        <is>
          <t>北京市天创房地产开发有限公司（合并）</t>
        </is>
      </c>
      <c r="D992" s="182" t="inlineStr">
        <is>
          <t>ZI029E100268</t>
        </is>
      </c>
      <c r="E992" s="182" t="inlineStr">
        <is>
          <t>北京京煤集团有限责任公司</t>
        </is>
      </c>
      <c r="F992" s="716" t="n"/>
      <c r="G992" s="716" t="n"/>
      <c r="H992" s="462" t="n"/>
    </row>
    <row r="993">
      <c r="A993" s="672" t="inlineStr">
        <is>
          <t>E100326H</t>
        </is>
      </c>
      <c r="B993" s="767">
        <f>ROW()</f>
        <v/>
      </c>
      <c r="C993" s="182" t="inlineStr">
        <is>
          <t>北京金泰通华商贸有限责任公司（汇总）</t>
        </is>
      </c>
      <c r="D993" s="182" t="inlineStr">
        <is>
          <t>ZI029E100353</t>
        </is>
      </c>
      <c r="E993" s="182" t="inlineStr">
        <is>
          <t>北京京能房产租赁经营有限责任公司</t>
        </is>
      </c>
      <c r="F993" s="716" t="n"/>
      <c r="G993" s="716" t="n"/>
      <c r="H993" s="462" t="n"/>
    </row>
    <row r="994">
      <c r="A994" s="672" t="inlineStr">
        <is>
          <t>E100344H</t>
        </is>
      </c>
      <c r="B994" s="767">
        <f>ROW()</f>
        <v/>
      </c>
      <c r="C994" s="182" t="inlineStr">
        <is>
          <t>北京京煤集团总医院（汇总）</t>
        </is>
      </c>
      <c r="D994" s="182" t="inlineStr">
        <is>
          <t>ZI029E100704</t>
        </is>
      </c>
      <c r="E994" s="182" t="inlineStr">
        <is>
          <t>北京京润仁康控股有限公司</t>
        </is>
      </c>
      <c r="F994" s="716" t="n"/>
      <c r="G994" s="716" t="n"/>
      <c r="H994" s="462" t="n"/>
    </row>
    <row r="995">
      <c r="A995" s="672" t="inlineStr">
        <is>
          <t>E100353G</t>
        </is>
      </c>
      <c r="B995" s="767">
        <f>ROW()</f>
        <v/>
      </c>
      <c r="C995" s="182" t="inlineStr">
        <is>
          <t>北京京能房产租赁经营有限责任公司（合并）</t>
        </is>
      </c>
      <c r="D995" s="182" t="inlineStr">
        <is>
          <t>ZI029E100268</t>
        </is>
      </c>
      <c r="E995" s="182" t="inlineStr">
        <is>
          <t>北京京煤集团有限责任公司</t>
        </is>
      </c>
      <c r="F995" s="716" t="n"/>
      <c r="G995" s="716" t="n"/>
      <c r="H995" s="462" t="n"/>
    </row>
    <row r="996">
      <c r="A996" s="672" t="inlineStr">
        <is>
          <t>E100353H</t>
        </is>
      </c>
      <c r="B996" s="767">
        <f>ROW()</f>
        <v/>
      </c>
      <c r="C996" s="182" t="inlineStr">
        <is>
          <t>北京京能房产租赁经营有限责任公司（母公司）</t>
        </is>
      </c>
      <c r="D996" s="182" t="inlineStr">
        <is>
          <t>ZI029E100268</t>
        </is>
      </c>
      <c r="E996" s="182" t="inlineStr">
        <is>
          <t>北京京煤集团有限责任公司</t>
        </is>
      </c>
      <c r="F996" s="716" t="n"/>
      <c r="G996" s="716" t="n"/>
      <c r="H996" s="462" t="n"/>
    </row>
    <row r="997">
      <c r="A997" s="672" t="inlineStr">
        <is>
          <t>E100362H</t>
        </is>
      </c>
      <c r="B997" s="767">
        <f>ROW()</f>
        <v/>
      </c>
      <c r="C997" s="182" t="inlineStr">
        <is>
          <t>北京金泰物业管理有限公司（汇总）</t>
        </is>
      </c>
      <c r="D997" s="182" t="inlineStr">
        <is>
          <t>ZI029E100268</t>
        </is>
      </c>
      <c r="E997" s="182" t="inlineStr">
        <is>
          <t>北京京煤集团有限责任公司</t>
        </is>
      </c>
      <c r="F997" s="716" t="n"/>
      <c r="G997" s="716" t="n"/>
      <c r="H997" s="462" t="n"/>
    </row>
    <row r="998">
      <c r="A998" s="672" t="inlineStr">
        <is>
          <t>E100371G</t>
        </is>
      </c>
      <c r="B998" s="767">
        <f>ROW()</f>
        <v/>
      </c>
      <c r="C998" s="182" t="inlineStr">
        <is>
          <t>北京京能科技有限公司（合并）</t>
        </is>
      </c>
      <c r="D998" s="182" t="inlineStr">
        <is>
          <t>ZI029E100000</t>
        </is>
      </c>
      <c r="E998" s="182" t="inlineStr">
        <is>
          <t>北京能源集团有限责任公司</t>
        </is>
      </c>
      <c r="F998" s="716" t="n"/>
      <c r="G998" s="716" t="n"/>
      <c r="H998" s="462" t="n"/>
    </row>
    <row r="999">
      <c r="A999" s="672" t="inlineStr">
        <is>
          <t>E100405G</t>
        </is>
      </c>
      <c r="B999" s="767">
        <f>ROW()</f>
        <v/>
      </c>
      <c r="C999" s="182" t="inlineStr">
        <is>
          <t>北京高新技术创业投资有限公司（合并）</t>
        </is>
      </c>
      <c r="D999" s="182" t="inlineStr">
        <is>
          <t>ZI029E100000</t>
        </is>
      </c>
      <c r="E999" s="182" t="inlineStr">
        <is>
          <t>北京能源集团有限责任公司</t>
        </is>
      </c>
      <c r="F999" s="716" t="n"/>
      <c r="G999" s="716" t="n"/>
      <c r="H999" s="462" t="n"/>
    </row>
    <row r="1000">
      <c r="A1000" s="672" t="inlineStr">
        <is>
          <t>E100421G</t>
        </is>
      </c>
      <c r="B1000" s="767">
        <f>ROW()</f>
        <v/>
      </c>
      <c r="C1000" s="182" t="inlineStr">
        <is>
          <t>北京金泰房地产开发有限责任公司（合并）</t>
        </is>
      </c>
      <c r="D1000" s="182" t="inlineStr">
        <is>
          <t>ZI029E100000</t>
        </is>
      </c>
      <c r="E1000" s="182" t="inlineStr">
        <is>
          <t>北京能源集团有限责任公司</t>
        </is>
      </c>
      <c r="F1000" s="716" t="n"/>
      <c r="G1000" s="716" t="n"/>
      <c r="H1000" s="462" t="n"/>
    </row>
    <row r="1001">
      <c r="A1001" s="672" t="inlineStr">
        <is>
          <t>E100421H</t>
        </is>
      </c>
      <c r="B1001" s="767">
        <f>ROW()</f>
        <v/>
      </c>
      <c r="C1001" s="182" t="inlineStr">
        <is>
          <t>北京金泰房地产开发有限责任公司（母公司）</t>
        </is>
      </c>
      <c r="D1001" s="182" t="inlineStr">
        <is>
          <t>ZI029E100000</t>
        </is>
      </c>
      <c r="E1001" s="182" t="inlineStr">
        <is>
          <t>北京能源集团有限责任公司</t>
        </is>
      </c>
      <c r="F1001" s="716" t="n"/>
      <c r="G1001" s="716" t="n"/>
      <c r="H1001" s="462" t="n"/>
    </row>
    <row r="1002">
      <c r="A1002" s="672" t="inlineStr">
        <is>
          <t>E100422G</t>
        </is>
      </c>
      <c r="B1002" s="767">
        <f>ROW()</f>
        <v/>
      </c>
      <c r="C1002" s="182" t="inlineStr">
        <is>
          <t>北京京能建设集团有限公司（合并）</t>
        </is>
      </c>
      <c r="D1002" s="182" t="inlineStr">
        <is>
          <t>ZI029E100000</t>
        </is>
      </c>
      <c r="E1002" s="182" t="inlineStr">
        <is>
          <t>北京能源集团有限责任公司</t>
        </is>
      </c>
      <c r="F1002" s="716" t="n"/>
      <c r="G1002" s="716" t="n"/>
      <c r="H1002" s="462" t="n"/>
    </row>
    <row r="1003">
      <c r="A1003" s="672" t="inlineStr">
        <is>
          <t>E100433H</t>
        </is>
      </c>
      <c r="B1003" s="767">
        <f>ROW()</f>
        <v/>
      </c>
      <c r="C1003" s="182" t="inlineStr">
        <is>
          <t>北京丽富房地产开发有限公司（汇总）</t>
        </is>
      </c>
      <c r="D1003" s="182" t="inlineStr">
        <is>
          <t>ZI029E100420</t>
        </is>
      </c>
      <c r="E1003" s="182" t="inlineStr">
        <is>
          <t>京能置业股份有限公司</t>
        </is>
      </c>
      <c r="F1003" s="716" t="n"/>
      <c r="G1003" s="716" t="n"/>
      <c r="H1003" s="462" t="n"/>
    </row>
    <row r="1004">
      <c r="A1004" s="672" t="inlineStr">
        <is>
          <t>E100448H</t>
        </is>
      </c>
      <c r="B1004" s="767">
        <f>ROW()</f>
        <v/>
      </c>
      <c r="C1004" s="182" t="inlineStr">
        <is>
          <t>北京金泰卓越物业管理有限公司（汇总）</t>
        </is>
      </c>
      <c r="D1004" s="182" t="inlineStr">
        <is>
          <t>ZI029E100421</t>
        </is>
      </c>
      <c r="E1004" s="182" t="inlineStr">
        <is>
          <t>北京金泰房地产开发有限责任公司</t>
        </is>
      </c>
      <c r="F1004" s="716" t="n"/>
      <c r="G1004" s="716" t="n"/>
      <c r="H1004" s="462" t="n"/>
    </row>
    <row r="1005">
      <c r="A1005" s="672" t="inlineStr">
        <is>
          <t>E100543G</t>
        </is>
      </c>
      <c r="B1005" s="767">
        <f>ROW()</f>
        <v/>
      </c>
      <c r="C1005" s="182" t="inlineStr">
        <is>
          <t>北京京能清洁能源电力股份（香港）有限公司（合并）</t>
        </is>
      </c>
      <c r="D1005" s="182" t="inlineStr">
        <is>
          <t>ZI029E100001</t>
        </is>
      </c>
      <c r="E1005" s="182" t="inlineStr">
        <is>
          <t>北京京能清洁能源电力股份有限公司</t>
        </is>
      </c>
      <c r="F1005" s="716" t="n"/>
      <c r="G1005" s="716" t="n"/>
      <c r="H1005" s="462" t="n"/>
    </row>
    <row r="1006">
      <c r="A1006" s="672" t="inlineStr">
        <is>
          <t>E100559G</t>
        </is>
      </c>
      <c r="B1006" s="767">
        <f>ROW()</f>
        <v/>
      </c>
      <c r="C1006" s="182" t="inlineStr">
        <is>
          <t>北京能源投资集团（香港）有限公司（合并）</t>
        </is>
      </c>
      <c r="D1006" s="182" t="inlineStr">
        <is>
          <t>ZI029E100000</t>
        </is>
      </c>
      <c r="E1006" s="182" t="inlineStr">
        <is>
          <t>北京能源集团有限责任公司</t>
        </is>
      </c>
      <c r="F1006" s="716" t="n"/>
      <c r="G1006" s="716" t="n"/>
      <c r="H1006" s="462" t="n"/>
    </row>
    <row r="1007">
      <c r="A1007" s="672" t="inlineStr">
        <is>
          <t>E100561G</t>
        </is>
      </c>
      <c r="B1007" s="767">
        <f>ROW()</f>
        <v/>
      </c>
      <c r="C1007" s="182" t="inlineStr">
        <is>
          <t>北京京能清洁能源（澳洲）控股有限公司（合并）</t>
        </is>
      </c>
      <c r="D1007" s="182" t="inlineStr">
        <is>
          <t>ZI029E100543</t>
        </is>
      </c>
      <c r="E1007" s="182" t="inlineStr">
        <is>
          <t>北京京能清洁能源电力股份（香港）有限公司</t>
        </is>
      </c>
      <c r="F1007" s="716" t="n"/>
      <c r="G1007" s="716" t="n"/>
      <c r="H1007" s="462" t="n"/>
    </row>
    <row r="1008">
      <c r="A1008" s="672" t="inlineStr">
        <is>
          <t>E100708G</t>
        </is>
      </c>
      <c r="B1008" s="767">
        <f>ROW()</f>
        <v/>
      </c>
      <c r="C1008" s="182" t="inlineStr">
        <is>
          <t>河北融智新源电力有限公司（合并）</t>
        </is>
      </c>
      <c r="D1008" s="182" t="inlineStr">
        <is>
          <t>ZI029E100001</t>
        </is>
      </c>
      <c r="E1008" s="182" t="inlineStr">
        <is>
          <t>北京京能清洁能源电力股份有限公司</t>
        </is>
      </c>
      <c r="F1008" s="716" t="n"/>
      <c r="G1008" s="716" t="n"/>
      <c r="H1008" s="462" t="n"/>
    </row>
    <row r="1009">
      <c r="A1009" s="672" t="inlineStr">
        <is>
          <t>E100711G</t>
        </is>
      </c>
      <c r="B1009" s="767">
        <f>ROW()</f>
        <v/>
      </c>
      <c r="C1009" s="182" t="inlineStr">
        <is>
          <t>鄂托克前旗晟日新能源科技有限公司（合并）</t>
        </is>
      </c>
      <c r="D1009" s="182" t="inlineStr">
        <is>
          <t>ZI029E100001</t>
        </is>
      </c>
      <c r="E1009" s="182" t="inlineStr">
        <is>
          <t>北京京能清洁能源电力股份有限公司</t>
        </is>
      </c>
      <c r="F1009" s="716" t="n"/>
      <c r="G1009" s="716" t="n"/>
      <c r="H1009" s="462" t="n"/>
    </row>
    <row r="1010">
      <c r="A1010" s="672" t="inlineStr">
        <is>
          <t>E100730G</t>
        </is>
      </c>
      <c r="B1010" s="767">
        <f>ROW()</f>
        <v/>
      </c>
      <c r="C1010" s="182" t="inlineStr">
        <is>
          <t>京能国际能源发展（北京）有限公司（合并）</t>
        </is>
      </c>
      <c r="D1010" s="182" t="inlineStr">
        <is>
          <t>ZI029E100883</t>
        </is>
      </c>
      <c r="E1010" s="182" t="inlineStr">
        <is>
          <t>Beijing Energy International Investment Limited</t>
        </is>
      </c>
      <c r="F1010" s="716" t="n"/>
      <c r="G1010" s="716" t="n"/>
      <c r="H1010" s="462" t="n"/>
    </row>
    <row r="1011">
      <c r="A1011" s="672" t="inlineStr">
        <is>
          <t>E100735G</t>
        </is>
      </c>
      <c r="B1011" s="767">
        <f>ROW()</f>
        <v/>
      </c>
      <c r="C1011" s="182" t="inlineStr">
        <is>
          <t>内蒙古京能新能源科技有限公司（合并）</t>
        </is>
      </c>
      <c r="D1011" s="182" t="inlineStr">
        <is>
          <t>ZI029E100963</t>
        </is>
      </c>
      <c r="E1011" s="182" t="inlineStr">
        <is>
          <t>丝绸之路新能源（常州）有限公司</t>
        </is>
      </c>
      <c r="F1011" s="716" t="n"/>
      <c r="G1011" s="716" t="n"/>
      <c r="H1011" s="462" t="n"/>
    </row>
    <row r="1012">
      <c r="A1012" s="672" t="inlineStr">
        <is>
          <t>E100737G</t>
        </is>
      </c>
      <c r="B1012" s="767">
        <f>ROW()</f>
        <v/>
      </c>
      <c r="C1012" s="182" t="inlineStr">
        <is>
          <t>四川联合光伏有限公司（合并）</t>
        </is>
      </c>
      <c r="D1012" s="182" t="inlineStr">
        <is>
          <t>ZI029E100963</t>
        </is>
      </c>
      <c r="E1012" s="182" t="inlineStr">
        <is>
          <t>丝绸之路新能源（常州）有限公司</t>
        </is>
      </c>
      <c r="F1012" s="716" t="n"/>
      <c r="G1012" s="716" t="n"/>
      <c r="H1012" s="462" t="n"/>
    </row>
    <row r="1013">
      <c r="A1013" s="672" t="inlineStr">
        <is>
          <t>E100764G</t>
        </is>
      </c>
      <c r="B1013" s="767">
        <f>ROW()</f>
        <v/>
      </c>
      <c r="C1013" s="182" t="inlineStr">
        <is>
          <t>联合光伏（深圳）有限公司（合并）</t>
        </is>
      </c>
      <c r="D1013" s="182" t="inlineStr">
        <is>
          <t>ZI029E100883</t>
        </is>
      </c>
      <c r="E1013" s="182" t="inlineStr">
        <is>
          <t>Beijing Energy International Investment Limited</t>
        </is>
      </c>
      <c r="F1013" s="716" t="n"/>
      <c r="G1013" s="716" t="n"/>
      <c r="H1013" s="462" t="n"/>
    </row>
    <row r="1014">
      <c r="A1014" s="672" t="inlineStr">
        <is>
          <t>E100776G</t>
        </is>
      </c>
      <c r="B1014" s="767">
        <f>ROW()</f>
        <v/>
      </c>
      <c r="C1014" s="182" t="inlineStr">
        <is>
          <t>北京健康养老集团有限公司（合并）</t>
        </is>
      </c>
      <c r="D1014" s="182" t="inlineStr">
        <is>
          <t>ZI029E100000</t>
        </is>
      </c>
      <c r="E1014" s="182" t="inlineStr">
        <is>
          <t>北京能源集团有限责任公司</t>
        </is>
      </c>
      <c r="F1014" s="716" t="n"/>
      <c r="G1014" s="716" t="n"/>
      <c r="H1014" s="462" t="n"/>
    </row>
    <row r="1015">
      <c r="A1015" s="672" t="inlineStr">
        <is>
          <t>E100781G</t>
        </is>
      </c>
      <c r="B1015" s="767">
        <f>ROW()</f>
        <v/>
      </c>
      <c r="C1015" s="182" t="inlineStr">
        <is>
          <t>广东辉宇新能源投资有限公司（合并）</t>
        </is>
      </c>
      <c r="D1015" s="182" t="inlineStr">
        <is>
          <t>ZI029E100001</t>
        </is>
      </c>
      <c r="E1015" s="182" t="inlineStr">
        <is>
          <t>北京京能清洁能源电力股份有限公司</t>
        </is>
      </c>
      <c r="F1015" s="716" t="n"/>
      <c r="G1015" s="716" t="n"/>
      <c r="H1015" s="462" t="n"/>
    </row>
    <row r="1016">
      <c r="A1016" s="672" t="inlineStr">
        <is>
          <t>E100793G</t>
        </is>
      </c>
      <c r="B1016" s="767">
        <f>ROW()</f>
        <v/>
      </c>
      <c r="C1016" s="182" t="inlineStr">
        <is>
          <t>张家口风沐新能源有限公司（合并）</t>
        </is>
      </c>
      <c r="D1016" s="182" t="inlineStr">
        <is>
          <t>ZI029E100001</t>
        </is>
      </c>
      <c r="E1016" s="182" t="inlineStr">
        <is>
          <t>北京京能清洁能源电力股份有限公司</t>
        </is>
      </c>
      <c r="F1016" s="716" t="n"/>
      <c r="G1016" s="716" t="n"/>
      <c r="H1016" s="462" t="n"/>
    </row>
    <row r="1017">
      <c r="A1017" s="672" t="inlineStr">
        <is>
          <t>E100814G</t>
        </is>
      </c>
      <c r="B1017" s="767">
        <f>ROW()</f>
        <v/>
      </c>
      <c r="C1017" s="182" t="inlineStr">
        <is>
          <t>北京诚和敬投资有限责任公司（合并）</t>
        </is>
      </c>
      <c r="D1017" s="182" t="inlineStr">
        <is>
          <t>ZI029E100776</t>
        </is>
      </c>
      <c r="E1017" s="182" t="inlineStr">
        <is>
          <t>北京健康养老集团有限公司</t>
        </is>
      </c>
      <c r="F1017" s="716" t="n"/>
      <c r="G1017" s="716" t="n"/>
      <c r="H1017" s="462" t="n"/>
    </row>
    <row r="1018">
      <c r="A1018" s="672" t="inlineStr">
        <is>
          <t>E100864G</t>
        </is>
      </c>
      <c r="B1018" s="767">
        <f>ROW()</f>
        <v/>
      </c>
      <c r="C1018" s="182" t="inlineStr">
        <is>
          <t>西藏中自新能源技术有限公司（合并）</t>
        </is>
      </c>
      <c r="D1018" s="182" t="inlineStr">
        <is>
          <t>ZI029E100735</t>
        </is>
      </c>
      <c r="E1018" s="182" t="inlineStr">
        <is>
          <t>内蒙古京能新能源科技有限公司</t>
        </is>
      </c>
      <c r="F1018" s="716" t="n"/>
      <c r="G1018" s="716" t="n"/>
      <c r="H1018" s="462" t="n"/>
    </row>
    <row r="1019">
      <c r="A1019" s="672" t="inlineStr">
        <is>
          <t>E100881G</t>
        </is>
      </c>
      <c r="B1019" s="767">
        <f>ROW()</f>
        <v/>
      </c>
      <c r="C1019" s="182" t="inlineStr">
        <is>
          <t>China Solar Power Group Limited（合并）</t>
        </is>
      </c>
      <c r="D1019" s="182" t="inlineStr">
        <is>
          <t>ZI029E100747</t>
        </is>
      </c>
      <c r="E1019" s="182" t="inlineStr">
        <is>
          <t>北京能源国际控股有限公司</t>
        </is>
      </c>
      <c r="F1019" s="716" t="n"/>
      <c r="G1019" s="716" t="n"/>
      <c r="H1019" s="462" t="n"/>
    </row>
    <row r="1020">
      <c r="A1020" s="672" t="inlineStr">
        <is>
          <t>E100882G</t>
        </is>
      </c>
      <c r="B1020" s="767">
        <f>ROW()</f>
        <v/>
      </c>
      <c r="C1020" s="182" t="inlineStr">
        <is>
          <t>China Technology New Energy Limited（合并）</t>
        </is>
      </c>
      <c r="D1020" s="182" t="inlineStr">
        <is>
          <t>ZI029E100881</t>
        </is>
      </c>
      <c r="E1020" s="182" t="inlineStr">
        <is>
          <t>China Solar Power Group Limited</t>
        </is>
      </c>
      <c r="F1020" s="716" t="n"/>
      <c r="G1020" s="716" t="n"/>
      <c r="H1020" s="462" t="n"/>
    </row>
    <row r="1021">
      <c r="A1021" s="672" t="inlineStr">
        <is>
          <t>E100883G</t>
        </is>
      </c>
      <c r="B1021" s="767">
        <f>ROW()</f>
        <v/>
      </c>
      <c r="C1021" s="182" t="inlineStr">
        <is>
          <t>Beijing Energy International Investment Limited（合并）</t>
        </is>
      </c>
      <c r="D1021" s="182" t="inlineStr">
        <is>
          <t>ZI029E100882</t>
        </is>
      </c>
      <c r="E1021" s="182" t="inlineStr">
        <is>
          <t>China Technology New Energy Limited</t>
        </is>
      </c>
      <c r="F1021" s="716" t="n"/>
      <c r="G1021" s="716" t="n"/>
      <c r="H1021" s="462" t="n"/>
    </row>
    <row r="1022">
      <c r="A1022" s="672" t="inlineStr">
        <is>
          <t>E100889G</t>
        </is>
      </c>
      <c r="B1022" s="767">
        <f>ROW()</f>
        <v/>
      </c>
      <c r="C1022" s="182" t="inlineStr">
        <is>
          <t>京能（德城区）新能源科技有限公司（合并）</t>
        </is>
      </c>
      <c r="D1022" s="182" t="inlineStr">
        <is>
          <t>ZI029E100883</t>
        </is>
      </c>
      <c r="E1022" s="182" t="inlineStr">
        <is>
          <t>Beijing Energy International Investment Limited</t>
        </is>
      </c>
      <c r="F1022" s="716" t="n"/>
      <c r="G1022" s="716" t="n"/>
      <c r="H1022" s="462" t="n"/>
    </row>
    <row r="1023">
      <c r="A1023" s="672" t="inlineStr">
        <is>
          <t>E100902G</t>
        </is>
      </c>
      <c r="B1023" s="767">
        <f>ROW()</f>
        <v/>
      </c>
      <c r="C1023" s="182" t="inlineStr">
        <is>
          <t>张家口丝绸之路新能源有限公司（合并）</t>
        </is>
      </c>
      <c r="D1023" s="182" t="inlineStr">
        <is>
          <t>ZI029E100730</t>
        </is>
      </c>
      <c r="E1023" s="182" t="inlineStr">
        <is>
          <t>京能国际能源发展（北京）有限公司</t>
        </is>
      </c>
      <c r="F1023" s="716" t="n"/>
      <c r="G1023" s="716" t="n"/>
      <c r="H1023" s="462" t="n"/>
    </row>
    <row r="1024">
      <c r="A1024" s="672" t="inlineStr">
        <is>
          <t>E100909G</t>
        </is>
      </c>
      <c r="B1024" s="767">
        <f>ROW()</f>
        <v/>
      </c>
      <c r="C1024" s="182" t="inlineStr">
        <is>
          <t>六安华钦新能源有限公司（合并）</t>
        </is>
      </c>
      <c r="D1024" s="182" t="inlineStr">
        <is>
          <t>ZI029E100730</t>
        </is>
      </c>
      <c r="E1024" s="182" t="inlineStr">
        <is>
          <t>京能国际能源发展（北京）有限公司</t>
        </is>
      </c>
      <c r="F1024" s="716" t="n"/>
      <c r="G1024" s="716" t="n"/>
      <c r="H1024" s="462" t="n"/>
    </row>
    <row r="1025">
      <c r="A1025" s="672" t="inlineStr">
        <is>
          <t>E100932G</t>
        </is>
      </c>
      <c r="B1025" s="767">
        <f>ROW()</f>
        <v/>
      </c>
      <c r="C1025" s="182" t="inlineStr">
        <is>
          <t>青海思迅新能源有限公司（合并）</t>
        </is>
      </c>
      <c r="D1025" s="182" t="inlineStr">
        <is>
          <t>ZI029E100730</t>
        </is>
      </c>
      <c r="E1025" s="182" t="inlineStr">
        <is>
          <t>京能国际能源发展（北京）有限公司</t>
        </is>
      </c>
      <c r="F1025" s="716" t="n"/>
      <c r="G1025" s="716" t="n"/>
      <c r="H1025" s="462" t="n"/>
    </row>
    <row r="1026">
      <c r="A1026" s="672" t="inlineStr">
        <is>
          <t>E100944G</t>
        </is>
      </c>
      <c r="B1026" s="767">
        <f>ROW()</f>
        <v/>
      </c>
      <c r="C1026" s="182" t="inlineStr">
        <is>
          <t>招新诺能（常州）新能源有限公司（合并）</t>
        </is>
      </c>
      <c r="D1026" s="182" t="inlineStr">
        <is>
          <t>ZI029E100730</t>
        </is>
      </c>
      <c r="E1026" s="182" t="inlineStr">
        <is>
          <t>京能国际能源发展（北京）有限公司</t>
        </is>
      </c>
      <c r="F1026" s="716" t="n"/>
      <c r="G1026" s="716" t="n"/>
      <c r="H1026" s="462" t="n"/>
    </row>
    <row r="1027">
      <c r="A1027" s="672" t="inlineStr">
        <is>
          <t>E100950G</t>
        </is>
      </c>
      <c r="B1027" s="767">
        <f>ROW()</f>
        <v/>
      </c>
      <c r="C1027" s="182" t="inlineStr">
        <is>
          <t>内蒙古明华新能源股份有限公司（合并）</t>
        </is>
      </c>
      <c r="D1027" s="182" t="inlineStr">
        <is>
          <t>ZI029E100735</t>
        </is>
      </c>
      <c r="E1027" s="182" t="inlineStr">
        <is>
          <t>内蒙古京能新能源科技有限公司</t>
        </is>
      </c>
      <c r="F1027" s="716" t="n"/>
      <c r="G1027" s="716" t="n"/>
      <c r="H1027" s="462" t="n"/>
    </row>
    <row r="1028">
      <c r="A1028" s="672" t="inlineStr">
        <is>
          <t>E100952G</t>
        </is>
      </c>
      <c r="B1028" s="767">
        <f>ROW()</f>
        <v/>
      </c>
      <c r="C1028" s="182" t="inlineStr">
        <is>
          <t>呼和浩特市联合新能源开发有限公司（合并）</t>
        </is>
      </c>
      <c r="D1028" s="182" t="inlineStr">
        <is>
          <t>ZI029E100950</t>
        </is>
      </c>
      <c r="E1028" s="182" t="inlineStr">
        <is>
          <t>内蒙古明华新能源股份有限公司</t>
        </is>
      </c>
      <c r="F1028" s="716" t="n"/>
      <c r="G1028" s="716" t="n"/>
      <c r="H1028" s="462" t="n"/>
    </row>
    <row r="1029">
      <c r="A1029" s="672" t="inlineStr">
        <is>
          <t>E100955G</t>
        </is>
      </c>
      <c r="B1029" s="767">
        <f>ROW()</f>
        <v/>
      </c>
      <c r="C1029" s="182" t="inlineStr">
        <is>
          <t>常州鼎晖新能源有限公司（汇总）</t>
        </is>
      </c>
      <c r="D1029" s="182" t="inlineStr">
        <is>
          <t>ZI029E100734</t>
        </is>
      </c>
      <c r="E1029" s="182" t="inlineStr">
        <is>
          <t>联合光伏（常州）投资集团有限公司</t>
        </is>
      </c>
      <c r="F1029" s="716" t="n"/>
      <c r="G1029" s="716" t="n"/>
      <c r="H1029" s="462" t="n"/>
    </row>
    <row r="1030">
      <c r="A1030" s="672" t="inlineStr">
        <is>
          <t>E100956G</t>
        </is>
      </c>
      <c r="B1030" s="767">
        <f>ROW()</f>
        <v/>
      </c>
      <c r="C1030" s="182" t="inlineStr">
        <is>
          <t>常州光昱新能源有限公司（汇总）</t>
        </is>
      </c>
      <c r="D1030" s="182" t="inlineStr">
        <is>
          <t>ZI029E100734</t>
        </is>
      </c>
      <c r="E1030" s="182" t="inlineStr">
        <is>
          <t>联合光伏（常州）投资集团有限公司</t>
        </is>
      </c>
      <c r="F1030" s="716" t="n"/>
      <c r="G1030" s="716" t="n"/>
      <c r="H1030" s="462" t="n"/>
    </row>
    <row r="1031">
      <c r="A1031" s="672" t="inlineStr">
        <is>
          <t>E100957G</t>
        </is>
      </c>
      <c r="B1031" s="767">
        <f>ROW()</f>
        <v/>
      </c>
      <c r="C1031" s="182" t="inlineStr">
        <is>
          <t>常州市招联绿达新能源有限公司（合并）</t>
        </is>
      </c>
      <c r="D1031" s="182" t="inlineStr">
        <is>
          <t>ZI029E100734</t>
        </is>
      </c>
      <c r="E1031" s="182" t="inlineStr">
        <is>
          <t>联合光伏（常州）投资集团有限公司</t>
        </is>
      </c>
      <c r="F1031" s="716" t="n"/>
      <c r="G1031" s="716" t="n"/>
      <c r="H1031" s="462" t="n"/>
    </row>
    <row r="1032">
      <c r="A1032" s="672" t="inlineStr">
        <is>
          <t>E100958G</t>
        </is>
      </c>
      <c r="B1032" s="767">
        <f>ROW()</f>
        <v/>
      </c>
      <c r="C1032" s="182" t="inlineStr">
        <is>
          <t>常州市招联绿港新能源有限公司（合并）</t>
        </is>
      </c>
      <c r="D1032" s="182" t="inlineStr">
        <is>
          <t>ZI029E100734</t>
        </is>
      </c>
      <c r="E1032" s="182" t="inlineStr">
        <is>
          <t>联合光伏（常州）投资集团有限公司</t>
        </is>
      </c>
      <c r="F1032" s="716" t="n"/>
      <c r="G1032" s="716" t="n"/>
      <c r="H1032" s="462" t="n"/>
    </row>
    <row r="1033">
      <c r="A1033" s="672" t="inlineStr">
        <is>
          <t>E100960G</t>
        </is>
      </c>
      <c r="B1033" s="767">
        <f>ROW()</f>
        <v/>
      </c>
      <c r="C1033" s="182" t="inlineStr">
        <is>
          <t>常州市晖达新能源有限公司（合并）</t>
        </is>
      </c>
      <c r="D1033" s="182" t="inlineStr">
        <is>
          <t>ZI029E100958</t>
        </is>
      </c>
      <c r="E1033" s="182" t="inlineStr">
        <is>
          <t>常州市招联绿港新能源有限公司</t>
        </is>
      </c>
      <c r="F1033" s="716" t="n"/>
      <c r="G1033" s="716" t="n"/>
      <c r="H1033" s="462" t="n"/>
    </row>
    <row r="1034">
      <c r="A1034" s="672" t="inlineStr">
        <is>
          <t>E100961G</t>
        </is>
      </c>
      <c r="B1034" s="767">
        <f>ROW()</f>
        <v/>
      </c>
      <c r="C1034" s="182" t="inlineStr">
        <is>
          <t>惠州市晟合光电科技有限公司（合并）</t>
        </is>
      </c>
      <c r="D1034" s="182" t="inlineStr">
        <is>
          <t>ZI029E100960</t>
        </is>
      </c>
      <c r="E1034" s="182" t="inlineStr">
        <is>
          <t>常州市晖达新能源有限公司</t>
        </is>
      </c>
      <c r="F1034" s="716" t="n"/>
      <c r="G1034" s="716" t="n"/>
      <c r="H1034" s="462" t="n"/>
    </row>
    <row r="1035">
      <c r="A1035" s="672" t="inlineStr">
        <is>
          <t>E100963G</t>
        </is>
      </c>
      <c r="B1035" s="767">
        <f>ROW()</f>
        <v/>
      </c>
      <c r="C1035" s="182" t="inlineStr">
        <is>
          <t>丝绸之路新能源（常州）有限公司（合并）</t>
        </is>
      </c>
      <c r="D1035" s="182" t="inlineStr">
        <is>
          <t>ZI029E100734</t>
        </is>
      </c>
      <c r="E1035" s="182" t="inlineStr">
        <is>
          <t>联合光伏（常州）投资集团有限公司</t>
        </is>
      </c>
      <c r="F1035" s="716" t="n"/>
      <c r="G1035" s="716" t="n"/>
      <c r="H1035" s="462" t="n"/>
    </row>
    <row r="1036">
      <c r="A1036" s="672" t="inlineStr">
        <is>
          <t>E100973G</t>
        </is>
      </c>
      <c r="B1036" s="767">
        <f>ROW()</f>
        <v/>
      </c>
      <c r="C1036" s="182" t="inlineStr">
        <is>
          <t>察右前旗联合光伏发电有限公司（合并）</t>
        </is>
      </c>
      <c r="D1036" s="182" t="inlineStr">
        <is>
          <t>ZI029E100735</t>
        </is>
      </c>
      <c r="E1036" s="182" t="inlineStr">
        <is>
          <t>内蒙古京能新能源科技有限公司</t>
        </is>
      </c>
      <c r="F1036" s="716" t="n"/>
      <c r="G1036" s="716" t="n"/>
      <c r="H1036" s="462" t="n"/>
    </row>
    <row r="1037">
      <c r="A1037" s="672" t="inlineStr">
        <is>
          <t>E100978G</t>
        </is>
      </c>
      <c r="B1037" s="767">
        <f>ROW()</f>
        <v/>
      </c>
      <c r="C1037" s="182" t="inlineStr">
        <is>
          <t>常州市招联绿新新能源有限公司（合并）</t>
        </is>
      </c>
      <c r="D1037" s="182" t="inlineStr">
        <is>
          <t>ZI029E100734</t>
        </is>
      </c>
      <c r="E1037" s="182" t="inlineStr">
        <is>
          <t>联合光伏（常州）投资集团有限公司</t>
        </is>
      </c>
      <c r="F1037" s="716" t="n"/>
      <c r="G1037" s="716" t="n"/>
      <c r="H1037" s="462" t="n"/>
    </row>
    <row r="1038">
      <c r="A1038" s="672" t="inlineStr">
        <is>
          <t>E100981G</t>
        </is>
      </c>
      <c r="B1038" s="767">
        <f>ROW()</f>
        <v/>
      </c>
      <c r="C1038" s="182" t="inlineStr">
        <is>
          <t>常州市招联绿庆新能源有限公司（合并）</t>
        </is>
      </c>
      <c r="D1038" s="182" t="inlineStr">
        <is>
          <t>ZI029E100734</t>
        </is>
      </c>
      <c r="E1038" s="182" t="inlineStr">
        <is>
          <t>联合光伏（常州）投资集团有限公司</t>
        </is>
      </c>
      <c r="F1038" s="716" t="n"/>
      <c r="G1038" s="716" t="n"/>
      <c r="H1038" s="462" t="n"/>
    </row>
    <row r="1039">
      <c r="A1039" s="672" t="inlineStr">
        <is>
          <t>E100985G</t>
        </is>
      </c>
      <c r="B1039" s="767">
        <f>ROW()</f>
        <v/>
      </c>
      <c r="C1039" s="182" t="inlineStr">
        <is>
          <t>常州市招联绿邦新能源有限公司（合并）</t>
        </is>
      </c>
      <c r="D1039" s="182" t="inlineStr">
        <is>
          <t>ZI029E100734</t>
        </is>
      </c>
      <c r="E1039" s="182" t="inlineStr">
        <is>
          <t>联合光伏（常州）投资集团有限公司</t>
        </is>
      </c>
      <c r="F1039" s="716" t="n"/>
      <c r="G1039" s="716" t="n"/>
      <c r="H1039" s="462" t="n"/>
    </row>
    <row r="1040">
      <c r="A1040" s="672" t="inlineStr">
        <is>
          <t>E100988G</t>
        </is>
      </c>
      <c r="B1040" s="767">
        <f>ROW()</f>
        <v/>
      </c>
      <c r="C1040" s="182" t="inlineStr">
        <is>
          <t>常州市招联绿睿新能源有限公司（合并）</t>
        </is>
      </c>
      <c r="D1040" s="182" t="inlineStr">
        <is>
          <t>ZI029E100734</t>
        </is>
      </c>
      <c r="E1040" s="182" t="inlineStr">
        <is>
          <t>联合光伏（常州）投资集团有限公司</t>
        </is>
      </c>
      <c r="F1040" s="716" t="n"/>
      <c r="G1040" s="716" t="n"/>
      <c r="H1040" s="462" t="n"/>
    </row>
    <row r="1041">
      <c r="A1041" s="672" t="inlineStr">
        <is>
          <t>E100991G</t>
        </is>
      </c>
      <c r="B1041" s="767">
        <f>ROW()</f>
        <v/>
      </c>
      <c r="C1041" s="182" t="inlineStr">
        <is>
          <t>常熟宏丰光伏电站开发有限公司（合并）</t>
        </is>
      </c>
      <c r="D1041" s="182" t="inlineStr">
        <is>
          <t>ZI029E100988</t>
        </is>
      </c>
      <c r="E1041" s="182" t="inlineStr">
        <is>
          <t>常州市招联绿睿新能源有限公司</t>
        </is>
      </c>
      <c r="F1041" s="716" t="n"/>
      <c r="G1041" s="716" t="n"/>
      <c r="H1041" s="462" t="n"/>
    </row>
    <row r="1042">
      <c r="A1042" s="672" t="inlineStr">
        <is>
          <t>E100993G</t>
        </is>
      </c>
      <c r="B1042" s="767">
        <f>ROW()</f>
        <v/>
      </c>
      <c r="C1042" s="182" t="inlineStr">
        <is>
          <t>常州市招联绿晖新能源有限公司（合并）</t>
        </is>
      </c>
      <c r="D1042" s="182" t="inlineStr">
        <is>
          <t>ZI029E100734</t>
        </is>
      </c>
      <c r="E1042" s="182" t="inlineStr">
        <is>
          <t>联合光伏（常州）投资集团有限公司</t>
        </is>
      </c>
      <c r="F1042" s="716" t="n"/>
      <c r="G1042" s="716" t="n"/>
      <c r="H1042" s="462" t="n"/>
    </row>
    <row r="1043">
      <c r="A1043" s="672" t="inlineStr">
        <is>
          <t>E101001G</t>
        </is>
      </c>
      <c r="B1043" s="767">
        <f>ROW()</f>
        <v/>
      </c>
      <c r="C1043" s="182" t="inlineStr">
        <is>
          <t>Faster Assets Limited（合并）</t>
        </is>
      </c>
      <c r="D1043" s="182" t="inlineStr">
        <is>
          <t>ZI029E100881</t>
        </is>
      </c>
      <c r="E1043" s="182" t="inlineStr">
        <is>
          <t>China Solar Power Group Limited</t>
        </is>
      </c>
      <c r="F1043" s="716" t="n"/>
      <c r="G1043" s="716" t="n"/>
      <c r="H1043" s="462" t="n"/>
    </row>
    <row r="1044">
      <c r="A1044" s="672" t="inlineStr">
        <is>
          <t>E101003G</t>
        </is>
      </c>
      <c r="B1044" s="767">
        <f>ROW()</f>
        <v/>
      </c>
      <c r="C1044" s="182" t="inlineStr">
        <is>
          <t>Driven Green Holdings Limited（合并）</t>
        </is>
      </c>
      <c r="D1044" s="182" t="inlineStr">
        <is>
          <t>ZI029E101002</t>
        </is>
      </c>
      <c r="E1044" s="182" t="inlineStr">
        <is>
          <t>Driven Noble Limited</t>
        </is>
      </c>
      <c r="F1044" s="716" t="n"/>
      <c r="G1044" s="716" t="n"/>
      <c r="H1044" s="462" t="n"/>
    </row>
    <row r="1045">
      <c r="A1045" s="672" t="inlineStr">
        <is>
          <t>E101006G</t>
        </is>
      </c>
      <c r="B1045" s="767">
        <f>ROW()</f>
        <v/>
      </c>
      <c r="C1045" s="182" t="inlineStr">
        <is>
          <t>Premier Yield Holdings Limited（合并）</t>
        </is>
      </c>
      <c r="D1045" s="182" t="inlineStr">
        <is>
          <t>ZI029E101005</t>
        </is>
      </c>
      <c r="E1045" s="182" t="inlineStr">
        <is>
          <t>Silver Yield Investments Limited</t>
        </is>
      </c>
      <c r="F1045" s="716" t="n"/>
      <c r="G1045" s="716" t="n"/>
      <c r="H1045" s="462" t="n"/>
    </row>
    <row r="1046">
      <c r="A1046" s="672" t="inlineStr">
        <is>
          <t>E101008G</t>
        </is>
      </c>
      <c r="B1046" s="767">
        <f>ROW()</f>
        <v/>
      </c>
      <c r="C1046" s="182" t="inlineStr">
        <is>
          <t>南京丝绸之路新能源有限公司（合并）</t>
        </is>
      </c>
      <c r="D1046" s="182" t="inlineStr">
        <is>
          <t>ZI029E101007</t>
        </is>
      </c>
      <c r="E1046" s="182" t="inlineStr">
        <is>
          <t>骏耀新能源（常州）有限公司</t>
        </is>
      </c>
      <c r="F1046" s="716" t="n"/>
      <c r="G1046" s="716" t="n"/>
      <c r="H1046" s="462" t="n"/>
    </row>
    <row r="1047">
      <c r="A1047" s="672" t="inlineStr">
        <is>
          <t>E101012G</t>
        </is>
      </c>
      <c r="B1047" s="767">
        <f>ROW()</f>
        <v/>
      </c>
      <c r="C1047" s="182" t="inlineStr">
        <is>
          <t>常州市招联绿伏新能源有限公司（合并）</t>
        </is>
      </c>
      <c r="D1047" s="182" t="inlineStr">
        <is>
          <t>ZI029E101008</t>
        </is>
      </c>
      <c r="E1047" s="182" t="inlineStr">
        <is>
          <t>南京丝绸之路新能源有限公司</t>
        </is>
      </c>
      <c r="F1047" s="716" t="n"/>
      <c r="G1047" s="716" t="n"/>
      <c r="H1047" s="462" t="n"/>
    </row>
    <row r="1048">
      <c r="A1048" s="672" t="inlineStr">
        <is>
          <t>E101015G</t>
        </is>
      </c>
      <c r="B1048" s="767">
        <f>ROW()</f>
        <v/>
      </c>
      <c r="C1048" s="182" t="inlineStr">
        <is>
          <t>New Light Assets Limited（合并）</t>
        </is>
      </c>
      <c r="D1048" s="182" t="inlineStr">
        <is>
          <t>ZI029E101014</t>
        </is>
      </c>
      <c r="E1048" s="182" t="inlineStr">
        <is>
          <t>Green Horizon Developments Limited</t>
        </is>
      </c>
      <c r="F1048" s="716" t="n"/>
      <c r="G1048" s="716" t="n"/>
      <c r="H1048" s="462" t="n"/>
    </row>
    <row r="1049">
      <c r="A1049" s="672" t="inlineStr">
        <is>
          <t>E101016G</t>
        </is>
      </c>
      <c r="B1049" s="767">
        <f>ROW()</f>
        <v/>
      </c>
      <c r="C1049" s="182" t="inlineStr">
        <is>
          <t>丝绸之路招商新能源（常州）有限公司（合并）</t>
        </is>
      </c>
      <c r="D1049" s="182" t="inlineStr">
        <is>
          <t>ZI029E101015</t>
        </is>
      </c>
      <c r="E1049" s="182" t="inlineStr">
        <is>
          <t>New Light Assets Limited</t>
        </is>
      </c>
      <c r="F1049" s="716" t="n"/>
      <c r="G1049" s="716" t="n"/>
      <c r="H1049" s="462" t="n"/>
    </row>
    <row r="1050">
      <c r="A1050" s="672" t="inlineStr">
        <is>
          <t>E101017G</t>
        </is>
      </c>
      <c r="B1050" s="767">
        <f>ROW()</f>
        <v/>
      </c>
      <c r="C1050" s="182" t="inlineStr">
        <is>
          <t>常州新光新能源有限公司（合并）</t>
        </is>
      </c>
      <c r="D1050" s="182" t="inlineStr">
        <is>
          <t>ZI029E101016</t>
        </is>
      </c>
      <c r="E1050" s="182" t="inlineStr">
        <is>
          <t>丝绸之路招商新能源（常州）有限公司</t>
        </is>
      </c>
      <c r="F1050" s="716" t="n"/>
      <c r="G1050" s="716" t="n"/>
      <c r="H1050" s="462" t="n"/>
    </row>
    <row r="1051">
      <c r="A1051" s="672" t="inlineStr">
        <is>
          <t>E101019G</t>
        </is>
      </c>
      <c r="B1051" s="767">
        <f>ROW()</f>
        <v/>
      </c>
      <c r="C1051" s="182" t="inlineStr">
        <is>
          <t>招商局漳州开发区丝路方舟碳资产管理有限公司（合并）</t>
        </is>
      </c>
      <c r="D1051" s="182" t="inlineStr">
        <is>
          <t>ZI029E100881</t>
        </is>
      </c>
      <c r="E1051" s="182" t="inlineStr">
        <is>
          <t>China Solar Power Group Limited</t>
        </is>
      </c>
      <c r="F1051" s="716" t="n"/>
      <c r="G1051" s="716" t="n"/>
      <c r="H1051" s="462" t="n"/>
    </row>
    <row r="1052">
      <c r="A1052" s="672" t="inlineStr">
        <is>
          <t>E101021G</t>
        </is>
      </c>
      <c r="B1052" s="767">
        <f>ROW()</f>
        <v/>
      </c>
      <c r="C1052" s="182" t="inlineStr">
        <is>
          <t>Global Renewable Energy Limited（合并）</t>
        </is>
      </c>
      <c r="D1052" s="182" t="inlineStr">
        <is>
          <t>ZI029E100747</t>
        </is>
      </c>
      <c r="E1052" s="182" t="inlineStr">
        <is>
          <t>北京能源国际控股有限公司</t>
        </is>
      </c>
      <c r="F1052" s="716" t="n"/>
      <c r="G1052" s="716" t="n"/>
      <c r="H1052" s="462" t="n"/>
    </row>
    <row r="1053">
      <c r="A1053" s="672" t="inlineStr">
        <is>
          <t>E101022G</t>
        </is>
      </c>
      <c r="B1053" s="767">
        <f>ROW()</f>
        <v/>
      </c>
      <c r="C1053" s="182" t="inlineStr">
        <is>
          <t>Global Renewable Energy Holdings Limited（合并）</t>
        </is>
      </c>
      <c r="D1053" s="182" t="inlineStr">
        <is>
          <t>ZI029E101021</t>
        </is>
      </c>
      <c r="E1053" s="182" t="inlineStr">
        <is>
          <t>Global Renewable Energy Limited</t>
        </is>
      </c>
      <c r="F1053" s="716" t="n"/>
      <c r="G1053" s="716" t="n"/>
      <c r="H1053" s="462" t="n"/>
    </row>
    <row r="1054">
      <c r="A1054" s="672" t="inlineStr">
        <is>
          <t>E101024G</t>
        </is>
      </c>
      <c r="B1054" s="767">
        <f>ROW()</f>
        <v/>
      </c>
      <c r="C1054" s="182" t="inlineStr">
        <is>
          <t>Fortune Wheel Holdings Limited（合并）</t>
        </is>
      </c>
      <c r="D1054" s="182" t="inlineStr">
        <is>
          <t>ZI029E101023</t>
        </is>
      </c>
      <c r="E1054" s="182" t="inlineStr">
        <is>
          <t>Sino Delight Developments Limited</t>
        </is>
      </c>
      <c r="F1054" s="716" t="n"/>
      <c r="G1054" s="716" t="n"/>
      <c r="H1054" s="462" t="n"/>
    </row>
    <row r="1055">
      <c r="A1055" s="672" t="inlineStr">
        <is>
          <t>E101026G</t>
        </is>
      </c>
      <c r="B1055" s="767">
        <f>ROW()</f>
        <v/>
      </c>
      <c r="C1055" s="182" t="inlineStr">
        <is>
          <t>常州市招联绿灿新能源有限公司（合并）</t>
        </is>
      </c>
      <c r="D1055" s="182" t="inlineStr">
        <is>
          <t>ZI029E101025</t>
        </is>
      </c>
      <c r="E1055" s="182" t="inlineStr">
        <is>
          <t>招联（珠海）清洁能源投资有限公司</t>
        </is>
      </c>
      <c r="F1055" s="716" t="n"/>
      <c r="G1055" s="716" t="n"/>
      <c r="H1055" s="462" t="n"/>
    </row>
    <row r="1056">
      <c r="A1056" s="672" t="inlineStr">
        <is>
          <t>E101028G</t>
        </is>
      </c>
      <c r="B1056" s="767">
        <f>ROW()</f>
        <v/>
      </c>
      <c r="C1056" s="182" t="inlineStr">
        <is>
          <t>Renewable Energy UK Portfolio Limited（合并）</t>
        </is>
      </c>
      <c r="D1056" s="182" t="inlineStr">
        <is>
          <t>ZI029E101027</t>
        </is>
      </c>
      <c r="E1056" s="182" t="inlineStr">
        <is>
          <t>Ecoworld Global Limited</t>
        </is>
      </c>
      <c r="F1056" s="716" t="n"/>
      <c r="G1056" s="716" t="n"/>
      <c r="H1056" s="462" t="n"/>
    </row>
    <row r="1057">
      <c r="A1057" s="672" t="inlineStr">
        <is>
          <t>E101031G</t>
        </is>
      </c>
      <c r="B1057" s="767">
        <f>ROW()</f>
        <v/>
      </c>
      <c r="C1057" s="182" t="inlineStr">
        <is>
          <t>Panda Green Power Group Limited（合并）</t>
        </is>
      </c>
      <c r="D1057" s="182" t="inlineStr">
        <is>
          <t>ZI029E100747</t>
        </is>
      </c>
      <c r="E1057" s="182" t="inlineStr">
        <is>
          <t>北京能源国际控股有限公司</t>
        </is>
      </c>
      <c r="F1057" s="716" t="n"/>
      <c r="G1057" s="716" t="n"/>
      <c r="H1057" s="462" t="n"/>
    </row>
    <row r="1058">
      <c r="A1058" s="672" t="inlineStr">
        <is>
          <t>E101033G</t>
        </is>
      </c>
      <c r="B1058" s="767">
        <f>ROW()</f>
        <v/>
      </c>
      <c r="C1058" s="182" t="inlineStr">
        <is>
          <t>East Asia New Energy Group Limited（合并）</t>
        </is>
      </c>
      <c r="D1058" s="182" t="inlineStr">
        <is>
          <t>ZI029E101032</t>
        </is>
      </c>
      <c r="E1058" s="182" t="inlineStr">
        <is>
          <t>China New Energy Holdings （Hong Kong） Limited</t>
        </is>
      </c>
      <c r="F1058" s="716" t="n"/>
      <c r="G1058" s="716" t="n"/>
      <c r="H1058" s="462" t="n"/>
    </row>
    <row r="1059">
      <c r="A1059" s="672" t="inlineStr">
        <is>
          <t>E101040G</t>
        </is>
      </c>
      <c r="B1059" s="767">
        <f>ROW()</f>
        <v/>
      </c>
      <c r="C1059" s="182" t="inlineStr">
        <is>
          <t>Tibet Energy Investment Group （Hong Kong） Limited（合并）</t>
        </is>
      </c>
      <c r="D1059" s="182" t="inlineStr">
        <is>
          <t>ZI029E101022</t>
        </is>
      </c>
      <c r="E1059" s="182" t="inlineStr">
        <is>
          <t>Global Renewable Energy Holdings Limited</t>
        </is>
      </c>
      <c r="F1059" s="716" t="n"/>
      <c r="G1059" s="716" t="n"/>
      <c r="H1059" s="462" t="n"/>
    </row>
    <row r="1060">
      <c r="A1060" s="672" t="inlineStr">
        <is>
          <t>E101042G</t>
        </is>
      </c>
      <c r="B1060" s="767">
        <f>ROW()</f>
        <v/>
      </c>
      <c r="C1060" s="182" t="inlineStr">
        <is>
          <t>Panda Solar Power Holdings Limited（合并）</t>
        </is>
      </c>
      <c r="D1060" s="182" t="inlineStr">
        <is>
          <t>ZI029E101031</t>
        </is>
      </c>
      <c r="E1060" s="182" t="inlineStr">
        <is>
          <t>Panda Green Power Group Limited</t>
        </is>
      </c>
      <c r="F1060" s="716" t="n"/>
      <c r="G1060" s="716" t="n"/>
      <c r="H1060" s="462" t="n"/>
    </row>
    <row r="1061">
      <c r="A1061" s="672" t="inlineStr">
        <is>
          <t>E101044G</t>
        </is>
      </c>
      <c r="B1061" s="767">
        <f>ROW()</f>
        <v/>
      </c>
      <c r="C1061" s="182" t="inlineStr">
        <is>
          <t>JingNeng Renewable Energy International Group Limited（合并）</t>
        </is>
      </c>
      <c r="D1061" s="182" t="inlineStr">
        <is>
          <t>ZI029E100747</t>
        </is>
      </c>
      <c r="E1061" s="182" t="inlineStr">
        <is>
          <t>北京能源国际控股有限公司</t>
        </is>
      </c>
      <c r="F1061" s="716" t="n"/>
      <c r="G1061" s="716" t="n"/>
      <c r="H1061" s="462" t="n"/>
    </row>
    <row r="1062">
      <c r="A1062" s="672" t="inlineStr">
        <is>
          <t>E101054G</t>
        </is>
      </c>
      <c r="B1062" s="767">
        <f>ROW()</f>
        <v/>
      </c>
      <c r="C1062" s="182" t="inlineStr">
        <is>
          <t>北京华远意通热力科技股份有限公司（合并）</t>
        </is>
      </c>
      <c r="D1062" s="182" t="inlineStr">
        <is>
          <t>ZI029E100000</t>
        </is>
      </c>
      <c r="E1062" s="182" t="inlineStr">
        <is>
          <t>北京能源集团有限责任公司</t>
        </is>
      </c>
      <c r="F1062" s="716" t="n"/>
      <c r="G1062" s="716" t="n"/>
      <c r="H1062" s="462" t="n"/>
    </row>
    <row r="1063">
      <c r="A1063" s="672" t="inlineStr">
        <is>
          <t>E101054H</t>
        </is>
      </c>
      <c r="B1063" s="767">
        <f>ROW()</f>
        <v/>
      </c>
      <c r="C1063" s="182" t="inlineStr">
        <is>
          <t>北京华远意通热力科技股份有限公司（母公司）</t>
        </is>
      </c>
      <c r="D1063" s="182" t="inlineStr">
        <is>
          <t>ZI029E100000</t>
        </is>
      </c>
      <c r="E1063" s="182" t="inlineStr">
        <is>
          <t>北京能源集团有限责任公司</t>
        </is>
      </c>
      <c r="F1063" s="716" t="n"/>
      <c r="G1063" s="716" t="n"/>
      <c r="H1063" s="462" t="n"/>
    </row>
    <row r="1064">
      <c r="A1064" s="672" t="inlineStr">
        <is>
          <t>E101056G</t>
        </is>
      </c>
      <c r="B1064" s="767">
        <f>ROW()</f>
        <v/>
      </c>
      <c r="C1064" s="182" t="inlineStr">
        <is>
          <t>北京华意龙达科技发展有限公司（合并）</t>
        </is>
      </c>
      <c r="D1064" s="182" t="inlineStr">
        <is>
          <t>ZI029E101054</t>
        </is>
      </c>
      <c r="E1064" s="182" t="inlineStr">
        <is>
          <t>北京京能热力股份有限公司</t>
        </is>
      </c>
      <c r="F1064" s="716" t="n"/>
      <c r="G1064" s="716" t="n"/>
      <c r="H1064" s="462" t="n"/>
    </row>
    <row r="1065">
      <c r="A1065" s="672" t="inlineStr">
        <is>
          <t>E101070G</t>
        </is>
      </c>
      <c r="B1065" s="767">
        <f>ROW()</f>
        <v/>
      </c>
      <c r="C1065" s="182" t="inlineStr">
        <is>
          <t>深圳市前海毓华清洁能源投资有限公司（合并）</t>
        </is>
      </c>
      <c r="D1065" s="182" t="inlineStr">
        <is>
          <t>ZI029E100730</t>
        </is>
      </c>
      <c r="E1065" s="182" t="inlineStr">
        <is>
          <t>京能国际能源发展（北京）有限公司</t>
        </is>
      </c>
      <c r="F1065" s="716" t="n"/>
      <c r="G1065" s="716" t="n"/>
      <c r="H1065" s="462" t="n"/>
    </row>
    <row r="1066">
      <c r="A1066" s="672" t="inlineStr">
        <is>
          <t>E101097G</t>
        </is>
      </c>
      <c r="B1066" s="767">
        <f>ROW()</f>
        <v/>
      </c>
      <c r="C1066" s="182" t="inlineStr">
        <is>
          <t>肇庆市莱湾新能源科技有限公司（合并）</t>
        </is>
      </c>
      <c r="D1066" s="182" t="inlineStr">
        <is>
          <t>ZI029E100730</t>
        </is>
      </c>
      <c r="E1066" s="182" t="inlineStr">
        <is>
          <t>京能国际能源发展（北京）有限公司</t>
        </is>
      </c>
      <c r="F1066" s="716" t="n"/>
      <c r="G1066" s="716" t="n"/>
      <c r="H1066" s="462" t="n"/>
    </row>
    <row r="1067">
      <c r="A1067" s="672" t="inlineStr">
        <is>
          <t>E101136G</t>
        </is>
      </c>
      <c r="B1067" s="767">
        <f>ROW()</f>
        <v/>
      </c>
      <c r="C1067" s="182" t="inlineStr">
        <is>
          <t>北京市石景山区老年福养老服务中心（合并）</t>
        </is>
      </c>
      <c r="D1067" s="182" t="inlineStr">
        <is>
          <t>ZI029E100776</t>
        </is>
      </c>
      <c r="E1067" s="182" t="inlineStr">
        <is>
          <t>北京健康养老集团有限公司</t>
        </is>
      </c>
      <c r="F1067" s="716" t="n"/>
      <c r="G1067" s="716" t="n"/>
      <c r="H1067" s="462" t="n"/>
    </row>
    <row r="1068">
      <c r="A1068" s="672" t="inlineStr">
        <is>
          <t>E101142G</t>
        </is>
      </c>
      <c r="B1068" s="767">
        <f>ROW()</f>
        <v/>
      </c>
      <c r="C1068" s="182" t="inlineStr">
        <is>
          <t>灵寿县清智新能源科技有限公司（合并）</t>
        </is>
      </c>
      <c r="D1068" s="182" t="inlineStr">
        <is>
          <t>ZI029E100001</t>
        </is>
      </c>
      <c r="E1068" s="182" t="inlineStr">
        <is>
          <t>北京京能清洁能源电力股份有限公司</t>
        </is>
      </c>
      <c r="F1068" s="716" t="n"/>
      <c r="G1068" s="716" t="n"/>
      <c r="H1068" s="462" t="n"/>
    </row>
    <row r="1069">
      <c r="A1069" s="672" t="inlineStr">
        <is>
          <t>E100787</t>
        </is>
      </c>
      <c r="B1069" s="767">
        <f>ROW()</f>
        <v/>
      </c>
      <c r="C1069" s="182" t="inlineStr">
        <is>
          <t>内蒙古京能苏尼特风力发电有限公司（内蒙古分公司）</t>
        </is>
      </c>
      <c r="D1069" s="182" t="inlineStr">
        <is>
          <t>ZI029E100001</t>
        </is>
      </c>
      <c r="E1069" s="182" t="inlineStr">
        <is>
          <t>北京京能清洁能源电力股份有限公司</t>
        </is>
      </c>
      <c r="F1069" s="716" t="n"/>
      <c r="G1069" s="716" t="n"/>
      <c r="H1069" s="462" t="n"/>
    </row>
    <row r="1070">
      <c r="A1070" s="672" t="inlineStr">
        <is>
          <t>E100406</t>
        </is>
      </c>
      <c r="B1070" s="767">
        <f>ROW()</f>
        <v/>
      </c>
      <c r="C1070" s="182" t="inlineStr">
        <is>
          <t>北京博尔节能设备技术开发有限责任公司</t>
        </is>
      </c>
      <c r="D1070" s="182" t="inlineStr">
        <is>
          <t>ZI029E100371</t>
        </is>
      </c>
      <c r="E1070" s="182" t="inlineStr">
        <is>
          <t>北京京能科技有限公司</t>
        </is>
      </c>
      <c r="F1070" s="716" t="n"/>
      <c r="G1070" s="716" t="n"/>
      <c r="H1070" s="462" t="n"/>
    </row>
    <row r="1071">
      <c r="A1071" s="672" t="inlineStr">
        <is>
          <t>E101159</t>
        </is>
      </c>
      <c r="B1071" s="767">
        <f>ROW()</f>
        <v/>
      </c>
      <c r="C1071" s="182">
        <f>IF(_epmOfflineCondition_,"汕头京能清洁能源有限公司",EPMMemberDesc(A1071))</f>
        <v/>
      </c>
      <c r="D1071" s="182" t="inlineStr">
        <is>
          <t>ZI029E100001</t>
        </is>
      </c>
      <c r="E1071" s="182" t="inlineStr">
        <is>
          <t>北京京能清洁能源电力股份有限公司</t>
        </is>
      </c>
      <c r="F1071" s="716" t="n"/>
      <c r="G1071" s="716" t="n"/>
      <c r="H1071" s="462" t="n"/>
    </row>
    <row r="1072">
      <c r="A1072" s="672" t="inlineStr">
        <is>
          <t>E100862</t>
        </is>
      </c>
      <c r="B1072" s="767">
        <f>ROW()</f>
        <v/>
      </c>
      <c r="C1072" s="182" t="inlineStr">
        <is>
          <t>京能玉门新能源有限公司</t>
        </is>
      </c>
      <c r="D1072" s="182" t="inlineStr">
        <is>
          <t>ZI029E100145</t>
        </is>
      </c>
      <c r="E1072" s="182" t="inlineStr">
        <is>
          <t>北京京能电力股份有限公司</t>
        </is>
      </c>
      <c r="F1072" s="716" t="n"/>
      <c r="G1072" s="716" t="n"/>
      <c r="H1072" s="462" t="n"/>
    </row>
    <row r="1073">
      <c r="A1073" s="672" t="inlineStr">
        <is>
          <t>E100863</t>
        </is>
      </c>
      <c r="B1073" s="767">
        <f>ROW()</f>
        <v/>
      </c>
      <c r="C1073" s="182" t="inlineStr">
        <is>
          <t>京骐（玉门）新能源有限公司</t>
        </is>
      </c>
      <c r="D1073" s="182" t="inlineStr">
        <is>
          <t>ZI029E100145</t>
        </is>
      </c>
      <c r="E1073" s="182" t="inlineStr">
        <is>
          <t>北京京能电力股份有限公司</t>
        </is>
      </c>
      <c r="F1073" s="716" t="n"/>
      <c r="G1073" s="716" t="n"/>
      <c r="H1073" s="462" t="n"/>
    </row>
    <row r="1074">
      <c r="A1074" s="672" t="inlineStr">
        <is>
          <t>E100171</t>
        </is>
      </c>
      <c r="B1074" s="767">
        <f>ROW()</f>
        <v/>
      </c>
      <c r="C1074" s="182" t="inlineStr">
        <is>
          <t>内蒙古京能双欣发电有限公司</t>
        </is>
      </c>
      <c r="D1074" s="182" t="inlineStr">
        <is>
          <t>ZI029E100145</t>
        </is>
      </c>
      <c r="E1074" s="182" t="inlineStr">
        <is>
          <t>北京京能电力股份有限公司</t>
        </is>
      </c>
      <c r="F1074" s="716" t="n"/>
      <c r="G1074" s="716" t="n"/>
      <c r="H1074" s="462" t="n"/>
    </row>
    <row r="1075">
      <c r="A1075" s="672" t="inlineStr">
        <is>
          <t>E100920</t>
        </is>
      </c>
      <c r="B1075" s="767">
        <f>ROW()</f>
        <v/>
      </c>
      <c r="C1075" s="182" t="inlineStr">
        <is>
          <t>五莲县宁旭新能源有限公司</t>
        </is>
      </c>
      <c r="D1075" s="182" t="inlineStr">
        <is>
          <t>ZI029E100919</t>
        </is>
      </c>
      <c r="E1075" s="182" t="inlineStr">
        <is>
          <t>五莲县鹏光新能源有限公司</t>
        </is>
      </c>
      <c r="F1075" s="716" t="n"/>
      <c r="G1075" s="716" t="n"/>
      <c r="H1075" s="462" t="n"/>
    </row>
    <row r="1076">
      <c r="A1076" s="672" t="inlineStr">
        <is>
          <t>E101102</t>
        </is>
      </c>
      <c r="B1076" s="767">
        <f>ROW()</f>
        <v/>
      </c>
      <c r="C1076" s="672" t="inlineStr">
        <is>
          <t>伊川县康庆新能源有限公司</t>
        </is>
      </c>
      <c r="D1076" s="182" t="inlineStr">
        <is>
          <t>ZI029E100734</t>
        </is>
      </c>
      <c r="E1076" s="182" t="inlineStr">
        <is>
          <t>联合光伏（常州）投资集团有限公司</t>
        </is>
      </c>
      <c r="F1076" s="716" t="n"/>
      <c r="G1076" s="716" t="n"/>
      <c r="H1076" s="462" t="n"/>
    </row>
    <row r="1077">
      <c r="A1077" s="672" t="inlineStr">
        <is>
          <t>E101101</t>
        </is>
      </c>
      <c r="B1077" s="767">
        <f>ROW()</f>
        <v/>
      </c>
      <c r="C1077" s="672" t="inlineStr">
        <is>
          <t>三门峡峡湖源风力发电有限公司</t>
        </is>
      </c>
      <c r="D1077" s="182" t="inlineStr">
        <is>
          <t>ZI029E100734</t>
        </is>
      </c>
      <c r="E1077" s="182" t="inlineStr">
        <is>
          <t>联合光伏（常州）投资集团有限公司</t>
        </is>
      </c>
      <c r="F1077" s="716" t="n"/>
      <c r="G1077" s="716" t="n"/>
      <c r="H1077" s="462" t="n"/>
    </row>
    <row r="1078">
      <c r="A1078" s="182" t="inlineStr">
        <is>
          <t>E100907</t>
        </is>
      </c>
      <c r="B1078" s="767">
        <f>ROW()</f>
        <v/>
      </c>
      <c r="C1078" s="182" t="inlineStr">
        <is>
          <t>隆尧县国昌新能源科技有限公司</t>
        </is>
      </c>
      <c r="D1078" s="182" t="inlineStr">
        <is>
          <t>ZI029E100730</t>
        </is>
      </c>
      <c r="E1078" s="182" t="inlineStr">
        <is>
          <t>京能国际能源发展（北京）有限公司</t>
        </is>
      </c>
      <c r="F1078" s="716" t="n"/>
      <c r="G1078" s="716" t="n"/>
      <c r="H1078" s="462" t="n"/>
    </row>
    <row r="1079">
      <c r="A1079" s="182" t="inlineStr">
        <is>
          <t>E100907</t>
        </is>
      </c>
      <c r="B1079" s="767">
        <f>ROW()</f>
        <v/>
      </c>
      <c r="C1079" s="182" t="inlineStr">
        <is>
          <t>隆尧县国昌新能源科技有限公司</t>
        </is>
      </c>
      <c r="D1079" s="672" t="inlineStr">
        <is>
          <t>ZI029E101076</t>
        </is>
      </c>
      <c r="E1079" s="182" t="inlineStr">
        <is>
          <t>京能胜科（海南）国际能源有限公司</t>
        </is>
      </c>
      <c r="F1079" s="716" t="n"/>
      <c r="G1079" s="716" t="n"/>
      <c r="H1079" s="462" t="n"/>
    </row>
    <row r="1080">
      <c r="A1080" s="182" t="inlineStr">
        <is>
          <t>E100828</t>
        </is>
      </c>
      <c r="B1080" s="767">
        <f>ROW()</f>
        <v/>
      </c>
      <c r="C1080" s="182" t="inlineStr">
        <is>
          <t>京能（寻甸）新能源有限公司</t>
        </is>
      </c>
      <c r="D1080" s="182" t="inlineStr">
        <is>
          <t>ZI029E100730</t>
        </is>
      </c>
      <c r="E1080" s="182" t="inlineStr">
        <is>
          <t>京能国际能源发展（北京）有限公司</t>
        </is>
      </c>
      <c r="F1080" s="716" t="n"/>
      <c r="G1080" s="716" t="n"/>
      <c r="H1080" s="462" t="n"/>
    </row>
    <row r="1081">
      <c r="A1081" s="182" t="inlineStr">
        <is>
          <t>E101099</t>
        </is>
      </c>
      <c r="B1081" s="767">
        <f>ROW()</f>
        <v/>
      </c>
      <c r="C1081" s="182" t="inlineStr">
        <is>
          <t>京能（保山）光伏发电有限公司</t>
        </is>
      </c>
      <c r="D1081" s="182" t="inlineStr">
        <is>
          <t>ZI029E100883</t>
        </is>
      </c>
      <c r="E1081" s="182" t="inlineStr">
        <is>
          <t>Beijing Energy International Investment Limited</t>
        </is>
      </c>
      <c r="F1081" s="716" t="n"/>
      <c r="G1081" s="716" t="n"/>
      <c r="H1081" s="462" t="n"/>
    </row>
    <row r="1082">
      <c r="A1082" s="182" t="inlineStr">
        <is>
          <t>E100923</t>
        </is>
      </c>
      <c r="B1082" s="767">
        <f>ROW()</f>
        <v/>
      </c>
      <c r="C1082" s="182" t="inlineStr">
        <is>
          <t>武汉京能低碳新能源有限公司</t>
        </is>
      </c>
      <c r="D1082" s="182" t="inlineStr">
        <is>
          <t>ZI029E100730</t>
        </is>
      </c>
      <c r="E1082" s="182" t="inlineStr">
        <is>
          <t>京能国际能源发展（北京）有限公司</t>
        </is>
      </c>
      <c r="F1082" s="716" t="n"/>
      <c r="G1082" s="716" t="n"/>
      <c r="H1082" s="462" t="n"/>
    </row>
    <row r="1083" ht="16.8" customHeight="1" s="1181">
      <c r="A1083" s="182" t="inlineStr">
        <is>
          <t>E101088</t>
        </is>
      </c>
      <c r="B1083" s="767">
        <f>ROW()</f>
        <v/>
      </c>
      <c r="C1083" s="390" t="inlineStr">
        <is>
          <t>京吉（安福）光伏发电有限公司</t>
        </is>
      </c>
      <c r="D1083" s="182" t="inlineStr">
        <is>
          <t>ZI029E100883</t>
        </is>
      </c>
      <c r="E1083" s="182" t="inlineStr">
        <is>
          <t>Beijing Energy International Investment Limited</t>
        </is>
      </c>
      <c r="F1083" s="716" t="n"/>
      <c r="G1083" s="716" t="n"/>
      <c r="H1083" s="462" t="n"/>
    </row>
    <row r="1084" ht="16.8" customHeight="1" s="1181">
      <c r="A1084" s="182" t="inlineStr">
        <is>
          <t>E101087</t>
        </is>
      </c>
      <c r="B1084" s="767">
        <f>ROW()</f>
        <v/>
      </c>
      <c r="C1084" s="390" t="inlineStr">
        <is>
          <t>京能（宜黄）光伏发电有限公司</t>
        </is>
      </c>
      <c r="D1084" s="182" t="inlineStr">
        <is>
          <t>ZI029E100883</t>
        </is>
      </c>
      <c r="E1084" s="182" t="inlineStr">
        <is>
          <t>Beijing Energy International Investment Limited</t>
        </is>
      </c>
      <c r="F1084" s="716" t="n"/>
      <c r="G1084" s="716" t="n"/>
      <c r="H1084" s="462" t="n"/>
    </row>
    <row r="1085" ht="16.8" customHeight="1" s="1181">
      <c r="A1085" s="182" t="inlineStr">
        <is>
          <t>E101029</t>
        </is>
      </c>
      <c r="B1085" s="767">
        <f>ROW()</f>
        <v/>
      </c>
      <c r="C1085" s="182" t="inlineStr">
        <is>
          <t>Pearl International Investments S.ar.l.</t>
        </is>
      </c>
      <c r="D1085" s="182" t="inlineStr">
        <is>
          <t>ZI029E101028</t>
        </is>
      </c>
      <c r="E1085" s="390" t="inlineStr">
        <is>
          <t>Renewable Energy UK Portfolio Limited</t>
        </is>
      </c>
      <c r="F1085" s="716" t="n"/>
      <c r="G1085" s="716" t="n"/>
      <c r="H1085" s="462" t="n"/>
    </row>
    <row r="1086" ht="16.8" customHeight="1" s="1181">
      <c r="A1086" s="672" t="inlineStr">
        <is>
          <t>E101095</t>
        </is>
      </c>
      <c r="B1086" s="767">
        <f>ROW()</f>
        <v/>
      </c>
      <c r="C1086" s="182" t="inlineStr">
        <is>
          <t>JN Viet Nam Renewable Energy Company Limited</t>
        </is>
      </c>
      <c r="D1086" s="182" t="inlineStr">
        <is>
          <t>ZI029E101028</t>
        </is>
      </c>
      <c r="E1086" s="390" t="inlineStr">
        <is>
          <t>Renewable Energy UK Portfolio Limited</t>
        </is>
      </c>
      <c r="F1086" s="716" t="n"/>
      <c r="G1086" s="716" t="n"/>
      <c r="H1086" s="462" t="n"/>
    </row>
    <row r="1087">
      <c r="A1087" s="182" t="inlineStr">
        <is>
          <t>E101045</t>
        </is>
      </c>
      <c r="B1087" s="767">
        <f>ROW()</f>
        <v/>
      </c>
      <c r="C1087" s="182" t="inlineStr">
        <is>
          <t>Beijing Energy International （Australia） Holding Pty Ltd</t>
        </is>
      </c>
      <c r="D1087" s="182" t="inlineStr">
        <is>
          <t>ZI029E101044</t>
        </is>
      </c>
      <c r="E1087" s="182" t="inlineStr">
        <is>
          <t>JingNeng Renewable Energy International Group Limited</t>
        </is>
      </c>
      <c r="F1087" s="716" t="n"/>
      <c r="G1087" s="716" t="n"/>
      <c r="H1087" s="462" t="n"/>
    </row>
    <row r="1088">
      <c r="A1088" s="182" t="inlineStr">
        <is>
          <t>E101046</t>
        </is>
      </c>
      <c r="B1088" s="767">
        <f>ROW()</f>
        <v/>
      </c>
      <c r="C1088" s="182" t="inlineStr">
        <is>
          <t>Wollar Solar Holding Pty Ltd</t>
        </is>
      </c>
      <c r="D1088" s="182" t="inlineStr">
        <is>
          <t>ZI029E101045</t>
        </is>
      </c>
      <c r="E1088" s="182" t="inlineStr">
        <is>
          <t>Beijing Energy International （Australia） Holding Pty Ltd</t>
        </is>
      </c>
      <c r="F1088" s="716" t="n"/>
      <c r="G1088" s="716" t="n"/>
      <c r="H1088" s="462" t="n"/>
    </row>
    <row r="1089">
      <c r="A1089" s="182" t="inlineStr">
        <is>
          <t>E101047</t>
        </is>
      </c>
      <c r="B1089" s="767">
        <f>ROW()</f>
        <v/>
      </c>
      <c r="C1089" s="182" t="inlineStr">
        <is>
          <t>MNS Wind Holding Pty Limited</t>
        </is>
      </c>
      <c r="D1089" s="182" t="inlineStr">
        <is>
          <t>ZI029E101046</t>
        </is>
      </c>
      <c r="E1089" s="182" t="inlineStr">
        <is>
          <t>Wollar Solar Holding Pty Ltd</t>
        </is>
      </c>
      <c r="F1089" s="716" t="n"/>
      <c r="G1089" s="716" t="n"/>
      <c r="H1089" s="462" t="n"/>
    </row>
    <row r="1090">
      <c r="A1090" s="182" t="inlineStr">
        <is>
          <t>E101048</t>
        </is>
      </c>
      <c r="B1090" s="767">
        <f>ROW()</f>
        <v/>
      </c>
      <c r="C1090" s="182" t="inlineStr">
        <is>
          <t>MNS Wind Finance Pty Limited</t>
        </is>
      </c>
      <c r="D1090" s="182" t="inlineStr">
        <is>
          <t>ZI029E101047</t>
        </is>
      </c>
      <c r="E1090" s="182" t="inlineStr">
        <is>
          <t>MNS Wind Holding Pty Limited</t>
        </is>
      </c>
      <c r="F1090" s="716" t="n"/>
      <c r="G1090" s="716" t="n"/>
      <c r="H1090" s="462" t="n"/>
    </row>
    <row r="1091">
      <c r="A1091" s="182" t="inlineStr">
        <is>
          <t>E101049</t>
        </is>
      </c>
      <c r="B1091" s="767">
        <f>ROW()</f>
        <v/>
      </c>
      <c r="C1091" s="182" t="inlineStr">
        <is>
          <t>Wollar Solar Finance Pty Ltd</t>
        </is>
      </c>
      <c r="D1091" s="182" t="inlineStr">
        <is>
          <t>ZI029E101046</t>
        </is>
      </c>
      <c r="E1091" s="182" t="inlineStr">
        <is>
          <t>Wollar Solar Holding Pty Ltd</t>
        </is>
      </c>
      <c r="F1091" s="716" t="n"/>
      <c r="G1091" s="716" t="n"/>
      <c r="H1091" s="462" t="n"/>
    </row>
    <row r="1092">
      <c r="A1092" s="182" t="inlineStr">
        <is>
          <t>E101050</t>
        </is>
      </c>
      <c r="B1092" s="767">
        <f>ROW()</f>
        <v/>
      </c>
      <c r="C1092" s="182" t="inlineStr">
        <is>
          <t>Wollar Solar Development Pty Limited</t>
        </is>
      </c>
      <c r="D1092" s="182" t="inlineStr">
        <is>
          <t>ZI029E101049</t>
        </is>
      </c>
      <c r="E1092" s="182" t="inlineStr">
        <is>
          <t>Wollar Solar Finance Pty Ltd</t>
        </is>
      </c>
      <c r="F1092" s="716" t="n"/>
      <c r="G1092" s="716" t="n"/>
      <c r="H1092" s="462" t="n"/>
    </row>
    <row r="1093">
      <c r="A1093" s="182" t="inlineStr">
        <is>
          <t>E101096</t>
        </is>
      </c>
      <c r="B1093" s="767">
        <f>ROW()</f>
        <v/>
      </c>
      <c r="C1093" s="182" t="inlineStr">
        <is>
          <t>Cuu An Wind Power Joint Stock Company</t>
        </is>
      </c>
      <c r="D1093" s="182" t="inlineStr">
        <is>
          <t>ZI029E101095</t>
        </is>
      </c>
      <c r="E1093" s="182" t="inlineStr">
        <is>
          <t>JN Viet Nam Renewable Energy Company Limited</t>
        </is>
      </c>
      <c r="F1093" s="716" t="n"/>
      <c r="G1093" s="716" t="n"/>
      <c r="H1093" s="462" t="n"/>
    </row>
    <row r="1094">
      <c r="A1094" s="182" t="inlineStr">
        <is>
          <t>E100901</t>
        </is>
      </c>
      <c r="B1094" s="767">
        <f>ROW()</f>
        <v/>
      </c>
      <c r="C1094" s="182" t="inlineStr">
        <is>
          <t>深圳前海京平新能源技术服务有限公司</t>
        </is>
      </c>
      <c r="D1094" s="182" t="inlineStr">
        <is>
          <t>ZI029E100730</t>
        </is>
      </c>
      <c r="E1094" s="182" t="inlineStr">
        <is>
          <t>京能国际能源发展（北京）有限公司</t>
        </is>
      </c>
      <c r="F1094" s="716" t="n"/>
      <c r="G1094" s="716" t="n"/>
      <c r="H1094" s="462" t="n"/>
    </row>
    <row r="1095">
      <c r="A1095" s="672" t="inlineStr">
        <is>
          <t>E101076</t>
        </is>
      </c>
      <c r="B1095" s="767">
        <f>ROW()</f>
        <v/>
      </c>
      <c r="C1095" s="182" t="inlineStr">
        <is>
          <t>京能胜科（海南）国际能源有限公司</t>
        </is>
      </c>
      <c r="D1095" s="182" t="inlineStr">
        <is>
          <t>ZI029E100883</t>
        </is>
      </c>
      <c r="E1095" s="182" t="inlineStr">
        <is>
          <t>Beijing Energy International Investment Limited</t>
        </is>
      </c>
      <c r="F1095" s="716" t="n"/>
      <c r="G1095" s="716" t="n"/>
      <c r="H1095" s="462" t="n"/>
    </row>
    <row r="1096">
      <c r="A1096" s="182" t="inlineStr">
        <is>
          <t>E100905</t>
        </is>
      </c>
      <c r="B1096" s="767">
        <f>ROW()</f>
        <v/>
      </c>
      <c r="C1096" s="182" t="inlineStr">
        <is>
          <t>南宫市国顺新能源科技有限公司</t>
        </is>
      </c>
      <c r="D1096" s="672" t="inlineStr">
        <is>
          <t>ZI029E101076</t>
        </is>
      </c>
      <c r="E1096" s="182" t="inlineStr">
        <is>
          <t>京能胜科（海南）国际能源有限公司</t>
        </is>
      </c>
      <c r="F1096" s="716" t="n"/>
      <c r="G1096" s="716" t="n"/>
      <c r="H1096" s="462" t="n"/>
    </row>
    <row r="1097">
      <c r="A1097" s="672" t="inlineStr">
        <is>
          <t>E100906</t>
        </is>
      </c>
      <c r="B1097" s="767">
        <f>ROW()</f>
        <v/>
      </c>
      <c r="C1097" s="182" t="inlineStr">
        <is>
          <t>广宗县国瑞能源有限公司</t>
        </is>
      </c>
      <c r="D1097" s="672" t="inlineStr">
        <is>
          <t>ZI029E101076</t>
        </is>
      </c>
      <c r="E1097" s="182" t="inlineStr">
        <is>
          <t>京能胜科（海南）国际能源有限公司</t>
        </is>
      </c>
      <c r="F1097" s="716" t="n"/>
      <c r="G1097" s="716" t="n"/>
      <c r="H1097" s="462" t="n"/>
    </row>
    <row r="1098">
      <c r="A1098" s="672" t="inlineStr">
        <is>
          <t>E101132</t>
        </is>
      </c>
      <c r="B1098" s="767">
        <f>ROW()</f>
        <v/>
      </c>
      <c r="C1098" s="182" t="inlineStr">
        <is>
          <t>内蒙古京能岱海新能源有限公司</t>
        </is>
      </c>
      <c r="D1098" s="182" t="inlineStr">
        <is>
          <t>ZI029E100145</t>
        </is>
      </c>
      <c r="E1098" s="182" t="inlineStr">
        <is>
          <t>北京京能电力股份有限公司</t>
        </is>
      </c>
      <c r="F1098" s="716" t="n"/>
      <c r="G1098" s="716" t="n"/>
      <c r="H1098" s="462" t="n"/>
    </row>
    <row r="1099">
      <c r="A1099" s="182" t="inlineStr">
        <is>
          <t>E100931</t>
        </is>
      </c>
      <c r="B1099" s="767">
        <f>ROW()</f>
        <v/>
      </c>
      <c r="C1099" s="182" t="inlineStr">
        <is>
          <t>南宫市国瑞新能源科技有限公司</t>
        </is>
      </c>
      <c r="D1099" s="182" t="inlineStr">
        <is>
          <t>ZI029E100730</t>
        </is>
      </c>
      <c r="E1099" s="182" t="inlineStr">
        <is>
          <t>京能国际能源发展（北京）有限公司</t>
        </is>
      </c>
      <c r="F1099" s="716" t="n"/>
      <c r="G1099" s="716" t="n"/>
      <c r="H1099" s="462" t="n"/>
    </row>
    <row r="1100">
      <c r="A1100" s="672" t="inlineStr">
        <is>
          <t>E101145</t>
        </is>
      </c>
      <c r="B1100" s="767">
        <f>ROW()</f>
        <v/>
      </c>
      <c r="C1100" s="182">
        <f>IF(_epmOfflineCondition_,"南宁京能清洁能源有限公司",EPMMemberDesc(A1100))</f>
        <v/>
      </c>
      <c r="D1100" s="182" t="inlineStr">
        <is>
          <t>ZI029E100001</t>
        </is>
      </c>
      <c r="E1100" s="182" t="inlineStr">
        <is>
          <t>北京京能清洁能源电力股份有限公司</t>
        </is>
      </c>
      <c r="F1100" s="716" t="n"/>
      <c r="G1100" s="716" t="n"/>
      <c r="H1100" s="462" t="n"/>
    </row>
    <row r="1101">
      <c r="A1101" s="672" t="inlineStr">
        <is>
          <t>E101178</t>
        </is>
      </c>
      <c r="B1101" s="767">
        <f>ROW()</f>
        <v/>
      </c>
      <c r="C1101" s="182" t="inlineStr">
        <is>
          <t>北京市昌平区颐寿轩养老服务中心</t>
        </is>
      </c>
      <c r="D1101" s="182" t="inlineStr">
        <is>
          <t>ZI029E100346</t>
        </is>
      </c>
      <c r="E1101" s="182" t="inlineStr">
        <is>
          <t>北京颐寿轩敬老院</t>
        </is>
      </c>
      <c r="F1101" s="716" t="n"/>
      <c r="G1101" s="716" t="n"/>
      <c r="H1101" s="462" t="n"/>
    </row>
    <row r="1102">
      <c r="A1102" s="672" t="inlineStr">
        <is>
          <t>E101332</t>
        </is>
      </c>
      <c r="B1102" s="767">
        <f>ROW()</f>
        <v/>
      </c>
      <c r="C1102" s="182" t="inlineStr">
        <is>
          <t>北京市昌平区颐寿轩护理院</t>
        </is>
      </c>
      <c r="D1102" s="182" t="inlineStr">
        <is>
          <t>ZI029E100346</t>
        </is>
      </c>
      <c r="E1102" s="182" t="inlineStr">
        <is>
          <t>北京颐寿轩敬老院</t>
        </is>
      </c>
      <c r="F1102" s="716" t="n"/>
      <c r="G1102" s="716" t="n"/>
      <c r="H1102" s="462" t="n"/>
    </row>
    <row r="1103">
      <c r="A1103" s="672" t="inlineStr">
        <is>
          <t>E101162</t>
        </is>
      </c>
      <c r="B1103" s="767">
        <f>ROW()</f>
        <v/>
      </c>
      <c r="C1103" s="182" t="inlineStr">
        <is>
          <t>京能科技（易县）有限公司</t>
        </is>
      </c>
      <c r="D1103" s="182" t="inlineStr">
        <is>
          <t>ZI029E100371</t>
        </is>
      </c>
      <c r="E1103" s="182" t="inlineStr">
        <is>
          <t>北京京能科技有限公司</t>
        </is>
      </c>
      <c r="F1103" s="716" t="n"/>
      <c r="G1103" s="716" t="n"/>
      <c r="H1103" s="462" t="n"/>
    </row>
    <row r="1104">
      <c r="A1104" s="672" t="inlineStr">
        <is>
          <t>E101173</t>
        </is>
      </c>
      <c r="B1104" s="767">
        <f>ROW()</f>
        <v/>
      </c>
      <c r="C1104" s="182" t="inlineStr">
        <is>
          <t>监利县浩丰绿色能源科技有限公司</t>
        </is>
      </c>
      <c r="D1104" s="182" t="inlineStr">
        <is>
          <t>ZI029E100001</t>
        </is>
      </c>
      <c r="E1104" s="182" t="inlineStr">
        <is>
          <t>北京京能清洁能源电力股份有限公司</t>
        </is>
      </c>
      <c r="F1104" s="716" t="n"/>
      <c r="G1104" s="716" t="n"/>
      <c r="H1104" s="462" t="n"/>
    </row>
    <row r="1105">
      <c r="A1105" s="672" t="inlineStr">
        <is>
          <t>E101175</t>
        </is>
      </c>
      <c r="B1105" s="767">
        <f>ROW()</f>
        <v/>
      </c>
      <c r="C1105" s="182" t="inlineStr">
        <is>
          <t>乌鲁木齐鑫禾光晟电力科技有限公司</t>
        </is>
      </c>
      <c r="D1105" s="182" t="inlineStr">
        <is>
          <t>ZI029E100001</t>
        </is>
      </c>
      <c r="E1105" s="182" t="inlineStr">
        <is>
          <t>北京京能清洁能源电力股份有限公司</t>
        </is>
      </c>
      <c r="F1105" s="716" t="n"/>
      <c r="G1105" s="716" t="n"/>
      <c r="H1105" s="462" t="n"/>
    </row>
    <row r="1106">
      <c r="A1106" s="672" t="inlineStr">
        <is>
          <t>E101176</t>
        </is>
      </c>
      <c r="B1106" s="767">
        <f>ROW()</f>
        <v/>
      </c>
      <c r="C1106" s="182" t="inlineStr">
        <is>
          <t>霍城县光晟光伏发电有限公司</t>
        </is>
      </c>
      <c r="D1106" s="182" t="inlineStr">
        <is>
          <t>ZI029E101175</t>
        </is>
      </c>
      <c r="E1106" s="182" t="inlineStr">
        <is>
          <t>乌鲁木齐鑫禾光晟电力科技有限公司</t>
        </is>
      </c>
      <c r="F1106" s="716" t="n"/>
      <c r="G1106" s="716" t="n"/>
      <c r="H1106" s="462" t="n"/>
    </row>
    <row r="1107">
      <c r="A1107" s="672" t="inlineStr">
        <is>
          <t>E101177</t>
        </is>
      </c>
      <c r="B1107" s="767">
        <f>ROW()</f>
        <v/>
      </c>
      <c r="C1107" s="182" t="inlineStr">
        <is>
          <t>宁夏泽华新能源有限公司</t>
        </is>
      </c>
      <c r="D1107" s="182" t="inlineStr">
        <is>
          <t>ZI029E100001</t>
        </is>
      </c>
      <c r="E1107" s="182" t="inlineStr">
        <is>
          <t>北京京能清洁能源电力股份有限公司</t>
        </is>
      </c>
      <c r="F1107" s="716" t="n"/>
      <c r="G1107" s="716" t="n"/>
      <c r="H1107" s="462" t="n"/>
    </row>
    <row r="1108">
      <c r="A1108" s="672" t="inlineStr">
        <is>
          <t>E101174</t>
        </is>
      </c>
      <c r="B1108" s="767">
        <f>ROW()</f>
        <v/>
      </c>
      <c r="C1108" s="182" t="inlineStr">
        <is>
          <t>北京京能综合能源有限公司</t>
        </is>
      </c>
      <c r="D1108" s="182" t="inlineStr">
        <is>
          <t>ZI029E100001</t>
        </is>
      </c>
      <c r="E1108" s="182" t="inlineStr">
        <is>
          <t>北京京能清洁能源电力股份有限公司</t>
        </is>
      </c>
      <c r="F1108" s="716" t="n"/>
      <c r="G1108" s="716" t="n"/>
      <c r="H1108" s="462" t="n"/>
    </row>
    <row r="1109">
      <c r="A1109" s="672" t="inlineStr">
        <is>
          <t>E101182</t>
        </is>
      </c>
      <c r="B1109" s="767">
        <f>ROW()</f>
        <v/>
      </c>
      <c r="C1109" s="182" t="inlineStr">
        <is>
          <t>北京瑞和保险经纪有限公司</t>
        </is>
      </c>
      <c r="D1109" s="182" t="inlineStr">
        <is>
          <t>ZI029E100000</t>
        </is>
      </c>
      <c r="E1109" s="182" t="inlineStr">
        <is>
          <t>北京能源集团有限责任公司</t>
        </is>
      </c>
      <c r="F1109" s="716" t="n"/>
      <c r="G1109" s="716" t="n"/>
      <c r="H1109" s="462" t="n"/>
    </row>
    <row r="1110">
      <c r="A1110" s="672" t="inlineStr">
        <is>
          <t>E101160</t>
        </is>
      </c>
      <c r="B1110" s="767">
        <f>ROW()</f>
        <v/>
      </c>
      <c r="C1110" s="182" t="inlineStr">
        <is>
          <t>横峰县晶能电力有限公司</t>
        </is>
      </c>
      <c r="D1110" s="182" t="inlineStr">
        <is>
          <t>ZI029E100001</t>
        </is>
      </c>
      <c r="E1110" s="182" t="inlineStr">
        <is>
          <t>北京京能清洁能源电力股份有限公司</t>
        </is>
      </c>
      <c r="F1110" s="716" t="n"/>
      <c r="G1110" s="716" t="n"/>
      <c r="H1110" s="462" t="n"/>
    </row>
    <row r="1111">
      <c r="A1111" s="672" t="inlineStr">
        <is>
          <t>E101144</t>
        </is>
      </c>
      <c r="B1111" s="767">
        <f>ROW()</f>
        <v/>
      </c>
      <c r="C1111" s="182" t="inlineStr">
        <is>
          <t>横峰县晶源电力有限公司</t>
        </is>
      </c>
      <c r="D1111" s="182" t="inlineStr">
        <is>
          <t>ZI029E100001</t>
        </is>
      </c>
      <c r="E1111" s="182" t="inlineStr">
        <is>
          <t>北京京能清洁能源电力股份有限公司</t>
        </is>
      </c>
      <c r="F1111" s="716" t="n"/>
      <c r="G1111" s="716" t="n"/>
      <c r="H1111" s="462" t="n"/>
    </row>
    <row r="1112">
      <c r="A1112" s="672" t="inlineStr">
        <is>
          <t>E101188</t>
        </is>
      </c>
      <c r="B1112" s="767">
        <f>ROW()</f>
        <v/>
      </c>
      <c r="C1112" s="182" t="inlineStr">
        <is>
          <t>亚洲新能源（宝应）风力发电有限公司</t>
        </is>
      </c>
      <c r="D1112" s="182" t="inlineStr">
        <is>
          <t>ZI029E100730</t>
        </is>
      </c>
      <c r="E1112" s="182" t="inlineStr">
        <is>
          <t>京能国际能源发展（北京）有限公司</t>
        </is>
      </c>
      <c r="F1112" s="716" t="n"/>
      <c r="G1112" s="716" t="n"/>
      <c r="H1112" s="462" t="n"/>
    </row>
    <row r="1113">
      <c r="A1113" s="672" t="inlineStr">
        <is>
          <t>E101191</t>
        </is>
      </c>
      <c r="B1113" s="767">
        <f>ROW()</f>
        <v/>
      </c>
      <c r="C1113" s="182" t="inlineStr">
        <is>
          <t>云南保山槟榔江水电开发有限公司</t>
        </is>
      </c>
      <c r="D1113" s="182" t="inlineStr">
        <is>
          <t>ZI029E101190</t>
        </is>
      </c>
      <c r="E1113" s="182" t="inlineStr">
        <is>
          <t>保山能源发展股份有限公司</t>
        </is>
      </c>
      <c r="F1113" s="716" t="n"/>
      <c r="G1113" s="716" t="n"/>
      <c r="H1113" s="462" t="n"/>
    </row>
    <row r="1114">
      <c r="A1114" s="672" t="inlineStr">
        <is>
          <t>E101192</t>
        </is>
      </c>
      <c r="B1114" s="767">
        <f>ROW()</f>
        <v/>
      </c>
      <c r="C1114" s="182" t="inlineStr">
        <is>
          <t>保山龙川江水电开发有限公司</t>
        </is>
      </c>
      <c r="D1114" s="182" t="inlineStr">
        <is>
          <t>ZI029E101190</t>
        </is>
      </c>
      <c r="E1114" s="182" t="inlineStr">
        <is>
          <t>保山能源发展股份有限公司</t>
        </is>
      </c>
      <c r="F1114" s="716" t="n"/>
      <c r="G1114" s="716" t="n"/>
      <c r="H1114" s="462" t="n"/>
    </row>
    <row r="1115">
      <c r="A1115" s="672" t="inlineStr">
        <is>
          <t>E101190</t>
        </is>
      </c>
      <c r="B1115" s="767">
        <f>ROW()</f>
        <v/>
      </c>
      <c r="C1115" s="182" t="inlineStr">
        <is>
          <t>保山能源发展股份有限公司</t>
        </is>
      </c>
      <c r="D1115" s="182" t="inlineStr">
        <is>
          <t>ZI029E101184</t>
        </is>
      </c>
      <c r="E1115" s="182" t="inlineStr">
        <is>
          <t>北京云保能源开发有限公司</t>
        </is>
      </c>
      <c r="F1115" s="716" t="n"/>
      <c r="G1115" s="716" t="n"/>
      <c r="H1115" s="462" t="n"/>
    </row>
    <row r="1116">
      <c r="A1116" s="672" t="inlineStr">
        <is>
          <t>E101164</t>
        </is>
      </c>
      <c r="B1116" s="767">
        <f>ROW()</f>
        <v/>
      </c>
      <c r="C1116" s="182" t="inlineStr">
        <is>
          <t>广东安晟新能源有限公司</t>
        </is>
      </c>
      <c r="D1116" s="182" t="inlineStr">
        <is>
          <t>ZI029E100001</t>
        </is>
      </c>
      <c r="E1116" s="182" t="inlineStr">
        <is>
          <t>北京清洁能源电力股份有限公司</t>
        </is>
      </c>
      <c r="F1116" s="716" t="n"/>
      <c r="G1116" s="716" t="n"/>
      <c r="H1116" s="462" t="n"/>
    </row>
    <row r="1117">
      <c r="A1117" s="672" t="inlineStr">
        <is>
          <t>E101163</t>
        </is>
      </c>
      <c r="B1117" s="767">
        <f>ROW()</f>
        <v/>
      </c>
      <c r="C1117" s="182" t="inlineStr">
        <is>
          <t>广东耀胜新能源有限公司</t>
        </is>
      </c>
      <c r="D1117" s="182" t="inlineStr">
        <is>
          <t>ZI029E101164</t>
        </is>
      </c>
      <c r="E1117" s="182" t="inlineStr">
        <is>
          <t>广东安晟新能源有限公司</t>
        </is>
      </c>
      <c r="F1117" s="716" t="n"/>
      <c r="G1117" s="716" t="n"/>
      <c r="H1117" s="462" t="n"/>
    </row>
    <row r="1118">
      <c r="A1118" s="672" t="inlineStr">
        <is>
          <t>E101166</t>
        </is>
      </c>
      <c r="B1118" s="767">
        <f>ROW()</f>
        <v/>
      </c>
      <c r="C1118" s="182" t="inlineStr">
        <is>
          <t>厦门阳万丈清洁能源有限公司</t>
        </is>
      </c>
      <c r="D1118" s="182" t="inlineStr">
        <is>
          <t>ZI029E100001</t>
        </is>
      </c>
      <c r="E1118" s="182" t="inlineStr">
        <is>
          <t>北京清洁能源电力股份有限公司</t>
        </is>
      </c>
      <c r="F1118" s="716" t="n"/>
      <c r="G1118" s="716" t="n"/>
      <c r="H1118" s="462" t="n"/>
    </row>
    <row r="1119">
      <c r="A1119" s="672" t="inlineStr">
        <is>
          <t>E101161</t>
        </is>
      </c>
      <c r="B1119" s="767">
        <f>ROW()</f>
        <v/>
      </c>
      <c r="C1119" s="182" t="inlineStr">
        <is>
          <t>泉州市立欢清洁能源有限公司</t>
        </is>
      </c>
      <c r="D1119" s="182" t="inlineStr">
        <is>
          <t>ZI029E101166</t>
        </is>
      </c>
      <c r="E1119" s="182" t="inlineStr">
        <is>
          <t>厦门阳万丈清洁能源有限公司</t>
        </is>
      </c>
      <c r="F1119" s="716" t="n"/>
      <c r="G1119" s="716" t="n"/>
      <c r="H1119" s="462" t="n"/>
    </row>
    <row r="1120">
      <c r="A1120" s="672" t="inlineStr">
        <is>
          <t>E101181</t>
        </is>
      </c>
      <c r="B1120" s="767">
        <f>ROW()</f>
        <v/>
      </c>
      <c r="C1120" s="182" t="inlineStr">
        <is>
          <t>化州京智新能源有限公司</t>
        </is>
      </c>
      <c r="D1120" s="182" t="inlineStr">
        <is>
          <t>ZI029E100001</t>
        </is>
      </c>
      <c r="E1120" s="182" t="inlineStr">
        <is>
          <t>北京清洁能源电力股份有限公司</t>
        </is>
      </c>
      <c r="F1120" s="716" t="n"/>
      <c r="G1120" s="716" t="n"/>
      <c r="H1120" s="462" t="n"/>
    </row>
    <row r="1121">
      <c r="A1121" s="672" t="inlineStr">
        <is>
          <t>E101187</t>
        </is>
      </c>
      <c r="B1121" s="767">
        <f>ROW()</f>
        <v/>
      </c>
      <c r="C1121" s="182" t="inlineStr">
        <is>
          <t>横峰县晶泰电力有限公司</t>
        </is>
      </c>
      <c r="D1121" s="182" t="inlineStr">
        <is>
          <t>ZI029E100001</t>
        </is>
      </c>
      <c r="E1121" s="182" t="inlineStr">
        <is>
          <t>北京清洁能源电力股份有限公司</t>
        </is>
      </c>
      <c r="F1121" s="716" t="n"/>
      <c r="G1121" s="716" t="n"/>
      <c r="H1121" s="462" t="n"/>
    </row>
    <row r="1122">
      <c r="A1122" s="672" t="inlineStr">
        <is>
          <t>E101148</t>
        </is>
      </c>
      <c r="B1122" s="767">
        <f>ROW()</f>
        <v/>
      </c>
      <c r="C1122" s="672" t="inlineStr">
        <is>
          <t>桂林京能清洁能源有限公司</t>
        </is>
      </c>
      <c r="D1122" s="182" t="inlineStr">
        <is>
          <t>ZI029E100001</t>
        </is>
      </c>
      <c r="E1122" s="182" t="inlineStr">
        <is>
          <t>北京清洁能源电力股份有限公司</t>
        </is>
      </c>
      <c r="F1122" s="716" t="n"/>
      <c r="G1122" s="716" t="n"/>
      <c r="H1122" s="462" t="n"/>
    </row>
    <row r="1123">
      <c r="A1123" s="672" t="inlineStr">
        <is>
          <t>E100846</t>
        </is>
      </c>
      <c r="B1123" s="767">
        <f>ROW()</f>
        <v/>
      </c>
      <c r="C1123" s="672" t="inlineStr">
        <is>
          <t>内蒙古京能准旗新能源有限公司</t>
        </is>
      </c>
      <c r="D1123" s="672" t="inlineStr">
        <is>
          <t>ZI029E100145</t>
        </is>
      </c>
      <c r="E1123" s="672" t="inlineStr">
        <is>
          <t>北京京能电力股份有限公司</t>
        </is>
      </c>
      <c r="F1123" s="716" t="n"/>
      <c r="G1123" s="716" t="n"/>
      <c r="H1123" s="462" t="n"/>
    </row>
    <row r="1124">
      <c r="A1124" s="672" t="inlineStr">
        <is>
          <t>E101203</t>
        </is>
      </c>
      <c r="B1124" s="767">
        <f>ROW()</f>
        <v/>
      </c>
      <c r="C1124" s="672" t="inlineStr">
        <is>
          <t>南京津美宇新能源有限公司</t>
        </is>
      </c>
      <c r="D1124" s="672" t="inlineStr">
        <is>
          <t>ZI029E100001</t>
        </is>
      </c>
      <c r="E1124" s="672" t="inlineStr">
        <is>
          <t>北京京能清洁能源电力股份有限公司</t>
        </is>
      </c>
      <c r="F1124" s="716" t="n"/>
      <c r="G1124" s="716" t="n"/>
      <c r="H1124" s="462" t="n"/>
    </row>
    <row r="1125">
      <c r="A1125" s="672" t="inlineStr">
        <is>
          <t>E101204</t>
        </is>
      </c>
      <c r="B1125" s="767">
        <f>ROW()</f>
        <v/>
      </c>
      <c r="C1125" s="672" t="inlineStr">
        <is>
          <t>天津美达光伏发电有限公司</t>
        </is>
      </c>
      <c r="D1125" s="672" t="inlineStr">
        <is>
          <t>ZI029E101203</t>
        </is>
      </c>
      <c r="E1125" s="672" t="inlineStr">
        <is>
          <t>南京津美宇新能源有限公司</t>
        </is>
      </c>
      <c r="F1125" s="716" t="n"/>
      <c r="G1125" s="716" t="n"/>
      <c r="H1125" s="462" t="n"/>
    </row>
    <row r="1126">
      <c r="A1126" s="672" t="inlineStr">
        <is>
          <t>E101194</t>
        </is>
      </c>
      <c r="B1126" s="767">
        <f>ROW()</f>
        <v/>
      </c>
      <c r="C1126" s="182" t="inlineStr">
        <is>
          <t>京能（昆明）新能源有限公司</t>
        </is>
      </c>
      <c r="D1126" s="182" t="inlineStr">
        <is>
          <t>ZI029E100883</t>
        </is>
      </c>
      <c r="E1126" s="182" t="inlineStr">
        <is>
          <t>Beijing Energy International Investment Limited</t>
        </is>
      </c>
      <c r="F1126" s="716" t="n"/>
      <c r="G1126" s="716" t="n"/>
      <c r="H1126" s="462" t="n"/>
    </row>
    <row r="1127">
      <c r="A1127" s="672" t="inlineStr">
        <is>
          <t>E101137</t>
        </is>
      </c>
      <c r="B1127" s="767">
        <f>ROW()</f>
        <v/>
      </c>
      <c r="C1127" s="182" t="inlineStr">
        <is>
          <t>内蒙古京海煤矸石发电有限责任公司水泥分公司</t>
        </is>
      </c>
      <c r="D1127" s="672" t="inlineStr">
        <is>
          <t>ZI029E100145</t>
        </is>
      </c>
      <c r="E1127" s="182" t="inlineStr">
        <is>
          <t>北京京能电力股份有限公司</t>
        </is>
      </c>
      <c r="F1127" s="716" t="n"/>
      <c r="G1127" s="716" t="n"/>
      <c r="H1127" s="462" t="n"/>
    </row>
    <row r="1128">
      <c r="A1128" s="672" t="inlineStr">
        <is>
          <t>E101197</t>
        </is>
      </c>
      <c r="B1128" s="767">
        <f>ROW()</f>
        <v/>
      </c>
      <c r="C1128" s="182" t="inlineStr">
        <is>
          <t>Moorabool Wind Farm (Holding) Pty Ltd</t>
        </is>
      </c>
      <c r="D1128" s="182" t="inlineStr">
        <is>
          <t>ZI029E101045</t>
        </is>
      </c>
      <c r="E1128" s="182" t="inlineStr">
        <is>
          <t>Beijing Energy International （Australia） Holding Pty Ltd</t>
        </is>
      </c>
      <c r="F1128" s="716" t="n"/>
      <c r="G1128" s="716" t="n"/>
      <c r="H1128" s="462" t="n"/>
    </row>
    <row r="1129">
      <c r="A1129" s="672" t="inlineStr">
        <is>
          <t>E101196</t>
        </is>
      </c>
      <c r="B1129" s="767">
        <f>ROW()</f>
        <v/>
      </c>
      <c r="C1129" s="182" t="inlineStr">
        <is>
          <t>Moorabool South Wind Farm (Holding) Pty Ltd</t>
        </is>
      </c>
      <c r="D1129" s="182" t="inlineStr">
        <is>
          <t>ZI029E101045</t>
        </is>
      </c>
      <c r="E1129" s="182" t="inlineStr">
        <is>
          <t>Beijing Energy International （Australia） Holding Pty Ltd</t>
        </is>
      </c>
      <c r="F1129" s="716" t="n"/>
      <c r="G1129" s="716" t="n"/>
      <c r="H1129" s="462" t="n"/>
    </row>
    <row r="1130">
      <c r="A1130" s="672" t="inlineStr">
        <is>
          <t>E101198</t>
        </is>
      </c>
      <c r="B1130" s="767">
        <f>ROW()</f>
        <v/>
      </c>
      <c r="C1130" s="182" t="inlineStr">
        <is>
          <t>Moorabool Wind Farm Pty Ltd</t>
        </is>
      </c>
      <c r="D1130" s="182" t="inlineStr">
        <is>
          <t>ZI029E101045</t>
        </is>
      </c>
      <c r="E1130" s="182" t="inlineStr">
        <is>
          <t>Beijing Energy International （Australia） Holding Pty Ltd</t>
        </is>
      </c>
      <c r="F1130" s="716" t="n"/>
      <c r="G1130" s="716" t="n"/>
      <c r="H1130" s="462" t="n"/>
    </row>
    <row r="1131">
      <c r="A1131" s="672" t="inlineStr">
        <is>
          <t>E101200</t>
        </is>
      </c>
      <c r="B1131" s="767">
        <f>ROW()</f>
        <v/>
      </c>
      <c r="C1131" s="182" t="inlineStr">
        <is>
          <t>Moorabool Interface Company Pty Ltd</t>
        </is>
      </c>
      <c r="D1131" s="182" t="inlineStr">
        <is>
          <t>ZI029E101045</t>
        </is>
      </c>
      <c r="E1131" s="182" t="inlineStr">
        <is>
          <t>Beijing Energy International （Australia） Holding Pty Ltd</t>
        </is>
      </c>
      <c r="F1131" s="716" t="n"/>
      <c r="G1131" s="716" t="n"/>
      <c r="H1131" s="462" t="n"/>
    </row>
    <row r="1132">
      <c r="A1132" s="672" t="inlineStr">
        <is>
          <t>E101199</t>
        </is>
      </c>
      <c r="B1132" s="767">
        <f>ROW()</f>
        <v/>
      </c>
      <c r="C1132" s="182" t="inlineStr">
        <is>
          <t>Moorabool South Wind Farm Pty Ltd</t>
        </is>
      </c>
      <c r="D1132" s="182" t="inlineStr">
        <is>
          <t>ZI029E101045</t>
        </is>
      </c>
      <c r="E1132" s="182" t="inlineStr">
        <is>
          <t>Beijing Energy International （Australia） Holding Pty Ltd</t>
        </is>
      </c>
      <c r="F1132" s="716" t="n"/>
      <c r="G1132" s="716" t="n"/>
      <c r="H1132" s="462" t="n"/>
    </row>
    <row r="1133">
      <c r="A1133" s="672" t="inlineStr">
        <is>
          <t>E101202</t>
        </is>
      </c>
      <c r="B1133" s="767">
        <f>ROW()</f>
        <v/>
      </c>
      <c r="C1133" s="182" t="inlineStr">
        <is>
          <t>北京京润仁康医疗器械有限公司</t>
        </is>
      </c>
      <c r="D1133" s="182" t="inlineStr">
        <is>
          <t>ZI029E100704</t>
        </is>
      </c>
      <c r="E1133" s="182" t="inlineStr">
        <is>
          <t>北京京润仁康控股有限公司</t>
        </is>
      </c>
      <c r="F1133" s="716" t="n"/>
      <c r="G1133" s="716" t="n"/>
      <c r="H1133" s="462" t="n"/>
    </row>
    <row r="1134">
      <c r="A1134" s="672" t="inlineStr">
        <is>
          <t>E101071</t>
        </is>
      </c>
      <c r="B1134" s="767">
        <f>ROW()</f>
        <v/>
      </c>
      <c r="C1134" s="672" t="inlineStr">
        <is>
          <t>京能（阳西）综合能源有限公司</t>
        </is>
      </c>
      <c r="D1134" s="672" t="inlineStr">
        <is>
          <t>ZI029E100748</t>
        </is>
      </c>
      <c r="E1134" s="182" t="inlineStr">
        <is>
          <t>北京京能国际综合智慧能源有限公司</t>
        </is>
      </c>
      <c r="F1134" s="716" t="n"/>
      <c r="G1134" s="716" t="n"/>
      <c r="H1134" s="462" t="n"/>
    </row>
    <row r="1135">
      <c r="A1135" s="672" t="inlineStr">
        <is>
          <t>E101071</t>
        </is>
      </c>
      <c r="B1135" s="767">
        <f>ROW()</f>
        <v/>
      </c>
      <c r="C1135" s="672" t="inlineStr">
        <is>
          <t>京能（阳西）综合能源有限公司</t>
        </is>
      </c>
      <c r="D1135" s="672" t="inlineStr">
        <is>
          <t>ZI029E100729</t>
        </is>
      </c>
      <c r="E1135" s="672" t="inlineStr">
        <is>
          <t>北京京能国际控股有限公司</t>
        </is>
      </c>
      <c r="F1135" s="716" t="n"/>
      <c r="G1135" s="716" t="n"/>
      <c r="H1135" s="462" t="n"/>
    </row>
    <row r="1136">
      <c r="A1136" s="672" t="inlineStr">
        <is>
          <t>E101207</t>
        </is>
      </c>
      <c r="B1136" s="767">
        <f>ROW()</f>
        <v/>
      </c>
      <c r="C1136" s="672" t="inlineStr">
        <is>
          <t>京盟润龙（通辽市）新能源有限公司</t>
        </is>
      </c>
      <c r="D1136" s="672" t="inlineStr">
        <is>
          <t>ZI029E100730</t>
        </is>
      </c>
      <c r="E1136" s="672" t="inlineStr">
        <is>
          <t>京能国际能源发展（北京）有限公司</t>
        </is>
      </c>
      <c r="F1136" s="716" t="n"/>
      <c r="G1136" s="716" t="n"/>
      <c r="H1136" s="462" t="n"/>
    </row>
    <row r="1137">
      <c r="A1137" s="672" t="inlineStr">
        <is>
          <t>E101336</t>
        </is>
      </c>
      <c r="B1137" s="767">
        <f>ROW()</f>
        <v/>
      </c>
      <c r="C1137" s="672" t="inlineStr">
        <is>
          <t>盛唐贰号（天津）企业管理合伙企业（有限合伙）</t>
        </is>
      </c>
      <c r="D1137" s="672" t="inlineStr">
        <is>
          <t>ZI029E100730</t>
        </is>
      </c>
      <c r="E1137" s="672" t="inlineStr">
        <is>
          <t>京能国际能源发展（北京）有限公司</t>
        </is>
      </c>
      <c r="F1137" s="716" t="n"/>
      <c r="G1137" s="716" t="n"/>
      <c r="H1137" s="462" t="n"/>
    </row>
    <row r="1138">
      <c r="A1138" s="672" t="inlineStr">
        <is>
          <t>E101336</t>
        </is>
      </c>
      <c r="B1138" s="767">
        <f>ROW()</f>
        <v/>
      </c>
      <c r="C1138" s="182" t="inlineStr">
        <is>
          <t>盛唐壹号(天津) 企业管理合伙企业(有限合伙）</t>
        </is>
      </c>
      <c r="D1138" s="182" t="inlineStr">
        <is>
          <t>ZI029E100941</t>
        </is>
      </c>
      <c r="E1138" s="182" t="inlineStr">
        <is>
          <t>北京国电盛唐科技发展有限公司</t>
        </is>
      </c>
      <c r="F1138" s="716" t="n"/>
      <c r="G1138" s="716" t="n"/>
      <c r="H1138" s="462" t="n"/>
    </row>
    <row r="1139">
      <c r="A1139" s="672" t="inlineStr">
        <is>
          <t>E101090</t>
        </is>
      </c>
      <c r="B1139" s="767">
        <f>ROW()</f>
        <v/>
      </c>
      <c r="C1139" s="182" t="inlineStr">
        <is>
          <t>广西百色京耀综合能源服务有限公司</t>
        </is>
      </c>
      <c r="D1139" s="672" t="inlineStr">
        <is>
          <t>ZI029E100748</t>
        </is>
      </c>
      <c r="E1139" s="182" t="inlineStr">
        <is>
          <t>北京京能国际综合智慧能源有限公司</t>
        </is>
      </c>
      <c r="F1139" s="716" t="n"/>
      <c r="G1139" s="716" t="n"/>
      <c r="H1139" s="462" t="n"/>
    </row>
    <row r="1140">
      <c r="A1140" s="672" t="inlineStr">
        <is>
          <t>E101150</t>
        </is>
      </c>
      <c r="B1140" s="767">
        <f>ROW()</f>
        <v/>
      </c>
      <c r="C1140" s="672" t="inlineStr">
        <is>
          <t>西良周（北京）农业科技有限公司</t>
        </is>
      </c>
      <c r="D1140" s="672" t="inlineStr">
        <is>
          <t>ZI029E100748</t>
        </is>
      </c>
      <c r="E1140" s="182" t="inlineStr">
        <is>
          <t>北京京能国际综合智慧能源有限公司</t>
        </is>
      </c>
      <c r="F1140" s="716" t="n"/>
      <c r="G1140" s="716" t="n"/>
      <c r="H1140" s="462" t="n"/>
    </row>
    <row r="1141">
      <c r="A1141" s="672" t="inlineStr">
        <is>
          <t>E101211</t>
        </is>
      </c>
      <c r="B1141" s="767">
        <f>ROW()</f>
        <v/>
      </c>
      <c r="C1141" s="672" t="inlineStr">
        <is>
          <t>航远5号集合资金信托计划</t>
        </is>
      </c>
      <c r="D1141" s="182" t="inlineStr">
        <is>
          <t>ZI029E100191</t>
        </is>
      </c>
      <c r="E1141" s="182" t="inlineStr">
        <is>
          <t>北京乐多港发展有限公司</t>
        </is>
      </c>
      <c r="F1141" s="716" t="n"/>
      <c r="G1141" s="716" t="n"/>
      <c r="H1141" s="462" t="n"/>
    </row>
    <row r="1142">
      <c r="A1142" s="672" t="inlineStr">
        <is>
          <t>E101211</t>
        </is>
      </c>
      <c r="B1142" s="767">
        <f>ROW()</f>
        <v/>
      </c>
      <c r="C1142" s="672" t="inlineStr">
        <is>
          <t>航远5号集合资金信托计划</t>
        </is>
      </c>
      <c r="D1142" s="182" t="inlineStr">
        <is>
          <t>ZI029E100268</t>
        </is>
      </c>
      <c r="E1142" s="182" t="inlineStr">
        <is>
          <t>北京京煤集团有限责任公司</t>
        </is>
      </c>
      <c r="F1142" s="716" t="n"/>
      <c r="G1142" s="716" t="n"/>
      <c r="H1142" s="462" t="n"/>
    </row>
    <row r="1143">
      <c r="A1143" s="672" t="inlineStr">
        <is>
          <t>E101143</t>
        </is>
      </c>
      <c r="B1143" s="767">
        <f>ROW()</f>
        <v/>
      </c>
      <c r="C1143" s="672" t="inlineStr">
        <is>
          <t>灵寿县京实智慧新能源科技有限公司</t>
        </is>
      </c>
      <c r="D1143" s="182" t="inlineStr">
        <is>
          <t>ZI029E101142</t>
        </is>
      </c>
      <c r="E1143" s="182" t="inlineStr">
        <is>
          <t>灵寿县清智新能源科技有限公司</t>
        </is>
      </c>
      <c r="F1143" s="716" t="n"/>
      <c r="G1143" s="716" t="n"/>
      <c r="H1143" s="462" t="n"/>
    </row>
    <row r="1144">
      <c r="A1144" s="672" t="inlineStr">
        <is>
          <t>E101215</t>
        </is>
      </c>
      <c r="B1144" s="767">
        <f>ROW()</f>
        <v/>
      </c>
      <c r="C1144" s="182" t="inlineStr">
        <is>
          <t>北京京热兴怀能源有限责任公司</t>
        </is>
      </c>
      <c r="D1144" s="182" t="inlineStr">
        <is>
          <t>ZI029E100222</t>
        </is>
      </c>
      <c r="E1144" s="182" t="inlineStr">
        <is>
          <t>北京市热力集团有限责任公司</t>
        </is>
      </c>
      <c r="F1144" s="716" t="n"/>
      <c r="G1144" s="716" t="n"/>
      <c r="H1144" s="462" t="n"/>
    </row>
    <row r="1145">
      <c r="A1145" s="672" t="inlineStr">
        <is>
          <t>E101337</t>
        </is>
      </c>
      <c r="B1145" s="767">
        <f>ROW()</f>
        <v/>
      </c>
      <c r="C1145" s="182" t="inlineStr">
        <is>
          <t>北京铭泰能源管理科技有限公司</t>
        </is>
      </c>
      <c r="D1145" s="182" t="inlineStr">
        <is>
          <t>ZI029E100222</t>
        </is>
      </c>
      <c r="E1145" s="182" t="inlineStr">
        <is>
          <t>北京市热力集团有限责任公司</t>
        </is>
      </c>
      <c r="F1145" s="716" t="n"/>
      <c r="G1145" s="716" t="n"/>
      <c r="H1145" s="462" t="n"/>
    </row>
    <row r="1146">
      <c r="A1146" s="672" t="inlineStr">
        <is>
          <t>E101216</t>
        </is>
      </c>
      <c r="B1146" s="767">
        <f>ROW()</f>
        <v/>
      </c>
      <c r="C1146" s="182" t="inlineStr">
        <is>
          <t>航远6号集合资金信托计划</t>
        </is>
      </c>
      <c r="D1146" s="182" t="inlineStr">
        <is>
          <t>ZI029E100191</t>
        </is>
      </c>
      <c r="E1146" s="182" t="inlineStr">
        <is>
          <t>北京乐多港发展有限公司</t>
        </is>
      </c>
      <c r="F1146" s="716" t="n"/>
      <c r="G1146" s="716" t="n"/>
      <c r="H1146" s="462" t="n"/>
    </row>
    <row r="1147">
      <c r="A1147" s="672" t="inlineStr">
        <is>
          <t>E101216</t>
        </is>
      </c>
      <c r="B1147" s="767">
        <f>ROW()</f>
        <v/>
      </c>
      <c r="C1147" s="182" t="inlineStr">
        <is>
          <t>航远6号集合资金信托计划</t>
        </is>
      </c>
      <c r="D1147" s="182" t="inlineStr">
        <is>
          <t>ZI029E100268</t>
        </is>
      </c>
      <c r="E1147" s="182" t="inlineStr">
        <is>
          <t>北京京煤集团有限责任公司</t>
        </is>
      </c>
      <c r="F1147" s="716" t="n"/>
      <c r="G1147" s="716" t="n"/>
      <c r="H1147" s="462" t="n"/>
    </row>
    <row r="1148">
      <c r="A1148" s="672" t="inlineStr">
        <is>
          <t>E101206</t>
        </is>
      </c>
      <c r="B1148" s="767">
        <f>ROW()</f>
        <v/>
      </c>
      <c r="C1148" s="182" t="inlineStr">
        <is>
          <t>杭州有瑞电力科技有限公司</t>
        </is>
      </c>
      <c r="D1148" s="182" t="inlineStr">
        <is>
          <t>ZI029E100308</t>
        </is>
      </c>
      <c r="E1148" s="182" t="inlineStr">
        <is>
          <t>京能源深（苏州）能源科技有限公司</t>
        </is>
      </c>
      <c r="F1148" s="716" t="n"/>
      <c r="G1148" s="716" t="n"/>
      <c r="H1148" s="462" t="n"/>
    </row>
    <row r="1149">
      <c r="A1149" s="672" t="inlineStr">
        <is>
          <t>E101210</t>
        </is>
      </c>
      <c r="B1149" s="767">
        <f>ROW()</f>
        <v/>
      </c>
      <c r="C1149" s="182" t="inlineStr">
        <is>
          <t>阿巴嘎旗中天环保有限公司</t>
        </is>
      </c>
      <c r="D1149" s="182" t="inlineStr">
        <is>
          <t>ZI029E100189</t>
        </is>
      </c>
      <c r="E1149" s="182" t="inlineStr">
        <is>
          <t>京能锡林郭勒能源有限公司</t>
        </is>
      </c>
      <c r="F1149" s="716" t="n"/>
      <c r="G1149" s="716" t="n"/>
      <c r="H1149" s="462" t="n"/>
    </row>
    <row r="1150">
      <c r="A1150" s="672" t="inlineStr">
        <is>
          <t>E101186</t>
        </is>
      </c>
      <c r="B1150" s="767">
        <f>ROW()</f>
        <v/>
      </c>
      <c r="C1150" s="182" t="inlineStr">
        <is>
          <t>京南（北京）新能源有限公司</t>
        </is>
      </c>
      <c r="D1150" s="672" t="inlineStr">
        <is>
          <t>ZI029E100748</t>
        </is>
      </c>
      <c r="E1150" s="182" t="inlineStr">
        <is>
          <t>北京京能国际综合智慧能源有限公司</t>
        </is>
      </c>
      <c r="F1150" s="716" t="n"/>
      <c r="G1150" s="716" t="n"/>
      <c r="H1150" s="462" t="n"/>
    </row>
    <row r="1151">
      <c r="A1151" s="672" t="inlineStr">
        <is>
          <t>E101201</t>
        </is>
      </c>
      <c r="B1151" s="767">
        <f>ROW()</f>
        <v/>
      </c>
      <c r="C1151" s="182" t="inlineStr">
        <is>
          <t>京伏（上海）新能源有限公司</t>
        </is>
      </c>
      <c r="D1151" s="672" t="inlineStr">
        <is>
          <t>ZI029E100748</t>
        </is>
      </c>
      <c r="E1151" s="182" t="inlineStr">
        <is>
          <t>北京京能国际综合智慧能源有限公司</t>
        </is>
      </c>
      <c r="F1151" s="716" t="n"/>
      <c r="G1151" s="716" t="n"/>
      <c r="H1151" s="462" t="n"/>
    </row>
    <row r="1152">
      <c r="A1152" s="672" t="inlineStr">
        <is>
          <t>E101223</t>
        </is>
      </c>
      <c r="B1152" s="767">
        <f>ROW()</f>
        <v/>
      </c>
      <c r="C1152" s="182" t="inlineStr">
        <is>
          <t>亚洲新能源（金湖）风力发电有限公司</t>
        </is>
      </c>
      <c r="D1152" s="672" t="inlineStr">
        <is>
          <t>ZI029E100730</t>
        </is>
      </c>
      <c r="E1152" s="672" t="inlineStr">
        <is>
          <t>京能国际能源发展（北京）有限公司</t>
        </is>
      </c>
      <c r="F1152" s="716" t="n"/>
      <c r="G1152" s="716" t="n"/>
      <c r="H1152" s="462" t="n"/>
    </row>
    <row r="1153">
      <c r="A1153" s="672" t="inlineStr">
        <is>
          <t>E101084</t>
        </is>
      </c>
      <c r="B1153" s="767">
        <f>ROW()</f>
        <v/>
      </c>
      <c r="C1153" s="182" t="inlineStr">
        <is>
          <t>永登京能新能源电力有限公司</t>
        </is>
      </c>
      <c r="D1153" s="672" t="inlineStr">
        <is>
          <t>ZI029E100730</t>
        </is>
      </c>
      <c r="E1153" s="672" t="inlineStr">
        <is>
          <t>京能国际能源发展（北京）有限公司</t>
        </is>
      </c>
      <c r="F1153" s="716" t="n"/>
      <c r="G1153" s="716" t="n"/>
      <c r="H1153" s="462" t="n"/>
    </row>
    <row r="1154">
      <c r="A1154" s="672" t="inlineStr">
        <is>
          <t>E101184</t>
        </is>
      </c>
      <c r="B1154" s="767">
        <f>ROW()</f>
        <v/>
      </c>
      <c r="C1154" s="182" t="inlineStr">
        <is>
          <t>北京云保能源开发有限公司</t>
        </is>
      </c>
      <c r="D1154" s="672" t="inlineStr">
        <is>
          <t>ZI029E100729</t>
        </is>
      </c>
      <c r="E1154" s="672" t="inlineStr">
        <is>
          <t>北京京能国际控股有限公司</t>
        </is>
      </c>
      <c r="F1154" s="716" t="n"/>
      <c r="G1154" s="716" t="n"/>
      <c r="H1154" s="462" t="n"/>
    </row>
    <row r="1155">
      <c r="A1155" s="672" t="inlineStr">
        <is>
          <t>E101205</t>
        </is>
      </c>
      <c r="B1155" s="767">
        <f>ROW()</f>
        <v/>
      </c>
      <c r="C1155" s="182" t="inlineStr">
        <is>
          <t>黑龙江京望新能源有限公司</t>
        </is>
      </c>
      <c r="D1155" s="672" t="inlineStr">
        <is>
          <t>ZI029E100001</t>
        </is>
      </c>
      <c r="E1155" s="672" t="inlineStr">
        <is>
          <t>北京京能国际控股有限公司</t>
        </is>
      </c>
      <c r="F1155" s="716" t="n"/>
      <c r="G1155" s="716" t="n"/>
      <c r="H1155" s="462" t="n"/>
    </row>
    <row r="1156" ht="17" customHeight="1" s="1181">
      <c r="A1156" s="672" t="inlineStr">
        <is>
          <t>E101214</t>
        </is>
      </c>
      <c r="B1156" s="767">
        <f>ROW()</f>
        <v/>
      </c>
      <c r="C1156" s="771" t="inlineStr">
        <is>
          <t>河南省京能储能科技有限责任公司</t>
        </is>
      </c>
      <c r="D1156" s="672" t="inlineStr">
        <is>
          <t>ZI029E100145</t>
        </is>
      </c>
      <c r="E1156" s="672" t="inlineStr">
        <is>
          <t>北京京能电力股份有限公司</t>
        </is>
      </c>
      <c r="F1156" s="716" t="n"/>
      <c r="G1156" s="716" t="n"/>
      <c r="H1156" s="462" t="n"/>
    </row>
    <row r="1157">
      <c r="A1157" s="672" t="inlineStr">
        <is>
          <t>E101231</t>
        </is>
      </c>
      <c r="B1157" s="767">
        <f>ROW()</f>
        <v/>
      </c>
      <c r="C1157" s="182" t="inlineStr">
        <is>
          <t>京能（嘉兴）光伏发电有限公司</t>
        </is>
      </c>
      <c r="D1157" s="672" t="inlineStr">
        <is>
          <t>ZI029E100883</t>
        </is>
      </c>
      <c r="E1157" s="672" t="inlineStr">
        <is>
          <t>Beijing Energy International Investment Limited</t>
        </is>
      </c>
      <c r="F1157" s="716" t="n"/>
      <c r="G1157" s="716" t="n"/>
      <c r="H1157" s="462" t="n"/>
    </row>
    <row r="1158">
      <c r="A1158" s="672" t="inlineStr">
        <is>
          <t>E101219</t>
        </is>
      </c>
      <c r="B1158" s="767">
        <f>ROW()</f>
        <v/>
      </c>
      <c r="C1158" s="182" t="inlineStr">
        <is>
          <t>北京颐寿轩通和养老服务有限公司</t>
        </is>
      </c>
      <c r="D1158" s="672" t="inlineStr">
        <is>
          <t>ZI029E100776</t>
        </is>
      </c>
      <c r="E1158" s="672" t="inlineStr">
        <is>
          <t>北京健康养老集团有限公司</t>
        </is>
      </c>
      <c r="F1158" s="716" t="n"/>
      <c r="G1158" s="716" t="n"/>
      <c r="H1158" s="462" t="n"/>
    </row>
    <row r="1159">
      <c r="A1159" s="672" t="inlineStr">
        <is>
          <t>E101220</t>
        </is>
      </c>
      <c r="B1159" s="767">
        <f>ROW()</f>
        <v/>
      </c>
      <c r="C1159" s="182" t="inlineStr">
        <is>
          <t>北京颐寿轩养老产业有限公司</t>
        </is>
      </c>
      <c r="D1159" s="672" t="inlineStr">
        <is>
          <t>ZI029E100776</t>
        </is>
      </c>
      <c r="E1159" s="672" t="inlineStr">
        <is>
          <t>北京健康养老集团有限公司</t>
        </is>
      </c>
      <c r="F1159" s="716" t="n"/>
      <c r="G1159" s="716" t="n"/>
      <c r="H1159" s="462" t="n"/>
    </row>
    <row r="1160">
      <c r="A1160" s="672" t="inlineStr">
        <is>
          <t>E101221</t>
        </is>
      </c>
      <c r="B1160" s="767">
        <f>ROW()</f>
        <v/>
      </c>
      <c r="C1160" s="182" t="inlineStr">
        <is>
          <t>北京颐寿轩滨和养老服务有限公司</t>
        </is>
      </c>
      <c r="D1160" s="672" t="inlineStr">
        <is>
          <t>ZI029E100776</t>
        </is>
      </c>
      <c r="E1160" s="672" t="inlineStr">
        <is>
          <t>北京健康养老集团有限公司</t>
        </is>
      </c>
      <c r="F1160" s="716" t="n"/>
      <c r="G1160" s="716" t="n"/>
      <c r="H1160" s="462" t="n"/>
    </row>
    <row r="1161">
      <c r="A1161" s="672" t="inlineStr">
        <is>
          <t>E101222</t>
        </is>
      </c>
      <c r="B1161" s="767">
        <f>ROW()</f>
        <v/>
      </c>
      <c r="C1161" s="182" t="inlineStr">
        <is>
          <t>北京颐寿轩泰和养老服务有限公司</t>
        </is>
      </c>
      <c r="D1161" s="672" t="inlineStr">
        <is>
          <t>ZI029E100776</t>
        </is>
      </c>
      <c r="E1161" s="672" t="inlineStr">
        <is>
          <t>北京健康养老集团有限公司</t>
        </is>
      </c>
      <c r="F1161" s="716" t="n"/>
      <c r="G1161" s="716" t="n"/>
      <c r="H1161" s="462" t="n"/>
    </row>
    <row r="1162">
      <c r="A1162" s="672" t="inlineStr">
        <is>
          <t>E101235</t>
        </is>
      </c>
      <c r="B1162" s="767">
        <f>ROW()</f>
        <v/>
      </c>
      <c r="C1162" s="182" t="inlineStr">
        <is>
          <t>广东巨通新能源有限公司</t>
        </is>
      </c>
      <c r="D1162" s="182" t="inlineStr">
        <is>
          <t>ZI029E100001</t>
        </is>
      </c>
      <c r="E1162" s="182" t="inlineStr">
        <is>
          <t>北京京能清洁能源电力股份有限公司</t>
        </is>
      </c>
      <c r="F1162" s="716" t="n"/>
      <c r="G1162" s="716" t="n"/>
      <c r="H1162" s="462" t="n"/>
    </row>
    <row r="1163">
      <c r="A1163" s="672" t="inlineStr">
        <is>
          <t>E101236</t>
        </is>
      </c>
      <c r="B1163" s="767">
        <f>ROW()</f>
        <v/>
      </c>
      <c r="C1163" s="182" t="inlineStr">
        <is>
          <t>广东鹏泰新能源有限公司</t>
        </is>
      </c>
      <c r="D1163" s="182" t="inlineStr">
        <is>
          <t>ZI029E101235</t>
        </is>
      </c>
      <c r="E1163" s="182" t="inlineStr">
        <is>
          <t>广东巨通新能源有限公司</t>
        </is>
      </c>
      <c r="F1163" s="716" t="n"/>
      <c r="G1163" s="716" t="n"/>
      <c r="H1163" s="462" t="n"/>
    </row>
    <row r="1164">
      <c r="A1164" s="672" t="inlineStr">
        <is>
          <t>E101063</t>
        </is>
      </c>
      <c r="B1164" s="767">
        <f>ROW()</f>
        <v/>
      </c>
      <c r="C1164" s="182" t="inlineStr">
        <is>
          <t>通辽市铭龙新能源有限公司</t>
        </is>
      </c>
      <c r="D1164" s="672" t="inlineStr">
        <is>
          <t>ZI029E100730</t>
        </is>
      </c>
      <c r="E1164" s="672" t="inlineStr">
        <is>
          <t>京能国际能源发展（北京）有限公司</t>
        </is>
      </c>
      <c r="F1164" s="716" t="n"/>
      <c r="G1164" s="716" t="n"/>
      <c r="H1164" s="462" t="n"/>
    </row>
    <row r="1165">
      <c r="A1165" s="672" t="inlineStr">
        <is>
          <t>E101086</t>
        </is>
      </c>
      <c r="B1165" s="767">
        <f>ROW()</f>
        <v/>
      </c>
      <c r="C1165" s="182" t="inlineStr">
        <is>
          <t>京能（荣成）综合能源服务有限公司</t>
        </is>
      </c>
      <c r="D1165" s="182" t="inlineStr">
        <is>
          <t>ZI029E100748</t>
        </is>
      </c>
      <c r="E1165" s="182" t="inlineStr">
        <is>
          <t>北京京能国际综合智慧能源有限公司</t>
        </is>
      </c>
      <c r="F1165" s="716" t="n"/>
      <c r="G1165" s="716" t="n"/>
      <c r="H1165" s="462" t="n"/>
    </row>
    <row r="1166">
      <c r="A1166" s="672" t="inlineStr">
        <is>
          <t>E101208</t>
        </is>
      </c>
      <c r="B1166" s="767">
        <f>ROW()</f>
        <v/>
      </c>
      <c r="C1166" s="182" t="inlineStr">
        <is>
          <t>保山施甸焯阳新能源开发有限公司</t>
        </is>
      </c>
      <c r="D1166" s="182" t="inlineStr">
        <is>
          <t>ZI029E101190</t>
        </is>
      </c>
      <c r="E1166" s="182" t="inlineStr">
        <is>
          <t>保山能源发展股份有限公司</t>
        </is>
      </c>
      <c r="F1166" s="716" t="n"/>
      <c r="G1166" s="716" t="n"/>
      <c r="H1166" s="462" t="n"/>
    </row>
    <row r="1167">
      <c r="A1167" s="672" t="inlineStr">
        <is>
          <t>E101190G</t>
        </is>
      </c>
      <c r="B1167" s="767">
        <f>ROW()</f>
        <v/>
      </c>
      <c r="C1167" s="182" t="inlineStr">
        <is>
          <t>保山能源发展股份有限公司（合并）</t>
        </is>
      </c>
      <c r="D1167" s="182" t="inlineStr">
        <is>
          <t>ZI029E101190</t>
        </is>
      </c>
      <c r="E1167" s="182" t="inlineStr">
        <is>
          <t>保山能源发展股份有限公司</t>
        </is>
      </c>
      <c r="F1167" s="716" t="n"/>
      <c r="G1167" s="716" t="n"/>
      <c r="H1167" s="462" t="n"/>
    </row>
    <row r="1168">
      <c r="A1168" s="672" t="inlineStr">
        <is>
          <t>E101153</t>
        </is>
      </c>
      <c r="B1168" s="767">
        <f>ROW()</f>
        <v/>
      </c>
      <c r="C1168" s="182" t="inlineStr">
        <is>
          <t>京源（襄阳）清洁能源有限公司</t>
        </is>
      </c>
      <c r="D1168" s="182" t="inlineStr">
        <is>
          <t>ZI029E100001</t>
        </is>
      </c>
      <c r="E1168" s="182" t="inlineStr">
        <is>
          <t>北京清洁能源电力股份有限公司</t>
        </is>
      </c>
      <c r="F1168" s="716" t="n"/>
      <c r="G1168" s="716" t="n"/>
      <c r="H1168" s="462" t="n"/>
    </row>
    <row r="1169">
      <c r="A1169" s="672" t="inlineStr">
        <is>
          <t>E101248</t>
        </is>
      </c>
      <c r="B1169" s="767">
        <f>ROW()</f>
        <v/>
      </c>
      <c r="C1169" s="182" t="inlineStr">
        <is>
          <t>昌黎金海湾度假村有限责任公司</t>
        </is>
      </c>
      <c r="D1169" s="672" t="inlineStr">
        <is>
          <t>ZI029E100776</t>
        </is>
      </c>
      <c r="E1169" s="182" t="inlineStr">
        <is>
          <t>北京健康养老集团有限公司</t>
        </is>
      </c>
      <c r="F1169" s="716" t="n"/>
      <c r="G1169" s="716" t="n"/>
      <c r="H1169" s="462" t="n"/>
    </row>
    <row r="1170">
      <c r="A1170" s="672" t="inlineStr">
        <is>
          <t>E101217</t>
        </is>
      </c>
      <c r="B1170" s="767">
        <f>ROW()</f>
        <v/>
      </c>
      <c r="C1170" s="182" t="inlineStr">
        <is>
          <t>内蒙古京荣新能源有限公司</t>
        </is>
      </c>
      <c r="D1170" s="182" t="inlineStr">
        <is>
          <t>ZI029E100145</t>
        </is>
      </c>
      <c r="E1170" s="182" t="inlineStr">
        <is>
          <t>北京京能电力股份有限公司</t>
        </is>
      </c>
      <c r="F1170" s="716" t="n"/>
      <c r="G1170" s="716" t="n"/>
      <c r="H1170" s="462" t="n"/>
    </row>
    <row r="1171">
      <c r="A1171" s="672" t="inlineStr">
        <is>
          <t>E101209</t>
        </is>
      </c>
      <c r="B1171" s="767">
        <f>ROW()</f>
        <v/>
      </c>
      <c r="C1171" s="182" t="inlineStr">
        <is>
          <t>山西京武新能源有限公司</t>
        </is>
      </c>
      <c r="D1171" s="182" t="inlineStr">
        <is>
          <t>ZI029E100145</t>
        </is>
      </c>
      <c r="E1171" s="182" t="inlineStr">
        <is>
          <t>北京京能电力股份有限公司</t>
        </is>
      </c>
      <c r="F1171" s="716" t="n"/>
      <c r="G1171" s="716" t="n"/>
      <c r="H1171" s="462" t="n"/>
    </row>
    <row r="1172">
      <c r="A1172" s="672" t="inlineStr">
        <is>
          <t>E101251</t>
        </is>
      </c>
      <c r="B1172" s="767">
        <f>ROW()</f>
        <v/>
      </c>
      <c r="C1172" s="182" t="inlineStr">
        <is>
          <t>瑞信新能源（信丰）有限公司</t>
        </is>
      </c>
      <c r="D1172" s="182" t="inlineStr">
        <is>
          <t>ZI029E100001</t>
        </is>
      </c>
      <c r="E1172" s="182" t="inlineStr">
        <is>
          <t>北京京能清洁能源电力股份有限公司</t>
        </is>
      </c>
      <c r="F1172" s="716" t="n"/>
      <c r="G1172" s="716" t="n"/>
      <c r="H1172" s="462" t="n"/>
    </row>
    <row r="1173">
      <c r="A1173" s="672" t="inlineStr">
        <is>
          <t>E101250</t>
        </is>
      </c>
      <c r="B1173" s="767">
        <f>ROW()</f>
        <v/>
      </c>
      <c r="C1173" s="182" t="inlineStr">
        <is>
          <t>达州万源京能风力发电有限公司</t>
        </is>
      </c>
      <c r="D1173" s="672" t="inlineStr">
        <is>
          <t>ZI029E100883</t>
        </is>
      </c>
      <c r="E1173" s="672" t="inlineStr">
        <is>
          <t>Beijing Energy International Investment Limited</t>
        </is>
      </c>
      <c r="F1173" s="716" t="n"/>
      <c r="G1173" s="716" t="n"/>
      <c r="H1173" s="462" t="n"/>
    </row>
    <row r="1174">
      <c r="A1174" s="672" t="inlineStr">
        <is>
          <t>E101240</t>
        </is>
      </c>
      <c r="B1174" s="767">
        <f>ROW()</f>
        <v/>
      </c>
      <c r="C1174" s="182" t="inlineStr">
        <is>
          <t>京龙（烟台龙口市）新能源有限公司</t>
        </is>
      </c>
      <c r="D1174" s="672" t="inlineStr">
        <is>
          <t>ZI029E100883</t>
        </is>
      </c>
      <c r="E1174" s="672" t="inlineStr">
        <is>
          <t>Beijing Energy International Investment Limited</t>
        </is>
      </c>
      <c r="F1174" s="716" t="n"/>
      <c r="G1174" s="716" t="n"/>
      <c r="H1174" s="462" t="n"/>
    </row>
    <row r="1175">
      <c r="A1175" s="672" t="inlineStr">
        <is>
          <t>E101093</t>
        </is>
      </c>
      <c r="B1175" s="767">
        <f>ROW()</f>
        <v/>
      </c>
      <c r="C1175" s="182" t="inlineStr">
        <is>
          <t>通辽市新通风能有限公司</t>
        </is>
      </c>
      <c r="D1175" s="672" t="inlineStr">
        <is>
          <t>ZI029E100730</t>
        </is>
      </c>
      <c r="E1175" s="182" t="inlineStr">
        <is>
          <t>京能国际能源发展（北京）有限公司</t>
        </is>
      </c>
      <c r="F1175" s="716" t="n"/>
      <c r="G1175" s="716" t="n"/>
      <c r="H1175" s="462" t="n"/>
    </row>
    <row r="1176">
      <c r="A1176" s="672" t="inlineStr">
        <is>
          <t>E100040</t>
        </is>
      </c>
      <c r="B1176" s="767">
        <f>ROW()</f>
        <v/>
      </c>
      <c r="C1176" s="182" t="inlineStr">
        <is>
          <t>北京市天银地热开发有限责任公司</t>
        </is>
      </c>
      <c r="D1176" s="182" t="inlineStr">
        <is>
          <t>ZI029E100222</t>
        </is>
      </c>
      <c r="E1176" s="182" t="inlineStr">
        <is>
          <t>北京市热力集团有限责任公司</t>
        </is>
      </c>
      <c r="F1176" s="716" t="n"/>
      <c r="G1176" s="716" t="n"/>
      <c r="H1176" s="462" t="n"/>
    </row>
    <row r="1177">
      <c r="A1177" s="672" t="inlineStr">
        <is>
          <t>E101255</t>
        </is>
      </c>
      <c r="B1177" s="767">
        <f>ROW()</f>
        <v/>
      </c>
      <c r="C1177" s="182" t="inlineStr">
        <is>
          <t>北京京能清洁能源电力股份有限公司华中分公司</t>
        </is>
      </c>
      <c r="D1177" s="182" t="inlineStr">
        <is>
          <t>ZI029E100001</t>
        </is>
      </c>
      <c r="E1177" s="182" t="inlineStr">
        <is>
          <t>北京京能清洁能源电力股份有限公司</t>
        </is>
      </c>
      <c r="F1177" s="716" t="n"/>
      <c r="G1177" s="716" t="n"/>
      <c r="H1177" s="462" t="n"/>
    </row>
    <row r="1178">
      <c r="A1178" s="672" t="inlineStr">
        <is>
          <t>E101256</t>
        </is>
      </c>
      <c r="B1178" s="767">
        <f>ROW()</f>
        <v/>
      </c>
      <c r="C1178" s="182" t="inlineStr">
        <is>
          <t>京能（武汉）清洁能源有限公司</t>
        </is>
      </c>
      <c r="D1178" s="182" t="inlineStr">
        <is>
          <t>ZI029E100001</t>
        </is>
      </c>
      <c r="E1178" s="182" t="inlineStr">
        <is>
          <t>北京京能清洁能源电力股份有限公司</t>
        </is>
      </c>
      <c r="F1178" s="716" t="n"/>
      <c r="G1178" s="716" t="n"/>
      <c r="H1178" s="462" t="n"/>
    </row>
    <row r="1179">
      <c r="A1179" s="672" t="inlineStr">
        <is>
          <t>E101226</t>
        </is>
      </c>
      <c r="B1179" s="767">
        <f>ROW()</f>
        <v/>
      </c>
      <c r="C1179" s="182" t="inlineStr">
        <is>
          <t>京能（秭归）清洁能源有限公司</t>
        </is>
      </c>
      <c r="D1179" s="182" t="inlineStr">
        <is>
          <t>ZI029E100543</t>
        </is>
      </c>
      <c r="E1179" s="182" t="inlineStr">
        <is>
          <t>北京京能清洁能源电力股份(香港)有限公司</t>
        </is>
      </c>
      <c r="F1179" s="716" t="n"/>
      <c r="G1179" s="716" t="n"/>
      <c r="H1179" s="462" t="n"/>
    </row>
    <row r="1180">
      <c r="A1180" s="672" t="inlineStr">
        <is>
          <t>E101226</t>
        </is>
      </c>
      <c r="B1180" s="767">
        <f>ROW()</f>
        <v/>
      </c>
      <c r="C1180" s="182" t="inlineStr">
        <is>
          <t>京能（秭归）清洁能源有限公司</t>
        </is>
      </c>
      <c r="D1180" s="182" t="inlineStr">
        <is>
          <t>ZI029E100001</t>
        </is>
      </c>
      <c r="E1180" s="182" t="inlineStr">
        <is>
          <t>北京京能清洁能源电力股份有限公司</t>
        </is>
      </c>
      <c r="F1180" s="716" t="n"/>
      <c r="G1180" s="716" t="n"/>
      <c r="H1180" s="462" t="n"/>
    </row>
    <row r="1181">
      <c r="A1181" s="672" t="inlineStr">
        <is>
          <t>E101260</t>
        </is>
      </c>
      <c r="B1181" s="767">
        <f>ROW()</f>
        <v/>
      </c>
      <c r="C1181" s="182" t="inlineStr">
        <is>
          <t>萨迦县京能新能源有限公司</t>
        </is>
      </c>
      <c r="D1181" s="672" t="inlineStr">
        <is>
          <t>ZI029E100730</t>
        </is>
      </c>
      <c r="E1181" s="182" t="inlineStr">
        <is>
          <t>京能国际能源发展（北京）有限公司</t>
        </is>
      </c>
      <c r="F1181" s="716" t="n"/>
      <c r="G1181" s="716" t="n"/>
      <c r="H1181" s="462" t="n"/>
    </row>
    <row r="1182">
      <c r="A1182" s="672" t="inlineStr">
        <is>
          <t>E101263</t>
        </is>
      </c>
      <c r="B1182" s="767">
        <f>ROW()</f>
        <v/>
      </c>
      <c r="C1182" s="182" t="inlineStr">
        <is>
          <t>京能泗阳清洁能源有限公司</t>
        </is>
      </c>
      <c r="D1182" s="182" t="inlineStr">
        <is>
          <t>ZI029E100543</t>
        </is>
      </c>
      <c r="E1182" s="182" t="inlineStr">
        <is>
          <t>北京京能清洁能源电力股份(香港)有限公司</t>
        </is>
      </c>
      <c r="F1182" s="716" t="n"/>
      <c r="G1182" s="716" t="n"/>
      <c r="H1182" s="462" t="n"/>
    </row>
    <row r="1183">
      <c r="A1183" s="672" t="inlineStr">
        <is>
          <t>E101263</t>
        </is>
      </c>
      <c r="B1183" s="767">
        <f>ROW()</f>
        <v/>
      </c>
      <c r="C1183" s="182" t="inlineStr">
        <is>
          <t>京能泗阳清洁能源有限公司</t>
        </is>
      </c>
      <c r="D1183" s="672" t="inlineStr">
        <is>
          <t>ZI029E100883</t>
        </is>
      </c>
      <c r="E1183" s="182" t="inlineStr">
        <is>
          <t>北京京能清洁能源电力股份有限公司</t>
        </is>
      </c>
      <c r="F1183" s="716" t="n"/>
      <c r="G1183" s="716" t="n"/>
      <c r="H1183" s="462" t="n"/>
    </row>
    <row r="1184">
      <c r="A1184" s="672" t="inlineStr">
        <is>
          <t>E100898</t>
        </is>
      </c>
      <c r="B1184" s="767">
        <f>ROW()</f>
        <v/>
      </c>
      <c r="C1184" s="182" t="inlineStr">
        <is>
          <t>京莱 (张家口) 新能源有限公司</t>
        </is>
      </c>
      <c r="D1184" s="672" t="inlineStr">
        <is>
          <t>ZI029E100730</t>
        </is>
      </c>
      <c r="E1184" s="182" t="inlineStr">
        <is>
          <t>京能国际能源发展 (北京) 有限公司</t>
        </is>
      </c>
      <c r="F1184" s="716" t="n"/>
      <c r="G1184" s="716" t="n"/>
      <c r="H1184" s="462" t="n"/>
    </row>
    <row r="1185">
      <c r="A1185" s="672" t="inlineStr">
        <is>
          <t>E101077</t>
        </is>
      </c>
      <c r="B1185" s="767">
        <f>ROW()</f>
        <v/>
      </c>
      <c r="C1185" s="182" t="inlineStr">
        <is>
          <t>京能 (哈尔滨) 光伏发电有限公司</t>
        </is>
      </c>
      <c r="D1185" s="672" t="inlineStr">
        <is>
          <t>ZI029E100730</t>
        </is>
      </c>
      <c r="E1185" s="182" t="inlineStr">
        <is>
          <t>京能国际能源发展 (北京) 有限公司</t>
        </is>
      </c>
      <c r="F1185" s="716" t="n"/>
      <c r="G1185" s="716" t="n"/>
      <c r="H1185" s="462" t="n"/>
    </row>
    <row r="1186">
      <c r="A1186" s="672" t="inlineStr">
        <is>
          <t>E101243</t>
        </is>
      </c>
      <c r="B1186" s="767">
        <f>ROW()</f>
        <v/>
      </c>
      <c r="C1186" s="182" t="inlineStr">
        <is>
          <t>京瑞 (哈尔滨市) 新能源有限公司</t>
        </is>
      </c>
      <c r="D1186" s="672" t="inlineStr">
        <is>
          <t>ZI029E100883</t>
        </is>
      </c>
      <c r="E1186" s="672" t="inlineStr">
        <is>
          <t>Beijing Energy International Investment Limited</t>
        </is>
      </c>
      <c r="F1186" s="716" t="n"/>
      <c r="G1186" s="716" t="n"/>
      <c r="H1186" s="462" t="n"/>
    </row>
    <row r="1187">
      <c r="A1187" s="672" t="inlineStr">
        <is>
          <t>E101213</t>
        </is>
      </c>
      <c r="B1187" s="767">
        <f>ROW()</f>
        <v/>
      </c>
      <c r="C1187" s="182" t="inlineStr">
        <is>
          <t>京耀（北京）新能源有限公司</t>
        </is>
      </c>
      <c r="D1187" s="672" t="inlineStr">
        <is>
          <t>ZI029E100748</t>
        </is>
      </c>
      <c r="E1187" s="182" t="inlineStr">
        <is>
          <t>北京京能国际综合智慧能源有限公司</t>
        </is>
      </c>
      <c r="F1187" s="716" t="n"/>
      <c r="G1187" s="716" t="n"/>
      <c r="H1187" s="462" t="n"/>
    </row>
    <row r="1188">
      <c r="A1188" s="672" t="inlineStr">
        <is>
          <t>E101225</t>
        </is>
      </c>
      <c r="B1188" s="767">
        <f>ROW()</f>
        <v/>
      </c>
      <c r="C1188" s="182" t="inlineStr">
        <is>
          <t>罗山县京能新能源有限公司</t>
        </is>
      </c>
      <c r="D1188" s="672" t="inlineStr">
        <is>
          <t>ZI029E100748</t>
        </is>
      </c>
      <c r="E1188" s="182" t="inlineStr">
        <is>
          <t>北京京能国际综合智慧能源有限公司</t>
        </is>
      </c>
      <c r="F1188" s="716" t="n"/>
      <c r="G1188" s="716" t="n"/>
      <c r="H1188" s="462" t="n"/>
    </row>
    <row r="1189">
      <c r="A1189" s="672" t="inlineStr">
        <is>
          <t>E101224</t>
        </is>
      </c>
      <c r="B1189" s="767">
        <f>ROW()</f>
        <v/>
      </c>
      <c r="C1189" s="182" t="inlineStr">
        <is>
          <t>京能（株洲）综合能源有限公司</t>
        </is>
      </c>
      <c r="D1189" s="672" t="inlineStr">
        <is>
          <t>ZI029E100748</t>
        </is>
      </c>
      <c r="E1189" s="182" t="inlineStr">
        <is>
          <t>北京京能国际综合智慧能源有限公司</t>
        </is>
      </c>
      <c r="F1189" s="716" t="n"/>
      <c r="G1189" s="716" t="n"/>
      <c r="H1189" s="462" t="n"/>
    </row>
    <row r="1190">
      <c r="A1190" s="672" t="inlineStr">
        <is>
          <t>E101242</t>
        </is>
      </c>
      <c r="B1190" s="767">
        <f>ROW()</f>
        <v/>
      </c>
      <c r="C1190" s="182" t="inlineStr">
        <is>
          <t>京维（高密）新能源有限公司</t>
        </is>
      </c>
      <c r="D1190" s="672" t="inlineStr">
        <is>
          <t>ZI029E100883</t>
        </is>
      </c>
      <c r="E1190" s="672" t="inlineStr">
        <is>
          <t>Beijing Energy International Investment Limited</t>
        </is>
      </c>
      <c r="F1190" s="716" t="n"/>
      <c r="G1190" s="716" t="n"/>
      <c r="H1190" s="462" t="n"/>
    </row>
    <row r="1191">
      <c r="A1191" s="672" t="inlineStr">
        <is>
          <t>E101257</t>
        </is>
      </c>
      <c r="B1191" s="767">
        <f>ROW()</f>
        <v/>
      </c>
      <c r="C1191" s="182" t="inlineStr">
        <is>
          <t>京远（烟台招远市）新能源有限公司</t>
        </is>
      </c>
      <c r="D1191" s="672" t="inlineStr">
        <is>
          <t>ZI029E100883</t>
        </is>
      </c>
      <c r="E1191" s="182" t="inlineStr">
        <is>
          <t>Beijing Energy International Investment Limited</t>
        </is>
      </c>
      <c r="F1191" s="716" t="n"/>
      <c r="G1191" s="716" t="n"/>
      <c r="H1191" s="462" t="n"/>
    </row>
    <row r="1192">
      <c r="A1192" s="672" t="inlineStr">
        <is>
          <t>E101185</t>
        </is>
      </c>
      <c r="B1192" s="767">
        <f>ROW()</f>
        <v/>
      </c>
      <c r="C1192" s="182" t="inlineStr">
        <is>
          <t>京沧（东光县）新能源科技有限公司</t>
        </is>
      </c>
      <c r="D1192" s="672" t="inlineStr">
        <is>
          <t>ZI029E100730</t>
        </is>
      </c>
      <c r="E1192" s="182" t="inlineStr">
        <is>
          <t>京能国际能源发展（北京）有限公司</t>
        </is>
      </c>
      <c r="F1192" s="716" t="n"/>
      <c r="G1192" s="716" t="n"/>
      <c r="H1192" s="462" t="n"/>
    </row>
    <row r="1193">
      <c r="A1193" s="672" t="inlineStr">
        <is>
          <t>E101229</t>
        </is>
      </c>
      <c r="B1193" s="767">
        <f>ROW()</f>
        <v/>
      </c>
      <c r="C1193" s="182" t="inlineStr">
        <is>
          <t>京能（烟台蓬莱区）新能源有限公司</t>
        </is>
      </c>
      <c r="D1193" s="672" t="inlineStr">
        <is>
          <t>ZI029E100730</t>
        </is>
      </c>
      <c r="E1193" s="182" t="inlineStr">
        <is>
          <t>京能国际能源发展（北京）有限公司</t>
        </is>
      </c>
      <c r="F1193" s="716" t="n"/>
      <c r="G1193" s="716" t="n"/>
      <c r="H1193" s="462" t="n"/>
    </row>
    <row r="1194">
      <c r="A1194" s="672" t="inlineStr">
        <is>
          <t>E100921</t>
        </is>
      </c>
      <c r="B1194" s="767">
        <f>ROW()</f>
        <v/>
      </c>
      <c r="C1194" s="182" t="inlineStr">
        <is>
          <t>北京京能绿通新能源有限公司</t>
        </is>
      </c>
      <c r="D1194" s="672" t="inlineStr">
        <is>
          <t>ZI029E100730</t>
        </is>
      </c>
      <c r="E1194" s="182" t="inlineStr">
        <is>
          <t>京能国际能源发展（北京）有限公司</t>
        </is>
      </c>
      <c r="F1194" s="716" t="n"/>
      <c r="G1194" s="716" t="n"/>
      <c r="H1194" s="462" t="n"/>
    </row>
    <row r="1195">
      <c r="A1195" s="672" t="inlineStr">
        <is>
          <t>E100897</t>
        </is>
      </c>
      <c r="B1195" s="767">
        <f>ROW()</f>
        <v/>
      </c>
      <c r="C1195" s="182" t="inlineStr">
        <is>
          <t>京能（承德县）新能源有限公司</t>
        </is>
      </c>
      <c r="D1195" s="672" t="inlineStr">
        <is>
          <t>ZI029E100730</t>
        </is>
      </c>
      <c r="E1195" s="182" t="inlineStr">
        <is>
          <t>京能国际能源发展（北京）有限公司</t>
        </is>
      </c>
      <c r="F1195" s="716" t="n"/>
      <c r="G1195" s="716" t="n"/>
      <c r="H1195" s="462" t="n"/>
    </row>
    <row r="1196">
      <c r="A1196" s="672" t="inlineStr">
        <is>
          <t>E101239</t>
        </is>
      </c>
      <c r="B1196" s="767">
        <f>ROW()</f>
        <v/>
      </c>
      <c r="C1196" s="182" t="inlineStr">
        <is>
          <t>京卜（天津）新能源有限公司</t>
        </is>
      </c>
      <c r="D1196" s="672" t="inlineStr">
        <is>
          <t>ZI029E100730</t>
        </is>
      </c>
      <c r="E1196" s="182" t="inlineStr">
        <is>
          <t>京能国际能源发展（北京）有限公司</t>
        </is>
      </c>
      <c r="F1196" s="716" t="n"/>
      <c r="G1196" s="716" t="n"/>
      <c r="H1196" s="462" t="n"/>
    </row>
    <row r="1197">
      <c r="A1197" s="672" t="inlineStr">
        <is>
          <t>E101092</t>
        </is>
      </c>
      <c r="B1197" s="767">
        <f>ROW()</f>
        <v/>
      </c>
      <c r="C1197" s="182" t="inlineStr">
        <is>
          <t>北京京昌新能源有限公司</t>
        </is>
      </c>
      <c r="D1197" s="672" t="inlineStr">
        <is>
          <t>ZI029E100730</t>
        </is>
      </c>
      <c r="E1197" s="182" t="inlineStr">
        <is>
          <t>京能国际能源发展（北京）有限公司</t>
        </is>
      </c>
      <c r="F1197" s="716" t="n"/>
      <c r="G1197" s="716" t="n"/>
      <c r="H1197" s="462" t="n"/>
    </row>
    <row r="1198">
      <c r="A1198" s="672" t="inlineStr">
        <is>
          <t>E101165</t>
        </is>
      </c>
      <c r="B1198" s="767">
        <f>ROW()</f>
        <v/>
      </c>
      <c r="C1198" s="182" t="inlineStr">
        <is>
          <t>信阳京能清洁能源有限公司</t>
        </is>
      </c>
      <c r="D1198" s="182" t="inlineStr">
        <is>
          <t>ZI029E100001</t>
        </is>
      </c>
      <c r="E1198" s="182" t="inlineStr">
        <is>
          <t>北京京能清洁能源电力股份有限公司</t>
        </is>
      </c>
      <c r="F1198" s="716" t="n"/>
      <c r="G1198" s="716" t="n"/>
      <c r="H1198" s="462" t="n"/>
    </row>
    <row r="1199">
      <c r="A1199" s="672" t="inlineStr">
        <is>
          <t>E101228</t>
        </is>
      </c>
      <c r="B1199" s="767">
        <f>ROW()</f>
        <v/>
      </c>
      <c r="C1199" s="182" t="inlineStr">
        <is>
          <t>宜丰县京宜新能源有限公司</t>
        </is>
      </c>
      <c r="D1199" s="672" t="inlineStr">
        <is>
          <t>ZI029E100730</t>
        </is>
      </c>
      <c r="E1199" s="182" t="inlineStr">
        <is>
          <t>京能国际能源发展 (北京) 有限公司</t>
        </is>
      </c>
      <c r="F1199" s="716" t="n"/>
      <c r="G1199" s="716" t="n"/>
      <c r="H1199" s="462" t="n"/>
    </row>
    <row r="1200">
      <c r="A1200" s="672" t="inlineStr">
        <is>
          <t>E101249</t>
        </is>
      </c>
      <c r="B1200" s="767">
        <f>ROW()</f>
        <v/>
      </c>
      <c r="C1200" s="182" t="inlineStr">
        <is>
          <t>京丰（宜丰）光伏发电有限公司</t>
        </is>
      </c>
      <c r="D1200" s="672" t="inlineStr">
        <is>
          <t>ZI029E100883</t>
        </is>
      </c>
      <c r="E1200" s="182" t="inlineStr">
        <is>
          <t>Beijing Energy International Investment Limited</t>
        </is>
      </c>
      <c r="F1200" s="716" t="n"/>
      <c r="G1200" s="716" t="n"/>
      <c r="H1200" s="462" t="n"/>
    </row>
    <row r="1201">
      <c r="A1201" s="672" t="inlineStr">
        <is>
          <t>E101261</t>
        </is>
      </c>
      <c r="B1201" s="767">
        <f>ROW()</f>
        <v/>
      </c>
      <c r="C1201" s="182" t="inlineStr">
        <is>
          <t>江达县英利金码新能源开发有限公司</t>
        </is>
      </c>
      <c r="D1201" s="672" t="inlineStr">
        <is>
          <t>ZI029E100730</t>
        </is>
      </c>
      <c r="E1201" s="182" t="inlineStr">
        <is>
          <t>京能国际能源发展（北京）有限公司</t>
        </is>
      </c>
      <c r="F1201" s="716" t="n"/>
      <c r="G1201" s="716" t="n"/>
      <c r="H1201" s="462" t="n"/>
    </row>
    <row r="1202">
      <c r="A1202" s="672" t="inlineStr">
        <is>
          <t>E101155</t>
        </is>
      </c>
      <c r="B1202" s="767">
        <f>ROW()</f>
        <v/>
      </c>
      <c r="C1202" s="182" t="inlineStr">
        <is>
          <t>京江（双柏）新能源有限公司</t>
        </is>
      </c>
      <c r="D1202" s="672" t="inlineStr">
        <is>
          <t>ZI029E100730</t>
        </is>
      </c>
      <c r="E1202" s="182" t="inlineStr">
        <is>
          <t>京能国际能源发展（北京）有限公司</t>
        </is>
      </c>
      <c r="F1202" s="716" t="n"/>
      <c r="G1202" s="716" t="n"/>
      <c r="H1202" s="462" t="n"/>
    </row>
    <row r="1203">
      <c r="A1203" s="672" t="inlineStr">
        <is>
          <t>E101252</t>
        </is>
      </c>
      <c r="B1203" s="767">
        <f>ROW()</f>
        <v/>
      </c>
      <c r="C1203" s="182" t="inlineStr">
        <is>
          <t>保山隆阳区保能国泰光伏发电有限公司</t>
        </is>
      </c>
      <c r="D1203" s="672" t="inlineStr">
        <is>
          <t>ZI029E100883</t>
        </is>
      </c>
      <c r="E1203" s="182" t="inlineStr">
        <is>
          <t>Beijing Energy International Investment Limited</t>
        </is>
      </c>
      <c r="F1203" s="716" t="n"/>
      <c r="G1203" s="716" t="n"/>
      <c r="H1203" s="462" t="n"/>
    </row>
    <row r="1204">
      <c r="A1204" s="672" t="inlineStr">
        <is>
          <t>E101253</t>
        </is>
      </c>
      <c r="B1204" s="767">
        <f>ROW()</f>
        <v/>
      </c>
      <c r="C1204" s="182" t="inlineStr">
        <is>
          <t>无锡碳惠综合能源服务有限公司</t>
        </is>
      </c>
      <c r="D1204" s="182" t="inlineStr">
        <is>
          <t>ZI029E100308</t>
        </is>
      </c>
      <c r="E1204" s="182" t="inlineStr">
        <is>
          <t>京能源深（苏州）能源科技有限公司</t>
        </is>
      </c>
      <c r="F1204" s="716" t="n"/>
      <c r="G1204" s="716" t="n"/>
      <c r="H1204" s="462" t="n"/>
    </row>
    <row r="1205">
      <c r="A1205" s="672" t="inlineStr">
        <is>
          <t>E101258</t>
        </is>
      </c>
      <c r="B1205" s="767">
        <f>ROW()</f>
        <v/>
      </c>
      <c r="C1205" s="182" t="inlineStr">
        <is>
          <t>佛山市凯宁新能源有限公司</t>
        </is>
      </c>
      <c r="D1205" s="182" t="inlineStr">
        <is>
          <t>ZI029E100308</t>
        </is>
      </c>
      <c r="E1205" s="182" t="inlineStr">
        <is>
          <t>京能源深（苏州）能源科技有限公司</t>
        </is>
      </c>
      <c r="F1205" s="716" t="n"/>
      <c r="G1205" s="716" t="n"/>
      <c r="H1205" s="462" t="n"/>
    </row>
    <row r="1206">
      <c r="A1206" s="672" t="inlineStr">
        <is>
          <t>E101259</t>
        </is>
      </c>
      <c r="B1206" s="767">
        <f>ROW()</f>
        <v/>
      </c>
      <c r="C1206" s="182" t="inlineStr">
        <is>
          <t>南京万芒新能源有限公司</t>
        </is>
      </c>
      <c r="D1206" s="182" t="inlineStr">
        <is>
          <t>ZI029E100308</t>
        </is>
      </c>
      <c r="E1206" s="182" t="inlineStr">
        <is>
          <t>京能源深（苏州）能源科技有限公司</t>
        </is>
      </c>
      <c r="F1206" s="716" t="n"/>
      <c r="G1206" s="716" t="n"/>
      <c r="H1206" s="462" t="n"/>
    </row>
    <row r="1207">
      <c r="A1207" s="672" t="inlineStr">
        <is>
          <t>E101272</t>
        </is>
      </c>
      <c r="B1207" s="767">
        <f>ROW()</f>
        <v/>
      </c>
      <c r="C1207" s="672" t="inlineStr">
        <is>
          <t>北京京能能加科技有限公司</t>
        </is>
      </c>
      <c r="D1207" s="182" t="inlineStr">
        <is>
          <t>ZI029E100268</t>
        </is>
      </c>
      <c r="E1207" s="182" t="inlineStr">
        <is>
          <t>北京京煤集团有限责任公司</t>
        </is>
      </c>
      <c r="F1207" s="716" t="n"/>
      <c r="G1207" s="716" t="n"/>
      <c r="H1207" s="462" t="n"/>
    </row>
    <row r="1208">
      <c r="A1208" s="672" t="inlineStr">
        <is>
          <t>E101271</t>
        </is>
      </c>
      <c r="B1208" s="767">
        <f>ROW()</f>
        <v/>
      </c>
      <c r="C1208" s="182" t="inlineStr">
        <is>
          <t>京马（北京）新能源有限公司</t>
        </is>
      </c>
      <c r="D1208" s="182" t="inlineStr">
        <is>
          <t>ZI029E100748</t>
        </is>
      </c>
      <c r="E1208" s="182" t="inlineStr">
        <is>
          <t>北京京能国际综合智慧能源有限公司</t>
        </is>
      </c>
      <c r="F1208" s="716" t="n"/>
      <c r="G1208" s="716" t="n"/>
      <c r="H1208" s="462" t="n"/>
    </row>
    <row r="1209">
      <c r="A1209" s="672" t="inlineStr">
        <is>
          <t>E101265</t>
        </is>
      </c>
      <c r="B1209" s="767">
        <f>ROW()</f>
        <v/>
      </c>
      <c r="C1209" s="182" t="inlineStr">
        <is>
          <t>大庆市盛步电力有限公司</t>
        </is>
      </c>
      <c r="D1209" s="182" t="inlineStr">
        <is>
          <t>ZI029E100730</t>
        </is>
      </c>
      <c r="E1209" s="182" t="inlineStr">
        <is>
          <t>京能国际能源发展（北京）有限公司</t>
        </is>
      </c>
      <c r="F1209" s="716" t="n"/>
      <c r="G1209" s="716" t="n"/>
      <c r="H1209" s="462" t="n"/>
    </row>
    <row r="1210">
      <c r="A1210" s="672" t="inlineStr">
        <is>
          <t>E101264</t>
        </is>
      </c>
      <c r="B1210" s="767">
        <f>ROW()</f>
        <v/>
      </c>
      <c r="C1210" s="182" t="inlineStr">
        <is>
          <t>天津汇通新能源有限公司</t>
        </is>
      </c>
      <c r="D1210" s="182" t="inlineStr">
        <is>
          <t>ZI029E100730</t>
        </is>
      </c>
      <c r="E1210" s="182" t="inlineStr">
        <is>
          <t>京能国际能源发展（北京）有限公司</t>
        </is>
      </c>
      <c r="F1210" s="716" t="n"/>
      <c r="G1210" s="716" t="n"/>
      <c r="H1210" s="462" t="n"/>
    </row>
    <row r="1211">
      <c r="A1211" s="672" t="inlineStr">
        <is>
          <t>E101269</t>
        </is>
      </c>
      <c r="B1211" s="767">
        <f>ROW()</f>
        <v/>
      </c>
      <c r="C1211" s="182" t="inlineStr">
        <is>
          <t>阜新鸿昇太阳能发电有限公司</t>
        </is>
      </c>
      <c r="D1211" s="182" t="inlineStr">
        <is>
          <t>ZI029E101264</t>
        </is>
      </c>
      <c r="E1211" s="182" t="inlineStr">
        <is>
          <t>天津汇通新能源有限公司</t>
        </is>
      </c>
      <c r="F1211" s="716" t="n"/>
      <c r="G1211" s="716" t="n"/>
      <c r="H1211" s="462" t="n"/>
    </row>
    <row r="1212">
      <c r="A1212" s="672" t="inlineStr">
        <is>
          <t>E101268</t>
        </is>
      </c>
      <c r="B1212" s="767">
        <f>ROW()</f>
        <v/>
      </c>
      <c r="C1212" s="182" t="inlineStr">
        <is>
          <t>阜新市盛步太阳能发电有限公司</t>
        </is>
      </c>
      <c r="D1212" s="182" t="inlineStr">
        <is>
          <t>ZI029E101265</t>
        </is>
      </c>
      <c r="E1212" s="182" t="inlineStr">
        <is>
          <t>大庆市盛步电力有限公司</t>
        </is>
      </c>
      <c r="F1212" s="716" t="n"/>
      <c r="G1212" s="716" t="n"/>
      <c r="H1212" s="462" t="n"/>
    </row>
    <row r="1213">
      <c r="A1213" s="672" t="inlineStr">
        <is>
          <t>E101254</t>
        </is>
      </c>
      <c r="B1213" s="767">
        <f>ROW()</f>
        <v/>
      </c>
      <c r="C1213" s="182" t="inlineStr">
        <is>
          <t>漯河京新清洁能源有限公司</t>
        </is>
      </c>
      <c r="D1213" s="182" t="inlineStr">
        <is>
          <t>ZI029E100001</t>
        </is>
      </c>
      <c r="E1213" s="182" t="inlineStr">
        <is>
          <t>北京京能清洁能源电力股份有限公司</t>
        </is>
      </c>
      <c r="F1213" s="716" t="n"/>
      <c r="G1213" s="716" t="n"/>
      <c r="H1213" s="462" t="n"/>
    </row>
    <row r="1214">
      <c r="A1214" s="672" t="inlineStr">
        <is>
          <t>E101276</t>
        </is>
      </c>
      <c r="B1214" s="767">
        <f>ROW()</f>
        <v/>
      </c>
      <c r="C1214" s="182" t="inlineStr">
        <is>
          <t>桃江京能清洁能源有限公司</t>
        </is>
      </c>
      <c r="D1214" s="182" t="inlineStr">
        <is>
          <t>ZI029E100001</t>
        </is>
      </c>
      <c r="E1214" s="182" t="inlineStr">
        <is>
          <t>北京京能清洁能源电力股份有限公司</t>
        </is>
      </c>
      <c r="F1214" s="716" t="n"/>
      <c r="G1214" s="716" t="n"/>
      <c r="H1214" s="462" t="n"/>
    </row>
    <row r="1215">
      <c r="A1215" s="672" t="inlineStr">
        <is>
          <t>E101274</t>
        </is>
      </c>
      <c r="B1215" s="767">
        <f>ROW()</f>
        <v/>
      </c>
      <c r="C1215" s="182" t="inlineStr">
        <is>
          <t>北京丰璟房地产开发有限公司</t>
        </is>
      </c>
      <c r="D1215" s="182" t="inlineStr">
        <is>
          <t>ZI029E100420</t>
        </is>
      </c>
      <c r="E1215" s="182" t="inlineStr">
        <is>
          <t>京能置业股份有限公司</t>
        </is>
      </c>
      <c r="F1215" s="716" t="n"/>
      <c r="G1215" s="716" t="n"/>
      <c r="H1215" s="462" t="n"/>
    </row>
    <row r="1216">
      <c r="A1216" s="672" t="inlineStr">
        <is>
          <t>E101218</t>
        </is>
      </c>
      <c r="B1216" s="767">
        <f>ROW()</f>
        <v/>
      </c>
      <c r="C1216" s="182" t="inlineStr">
        <is>
          <t>保山隆阳区保能晶泰光伏发电有限公司</t>
        </is>
      </c>
      <c r="D1216" s="182" t="inlineStr">
        <is>
          <t>ZI029E101190</t>
        </is>
      </c>
      <c r="E1216" s="182" t="inlineStr">
        <is>
          <t>保山能源发展股份有限公司</t>
        </is>
      </c>
      <c r="F1216" s="716" t="n"/>
      <c r="G1216" s="716" t="n"/>
      <c r="H1216" s="462" t="n"/>
    </row>
    <row r="1217">
      <c r="A1217" s="672" t="inlineStr">
        <is>
          <t>E101244</t>
        </is>
      </c>
      <c r="B1217" s="767">
        <f>ROW()</f>
        <v/>
      </c>
      <c r="C1217" s="182" t="inlineStr">
        <is>
          <t>盛唐壹号(天津) 企业管理合伙企业(有限合伙）</t>
        </is>
      </c>
      <c r="D1217" s="182" t="inlineStr">
        <is>
          <t>ZI029E100730</t>
        </is>
      </c>
      <c r="E1217" s="182" t="inlineStr">
        <is>
          <t>京能国际能源发展（北京）有限公司</t>
        </is>
      </c>
      <c r="F1217" s="716" t="n"/>
      <c r="G1217" s="716" t="n"/>
      <c r="H1217" s="462" t="n"/>
    </row>
    <row r="1218">
      <c r="A1218" s="672" t="inlineStr">
        <is>
          <t>E101244</t>
        </is>
      </c>
      <c r="B1218" s="767">
        <f>ROW()</f>
        <v/>
      </c>
      <c r="C1218" s="182" t="inlineStr">
        <is>
          <t>盛唐壹号(天津) 企业管理合伙企业(有限合伙）</t>
        </is>
      </c>
      <c r="D1218" s="182" t="inlineStr">
        <is>
          <t>ZI029E100941</t>
        </is>
      </c>
      <c r="E1218" s="182" t="inlineStr">
        <is>
          <t>北京国电盛唐科技发展有限公司</t>
        </is>
      </c>
      <c r="F1218" s="716" t="n"/>
      <c r="G1218" s="716" t="n"/>
      <c r="H1218" s="462" t="n"/>
    </row>
    <row r="1219">
      <c r="A1219" s="672" t="inlineStr">
        <is>
          <t>E100894</t>
        </is>
      </c>
      <c r="B1219" s="767">
        <f>ROW()</f>
        <v/>
      </c>
      <c r="C1219" s="182" t="inlineStr">
        <is>
          <t>京能国际（高邮）新能源有限公司</t>
        </is>
      </c>
      <c r="D1219" s="182" t="inlineStr">
        <is>
          <t>ZI029E100883</t>
        </is>
      </c>
      <c r="E1219" s="182" t="inlineStr">
        <is>
          <t>Beijing Energy International Investment Limited</t>
        </is>
      </c>
      <c r="F1219" s="716" t="n"/>
      <c r="G1219" s="716" t="n"/>
      <c r="H1219" s="462" t="n"/>
    </row>
    <row r="1220">
      <c r="A1220" s="672" t="inlineStr">
        <is>
          <t>E101277</t>
        </is>
      </c>
      <c r="B1220" s="767">
        <f>ROW()</f>
        <v/>
      </c>
      <c r="C1220" s="182" t="inlineStr">
        <is>
          <t>百色市右江区京能新能源有限公司</t>
        </is>
      </c>
      <c r="D1220" s="182" t="inlineStr">
        <is>
          <t>ZI029E100883</t>
        </is>
      </c>
      <c r="E1220" s="182" t="inlineStr">
        <is>
          <t>Beijing Energy International Investment Limited</t>
        </is>
      </c>
      <c r="F1220" s="716" t="n"/>
      <c r="G1220" s="716" t="n"/>
      <c r="H1220" s="462" t="n"/>
    </row>
    <row r="1221">
      <c r="A1221" s="672" t="inlineStr">
        <is>
          <t>E101155</t>
        </is>
      </c>
      <c r="B1221" s="767">
        <f>ROW()</f>
        <v/>
      </c>
      <c r="C1221" s="182" t="inlineStr">
        <is>
          <t>京江（双柏）新能源有限公司</t>
        </is>
      </c>
      <c r="D1221" s="182" t="inlineStr">
        <is>
          <t>ZI0290020148</t>
        </is>
      </c>
      <c r="E1221" s="182" t="inlineStr">
        <is>
          <t>楚雄州金江能源开发有限公司</t>
        </is>
      </c>
      <c r="F1221" s="716" t="n"/>
      <c r="G1221" s="716" t="n"/>
      <c r="H1221" s="462" t="n"/>
    </row>
    <row r="1222">
      <c r="A1222" s="672" t="inlineStr">
        <is>
          <t>E100890</t>
        </is>
      </c>
      <c r="B1222" s="767">
        <f>ROW()</f>
        <v/>
      </c>
      <c r="C1222" s="182" t="inlineStr">
        <is>
          <t>德州聚盛新能源科技有限公司</t>
        </is>
      </c>
      <c r="D1222" s="182" t="inlineStr">
        <is>
          <t>ZI029E100889</t>
        </is>
      </c>
      <c r="E1222" s="182" t="inlineStr">
        <is>
          <t>京能（德城区）新能源科技有限公司</t>
        </is>
      </c>
      <c r="F1222" s="716" t="n"/>
      <c r="G1222" s="716" t="n"/>
      <c r="H1222" s="462" t="n"/>
    </row>
    <row r="1223">
      <c r="A1223" s="672" t="inlineStr">
        <is>
          <t>E100935</t>
        </is>
      </c>
      <c r="B1223" s="767">
        <f>ROW()</f>
        <v/>
      </c>
      <c r="C1223" s="182" t="inlineStr">
        <is>
          <t>诸城维奥新能源有限公司</t>
        </is>
      </c>
      <c r="D1223" s="182" t="inlineStr">
        <is>
          <t>ZI029E101074</t>
        </is>
      </c>
      <c r="E1223" s="182" t="inlineStr">
        <is>
          <t>南京安晟新能源有限公司</t>
        </is>
      </c>
      <c r="F1223" s="716" t="n"/>
      <c r="G1223" s="716" t="n"/>
      <c r="H1223" s="462" t="n"/>
    </row>
    <row r="1224">
      <c r="A1224" s="672" t="inlineStr">
        <is>
          <t>E101283</t>
        </is>
      </c>
      <c r="B1224" s="767">
        <f>ROW()</f>
        <v/>
      </c>
      <c r="C1224" s="182" t="inlineStr">
        <is>
          <t>北京京能电力新能源有限公司</t>
        </is>
      </c>
      <c r="D1224" s="182" t="inlineStr">
        <is>
          <t>ZI029E100145</t>
        </is>
      </c>
      <c r="E1224" s="182" t="inlineStr">
        <is>
          <t>北京京能电力股份有限公司</t>
        </is>
      </c>
      <c r="F1224" s="716" t="n"/>
      <c r="G1224" s="716" t="n"/>
      <c r="H1224" s="462" t="n"/>
    </row>
    <row r="1225">
      <c r="A1225" s="672" t="inlineStr">
        <is>
          <t>E101291</t>
        </is>
      </c>
      <c r="B1225" s="767">
        <f>ROW()</f>
        <v/>
      </c>
      <c r="C1225" s="182" t="inlineStr">
        <is>
          <t>京能（杭州萧山）综合能源有限公司</t>
        </is>
      </c>
      <c r="D1225" s="182" t="inlineStr">
        <is>
          <t>ZI029E100748</t>
        </is>
      </c>
      <c r="E1225" s="182" t="inlineStr">
        <is>
          <t>北京京能国际综合智慧能源有限公司</t>
        </is>
      </c>
      <c r="F1225" s="716" t="n"/>
      <c r="G1225" s="716" t="n"/>
      <c r="H1225" s="462" t="n"/>
    </row>
    <row r="1226">
      <c r="A1226" s="672" t="inlineStr">
        <is>
          <t>E101290</t>
        </is>
      </c>
      <c r="B1226" s="767">
        <f>ROW()</f>
        <v/>
      </c>
      <c r="C1226" s="182" t="inlineStr">
        <is>
          <t>曲靖沾益京西新能源有限公司</t>
        </is>
      </c>
      <c r="D1226" s="182" t="inlineStr">
        <is>
          <t>ZI029E100730</t>
        </is>
      </c>
      <c r="E1226" s="182" t="inlineStr">
        <is>
          <t>京能国际能源发展（北京）有限公司</t>
        </is>
      </c>
      <c r="F1226" s="716" t="n"/>
      <c r="G1226" s="716" t="n"/>
      <c r="H1226" s="462" t="n"/>
    </row>
    <row r="1227">
      <c r="A1227" s="672" t="inlineStr">
        <is>
          <t>E101288</t>
        </is>
      </c>
      <c r="B1227" s="767">
        <f>ROW()</f>
        <v/>
      </c>
      <c r="C1227" s="182" t="inlineStr">
        <is>
          <t>平泉市邦诚新能源科技有限公司</t>
        </is>
      </c>
      <c r="D1227" s="182" t="inlineStr">
        <is>
          <t>ZI029E100730</t>
        </is>
      </c>
      <c r="E1227" s="182" t="inlineStr">
        <is>
          <t>京能国际能源发展（北京）有限公司</t>
        </is>
      </c>
      <c r="F1227" s="716" t="n"/>
      <c r="G1227" s="716" t="n"/>
      <c r="H1227" s="462" t="n"/>
    </row>
    <row r="1228">
      <c r="A1228" s="672" t="inlineStr">
        <is>
          <t>E101075</t>
        </is>
      </c>
      <c r="B1228" s="767">
        <f>ROW()</f>
        <v/>
      </c>
      <c r="C1228" s="182" t="inlineStr">
        <is>
          <t>兰西晟晖发电有限公司</t>
        </is>
      </c>
      <c r="D1228" s="182" t="inlineStr">
        <is>
          <t>ZI029E100730</t>
        </is>
      </c>
      <c r="E1228" s="182" t="inlineStr">
        <is>
          <t>京能国际能源发展（北京）有限公司</t>
        </is>
      </c>
      <c r="F1228" s="716" t="n"/>
      <c r="G1228" s="716" t="n"/>
      <c r="H1228" s="462" t="n"/>
    </row>
    <row r="1229">
      <c r="A1229" s="672" t="inlineStr">
        <is>
          <t>E101275</t>
        </is>
      </c>
      <c r="B1229" s="767">
        <f>ROW()</f>
        <v/>
      </c>
      <c r="C1229" s="182" t="inlineStr">
        <is>
          <t>保山腾冲保能和顺能源科技有限公司</t>
        </is>
      </c>
      <c r="D1229" s="672" t="inlineStr">
        <is>
          <t>ZI029E101190</t>
        </is>
      </c>
      <c r="E1229" s="182" t="inlineStr">
        <is>
          <t>保山能源发展股份有限公司</t>
        </is>
      </c>
      <c r="F1229" s="716" t="n"/>
      <c r="G1229" s="716" t="n"/>
      <c r="H1229" s="462" t="n"/>
    </row>
    <row r="1230">
      <c r="A1230" s="672" t="inlineStr">
        <is>
          <t>E101067</t>
        </is>
      </c>
      <c r="B1230" s="767">
        <f>ROW()</f>
        <v/>
      </c>
      <c r="C1230" s="182" t="inlineStr">
        <is>
          <t>京能（元江）新能源有限公司</t>
        </is>
      </c>
      <c r="D1230" s="182" t="inlineStr">
        <is>
          <t>ZI029E100730</t>
        </is>
      </c>
      <c r="E1230" s="182" t="inlineStr">
        <is>
          <t>京能国际能源发展（北京）有限公司</t>
        </is>
      </c>
      <c r="F1230" s="716" t="n"/>
      <c r="G1230" s="716" t="n"/>
      <c r="H1230" s="462" t="n"/>
    </row>
    <row r="1231">
      <c r="A1231" s="672" t="inlineStr">
        <is>
          <t>E101293</t>
        </is>
      </c>
      <c r="B1231" s="767">
        <f>ROW()</f>
        <v/>
      </c>
      <c r="C1231" s="182" t="inlineStr">
        <is>
          <t>和顺润能新能源有限公司</t>
        </is>
      </c>
      <c r="D1231" s="182" t="inlineStr">
        <is>
          <t>ZI029E100734</t>
        </is>
      </c>
      <c r="E1231" s="182" t="inlineStr">
        <is>
          <t>联合光伏（常州）投资集团有限公司</t>
        </is>
      </c>
      <c r="F1231" s="716" t="n"/>
      <c r="G1231" s="716" t="n"/>
      <c r="H1231" s="462" t="n"/>
    </row>
    <row r="1232">
      <c r="A1232" s="672" t="inlineStr">
        <is>
          <t>E101237</t>
        </is>
      </c>
      <c r="B1232" s="767">
        <f>ROW()</f>
        <v/>
      </c>
      <c r="C1232" s="182" t="inlineStr">
        <is>
          <t>岳阳京能清洁能源有限公司</t>
        </is>
      </c>
      <c r="D1232" s="182" t="inlineStr">
        <is>
          <t>ZI029E100001</t>
        </is>
      </c>
      <c r="E1232" s="182" t="inlineStr">
        <is>
          <t>北京京能清洁能源电力股份有限公司</t>
        </is>
      </c>
      <c r="F1232" s="716" t="n"/>
      <c r="G1232" s="716" t="n"/>
      <c r="H1232" s="462" t="n"/>
    </row>
    <row r="1233">
      <c r="A1233" s="672" t="inlineStr">
        <is>
          <t>E101241</t>
        </is>
      </c>
      <c r="B1233" s="767">
        <f>ROW()</f>
        <v/>
      </c>
      <c r="C1233" s="182" t="inlineStr">
        <is>
          <t>北屯市枫煜风能开发有限公司</t>
        </is>
      </c>
      <c r="D1233" s="182" t="inlineStr">
        <is>
          <t>ZI029E100730</t>
        </is>
      </c>
      <c r="E1233" s="182" t="inlineStr">
        <is>
          <t>京能国际能源发展（北京）有限公司</t>
        </is>
      </c>
      <c r="F1233" s="716" t="n"/>
      <c r="G1233" s="716" t="n"/>
      <c r="H1233" s="462" t="n"/>
    </row>
    <row r="1234">
      <c r="A1234" s="672" t="inlineStr">
        <is>
          <t>E101295</t>
        </is>
      </c>
      <c r="B1234" s="767">
        <f>ROW()</f>
        <v/>
      </c>
      <c r="C1234" s="182" t="inlineStr">
        <is>
          <t>京能（锡林郭勒）可再生能源发展有限公司</t>
        </is>
      </c>
      <c r="D1234" s="182" t="inlineStr">
        <is>
          <t>ZI029E100145</t>
        </is>
      </c>
      <c r="E1234" s="182" t="inlineStr">
        <is>
          <t>北京京能电力股份有限公司</t>
        </is>
      </c>
      <c r="F1234" s="716" t="n"/>
      <c r="G1234" s="716" t="n"/>
      <c r="H1234" s="462" t="n"/>
    </row>
    <row r="1235">
      <c r="A1235" s="672" t="inlineStr">
        <is>
          <t>E101285</t>
        </is>
      </c>
      <c r="B1235" s="767">
        <f>ROW()</f>
        <v/>
      </c>
      <c r="C1235" s="182" t="inlineStr">
        <is>
          <t>广州番禺控日新能源开发有限公司</t>
        </is>
      </c>
      <c r="D1235" s="182" t="inlineStr">
        <is>
          <t>ZI029E100308</t>
        </is>
      </c>
      <c r="E1235" s="182" t="inlineStr">
        <is>
          <t>京能源深（苏州）能源科技有限公司</t>
        </is>
      </c>
      <c r="F1235" s="716" t="n"/>
      <c r="G1235" s="716" t="n"/>
      <c r="H1235" s="462" t="n"/>
    </row>
    <row r="1236">
      <c r="A1236" s="672" t="inlineStr">
        <is>
          <t>E101284</t>
        </is>
      </c>
      <c r="B1236" s="767">
        <f>ROW()</f>
        <v/>
      </c>
      <c r="C1236" s="182" t="inlineStr">
        <is>
          <t>碳禾（清远）新能源技术有限公司</t>
        </is>
      </c>
      <c r="D1236" s="182" t="inlineStr">
        <is>
          <t>ZI029E100308</t>
        </is>
      </c>
      <c r="E1236" s="182" t="inlineStr">
        <is>
          <t>京能源深（苏州）能源科技有限公司</t>
        </is>
      </c>
      <c r="F1236" s="716" t="n"/>
      <c r="G1236" s="716" t="n"/>
      <c r="H1236" s="462" t="n"/>
    </row>
    <row r="1237">
      <c r="A1237" s="672" t="inlineStr">
        <is>
          <t>E101286</t>
        </is>
      </c>
      <c r="B1237" s="767">
        <f>ROW()</f>
        <v/>
      </c>
      <c r="C1237" s="182" t="inlineStr">
        <is>
          <t>佛山紫竹顺美新能源有限公司</t>
        </is>
      </c>
      <c r="D1237" s="182" t="inlineStr">
        <is>
          <t>ZI029E100308</t>
        </is>
      </c>
      <c r="E1237" s="182" t="inlineStr">
        <is>
          <t>京能源深（苏州）能源科技有限公司</t>
        </is>
      </c>
      <c r="F1237" s="716" t="n"/>
      <c r="G1237" s="716" t="n"/>
      <c r="H1237" s="462" t="n"/>
    </row>
    <row r="1238">
      <c r="A1238" s="672" t="inlineStr">
        <is>
          <t>E101239</t>
        </is>
      </c>
      <c r="B1238" s="767">
        <f>ROW()</f>
        <v/>
      </c>
      <c r="C1238" s="182" t="inlineStr">
        <is>
          <t>京卜（天津）新能源有限公司</t>
        </is>
      </c>
      <c r="D1238" s="182" t="inlineStr">
        <is>
          <t>ZI029E100730</t>
        </is>
      </c>
      <c r="E1238" s="182" t="inlineStr">
        <is>
          <t>京能国际能源发展（北京）有限公司</t>
        </is>
      </c>
      <c r="F1238" s="716" t="n"/>
      <c r="G1238" s="716" t="n"/>
      <c r="H1238" s="462" t="n"/>
    </row>
    <row r="1239">
      <c r="A1239" s="672" t="inlineStr">
        <is>
          <t>E101281</t>
        </is>
      </c>
      <c r="B1239" s="767">
        <f>ROW()</f>
        <v/>
      </c>
      <c r="C1239" s="182" t="inlineStr">
        <is>
          <t>京桥(奉节县)新能源有限公司</t>
        </is>
      </c>
      <c r="D1239" s="672" t="inlineStr">
        <is>
          <t>ZI029E101279</t>
        </is>
      </c>
      <c r="E1239" s="182" t="inlineStr">
        <is>
          <t>京能（重庆）能源有限公司</t>
        </is>
      </c>
      <c r="F1239" s="716" t="n"/>
      <c r="G1239" s="716" t="n"/>
      <c r="H1239" s="462" t="n"/>
    </row>
    <row r="1240">
      <c r="A1240" s="672" t="inlineStr">
        <is>
          <t>E101279</t>
        </is>
      </c>
      <c r="B1240" s="767">
        <f>ROW()</f>
        <v/>
      </c>
      <c r="C1240" s="182" t="inlineStr">
        <is>
          <t>京能(重庆)能源有限公司</t>
        </is>
      </c>
      <c r="D1240" s="182" t="inlineStr">
        <is>
          <t>ZI029E100730</t>
        </is>
      </c>
      <c r="E1240" s="182" t="inlineStr">
        <is>
          <t>京能国际能源发展（北京）有限公司</t>
        </is>
      </c>
      <c r="F1240" s="716" t="n"/>
      <c r="G1240" s="716" t="n"/>
      <c r="H1240" s="462" t="n"/>
    </row>
    <row r="1241">
      <c r="A1241" s="672" t="inlineStr">
        <is>
          <t>E100808</t>
        </is>
      </c>
      <c r="B1241" s="767">
        <f>ROW()</f>
        <v/>
      </c>
      <c r="C1241" s="182" t="inlineStr">
        <is>
          <t>广西平果京能联合新能源有限公司</t>
        </is>
      </c>
      <c r="D1241" s="182" t="inlineStr">
        <is>
          <t>ZI029E100764</t>
        </is>
      </c>
      <c r="E1241" s="182" t="inlineStr">
        <is>
          <t>联合光伏（深圳）有限公司</t>
        </is>
      </c>
      <c r="F1241" s="716" t="n"/>
      <c r="G1241" s="716" t="n"/>
      <c r="H1241" s="462" t="n"/>
    </row>
    <row r="1242">
      <c r="A1242" s="672" t="inlineStr">
        <is>
          <t>E101193</t>
        </is>
      </c>
      <c r="B1242" s="767">
        <f>ROW()</f>
        <v/>
      </c>
      <c r="C1242" s="182" t="inlineStr">
        <is>
          <t>上海京桓光伏电力有限公司</t>
        </is>
      </c>
      <c r="D1242" s="182" t="inlineStr">
        <is>
          <t>ZI029E100730</t>
        </is>
      </c>
      <c r="E1242" s="182" t="inlineStr">
        <is>
          <t>京能国际能源发展（北京）有限公司</t>
        </is>
      </c>
      <c r="F1242" s="716" t="n"/>
      <c r="G1242" s="716" t="n"/>
      <c r="H1242" s="462" t="n"/>
    </row>
    <row r="1243">
      <c r="A1243" s="672" t="inlineStr">
        <is>
          <t>E101292</t>
        </is>
      </c>
      <c r="B1243" s="767">
        <f>ROW()</f>
        <v/>
      </c>
      <c r="C1243" s="182" t="inlineStr">
        <is>
          <t>北京延庆京能清洁能源有限公司</t>
        </is>
      </c>
      <c r="D1243" s="182" t="inlineStr">
        <is>
          <t>ZI029E100001</t>
        </is>
      </c>
      <c r="E1243" s="182" t="inlineStr">
        <is>
          <t>北京京能清洁能源电力股份有限公司</t>
        </is>
      </c>
      <c r="F1243" s="716" t="n"/>
      <c r="G1243" s="716" t="n"/>
      <c r="H1243" s="462" t="n"/>
    </row>
    <row r="1244">
      <c r="A1244" s="672" t="inlineStr">
        <is>
          <t>E101280</t>
        </is>
      </c>
      <c r="B1244" s="767">
        <f>ROW()</f>
        <v/>
      </c>
      <c r="C1244" s="182" t="inlineStr">
        <is>
          <t>京能查干淖尔（锡林郭勒）新能源有限公司</t>
        </is>
      </c>
      <c r="D1244" s="182" t="inlineStr">
        <is>
          <t>ZI029E100000</t>
        </is>
      </c>
      <c r="E1244" s="182" t="inlineStr">
        <is>
          <t>北京能源集团有限责任公司</t>
        </is>
      </c>
      <c r="F1244" s="716" t="n"/>
      <c r="G1244" s="716" t="n"/>
      <c r="H1244" s="462" t="n"/>
    </row>
    <row r="1245">
      <c r="A1245" s="672" t="inlineStr">
        <is>
          <t>E101296</t>
        </is>
      </c>
      <c r="B1245" s="767">
        <f>ROW()</f>
        <v/>
      </c>
      <c r="C1245" s="672" t="inlineStr">
        <is>
          <t>京月（仪征）新能源发电有限公司</t>
        </is>
      </c>
      <c r="D1245" s="182" t="inlineStr">
        <is>
          <t>ZI029E100883</t>
        </is>
      </c>
      <c r="E1245" s="182" t="inlineStr">
        <is>
          <t>Beijing Energy International Investment Limited</t>
        </is>
      </c>
      <c r="F1245" s="716" t="n"/>
      <c r="G1245" s="716" t="n"/>
      <c r="H1245" s="462" t="n"/>
    </row>
    <row r="1246">
      <c r="A1246" s="672" t="inlineStr">
        <is>
          <t>E101299</t>
        </is>
      </c>
      <c r="B1246" s="767">
        <f>ROW()</f>
        <v/>
      </c>
      <c r="C1246" s="672" t="inlineStr">
        <is>
          <t>呼和浩特京数蒙算能源科技有限公司</t>
        </is>
      </c>
      <c r="D1246" s="182" t="inlineStr">
        <is>
          <t>ZI029E100734</t>
        </is>
      </c>
      <c r="E1246" s="182" t="inlineStr">
        <is>
          <t>联合光伏（常州）投资集团有限公司</t>
        </is>
      </c>
      <c r="F1246" s="716" t="n"/>
      <c r="G1246" s="716" t="n"/>
      <c r="H1246" s="462" t="n"/>
    </row>
    <row r="1247">
      <c r="A1247" s="672" t="inlineStr">
        <is>
          <t>E101227</t>
        </is>
      </c>
      <c r="B1247" s="767">
        <f>ROW()</f>
        <v/>
      </c>
      <c r="C1247" s="182" t="inlineStr">
        <is>
          <t>京能智汇（锡林郭勒）新能源有限公司</t>
        </is>
      </c>
      <c r="D1247" s="182" t="inlineStr">
        <is>
          <t>ZI029E100145</t>
        </is>
      </c>
      <c r="E1247" s="182" t="inlineStr">
        <is>
          <t>北京京能电力股份有限公司</t>
        </is>
      </c>
      <c r="F1247" s="716" t="n"/>
      <c r="G1247" s="716" t="n"/>
      <c r="H1247" s="462" t="n"/>
    </row>
    <row r="1248">
      <c r="A1248" s="672" t="inlineStr">
        <is>
          <t>E101266</t>
        </is>
      </c>
      <c r="B1248" s="767">
        <f>ROW()</f>
        <v/>
      </c>
      <c r="C1248" s="182" t="inlineStr">
        <is>
          <t>京原（北京）新能源有限公司</t>
        </is>
      </c>
      <c r="D1248" s="182" t="inlineStr">
        <is>
          <t>ZI029E100730</t>
        </is>
      </c>
      <c r="E1248" s="182" t="inlineStr">
        <is>
          <t>京能国际能源发展（北京）有限公司</t>
        </is>
      </c>
      <c r="F1248" s="716" t="n"/>
      <c r="G1248" s="716" t="n"/>
      <c r="H1248" s="462" t="n"/>
    </row>
    <row r="1249">
      <c r="A1249" s="672" t="inlineStr">
        <is>
          <t>E101307</t>
        </is>
      </c>
      <c r="B1249" s="767">
        <f>ROW()</f>
        <v/>
      </c>
      <c r="C1249" s="182" t="inlineStr">
        <is>
          <t>北京市顺义区颐寿轩养老服务中心</t>
        </is>
      </c>
      <c r="D1249" s="182" t="inlineStr">
        <is>
          <t>ZI029E100346</t>
        </is>
      </c>
      <c r="E1249" s="182" t="inlineStr">
        <is>
          <t>北京颐寿轩敬老院</t>
        </is>
      </c>
      <c r="F1249" s="716" t="n"/>
      <c r="G1249" s="716" t="n"/>
      <c r="H1249" s="462" t="n"/>
    </row>
    <row r="1250">
      <c r="A1250" s="672" t="inlineStr">
        <is>
          <t>E101289</t>
        </is>
      </c>
      <c r="B1250" s="767">
        <f>ROW()</f>
        <v/>
      </c>
      <c r="C1250" s="182" t="inlineStr">
        <is>
          <t>锡林郭勒京能清洁能源有限公司</t>
        </is>
      </c>
      <c r="D1250" s="182" t="inlineStr">
        <is>
          <t>ZI029E100001</t>
        </is>
      </c>
      <c r="E1250" s="182" t="inlineStr">
        <is>
          <t>北京京能清洁能源电力股份有限公司</t>
        </is>
      </c>
      <c r="F1250" s="716" t="n"/>
      <c r="G1250" s="716" t="n"/>
      <c r="H1250" s="462" t="n"/>
    </row>
    <row r="1251">
      <c r="A1251" s="672" t="inlineStr">
        <is>
          <t>E101311</t>
        </is>
      </c>
      <c r="B1251" s="767">
        <f>ROW()</f>
        <v/>
      </c>
      <c r="C1251" s="182" t="inlineStr">
        <is>
          <t>镶黄旗京能智汇清洁能源有限公司</t>
        </is>
      </c>
      <c r="D1251" s="182" t="inlineStr">
        <is>
          <t>ZI029E101289</t>
        </is>
      </c>
      <c r="E1251" s="182" t="inlineStr">
        <is>
          <t>锡林郭勒京能清洁能源有限公司</t>
        </is>
      </c>
      <c r="F1251" s="716" t="n"/>
      <c r="G1251" s="716" t="n"/>
      <c r="H1251" s="462" t="n"/>
    </row>
    <row r="1252">
      <c r="A1252" s="672" t="inlineStr">
        <is>
          <t>E101310</t>
        </is>
      </c>
      <c r="B1252" s="767">
        <f>ROW()</f>
        <v/>
      </c>
      <c r="C1252" s="182" t="inlineStr">
        <is>
          <t>苏尼特右旗京能智汇清洁能源有限公司</t>
        </is>
      </c>
      <c r="D1252" s="182" t="inlineStr">
        <is>
          <t>ZI029E101289</t>
        </is>
      </c>
      <c r="E1252" s="182" t="inlineStr">
        <is>
          <t>锡林郭勒京能清洁能源有限公司</t>
        </is>
      </c>
      <c r="F1252" s="716" t="n"/>
      <c r="G1252" s="716" t="n"/>
      <c r="H1252" s="462" t="n"/>
    </row>
    <row r="1253">
      <c r="A1253" s="672" t="inlineStr">
        <is>
          <t>E101309</t>
        </is>
      </c>
      <c r="B1253" s="767">
        <f>ROW()</f>
        <v/>
      </c>
      <c r="C1253" s="182" t="inlineStr">
        <is>
          <t>锡林浩特市京能智汇清洁能源有限公司</t>
        </is>
      </c>
      <c r="D1253" s="182" t="inlineStr">
        <is>
          <t>ZI029E101289</t>
        </is>
      </c>
      <c r="E1253" s="182" t="inlineStr">
        <is>
          <t>锡林郭勒京能清洁能源有限公司</t>
        </is>
      </c>
      <c r="F1253" s="716" t="n"/>
      <c r="G1253" s="716" t="n"/>
      <c r="H1253" s="462" t="n"/>
    </row>
    <row r="1254">
      <c r="A1254" s="672" t="inlineStr">
        <is>
          <t>E101313</t>
        </is>
      </c>
      <c r="B1254" s="767">
        <f>ROW()</f>
        <v/>
      </c>
      <c r="C1254" s="182" t="inlineStr">
        <is>
          <t>阿巴嘎旗京能智汇清洁能源有限公司</t>
        </is>
      </c>
      <c r="D1254" s="182" t="inlineStr">
        <is>
          <t>ZI029E101289</t>
        </is>
      </c>
      <c r="E1254" s="182" t="inlineStr">
        <is>
          <t>锡林郭勒京能清洁能源有限公司</t>
        </is>
      </c>
      <c r="F1254" s="716" t="n"/>
      <c r="G1254" s="716" t="n"/>
      <c r="H1254" s="462" t="n"/>
    </row>
    <row r="1255">
      <c r="A1255" s="672" t="inlineStr">
        <is>
          <t>E101312</t>
        </is>
      </c>
      <c r="B1255" s="767">
        <f>ROW()</f>
        <v/>
      </c>
      <c r="C1255" s="182" t="inlineStr">
        <is>
          <t>正镶白旗京能智汇清洁能源有限公司</t>
        </is>
      </c>
      <c r="D1255" s="182" t="inlineStr">
        <is>
          <t>ZI029E101289</t>
        </is>
      </c>
      <c r="E1255" s="182" t="inlineStr">
        <is>
          <t>锡林郭勒京能清洁能源有限公司</t>
        </is>
      </c>
      <c r="F1255" s="716" t="n"/>
      <c r="G1255" s="716" t="n"/>
      <c r="H1255" s="462" t="n"/>
    </row>
    <row r="1256">
      <c r="A1256" s="672" t="inlineStr">
        <is>
          <t>E101305</t>
        </is>
      </c>
      <c r="B1256" s="767">
        <f>ROW()</f>
        <v/>
      </c>
      <c r="C1256" s="182" t="inlineStr">
        <is>
          <t>平湖鸿禧电力有限公司</t>
        </is>
      </c>
      <c r="D1256" s="182" t="inlineStr">
        <is>
          <t>ZI029E100308</t>
        </is>
      </c>
      <c r="E1256" s="182" t="inlineStr">
        <is>
          <t>京能源深（苏州）能源科技有限公司</t>
        </is>
      </c>
      <c r="F1256" s="716" t="n"/>
      <c r="G1256" s="716" t="n"/>
      <c r="H1256" s="462" t="n"/>
    </row>
    <row r="1257" ht="17" customHeight="1" s="1181">
      <c r="A1257" s="672" t="inlineStr">
        <is>
          <t>E101314</t>
        </is>
      </c>
      <c r="B1257" s="767">
        <f>ROW()</f>
        <v/>
      </c>
      <c r="C1257" s="182" t="inlineStr">
        <is>
          <t>保山腾冲保能景泰新能源开发有限公司</t>
        </is>
      </c>
      <c r="D1257" s="182" t="inlineStr">
        <is>
          <t>ZI029E101190</t>
        </is>
      </c>
      <c r="E1257" s="772" t="inlineStr">
        <is>
          <t>保山能源发展股份有限公司</t>
        </is>
      </c>
      <c r="F1257" s="716" t="n"/>
      <c r="G1257" s="716" t="n"/>
      <c r="H1257" s="462" t="n"/>
    </row>
    <row r="1258" ht="17" customHeight="1" s="1181">
      <c r="A1258" s="672" t="inlineStr">
        <is>
          <t>E101321</t>
        </is>
      </c>
      <c r="B1258" s="767">
        <f>ROW()</f>
        <v/>
      </c>
      <c r="C1258" s="182" t="inlineStr">
        <is>
          <t>京翠（威海环翠区）新能源有限公司</t>
        </is>
      </c>
      <c r="D1258" s="182" t="inlineStr">
        <is>
          <t>ZI029E100883</t>
        </is>
      </c>
      <c r="E1258" s="772" t="inlineStr">
        <is>
          <t>Beijing Energy International Investment Limited</t>
        </is>
      </c>
      <c r="F1258" s="716" t="n"/>
      <c r="G1258" s="716" t="n"/>
      <c r="H1258" s="462" t="n"/>
    </row>
    <row r="1259">
      <c r="A1259" s="672" t="inlineStr">
        <is>
          <t>E101308</t>
        </is>
      </c>
      <c r="B1259" s="767">
        <f>ROW()</f>
        <v/>
      </c>
      <c r="C1259" s="182" t="inlineStr">
        <is>
          <t>内蒙古京能察右后旗新能源有限公司</t>
        </is>
      </c>
      <c r="D1259" s="182" t="inlineStr">
        <is>
          <t>ZI029E100145</t>
        </is>
      </c>
      <c r="E1259" s="182" t="inlineStr">
        <is>
          <t>北京京能电力股份有限公司</t>
        </is>
      </c>
      <c r="F1259" s="716" t="n"/>
      <c r="G1259" s="716" t="n"/>
      <c r="H1259" s="462" t="n"/>
    </row>
    <row r="1260">
      <c r="A1260" s="672" t="inlineStr">
        <is>
          <t>E101319</t>
        </is>
      </c>
      <c r="B1260" s="767">
        <f>ROW()</f>
        <v/>
      </c>
      <c r="C1260" s="182" t="inlineStr">
        <is>
          <t>内蒙古京能算力科技有限公司</t>
        </is>
      </c>
      <c r="D1260" s="182" t="inlineStr">
        <is>
          <t>ZI029E101212</t>
        </is>
      </c>
      <c r="E1260" s="182" t="inlineStr">
        <is>
          <t>京能数字产业有限公司</t>
        </is>
      </c>
      <c r="F1260" s="716" t="n"/>
      <c r="G1260" s="716" t="n"/>
      <c r="H1260" s="462" t="n"/>
    </row>
    <row r="1261">
      <c r="A1261" s="672" t="inlineStr">
        <is>
          <t>E101245</t>
        </is>
      </c>
      <c r="B1261" s="767">
        <f>ROW()</f>
        <v/>
      </c>
      <c r="C1261" s="182" t="inlineStr">
        <is>
          <t>北京京能海北算力科技有限公司</t>
        </is>
      </c>
      <c r="D1261" s="182" t="inlineStr">
        <is>
          <t>ZI029E101212</t>
        </is>
      </c>
      <c r="E1261" s="182" t="inlineStr">
        <is>
          <t>京能数字产业有限公司</t>
        </is>
      </c>
      <c r="F1261" s="716" t="n"/>
      <c r="G1261" s="716" t="n"/>
      <c r="H1261" s="462" t="n"/>
    </row>
    <row r="1262">
      <c r="A1262" s="672" t="inlineStr">
        <is>
          <t>E101328</t>
        </is>
      </c>
      <c r="B1262" s="767">
        <f>ROW()</f>
        <v/>
      </c>
      <c r="C1262" s="182" t="inlineStr">
        <is>
          <t>江门市新会区古井能源服务有限公司</t>
        </is>
      </c>
      <c r="D1262" s="182" t="inlineStr">
        <is>
          <t>ZI029E100730</t>
        </is>
      </c>
      <c r="E1262" s="182" t="inlineStr">
        <is>
          <t>京能国际能源发展（北京）有限公司</t>
        </is>
      </c>
      <c r="F1262" s="716" t="n"/>
      <c r="G1262" s="716" t="n"/>
      <c r="H1262" s="462" t="n"/>
    </row>
    <row r="1263">
      <c r="A1263" s="672" t="inlineStr">
        <is>
          <t>E101089</t>
        </is>
      </c>
      <c r="B1263" s="767">
        <f>ROW()</f>
        <v/>
      </c>
      <c r="C1263" s="182" t="inlineStr">
        <is>
          <t>长沙京能双碳新能源有限公司</t>
        </is>
      </c>
      <c r="D1263" s="182" t="inlineStr">
        <is>
          <t>ZI029E100730</t>
        </is>
      </c>
      <c r="E1263" s="182" t="inlineStr">
        <is>
          <t>京能国际能源发展（北京）有限公司</t>
        </is>
      </c>
      <c r="F1263" s="716" t="n"/>
      <c r="G1263" s="716" t="n"/>
      <c r="H1263" s="462" t="n"/>
    </row>
    <row r="1264">
      <c r="A1264" s="672" t="inlineStr">
        <is>
          <t>E101333</t>
        </is>
      </c>
      <c r="B1264" s="767">
        <f>ROW()</f>
        <v/>
      </c>
      <c r="C1264" s="182" t="inlineStr">
        <is>
          <t>丹阳市协众新能源有限责任公司</t>
        </is>
      </c>
      <c r="D1264" s="182" t="inlineStr">
        <is>
          <t>ZI029E100001</t>
        </is>
      </c>
      <c r="E1264" s="182" t="inlineStr">
        <is>
          <t>北京京能清洁能源电力股份有限公司</t>
        </is>
      </c>
      <c r="F1264" s="716" t="n"/>
      <c r="G1264" s="716" t="n"/>
      <c r="H1264" s="462" t="n"/>
    </row>
    <row r="1265">
      <c r="A1265" s="716" t="inlineStr">
        <is>
          <t>E101324</t>
        </is>
      </c>
      <c r="B1265" s="767">
        <f>ROW()</f>
        <v/>
      </c>
      <c r="C1265" s="716" t="inlineStr">
        <is>
          <t>内蒙古京康新能源有限公司</t>
        </is>
      </c>
      <c r="D1265" s="182" t="inlineStr">
        <is>
          <t>ZI029E100145</t>
        </is>
      </c>
      <c r="E1265" s="716" t="inlineStr">
        <is>
          <t>北京京能电力股份有限公司</t>
        </is>
      </c>
      <c r="F1265" s="716" t="n"/>
      <c r="G1265" s="716" t="n"/>
      <c r="H1265" s="462" t="n"/>
    </row>
    <row r="1266">
      <c r="A1266" s="716" t="inlineStr">
        <is>
          <t>E101278</t>
        </is>
      </c>
      <c r="B1266" s="767">
        <f>ROW()</f>
        <v/>
      </c>
      <c r="C1266" s="716" t="inlineStr">
        <is>
          <t>云南保山腾冲市京能两河水电开发有限责任公司</t>
        </is>
      </c>
      <c r="D1266" s="182" t="inlineStr">
        <is>
          <t>ZI029E101191</t>
        </is>
      </c>
      <c r="E1266" s="716" t="inlineStr">
        <is>
          <t>云南保山槟榔江水电开发有限公司</t>
        </is>
      </c>
      <c r="F1266" s="716" t="n"/>
      <c r="G1266" s="716" t="n"/>
      <c r="H1266" s="462" t="n"/>
    </row>
    <row r="1267">
      <c r="A1267" s="672" t="inlineStr">
        <is>
          <t>E101339</t>
        </is>
      </c>
      <c r="B1267" s="767">
        <f>ROW()</f>
        <v/>
      </c>
      <c r="C1267" s="182" t="inlineStr">
        <is>
          <t>天津绿光新能源有限公司</t>
        </is>
      </c>
      <c r="D1267" s="182" t="inlineStr">
        <is>
          <t>ZI029E100001</t>
        </is>
      </c>
      <c r="E1267" s="182" t="inlineStr">
        <is>
          <t>北京京能清洁能源电力股份有限公司</t>
        </is>
      </c>
      <c r="F1267" s="716" t="n"/>
      <c r="G1267" s="716" t="n"/>
      <c r="H1267" s="462" t="n"/>
    </row>
    <row r="1268">
      <c r="A1268" s="672" t="inlineStr">
        <is>
          <t>E101341</t>
        </is>
      </c>
      <c r="B1268" s="767">
        <f>ROW()</f>
        <v/>
      </c>
      <c r="C1268" s="182" t="inlineStr">
        <is>
          <t>天津凯胜悦景新能源科技有限公司</t>
        </is>
      </c>
      <c r="D1268" s="182" t="inlineStr">
        <is>
          <t>ZI029E101339</t>
        </is>
      </c>
      <c r="E1268" s="182" t="inlineStr">
        <is>
          <t>天津绿光新能源有限公司</t>
        </is>
      </c>
      <c r="F1268" s="716" t="n"/>
      <c r="G1268" s="716" t="n"/>
      <c r="H1268" s="462" t="n"/>
    </row>
    <row r="1269">
      <c r="A1269" s="672" t="inlineStr">
        <is>
          <t>E100851</t>
        </is>
      </c>
      <c r="B1269" s="767">
        <f>ROW()</f>
        <v/>
      </c>
      <c r="C1269" s="182" t="inlineStr">
        <is>
          <t>河北盈坤新能源开发有限公司</t>
        </is>
      </c>
      <c r="D1269" s="182" t="inlineStr">
        <is>
          <t>ZI029E100908</t>
        </is>
      </c>
      <c r="E1269" s="182" t="inlineStr">
        <is>
          <t>北京通力日昇新能源科技有限公司</t>
        </is>
      </c>
      <c r="F1269" s="716" t="n"/>
      <c r="G1269" s="716" t="n"/>
      <c r="H1269" s="462" t="n"/>
    </row>
    <row r="1270">
      <c r="A1270" s="672" t="inlineStr">
        <is>
          <t>E100913</t>
        </is>
      </c>
      <c r="B1270" s="767">
        <f>ROW()</f>
        <v/>
      </c>
      <c r="C1270" s="182" t="inlineStr">
        <is>
          <t>隆尧县烁昇新能源科技有限公司</t>
        </is>
      </c>
      <c r="D1270" s="182" t="inlineStr">
        <is>
          <t>ZI029E100908</t>
        </is>
      </c>
      <c r="E1270" s="182" t="inlineStr">
        <is>
          <t>北京通力日昇新能源科技有限公司</t>
        </is>
      </c>
      <c r="F1270" s="716" t="n"/>
      <c r="G1270" s="716" t="n"/>
      <c r="H1270" s="462" t="n"/>
    </row>
    <row r="1271">
      <c r="A1271" s="672" t="inlineStr">
        <is>
          <t>E100850</t>
        </is>
      </c>
      <c r="B1271" s="767">
        <f>ROW()</f>
        <v/>
      </c>
      <c r="C1271" s="182" t="inlineStr">
        <is>
          <t>邢台信诺新能源开发有限公司</t>
        </is>
      </c>
      <c r="D1271" s="182" t="inlineStr">
        <is>
          <t>ZI029E100908</t>
        </is>
      </c>
      <c r="E1271" s="182" t="inlineStr">
        <is>
          <t>北京通力日昇新能源科技有限公司</t>
        </is>
      </c>
      <c r="F1271" s="716" t="n"/>
      <c r="G1271" s="716" t="n"/>
      <c r="H1271" s="462" t="n"/>
    </row>
    <row r="1272">
      <c r="A1272" s="672" t="inlineStr">
        <is>
          <t>E100911</t>
        </is>
      </c>
      <c r="B1272" s="767">
        <f>ROW()</f>
        <v/>
      </c>
      <c r="C1272" s="182" t="inlineStr">
        <is>
          <t>河北度凯新能源科技有限公司</t>
        </is>
      </c>
      <c r="D1272" s="182" t="inlineStr">
        <is>
          <t>ZI029E100908</t>
        </is>
      </c>
      <c r="E1272" s="182" t="inlineStr">
        <is>
          <t>北京通力日昇新能源科技有限公司</t>
        </is>
      </c>
      <c r="F1272" s="716" t="n"/>
      <c r="G1272" s="716" t="n"/>
      <c r="H1272" s="462" t="n"/>
    </row>
    <row r="1273">
      <c r="A1273" s="672" t="inlineStr">
        <is>
          <t>E100852</t>
        </is>
      </c>
      <c r="B1273" s="767">
        <f>ROW()</f>
        <v/>
      </c>
      <c r="C1273" s="182" t="inlineStr">
        <is>
          <t>成安县华辉新能源科技有限公司</t>
        </is>
      </c>
      <c r="D1273" s="182" t="inlineStr">
        <is>
          <t>ZI029E100908</t>
        </is>
      </c>
      <c r="E1273" s="182" t="inlineStr">
        <is>
          <t>北京通力日昇新能源科技有限公司</t>
        </is>
      </c>
      <c r="F1273" s="716" t="n"/>
      <c r="G1273" s="716" t="n"/>
      <c r="H1273" s="462" t="n"/>
    </row>
    <row r="1274">
      <c r="A1274" s="672" t="inlineStr">
        <is>
          <t>E100915</t>
        </is>
      </c>
      <c r="B1274" s="767">
        <f>ROW()</f>
        <v/>
      </c>
      <c r="C1274" s="182" t="inlineStr">
        <is>
          <t>涉县耀光新能源科技有限公司</t>
        </is>
      </c>
      <c r="D1274" s="182" t="inlineStr">
        <is>
          <t>ZI029E100908</t>
        </is>
      </c>
      <c r="E1274" s="182" t="inlineStr">
        <is>
          <t>北京通力日昇新能源科技有限公司</t>
        </is>
      </c>
      <c r="F1274" s="716" t="n"/>
      <c r="G1274" s="716" t="n"/>
      <c r="H1274" s="462" t="n"/>
    </row>
    <row r="1275">
      <c r="A1275" s="672" t="inlineStr">
        <is>
          <t>E100914</t>
        </is>
      </c>
      <c r="B1275" s="767">
        <f>ROW()</f>
        <v/>
      </c>
      <c r="C1275" s="182" t="inlineStr">
        <is>
          <t>邢台市邦力新能源科技有限公司</t>
        </is>
      </c>
      <c r="D1275" s="182" t="inlineStr">
        <is>
          <t>ZI029E100908</t>
        </is>
      </c>
      <c r="E1275" s="182" t="inlineStr">
        <is>
          <t>北京通力日昇新能源科技有限公司</t>
        </is>
      </c>
      <c r="F1275" s="716" t="n"/>
      <c r="G1275" s="716" t="n"/>
      <c r="H1275" s="462" t="n"/>
    </row>
    <row r="1276">
      <c r="A1276" s="672" t="inlineStr">
        <is>
          <t>E100849</t>
        </is>
      </c>
      <c r="B1276" s="767">
        <f>ROW()</f>
        <v/>
      </c>
      <c r="C1276" s="182" t="inlineStr">
        <is>
          <t>正定启阳光伏发电有限公司</t>
        </is>
      </c>
      <c r="D1276" s="182" t="inlineStr">
        <is>
          <t>ZI029E100908</t>
        </is>
      </c>
      <c r="E1276" s="182" t="inlineStr">
        <is>
          <t>北京通力日昇新能源科技有限公司</t>
        </is>
      </c>
      <c r="F1276" s="716" t="n"/>
      <c r="G1276" s="716" t="n"/>
      <c r="H1276" s="462" t="n"/>
    </row>
    <row r="1277">
      <c r="A1277" s="672" t="inlineStr">
        <is>
          <t>E100918</t>
        </is>
      </c>
      <c r="B1277" s="767">
        <f>ROW()</f>
        <v/>
      </c>
      <c r="C1277" s="182" t="inlineStr">
        <is>
          <t>绍兴上虞昱煌新能源科技有限公司</t>
        </is>
      </c>
      <c r="D1277" s="182" t="inlineStr">
        <is>
          <t>ZI029E100908</t>
        </is>
      </c>
      <c r="E1277" s="182" t="inlineStr">
        <is>
          <t>北京通力日昇新能源科技有限公司</t>
        </is>
      </c>
      <c r="F1277" s="716" t="n"/>
      <c r="G1277" s="716" t="n"/>
      <c r="H1277" s="462" t="n"/>
    </row>
    <row r="1278">
      <c r="A1278" s="672" t="inlineStr">
        <is>
          <t>E101238</t>
        </is>
      </c>
      <c r="B1278" s="767">
        <f>ROW()</f>
        <v/>
      </c>
      <c r="C1278" s="182" t="inlineStr">
        <is>
          <t>京滨（滨州邹平）新能源有限公司</t>
        </is>
      </c>
      <c r="D1278" s="182" t="inlineStr">
        <is>
          <t>ZI029E100730</t>
        </is>
      </c>
      <c r="E1278" s="182" t="inlineStr">
        <is>
          <t>京能国际能源发展（北京）有限公司</t>
        </is>
      </c>
      <c r="F1278" s="716" t="n"/>
      <c r="G1278" s="716" t="n"/>
      <c r="H1278" s="462" t="n"/>
    </row>
    <row r="1279">
      <c r="A1279" s="672" t="inlineStr">
        <is>
          <t>E101271</t>
        </is>
      </c>
      <c r="B1279" s="767">
        <f>ROW()</f>
        <v/>
      </c>
      <c r="C1279" s="182" t="inlineStr">
        <is>
          <t>京马（北京）新能源有限公司</t>
        </is>
      </c>
      <c r="D1279" s="182" t="inlineStr">
        <is>
          <t>ZI029E100748</t>
        </is>
      </c>
      <c r="E1279" s="182" t="inlineStr">
        <is>
          <t>北京京能国际综合智慧能源有限公司</t>
        </is>
      </c>
      <c r="F1279" s="716" t="n"/>
      <c r="G1279" s="716" t="n"/>
      <c r="H1279" s="462" t="n"/>
    </row>
  </sheetData>
  <sheetProtection selectLockedCells="0" selectUnlockedCells="0" algorithmName="SHA-512" sheet="1" objects="0" insertRows="1" insertHyperlinks="1" autoFilter="1" scenarios="1" formatColumns="1" deleteColumns="1" insertColumns="1" pivotTables="1" deleteRows="1" formatCells="1" saltValue="K5qFJj01EvWs91rFKzXDSQ==" formatRows="1" sort="1" spinCount="100000" hashValue="WvWvKeKZUrAf7QtCOsCE3wv2xX9gDs2GdzAmxTgfGrqoKjuDusFdGHufZYEPw/3hNCYHWWja5qIMf1WOygqu8A=="/>
  <autoFilter ref="A2:H1279"/>
  <mergeCells count="1">
    <mergeCell ref="G1:H1"/>
  </mergeCells>
  <pageMargins left="0.7" right="0.7" top="0.75" bottom="0.75" header="0.3" footer="0.3"/>
  <pageSetup orientation="portrait" paperSize="9"/>
</worksheet>
</file>

<file path=xl/worksheets/sheet19.xml><?xml version="1.0" encoding="utf-8"?>
<worksheet xmlns="http://schemas.openxmlformats.org/spreadsheetml/2006/main">
  <sheetPr codeName="Sheet8">
    <outlinePr summaryBelow="1" summaryRight="1"/>
    <pageSetUpPr/>
  </sheetPr>
  <dimension ref="A1:AR102"/>
  <sheetViews>
    <sheetView topLeftCell="W34" zoomScale="90" zoomScaleNormal="90" workbookViewId="0">
      <pane xSplit="3" ySplit="14" topLeftCell="Z48" activePane="bottomRight" state="frozen"/>
      <selection activeCell="A1" sqref="A1"/>
      <selection pane="topRight" activeCell="A1" sqref="A1"/>
      <selection pane="bottomLeft" activeCell="A1" sqref="A1"/>
      <selection pane="bottomRight" activeCell="AA90" sqref="AA90"/>
    </sheetView>
  </sheetViews>
  <sheetFormatPr baseColWidth="8" defaultColWidth="8.375" defaultRowHeight="16.8"/>
  <cols>
    <col hidden="1" width="8" customWidth="1" style="38" min="1" max="1"/>
    <col hidden="1" width="15.375" customWidth="1" style="38" min="2" max="2"/>
    <col hidden="1" width="11.375" customWidth="1" style="38" min="3" max="3"/>
    <col hidden="1" width="13.75" customWidth="1" style="38" min="4" max="4"/>
    <col hidden="1" width="10.25" customWidth="1" style="38" min="5" max="5"/>
    <col hidden="1" width="7.75" customWidth="1" style="38" min="6" max="6"/>
    <col hidden="1" width="11.375" customWidth="1" style="38" min="7" max="7"/>
    <col hidden="1" width="8.375" customWidth="1" style="38" min="8" max="8"/>
    <col hidden="1" width="7.75" customWidth="1" style="38" min="9" max="9"/>
    <col hidden="1" width="11.125" customWidth="1" style="38" min="10" max="10"/>
    <col hidden="1" width="7.75" customWidth="1" style="38" min="11" max="11"/>
    <col hidden="1" width="27.25" customWidth="1" style="38" min="12" max="12"/>
    <col hidden="1" width="13.375" customWidth="1" style="38" min="13" max="14"/>
    <col hidden="1" width="22.25" customWidth="1" style="38" min="15" max="15"/>
    <col hidden="1" width="10.375" customWidth="1" style="38" min="16" max="16"/>
    <col hidden="1" width="15.375" customWidth="1" style="38" min="17" max="17"/>
    <col hidden="1" width="10.375" customWidth="1" style="38" min="18" max="18"/>
    <col hidden="1" width="31.125" customWidth="1" style="580" min="19" max="19"/>
    <col hidden="1" width="2.375" customWidth="1" style="38" min="20" max="20"/>
    <col hidden="1" width="12.75" customWidth="1" style="38" min="21" max="21"/>
    <col hidden="1" width="21.25" customWidth="1" style="38" min="22" max="22"/>
    <col width="1.375" customWidth="1" style="38" min="23" max="23"/>
    <col width="39.75" customWidth="1" style="38" min="24" max="24"/>
    <col width="4.375" customWidth="1" style="38" min="25" max="25"/>
    <col width="18.375" customWidth="1" style="38" min="26" max="28"/>
    <col width="22.125" customWidth="1" style="38" min="29" max="29"/>
    <col width="18.375" customWidth="1" style="38" min="30" max="34"/>
    <col width="21.375" customWidth="1" style="38" min="35" max="35"/>
    <col hidden="1" width="18.375" customWidth="1" style="38" min="36" max="38"/>
    <col hidden="1" width="17.375" customWidth="1" style="38" min="39" max="39"/>
    <col hidden="1" width="16.75" customWidth="1" style="38" min="40" max="41"/>
    <col width="16.75" customWidth="1" style="38" min="42" max="42"/>
    <col width="17.375" customWidth="1" style="38" min="43" max="44"/>
    <col width="16.75" customWidth="1" style="38" min="45" max="47"/>
    <col width="17.375" customWidth="1" style="38" min="48" max="49"/>
    <col width="16.75" customWidth="1" style="38" min="50" max="52"/>
    <col width="17.375" customWidth="1" style="38" min="53" max="54"/>
    <col width="16.75" customWidth="1" style="38" min="55" max="57"/>
    <col width="17.375" customWidth="1" style="38" min="58" max="59"/>
    <col width="16.75" customWidth="1" style="38" min="60" max="60"/>
    <col width="8.375" customWidth="1" style="38" min="61" max="16384"/>
  </cols>
  <sheetData>
    <row r="1" hidden="1" customFormat="1" s="171">
      <c r="A1" s="172" t="inlineStr">
        <is>
          <t>维度清单</t>
        </is>
      </c>
      <c r="B1" s="726" t="n"/>
      <c r="C1" s="566" t="n"/>
      <c r="D1" s="566" t="n"/>
      <c r="E1" s="575" t="n"/>
      <c r="F1" s="171" t="n"/>
      <c r="G1" s="171" t="n"/>
      <c r="H1" s="171" t="n"/>
      <c r="I1" s="171" t="n"/>
      <c r="J1" s="171" t="n"/>
      <c r="K1" s="171" t="n"/>
      <c r="L1" s="728" t="inlineStr">
        <is>
          <t>存数</t>
        </is>
      </c>
      <c r="M1" s="728" t="inlineStr">
        <is>
          <t>本年累计-计提</t>
        </is>
      </c>
      <c r="N1" s="728" t="inlineStr">
        <is>
          <t>本年累计-实发</t>
        </is>
      </c>
      <c r="O1" s="728" t="inlineStr">
        <is>
          <t>存数</t>
        </is>
      </c>
      <c r="P1" s="728" t="inlineStr">
        <is>
          <t>本年累计-计提</t>
        </is>
      </c>
      <c r="Q1" s="728" t="inlineStr">
        <is>
          <t>本年累计-实发</t>
        </is>
      </c>
      <c r="R1" s="171" t="n"/>
      <c r="S1" s="568" t="n"/>
      <c r="T1" s="171" t="n"/>
      <c r="U1" s="171" t="n"/>
      <c r="V1" s="171" t="n"/>
      <c r="W1" s="171" t="n"/>
      <c r="X1" s="171" t="n"/>
      <c r="Y1" s="171" t="n"/>
      <c r="Z1" s="171" t="n"/>
      <c r="AA1" s="171" t="n"/>
      <c r="AB1" s="171" t="n"/>
      <c r="AC1" s="171" t="n"/>
      <c r="AD1" s="171" t="n"/>
      <c r="AE1" s="171" t="n"/>
      <c r="AF1" s="171" t="n"/>
      <c r="AG1" s="171" t="n"/>
      <c r="AH1" s="171" t="n"/>
      <c r="AI1" s="171" t="n"/>
      <c r="AJ1" s="171" t="n"/>
      <c r="AK1" s="171" t="n"/>
      <c r="AL1" s="171" t="n"/>
      <c r="AM1" s="171" t="n"/>
      <c r="AN1" s="171" t="n"/>
      <c r="AO1" s="171" t="n"/>
      <c r="AP1" s="601" t="n"/>
      <c r="AQ1" s="171" t="n"/>
      <c r="AR1" s="171" t="n"/>
    </row>
    <row r="2" hidden="1" customFormat="1" s="171">
      <c r="A2" s="174" t="inlineStr">
        <is>
          <t>维度类型</t>
        </is>
      </c>
      <c r="B2" s="174" t="inlineStr">
        <is>
          <t>维度</t>
        </is>
      </c>
      <c r="C2" s="174" t="inlineStr">
        <is>
          <t>维度CV值</t>
        </is>
      </c>
      <c r="D2" s="174" t="inlineStr">
        <is>
          <t>描述</t>
        </is>
      </c>
      <c r="E2" s="174" t="inlineStr">
        <is>
          <t>备注</t>
        </is>
      </c>
      <c r="F2" s="171" t="n"/>
      <c r="G2" s="171" t="n"/>
      <c r="H2" s="577" t="inlineStr">
        <is>
          <t>TIME</t>
        </is>
      </c>
      <c r="I2" s="1182" t="n"/>
      <c r="J2" s="1183" t="n"/>
      <c r="K2" s="171" t="n"/>
      <c r="L2" s="454" t="inlineStr">
        <is>
          <t>相关人员情况</t>
        </is>
      </c>
      <c r="M2" s="570" t="n"/>
      <c r="N2" s="570" t="n"/>
      <c r="O2" s="454" t="inlineStr">
        <is>
          <t>相关人员情况</t>
        </is>
      </c>
      <c r="P2" s="570" t="n"/>
      <c r="Q2" s="570" t="n"/>
      <c r="R2" s="171" t="n"/>
      <c r="S2" s="568" t="n"/>
      <c r="T2" s="171" t="n"/>
      <c r="U2" s="171" t="n"/>
      <c r="V2" s="171" t="n"/>
      <c r="W2" s="171" t="n"/>
      <c r="X2" s="171" t="n"/>
      <c r="Y2" s="171" t="n"/>
      <c r="Z2" s="171" t="n"/>
      <c r="AA2" s="171" t="n"/>
      <c r="AB2" s="171" t="n"/>
      <c r="AC2" s="171" t="n"/>
      <c r="AD2" s="171" t="n"/>
      <c r="AE2" s="171" t="n"/>
      <c r="AF2" s="171" t="n"/>
      <c r="AG2" s="171" t="n"/>
      <c r="AH2" s="171" t="n"/>
      <c r="AI2" s="171" t="n"/>
      <c r="AJ2" s="171" t="n"/>
      <c r="AK2" s="171" t="n"/>
      <c r="AL2" s="171" t="n"/>
      <c r="AM2" s="171" t="n"/>
      <c r="AN2" s="171" t="n"/>
      <c r="AO2" s="171" t="n"/>
      <c r="AP2" s="601" t="n"/>
      <c r="AQ2" s="171" t="n"/>
      <c r="AR2" s="171" t="n"/>
    </row>
    <row r="3" hidden="1" customFormat="1" s="171">
      <c r="A3" s="567" t="inlineStr">
        <is>
          <t>A</t>
        </is>
      </c>
      <c r="B3" s="491">
        <f>IF(_epmOfflineCondition_,"C_ACCOUNT",EPMDimensionType(,A3))</f>
        <v/>
      </c>
      <c r="C3" s="491">
        <f>IF(_epmOfflineCondition_,"A_ALL",IF(B3="","",EPMContextMember(,B3)))</f>
        <v/>
      </c>
      <c r="D3" s="491">
        <f>IF(_epmOfflineCondition_,"所有科目",EPMMemberDesc(C3))</f>
        <v/>
      </c>
      <c r="E3" s="491" t="n"/>
      <c r="F3" s="171" t="n"/>
      <c r="G3" s="171" t="n"/>
      <c r="H3" s="578" t="inlineStr">
        <is>
          <t>年变量</t>
        </is>
      </c>
      <c r="I3" s="578">
        <f>IF(_epmOfflineCondition_,"2025",EPMMemberProperty(,EPMContextMember(,"C_TIME"),"YEAR"))</f>
        <v/>
      </c>
      <c r="J3" s="578" t="n"/>
      <c r="K3" s="171" t="n"/>
      <c r="L3" s="457" t="inlineStr">
        <is>
          <t>全年平均从业人员人数（人）</t>
        </is>
      </c>
      <c r="M3" s="1311">
        <f>IF(_epmOfflineCondition_,21,EPMSaveDataOnly(AA79,,$D$21,$H$16,$E$25,$D$26,$D$27,$D$28,$AA$41,$AA$42,$AA$44,$AA$45,$AA$46,$Z$29,V79))</f>
        <v/>
      </c>
      <c r="N3" s="1311">
        <f>IF(_epmOfflineCondition_,21,EPMSaveDataOnly(AG79,,$D$21,$H$16,$E$25,$D$26,$D$27,$D$28,$AG$41,$AG$42,$AG$44,$AG$45,$AG$46,$Z$29,V79))</f>
        <v/>
      </c>
      <c r="O3" s="457" t="inlineStr">
        <is>
          <t>不在岗职工人工成本总额</t>
        </is>
      </c>
      <c r="P3" s="1311">
        <f>IF(_epmOfflineCondition_,0,EPMSaveDataOnly(AA101,,$D$21,$H$16,$E$25,$D$26,$D$27,$D$28,$AA$41,$AA$42,$Z$29,$AA$44,$AA$45,$AA$46,V101))</f>
        <v/>
      </c>
      <c r="Q3" s="1311">
        <f>IF(_epmOfflineCondition_,0,EPMSaveDataOnly(AG101,,$D$21,$H$16,$E$25,$D$26,$D$27,$D$28,$AG$41,$AG$42,$Z$29,$AG$44,$AG$45,$AG$46,V101))</f>
        <v/>
      </c>
      <c r="R3" s="171" t="n"/>
      <c r="S3" s="568" t="n"/>
      <c r="T3" s="171" t="n"/>
      <c r="U3" s="171" t="n"/>
      <c r="V3" s="171" t="n"/>
      <c r="W3" s="171" t="n"/>
      <c r="X3" s="171" t="n"/>
      <c r="Y3" s="171" t="n"/>
      <c r="Z3" s="171" t="n"/>
      <c r="AA3" s="171" t="n"/>
      <c r="AB3" s="171" t="n"/>
      <c r="AC3" s="171" t="n"/>
      <c r="AD3" s="171" t="n"/>
      <c r="AE3" s="171" t="n"/>
      <c r="AF3" s="171" t="n"/>
      <c r="AG3" s="171" t="n"/>
      <c r="AH3" s="171" t="n"/>
      <c r="AI3" s="171" t="n"/>
      <c r="AJ3" s="171" t="n"/>
      <c r="AK3" s="171" t="n"/>
      <c r="AL3" s="171" t="n"/>
      <c r="AM3" s="171" t="n"/>
      <c r="AN3" s="171" t="n"/>
      <c r="AO3" s="171" t="n"/>
      <c r="AP3" s="601" t="n"/>
      <c r="AQ3" s="171" t="n"/>
      <c r="AR3" s="171" t="n"/>
    </row>
    <row r="4" hidden="1" customFormat="1" s="171">
      <c r="A4" s="567" t="inlineStr">
        <is>
          <t>C</t>
        </is>
      </c>
      <c r="B4" s="491">
        <f>IF(_epmOfflineCondition_,"C_CATEGORY",EPMDimensionType(,A4))</f>
        <v/>
      </c>
      <c r="C4" s="491">
        <f>IF(_epmOfflineCondition_,"C1001",IF(B4="","",EPMContextMember(,B4)))</f>
        <v/>
      </c>
      <c r="D4" s="491">
        <f>IF(_epmOfflineCondition_,"实际数/决算数",EPMMemberDesc(C4))</f>
        <v/>
      </c>
      <c r="E4" s="491" t="n"/>
      <c r="F4" s="171" t="n"/>
      <c r="G4" s="171" t="n"/>
      <c r="H4" s="578" t="inlineStr">
        <is>
          <t>预算年</t>
        </is>
      </c>
      <c r="I4" s="578">
        <f>"V_"&amp;$I$3</f>
        <v/>
      </c>
      <c r="J4" s="578">
        <f>$I$3&amp;".TOTAL"</f>
        <v/>
      </c>
      <c r="K4" s="171" t="n"/>
      <c r="L4" s="457" t="inlineStr">
        <is>
          <t>全年平均职工人数（人）</t>
        </is>
      </c>
      <c r="M4" s="1311">
        <f>IF(_epmOfflineCondition_,21,EPMSaveDataOnly(AA80,,$D$21,$H$16,$E$25,$D$26,$D$27,$D$28,$AA$41,$AA$42,$AA$44,$AA$45,$AA$46,$Z$29,V80))</f>
        <v/>
      </c>
      <c r="N4" s="1311">
        <f>IF(_epmOfflineCondition_,21,EPMSaveDataOnly(AG80,,$D$21,$H$16,$E$25,$D$26,$D$27,$D$28,$AG$41,$AG$42,$AG$44,$AG$45,$AG$46,$Z$29,V80))</f>
        <v/>
      </c>
      <c r="O4" s="457" t="inlineStr">
        <is>
          <t>其中：工资总额</t>
        </is>
      </c>
      <c r="P4" s="1311">
        <f>IF(_epmOfflineCondition_,0,EPMSaveDataOnly(AA102,,$D$21,$H$16,$E$25,$D$26,$D$27,$D$28,$AA$41,$AA$42,$Z$29,$AA$44,$AA$45,$AA$46,V102))</f>
        <v/>
      </c>
      <c r="Q4" s="1311">
        <f>IF(_epmOfflineCondition_,0,EPMSaveDataOnly(AG102,,$D$21,$H$16,$E$25,$D$26,$D$27,$D$28,$AG$41,$AG$42,$Z$29,$AG$44,$AG$45,$AG$46,V102))</f>
        <v/>
      </c>
      <c r="R4" s="171" t="n"/>
      <c r="S4" s="568" t="n"/>
      <c r="T4" s="171" t="n"/>
      <c r="U4" s="171" t="n"/>
      <c r="V4" s="171" t="n"/>
      <c r="W4" s="171" t="n"/>
      <c r="X4" s="171" t="n"/>
      <c r="Y4" s="171" t="n"/>
      <c r="Z4" s="171" t="n"/>
      <c r="AA4" s="171" t="n"/>
      <c r="AB4" s="171" t="n"/>
      <c r="AC4" s="171" t="n"/>
      <c r="AD4" s="171" t="n"/>
      <c r="AE4" s="171" t="n"/>
      <c r="AF4" s="171" t="n"/>
      <c r="AG4" s="171" t="n"/>
      <c r="AH4" s="171" t="n"/>
      <c r="AI4" s="171" t="n"/>
      <c r="AJ4" s="171" t="n"/>
      <c r="AK4" s="171" t="n"/>
      <c r="AL4" s="171" t="n"/>
      <c r="AM4" s="171" t="n"/>
      <c r="AN4" s="171" t="n"/>
      <c r="AO4" s="171" t="n"/>
      <c r="AP4" s="601" t="n"/>
      <c r="AQ4" s="171" t="n"/>
      <c r="AR4" s="171" t="n"/>
    </row>
    <row r="5" hidden="1" customFormat="1" s="171">
      <c r="A5" s="567" t="inlineStr">
        <is>
          <t>T</t>
        </is>
      </c>
      <c r="B5" s="491">
        <f>IF(_epmOfflineCondition_,"C_TIME",EPMDimensionType(,A5))</f>
        <v/>
      </c>
      <c r="C5" s="491">
        <f>IF(_epmOfflineCondition_,"2025.03",IF(B5="","",EPMContextMember(,B5)))</f>
        <v/>
      </c>
      <c r="D5" s="491">
        <f>IF(_epmOfflineCondition_,"2025.03",EPMMemberDesc(C5))</f>
        <v/>
      </c>
      <c r="E5" s="491" t="n"/>
      <c r="F5" s="171" t="n"/>
      <c r="G5" s="171" t="n"/>
      <c r="H5" s="578" t="inlineStr">
        <is>
          <t>前一年</t>
        </is>
      </c>
      <c r="I5" s="578">
        <f>"V_"&amp;$I$3-1</f>
        <v/>
      </c>
      <c r="J5" s="578">
        <f>$I$3-1&amp;".TOTAL"</f>
        <v/>
      </c>
      <c r="K5" s="171" t="n"/>
      <c r="L5" s="457" t="inlineStr">
        <is>
          <t>全年平均在岗职工人数（人）</t>
        </is>
      </c>
      <c r="M5" s="1311">
        <f>IF(_epmOfflineCondition_,21,EPMSaveDataOnly(AA81,,$D$21,$H$16,$E$25,$D$26,$D$27,$D$28,$AA$41,$AA$42,$AA$44,$AA$45,$AA$46,$Z$29,V81))</f>
        <v/>
      </c>
      <c r="N5" s="1311">
        <f>IF(_epmOfflineCondition_,21,EPMSaveDataOnly(AG81,,$D$21,$H$16,$E$25,$D$26,$D$27,$D$28,$AG$41,$AG$42,$AG$44,$AG$45,$AG$46,$Z$29,V81))</f>
        <v/>
      </c>
      <c r="O5" s="457" t="n"/>
      <c r="P5" s="1311" t="n"/>
      <c r="Q5" s="1311" t="n"/>
      <c r="R5" s="171" t="n"/>
      <c r="S5" s="568" t="n"/>
      <c r="T5" s="171" t="n"/>
      <c r="U5" s="171" t="n"/>
      <c r="V5" s="171" t="n"/>
      <c r="W5" s="171" t="n"/>
      <c r="X5" s="171" t="n"/>
      <c r="Y5" s="171" t="n"/>
      <c r="Z5" s="171" t="n"/>
      <c r="AA5" s="171" t="n"/>
      <c r="AB5" s="171" t="n"/>
      <c r="AC5" s="171" t="n"/>
      <c r="AD5" s="171" t="n"/>
      <c r="AE5" s="171" t="n"/>
      <c r="AF5" s="171" t="n"/>
      <c r="AG5" s="171" t="n"/>
      <c r="AH5" s="171" t="n"/>
      <c r="AI5" s="171" t="n"/>
      <c r="AJ5" s="171" t="n"/>
      <c r="AK5" s="171" t="n"/>
      <c r="AL5" s="171" t="n"/>
      <c r="AM5" s="171" t="n"/>
      <c r="AN5" s="171" t="n"/>
      <c r="AO5" s="171" t="n"/>
      <c r="AP5" s="601" t="n"/>
      <c r="AQ5" s="171" t="n"/>
      <c r="AR5" s="171" t="n"/>
    </row>
    <row r="6" hidden="1" customFormat="1" s="171">
      <c r="A6" s="567" t="inlineStr">
        <is>
          <t>E</t>
        </is>
      </c>
      <c r="B6" s="491">
        <f>IF(_epmOfflineCondition_,"C_ENTITY",EPMDimensionType(,A6))</f>
        <v/>
      </c>
      <c r="C6" s="491">
        <f>IF(_epmOfflineCondition_,"E100787",IF(B6="","",EPMContextMember(,B6)))</f>
        <v/>
      </c>
      <c r="D6" s="491">
        <f>IF(_epmOfflineCondition_,"内蒙古京能苏尼特风力发电有限公司（内蒙古分公司）",EPMMemberDesc(C6))</f>
        <v/>
      </c>
      <c r="E6" s="491" t="n"/>
      <c r="F6" s="171" t="n"/>
      <c r="G6" s="171" t="n"/>
      <c r="H6" s="578" t="inlineStr">
        <is>
          <t>前两年</t>
        </is>
      </c>
      <c r="I6" s="578">
        <f>"V_"&amp;$I$3-2</f>
        <v/>
      </c>
      <c r="J6" s="578">
        <f>$I$3-2&amp;".TOTAL"</f>
        <v/>
      </c>
      <c r="K6" s="171" t="n"/>
      <c r="L6" s="457" t="inlineStr">
        <is>
          <t>劳务派遣用工人数（人）</t>
        </is>
      </c>
      <c r="M6" s="1311">
        <f>IF(_epmOfflineCondition_,0,EPMSaveDataOnly(AA82,,$D$21,$H$16,$E$25,$D$26,$D$27,$D$28,$AA$41,$AA$42,$AA$44,$AA$45,$AA$46,$Z$29,V82))</f>
        <v/>
      </c>
      <c r="N6" s="1311">
        <f>IF(_epmOfflineCondition_,0,EPMSaveDataOnly(AG82,,$D$21,$H$16,$E$25,$D$26,$D$27,$D$28,$AG$41,$AG$42,$AG$44,$AG$45,$AG$46,$Z$29,V82))</f>
        <v/>
      </c>
      <c r="O6" s="457" t="n"/>
      <c r="P6" s="1311" t="n"/>
      <c r="Q6" s="1311" t="n"/>
      <c r="R6" s="171" t="n"/>
      <c r="S6" s="568" t="n"/>
      <c r="T6" s="171" t="n"/>
      <c r="U6" s="171" t="n"/>
      <c r="V6" s="171" t="n"/>
      <c r="W6" s="171" t="n"/>
      <c r="X6" s="171" t="n"/>
      <c r="Y6" s="171" t="n"/>
      <c r="Z6" s="171" t="n"/>
      <c r="AA6" s="171" t="n"/>
      <c r="AB6" s="171" t="n"/>
      <c r="AC6" s="171" t="n"/>
      <c r="AD6" s="171" t="n"/>
      <c r="AE6" s="171" t="n"/>
      <c r="AF6" s="171" t="n"/>
      <c r="AG6" s="171" t="n"/>
      <c r="AH6" s="171" t="n"/>
      <c r="AI6" s="171" t="n"/>
      <c r="AJ6" s="171" t="n"/>
      <c r="AK6" s="171" t="n"/>
      <c r="AL6" s="171" t="n"/>
      <c r="AM6" s="171" t="n"/>
      <c r="AN6" s="171" t="n"/>
      <c r="AO6" s="171" t="n"/>
      <c r="AP6" s="601" t="n"/>
      <c r="AQ6" s="171" t="n"/>
      <c r="AR6" s="171" t="n"/>
    </row>
    <row r="7" hidden="1" customFormat="1" s="171">
      <c r="A7" s="567" t="inlineStr">
        <is>
          <t>R</t>
        </is>
      </c>
      <c r="B7" s="491">
        <f>IF(_epmOfflineCondition_,"C_RPTCURRENCY",EPMDimensionType(,A7))</f>
        <v/>
      </c>
      <c r="C7" s="491">
        <f>IF(_epmOfflineCondition_,"AUD",IF(B7="","",EPMContextMember(,B7)))</f>
        <v/>
      </c>
      <c r="D7" s="491">
        <f>IF(_epmOfflineCondition_,"澳元",EPMMemberDesc(C7))</f>
        <v/>
      </c>
      <c r="E7" s="491" t="n"/>
      <c r="F7" s="171" t="n"/>
      <c r="G7" s="171" t="n"/>
      <c r="H7" s="171" t="n"/>
      <c r="I7" s="171" t="n"/>
      <c r="J7" s="171" t="n"/>
      <c r="K7" s="171" t="n"/>
      <c r="L7" s="171" t="n"/>
      <c r="M7" s="171" t="n"/>
      <c r="N7" s="171" t="n"/>
      <c r="O7" s="171" t="n"/>
      <c r="P7" s="171" t="n"/>
      <c r="Q7" s="171" t="n"/>
      <c r="R7" s="171" t="n"/>
      <c r="S7" s="568" t="n"/>
      <c r="T7" s="171" t="n"/>
      <c r="U7" s="171" t="n"/>
      <c r="V7" s="171" t="n"/>
      <c r="W7" s="171" t="n"/>
      <c r="X7" s="171" t="n"/>
      <c r="Y7" s="171" t="n"/>
      <c r="Z7" s="171" t="n"/>
      <c r="AA7" s="171" t="n"/>
      <c r="AB7" s="171" t="n"/>
      <c r="AC7" s="171" t="n"/>
      <c r="AD7" s="171" t="n"/>
      <c r="AE7" s="171" t="n"/>
      <c r="AF7" s="171" t="n"/>
      <c r="AG7" s="171" t="n"/>
      <c r="AH7" s="171" t="n"/>
      <c r="AI7" s="171" t="n"/>
      <c r="AJ7" s="171" t="n"/>
      <c r="AK7" s="171" t="n"/>
      <c r="AL7" s="171" t="n"/>
      <c r="AM7" s="171" t="n"/>
      <c r="AN7" s="171" t="n"/>
      <c r="AO7" s="171" t="n"/>
      <c r="AP7" s="601" t="n"/>
      <c r="AQ7" s="171" t="n"/>
      <c r="AR7" s="171" t="n"/>
    </row>
    <row r="8" hidden="1" customFormat="1" s="171">
      <c r="A8" s="567" t="inlineStr">
        <is>
          <t>D</t>
        </is>
      </c>
      <c r="B8" s="491">
        <f>IF(_epmOfflineCondition_,"C_AUDITTRAIL",EPMDimensionType(,A8))</f>
        <v/>
      </c>
      <c r="C8" s="491">
        <f>IF(_epmOfflineCondition_,"DALL",IF(B8="","",EPMContextMember(,B8)))</f>
        <v/>
      </c>
      <c r="D8" s="491">
        <f>IF(_epmOfflineCondition_,"合并后",EPMMemberDesc(C8))</f>
        <v/>
      </c>
      <c r="E8" s="491" t="n"/>
      <c r="F8" s="171" t="n"/>
      <c r="G8" s="171" t="n"/>
      <c r="H8" s="578" t="inlineStr">
        <is>
          <t>本月</t>
        </is>
      </c>
      <c r="I8" s="578">
        <f>IF(_epmOfflineCondition_,"03",RIGHT("0"&amp;EPMMemberProperty(,EPMContextMember(,"C_TIME"),"MONTHNUM"),2))</f>
        <v/>
      </c>
      <c r="J8" s="171" t="n"/>
      <c r="K8" s="171" t="n"/>
      <c r="L8" s="171" t="inlineStr">
        <is>
          <t>昊华单位</t>
        </is>
      </c>
      <c r="M8" s="171">
        <f>IFERROR(VLOOKUP(C6,L9:L28,1,0),"NULL")</f>
        <v/>
      </c>
      <c r="N8" s="171" t="n"/>
      <c r="O8" s="171" t="n"/>
      <c r="P8" s="171" t="n"/>
      <c r="Q8" s="171" t="n"/>
      <c r="R8" s="171" t="n"/>
      <c r="S8" s="568" t="n"/>
      <c r="T8" s="171" t="n"/>
      <c r="U8" s="171" t="n"/>
      <c r="V8" s="171" t="n"/>
      <c r="W8" s="171" t="n"/>
      <c r="X8" s="171" t="n"/>
      <c r="Y8" s="171" t="n"/>
      <c r="Z8" s="171" t="n"/>
      <c r="AA8" s="171" t="n"/>
      <c r="AB8" s="171" t="n"/>
      <c r="AC8" s="171" t="n"/>
      <c r="AD8" s="171" t="n"/>
      <c r="AE8" s="171" t="n"/>
      <c r="AF8" s="171" t="n"/>
      <c r="AG8" s="171" t="n"/>
      <c r="AH8" s="171" t="n"/>
      <c r="AI8" s="171" t="n"/>
      <c r="AJ8" s="171" t="n"/>
      <c r="AK8" s="171" t="n"/>
      <c r="AL8" s="171" t="n"/>
      <c r="AM8" s="171" t="n"/>
      <c r="AN8" s="171" t="n"/>
      <c r="AO8" s="171" t="n"/>
      <c r="AP8" s="601" t="n"/>
      <c r="AQ8" s="171" t="n"/>
      <c r="AR8" s="171" t="n"/>
    </row>
    <row r="9" hidden="1" customFormat="1" s="171">
      <c r="A9" s="567" t="inlineStr">
        <is>
          <t>S</t>
        </is>
      </c>
      <c r="B9" s="491">
        <f>IF(_epmOfflineCondition_,"C_FLOW",EPMDimensionType(,A9))</f>
        <v/>
      </c>
      <c r="C9" s="491">
        <f>IF(_epmOfflineCondition_,"FTOTAL",IF(B9="","",EPMContextMember(,B9)))</f>
        <v/>
      </c>
      <c r="D9" s="491">
        <f>IF(_epmOfflineCondition_,"全部变动",EPMMemberDesc(C9))</f>
        <v/>
      </c>
      <c r="E9" s="491" t="n"/>
      <c r="F9" s="171" t="n"/>
      <c r="G9" s="171" t="n"/>
      <c r="H9" s="578" t="inlineStr">
        <is>
          <t>上月</t>
        </is>
      </c>
      <c r="I9" s="579">
        <f>RIGHT("0"&amp;IF(I8="01",12,I8-1),2)</f>
        <v/>
      </c>
      <c r="J9" s="171" t="n"/>
      <c r="K9" s="171" t="n"/>
      <c r="L9" s="171" t="inlineStr">
        <is>
          <t>E100201</t>
        </is>
      </c>
      <c r="M9" s="171" t="inlineStr">
        <is>
          <t>北京昊华能源股份有限公司</t>
        </is>
      </c>
      <c r="N9" s="171" t="n"/>
      <c r="O9" s="171" t="n"/>
      <c r="P9" s="171" t="n"/>
      <c r="Q9" s="171" t="n"/>
      <c r="R9" s="171" t="n"/>
      <c r="S9" s="568" t="n"/>
      <c r="T9" s="171" t="n"/>
      <c r="U9" s="171" t="n"/>
      <c r="V9" s="171" t="n"/>
      <c r="W9" s="171" t="n"/>
      <c r="X9" s="171" t="n"/>
      <c r="Y9" s="171" t="n"/>
      <c r="Z9" s="171" t="n"/>
      <c r="AA9" s="171" t="n"/>
      <c r="AB9" s="171" t="n"/>
      <c r="AC9" s="171" t="n"/>
      <c r="AD9" s="171" t="n"/>
      <c r="AE9" s="171" t="n"/>
      <c r="AF9" s="171" t="n"/>
      <c r="AG9" s="171" t="n"/>
      <c r="AH9" s="171" t="n"/>
      <c r="AI9" s="171" t="n"/>
      <c r="AJ9" s="171" t="n"/>
      <c r="AK9" s="171" t="n"/>
      <c r="AL9" s="171" t="n"/>
      <c r="AM9" s="171" t="n"/>
      <c r="AN9" s="171" t="n"/>
      <c r="AO9" s="171" t="n"/>
      <c r="AP9" s="601" t="n"/>
      <c r="AQ9" s="171" t="n"/>
      <c r="AR9" s="171" t="n"/>
    </row>
    <row r="10" hidden="1" customFormat="1" s="171">
      <c r="A10" s="567" t="inlineStr">
        <is>
          <t>I</t>
        </is>
      </c>
      <c r="B10" s="491">
        <f>IF(_epmOfflineCondition_,"C_INTERCO",EPMDimensionType(,A10))</f>
        <v/>
      </c>
      <c r="C10" s="491">
        <f>IF(_epmOfflineCondition_,"I_ALL",IF(B10="","",EPMContextMember(,B10)))</f>
        <v/>
      </c>
      <c r="D10" s="491">
        <f>IF(_epmOfflineCondition_,"全部贸易伙伴",EPMMemberDesc(C10))</f>
        <v/>
      </c>
      <c r="E10" s="491" t="n"/>
      <c r="F10" s="171" t="n"/>
      <c r="G10" s="171" t="n"/>
      <c r="H10" s="578" t="inlineStr">
        <is>
          <t>上年</t>
        </is>
      </c>
      <c r="I10" s="579">
        <f>$I$3-1</f>
        <v/>
      </c>
      <c r="J10" s="171" t="n"/>
      <c r="K10" s="171" t="n"/>
      <c r="L10" s="171" t="inlineStr">
        <is>
          <t>E100201G</t>
        </is>
      </c>
      <c r="M10" s="171" t="inlineStr">
        <is>
          <t>北京昊华能源股份有限公司（合并）</t>
        </is>
      </c>
      <c r="N10" s="171" t="n"/>
      <c r="O10" s="171" t="n"/>
      <c r="P10" s="171" t="n"/>
      <c r="Q10" s="171" t="n"/>
      <c r="R10" s="171" t="n"/>
      <c r="S10" s="568" t="n"/>
      <c r="T10" s="171" t="n"/>
      <c r="U10" s="171" t="n"/>
      <c r="V10" s="171" t="n"/>
      <c r="W10" s="171" t="n"/>
      <c r="X10" s="171" t="n"/>
      <c r="Y10" s="171" t="n"/>
      <c r="Z10" s="171" t="n"/>
      <c r="AA10" s="171" t="n"/>
      <c r="AB10" s="171" t="n"/>
      <c r="AC10" s="171" t="n"/>
      <c r="AD10" s="171" t="n"/>
      <c r="AE10" s="171" t="n"/>
      <c r="AF10" s="171" t="n"/>
      <c r="AG10" s="171" t="n"/>
      <c r="AH10" s="171" t="n"/>
      <c r="AI10" s="171" t="n"/>
      <c r="AJ10" s="171" t="n"/>
      <c r="AK10" s="171" t="n"/>
      <c r="AL10" s="171" t="n"/>
      <c r="AM10" s="171" t="n"/>
      <c r="AN10" s="171" t="n"/>
      <c r="AO10" s="171" t="n"/>
      <c r="AP10" s="601" t="n"/>
      <c r="AQ10" s="171" t="n"/>
      <c r="AR10" s="171" t="n"/>
    </row>
    <row r="11" hidden="1" customFormat="1" s="171">
      <c r="A11" s="567" t="inlineStr">
        <is>
          <t>G</t>
        </is>
      </c>
      <c r="B11" s="491">
        <f>IF(_epmOfflineCondition_,"C_SCOPE",EPMDimensionType(,A11))</f>
        <v/>
      </c>
      <c r="C11" s="491">
        <f>IF(_epmOfflineCondition_,"G_DUMMY",IF(B11="","",EPMContextMember(,B11)))</f>
        <v/>
      </c>
      <c r="D11" s="491">
        <f>IF(_epmOfflineCondition_,"合并范围无关",EPMMemberDesc(C11))</f>
        <v/>
      </c>
      <c r="E11" s="491">
        <f>IF(OR(RIGHT(C11,1)="P",RIGHT(C11,1)="S"),LEFT(C11,LEN(C11)-1),C11)</f>
        <v/>
      </c>
      <c r="F11" s="171" t="n"/>
      <c r="G11" s="171" t="n"/>
      <c r="H11" s="578" t="inlineStr">
        <is>
          <t xml:space="preserve">本年月 </t>
        </is>
      </c>
      <c r="I11" s="578">
        <f>I3&amp;"."&amp;I8</f>
        <v/>
      </c>
      <c r="J11" s="171" t="n"/>
      <c r="K11" s="171" t="n"/>
      <c r="L11" s="171" t="inlineStr">
        <is>
          <t>E100201H</t>
        </is>
      </c>
      <c r="M11" s="171" t="inlineStr">
        <is>
          <t>北京昊华能源股份有限公司（母公司）</t>
        </is>
      </c>
      <c r="N11" s="171" t="n"/>
      <c r="O11" s="171" t="n"/>
      <c r="P11" s="171" t="n"/>
      <c r="Q11" s="171" t="n"/>
      <c r="R11" s="171" t="n"/>
      <c r="S11" s="568" t="n"/>
      <c r="T11" s="171" t="n"/>
      <c r="U11" s="171" t="n"/>
      <c r="V11" s="171" t="n"/>
      <c r="W11" s="171" t="n"/>
      <c r="X11" s="171" t="n"/>
      <c r="Y11" s="171" t="n"/>
      <c r="Z11" s="171" t="n"/>
      <c r="AA11" s="171" t="n"/>
      <c r="AB11" s="171" t="n"/>
      <c r="AC11" s="171" t="n"/>
      <c r="AD11" s="171" t="n"/>
      <c r="AE11" s="171" t="n"/>
      <c r="AF11" s="171" t="n"/>
      <c r="AG11" s="171" t="n"/>
      <c r="AH11" s="171" t="n"/>
      <c r="AI11" s="171" t="n"/>
      <c r="AJ11" s="171" t="n"/>
      <c r="AK11" s="171" t="n"/>
      <c r="AL11" s="171" t="n"/>
      <c r="AM11" s="171" t="n"/>
      <c r="AN11" s="171" t="n"/>
      <c r="AO11" s="171" t="n"/>
      <c r="AP11" s="601" t="n"/>
      <c r="AQ11" s="171" t="n"/>
      <c r="AR11" s="171" t="n"/>
    </row>
    <row r="12" hidden="1" customFormat="1" s="171">
      <c r="A12" s="567" t="inlineStr">
        <is>
          <t>U8</t>
        </is>
      </c>
      <c r="B12" s="491">
        <f>IF(_epmOfflineCondition_,"C_PROJECT",EPMDimensionType(,A12))</f>
        <v/>
      </c>
      <c r="C12" s="491">
        <f>IF(_epmOfflineCondition_,"ZP_ALL",IF(B12="","",EPMContextMember(,B12)))</f>
        <v/>
      </c>
      <c r="D12" s="491">
        <f>IF(_epmOfflineCondition_,"项目合计",EPMMemberDesc(C12))</f>
        <v/>
      </c>
      <c r="E12" s="491" t="n"/>
      <c r="F12" s="171" t="n"/>
      <c r="G12" s="171" t="n"/>
      <c r="H12" s="578" t="inlineStr">
        <is>
          <t>上年月</t>
        </is>
      </c>
      <c r="I12" s="578">
        <f>IF(I8="01",I10&amp;"."&amp;I9,I3&amp;"."&amp;I9)</f>
        <v/>
      </c>
      <c r="J12" s="171" t="n"/>
      <c r="K12" s="171" t="n"/>
      <c r="L12" s="171" t="inlineStr">
        <is>
          <t>E100202</t>
        </is>
      </c>
      <c r="M12" s="171" t="inlineStr">
        <is>
          <t>鄂尔多斯市昊华精煤有限责任公司</t>
        </is>
      </c>
      <c r="N12" s="171" t="n"/>
      <c r="O12" s="171" t="n"/>
      <c r="P12" s="171" t="n"/>
      <c r="Q12" s="171" t="n"/>
      <c r="R12" s="171" t="n"/>
      <c r="S12" s="568" t="n"/>
      <c r="T12" s="171" t="n"/>
      <c r="U12" s="171" t="n"/>
      <c r="V12" s="171" t="n"/>
      <c r="W12" s="171" t="n"/>
      <c r="X12" s="171" t="n"/>
      <c r="Y12" s="171" t="n"/>
      <c r="Z12" s="171" t="n"/>
      <c r="AA12" s="171" t="n"/>
      <c r="AB12" s="171" t="n"/>
      <c r="AC12" s="171" t="n"/>
      <c r="AD12" s="171" t="n"/>
      <c r="AE12" s="171" t="n"/>
      <c r="AF12" s="171" t="n"/>
      <c r="AG12" s="171" t="n"/>
      <c r="AH12" s="171" t="n"/>
      <c r="AI12" s="171" t="n"/>
      <c r="AJ12" s="171" t="n"/>
      <c r="AK12" s="171" t="n"/>
      <c r="AL12" s="171" t="n"/>
      <c r="AM12" s="171" t="n"/>
      <c r="AN12" s="171" t="n"/>
      <c r="AO12" s="171" t="n"/>
      <c r="AP12" s="601" t="n"/>
      <c r="AQ12" s="171" t="n"/>
      <c r="AR12" s="171" t="n"/>
    </row>
    <row r="13" hidden="1" customFormat="1" s="171">
      <c r="A13" s="567" t="inlineStr">
        <is>
          <t>U9</t>
        </is>
      </c>
      <c r="B13" s="491">
        <f>IF(_epmOfflineCondition_,"C_ITEM",EPMDimensionType(,A13))</f>
        <v/>
      </c>
      <c r="C13" s="491">
        <f>IF(_epmOfflineCondition_,"ZI_ALL",IF(B13="","",EPMContextMember(,B13)))</f>
        <v/>
      </c>
      <c r="D13" s="491">
        <f>IF(_epmOfflineCondition_,"全部ITEM",EPMMemberDesc(C13))</f>
        <v/>
      </c>
      <c r="E13" s="491" t="n"/>
      <c r="F13" s="171" t="n"/>
      <c r="G13" s="171" t="n"/>
      <c r="H13" s="578" t="inlineStr">
        <is>
          <t xml:space="preserve">上年同期 </t>
        </is>
      </c>
      <c r="I13" s="578">
        <f>I10&amp;"."&amp;I8</f>
        <v/>
      </c>
      <c r="J13" s="171" t="n"/>
      <c r="K13" s="171" t="n"/>
      <c r="L13" s="171" t="inlineStr">
        <is>
          <t>E100203</t>
        </is>
      </c>
      <c r="M13" s="171" t="inlineStr">
        <is>
          <t>杭锦旗西部能源开发有限公司</t>
        </is>
      </c>
      <c r="N13" s="171" t="n"/>
      <c r="O13" s="171" t="n"/>
      <c r="P13" s="171" t="n"/>
      <c r="Q13" s="171" t="n"/>
      <c r="R13" s="171" t="n"/>
      <c r="S13" s="568" t="n"/>
      <c r="T13" s="171" t="n"/>
      <c r="U13" s="171" t="n"/>
      <c r="V13" s="171" t="n"/>
      <c r="W13" s="171" t="n"/>
      <c r="X13" s="171" t="n"/>
      <c r="Y13" s="171" t="n"/>
      <c r="Z13" s="171" t="n"/>
      <c r="AA13" s="171" t="n"/>
      <c r="AB13" s="171" t="n"/>
      <c r="AC13" s="171" t="n"/>
      <c r="AD13" s="171" t="n"/>
      <c r="AE13" s="171" t="n"/>
      <c r="AF13" s="171" t="n"/>
      <c r="AG13" s="171" t="n"/>
      <c r="AH13" s="171" t="n"/>
      <c r="AI13" s="171" t="n"/>
      <c r="AJ13" s="171" t="n"/>
      <c r="AK13" s="171" t="n"/>
      <c r="AL13" s="171" t="n"/>
      <c r="AM13" s="171" t="n"/>
      <c r="AN13" s="171" t="n"/>
      <c r="AO13" s="171" t="n"/>
      <c r="AP13" s="601" t="n"/>
      <c r="AQ13" s="171" t="n"/>
      <c r="AR13" s="171" t="n"/>
    </row>
    <row r="14" hidden="1" customFormat="1" s="171">
      <c r="A14" s="567" t="inlineStr">
        <is>
          <t>U10</t>
        </is>
      </c>
      <c r="B14" s="491">
        <f>IF(_epmOfflineCondition_,"C_MISK",EPMDimensionType(,A14))</f>
        <v/>
      </c>
      <c r="C14" s="491">
        <f>IF(_epmOfflineCondition_,"ZM_ALL",IF(B14="","",EPMContextMember(,B14)))</f>
        <v/>
      </c>
      <c r="D14" s="491">
        <f>IF(_epmOfflineCondition_,"ALL",EPMMemberDesc(C14))</f>
        <v/>
      </c>
      <c r="E14" s="491" t="n"/>
      <c r="F14" s="171" t="n"/>
      <c r="G14" s="171" t="n"/>
      <c r="H14" s="171" t="n"/>
      <c r="I14" s="171" t="n"/>
      <c r="J14" s="171" t="n"/>
      <c r="K14" s="171" t="n"/>
      <c r="L14" s="171" t="inlineStr">
        <is>
          <t>E100203G</t>
        </is>
      </c>
      <c r="M14" s="171" t="inlineStr">
        <is>
          <t>杭锦旗西部能源开发有限公司（合并）</t>
        </is>
      </c>
      <c r="N14" s="171" t="n"/>
      <c r="O14" s="171" t="n"/>
      <c r="P14" s="171" t="n"/>
      <c r="Q14" s="171" t="n"/>
      <c r="R14" s="171" t="n"/>
      <c r="S14" s="568" t="n"/>
      <c r="T14" s="171" t="n"/>
      <c r="U14" s="171" t="n"/>
      <c r="V14" s="171" t="n"/>
      <c r="W14" s="171" t="n"/>
      <c r="X14" s="171" t="n"/>
      <c r="Y14" s="171" t="n"/>
      <c r="Z14" s="171" t="n"/>
      <c r="AA14" s="171" t="n"/>
      <c r="AB14" s="171" t="n"/>
      <c r="AC14" s="171" t="n"/>
      <c r="AD14" s="171" t="n"/>
      <c r="AE14" s="171" t="n"/>
      <c r="AF14" s="171" t="n"/>
      <c r="AG14" s="171" t="n"/>
      <c r="AH14" s="171" t="n"/>
      <c r="AI14" s="171" t="n"/>
      <c r="AJ14" s="171" t="n"/>
      <c r="AK14" s="171" t="n"/>
      <c r="AL14" s="171" t="n"/>
      <c r="AM14" s="171" t="n"/>
      <c r="AN14" s="171" t="n"/>
      <c r="AO14" s="171" t="n"/>
      <c r="AP14" s="601" t="n"/>
      <c r="AQ14" s="171" t="n"/>
      <c r="AR14" s="171" t="n"/>
    </row>
    <row r="15" hidden="1" customFormat="1" s="171">
      <c r="A15" s="171" t="n"/>
      <c r="B15" s="568" t="n"/>
      <c r="C15" s="568" t="n"/>
      <c r="D15" s="568" t="n"/>
      <c r="E15" s="171" t="n"/>
      <c r="F15" s="171" t="n"/>
      <c r="G15" s="171" t="n"/>
      <c r="H15" s="171" t="n"/>
      <c r="I15" s="171" t="n"/>
      <c r="J15" s="171" t="n"/>
      <c r="K15" s="171" t="n"/>
      <c r="L15" s="171" t="inlineStr">
        <is>
          <t>E100204</t>
        </is>
      </c>
      <c r="M15" s="171" t="inlineStr">
        <is>
          <t>鄂尔多斯市昊华红庆梁矿业有限公司</t>
        </is>
      </c>
      <c r="N15" s="171" t="n"/>
      <c r="O15" s="171" t="n"/>
      <c r="P15" s="171" t="n"/>
      <c r="Q15" s="171" t="n"/>
      <c r="R15" s="171" t="n"/>
      <c r="S15" s="568" t="n"/>
      <c r="T15" s="171" t="n"/>
      <c r="U15" s="171" t="n"/>
      <c r="V15" s="171" t="n"/>
      <c r="W15" s="171" t="n"/>
      <c r="X15" s="171" t="n"/>
      <c r="Y15" s="171" t="n"/>
      <c r="Z15" s="171" t="n"/>
      <c r="AA15" s="171" t="n"/>
      <c r="AB15" s="171" t="n"/>
      <c r="AC15" s="171" t="n"/>
      <c r="AD15" s="171" t="n"/>
      <c r="AE15" s="171" t="n"/>
      <c r="AF15" s="171" t="n"/>
      <c r="AG15" s="171" t="n"/>
      <c r="AH15" s="171" t="n"/>
      <c r="AI15" s="171" t="n"/>
      <c r="AJ15" s="171" t="n"/>
      <c r="AK15" s="171" t="n"/>
      <c r="AL15" s="171" t="n"/>
      <c r="AM15" s="171" t="n"/>
      <c r="AN15" s="171" t="n"/>
      <c r="AO15" s="171" t="n"/>
      <c r="AP15" s="601" t="n"/>
      <c r="AQ15" s="171" t="n"/>
      <c r="AR15" s="171" t="n"/>
    </row>
    <row r="16" hidden="1" customFormat="1" s="171">
      <c r="A16" s="171" t="n"/>
      <c r="B16" s="171" t="n"/>
      <c r="C16" s="171" t="n"/>
      <c r="D16" s="174" t="inlineStr">
        <is>
          <t>页轴</t>
        </is>
      </c>
      <c r="E16" s="1183" t="n"/>
      <c r="F16" s="171" t="n"/>
      <c r="G16" s="185">
        <f>E11</f>
        <v/>
      </c>
      <c r="H16" s="492" t="inlineStr">
        <is>
          <t>LC</t>
        </is>
      </c>
      <c r="I16" s="171" t="n"/>
      <c r="J16" s="171" t="n"/>
      <c r="K16" s="171" t="n"/>
      <c r="L16" s="171" t="inlineStr">
        <is>
          <t>E100205</t>
        </is>
      </c>
      <c r="M16" s="171" t="inlineStr">
        <is>
          <t>宁夏红墩子煤业有限公司</t>
        </is>
      </c>
      <c r="N16" s="171" t="n"/>
      <c r="O16" s="171" t="n"/>
      <c r="P16" s="171" t="n"/>
      <c r="Q16" s="171" t="n"/>
      <c r="R16" s="171" t="n"/>
      <c r="S16" s="568" t="n"/>
      <c r="T16" s="171" t="n"/>
      <c r="U16" s="171" t="n"/>
      <c r="V16" s="171" t="n"/>
      <c r="W16" s="171" t="n"/>
      <c r="X16" s="171" t="n"/>
      <c r="Y16" s="171" t="n"/>
      <c r="Z16" s="171" t="n"/>
      <c r="AA16" s="171" t="n"/>
      <c r="AB16" s="171" t="n"/>
      <c r="AC16" s="171" t="n"/>
      <c r="AD16" s="171" t="n"/>
      <c r="AE16" s="171" t="n"/>
      <c r="AF16" s="171" t="n"/>
      <c r="AG16" s="171" t="n"/>
      <c r="AH16" s="171" t="n"/>
      <c r="AI16" s="171" t="n"/>
      <c r="AJ16" s="171" t="n"/>
      <c r="AK16" s="171" t="n"/>
      <c r="AL16" s="171" t="n"/>
      <c r="AM16" s="171" t="n"/>
      <c r="AN16" s="171" t="n"/>
      <c r="AO16" s="171" t="n"/>
      <c r="AP16" s="601" t="n"/>
      <c r="AQ16" s="171" t="n"/>
      <c r="AR16" s="171" t="n"/>
    </row>
    <row r="17" hidden="1" customFormat="1" s="171">
      <c r="A17" s="174" t="inlineStr">
        <is>
          <t>维度类型</t>
        </is>
      </c>
      <c r="B17" s="174" t="inlineStr">
        <is>
          <t>维度</t>
        </is>
      </c>
      <c r="C17" s="569" t="inlineStr">
        <is>
          <t>页轴替换</t>
        </is>
      </c>
      <c r="D17" s="174" t="inlineStr">
        <is>
          <t>报表001</t>
        </is>
      </c>
      <c r="E17" s="174" t="inlineStr">
        <is>
          <t>报表002</t>
        </is>
      </c>
      <c r="F17" s="171" t="n"/>
      <c r="G17" s="185">
        <f>IF(_epmOfflineCondition_,"E_DUMMY",EPMMemberProperty(,G16,"GENTITY"))</f>
        <v/>
      </c>
      <c r="H17" s="492" t="inlineStr">
        <is>
          <t>CNY</t>
        </is>
      </c>
      <c r="I17" s="171" t="n"/>
      <c r="J17" s="171" t="n"/>
      <c r="K17" s="171" t="n"/>
      <c r="L17" s="171" t="inlineStr">
        <is>
          <t>E100207</t>
        </is>
      </c>
      <c r="M17" s="171" t="inlineStr">
        <is>
          <t>鄂尔多斯市昊华国泰化工有限公司</t>
        </is>
      </c>
      <c r="N17" s="171" t="n"/>
      <c r="O17" s="171" t="n"/>
      <c r="P17" s="171" t="n"/>
      <c r="Q17" s="171" t="n"/>
      <c r="R17" s="171" t="n"/>
      <c r="S17" s="568" t="n"/>
      <c r="T17" s="171" t="n"/>
      <c r="U17" s="171" t="n"/>
      <c r="V17" s="171" t="n"/>
      <c r="W17" s="171" t="n"/>
      <c r="X17" s="171" t="n"/>
      <c r="Y17" s="171" t="n"/>
      <c r="Z17" s="171" t="n"/>
      <c r="AA17" s="171" t="n"/>
      <c r="AB17" s="171" t="n"/>
      <c r="AC17" s="171" t="n"/>
      <c r="AD17" s="171" t="n"/>
      <c r="AE17" s="171" t="n"/>
      <c r="AF17" s="171" t="n"/>
      <c r="AG17" s="171" t="n"/>
      <c r="AH17" s="171" t="n"/>
      <c r="AI17" s="171" t="n"/>
      <c r="AJ17" s="171" t="n"/>
      <c r="AK17" s="171" t="n"/>
      <c r="AL17" s="171" t="n"/>
      <c r="AM17" s="171" t="n"/>
      <c r="AN17" s="171" t="n"/>
      <c r="AO17" s="171" t="n"/>
      <c r="AP17" s="601" t="n"/>
      <c r="AQ17" s="171" t="n"/>
      <c r="AR17" s="171" t="n"/>
    </row>
    <row r="18" hidden="1" customFormat="1" s="171">
      <c r="A18" s="567" t="inlineStr">
        <is>
          <t>A</t>
        </is>
      </c>
      <c r="B18" s="491">
        <f>IF(_epmOfflineCondition_,"C_ACCOUNT",EPMDimensionType(,A18))</f>
        <v/>
      </c>
      <c r="C18" s="595" t="inlineStr">
        <is>
          <t>A_NOUSED</t>
        </is>
      </c>
      <c r="D18" s="570" t="n"/>
      <c r="E18" s="570" t="n"/>
      <c r="F18" s="171" t="n"/>
      <c r="G18" s="185">
        <f>IF(G16="G_DUMMY",C6,G17)</f>
        <v/>
      </c>
      <c r="H18" s="492" t="n"/>
      <c r="I18" s="171" t="n"/>
      <c r="J18" s="171" t="n"/>
      <c r="K18" s="171" t="n"/>
      <c r="L18" s="171" t="inlineStr">
        <is>
          <t>E100208</t>
        </is>
      </c>
      <c r="M18" s="171" t="inlineStr">
        <is>
          <t>鄂尔多斯市东铜铁路物流有限公司</t>
        </is>
      </c>
      <c r="N18" s="171" t="n"/>
      <c r="O18" s="171" t="n"/>
      <c r="P18" s="171" t="n"/>
      <c r="Q18" s="171" t="n"/>
      <c r="R18" s="171" t="n"/>
      <c r="S18" s="568" t="n"/>
      <c r="T18" s="171" t="n"/>
      <c r="U18" s="171" t="n"/>
      <c r="V18" s="171" t="n"/>
      <c r="W18" s="171" t="n"/>
      <c r="X18" s="171" t="n"/>
      <c r="Y18" s="171" t="n"/>
      <c r="Z18" s="171" t="n"/>
      <c r="AA18" s="171" t="n"/>
      <c r="AB18" s="171" t="n"/>
      <c r="AC18" s="171" t="n"/>
      <c r="AD18" s="171" t="n"/>
      <c r="AE18" s="171" t="n"/>
      <c r="AF18" s="171" t="n"/>
      <c r="AG18" s="171" t="n"/>
      <c r="AH18" s="171" t="n"/>
      <c r="AI18" s="171" t="n"/>
      <c r="AJ18" s="171" t="n"/>
      <c r="AK18" s="171" t="n"/>
      <c r="AL18" s="171" t="n"/>
      <c r="AM18" s="171" t="n"/>
      <c r="AN18" s="171" t="n"/>
      <c r="AO18" s="171" t="n"/>
      <c r="AP18" s="601" t="n"/>
      <c r="AQ18" s="171" t="n"/>
      <c r="AR18" s="171" t="n"/>
    </row>
    <row r="19" hidden="1" customFormat="1" s="171">
      <c r="A19" s="567" t="inlineStr">
        <is>
          <t>C</t>
        </is>
      </c>
      <c r="B19" s="491">
        <f>IF(_epmOfflineCondition_,"C_CATEGORY",EPMDimensionType(,A19))</f>
        <v/>
      </c>
      <c r="C19" s="595" t="inlineStr">
        <is>
          <t>C_DUMMY</t>
        </is>
      </c>
      <c r="D19" s="570" t="n"/>
      <c r="E19" s="570" t="n"/>
      <c r="F19" s="171" t="n"/>
      <c r="G19" s="171" t="n"/>
      <c r="H19" s="171" t="n"/>
      <c r="I19" s="171" t="n"/>
      <c r="J19" s="171" t="n"/>
      <c r="K19" s="171" t="n"/>
      <c r="L19" s="171" t="inlineStr">
        <is>
          <t>E100209</t>
        </is>
      </c>
      <c r="M19" s="171" t="inlineStr">
        <is>
          <t>鄂尔多斯市昊华鑫通物资有限责任公司</t>
        </is>
      </c>
      <c r="N19" s="171" t="n"/>
      <c r="O19" s="171" t="n"/>
      <c r="P19" s="171" t="n"/>
      <c r="Q19" s="171" t="n"/>
      <c r="R19" s="171" t="n"/>
      <c r="S19" s="568" t="n"/>
      <c r="T19" s="171" t="n"/>
      <c r="U19" s="171" t="n"/>
      <c r="V19" s="171" t="n"/>
      <c r="W19" s="171" t="n"/>
      <c r="X19" s="171" t="n"/>
      <c r="Y19" s="171" t="n"/>
      <c r="Z19" s="171" t="n"/>
      <c r="AA19" s="171" t="n"/>
      <c r="AB19" s="171" t="n"/>
      <c r="AC19" s="171" t="n"/>
      <c r="AD19" s="171" t="n"/>
      <c r="AE19" s="171" t="n"/>
      <c r="AF19" s="171" t="n"/>
      <c r="AG19" s="171" t="n"/>
      <c r="AH19" s="171" t="n"/>
      <c r="AI19" s="171" t="n"/>
      <c r="AJ19" s="171" t="n"/>
      <c r="AK19" s="171" t="n"/>
      <c r="AL19" s="171" t="n"/>
      <c r="AM19" s="171" t="n"/>
      <c r="AN19" s="171" t="n"/>
      <c r="AO19" s="171" t="n"/>
      <c r="AP19" s="601" t="n"/>
      <c r="AQ19" s="171" t="n"/>
      <c r="AR19" s="171" t="n"/>
    </row>
    <row r="20" hidden="1" customFormat="1" s="171">
      <c r="A20" s="567" t="inlineStr">
        <is>
          <t>T</t>
        </is>
      </c>
      <c r="B20" s="491">
        <f>IF(_epmOfflineCondition_,"C_TIME",EPMDimensionType(,A20))</f>
        <v/>
      </c>
      <c r="C20" s="523" t="inlineStr">
        <is>
          <t>T_DUMMY</t>
        </is>
      </c>
      <c r="D20" s="570" t="n"/>
      <c r="E20" s="570" t="n"/>
      <c r="F20" s="38" t="n"/>
      <c r="G20" s="38" t="n"/>
      <c r="H20" s="171" t="n"/>
      <c r="I20" s="171" t="n"/>
      <c r="J20" s="171" t="n"/>
      <c r="K20" s="171" t="n"/>
      <c r="L20" s="171" t="inlineStr">
        <is>
          <t>E100210</t>
        </is>
      </c>
      <c r="M20" s="171" t="inlineStr">
        <is>
          <t>北京昊华鑫达商贸有限公司</t>
        </is>
      </c>
      <c r="N20" s="171" t="n"/>
      <c r="O20" s="171" t="n"/>
      <c r="P20" s="171" t="n"/>
      <c r="Q20" s="171" t="n"/>
      <c r="R20" s="171" t="n"/>
      <c r="S20" s="568" t="n"/>
      <c r="T20" s="171" t="n"/>
      <c r="U20" s="171" t="n"/>
      <c r="V20" s="171" t="n"/>
      <c r="W20" s="171" t="n"/>
      <c r="X20" s="171" t="n"/>
      <c r="Y20" s="171" t="n"/>
      <c r="Z20" s="38" t="n"/>
      <c r="AA20" s="38" t="n"/>
      <c r="AB20" s="171" t="n"/>
      <c r="AC20" s="171" t="n"/>
      <c r="AD20" s="171" t="n"/>
      <c r="AE20" s="171" t="n"/>
      <c r="AF20" s="171" t="n"/>
      <c r="AG20" s="171" t="n"/>
      <c r="AH20" s="171" t="n"/>
      <c r="AI20" s="171" t="n"/>
      <c r="AJ20" s="171" t="n"/>
      <c r="AK20" s="171" t="n"/>
      <c r="AL20" s="171" t="n"/>
      <c r="AM20" s="171" t="n"/>
      <c r="AN20" s="171" t="n"/>
      <c r="AO20" s="171" t="n"/>
      <c r="AP20" s="601" t="n"/>
      <c r="AQ20" s="171" t="n"/>
      <c r="AR20" s="171" t="n"/>
    </row>
    <row r="21" hidden="1" customFormat="1" s="171">
      <c r="A21" s="567" t="inlineStr">
        <is>
          <t>E</t>
        </is>
      </c>
      <c r="B21" s="491">
        <f>IF(_epmOfflineCondition_,"C_ENTITY",EPMDimensionType(,A21))</f>
        <v/>
      </c>
      <c r="C21" s="491">
        <f>G18</f>
        <v/>
      </c>
      <c r="D21" s="573">
        <f>IF(_epmOfflineCondition_,"E100787",EPMOlapMemberO(C21,"[C_ENTITY].[PARENTH1].[E100787]","E100787 - 内蒙古京能苏尼特风力发电有限公司（内蒙古分公司）","","000"))</f>
        <v/>
      </c>
      <c r="E21" s="570" t="n"/>
      <c r="F21" s="38" t="n"/>
      <c r="G21" s="38" t="n"/>
      <c r="H21" s="171" t="n"/>
      <c r="I21" s="171" t="n"/>
      <c r="J21" s="171" t="n"/>
      <c r="K21" s="171" t="n"/>
      <c r="L21" s="171" t="inlineStr">
        <is>
          <t>E100211</t>
        </is>
      </c>
      <c r="M21" s="171" t="inlineStr">
        <is>
          <t>北京昊华能源股份有限公司企业管理分公司</t>
        </is>
      </c>
      <c r="N21" s="171" t="n"/>
      <c r="O21" s="171" t="n"/>
      <c r="P21" s="171" t="n"/>
      <c r="Q21" s="171" t="n"/>
      <c r="R21" s="171" t="n"/>
      <c r="S21" s="568" t="n"/>
      <c r="T21" s="171" t="n"/>
      <c r="U21" s="171" t="n"/>
      <c r="V21" s="171" t="n"/>
      <c r="W21" s="171" t="n"/>
      <c r="X21" s="171" t="n"/>
      <c r="Y21" s="171" t="n"/>
      <c r="Z21" s="38" t="n"/>
      <c r="AA21" s="38" t="n"/>
      <c r="AB21" s="171" t="n"/>
      <c r="AC21" s="171" t="n"/>
      <c r="AD21" s="171" t="n"/>
      <c r="AE21" s="171" t="n"/>
      <c r="AF21" s="171" t="n"/>
      <c r="AG21" s="171" t="n"/>
      <c r="AH21" s="171" t="n"/>
      <c r="AI21" s="171" t="n"/>
      <c r="AJ21" s="171" t="n"/>
      <c r="AK21" s="171" t="n"/>
      <c r="AL21" s="171" t="n"/>
      <c r="AM21" s="171" t="n"/>
      <c r="AN21" s="171" t="n"/>
      <c r="AO21" s="171" t="n"/>
      <c r="AP21" s="601" t="n"/>
      <c r="AQ21" s="171" t="n"/>
      <c r="AR21" s="171" t="n"/>
    </row>
    <row r="22" hidden="1" customFormat="1" s="171">
      <c r="A22" s="567" t="inlineStr">
        <is>
          <t>R</t>
        </is>
      </c>
      <c r="B22" s="491">
        <f>IF(_epmOfflineCondition_,"C_RPTCURRENCY",EPMDimensionType(,A22))</f>
        <v/>
      </c>
      <c r="C22" s="491">
        <f>IF(G16="G_DUMMY",$AA$37,$H$17)</f>
        <v/>
      </c>
      <c r="D22" s="573">
        <f>IF(_epmOfflineCondition_,"LC",EPMOlapMemberO(C22,"[C_RPTCURRENCY].[].[LC]","LC - 本位币","","000"))</f>
        <v/>
      </c>
      <c r="E22" s="570" t="n"/>
      <c r="F22" s="38" t="n"/>
      <c r="G22" s="38" t="n"/>
      <c r="H22" s="171" t="n"/>
      <c r="I22" s="171" t="n"/>
      <c r="J22" s="171" t="n"/>
      <c r="K22" s="171" t="n"/>
      <c r="L22" s="171" t="inlineStr">
        <is>
          <t>E100211G</t>
        </is>
      </c>
      <c r="M22" s="171" t="inlineStr">
        <is>
          <t>北京昊华能源股份有限公司企业管理分公司（合并）</t>
        </is>
      </c>
      <c r="N22" s="171" t="n"/>
      <c r="O22" s="171" t="n"/>
      <c r="P22" s="171" t="n"/>
      <c r="Q22" s="171" t="n"/>
      <c r="R22" s="171" t="n"/>
      <c r="S22" s="568" t="n"/>
      <c r="T22" s="171" t="n"/>
      <c r="U22" s="171" t="n"/>
      <c r="V22" s="171" t="n"/>
      <c r="W22" s="171" t="n"/>
      <c r="X22" s="171" t="n"/>
      <c r="Y22" s="171" t="n"/>
      <c r="Z22" s="38" t="n"/>
      <c r="AA22" s="38" t="n"/>
      <c r="AB22" s="171" t="n"/>
      <c r="AC22" s="171" t="n"/>
      <c r="AD22" s="171" t="n"/>
      <c r="AE22" s="171" t="n"/>
      <c r="AF22" s="171" t="n"/>
      <c r="AG22" s="171" t="n"/>
      <c r="AH22" s="171" t="n"/>
      <c r="AI22" s="171" t="n"/>
      <c r="AJ22" s="171" t="n"/>
      <c r="AK22" s="171" t="n"/>
      <c r="AL22" s="171" t="n"/>
      <c r="AM22" s="171" t="n"/>
      <c r="AN22" s="171" t="n"/>
      <c r="AO22" s="171" t="n"/>
      <c r="AP22" s="601" t="n"/>
      <c r="AQ22" s="171" t="n"/>
      <c r="AR22" s="171" t="n"/>
    </row>
    <row r="23" hidden="1" customFormat="1" s="171">
      <c r="A23" s="567" t="inlineStr">
        <is>
          <t>D</t>
        </is>
      </c>
      <c r="B23" s="491">
        <f>IF(_epmOfflineCondition_,"C_AUDITTRAIL",EPMDimensionType(,A23))</f>
        <v/>
      </c>
      <c r="C23" s="491">
        <f>IF(_epmOfflineCondition_,"DALL",IF(B23="","",EPMContextMember(,B23)))</f>
        <v/>
      </c>
      <c r="D23" s="573" t="n"/>
      <c r="E23" s="570" t="n"/>
      <c r="F23" s="38" t="n"/>
      <c r="G23" s="38" t="n"/>
      <c r="H23" s="171" t="n"/>
      <c r="I23" s="171" t="n"/>
      <c r="J23" s="171" t="n"/>
      <c r="K23" s="171" t="n"/>
      <c r="L23" s="171" t="inlineStr">
        <is>
          <t>E100211T</t>
        </is>
      </c>
      <c r="M23" s="171" t="inlineStr">
        <is>
          <t>北京昊华能源股份有限公司企业管理分公司（汇总）</t>
        </is>
      </c>
      <c r="N23" s="171" t="n"/>
      <c r="O23" s="171" t="n"/>
      <c r="P23" s="171" t="n"/>
      <c r="Q23" s="171" t="n"/>
      <c r="R23" s="171" t="n"/>
      <c r="S23" s="568" t="n"/>
      <c r="T23" s="171" t="n"/>
      <c r="U23" s="171" t="n"/>
      <c r="V23" s="171" t="n"/>
      <c r="W23" s="171" t="n"/>
      <c r="X23" s="171" t="n"/>
      <c r="Y23" s="171" t="n"/>
      <c r="Z23" s="38" t="n"/>
      <c r="AA23" s="38" t="n"/>
      <c r="AB23" s="171" t="n"/>
      <c r="AC23" s="171" t="n"/>
      <c r="AD23" s="171" t="n"/>
      <c r="AE23" s="171" t="n"/>
      <c r="AF23" s="171" t="n"/>
      <c r="AG23" s="171" t="n"/>
      <c r="AH23" s="171" t="n"/>
      <c r="AI23" s="171" t="n"/>
      <c r="AJ23" s="171" t="n"/>
      <c r="AK23" s="171" t="n"/>
      <c r="AL23" s="171" t="n"/>
      <c r="AM23" s="171" t="n"/>
      <c r="AN23" s="171" t="n"/>
      <c r="AO23" s="171" t="n"/>
      <c r="AP23" s="601" t="n"/>
      <c r="AQ23" s="171" t="n"/>
      <c r="AR23" s="171" t="n"/>
    </row>
    <row r="24" hidden="1" customFormat="1" s="171">
      <c r="A24" s="567" t="inlineStr">
        <is>
          <t>S</t>
        </is>
      </c>
      <c r="B24" s="491">
        <f>IF(_epmOfflineCondition_,"C_FLOW",EPMDimensionType(,A24))</f>
        <v/>
      </c>
      <c r="C24" s="491">
        <f>IF(_epmOfflineCondition_,"FTOTAL",IF(B24="","",EPMContextMember(,B24)))</f>
        <v/>
      </c>
      <c r="D24" s="573" t="n"/>
      <c r="E24" s="570" t="n"/>
      <c r="F24" s="38" t="n"/>
      <c r="G24" s="38" t="n"/>
      <c r="H24" s="171" t="n"/>
      <c r="I24" s="171" t="n"/>
      <c r="J24" s="171" t="n"/>
      <c r="K24" s="171" t="n"/>
      <c r="L24" s="171" t="inlineStr">
        <is>
          <t>E100212</t>
        </is>
      </c>
      <c r="M24" s="171" t="inlineStr">
        <is>
          <t>北京昊华能源股份有限公司长沟峪</t>
        </is>
      </c>
      <c r="N24" s="171" t="n"/>
      <c r="O24" s="171" t="n"/>
      <c r="P24" s="171" t="n"/>
      <c r="Q24" s="171" t="n"/>
      <c r="R24" s="171" t="n"/>
      <c r="S24" s="568" t="n"/>
      <c r="T24" s="171" t="n"/>
      <c r="U24" s="171" t="n"/>
      <c r="V24" s="171" t="n"/>
      <c r="W24" s="171" t="n"/>
      <c r="X24" s="171" t="n"/>
      <c r="Y24" s="171" t="n"/>
      <c r="Z24" s="38" t="n"/>
      <c r="AA24" s="38" t="n"/>
      <c r="AB24" s="171" t="n"/>
      <c r="AC24" s="171" t="n"/>
      <c r="AD24" s="171" t="n"/>
      <c r="AE24" s="171" t="n"/>
      <c r="AF24" s="171" t="n"/>
      <c r="AG24" s="171" t="n"/>
      <c r="AH24" s="171" t="n"/>
      <c r="AI24" s="171" t="n"/>
      <c r="AJ24" s="171" t="n"/>
      <c r="AK24" s="171" t="n"/>
      <c r="AL24" s="171" t="n"/>
      <c r="AM24" s="171" t="n"/>
      <c r="AN24" s="171" t="n"/>
      <c r="AO24" s="171" t="n"/>
      <c r="AP24" s="601" t="n"/>
      <c r="AQ24" s="171" t="n"/>
      <c r="AR24" s="171" t="n"/>
    </row>
    <row r="25" hidden="1" customFormat="1" s="171">
      <c r="A25" s="567" t="inlineStr">
        <is>
          <t>I</t>
        </is>
      </c>
      <c r="B25" s="491">
        <f>IF(_epmOfflineCondition_,"C_INTERCO",EPMDimensionType(,A25))</f>
        <v/>
      </c>
      <c r="C25" s="491" t="inlineStr">
        <is>
          <t>I_ALL</t>
        </is>
      </c>
      <c r="D25" s="573">
        <f>IF(_epmOfflineCondition_,"I_ALL",EPMOlapMemberO(C25,"[C_INTERCO].[PARENTH1].[I_ALL]","I_ALL - 全部贸易伙伴","","000"))</f>
        <v/>
      </c>
      <c r="E25" s="727" t="inlineStr">
        <is>
          <t>I_DUMMY</t>
        </is>
      </c>
      <c r="F25" s="38" t="n"/>
      <c r="G25" s="38" t="n"/>
      <c r="H25" s="171" t="n"/>
      <c r="I25" s="171" t="n"/>
      <c r="J25" s="171" t="n"/>
      <c r="K25" s="171" t="n"/>
      <c r="L25" s="171" t="inlineStr">
        <is>
          <t>E100213</t>
        </is>
      </c>
      <c r="M25" s="171" t="inlineStr">
        <is>
          <t>北京昊华能源股份有限公司木城涧煤矿</t>
        </is>
      </c>
      <c r="N25" s="171" t="n"/>
      <c r="O25" s="171" t="n"/>
      <c r="P25" s="171" t="n"/>
      <c r="Q25" s="171" t="n"/>
      <c r="R25" s="171" t="n"/>
      <c r="S25" s="568" t="n"/>
      <c r="T25" s="171" t="n"/>
      <c r="U25" s="171" t="n"/>
      <c r="V25" s="171" t="n"/>
      <c r="W25" s="171" t="n"/>
      <c r="X25" s="569" t="inlineStr">
        <is>
          <t>CATEGORY</t>
        </is>
      </c>
      <c r="Y25" s="171" t="n"/>
      <c r="Z25" s="569" t="inlineStr">
        <is>
          <t>C1001</t>
        </is>
      </c>
      <c r="AA25" s="569" t="inlineStr">
        <is>
          <t>C1001</t>
        </is>
      </c>
      <c r="AB25" s="569">
        <f>$C$4</f>
        <v/>
      </c>
      <c r="AC25" s="569">
        <f>$C$4</f>
        <v/>
      </c>
      <c r="AD25" s="569">
        <f>$C$4</f>
        <v/>
      </c>
      <c r="AE25" s="171" t="n"/>
      <c r="AF25" s="38" t="n"/>
      <c r="AG25" s="171" t="n"/>
      <c r="AH25" s="171" t="n"/>
      <c r="AI25" s="171" t="n"/>
      <c r="AJ25" s="171" t="n"/>
      <c r="AK25" s="171" t="n"/>
      <c r="AL25" s="171" t="n"/>
      <c r="AM25" s="171" t="n"/>
      <c r="AN25" s="601" t="n"/>
      <c r="AO25" s="601" t="n"/>
      <c r="AP25" s="601" t="n"/>
      <c r="AQ25" s="601" t="n"/>
      <c r="AR25" s="601" t="n"/>
    </row>
    <row r="26" hidden="1" customFormat="1" s="171">
      <c r="A26" s="567" t="inlineStr">
        <is>
          <t>G</t>
        </is>
      </c>
      <c r="B26" s="491">
        <f>IF(_epmOfflineCondition_,"C_SCOPE",EPMDimensionType(,A26))</f>
        <v/>
      </c>
      <c r="C26" s="491">
        <f>G16</f>
        <v/>
      </c>
      <c r="D26" s="573">
        <f>IF(_epmOfflineCondition_,"G_DUMMY",EPMOlapMemberO(C26,"[C_SCOPE].[PARENTH1].[G_DUMMY]","G_DUMMY - 合并范围无关","","000"))</f>
        <v/>
      </c>
      <c r="E26" s="570" t="n"/>
      <c r="F26" s="38" t="n"/>
      <c r="G26" s="38" t="n"/>
      <c r="H26" s="171" t="n"/>
      <c r="I26" s="171" t="n"/>
      <c r="J26" s="171" t="n"/>
      <c r="K26" s="171" t="n"/>
      <c r="L26" s="171" t="inlineStr">
        <is>
          <t>E100214</t>
        </is>
      </c>
      <c r="M26" s="171" t="inlineStr">
        <is>
          <t>北京昊华能源股份有限公司大安山</t>
        </is>
      </c>
      <c r="N26" s="171" t="n"/>
      <c r="O26" s="171" t="n"/>
      <c r="P26" s="171" t="n"/>
      <c r="Q26" s="171" t="n"/>
      <c r="R26" s="171" t="n"/>
      <c r="S26" s="568" t="n"/>
      <c r="T26" s="171" t="n"/>
      <c r="U26" s="171" t="n"/>
      <c r="V26" s="171" t="n"/>
      <c r="W26" s="171" t="n"/>
      <c r="X26" s="581" t="inlineStr">
        <is>
          <t>TIME</t>
        </is>
      </c>
      <c r="Y26" s="171" t="n"/>
      <c r="Z26" s="581">
        <f>$I$11</f>
        <v/>
      </c>
      <c r="AA26" s="581">
        <f>$I$11</f>
        <v/>
      </c>
      <c r="AB26" s="581">
        <f>$I$11</f>
        <v/>
      </c>
      <c r="AC26" s="569">
        <f>$J$4</f>
        <v/>
      </c>
      <c r="AD26" s="582">
        <f>$I$13</f>
        <v/>
      </c>
      <c r="AE26" s="171" t="n"/>
      <c r="AF26" s="38" t="n"/>
      <c r="AG26" s="171" t="n"/>
      <c r="AH26" s="171" t="n"/>
      <c r="AI26" s="171" t="n"/>
      <c r="AJ26" s="171" t="n"/>
      <c r="AK26" s="171" t="n"/>
      <c r="AL26" s="171" t="n"/>
      <c r="AM26" s="171" t="n"/>
      <c r="AN26" s="601" t="n"/>
      <c r="AO26" s="601" t="n"/>
      <c r="AP26" s="601" t="n"/>
      <c r="AQ26" s="601" t="n"/>
      <c r="AR26" s="601" t="n"/>
    </row>
    <row r="27" hidden="1" customFormat="1" s="171">
      <c r="A27" s="567" t="inlineStr">
        <is>
          <t>U8</t>
        </is>
      </c>
      <c r="B27" s="491">
        <f>IF(_epmOfflineCondition_,"C_PROJECT",EPMDimensionType(,A27))</f>
        <v/>
      </c>
      <c r="C27" s="570" t="inlineStr">
        <is>
          <t>ZP_DUMMY</t>
        </is>
      </c>
      <c r="D27" s="573">
        <f>IF(_epmOfflineCondition_,"ZP_DUMMY",EPMOlapMemberO(C27,"[C_PROJECT].[PARENTH1].[ZP_DUMMY]","ZP_DUMMY - 项目无关","","000"))</f>
        <v/>
      </c>
      <c r="E27" s="570" t="n"/>
      <c r="F27" s="38" t="n"/>
      <c r="G27" s="38" t="n"/>
      <c r="H27" s="171" t="n"/>
      <c r="I27" s="171" t="n"/>
      <c r="J27" s="171" t="n"/>
      <c r="K27" s="171" t="n"/>
      <c r="L27" s="171" t="inlineStr">
        <is>
          <t>E100215</t>
        </is>
      </c>
      <c r="M27" s="171" t="inlineStr">
        <is>
          <t>北京昊华能源股份有限公司大台</t>
        </is>
      </c>
      <c r="N27" s="171" t="n"/>
      <c r="O27" s="171" t="n"/>
      <c r="P27" s="171" t="n"/>
      <c r="Q27" s="171" t="n"/>
      <c r="R27" s="171" t="n"/>
      <c r="S27" s="568" t="n"/>
      <c r="T27" s="171" t="n"/>
      <c r="U27" s="171" t="n"/>
      <c r="V27" s="171" t="n"/>
      <c r="W27" s="171" t="n"/>
      <c r="X27" s="582" t="inlineStr">
        <is>
          <t>MEASURES</t>
        </is>
      </c>
      <c r="Y27" s="171" t="n"/>
      <c r="Z27" s="582" t="inlineStr">
        <is>
          <t>YTD</t>
        </is>
      </c>
      <c r="AA27" s="582" t="inlineStr">
        <is>
          <t>YTD</t>
        </is>
      </c>
      <c r="AB27" s="582" t="inlineStr">
        <is>
          <t>Periodic</t>
        </is>
      </c>
      <c r="AC27" s="582" t="inlineStr">
        <is>
          <t>Periodic</t>
        </is>
      </c>
      <c r="AD27" s="582" t="inlineStr">
        <is>
          <t>Periodic</t>
        </is>
      </c>
      <c r="AE27" s="582" t="n"/>
      <c r="AF27" s="582" t="n"/>
      <c r="AG27" s="171" t="n"/>
      <c r="AH27" s="171" t="n"/>
      <c r="AI27" s="171" t="n"/>
      <c r="AJ27" s="171" t="n"/>
      <c r="AK27" s="171" t="n"/>
      <c r="AL27" s="171" t="n"/>
      <c r="AM27" s="171" t="n"/>
      <c r="AN27" s="601" t="n"/>
      <c r="AO27" s="601" t="n"/>
      <c r="AP27" s="601" t="n"/>
      <c r="AQ27" s="601" t="n"/>
      <c r="AR27" s="601" t="n"/>
    </row>
    <row r="28" hidden="1" customFormat="1" s="171">
      <c r="A28" s="567" t="inlineStr">
        <is>
          <t>U9</t>
        </is>
      </c>
      <c r="B28" s="491">
        <f>IF(_epmOfflineCondition_,"C_ITEM",EPMDimensionType(,A28))</f>
        <v/>
      </c>
      <c r="C28" s="570" t="inlineStr">
        <is>
          <t>ZI_DUMMY</t>
        </is>
      </c>
      <c r="D28" s="573">
        <f>IF(_epmOfflineCondition_,"ZI_DUMMY",EPMOlapMemberO(C28,"[C_ITEM].[PARENTH1].[ZI_DUMMY]","ZI_DUMMY - 与子项无关","","000"))</f>
        <v/>
      </c>
      <c r="E28" s="570" t="n"/>
      <c r="F28" s="38" t="n"/>
      <c r="G28" s="38" t="n"/>
      <c r="H28" s="171" t="n"/>
      <c r="I28" s="171" t="n"/>
      <c r="J28" s="171" t="n"/>
      <c r="K28" s="171" t="n"/>
      <c r="L28" s="171" t="inlineStr">
        <is>
          <t>E100216</t>
        </is>
      </c>
      <c r="M28" s="171" t="inlineStr">
        <is>
          <t>昊华能源国际（香港）有限公司</t>
        </is>
      </c>
      <c r="N28" s="171" t="n"/>
      <c r="O28" s="171" t="n"/>
      <c r="P28" s="171" t="n"/>
      <c r="Q28" s="171" t="n"/>
      <c r="R28" s="171" t="n"/>
      <c r="S28" s="568" t="n"/>
      <c r="T28" s="171" t="n"/>
      <c r="U28" s="171" t="n"/>
      <c r="V28" s="171" t="n"/>
      <c r="W28" s="171" t="n"/>
      <c r="X28" s="582" t="inlineStr">
        <is>
          <t>FLOW</t>
        </is>
      </c>
      <c r="Y28" s="171" t="n"/>
      <c r="Z28" s="582" t="inlineStr">
        <is>
          <t>F20</t>
        </is>
      </c>
      <c r="AA28" s="582" t="inlineStr">
        <is>
          <t>F30</t>
        </is>
      </c>
      <c r="AB28" s="582" t="inlineStr">
        <is>
          <t>F20</t>
        </is>
      </c>
      <c r="AC28" s="582" t="inlineStr">
        <is>
          <t>F99</t>
        </is>
      </c>
      <c r="AD28" s="582" t="inlineStr">
        <is>
          <t>FEND</t>
        </is>
      </c>
      <c r="AE28" s="582" t="inlineStr">
        <is>
          <t>FMOV</t>
        </is>
      </c>
      <c r="AF28" s="582" t="inlineStr">
        <is>
          <t>FEND</t>
        </is>
      </c>
      <c r="AG28" s="171" t="n"/>
      <c r="AH28" s="171" t="n"/>
      <c r="AI28" s="171" t="n"/>
      <c r="AJ28" s="171" t="n"/>
      <c r="AK28" s="171" t="n"/>
      <c r="AL28" s="171" t="n"/>
      <c r="AM28" s="171" t="n"/>
      <c r="AN28" s="171" t="n"/>
      <c r="AO28" s="171" t="n"/>
      <c r="AP28" s="601" t="n"/>
      <c r="AQ28" s="601" t="n"/>
      <c r="AR28" s="171" t="n"/>
    </row>
    <row r="29" hidden="1" customFormat="1" s="171">
      <c r="A29" s="567" t="inlineStr">
        <is>
          <t>U10</t>
        </is>
      </c>
      <c r="B29" s="491">
        <f>IF(_epmOfflineCondition_,"C_MISK",EPMDimensionType(,A29))</f>
        <v/>
      </c>
      <c r="C29" s="574" t="inlineStr">
        <is>
          <t>ZM_DUMMY</t>
        </is>
      </c>
      <c r="D29" s="573" t="n"/>
      <c r="E29" s="570" t="n"/>
      <c r="F29" s="38" t="n"/>
      <c r="G29" s="38" t="n"/>
      <c r="H29" s="171" t="n"/>
      <c r="I29" s="171" t="n"/>
      <c r="J29" s="171" t="n"/>
      <c r="K29" s="171" t="n"/>
      <c r="L29" s="171" t="n"/>
      <c r="M29" s="171" t="n"/>
      <c r="N29" s="171" t="n"/>
      <c r="O29" s="171" t="n"/>
      <c r="P29" s="171" t="n"/>
      <c r="Q29" s="171" t="n"/>
      <c r="R29" s="171" t="n"/>
      <c r="S29" s="568" t="n"/>
      <c r="T29" s="171" t="n"/>
      <c r="U29" s="171" t="n"/>
      <c r="V29" s="171" t="n"/>
      <c r="W29" s="171" t="n"/>
      <c r="X29" s="582" t="inlineStr">
        <is>
          <t>AUDITTRAIL</t>
        </is>
      </c>
      <c r="Y29" s="171" t="n"/>
      <c r="Z29" s="582" t="inlineStr">
        <is>
          <t>D1110</t>
        </is>
      </c>
      <c r="AA29" s="582" t="inlineStr">
        <is>
          <t>DLC_RC</t>
        </is>
      </c>
      <c r="AB29" s="582" t="inlineStr">
        <is>
          <t>DLC</t>
        </is>
      </c>
      <c r="AC29" s="582" t="inlineStr">
        <is>
          <t>DLC</t>
        </is>
      </c>
      <c r="AD29" s="582" t="inlineStr">
        <is>
          <t>DLC</t>
        </is>
      </c>
      <c r="AE29" s="582" t="inlineStr">
        <is>
          <t>DLC_ADJ</t>
        </is>
      </c>
      <c r="AF29" s="582" t="inlineStr">
        <is>
          <t>DALL</t>
        </is>
      </c>
      <c r="AG29" s="171" t="n"/>
      <c r="AH29" s="171" t="n"/>
      <c r="AI29" s="171" t="n"/>
      <c r="AJ29" s="171" t="n"/>
      <c r="AK29" s="171" t="n"/>
      <c r="AL29" s="171" t="n"/>
      <c r="AM29" s="171" t="n"/>
      <c r="AN29" s="171" t="n"/>
      <c r="AO29" s="171" t="n"/>
      <c r="AP29" s="601" t="n"/>
      <c r="AQ29" s="171" t="n"/>
      <c r="AR29" s="171" t="n"/>
    </row>
    <row r="30" hidden="1" customFormat="1" s="171">
      <c r="A30" s="567" t="n"/>
      <c r="B30" s="567">
        <f>IF(_epmOfflineCondition_,"",EPMDimensionType(,A30))</f>
        <v/>
      </c>
      <c r="C30" s="595" t="inlineStr">
        <is>
          <t>PERIODIC</t>
        </is>
      </c>
      <c r="D30" s="573" t="n"/>
      <c r="E30" s="570" t="n"/>
      <c r="F30" s="38" t="n"/>
      <c r="G30" s="38" t="n"/>
      <c r="H30" s="171" t="n"/>
      <c r="I30" s="171" t="n"/>
      <c r="J30" s="171" t="n"/>
      <c r="K30" s="171" t="n"/>
      <c r="L30" s="171" t="n"/>
      <c r="M30" s="171" t="n"/>
      <c r="N30" s="171" t="n"/>
      <c r="O30" s="171" t="n"/>
      <c r="P30" s="171" t="n"/>
      <c r="Q30" s="171" t="n"/>
      <c r="R30" s="171" t="n"/>
      <c r="S30" s="568" t="n"/>
      <c r="T30" s="171" t="n"/>
      <c r="U30" s="171" t="n"/>
      <c r="V30" s="171" t="n"/>
      <c r="W30" s="171" t="n"/>
      <c r="X30" s="171" t="n"/>
      <c r="Y30" s="171" t="n"/>
      <c r="Z30" s="171">
        <f>IF(_epmOfflineCondition_,"平台表单手工输入",EPMMemberDesc(Z29))</f>
        <v/>
      </c>
      <c r="AA30" s="171">
        <f>IF(_epmOfflineCondition_,"单体重分类",EPMMemberDesc(AA29))</f>
        <v/>
      </c>
      <c r="AB30" s="171">
        <f>IF(_epmOfflineCondition_,"单体报表",EPMMemberDesc(AB29))</f>
        <v/>
      </c>
      <c r="AC30" s="171">
        <f>IF(_epmOfflineCondition_,"单体报表",EPMMemberDesc(AC29))</f>
        <v/>
      </c>
      <c r="AD30" s="171">
        <f>IF(_epmOfflineCondition_,"单体报表",EPMMemberDesc(AD29))</f>
        <v/>
      </c>
      <c r="AE30" s="171">
        <f>IF(_epmOfflineCondition_,"单体调整",EPMMemberDesc(AE29))</f>
        <v/>
      </c>
      <c r="AF30" s="38" t="n"/>
      <c r="AG30" s="171" t="n"/>
      <c r="AH30" s="171" t="n"/>
      <c r="AI30" s="171" t="n"/>
      <c r="AJ30" s="171" t="n"/>
      <c r="AK30" s="171" t="n"/>
      <c r="AL30" s="171" t="n"/>
      <c r="AM30" s="171" t="n"/>
      <c r="AN30" s="171" t="n"/>
      <c r="AO30" s="171" t="n"/>
      <c r="AP30" s="601" t="n"/>
      <c r="AQ30" s="171" t="n"/>
      <c r="AR30" s="171" t="n"/>
    </row>
    <row r="31" hidden="1" customFormat="1" s="171">
      <c r="A31" s="171" t="n"/>
      <c r="B31" s="568" t="n"/>
      <c r="C31" s="568" t="n"/>
      <c r="D31" s="568" t="inlineStr">
        <is>
          <t>D1110</t>
        </is>
      </c>
      <c r="E31" s="171" t="n"/>
      <c r="F31" s="171" t="n"/>
      <c r="G31" s="171" t="n"/>
      <c r="H31" s="171" t="n"/>
      <c r="I31" s="171" t="n"/>
      <c r="J31" s="171" t="n"/>
      <c r="K31" s="171" t="n"/>
      <c r="L31" s="171" t="n"/>
      <c r="M31" s="171" t="n"/>
      <c r="N31" s="171" t="n"/>
      <c r="O31" s="171" t="n"/>
      <c r="P31" s="171" t="n"/>
      <c r="Q31" s="171" t="n"/>
      <c r="R31" s="171" t="n"/>
      <c r="S31" s="568" t="n"/>
      <c r="T31" s="171" t="n"/>
      <c r="U31" s="171" t="n"/>
      <c r="V31" s="171" t="n"/>
      <c r="W31" s="171" t="n"/>
      <c r="X31" s="171" t="inlineStr">
        <is>
          <t>MISC</t>
        </is>
      </c>
      <c r="Y31" s="171" t="n"/>
      <c r="Z31" s="38" t="inlineStr">
        <is>
          <t>ZM_DUMMY</t>
        </is>
      </c>
      <c r="AA31" s="38" t="inlineStr">
        <is>
          <t>ZM00701</t>
        </is>
      </c>
      <c r="AB31" s="38" t="inlineStr">
        <is>
          <t>ZM00702</t>
        </is>
      </c>
      <c r="AC31" s="38" t="inlineStr">
        <is>
          <t>ZM00703</t>
        </is>
      </c>
      <c r="AD31" s="171" t="n"/>
      <c r="AE31" s="171" t="n"/>
      <c r="AF31" s="171" t="n"/>
      <c r="AG31" s="171" t="n"/>
      <c r="AH31" s="171" t="n"/>
      <c r="AI31" s="171" t="n"/>
      <c r="AJ31" s="171" t="n"/>
      <c r="AK31" s="171" t="n"/>
      <c r="AL31" s="171" t="n"/>
      <c r="AM31" s="171" t="n"/>
      <c r="AN31" s="171" t="n"/>
      <c r="AO31" s="171" t="n"/>
      <c r="AP31" s="601" t="n"/>
      <c r="AQ31" s="171" t="n"/>
      <c r="AR31" s="171" t="n"/>
    </row>
    <row r="32" hidden="1" customFormat="1" s="171">
      <c r="A32" s="171" t="n"/>
      <c r="B32" s="568" t="n"/>
      <c r="C32" s="568" t="n"/>
      <c r="D32" s="568" t="n"/>
      <c r="E32" s="171" t="n"/>
      <c r="F32" s="171" t="n"/>
      <c r="G32" s="171" t="n"/>
      <c r="H32" s="171" t="n"/>
      <c r="I32" s="171" t="n"/>
      <c r="J32" s="171" t="n"/>
      <c r="K32" s="171" t="n"/>
      <c r="L32" s="171" t="n"/>
      <c r="M32" s="171" t="n"/>
      <c r="N32" s="171" t="n"/>
      <c r="O32" s="171" t="n"/>
      <c r="P32" s="171" t="n"/>
      <c r="Q32" s="171" t="n"/>
      <c r="R32" s="171" t="n"/>
      <c r="S32" s="568" t="n"/>
      <c r="T32" s="171" t="n"/>
      <c r="U32" s="171" t="n"/>
      <c r="V32" s="171" t="n"/>
      <c r="W32" s="171" t="n"/>
      <c r="X32" s="171" t="n"/>
      <c r="Y32" s="171" t="n"/>
      <c r="Z32" s="171">
        <f>IF(_epmOfflineCondition_,"综合无关",EPMMemberDesc(Z31))</f>
        <v/>
      </c>
      <c r="AA32" s="171">
        <f>IF(_epmOfflineCondition_,"人工成本明细表-本年预算",EPMMemberDesc(AA31))</f>
        <v/>
      </c>
      <c r="AB32" s="171">
        <f>IF(_epmOfflineCondition_,"人工成本明细表-本年实发（待删除）",EPMMemberDesc(AB31))</f>
        <v/>
      </c>
      <c r="AC32" s="171">
        <f>IF(_epmOfflineCondition_,"人工成本明细表-本年预算（待删除）",EPMMemberDesc(AC31))</f>
        <v/>
      </c>
      <c r="AD32" s="171" t="n"/>
      <c r="AE32" s="171" t="inlineStr">
        <is>
          <t>C3002</t>
        </is>
      </c>
      <c r="AF32" s="171" t="inlineStr">
        <is>
          <t>D1201</t>
        </is>
      </c>
      <c r="AG32" s="171" t="n"/>
      <c r="AH32" s="171" t="n"/>
      <c r="AI32" s="171" t="n"/>
      <c r="AJ32" s="171" t="n"/>
      <c r="AK32" s="171" t="n"/>
      <c r="AL32" s="171" t="n"/>
      <c r="AM32" s="171" t="n"/>
      <c r="AN32" s="171" t="n"/>
      <c r="AO32" s="171" t="n"/>
      <c r="AP32" s="601" t="n"/>
      <c r="AQ32" s="171" t="n"/>
      <c r="AR32" s="171" t="n"/>
    </row>
    <row r="33" hidden="1" customFormat="1" s="171">
      <c r="A33" s="171" t="n"/>
      <c r="B33" s="568" t="n"/>
      <c r="C33" s="568" t="n"/>
      <c r="D33" s="568" t="n"/>
      <c r="E33" s="171" t="n"/>
      <c r="F33" s="171" t="n"/>
      <c r="G33" s="171" t="n"/>
      <c r="H33" s="171" t="n"/>
      <c r="I33" s="171" t="n"/>
      <c r="J33" s="171" t="n"/>
      <c r="K33" s="171" t="n"/>
      <c r="L33" s="171" t="n"/>
      <c r="M33" s="171" t="n"/>
      <c r="N33" s="171" t="n"/>
      <c r="O33" s="171" t="n"/>
      <c r="P33" s="171" t="n"/>
      <c r="Q33" s="171" t="n"/>
      <c r="R33" s="171" t="n"/>
      <c r="S33" s="568" t="n"/>
      <c r="T33" s="171" t="n"/>
      <c r="U33" s="171" t="n"/>
      <c r="V33" s="171" t="n"/>
      <c r="W33" s="171" t="n"/>
      <c r="X33" s="171" t="n"/>
      <c r="Y33" s="171" t="n"/>
      <c r="Z33" s="171" t="n"/>
      <c r="AA33" s="171" t="n"/>
      <c r="AB33" s="171" t="n"/>
      <c r="AC33" s="171" t="n"/>
      <c r="AD33" s="171" t="n"/>
      <c r="AE33" s="171" t="n"/>
      <c r="AF33" s="171" t="n"/>
      <c r="AG33" s="171" t="n"/>
      <c r="AH33" s="171" t="n"/>
      <c r="AI33" s="171" t="n"/>
      <c r="AJ33" s="171" t="n"/>
      <c r="AK33" s="171" t="n"/>
      <c r="AL33" s="171" t="n"/>
      <c r="AM33" s="171" t="n"/>
      <c r="AN33" s="171" t="n"/>
      <c r="AO33" s="171" t="n"/>
      <c r="AP33" s="601" t="n"/>
      <c r="AQ33" s="171" t="n"/>
      <c r="AR33" s="171" t="n"/>
    </row>
    <row r="34" ht="10.5" customFormat="1" customHeight="1" s="171">
      <c r="A34" s="171" t="n"/>
      <c r="B34" s="568" t="n"/>
      <c r="C34" s="568" t="n"/>
      <c r="D34" s="568" t="n"/>
      <c r="E34" s="171" t="n"/>
      <c r="F34" s="171" t="n"/>
      <c r="G34" s="171" t="n"/>
      <c r="H34" s="171" t="n"/>
      <c r="I34" s="171" t="n"/>
      <c r="J34" s="171" t="n"/>
      <c r="K34" s="171" t="n"/>
      <c r="L34" s="171" t="n"/>
      <c r="M34" s="171" t="n"/>
      <c r="N34" s="171" t="n"/>
      <c r="O34" s="171" t="n"/>
      <c r="P34" s="171" t="n"/>
      <c r="Q34" s="171" t="n"/>
      <c r="R34" s="171" t="n"/>
      <c r="S34" s="568" t="n"/>
      <c r="T34" s="171" t="n"/>
      <c r="U34" s="171" t="n"/>
      <c r="V34" s="171" t="n"/>
      <c r="W34" s="171" t="n"/>
      <c r="X34" s="171" t="n"/>
      <c r="Y34" s="171" t="n"/>
      <c r="Z34" s="171" t="n"/>
      <c r="AA34" s="171" t="n"/>
      <c r="AB34" s="171" t="n"/>
      <c r="AC34" s="171" t="n"/>
      <c r="AD34" s="171" t="n"/>
      <c r="AE34" s="171" t="n"/>
      <c r="AF34" s="171" t="n"/>
      <c r="AG34" s="171" t="n"/>
      <c r="AH34" s="171" t="n"/>
      <c r="AI34" s="171" t="n"/>
      <c r="AJ34" s="171" t="n"/>
      <c r="AK34" s="171" t="n"/>
      <c r="AL34" s="575" t="n"/>
      <c r="AM34" s="171" t="n"/>
      <c r="AN34" s="171" t="n"/>
      <c r="AO34" s="171" t="n"/>
      <c r="AP34" s="601" t="n"/>
      <c r="AQ34" s="171" t="n"/>
      <c r="AR34" s="171" t="n"/>
    </row>
    <row r="35" ht="32.25" customHeight="1" s="1181">
      <c r="A35" s="38" t="n"/>
      <c r="B35" s="38" t="n"/>
      <c r="C35" s="38" t="n"/>
      <c r="D35" s="38" t="n"/>
      <c r="E35" s="38" t="n"/>
      <c r="F35" s="38" t="n"/>
      <c r="G35" s="38" t="n"/>
      <c r="H35" s="38" t="n"/>
      <c r="I35" s="38" t="n"/>
      <c r="J35" s="38" t="n"/>
      <c r="K35" s="38" t="n"/>
      <c r="L35" s="38" t="n"/>
      <c r="M35" s="38" t="n"/>
      <c r="N35" s="38" t="n"/>
      <c r="O35" s="38" t="n"/>
      <c r="P35" s="38" t="n"/>
      <c r="Q35" s="38" t="n"/>
      <c r="R35" s="38" t="n"/>
      <c r="S35" s="580" t="n"/>
      <c r="T35" s="38" t="n"/>
      <c r="U35" s="38" t="n"/>
      <c r="V35" s="38" t="n"/>
      <c r="W35" s="38" t="n"/>
      <c r="X35" s="38" t="n"/>
      <c r="Y35" s="38" t="n"/>
      <c r="Z35" s="760" t="inlineStr">
        <is>
          <t>单体：上下文Entity选择本单体，Scope选择G_DUMMY，币种选LC</t>
        </is>
      </c>
      <c r="AA35" s="733" t="n"/>
      <c r="AB35" s="733" t="n"/>
      <c r="AC35" s="620" t="n"/>
      <c r="AD35" s="620" t="inlineStr">
        <is>
          <t>人工成本明细表</t>
        </is>
      </c>
      <c r="AE35" s="620" t="n"/>
      <c r="AF35" s="38" t="n"/>
      <c r="AG35" s="38" t="n"/>
      <c r="AH35" s="38" t="n"/>
      <c r="AI35" s="38" t="n"/>
      <c r="AJ35" s="38" t="n"/>
      <c r="AK35" s="38" t="n"/>
      <c r="AL35" s="38" t="n"/>
      <c r="AM35" s="38" t="n"/>
      <c r="AN35" s="38" t="n"/>
      <c r="AO35" s="38" t="n"/>
      <c r="AP35" s="38" t="n"/>
      <c r="AQ35" s="38" t="n"/>
      <c r="AR35" s="38" t="n"/>
    </row>
    <row r="36" ht="15.2" customFormat="1" customHeight="1" s="575">
      <c r="A36" s="575" t="n"/>
      <c r="B36" s="575" t="n"/>
      <c r="C36" s="575" t="n"/>
      <c r="D36" s="575" t="n"/>
      <c r="E36" s="575" t="n"/>
      <c r="F36" s="575" t="n"/>
      <c r="G36" s="575" t="n"/>
      <c r="H36" s="575" t="n"/>
      <c r="I36" s="575" t="n"/>
      <c r="J36" s="575" t="n"/>
      <c r="K36" s="575" t="n"/>
      <c r="L36" s="575" t="n"/>
      <c r="M36" s="575" t="n"/>
      <c r="N36" s="575" t="n"/>
      <c r="O36" s="575" t="n"/>
      <c r="P36" s="575" t="n"/>
      <c r="Q36" s="575" t="n"/>
      <c r="R36" s="575" t="n"/>
      <c r="S36" s="726" t="n"/>
      <c r="T36" s="575" t="n"/>
      <c r="U36" s="575" t="n"/>
      <c r="V36" s="575" t="n"/>
      <c r="W36" s="575" t="n"/>
      <c r="X36" s="190">
        <f>"编制单位："&amp;(IF(C6="E_ALL",D11,D6))</f>
        <v/>
      </c>
      <c r="Y36" s="190" t="n"/>
      <c r="Z36" s="760" t="inlineStr">
        <is>
          <t>合并层：上下文C_Scope选择对应的合并范围，C_Entity选择E_ALL，币种选CNY</t>
        </is>
      </c>
      <c r="AA36" s="116" t="n"/>
      <c r="AB36" s="451" t="n"/>
      <c r="AC36" s="575" t="n"/>
      <c r="AD36" s="575" t="n"/>
      <c r="AE36" s="575" t="n"/>
      <c r="AF36" s="575" t="n"/>
      <c r="AG36" s="575" t="n"/>
      <c r="AH36" s="575" t="n"/>
      <c r="AI36" s="575" t="n"/>
      <c r="AJ36" s="575" t="n"/>
      <c r="AK36" s="575" t="n"/>
      <c r="AL36" s="575" t="n"/>
      <c r="AM36" s="575" t="n"/>
      <c r="AN36" s="575" t="n"/>
      <c r="AO36" s="575" t="n"/>
      <c r="AP36" s="575" t="n"/>
      <c r="AQ36" s="575" t="n"/>
      <c r="AR36" s="575" t="n"/>
    </row>
    <row r="37" ht="15.2" customFormat="1" customHeight="1" s="575">
      <c r="A37" s="575" t="n"/>
      <c r="B37" s="575" t="n"/>
      <c r="C37" s="575" t="n"/>
      <c r="D37" s="575" t="n"/>
      <c r="E37" s="575" t="n"/>
      <c r="F37" s="575" t="n"/>
      <c r="G37" s="575" t="n"/>
      <c r="H37" s="575" t="n"/>
      <c r="I37" s="575" t="n"/>
      <c r="J37" s="575" t="n"/>
      <c r="K37" s="575" t="n"/>
      <c r="L37" s="575" t="n"/>
      <c r="M37" s="575" t="n"/>
      <c r="N37" s="575" t="n"/>
      <c r="O37" s="575" t="n"/>
      <c r="P37" s="575" t="n"/>
      <c r="Q37" s="575" t="n"/>
      <c r="R37" s="575" t="n"/>
      <c r="S37" s="726" t="n"/>
      <c r="T37" s="575" t="n"/>
      <c r="U37" s="575" t="n"/>
      <c r="V37" s="575" t="n"/>
      <c r="W37" s="575" t="n"/>
      <c r="X37" s="190">
        <f>"编制月份："&amp;$I$3&amp;"年"&amp;$I$8&amp;"月"</f>
        <v/>
      </c>
      <c r="Y37" s="190" t="n"/>
      <c r="Z37" s="734" t="inlineStr">
        <is>
          <t>币种：</t>
        </is>
      </c>
      <c r="AA37" s="734" t="inlineStr">
        <is>
          <t>LC</t>
        </is>
      </c>
      <c r="AB37" s="735" t="inlineStr">
        <is>
          <t>操作提示：表单默认币种LC（本位币），外币记账单位，可点击左侧，更换币种，更换后点击EPM选项卡中的“刷新”按钮</t>
        </is>
      </c>
      <c r="AC37" s="575" t="n"/>
      <c r="AD37" s="575" t="n"/>
      <c r="AE37" s="575" t="n"/>
      <c r="AF37" s="575" t="n"/>
      <c r="AG37" s="575" t="n"/>
      <c r="AH37" s="575" t="n"/>
      <c r="AI37" s="621" t="inlineStr">
        <is>
          <t>金额单位：元</t>
        </is>
      </c>
      <c r="AJ37" s="575" t="n"/>
      <c r="AK37" s="575" t="n"/>
      <c r="AL37" s="575" t="n"/>
      <c r="AM37" s="575" t="n"/>
      <c r="AN37" s="575" t="n"/>
      <c r="AO37" s="575" t="n"/>
      <c r="AP37" s="575" t="n"/>
      <c r="AQ37" s="575" t="n"/>
      <c r="AR37" s="575" t="n"/>
    </row>
    <row r="38" ht="10.35" customFormat="1" customHeight="1" s="575">
      <c r="A38" s="575" t="n"/>
      <c r="B38" s="575" t="n"/>
      <c r="C38" s="575" t="n"/>
      <c r="D38" s="575" t="n"/>
      <c r="E38" s="575" t="n"/>
      <c r="F38" s="575" t="n"/>
      <c r="G38" s="575" t="n"/>
      <c r="H38" s="575" t="n"/>
      <c r="I38" s="575" t="n"/>
      <c r="J38" s="575" t="n"/>
      <c r="K38" s="575" t="n"/>
      <c r="L38" s="575" t="n"/>
      <c r="M38" s="575" t="n"/>
      <c r="N38" s="575" t="n"/>
      <c r="O38" s="575" t="n"/>
      <c r="P38" s="575" t="n"/>
      <c r="Q38" s="575" t="n"/>
      <c r="R38" s="575" t="n"/>
      <c r="S38" s="726" t="n"/>
      <c r="T38" s="575" t="n"/>
      <c r="U38" s="575" t="n"/>
      <c r="V38" s="575" t="n"/>
      <c r="W38" s="575" t="n"/>
      <c r="X38" s="190" t="n"/>
      <c r="Y38" s="190" t="n"/>
      <c r="Z38" s="575" t="n"/>
      <c r="AA38" s="575" t="n"/>
      <c r="AB38" s="451" t="n"/>
      <c r="AC38" s="575" t="n"/>
      <c r="AD38" s="621" t="n"/>
      <c r="AE38" s="575" t="n"/>
      <c r="AF38" s="575" t="n"/>
      <c r="AG38" s="575" t="n"/>
      <c r="AH38" s="575" t="n"/>
      <c r="AI38" s="575" t="n"/>
      <c r="AJ38" s="575" t="n"/>
      <c r="AK38" s="575" t="n"/>
      <c r="AL38" s="575" t="n"/>
      <c r="AM38" s="575" t="n"/>
      <c r="AN38" s="575" t="n"/>
      <c r="AO38" s="575" t="n"/>
      <c r="AP38" s="575" t="n"/>
      <c r="AQ38" s="575" t="n"/>
      <c r="AR38" s="575" t="n"/>
    </row>
    <row r="39" ht="16.5" customFormat="1" customHeight="1" s="575">
      <c r="A39" s="575" t="n"/>
      <c r="B39" s="575" t="n"/>
      <c r="C39" s="575" t="n"/>
      <c r="D39" s="575" t="n"/>
      <c r="E39" s="575" t="n"/>
      <c r="F39" s="575" t="n"/>
      <c r="G39" s="575" t="n"/>
      <c r="H39" s="575" t="n"/>
      <c r="I39" s="575" t="n"/>
      <c r="J39" s="575" t="n"/>
      <c r="K39" s="575" t="n"/>
      <c r="L39" s="575" t="n"/>
      <c r="M39" s="575" t="n"/>
      <c r="N39" s="575" t="n"/>
      <c r="O39" s="575" t="n"/>
      <c r="P39" s="575" t="n"/>
      <c r="Q39" s="575" t="n"/>
      <c r="R39" s="575" t="n"/>
      <c r="S39" s="726" t="n"/>
      <c r="T39" s="575" t="n"/>
      <c r="U39" s="575" t="n"/>
      <c r="V39" s="575" t="n"/>
      <c r="W39" s="575" t="n"/>
      <c r="X39" s="450" t="inlineStr">
        <is>
          <t>项        目</t>
        </is>
      </c>
      <c r="Y39" s="450" t="inlineStr">
        <is>
          <t>行次</t>
        </is>
      </c>
      <c r="Z39" s="522" t="inlineStr">
        <is>
          <t>本年计提</t>
        </is>
      </c>
      <c r="AA39" s="1182" t="n"/>
      <c r="AB39" s="1182" t="n"/>
      <c r="AC39" s="1182" t="n"/>
      <c r="AD39" s="1182" t="n"/>
      <c r="AE39" s="1183" t="n"/>
      <c r="AF39" s="450" t="inlineStr">
        <is>
          <t>本年实发</t>
        </is>
      </c>
      <c r="AG39" s="1182" t="n"/>
      <c r="AH39" s="1182" t="n"/>
      <c r="AI39" s="1183" t="n"/>
      <c r="AJ39" s="595" t="inlineStr">
        <is>
          <t>取正负数</t>
        </is>
      </c>
      <c r="AK39" s="595" t="inlineStr">
        <is>
          <t>取正负数</t>
        </is>
      </c>
      <c r="AL39" s="595" t="inlineStr">
        <is>
          <t>取正负数</t>
        </is>
      </c>
      <c r="AM39" s="575" t="n"/>
      <c r="AN39" s="575" t="n"/>
      <c r="AO39" s="575" t="n"/>
      <c r="AP39" s="575" t="n"/>
      <c r="AQ39" s="575" t="n"/>
      <c r="AR39" s="575" t="n"/>
    </row>
    <row r="40" ht="16" customFormat="1" customHeight="1" s="575">
      <c r="A40" s="575" t="n"/>
      <c r="B40" s="575" t="n"/>
      <c r="C40" s="575" t="n"/>
      <c r="D40" s="575" t="n"/>
      <c r="E40" s="575" t="n"/>
      <c r="F40" s="575" t="n"/>
      <c r="G40" s="575" t="n"/>
      <c r="H40" s="575" t="n"/>
      <c r="I40" s="575" t="n"/>
      <c r="J40" s="575" t="n"/>
      <c r="K40" s="575" t="n"/>
      <c r="L40" s="575" t="n"/>
      <c r="M40" s="575" t="n"/>
      <c r="N40" s="575" t="n"/>
      <c r="O40" s="575" t="n"/>
      <c r="P40" s="575" t="n"/>
      <c r="Q40" s="575" t="n"/>
      <c r="R40" s="575" t="n"/>
      <c r="S40" s="726" t="n"/>
      <c r="T40" s="575" t="n"/>
      <c r="U40" s="575" t="n"/>
      <c r="V40" s="575" t="n"/>
      <c r="W40" s="575" t="n"/>
      <c r="X40" s="1184" t="n"/>
      <c r="Y40" s="1184" t="n"/>
      <c r="Z40" s="522" t="inlineStr">
        <is>
          <t>本月数</t>
        </is>
      </c>
      <c r="AA40" s="522" t="inlineStr">
        <is>
          <t>本年累计数</t>
        </is>
      </c>
      <c r="AB40" s="522" t="inlineStr">
        <is>
          <t>上年同期累计数</t>
        </is>
      </c>
      <c r="AC40" s="450" t="inlineStr">
        <is>
          <t>本年累计同比增减（%）</t>
        </is>
      </c>
      <c r="AD40" s="450" t="inlineStr">
        <is>
          <t>本年预算</t>
        </is>
      </c>
      <c r="AE40" s="450" t="inlineStr">
        <is>
          <t>完成预算（%）</t>
        </is>
      </c>
      <c r="AF40" s="450" t="inlineStr">
        <is>
          <t>本月数</t>
        </is>
      </c>
      <c r="AG40" s="450" t="inlineStr">
        <is>
          <t>本年累计数</t>
        </is>
      </c>
      <c r="AH40" s="450" t="inlineStr">
        <is>
          <t>上年同期累计数</t>
        </is>
      </c>
      <c r="AI40" s="450" t="inlineStr">
        <is>
          <t>本年累计同比增减（%）</t>
        </is>
      </c>
      <c r="AJ40" s="450" t="inlineStr">
        <is>
          <t>本月数</t>
        </is>
      </c>
      <c r="AK40" s="450" t="inlineStr">
        <is>
          <t>本年累计数</t>
        </is>
      </c>
      <c r="AL40" s="450" t="inlineStr">
        <is>
          <t>上年同期累计数</t>
        </is>
      </c>
      <c r="AM40" s="575" t="n"/>
      <c r="AN40" s="1024" t="n"/>
      <c r="AO40" s="575" t="n"/>
      <c r="AP40" s="575" t="n"/>
      <c r="AQ40" s="575" t="n"/>
      <c r="AR40" s="575" t="n"/>
    </row>
    <row r="41" hidden="1" ht="16" customFormat="1" customHeight="1" s="726">
      <c r="A41" s="726" t="n"/>
      <c r="B41" s="726" t="n"/>
      <c r="C41" s="726" t="n"/>
      <c r="D41" s="726" t="n"/>
      <c r="E41" s="726" t="n"/>
      <c r="F41" s="726" t="n"/>
      <c r="G41" s="726" t="n"/>
      <c r="H41" s="726" t="n"/>
      <c r="I41" s="726" t="n"/>
      <c r="J41" s="726" t="n"/>
      <c r="K41" s="726" t="n"/>
      <c r="L41" s="726" t="n"/>
      <c r="M41" s="726" t="n"/>
      <c r="N41" s="726" t="n"/>
      <c r="O41" s="726" t="n"/>
      <c r="P41" s="726" t="n"/>
      <c r="Q41" s="726" t="n"/>
      <c r="R41" s="726" t="n"/>
      <c r="S41" s="726" t="n"/>
      <c r="T41" s="726" t="n"/>
      <c r="U41" s="726" t="n"/>
      <c r="V41" s="726" t="n"/>
      <c r="W41" s="726" t="n"/>
      <c r="X41" s="451" t="inlineStr">
        <is>
          <t>time</t>
        </is>
      </c>
      <c r="Y41" s="726" t="n"/>
      <c r="Z41" s="738">
        <f>IF(_epmOfflineCondition_,"2025.03",EPMOlapMemberO($I$11,"[C_TIME].[PARENTH1].[2025.03]","2025.03 - 2025.03","","000"))</f>
        <v/>
      </c>
      <c r="AA41" s="738">
        <f>IF(_epmOfflineCondition_,"2025.03",EPMOlapMemberO($I$11,"[C_TIME].[PARENTH1].[2025.03]","2025.03 - 2025.03","","000"))</f>
        <v/>
      </c>
      <c r="AB41" s="743">
        <f>IF(_epmOfflineCondition_,"2024.03",EPMOlapMemberO($AD$26,"[C_TIME].[PARENTH1].[2024.03]","2024.03 - 2024.03","","000"))</f>
        <v/>
      </c>
      <c r="AC41" s="743" t="n"/>
      <c r="AD41" s="743">
        <f>IF(_epmOfflineCondition_,"2025.03",EPMOlapMemberO($I$11,"[C_TIME].[PARENTH1].[2025.03]","2025.03 - 2025.03","","000"))</f>
        <v/>
      </c>
      <c r="AE41" s="743" t="n"/>
      <c r="AF41" s="743">
        <f>IF(_epmOfflineCondition_,"2025.03",EPMOlapMemberO($I$11,"[C_TIME].[PARENTH1].[2025.03]","2025.03 - 2025.03","","000"))</f>
        <v/>
      </c>
      <c r="AG41" s="743">
        <f>IF(_epmOfflineCondition_,"2025.03",EPMOlapMemberO($I$11,"[C_TIME].[PARENTH1].[2025.03]","2025.03 - 2025.03","","000"))</f>
        <v/>
      </c>
      <c r="AH41" s="743">
        <f>IF(_epmOfflineCondition_,"2024.03",EPMOlapMemberO($AD$26,"[C_TIME].[PARENTH1].[2024.03]","2024.03 - 2024.03","","000"))</f>
        <v/>
      </c>
      <c r="AI41" s="743" t="n"/>
      <c r="AJ41" s="738">
        <f>IF(_epmOfflineCondition_,"2025.03",EPMOlapMemberO($I$11,"[C_TIME].[PARENTH1].[2025.03]","2025.03 - 2025.03","","000"))</f>
        <v/>
      </c>
      <c r="AK41" s="738">
        <f>IF(_epmOfflineCondition_,"2025.03",EPMOlapMemberO($I$11,"[C_TIME].[PARENTH1].[2025.03]","2025.03 - 2025.03","","000"))</f>
        <v/>
      </c>
      <c r="AL41" s="743">
        <f>IF(_epmOfflineCondition_,"2024.03",EPMOlapMemberO($AD$26,"[C_TIME].[PARENTH1].[2024.03]","2024.03 - 2024.03","","000"))</f>
        <v/>
      </c>
      <c r="AM41" s="726" t="n"/>
      <c r="AN41" s="716" t="n"/>
      <c r="AO41" s="726" t="n"/>
      <c r="AP41" s="726" t="n"/>
      <c r="AQ41" s="726" t="n"/>
      <c r="AR41" s="726" t="n"/>
    </row>
    <row r="42" hidden="1" ht="14.25" customFormat="1" customHeight="1" s="576">
      <c r="A42" s="576" t="n"/>
      <c r="B42" s="576" t="n"/>
      <c r="C42" s="576" t="n"/>
      <c r="D42" s="576" t="n"/>
      <c r="E42" s="576" t="n"/>
      <c r="F42" s="576" t="n"/>
      <c r="G42" s="576" t="n"/>
      <c r="H42" s="576" t="n"/>
      <c r="I42" s="576" t="n"/>
      <c r="J42" s="576" t="n"/>
      <c r="K42" s="576" t="n"/>
      <c r="L42" s="576" t="n"/>
      <c r="M42" s="576" t="n"/>
      <c r="N42" s="576" t="n"/>
      <c r="O42" s="576" t="n"/>
      <c r="P42" s="576" t="n"/>
      <c r="Q42" s="576" t="n"/>
      <c r="R42" s="576" t="n"/>
      <c r="S42" s="576" t="n"/>
      <c r="T42" s="576" t="n"/>
      <c r="U42" s="576" t="n"/>
      <c r="V42" s="576" t="n"/>
      <c r="W42" s="576" t="n"/>
      <c r="X42" s="451" t="inlineStr">
        <is>
          <t>category</t>
        </is>
      </c>
      <c r="Y42" s="726" t="n"/>
      <c r="Z42" s="469">
        <f>IF(_epmOfflineCondition_,"C1001",EPMOlapMemberO($Z$25,"[C_CATEGORY].[PARENTH1].[C1001]","C1001 - 实际数/决算数","","000"))</f>
        <v/>
      </c>
      <c r="AA42" s="469">
        <f>IF(_epmOfflineCondition_,"C1001",EPMOlapMemberO($Z$25,"[C_CATEGORY].[PARENTH1].[C1001]","C1001 - 实际数/决算数","","000"))</f>
        <v/>
      </c>
      <c r="AB42" s="469">
        <f>IF(_epmOfflineCondition_,"C1001",EPMOlapMemberO($Z$25,"[C_CATEGORY].[PARENTH1].[C1001]","C1001 - 实际数/决算数","","000"))</f>
        <v/>
      </c>
      <c r="AC42" s="469" t="n"/>
      <c r="AD42" s="469">
        <f>IF(_epmOfflineCondition_,"C3002",EPMOlapMemberO($AE$32,"[C_CATEGORY].[PARENTH1].[C3002]","C3002 - 月度预算（原""预算数（终稿）"")","","000"))</f>
        <v/>
      </c>
      <c r="AE42" s="469" t="n"/>
      <c r="AF42" s="469">
        <f>IF(_epmOfflineCondition_,"C1001",EPMOlapMemberO($Z$25,"[C_CATEGORY].[PARENTH1].[C1001]","C1001 - 实际数/决算数","","000"))</f>
        <v/>
      </c>
      <c r="AG42" s="469">
        <f>IF(_epmOfflineCondition_,"C1001",EPMOlapMemberO($Z$25,"[C_CATEGORY].[PARENTH1].[C1001]","C1001 - 实际数/决算数","","000"))</f>
        <v/>
      </c>
      <c r="AH42" s="469">
        <f>IF(_epmOfflineCondition_,"C1001",EPMOlapMemberO($Z$25,"[C_CATEGORY].[PARENTH1].[C1001]","C1001 - 实际数/决算数","","000"))</f>
        <v/>
      </c>
      <c r="AI42" s="469" t="n"/>
      <c r="AJ42" s="469">
        <f>IF(_epmOfflineCondition_,"C1001",EPMOlapMemberO($Z$25,"[C_CATEGORY].[PARENTH1].[C1001]","C1001 - 实际数/决算数","","000"))</f>
        <v/>
      </c>
      <c r="AK42" s="469">
        <f>IF(_epmOfflineCondition_,"C1001",EPMOlapMemberO($Z$25,"[C_CATEGORY].[PARENTH1].[C1001]","C1001 - 实际数/决算数","","000"))</f>
        <v/>
      </c>
      <c r="AL42" s="469">
        <f>IF(_epmOfflineCondition_,"C1001",EPMOlapMemberO($Z$25,"[C_CATEGORY].[PARENTH1].[C1001]","C1001 - 实际数/决算数","","000"))</f>
        <v/>
      </c>
      <c r="AM42" s="576" t="n"/>
      <c r="AN42" s="716" t="n"/>
      <c r="AO42" s="576" t="n"/>
      <c r="AP42" s="576" t="n"/>
      <c r="AQ42" s="576" t="n"/>
      <c r="AR42" s="576" t="n"/>
    </row>
    <row r="43" hidden="1" ht="14.25" customFormat="1" customHeight="1" s="575">
      <c r="A43" s="575" t="n"/>
      <c r="B43" s="575" t="n"/>
      <c r="C43" s="575" t="n"/>
      <c r="D43" s="575" t="n"/>
      <c r="E43" s="575" t="n"/>
      <c r="F43" s="575" t="n"/>
      <c r="G43" s="575" t="n"/>
      <c r="H43" s="575" t="n"/>
      <c r="I43" s="575" t="n"/>
      <c r="J43" s="575" t="n"/>
      <c r="K43" s="575" t="n"/>
      <c r="L43" s="575" t="n"/>
      <c r="M43" s="575" t="n"/>
      <c r="N43" s="575" t="n"/>
      <c r="O43" s="575" t="n"/>
      <c r="P43" s="575" t="n"/>
      <c r="Q43" s="575" t="n"/>
      <c r="R43" s="575" t="n"/>
      <c r="S43" s="726" t="n"/>
      <c r="T43" s="575" t="n"/>
      <c r="U43" s="575" t="n"/>
      <c r="V43" s="575" t="n"/>
      <c r="W43" s="575" t="n"/>
      <c r="X43" s="451" t="inlineStr">
        <is>
          <t>audittrail</t>
        </is>
      </c>
      <c r="Y43" s="451" t="n"/>
      <c r="Z43" s="595">
        <f>IF(_epmOfflineCondition_,"DALL",EPMOlapMemberO($AF$29,"[C_AUDITTRAIL].[PARENTH1].[DALL]","DALL - 合并后","","000"))</f>
        <v/>
      </c>
      <c r="AA43" s="595">
        <f>IF(_epmOfflineCondition_,"DALL",EPMOlapMemberO($AF$29,"[C_AUDITTRAIL].[PARENTH1].[DALL]","DALL - 合并后","","000"))</f>
        <v/>
      </c>
      <c r="AB43" s="595">
        <f>IF(_epmOfflineCondition_,"DALL",EPMOlapMemberO($AF$29,"[C_AUDITTRAIL].[PARENTH1].[DALL]","DALL - 合并后","","000"))</f>
        <v/>
      </c>
      <c r="AC43" s="595" t="n"/>
      <c r="AD43" s="595">
        <f>IF(_epmOfflineCondition_,"D1201",EPMOlapMemberO($AF$32,"[C_AUDITTRAIL].[PARENTH1].[D1201]","D1201 - 来自预算","","000"))</f>
        <v/>
      </c>
      <c r="AE43" s="595" t="n"/>
      <c r="AF43" s="595">
        <f>IF(_epmOfflineCondition_,"DALL",EPMOlapMemberO($AF$29,"[C_AUDITTRAIL].[PARENTH1].[DALL]","DALL - 合并后","","000"))</f>
        <v/>
      </c>
      <c r="AG43" s="595">
        <f>IF(_epmOfflineCondition_,"DALL",EPMOlapMemberO($AF$29,"[C_AUDITTRAIL].[PARENTH1].[DALL]","DALL - 合并后","","000"))</f>
        <v/>
      </c>
      <c r="AH43" s="595">
        <f>IF(_epmOfflineCondition_,"DALL",EPMOlapMemberO($AF$29,"[C_AUDITTRAIL].[PARENTH1].[DALL]","DALL - 合并后","","000"))</f>
        <v/>
      </c>
      <c r="AI43" s="595" t="n"/>
      <c r="AJ43" s="595">
        <f>IF(_epmOfflineCondition_,"DALL",EPMOlapMemberO($AF$29,"[C_AUDITTRAIL].[PARENTH1].[DALL]","DALL - 合并后","","000"))</f>
        <v/>
      </c>
      <c r="AK43" s="595">
        <f>IF(_epmOfflineCondition_,"DALL",EPMOlapMemberO($AF$29,"[C_AUDITTRAIL].[PARENTH1].[DALL]","DALL - 合并后","","000"))</f>
        <v/>
      </c>
      <c r="AL43" s="595">
        <f>IF(_epmOfflineCondition_,"DALL",EPMOlapMemberO($AF$29,"[C_AUDITTRAIL].[PARENTH1].[DALL]","DALL - 合并后","","000"))</f>
        <v/>
      </c>
      <c r="AM43" s="575" t="n"/>
      <c r="AN43" s="716" t="n"/>
      <c r="AO43" s="575" t="n"/>
      <c r="AP43" s="575" t="n"/>
      <c r="AQ43" s="575" t="n"/>
      <c r="AR43" s="575" t="n"/>
    </row>
    <row r="44" hidden="1" ht="13.5" customFormat="1" customHeight="1" s="575">
      <c r="A44" s="575" t="n"/>
      <c r="B44" s="575" t="n"/>
      <c r="C44" s="575" t="n"/>
      <c r="D44" s="575" t="n"/>
      <c r="E44" s="575" t="n"/>
      <c r="F44" s="575" t="n"/>
      <c r="G44" s="575" t="n"/>
      <c r="H44" s="575" t="n"/>
      <c r="I44" s="575" t="n"/>
      <c r="J44" s="575" t="n"/>
      <c r="K44" s="575" t="n"/>
      <c r="L44" s="575" t="n"/>
      <c r="M44" s="575" t="n"/>
      <c r="N44" s="575" t="n"/>
      <c r="O44" s="575" t="n"/>
      <c r="P44" s="575" t="n"/>
      <c r="Q44" s="575" t="n"/>
      <c r="R44" s="575" t="n"/>
      <c r="S44" s="726" t="n"/>
      <c r="T44" s="575" t="n"/>
      <c r="U44" s="575" t="n"/>
      <c r="V44" s="575" t="n"/>
      <c r="W44" s="575" t="n"/>
      <c r="X44" s="451" t="inlineStr">
        <is>
          <t>flow</t>
        </is>
      </c>
      <c r="Y44" s="451" t="n"/>
      <c r="Z44" s="595">
        <f>IF(_epmOfflineCondition_,"F20",EPMOlapMemberO($Z$28,"[C_FLOW].[PARENTH1].[F20]","F20 - 本期增加","","000"))</f>
        <v/>
      </c>
      <c r="AA44" s="595">
        <f>IF(_epmOfflineCondition_,"F20",EPMOlapMemberO($Z$28,"[C_FLOW].[PARENTH1].[F20]","F20 - 本期增加","","000"))</f>
        <v/>
      </c>
      <c r="AB44" s="595">
        <f>IF(_epmOfflineCondition_,"F20",EPMOlapMemberO($Z$28,"[C_FLOW].[PARENTH1].[F20]","F20 - 本期增加","","000"))</f>
        <v/>
      </c>
      <c r="AC44" s="595" t="n"/>
      <c r="AD44" s="595">
        <f>IF(_epmOfflineCondition_,"F20",EPMOlapMemberO($Z$28,"[C_FLOW].[PARENTH1].[F20]","F20 - 本期增加","","000"))</f>
        <v/>
      </c>
      <c r="AE44" s="595" t="n"/>
      <c r="AF44" s="595">
        <f>IF(_epmOfflineCondition_,"F30",EPMOlapMemberO($AA$28,"[C_FLOW].[PARENTH1].[F30]","F30 - 本期减少","","000"))</f>
        <v/>
      </c>
      <c r="AG44" s="595">
        <f>IF(_epmOfflineCondition_,"F30",EPMOlapMemberO($AA$28,"[C_FLOW].[PARENTH1].[F30]","F30 - 本期减少","","000"))</f>
        <v/>
      </c>
      <c r="AH44" s="595">
        <f>IF(_epmOfflineCondition_,"F30",EPMOlapMemberO($AA$28,"[C_FLOW].[PARENTH1].[F30]","F30 - 本期减少","","000"))</f>
        <v/>
      </c>
      <c r="AI44" s="595" t="n"/>
      <c r="AJ44" s="595">
        <f>IF(_epmOfflineCondition_,"F30",EPMOlapMemberO($AA$28,"[C_FLOW].[PARENTH1].[F30]","F30 - 本期减少","","000"))</f>
        <v/>
      </c>
      <c r="AK44" s="595">
        <f>IF(_epmOfflineCondition_,"F30",EPMOlapMemberO($AA$28,"[C_FLOW].[PARENTH1].[F30]","F30 - 本期减少","","000"))</f>
        <v/>
      </c>
      <c r="AL44" s="595">
        <f>IF(_epmOfflineCondition_,"F30",EPMOlapMemberO($AA$28,"[C_FLOW].[PARENTH1].[F30]","F30 - 本期减少","","000"))</f>
        <v/>
      </c>
      <c r="AM44" s="575" t="n"/>
      <c r="AN44" s="182" t="n"/>
      <c r="AO44" s="575" t="n"/>
      <c r="AP44" s="575" t="n"/>
      <c r="AQ44" s="575" t="n"/>
      <c r="AR44" s="575" t="n"/>
    </row>
    <row r="45" hidden="1" ht="13.5" customFormat="1" customHeight="1" s="575">
      <c r="A45" s="575" t="n"/>
      <c r="B45" s="575" t="n"/>
      <c r="C45" s="575" t="n"/>
      <c r="D45" s="575" t="n"/>
      <c r="E45" s="575" t="n"/>
      <c r="F45" s="575" t="n"/>
      <c r="G45" s="575" t="n"/>
      <c r="H45" s="575" t="n"/>
      <c r="I45" s="575" t="n"/>
      <c r="J45" s="575" t="n"/>
      <c r="K45" s="575" t="n"/>
      <c r="L45" s="575" t="n"/>
      <c r="M45" s="575" t="n"/>
      <c r="N45" s="575" t="n"/>
      <c r="O45" s="575" t="n"/>
      <c r="P45" s="575" t="n"/>
      <c r="Q45" s="575" t="n"/>
      <c r="R45" s="575" t="n"/>
      <c r="S45" s="726" t="n"/>
      <c r="T45" s="575" t="n"/>
      <c r="U45" s="575" t="n"/>
      <c r="V45" s="583" t="n"/>
      <c r="W45" s="575" t="n"/>
      <c r="X45" s="451" t="inlineStr">
        <is>
          <t>measures</t>
        </is>
      </c>
      <c r="Y45" s="451" t="n"/>
      <c r="Z45" s="595">
        <f>IF(_epmOfflineCondition_,"Periodic",EPMOlapMemberO($AB$27,"[MEASURES].[].[PERIODIC]","PERIODIC - Periodic","","000"))</f>
        <v/>
      </c>
      <c r="AA45" s="595">
        <f>IF(_epmOfflineCondition_,"YTD",EPMOlapMemberO($AA$27,"[MEASURES].[].[YTD]","YTD - Year To Date","","000"))</f>
        <v/>
      </c>
      <c r="AB45" s="595">
        <f>IF(_epmOfflineCondition_,"YTD",EPMOlapMemberO($AA$27,"[MEASURES].[].[YTD]","YTD - Year To Date","","000"))</f>
        <v/>
      </c>
      <c r="AC45" s="595" t="n"/>
      <c r="AD45" s="595">
        <f>IF(_epmOfflineCondition_,"YTD",EPMOlapMemberO($AA$27,"[MEASURES].[].[YTD]","YTD - Year To Date","","000"))</f>
        <v/>
      </c>
      <c r="AE45" s="595" t="n"/>
      <c r="AF45" s="595">
        <f>IF(_epmOfflineCondition_,"Periodic",EPMOlapMemberO($AB$27,"[MEASURES].[].[PERIODIC]","PERIODIC - Periodic","","000"))</f>
        <v/>
      </c>
      <c r="AG45" s="595">
        <f>IF(_epmOfflineCondition_,"YTD",EPMOlapMemberO($AA$27,"[MEASURES].[].[YTD]","YTD - Year To Date","","000"))</f>
        <v/>
      </c>
      <c r="AH45" s="595">
        <f>IF(_epmOfflineCondition_,"YTD",EPMOlapMemberO($AA$27,"[MEASURES].[].[YTD]","YTD - Year To Date","","000"))</f>
        <v/>
      </c>
      <c r="AI45" s="595" t="n"/>
      <c r="AJ45" s="595">
        <f>IF(_epmOfflineCondition_,"Periodic",EPMOlapMemberO($AB$27,"[MEASURES].[].[PERIODIC]","PERIODIC - Periodic","","000"))</f>
        <v/>
      </c>
      <c r="AK45" s="595">
        <f>IF(_epmOfflineCondition_,"YTD",EPMOlapMemberO($AA$27,"[MEASURES].[].[YTD]","YTD - Year To Date","","000"))</f>
        <v/>
      </c>
      <c r="AL45" s="595">
        <f>IF(_epmOfflineCondition_,"YTD",EPMOlapMemberO($AA$27,"[MEASURES].[].[YTD]","YTD - Year To Date","","000"))</f>
        <v/>
      </c>
      <c r="AM45" s="575" t="n"/>
      <c r="AN45" s="1024" t="n"/>
      <c r="AO45" s="575" t="n"/>
      <c r="AP45" s="575" t="n"/>
      <c r="AQ45" s="575" t="n"/>
      <c r="AR45" s="575" t="n"/>
    </row>
    <row r="46" hidden="1" ht="13.5" customFormat="1" customHeight="1" s="575">
      <c r="A46" s="575" t="n"/>
      <c r="B46" s="575" t="n"/>
      <c r="C46" s="575" t="n"/>
      <c r="D46" s="575" t="n"/>
      <c r="E46" s="575" t="n"/>
      <c r="F46" s="575" t="n"/>
      <c r="G46" s="575" t="n"/>
      <c r="H46" s="575" t="n"/>
      <c r="I46" s="575" t="n"/>
      <c r="J46" s="575" t="n"/>
      <c r="K46" s="575" t="n"/>
      <c r="L46" s="575" t="n"/>
      <c r="M46" s="575" t="n"/>
      <c r="N46" s="575" t="n"/>
      <c r="O46" s="575" t="n"/>
      <c r="P46" s="575" t="n"/>
      <c r="Q46" s="575" t="n"/>
      <c r="R46" s="575" t="n"/>
      <c r="S46" s="726" t="n"/>
      <c r="T46" s="575" t="n"/>
      <c r="U46" s="575" t="n"/>
      <c r="V46" s="575" t="n"/>
      <c r="W46" s="575" t="n"/>
      <c r="X46" s="451" t="inlineStr">
        <is>
          <t>misc</t>
        </is>
      </c>
      <c r="Y46" s="451" t="n"/>
      <c r="Z46" s="595">
        <f>IF(_epmOfflineCondition_,"ZM_DUMMY",EPMOlapMemberO($Z$31,"[C_MISK].[PARENTH1].[ZM_DUMMY]","ZM_DUMMY","","000"))</f>
        <v/>
      </c>
      <c r="AA46" s="595">
        <f>IF(_epmOfflineCondition_,"ZM_DUMMY",EPMOlapMemberO($Z$31,"[C_MISK].[PARENTH1].[ZM_DUMMY]","ZM_DUMMY","","000"))</f>
        <v/>
      </c>
      <c r="AB46" s="595">
        <f>IF(_epmOfflineCondition_,"ZM_DUMMY",EPMOlapMemberO($Z$31,"[C_MISK].[PARENTH1].[ZM_DUMMY]","ZM_DUMMY","","000"))</f>
        <v/>
      </c>
      <c r="AC46" s="595" t="n"/>
      <c r="AD46" s="595">
        <f>IF(_epmOfflineCondition_,"ZM_DUMMY",EPMOlapMemberO(Z31,"[C_MISK].[PARENTH1].[ZM_DUMMY]","ZM_DUMMY","","000"))</f>
        <v/>
      </c>
      <c r="AE46" s="595" t="n"/>
      <c r="AF46" s="595">
        <f>IF(_epmOfflineCondition_,"ZM_DUMMY",EPMOlapMemberO($Z$31,"[C_MISK].[PARENTH1].[ZM_DUMMY]","ZM_DUMMY","","000"))</f>
        <v/>
      </c>
      <c r="AG46" s="595">
        <f>IF(_epmOfflineCondition_,"ZM_DUMMY",EPMOlapMemberO($Z$31,"[C_MISK].[PARENTH1].[ZM_DUMMY]","ZM_DUMMY","","000"))</f>
        <v/>
      </c>
      <c r="AH46" s="595">
        <f>IF(_epmOfflineCondition_,"ZM_DUMMY",EPMOlapMemberO($Z$31,"[C_MISK].[PARENTH1].[ZM_DUMMY]","ZM_DUMMY","","000"))</f>
        <v/>
      </c>
      <c r="AI46" s="595" t="n"/>
      <c r="AJ46" s="595">
        <f>IF(_epmOfflineCondition_,"ZM_DUMMY",EPMOlapMemberO($Z$31,"[C_MISK].[PARENTH1].[ZM_DUMMY]","ZM_DUMMY","","000"))</f>
        <v/>
      </c>
      <c r="AK46" s="595">
        <f>IF(_epmOfflineCondition_,"ZM_DUMMY",EPMOlapMemberO($Z$31,"[C_MISK].[PARENTH1].[ZM_DUMMY]","ZM_DUMMY","","000"))</f>
        <v/>
      </c>
      <c r="AL46" s="595">
        <f>IF(_epmOfflineCondition_,"ZM_DUMMY",EPMOlapMemberO($Z$31,"[C_MISK].[PARENTH1].[ZM_DUMMY]","ZM_DUMMY","","000"))</f>
        <v/>
      </c>
      <c r="AM46" s="575" t="n"/>
      <c r="AN46" s="1024" t="n"/>
      <c r="AO46" s="575" t="n"/>
      <c r="AP46" s="575" t="n"/>
      <c r="AQ46" s="575" t="n"/>
      <c r="AR46" s="575" t="n"/>
    </row>
    <row r="47" hidden="1" ht="13.5" customFormat="1" customHeight="1" s="575">
      <c r="A47" s="575" t="n"/>
      <c r="B47" s="575" t="n"/>
      <c r="C47" s="575" t="n"/>
      <c r="D47" s="575" t="n"/>
      <c r="E47" s="575" t="n"/>
      <c r="F47" s="575" t="n"/>
      <c r="G47" s="575" t="n"/>
      <c r="H47" s="575" t="n"/>
      <c r="I47" s="575" t="n"/>
      <c r="J47" s="575" t="n"/>
      <c r="K47" s="575" t="n"/>
      <c r="L47" s="575" t="n"/>
      <c r="M47" s="575" t="n"/>
      <c r="N47" s="575" t="n"/>
      <c r="O47" s="575" t="n"/>
      <c r="P47" s="575" t="n"/>
      <c r="Q47" s="575" t="n"/>
      <c r="R47" s="575" t="n"/>
      <c r="S47" s="726" t="n"/>
      <c r="T47" s="575" t="n"/>
      <c r="U47" s="575" t="n"/>
      <c r="V47" s="575" t="n"/>
      <c r="W47" s="575" t="n"/>
      <c r="X47" s="451" t="n"/>
      <c r="Y47" s="451" t="n"/>
      <c r="Z47" s="595" t="n"/>
      <c r="AA47" s="595" t="n"/>
      <c r="AB47" s="595" t="n"/>
      <c r="AC47" s="595" t="n"/>
      <c r="AD47" s="744" t="n"/>
      <c r="AE47" s="575" t="n"/>
      <c r="AF47" s="575" t="n"/>
      <c r="AG47" s="575" t="n"/>
      <c r="AH47" s="575" t="n"/>
      <c r="AI47" s="575" t="n"/>
      <c r="AJ47" s="575" t="n"/>
      <c r="AK47" s="575" t="n"/>
      <c r="AL47" s="575" t="n"/>
      <c r="AM47" s="575" t="n"/>
      <c r="AN47" s="750" t="n"/>
      <c r="AO47" s="575" t="n"/>
      <c r="AP47" s="575" t="n"/>
      <c r="AQ47" s="575" t="n"/>
      <c r="AR47" s="575" t="n"/>
    </row>
    <row r="48" ht="16.5" customFormat="1" customHeight="1" s="575">
      <c r="A48" s="575" t="n"/>
      <c r="B48" s="575" t="n"/>
      <c r="C48" s="575" t="n"/>
      <c r="D48" s="575" t="n"/>
      <c r="E48" s="575" t="n"/>
      <c r="F48" s="575" t="n"/>
      <c r="G48" s="575" t="n"/>
      <c r="H48" s="575" t="n"/>
      <c r="I48" s="575" t="n"/>
      <c r="J48" s="575" t="n"/>
      <c r="K48" s="575" t="n"/>
      <c r="L48" s="575" t="n"/>
      <c r="M48" s="575" t="n"/>
      <c r="N48" s="575" t="n"/>
      <c r="O48" s="575" t="n"/>
      <c r="P48" s="575" t="n"/>
      <c r="Q48" s="575" t="n"/>
      <c r="R48" s="575" t="n"/>
      <c r="S48" s="726">
        <f>IF(_epmOfflineCondition_,"人工成本明细-企业人工成本总额（含劳务派遣费用）",EPMMemberDesc(U48))</f>
        <v/>
      </c>
      <c r="T48" s="575" t="n"/>
      <c r="U48" s="575" t="inlineStr">
        <is>
          <t>A00701</t>
        </is>
      </c>
      <c r="V48" s="726">
        <f>IF(_epmOfflineCondition_,"A00701",EPMOlapMemberO(U48,"[C_ACCOUNT].[PARENTH1].[A00701]","A00701 - 人工成本明细-企业人工成本总额（含劳务派遣费用）","","000"))</f>
        <v/>
      </c>
      <c r="W48" s="726" t="n"/>
      <c r="X48" s="478" t="inlineStr">
        <is>
          <t>企业人工成本总额（含劳务派遣费用）</t>
        </is>
      </c>
      <c r="Y48" s="1312">
        <f>ROW()-47</f>
        <v/>
      </c>
      <c r="Z48" s="1313">
        <f>Z49+Z75+Z89+Z91+Z92+Z101</f>
        <v/>
      </c>
      <c r="AA48" s="1313">
        <f>AA49+AA75+AA89+AA91+AA92+AA101</f>
        <v/>
      </c>
      <c r="AB48" s="1313">
        <f>AB49+AB75+AB89+AB91+AB92+AB101</f>
        <v/>
      </c>
      <c r="AC48" s="745">
        <f>IF(AB48=0,0,(AA48-AB48)/AB48)</f>
        <v/>
      </c>
      <c r="AD48" s="1313" t="n"/>
      <c r="AE48" s="745">
        <f>IF(AD48=0,0,AA48/AD48)</f>
        <v/>
      </c>
      <c r="AF48" s="1313">
        <f>AF49+AF75+AF89+AF91+AF92+AF101</f>
        <v/>
      </c>
      <c r="AG48" s="1313">
        <f>AG49+AG75+AG89+AG91+AG92+AG101</f>
        <v/>
      </c>
      <c r="AH48" s="1313">
        <f>AH49+AH75+AH89+AH91+AH92+AH101</f>
        <v/>
      </c>
      <c r="AI48" s="745">
        <f>IF(AH48=0,0,(AG48-AH48)/AH48)</f>
        <v/>
      </c>
      <c r="AJ48" s="1314">
        <f>AJ49+AJ75+AJ89+AJ91+AJ92+AJ101</f>
        <v/>
      </c>
      <c r="AK48" s="1314">
        <f>AK49+AK75+AK89+AK91+AK92+AK101</f>
        <v/>
      </c>
      <c r="AL48" s="1314">
        <f>AL49+AL75+AL89+AL91+AL92+AL101</f>
        <v/>
      </c>
      <c r="AM48" s="575" t="n"/>
      <c r="AN48" s="750" t="n"/>
      <c r="AO48" s="575" t="n"/>
      <c r="AP48" s="575" t="n"/>
      <c r="AQ48" s="575" t="n"/>
      <c r="AR48" s="575" t="n"/>
    </row>
    <row r="49" ht="16.5" customFormat="1" customHeight="1" s="575">
      <c r="A49" s="575" t="n"/>
      <c r="B49" s="575" t="n"/>
      <c r="C49" s="575" t="n"/>
      <c r="D49" s="575" t="n"/>
      <c r="E49" s="575" t="n"/>
      <c r="F49" s="575" t="n"/>
      <c r="G49" s="575" t="n"/>
      <c r="H49" s="575" t="n"/>
      <c r="I49" s="575" t="n"/>
      <c r="J49" s="575" t="n"/>
      <c r="K49" s="575" t="n"/>
      <c r="L49" s="575" t="n"/>
      <c r="M49" s="575" t="n"/>
      <c r="N49" s="575" t="n"/>
      <c r="O49" s="575" t="n"/>
      <c r="P49" s="575" t="n"/>
      <c r="Q49" s="575" t="n"/>
      <c r="R49" s="575" t="n"/>
      <c r="S49" s="726">
        <f>IF(_epmOfflineCondition_,"人工成本明细-从业人员人工成本总额",EPMMemberDesc(U49))</f>
        <v/>
      </c>
      <c r="T49" s="575" t="n"/>
      <c r="U49" s="575" t="inlineStr">
        <is>
          <t>A00702</t>
        </is>
      </c>
      <c r="V49" s="726">
        <f>IF(_epmOfflineCondition_,"A00702",EPMOlapMemberO(U49,"[C_ACCOUNT].[PARENTH1].[A00702]","A00702 - 人工成本明细-从业人员人工成本总额","","000"))</f>
        <v/>
      </c>
      <c r="W49" s="726" t="n"/>
      <c r="X49" s="730" t="inlineStr">
        <is>
          <t>从业人员人工成本总额</t>
        </is>
      </c>
      <c r="Y49" s="1312">
        <f>ROW()-47</f>
        <v/>
      </c>
      <c r="Z49" s="1313">
        <f>Z51+Z76-Z75+Z93-Z92-Z101</f>
        <v/>
      </c>
      <c r="AA49" s="1313">
        <f>AA51+AA76-AA75+AA93-AA92-AA101</f>
        <v/>
      </c>
      <c r="AB49" s="1313">
        <f>AB51+AB76-AB75+AB93-AB92-AB101</f>
        <v/>
      </c>
      <c r="AC49" s="745">
        <f>IF(AB49=0,0,(AA49-AB49)/AB49)</f>
        <v/>
      </c>
      <c r="AD49" s="1313" t="n"/>
      <c r="AE49" s="745">
        <f>IF(AD49=0,0,AA49/AD49)</f>
        <v/>
      </c>
      <c r="AF49" s="1313">
        <f>AF51+AF76-AF75+AF93-AF92-AF101</f>
        <v/>
      </c>
      <c r="AG49" s="1313">
        <f>AG51+AG76-AG75+AG93-AG92-AG101</f>
        <v/>
      </c>
      <c r="AH49" s="1313">
        <f>AH51+AH76-AH75+AH93-AH92-AH101</f>
        <v/>
      </c>
      <c r="AI49" s="745">
        <f>IF(AH49=0,0,(AG49-AH49)/AH49)</f>
        <v/>
      </c>
      <c r="AJ49" s="1314">
        <f>AJ51+AJ76-AJ75+AJ93-AJ92-AJ101</f>
        <v/>
      </c>
      <c r="AK49" s="1314">
        <f>AK51+AK76-AK75+AK93-AK92-AK101</f>
        <v/>
      </c>
      <c r="AL49" s="1314">
        <f>AL51+AL76-AL75+AL93-AL92-AL101</f>
        <v/>
      </c>
      <c r="AM49" s="575" t="n"/>
      <c r="AN49" s="750" t="n"/>
      <c r="AO49" s="575" t="n"/>
      <c r="AP49" s="575" t="n"/>
      <c r="AQ49" s="575" t="n"/>
      <c r="AR49" s="575" t="n"/>
    </row>
    <row r="50" ht="16.5" customFormat="1" customHeight="1" s="575">
      <c r="A50" s="575" t="n"/>
      <c r="B50" s="575" t="n"/>
      <c r="C50" s="575" t="n"/>
      <c r="D50" s="575" t="n"/>
      <c r="E50" s="575" t="n"/>
      <c r="F50" s="575" t="n"/>
      <c r="G50" s="575" t="n"/>
      <c r="H50" s="575" t="n"/>
      <c r="I50" s="575" t="n"/>
      <c r="J50" s="575" t="n"/>
      <c r="K50" s="575" t="n"/>
      <c r="L50" s="575" t="n"/>
      <c r="M50" s="575" t="n"/>
      <c r="N50" s="575" t="n"/>
      <c r="O50" s="575" t="n"/>
      <c r="P50" s="575" t="n"/>
      <c r="Q50" s="575" t="n"/>
      <c r="R50" s="575" t="n"/>
      <c r="S50" s="726">
        <f>IF(_epmOfflineCondition_,"人工成本明细-其中：从业人员劳动报酬",EPMMemberDesc(U50))</f>
        <v/>
      </c>
      <c r="T50" s="575" t="n"/>
      <c r="U50" s="575" t="inlineStr">
        <is>
          <t>A0070201</t>
        </is>
      </c>
      <c r="V50" s="731">
        <f>IF(_epmOfflineCondition_,"A0070201",EPMOlapMemberO(U50,"[C_ACCOUNT].[PARENTH1].[A0070201]","A0070201 - 人工成本明细-其中：从业人员劳动报酬","","000"))</f>
        <v/>
      </c>
      <c r="W50" s="726" t="n"/>
      <c r="X50" s="482" t="inlineStr">
        <is>
          <t>其中：从业人员劳动报酬</t>
        </is>
      </c>
      <c r="Y50" s="1312">
        <f>ROW()-47</f>
        <v/>
      </c>
      <c r="Z50" s="1313">
        <f>Z77+Z94+Z52-Z102</f>
        <v/>
      </c>
      <c r="AA50" s="1313">
        <f>AA77+AA94+AA52-AA102</f>
        <v/>
      </c>
      <c r="AB50" s="1313">
        <f>AB77+AB94+AB52-AB102</f>
        <v/>
      </c>
      <c r="AC50" s="745">
        <f>IF(AB50=0,0,(AA50-AB50)/AB50)</f>
        <v/>
      </c>
      <c r="AD50" s="1313" t="n"/>
      <c r="AE50" s="745">
        <f>IF(AD50=0,0,AA50/AD50)</f>
        <v/>
      </c>
      <c r="AF50" s="1313">
        <f>AF77+AF94+AF52-AF102</f>
        <v/>
      </c>
      <c r="AG50" s="1313">
        <f>AG77+AG94+AG52-AG102</f>
        <v/>
      </c>
      <c r="AH50" s="1313">
        <f>AH77+AH94+AH52-AH102</f>
        <v/>
      </c>
      <c r="AI50" s="745">
        <f>IF(AH50=0,0,(AG50-AH50)/AH50)</f>
        <v/>
      </c>
      <c r="AJ50" s="1314">
        <f>AJ77+AJ94+AJ52-AJ102</f>
        <v/>
      </c>
      <c r="AK50" s="1314">
        <f>AK77+AK94+AK52-AK102</f>
        <v/>
      </c>
      <c r="AL50" s="1314">
        <f>AL77+AL94+AL52-AL102</f>
        <v/>
      </c>
      <c r="AM50" s="575" t="n"/>
      <c r="AN50" s="750" t="n"/>
      <c r="AO50" s="575" t="n"/>
      <c r="AP50" s="575" t="n"/>
      <c r="AQ50" s="575" t="n"/>
      <c r="AR50" s="575" t="n"/>
    </row>
    <row r="51" ht="16.5" customFormat="1" customHeight="1" s="575">
      <c r="A51" s="575" t="n"/>
      <c r="B51" s="575" t="n"/>
      <c r="C51" s="575" t="n"/>
      <c r="D51" s="575" t="n"/>
      <c r="E51" s="575" t="n"/>
      <c r="F51" s="575" t="n"/>
      <c r="G51" s="575" t="n"/>
      <c r="H51" s="575" t="n"/>
      <c r="I51" s="575" t="n"/>
      <c r="J51" s="575" t="n"/>
      <c r="K51" s="575" t="n"/>
      <c r="L51" s="575" t="n"/>
      <c r="M51" s="575" t="n"/>
      <c r="N51" s="575" t="n"/>
      <c r="O51" s="575" t="n"/>
      <c r="P51" s="575" t="n"/>
      <c r="Q51" s="575" t="n"/>
      <c r="R51" s="575" t="n"/>
      <c r="S51" s="726">
        <f>IF(_epmOfflineCondition_,"人工成本明细-应发职工人工成本总额",EPMMemberDesc(U51))</f>
        <v/>
      </c>
      <c r="T51" s="575" t="n"/>
      <c r="U51" s="575" t="inlineStr">
        <is>
          <t>A00703</t>
        </is>
      </c>
      <c r="V51" s="726">
        <f>IF(_epmOfflineCondition_,"A00703",EPMOlapMemberO(U51,"[C_ACCOUNT].[PARENTH1].[A00703]","A00703 - 人工成本明细-应发职工人工成本总额","","000"))</f>
        <v/>
      </c>
      <c r="W51" s="726" t="n"/>
      <c r="X51" s="478" t="inlineStr">
        <is>
          <t>职工人工成本总额</t>
        </is>
      </c>
      <c r="Y51" s="1312">
        <f>ROW()-47</f>
        <v/>
      </c>
      <c r="Z51" s="1313">
        <f>SUM(Z52:Z53,Z61,Z63:Z66,Z69:Z72,Z60)</f>
        <v/>
      </c>
      <c r="AA51" s="1313">
        <f>SUM(AA52:AA53,AA61,AA63:AA66,AA69:AA72,AA60)</f>
        <v/>
      </c>
      <c r="AB51" s="1313">
        <f>SUM(AB52:AB53,AB61,AB63:AB66,AB69:AB72,AB60)</f>
        <v/>
      </c>
      <c r="AC51" s="745">
        <f>IF(AB51=0,0,(AA51-AB51)/AB51)</f>
        <v/>
      </c>
      <c r="AD51" s="1313" t="n"/>
      <c r="AE51" s="745">
        <f>IF(AD51=0,0,AA51/AD51)</f>
        <v/>
      </c>
      <c r="AF51" s="1313">
        <f>SUM(AF52:AF53,AF61,AF63:AF66,AF69:AF72,AF60)</f>
        <v/>
      </c>
      <c r="AG51" s="1313">
        <f>SUM(AG52:AG53,AG61,AG63:AG66,AG69:AG72,AG60)</f>
        <v/>
      </c>
      <c r="AH51" s="1313">
        <f>SUM(AH52:AH53,AH61,AH63:AH66,AH69:AH72,AH60)</f>
        <v/>
      </c>
      <c r="AI51" s="745">
        <f>IF(AH51=0,0,(AG51-AH51)/AH51)</f>
        <v/>
      </c>
      <c r="AJ51" s="1314">
        <f>SUM(AJ52:AJ53,AJ61:AJ66,AJ69:AJ72)</f>
        <v/>
      </c>
      <c r="AK51" s="1314">
        <f>SUM(AK52:AK53,AK61:AK66,AK69:AK72)</f>
        <v/>
      </c>
      <c r="AL51" s="1314">
        <f>SUM(AL52:AL53,AL61:AL66,AL69:AL72)</f>
        <v/>
      </c>
      <c r="AM51" s="575" t="n"/>
      <c r="AN51" s="751" t="n"/>
      <c r="AO51" s="575" t="n"/>
      <c r="AP51" s="575" t="n"/>
      <c r="AQ51" s="575" t="n"/>
      <c r="AR51" s="575" t="n"/>
    </row>
    <row r="52" ht="16.5" customFormat="1" customHeight="1" s="575">
      <c r="A52" s="575" t="n"/>
      <c r="B52" s="575" t="n"/>
      <c r="C52" s="575" t="n"/>
      <c r="D52" s="575" t="n"/>
      <c r="E52" s="575" t="n"/>
      <c r="F52" s="575" t="n"/>
      <c r="G52" s="575" t="n"/>
      <c r="H52" s="575" t="n"/>
      <c r="I52" s="575" t="n"/>
      <c r="J52" s="575" t="n"/>
      <c r="K52" s="575" t="n"/>
      <c r="L52" s="575" t="n"/>
      <c r="M52" s="575" t="n"/>
      <c r="N52" s="575" t="n"/>
      <c r="O52" s="575" t="n"/>
      <c r="P52" s="575" t="n"/>
      <c r="Q52" s="575" t="n"/>
      <c r="R52" s="575" t="n"/>
      <c r="S52" s="726">
        <f>IF(_epmOfflineCondition_,"人工成本明细-应发工资总额",EPMMemberDesc(U52))</f>
        <v/>
      </c>
      <c r="T52" s="575" t="n"/>
      <c r="U52" s="575" t="inlineStr">
        <is>
          <t>A0070301</t>
        </is>
      </c>
      <c r="V52" s="731">
        <f>IF(_epmOfflineCondition_,"A0070301",EPMOlapMemberO(U52,"[C_ACCOUNT].[PARENTH1].[A0070301]","A0070301 - 人工成本明细-应发工资总额","","000"))</f>
        <v/>
      </c>
      <c r="W52" s="726" t="n"/>
      <c r="X52" s="482" t="inlineStr">
        <is>
          <t>工资总额</t>
        </is>
      </c>
      <c r="Y52" s="1312">
        <f>ROW()-47</f>
        <v/>
      </c>
      <c r="Z52" s="1313" t="inlineStr"/>
      <c r="AA52" s="1313" t="inlineStr"/>
      <c r="AB52" s="1313" t="inlineStr"/>
      <c r="AC52" s="745">
        <f>IF(AB52=0,0,(AA52-AB52)/AB52)</f>
        <v/>
      </c>
      <c r="AD52" s="1313" t="n"/>
      <c r="AE52" s="745">
        <f>IF(AD52=0,0,AA52/AD52)</f>
        <v/>
      </c>
      <c r="AF52" s="1313">
        <f>AJ52*-1</f>
        <v/>
      </c>
      <c r="AG52" s="1313">
        <f>AK52*-1</f>
        <v/>
      </c>
      <c r="AH52" s="1313">
        <f>AL52*-1</f>
        <v/>
      </c>
      <c r="AI52" s="745">
        <f>IF(AH52=0,0,(AG52-AH52)/AH52)</f>
        <v/>
      </c>
      <c r="AJ52" s="1314" t="inlineStr"/>
      <c r="AK52" s="1314" t="inlineStr"/>
      <c r="AL52" s="1314" t="inlineStr"/>
      <c r="AM52" s="575" t="n"/>
      <c r="AN52" s="575" t="inlineStr">
        <is>
          <t>A09701</t>
        </is>
      </c>
      <c r="AO52" s="575" t="inlineStr">
        <is>
          <t>企业人工成本总额汇总</t>
        </is>
      </c>
      <c r="AP52" s="575" t="n"/>
      <c r="AQ52" s="575" t="n"/>
      <c r="AR52" s="575" t="n"/>
    </row>
    <row r="53" ht="16.5" customFormat="1" customHeight="1" s="575">
      <c r="A53" s="575" t="n"/>
      <c r="B53" s="575" t="n"/>
      <c r="C53" s="575" t="n"/>
      <c r="D53" s="575" t="n"/>
      <c r="E53" s="575" t="n"/>
      <c r="F53" s="575" t="n"/>
      <c r="G53" s="575" t="n"/>
      <c r="H53" s="575" t="n"/>
      <c r="I53" s="575" t="n"/>
      <c r="J53" s="575" t="n"/>
      <c r="K53" s="575" t="n"/>
      <c r="L53" s="575" t="n"/>
      <c r="M53" s="575" t="n"/>
      <c r="N53" s="575" t="n"/>
      <c r="O53" s="575" t="n"/>
      <c r="P53" s="575" t="n"/>
      <c r="Q53" s="575" t="n"/>
      <c r="R53" s="575" t="n"/>
      <c r="S53" s="726">
        <f>IF(_epmOfflineCondition_,"人工成本明细-社会保险费用",EPMMemberDesc(U53))</f>
        <v/>
      </c>
      <c r="T53" s="575" t="n"/>
      <c r="U53" s="575" t="inlineStr">
        <is>
          <t>A0070302</t>
        </is>
      </c>
      <c r="V53" s="731">
        <f>IF(_epmOfflineCondition_,"A0070302",EPMOlapMemberO(U53,"[C_ACCOUNT].[PARENTH1].[A0070302]","A0070302 - 人工成本明细-社会保险费用","","000"))</f>
        <v/>
      </c>
      <c r="W53" s="726" t="n"/>
      <c r="X53" s="482" t="inlineStr">
        <is>
          <t>社会保险费用</t>
        </is>
      </c>
      <c r="Y53" s="1312">
        <f>ROW()-47</f>
        <v/>
      </c>
      <c r="Z53" s="1313">
        <f>SUM(Z54:Z59)</f>
        <v/>
      </c>
      <c r="AA53" s="1313">
        <f>SUM(AA54:AA59)</f>
        <v/>
      </c>
      <c r="AB53" s="1313">
        <f>SUM(AB54:AB59)</f>
        <v/>
      </c>
      <c r="AC53" s="745">
        <f>IF(AB53=0,0,(AA53-AB53)/AB53)</f>
        <v/>
      </c>
      <c r="AD53" s="1313" t="n"/>
      <c r="AE53" s="745">
        <f>IF(AD53=0,0,AA53/AD53)</f>
        <v/>
      </c>
      <c r="AF53" s="1313">
        <f>SUM(AF54:AF59)</f>
        <v/>
      </c>
      <c r="AG53" s="1313">
        <f>SUM(AG54:AG59)</f>
        <v/>
      </c>
      <c r="AH53" s="1313">
        <f>SUM(AH54:AH59)</f>
        <v/>
      </c>
      <c r="AI53" s="745">
        <f>IF(AH53=0,0,(AG53-AH53)/AH53)</f>
        <v/>
      </c>
      <c r="AJ53" s="1314">
        <f>SUM(AJ54:AJ60)</f>
        <v/>
      </c>
      <c r="AK53" s="1314">
        <f>SUM(AK54:AK60)</f>
        <v/>
      </c>
      <c r="AL53" s="1314">
        <f>SUM(AL54:AL60)</f>
        <v/>
      </c>
      <c r="AM53" s="575" t="n"/>
      <c r="AN53" s="1024" t="inlineStr">
        <is>
          <t>C1001</t>
        </is>
      </c>
      <c r="AO53" s="575" t="n"/>
      <c r="AP53" s="575" t="n"/>
      <c r="AQ53" s="575" t="n"/>
      <c r="AR53" s="575" t="n"/>
    </row>
    <row r="54" ht="16.5" customFormat="1" customHeight="1" s="575">
      <c r="A54" s="575" t="n"/>
      <c r="B54" s="575" t="n"/>
      <c r="C54" s="575" t="n"/>
      <c r="D54" s="575" t="n"/>
      <c r="E54" s="575" t="n"/>
      <c r="F54" s="575" t="n"/>
      <c r="G54" s="575" t="n"/>
      <c r="H54" s="575" t="n"/>
      <c r="I54" s="575" t="n"/>
      <c r="J54" s="575" t="n"/>
      <c r="K54" s="575" t="n"/>
      <c r="L54" s="575" t="n"/>
      <c r="M54" s="575" t="n"/>
      <c r="N54" s="575" t="n"/>
      <c r="O54" s="575" t="n"/>
      <c r="P54" s="575" t="n"/>
      <c r="Q54" s="575" t="n"/>
      <c r="R54" s="575" t="n"/>
      <c r="S54" s="726">
        <f>IF(_epmOfflineCondition_,"人工成本明细-基本养老保险",EPMMemberDesc(U54))</f>
        <v/>
      </c>
      <c r="T54" s="575" t="n"/>
      <c r="U54" s="575" t="inlineStr">
        <is>
          <t>A007030203</t>
        </is>
      </c>
      <c r="V54" s="591">
        <f>IF(_epmOfflineCondition_,"A007030203",EPMOlapMemberO(U54,"[C_ACCOUNT].[PARENTH1].[A007030203]","A007030203 - 人工成本明细-基本养老保险","","000"))</f>
        <v/>
      </c>
      <c r="W54" s="726" t="n"/>
      <c r="X54" s="732" t="inlineStr">
        <is>
          <t>基本养老保险</t>
        </is>
      </c>
      <c r="Y54" s="1312">
        <f>ROW()-47</f>
        <v/>
      </c>
      <c r="Z54" s="1313" t="inlineStr"/>
      <c r="AA54" s="1313" t="inlineStr"/>
      <c r="AB54" s="1313" t="inlineStr"/>
      <c r="AC54" s="745">
        <f>IF(AB54=0,0,(AA54-AB54)/AB54)</f>
        <v/>
      </c>
      <c r="AD54" s="1313" t="n"/>
      <c r="AE54" s="745">
        <f>IF(AD54=0,0,AA54/AD54)</f>
        <v/>
      </c>
      <c r="AF54" s="1313">
        <f>AJ54*-1</f>
        <v/>
      </c>
      <c r="AG54" s="1313">
        <f>AK54*-1</f>
        <v/>
      </c>
      <c r="AH54" s="1313">
        <f>AL54*-1</f>
        <v/>
      </c>
      <c r="AI54" s="745">
        <f>IF(AH54=0,0,(AG54-AH54)/AH54)</f>
        <v/>
      </c>
      <c r="AJ54" s="1314" t="inlineStr"/>
      <c r="AK54" s="1314" t="inlineStr"/>
      <c r="AL54" s="1314" t="inlineStr"/>
      <c r="AM54" s="575" t="n"/>
      <c r="AN54" s="716">
        <f>$C$5</f>
        <v/>
      </c>
      <c r="AO54" s="575" t="n"/>
      <c r="AP54" s="575" t="n"/>
      <c r="AQ54" s="575" t="n"/>
      <c r="AR54" s="575" t="n"/>
    </row>
    <row r="55" ht="16.5" customFormat="1" customHeight="1" s="575">
      <c r="A55" s="575" t="n"/>
      <c r="B55" s="575" t="n"/>
      <c r="C55" s="575" t="n"/>
      <c r="D55" s="575" t="n"/>
      <c r="E55" s="575" t="n"/>
      <c r="F55" s="575" t="n"/>
      <c r="G55" s="575" t="n"/>
      <c r="H55" s="575" t="n"/>
      <c r="I55" s="575" t="n"/>
      <c r="J55" s="575" t="n"/>
      <c r="K55" s="575" t="n"/>
      <c r="L55" s="575" t="n"/>
      <c r="M55" s="575" t="n"/>
      <c r="N55" s="575" t="n"/>
      <c r="O55" s="575" t="n"/>
      <c r="P55" s="575" t="n"/>
      <c r="Q55" s="575" t="n"/>
      <c r="R55" s="575" t="n"/>
      <c r="S55" s="726">
        <f>IF(_epmOfflineCondition_,"人工成本明细-补充养老保险(企业年金)",EPMMemberDesc(U55))</f>
        <v/>
      </c>
      <c r="T55" s="575" t="n"/>
      <c r="U55" s="575" t="inlineStr">
        <is>
          <t>A007030201</t>
        </is>
      </c>
      <c r="V55" s="591">
        <f>IF(_epmOfflineCondition_,"A007030201",EPMOlapMemberO(U55,"[C_ACCOUNT].[PARENTH1].[A007030201]","A007030201 - 人工成本明细-补充养老保险(企业年金)","","000"))</f>
        <v/>
      </c>
      <c r="W55" s="726" t="n"/>
      <c r="X55" s="732" t="inlineStr">
        <is>
          <t>补充养老保险（企业年金）</t>
        </is>
      </c>
      <c r="Y55" s="1312">
        <f>ROW()-47</f>
        <v/>
      </c>
      <c r="Z55" s="1313" t="inlineStr"/>
      <c r="AA55" s="1313" t="inlineStr"/>
      <c r="AB55" s="1313" t="inlineStr"/>
      <c r="AC55" s="745">
        <f>IF(AB55=0,0,(AA55-AB55)/AB55)</f>
        <v/>
      </c>
      <c r="AD55" s="1313" t="n"/>
      <c r="AE55" s="745">
        <f>IF(AD55=0,0,AA55/AD55)</f>
        <v/>
      </c>
      <c r="AF55" s="1313">
        <f>AJ55*-1</f>
        <v/>
      </c>
      <c r="AG55" s="1313">
        <f>AK55*-1</f>
        <v/>
      </c>
      <c r="AH55" s="1313">
        <f>AL55*-1</f>
        <v/>
      </c>
      <c r="AI55" s="745">
        <f>IF(AH55=0,0,(AG55-AH55)/AH55)</f>
        <v/>
      </c>
      <c r="AJ55" s="1314" t="inlineStr"/>
      <c r="AK55" s="1314" t="inlineStr"/>
      <c r="AL55" s="1314" t="inlineStr"/>
      <c r="AM55" s="575" t="n"/>
      <c r="AN55" s="716">
        <f>$C$6</f>
        <v/>
      </c>
      <c r="AO55" s="575" t="n"/>
      <c r="AP55" s="575" t="n"/>
      <c r="AQ55" s="575" t="n"/>
      <c r="AR55" s="575" t="n"/>
    </row>
    <row r="56" ht="16.5" customFormat="1" customHeight="1" s="575">
      <c r="A56" s="575" t="n"/>
      <c r="B56" s="575" t="n"/>
      <c r="C56" s="575" t="n"/>
      <c r="D56" s="575" t="n"/>
      <c r="E56" s="575" t="n"/>
      <c r="F56" s="575" t="n"/>
      <c r="G56" s="575" t="n"/>
      <c r="H56" s="575" t="n"/>
      <c r="I56" s="575" t="n"/>
      <c r="J56" s="575" t="n"/>
      <c r="K56" s="575" t="n"/>
      <c r="L56" s="575" t="n"/>
      <c r="M56" s="575" t="n"/>
      <c r="N56" s="575" t="n"/>
      <c r="O56" s="575" t="n"/>
      <c r="P56" s="575" t="n"/>
      <c r="Q56" s="575" t="n"/>
      <c r="R56" s="575" t="n"/>
      <c r="S56" s="726">
        <f>IF(_epmOfflineCondition_,"人工成本明细-基本医疗保险",EPMMemberDesc(U56))</f>
        <v/>
      </c>
      <c r="T56" s="575" t="n"/>
      <c r="U56" s="575" t="inlineStr">
        <is>
          <t>A007030204</t>
        </is>
      </c>
      <c r="V56" s="591">
        <f>IF(_epmOfflineCondition_,"A007030204",EPMOlapMemberO(U56,"[C_ACCOUNT].[PARENTH1].[A007030204]","A007030204 - 人工成本明细-基本医疗保险","","000"))</f>
        <v/>
      </c>
      <c r="W56" s="726" t="n"/>
      <c r="X56" s="732" t="inlineStr">
        <is>
          <t>基本医疗保险</t>
        </is>
      </c>
      <c r="Y56" s="1312">
        <f>ROW()-47</f>
        <v/>
      </c>
      <c r="Z56" s="1313" t="inlineStr"/>
      <c r="AA56" s="1313" t="inlineStr"/>
      <c r="AB56" s="1313" t="inlineStr"/>
      <c r="AC56" s="745">
        <f>IF(AB56=0,0,(AA56-AB56)/AB56)</f>
        <v/>
      </c>
      <c r="AD56" s="1313" t="n"/>
      <c r="AE56" s="745">
        <f>IF(AD56=0,0,AA56/AD56)</f>
        <v/>
      </c>
      <c r="AF56" s="1313">
        <f>AJ56*-1</f>
        <v/>
      </c>
      <c r="AG56" s="1313">
        <f>AK56*-1</f>
        <v/>
      </c>
      <c r="AH56" s="1313">
        <f>AL56*-1</f>
        <v/>
      </c>
      <c r="AI56" s="745">
        <f>IF(AH56=0,0,(AG56-AH56)/AH56)</f>
        <v/>
      </c>
      <c r="AJ56" s="1314" t="inlineStr"/>
      <c r="AK56" s="1314" t="inlineStr"/>
      <c r="AL56" s="1314" t="inlineStr"/>
      <c r="AM56" s="575">
        <f>IF(_epmOfflineCondition_,0,EPMSaveDataOnly(AA48,,AN52,AN53,AN54,AN55,AN56,AN57,AN58,AN59,AN60,AN61,AN65,AN63,AN64))</f>
        <v/>
      </c>
      <c r="AN56" s="716" t="inlineStr">
        <is>
          <t>LC</t>
        </is>
      </c>
      <c r="AO56" s="575" t="n"/>
      <c r="AP56" s="575" t="n"/>
      <c r="AQ56" s="575" t="n"/>
      <c r="AR56" s="575" t="n"/>
    </row>
    <row r="57" ht="16.5" customFormat="1" customHeight="1" s="575">
      <c r="A57" s="575" t="n"/>
      <c r="B57" s="575" t="n"/>
      <c r="C57" s="575" t="n"/>
      <c r="D57" s="575" t="n"/>
      <c r="E57" s="575" t="n"/>
      <c r="F57" s="575" t="n"/>
      <c r="G57" s="575" t="n"/>
      <c r="H57" s="575" t="n"/>
      <c r="I57" s="575" t="n"/>
      <c r="J57" s="575" t="n"/>
      <c r="K57" s="575" t="n"/>
      <c r="L57" s="575" t="n"/>
      <c r="M57" s="575" t="n"/>
      <c r="N57" s="575" t="n"/>
      <c r="O57" s="575" t="n"/>
      <c r="P57" s="575" t="n"/>
      <c r="Q57" s="575" t="n"/>
      <c r="R57" s="575" t="n"/>
      <c r="S57" s="726">
        <f>IF(_epmOfflineCondition_,"人工成本明细-补充医疗保险",EPMMemberDesc(U57))</f>
        <v/>
      </c>
      <c r="T57" s="575" t="n"/>
      <c r="U57" s="575" t="inlineStr">
        <is>
          <t>A007030202</t>
        </is>
      </c>
      <c r="V57" s="591">
        <f>IF(_epmOfflineCondition_,"A007030202",EPMOlapMemberO(U57,"[C_ACCOUNT].[PARENTH1].[A007030202]","A007030202 - 人工成本明细-补充医疗保险","","000"))</f>
        <v/>
      </c>
      <c r="W57" s="726" t="n"/>
      <c r="X57" s="732" t="inlineStr">
        <is>
          <t>补充医疗保险</t>
        </is>
      </c>
      <c r="Y57" s="1312">
        <f>ROW()-47</f>
        <v/>
      </c>
      <c r="Z57" s="1313" t="inlineStr"/>
      <c r="AA57" s="1313" t="inlineStr"/>
      <c r="AB57" s="1313" t="n"/>
      <c r="AC57" s="745">
        <f>IF(AB57=0,0,(AA57-AB57)/AB57)</f>
        <v/>
      </c>
      <c r="AD57" s="1313" t="n"/>
      <c r="AE57" s="745">
        <f>IF(AD57=0,0,AA57/AD57)</f>
        <v/>
      </c>
      <c r="AF57" s="1313">
        <f>AJ57*-1</f>
        <v/>
      </c>
      <c r="AG57" s="1313">
        <f>AK57*-1</f>
        <v/>
      </c>
      <c r="AH57" s="1313">
        <f>AL57*-1</f>
        <v/>
      </c>
      <c r="AI57" s="745">
        <f>IF(AH57=0,0,(AG57-AH57)/AH57)</f>
        <v/>
      </c>
      <c r="AJ57" s="1314" t="inlineStr"/>
      <c r="AK57" s="1314" t="inlineStr"/>
      <c r="AL57" s="1314" t="n"/>
      <c r="AM57" s="575" t="n"/>
      <c r="AN57" s="182" t="inlineStr">
        <is>
          <t>D1110</t>
        </is>
      </c>
      <c r="AO57" s="575" t="n"/>
      <c r="AP57" s="575" t="n"/>
      <c r="AQ57" s="575" t="n"/>
      <c r="AR57" s="575" t="n"/>
    </row>
    <row r="58" ht="16.5" customFormat="1" customHeight="1" s="575">
      <c r="A58" s="575" t="n"/>
      <c r="B58" s="575" t="n"/>
      <c r="C58" s="575" t="n"/>
      <c r="D58" s="575" t="n"/>
      <c r="E58" s="575" t="n"/>
      <c r="F58" s="575" t="n"/>
      <c r="G58" s="575" t="n"/>
      <c r="H58" s="575" t="n"/>
      <c r="I58" s="575" t="n"/>
      <c r="J58" s="575" t="n"/>
      <c r="K58" s="575" t="n"/>
      <c r="L58" s="575" t="n"/>
      <c r="M58" s="575" t="n"/>
      <c r="N58" s="575" t="n"/>
      <c r="O58" s="575" t="n"/>
      <c r="P58" s="575" t="n"/>
      <c r="Q58" s="575" t="n"/>
      <c r="R58" s="575" t="n"/>
      <c r="S58" s="726">
        <f>IF(_epmOfflineCondition_,"人工成本明细-失业保险",EPMMemberDesc(U58))</f>
        <v/>
      </c>
      <c r="T58" s="575" t="n"/>
      <c r="U58" s="575" t="inlineStr">
        <is>
          <t>A007030205</t>
        </is>
      </c>
      <c r="V58" s="591">
        <f>IF(_epmOfflineCondition_,"A007030205",EPMOlapMemberO(U58,"[C_ACCOUNT].[PARENTH1].[A007030205]","A007030205 - 人工成本明细-失业保险","","000"))</f>
        <v/>
      </c>
      <c r="W58" s="726" t="n"/>
      <c r="X58" s="732" t="inlineStr">
        <is>
          <t>失业保险</t>
        </is>
      </c>
      <c r="Y58" s="1312">
        <f>ROW()-47</f>
        <v/>
      </c>
      <c r="Z58" s="1313" t="inlineStr"/>
      <c r="AA58" s="1313" t="inlineStr"/>
      <c r="AB58" s="1313" t="inlineStr"/>
      <c r="AC58" s="745">
        <f>IF(AB58=0,0,(AA58-AB58)/AB58)</f>
        <v/>
      </c>
      <c r="AD58" s="1313" t="n"/>
      <c r="AE58" s="745">
        <f>IF(AD58=0,0,AA58/AD58)</f>
        <v/>
      </c>
      <c r="AF58" s="1313">
        <f>AJ58*-1</f>
        <v/>
      </c>
      <c r="AG58" s="1313">
        <f>AK58*-1</f>
        <v/>
      </c>
      <c r="AH58" s="1313">
        <f>AL58*-1</f>
        <v/>
      </c>
      <c r="AI58" s="745">
        <f>IF(AH58=0,0,(AG58-AH58)/AH58)</f>
        <v/>
      </c>
      <c r="AJ58" s="1314" t="inlineStr"/>
      <c r="AK58" s="1314" t="inlineStr"/>
      <c r="AL58" s="1314" t="inlineStr"/>
      <c r="AM58" s="575" t="n"/>
      <c r="AN58" s="1024" t="inlineStr">
        <is>
          <t>F20</t>
        </is>
      </c>
      <c r="AO58" s="575" t="n"/>
      <c r="AP58" s="575" t="n"/>
      <c r="AQ58" s="575" t="n"/>
      <c r="AR58" s="575" t="n"/>
    </row>
    <row r="59" ht="16.5" customFormat="1" customHeight="1" s="575">
      <c r="A59" s="575" t="n"/>
      <c r="B59" s="575" t="n"/>
      <c r="C59" s="575" t="n"/>
      <c r="D59" s="575" t="n"/>
      <c r="E59" s="575" t="n"/>
      <c r="F59" s="575" t="n"/>
      <c r="G59" s="575" t="n"/>
      <c r="H59" s="575" t="n"/>
      <c r="I59" s="575" t="n"/>
      <c r="J59" s="575" t="n"/>
      <c r="K59" s="575" t="n"/>
      <c r="L59" s="575" t="n"/>
      <c r="M59" s="575" t="n"/>
      <c r="N59" s="575" t="n"/>
      <c r="O59" s="575" t="n"/>
      <c r="P59" s="575" t="n"/>
      <c r="Q59" s="575" t="n"/>
      <c r="R59" s="575" t="n"/>
      <c r="S59" s="726">
        <f>IF(_epmOfflineCondition_,"人工成本明细-工伤保险",EPMMemberDesc(U59))</f>
        <v/>
      </c>
      <c r="T59" s="575" t="n"/>
      <c r="U59" s="575" t="inlineStr">
        <is>
          <t>A007030206</t>
        </is>
      </c>
      <c r="V59" s="591">
        <f>IF(_epmOfflineCondition_,"A007030206",EPMOlapMemberO(U59,"[C_ACCOUNT].[PARENTH1].[A007030206]","A007030206 - 人工成本明细-工伤保险","","000"))</f>
        <v/>
      </c>
      <c r="W59" s="726" t="n"/>
      <c r="X59" s="732" t="inlineStr">
        <is>
          <t>工伤保险</t>
        </is>
      </c>
      <c r="Y59" s="1312">
        <f>ROW()-47</f>
        <v/>
      </c>
      <c r="Z59" s="1313" t="inlineStr"/>
      <c r="AA59" s="1313" t="inlineStr"/>
      <c r="AB59" s="1313" t="inlineStr"/>
      <c r="AC59" s="745">
        <f>IF(AB59=0,0,(AA59-AB59)/AB59)</f>
        <v/>
      </c>
      <c r="AD59" s="1313" t="n"/>
      <c r="AE59" s="745">
        <f>IF(AD59=0,0,AA59/AD59)</f>
        <v/>
      </c>
      <c r="AF59" s="1313">
        <f>AJ59*-1</f>
        <v/>
      </c>
      <c r="AG59" s="1313">
        <f>AK59*-1</f>
        <v/>
      </c>
      <c r="AH59" s="1313">
        <f>AL59*-1</f>
        <v/>
      </c>
      <c r="AI59" s="745">
        <f>IF(AH59=0,0,(AG59-AH59)/AH59)</f>
        <v/>
      </c>
      <c r="AJ59" s="1314" t="inlineStr"/>
      <c r="AK59" s="1314" t="inlineStr"/>
      <c r="AL59" s="1314" t="inlineStr"/>
      <c r="AM59" s="575" t="n"/>
      <c r="AN59" s="1024" t="inlineStr">
        <is>
          <t>I_DUMMY</t>
        </is>
      </c>
      <c r="AO59" s="575" t="n"/>
      <c r="AP59" s="575" t="n"/>
      <c r="AQ59" s="575" t="n"/>
      <c r="AR59" s="575" t="n"/>
    </row>
    <row r="60" ht="16.5" customFormat="1" customHeight="1" s="575">
      <c r="A60" s="575" t="n"/>
      <c r="B60" s="575" t="n"/>
      <c r="C60" s="575" t="n"/>
      <c r="D60" s="575" t="n"/>
      <c r="E60" s="575" t="n"/>
      <c r="F60" s="575" t="n"/>
      <c r="G60" s="575" t="n"/>
      <c r="H60" s="575" t="n"/>
      <c r="I60" s="575" t="n"/>
      <c r="J60" s="575" t="n"/>
      <c r="K60" s="575" t="n"/>
      <c r="L60" s="575" t="n"/>
      <c r="M60" s="575" t="n"/>
      <c r="N60" s="575" t="n"/>
      <c r="O60" s="575" t="n"/>
      <c r="P60" s="575" t="n"/>
      <c r="Q60" s="575" t="n"/>
      <c r="R60" s="575" t="n"/>
      <c r="S60" s="726">
        <f>IF(_epmOfflineCondition_,"人工成本明细-商业保险费用",EPMMemberDesc(U60))</f>
        <v/>
      </c>
      <c r="T60" s="575" t="n"/>
      <c r="U60" s="575" t="inlineStr">
        <is>
          <t>A0070303</t>
        </is>
      </c>
      <c r="V60" s="731">
        <f>IF(_epmOfflineCondition_,"A0070303",EPMOlapMemberO(U60,"[C_ACCOUNT].[PARENTH1].[A0070303]","A0070303 - 人工成本明细-商业保险费用","","000"))</f>
        <v/>
      </c>
      <c r="W60" s="726" t="n"/>
      <c r="X60" s="482" t="inlineStr">
        <is>
          <t>商业保险费用</t>
        </is>
      </c>
      <c r="Y60" s="1312">
        <f>ROW()-47</f>
        <v/>
      </c>
      <c r="Z60" s="1313" t="n"/>
      <c r="AA60" s="1313" t="n"/>
      <c r="AB60" s="1313" t="n"/>
      <c r="AC60" s="745">
        <f>IF(AB60=0,0,(AA60-AB60)/AB60)</f>
        <v/>
      </c>
      <c r="AD60" s="1313" t="n"/>
      <c r="AE60" s="745">
        <f>IF(AD60=0,0,AA60/AD60)</f>
        <v/>
      </c>
      <c r="AF60" s="1313">
        <f>AJ60*-1</f>
        <v/>
      </c>
      <c r="AG60" s="1313">
        <f>AK60*-1</f>
        <v/>
      </c>
      <c r="AH60" s="1313">
        <f>AL60*-1</f>
        <v/>
      </c>
      <c r="AI60" s="745">
        <f>IF(AH60=0,0,(AG60-AH60)/AH60)</f>
        <v/>
      </c>
      <c r="AJ60" s="1314" t="n"/>
      <c r="AK60" s="1314" t="n"/>
      <c r="AL60" s="1314" t="n"/>
      <c r="AM60" s="575" t="n"/>
      <c r="AN60" s="750" t="inlineStr">
        <is>
          <t>G_DUMMY</t>
        </is>
      </c>
      <c r="AO60" s="575" t="n"/>
      <c r="AP60" s="575" t="n"/>
      <c r="AQ60" s="575" t="n"/>
      <c r="AR60" s="575" t="n"/>
    </row>
    <row r="61" ht="16.5" customFormat="1" customHeight="1" s="575">
      <c r="A61" s="575" t="n"/>
      <c r="B61" s="575" t="n"/>
      <c r="C61" s="575" t="n"/>
      <c r="D61" s="575" t="n"/>
      <c r="E61" s="575" t="n"/>
      <c r="F61" s="575" t="n"/>
      <c r="G61" s="575" t="n"/>
      <c r="H61" s="575" t="n"/>
      <c r="I61" s="575" t="n"/>
      <c r="J61" s="575" t="n"/>
      <c r="K61" s="575" t="n"/>
      <c r="L61" s="575" t="n"/>
      <c r="M61" s="575" t="n"/>
      <c r="N61" s="575" t="n"/>
      <c r="O61" s="575" t="n"/>
      <c r="P61" s="575" t="n"/>
      <c r="Q61" s="575" t="n"/>
      <c r="R61" s="575" t="n"/>
      <c r="S61" s="726">
        <f>IF(_epmOfflineCondition_,"人工成本明细-福利费用",EPMMemberDesc(U61))</f>
        <v/>
      </c>
      <c r="T61" s="575" t="n"/>
      <c r="U61" s="575" t="inlineStr">
        <is>
          <t>A0070304P</t>
        </is>
      </c>
      <c r="V61" s="731">
        <f>IF(_epmOfflineCondition_,"A0070304P",EPMOlapMemberO(U61,"[C_ACCOUNT].[PARENTH1].[A0070304P]","A0070304P - 人工成本明细-福利费用","","000"))</f>
        <v/>
      </c>
      <c r="W61" s="726" t="n"/>
      <c r="X61" s="482" t="inlineStr">
        <is>
          <t>福利费用</t>
        </is>
      </c>
      <c r="Y61" s="1312">
        <f>ROW()-47</f>
        <v/>
      </c>
      <c r="Z61" s="1313" t="inlineStr"/>
      <c r="AA61" s="1313" t="inlineStr"/>
      <c r="AB61" s="1313" t="inlineStr"/>
      <c r="AC61" s="745">
        <f>IF(AB61=0,0,(AA61-AB61)/AB61)</f>
        <v/>
      </c>
      <c r="AD61" s="1313" t="n"/>
      <c r="AE61" s="745">
        <f>IF(AD61=0,0,AA61/AD61)</f>
        <v/>
      </c>
      <c r="AF61" s="1313">
        <f>AJ61*-1</f>
        <v/>
      </c>
      <c r="AG61" s="1313">
        <f>AK61*-1</f>
        <v/>
      </c>
      <c r="AH61" s="1313">
        <f>AL61*-1</f>
        <v/>
      </c>
      <c r="AI61" s="745">
        <f>IF(AH61=0,0,(AG61-AH61)/AH61)</f>
        <v/>
      </c>
      <c r="AJ61" s="1314" t="inlineStr"/>
      <c r="AK61" s="1314" t="inlineStr"/>
      <c r="AL61" s="1314" t="inlineStr"/>
      <c r="AM61" s="575" t="n"/>
      <c r="AN61" s="750" t="inlineStr">
        <is>
          <t>ZP_DUMMY</t>
        </is>
      </c>
      <c r="AO61" s="575" t="n"/>
      <c r="AP61" s="575" t="n"/>
      <c r="AQ61" s="575" t="n"/>
      <c r="AR61" s="575" t="n"/>
    </row>
    <row r="62" ht="16.5" customFormat="1" customHeight="1" s="575">
      <c r="A62" s="575" t="n"/>
      <c r="B62" s="575" t="n"/>
      <c r="C62" s="575" t="n"/>
      <c r="D62" s="575" t="n"/>
      <c r="E62" s="575" t="n"/>
      <c r="F62" s="575" t="n"/>
      <c r="G62" s="575" t="n"/>
      <c r="H62" s="575" t="n"/>
      <c r="I62" s="575" t="n"/>
      <c r="J62" s="575" t="n"/>
      <c r="K62" s="575" t="n"/>
      <c r="L62" s="575" t="n"/>
      <c r="M62" s="575" t="n"/>
      <c r="N62" s="575" t="n"/>
      <c r="O62" s="575" t="n"/>
      <c r="P62" s="575" t="n"/>
      <c r="Q62" s="575" t="n"/>
      <c r="R62" s="575" t="n"/>
      <c r="S62" s="726">
        <f>IF(_epmOfflineCondition_,"人工成本明细-其中：非货币性福利",EPMMemberDesc(U62))</f>
        <v/>
      </c>
      <c r="T62" s="575" t="n"/>
      <c r="U62" s="575" t="inlineStr">
        <is>
          <t>A007030401</t>
        </is>
      </c>
      <c r="V62" s="591">
        <f>IF(_epmOfflineCondition_,"A007030401",EPMOlapMemberO(U62,"[C_ACCOUNT].[PARENTH1].[A007030401]","A007030401 - 人工成本明细-其中：非货币性福利","","000"))</f>
        <v/>
      </c>
      <c r="W62" s="726" t="n"/>
      <c r="X62" s="482" t="inlineStr">
        <is>
          <t xml:space="preserve">      其中：非货币性福利</t>
        </is>
      </c>
      <c r="Y62" s="1312" t="inlineStr"/>
      <c r="Z62" s="1313" t="n"/>
      <c r="AA62" s="1313" t="n"/>
      <c r="AB62" s="1313" t="n"/>
      <c r="AC62" s="745">
        <f>IF(AB62=0,0,(AA62-AB62)/AB62)</f>
        <v/>
      </c>
      <c r="AD62" s="1313" t="n"/>
      <c r="AE62" s="745">
        <f>IF(AD62=0,0,AA62/AD62)</f>
        <v/>
      </c>
      <c r="AF62" s="1313">
        <f>AJ62*-1</f>
        <v/>
      </c>
      <c r="AG62" s="1313">
        <f>AK62*-1</f>
        <v/>
      </c>
      <c r="AH62" s="1313">
        <f>AL62*-1</f>
        <v/>
      </c>
      <c r="AI62" s="745">
        <f>IF(AH62=0,0,(AG62-AH62)/AH62)</f>
        <v/>
      </c>
      <c r="AJ62" s="1314" t="n"/>
      <c r="AK62" s="1314" t="n"/>
      <c r="AL62" s="1314" t="n"/>
      <c r="AM62" s="575" t="n"/>
      <c r="AN62" s="750" t="n"/>
      <c r="AO62" s="575" t="n"/>
      <c r="AP62" s="575" t="n"/>
      <c r="AQ62" s="575" t="n"/>
      <c r="AR62" s="575" t="n"/>
    </row>
    <row r="63" ht="16.5" customFormat="1" customHeight="1" s="575">
      <c r="A63" s="575" t="n"/>
      <c r="B63" s="575" t="n"/>
      <c r="C63" s="575" t="n"/>
      <c r="D63" s="575" t="n"/>
      <c r="E63" s="575" t="n"/>
      <c r="F63" s="575" t="n"/>
      <c r="G63" s="575" t="n"/>
      <c r="H63" s="575" t="n"/>
      <c r="I63" s="575" t="n"/>
      <c r="J63" s="575" t="n"/>
      <c r="K63" s="575" t="n"/>
      <c r="L63" s="575" t="n"/>
      <c r="M63" s="575" t="n"/>
      <c r="N63" s="575" t="n"/>
      <c r="O63" s="575" t="n"/>
      <c r="P63" s="575" t="n"/>
      <c r="Q63" s="575" t="n"/>
      <c r="R63" s="575" t="n"/>
      <c r="S63" s="726">
        <f>IF(_epmOfflineCondition_,"人工成本明细-教育培训经费",EPMMemberDesc(U63))</f>
        <v/>
      </c>
      <c r="T63" s="575" t="n"/>
      <c r="U63" s="575" t="inlineStr">
        <is>
          <t>A0070305</t>
        </is>
      </c>
      <c r="V63" s="731">
        <f>IF(_epmOfflineCondition_,"A0070305",EPMOlapMemberO(U63,"[C_ACCOUNT].[PARENTH1].[A0070305]","A0070305 - 人工成本明细-教育培训经费","","000"))</f>
        <v/>
      </c>
      <c r="W63" s="726" t="n"/>
      <c r="X63" s="457" t="inlineStr">
        <is>
          <t>教育培训经费</t>
        </is>
      </c>
      <c r="Y63" s="1312">
        <f>ROW()-47</f>
        <v/>
      </c>
      <c r="Z63" s="1313" t="inlineStr"/>
      <c r="AA63" s="1313" t="inlineStr"/>
      <c r="AB63" s="1313" t="inlineStr"/>
      <c r="AC63" s="745">
        <f>IF(AB63=0,0,(AA63-AB63)/AB63)</f>
        <v/>
      </c>
      <c r="AD63" s="1313" t="n"/>
      <c r="AE63" s="745">
        <f>IF(AD63=0,0,AA63/AD63)</f>
        <v/>
      </c>
      <c r="AF63" s="1313">
        <f>AJ63*-1</f>
        <v/>
      </c>
      <c r="AG63" s="1313">
        <f>AK63*-1</f>
        <v/>
      </c>
      <c r="AH63" s="1313">
        <f>AL63*-1</f>
        <v/>
      </c>
      <c r="AI63" s="745">
        <f>IF(AH63=0,0,(AG63-AH63)/AH63)</f>
        <v/>
      </c>
      <c r="AJ63" s="1314" t="inlineStr"/>
      <c r="AK63" s="1314" t="inlineStr"/>
      <c r="AL63" s="1314" t="inlineStr"/>
      <c r="AM63" s="575" t="n"/>
      <c r="AN63" s="750" t="inlineStr">
        <is>
          <t>ZI_DUMMY</t>
        </is>
      </c>
      <c r="AO63" s="575" t="n"/>
      <c r="AP63" s="575" t="n"/>
      <c r="AQ63" s="575" t="n"/>
      <c r="AR63" s="575" t="n"/>
    </row>
    <row r="64" ht="16.5" customFormat="1" customHeight="1" s="575">
      <c r="A64" s="575" t="n"/>
      <c r="B64" s="575" t="n"/>
      <c r="C64" s="575" t="n"/>
      <c r="D64" s="575" t="n"/>
      <c r="E64" s="575" t="n"/>
      <c r="F64" s="575" t="n"/>
      <c r="G64" s="575" t="n"/>
      <c r="H64" s="575" t="n"/>
      <c r="I64" s="575" t="n"/>
      <c r="J64" s="575" t="n"/>
      <c r="K64" s="575" t="n"/>
      <c r="L64" s="575" t="n"/>
      <c r="M64" s="575" t="n"/>
      <c r="N64" s="575" t="n"/>
      <c r="O64" s="575" t="n"/>
      <c r="P64" s="575" t="n"/>
      <c r="Q64" s="575" t="n"/>
      <c r="R64" s="575" t="n"/>
      <c r="S64" s="726">
        <f>IF(_epmOfflineCondition_,"人工成本明细-工会经费",EPMMemberDesc(U64))</f>
        <v/>
      </c>
      <c r="T64" s="575" t="n"/>
      <c r="U64" s="575" t="inlineStr">
        <is>
          <t>A0070306</t>
        </is>
      </c>
      <c r="V64" s="731">
        <f>IF(_epmOfflineCondition_,"A0070306",EPMOlapMemberO(U64,"[C_ACCOUNT].[PARENTH1].[A0070306]","A0070306 - 人工成本明细-工会经费","","000"))</f>
        <v/>
      </c>
      <c r="W64" s="726" t="n"/>
      <c r="X64" s="457" t="inlineStr">
        <is>
          <t>工会经费</t>
        </is>
      </c>
      <c r="Y64" s="1312">
        <f>ROW()-47</f>
        <v/>
      </c>
      <c r="Z64" s="1313" t="inlineStr"/>
      <c r="AA64" s="1313" t="inlineStr"/>
      <c r="AB64" s="1313" t="inlineStr"/>
      <c r="AC64" s="745">
        <f>IF(AB64=0,0,(AA64-AB64)/AB64)</f>
        <v/>
      </c>
      <c r="AD64" s="1313" t="n"/>
      <c r="AE64" s="745">
        <f>IF(AD64=0,0,AA64/AD64)</f>
        <v/>
      </c>
      <c r="AF64" s="1313">
        <f>AJ64*-1</f>
        <v/>
      </c>
      <c r="AG64" s="1313">
        <f>AK64*-1</f>
        <v/>
      </c>
      <c r="AH64" s="1313">
        <f>AL64*-1</f>
        <v/>
      </c>
      <c r="AI64" s="745">
        <f>IF(AH64=0,0,(AG64-AH64)/AH64)</f>
        <v/>
      </c>
      <c r="AJ64" s="1314" t="inlineStr"/>
      <c r="AK64" s="1314" t="inlineStr"/>
      <c r="AL64" s="1314" t="inlineStr"/>
      <c r="AM64" s="575" t="n"/>
      <c r="AN64" s="750" t="inlineStr">
        <is>
          <t>ZM_DUMMY</t>
        </is>
      </c>
      <c r="AO64" s="575" t="n"/>
      <c r="AP64" s="575" t="n"/>
      <c r="AQ64" s="575" t="n"/>
      <c r="AR64" s="575" t="n"/>
    </row>
    <row r="65" ht="16.5" customFormat="1" customHeight="1" s="575">
      <c r="A65" s="575" t="n"/>
      <c r="B65" s="575" t="n"/>
      <c r="C65" s="575" t="n"/>
      <c r="D65" s="575" t="n"/>
      <c r="E65" s="575" t="n"/>
      <c r="F65" s="575" t="n"/>
      <c r="G65" s="575" t="n"/>
      <c r="H65" s="575" t="n"/>
      <c r="I65" s="575" t="n"/>
      <c r="J65" s="575" t="n"/>
      <c r="K65" s="575" t="n"/>
      <c r="L65" s="575" t="n"/>
      <c r="M65" s="575" t="n"/>
      <c r="N65" s="575" t="n"/>
      <c r="O65" s="575" t="n"/>
      <c r="P65" s="575" t="n"/>
      <c r="Q65" s="575" t="n"/>
      <c r="R65" s="575" t="n"/>
      <c r="S65" s="726">
        <f>IF(_epmOfflineCondition_,"人工成本明细-劳动保护费",EPMMemberDesc(U65))</f>
        <v/>
      </c>
      <c r="T65" s="575" t="n"/>
      <c r="U65" s="575" t="inlineStr">
        <is>
          <t>A0070307</t>
        </is>
      </c>
      <c r="V65" s="731">
        <f>IF(_epmOfflineCondition_,"A0070307",EPMOlapMemberO(U65,"[C_ACCOUNT].[PARENTH1].[A0070307]","A0070307 - 人工成本明细-劳动保护费","","000"))</f>
        <v/>
      </c>
      <c r="W65" s="726" t="n"/>
      <c r="X65" s="457" t="inlineStr">
        <is>
          <t>劳动保护费</t>
        </is>
      </c>
      <c r="Y65" s="1312">
        <f>ROW()-47</f>
        <v/>
      </c>
      <c r="Z65" s="1313" t="inlineStr"/>
      <c r="AA65" s="1313" t="inlineStr"/>
      <c r="AB65" s="1313" t="n"/>
      <c r="AC65" s="745">
        <f>IF(AB65=0,0,(AA65-AB65)/AB65)</f>
        <v/>
      </c>
      <c r="AD65" s="1313" t="n"/>
      <c r="AE65" s="745">
        <f>IF(AD65=0,0,AA65/AD65)</f>
        <v/>
      </c>
      <c r="AF65" s="1313">
        <f>AJ65*-1</f>
        <v/>
      </c>
      <c r="AG65" s="1313">
        <f>AK65*-1</f>
        <v/>
      </c>
      <c r="AH65" s="1313">
        <f>AL65*-1</f>
        <v/>
      </c>
      <c r="AI65" s="745">
        <f>IF(AH65=0,0,(AG65-AH65)/AH65)</f>
        <v/>
      </c>
      <c r="AJ65" s="1314" t="inlineStr"/>
      <c r="AK65" s="1314" t="inlineStr"/>
      <c r="AL65" s="1314" t="n"/>
      <c r="AM65" s="575" t="n"/>
      <c r="AN65" s="751" t="inlineStr">
        <is>
          <t>YTD</t>
        </is>
      </c>
      <c r="AO65" s="575" t="n"/>
      <c r="AP65" s="575" t="n"/>
      <c r="AQ65" s="575" t="n"/>
      <c r="AR65" s="575" t="n"/>
    </row>
    <row r="66" ht="16.5" customFormat="1" customHeight="1" s="575">
      <c r="A66" s="575" t="n"/>
      <c r="B66" s="575" t="n"/>
      <c r="C66" s="575" t="n"/>
      <c r="D66" s="575" t="n"/>
      <c r="E66" s="575" t="n"/>
      <c r="F66" s="575" t="n"/>
      <c r="G66" s="575" t="n"/>
      <c r="H66" s="575" t="n"/>
      <c r="I66" s="575" t="n"/>
      <c r="J66" s="575" t="n"/>
      <c r="K66" s="575" t="n"/>
      <c r="L66" s="575" t="n"/>
      <c r="M66" s="575" t="n"/>
      <c r="N66" s="575" t="n"/>
      <c r="O66" s="575" t="n"/>
      <c r="P66" s="575" t="n"/>
      <c r="Q66" s="575" t="n"/>
      <c r="R66" s="575" t="n"/>
      <c r="S66" s="726">
        <f>IF(_epmOfflineCondition_,"人工成本明细-住房费用",EPMMemberDesc(U66))</f>
        <v/>
      </c>
      <c r="T66" s="575" t="n"/>
      <c r="U66" s="575" t="inlineStr">
        <is>
          <t>A00709</t>
        </is>
      </c>
      <c r="V66" s="731">
        <f>IF(_epmOfflineCondition_,"A00709",EPMOlapMemberO(U66,"[C_ACCOUNT].[PARENTH1].[A00709]","A00709 - 人工成本明细-住房费用","","000"))</f>
        <v/>
      </c>
      <c r="W66" s="726" t="n"/>
      <c r="X66" s="482" t="inlineStr">
        <is>
          <t>住房费用</t>
        </is>
      </c>
      <c r="Y66" s="1312">
        <f>ROW()-47</f>
        <v/>
      </c>
      <c r="Z66" s="1313">
        <f>Z67+Z68</f>
        <v/>
      </c>
      <c r="AA66" s="1313">
        <f>AA67+AA68</f>
        <v/>
      </c>
      <c r="AB66" s="1313">
        <f>AB67+AB68</f>
        <v/>
      </c>
      <c r="AC66" s="745">
        <f>IF(AB66=0,0,(AA66-AB66)/AB66)</f>
        <v/>
      </c>
      <c r="AD66" s="1313" t="n"/>
      <c r="AE66" s="745">
        <f>IF(AD66=0,0,AA66/AD66)</f>
        <v/>
      </c>
      <c r="AF66" s="1313">
        <f>AF67+AF68</f>
        <v/>
      </c>
      <c r="AG66" s="1313">
        <f>AG67+AG68</f>
        <v/>
      </c>
      <c r="AH66" s="1313">
        <f>AH67+AH68</f>
        <v/>
      </c>
      <c r="AI66" s="745">
        <f>IF(AH66=0,0,(AG66-AH66)/AH66)</f>
        <v/>
      </c>
      <c r="AJ66" s="1315">
        <f>AJ67+AJ68</f>
        <v/>
      </c>
      <c r="AK66" s="1315">
        <f>AK67+AK68</f>
        <v/>
      </c>
      <c r="AL66" s="1315">
        <f>AL67+AL68</f>
        <v/>
      </c>
      <c r="AM66" s="575" t="n"/>
      <c r="AN66" s="575" t="n"/>
      <c r="AO66" s="575" t="n"/>
      <c r="AP66" s="575" t="n"/>
      <c r="AQ66" s="575" t="n"/>
      <c r="AR66" s="575" t="n"/>
    </row>
    <row r="67" ht="16.5" customFormat="1" customHeight="1" s="575">
      <c r="A67" s="575" t="n"/>
      <c r="B67" s="575" t="n"/>
      <c r="C67" s="575" t="n"/>
      <c r="D67" s="575" t="n"/>
      <c r="E67" s="575" t="n"/>
      <c r="F67" s="575" t="n"/>
      <c r="G67" s="575" t="n"/>
      <c r="H67" s="575" t="n"/>
      <c r="I67" s="575" t="n"/>
      <c r="J67" s="575" t="n"/>
      <c r="K67" s="575" t="n"/>
      <c r="L67" s="575" t="n"/>
      <c r="M67" s="575" t="n"/>
      <c r="N67" s="575" t="n"/>
      <c r="O67" s="575" t="n"/>
      <c r="P67" s="575" t="n"/>
      <c r="Q67" s="575" t="n"/>
      <c r="R67" s="575" t="n"/>
      <c r="S67" s="726">
        <f>IF(_epmOfflineCondition_,"人工成本明细-其中：住房公积金",EPMMemberDesc(U67))</f>
        <v/>
      </c>
      <c r="T67" s="575" t="n"/>
      <c r="U67" s="575" t="inlineStr">
        <is>
          <t>A0070308</t>
        </is>
      </c>
      <c r="V67" s="731">
        <f>IF(_epmOfflineCondition_,"A0070308",EPMOlapMemberO(U67,"[C_ACCOUNT].[PARENTH1].[A0070308]","A0070308 - 人工成本明细-其中：住房公积金","","000"))</f>
        <v/>
      </c>
      <c r="W67" s="726" t="n"/>
      <c r="X67" s="732" t="inlineStr">
        <is>
          <t>其中：住房公积金</t>
        </is>
      </c>
      <c r="Y67" s="1312">
        <f>ROW()-47</f>
        <v/>
      </c>
      <c r="Z67" s="1313" t="inlineStr"/>
      <c r="AA67" s="1313" t="inlineStr"/>
      <c r="AB67" s="1313" t="inlineStr"/>
      <c r="AC67" s="745">
        <f>IF(AB67=0,0,(AA67-AB67)/AB67)</f>
        <v/>
      </c>
      <c r="AD67" s="1313" t="n"/>
      <c r="AE67" s="745">
        <f>IF(AD67=0,0,AA67/AD67)</f>
        <v/>
      </c>
      <c r="AF67" s="1313">
        <f>AJ67*-1</f>
        <v/>
      </c>
      <c r="AG67" s="1313">
        <f>AK67*-1</f>
        <v/>
      </c>
      <c r="AH67" s="1313">
        <f>AL67*-1</f>
        <v/>
      </c>
      <c r="AI67" s="745">
        <f>IF(AH67=0,0,(AG67-AH67)/AH67)</f>
        <v/>
      </c>
      <c r="AJ67" s="1314" t="inlineStr"/>
      <c r="AK67" s="1314" t="inlineStr"/>
      <c r="AL67" s="1314" t="inlineStr"/>
      <c r="AM67" s="575" t="n"/>
      <c r="AN67" s="575" t="n"/>
      <c r="AO67" s="575" t="n"/>
      <c r="AP67" s="575" t="n"/>
      <c r="AQ67" s="575" t="n"/>
      <c r="AR67" s="575" t="n"/>
    </row>
    <row r="68" ht="16.5" customFormat="1" customHeight="1" s="575">
      <c r="A68" s="575" t="n"/>
      <c r="B68" s="575" t="n"/>
      <c r="C68" s="575" t="n"/>
      <c r="D68" s="575" t="n"/>
      <c r="E68" s="575" t="n"/>
      <c r="F68" s="575" t="n"/>
      <c r="G68" s="575" t="n"/>
      <c r="H68" s="575" t="n"/>
      <c r="I68" s="575" t="n"/>
      <c r="J68" s="575" t="n"/>
      <c r="K68" s="575" t="n"/>
      <c r="L68" s="575" t="n"/>
      <c r="M68" s="575" t="n"/>
      <c r="N68" s="575" t="n"/>
      <c r="O68" s="575" t="n"/>
      <c r="P68" s="575" t="n"/>
      <c r="Q68" s="575" t="n"/>
      <c r="R68" s="575" t="n"/>
      <c r="S68" s="726">
        <f>IF(_epmOfflineCondition_,"人工成本明细-其中：住房补贴",EPMMemberDesc(U68))</f>
        <v/>
      </c>
      <c r="T68" s="575" t="n"/>
      <c r="U68" s="575" t="inlineStr">
        <is>
          <t>A0070309</t>
        </is>
      </c>
      <c r="V68" s="731">
        <f>IF(_epmOfflineCondition_,"A0070309",EPMOlapMemberO(U68,"[C_ACCOUNT].[PARENTH1].[A0070309]","A0070309 - 人工成本明细-其中：住房补贴","","000"))</f>
        <v/>
      </c>
      <c r="W68" s="726" t="n"/>
      <c r="X68" s="752" t="inlineStr">
        <is>
          <t xml:space="preserve"> 住房补贴</t>
        </is>
      </c>
      <c r="Y68" s="1312">
        <f>ROW()-47</f>
        <v/>
      </c>
      <c r="Z68" s="1313" t="n"/>
      <c r="AA68" s="1313" t="n"/>
      <c r="AB68" s="1313" t="n"/>
      <c r="AC68" s="745">
        <f>IF(AB68=0,0,(AA68-AB68)/AB68)</f>
        <v/>
      </c>
      <c r="AD68" s="1313" t="n"/>
      <c r="AE68" s="745">
        <f>IF(AD68=0,0,AA68/AD68)</f>
        <v/>
      </c>
      <c r="AF68" s="1313">
        <f>AJ68*-1</f>
        <v/>
      </c>
      <c r="AG68" s="1313">
        <f>AK68*-1</f>
        <v/>
      </c>
      <c r="AH68" s="1313">
        <f>AL68*-1</f>
        <v/>
      </c>
      <c r="AI68" s="745">
        <f>IF(AH68=0,0,(AG68-AH68)/AH68)</f>
        <v/>
      </c>
      <c r="AJ68" s="1314" t="n"/>
      <c r="AK68" s="1314" t="n"/>
      <c r="AL68" s="1314" t="n"/>
      <c r="AM68" s="575" t="n"/>
      <c r="AN68" s="575" t="n"/>
      <c r="AO68" s="575" t="n"/>
      <c r="AP68" s="575" t="n"/>
      <c r="AQ68" s="575" t="n"/>
      <c r="AR68" s="575" t="n"/>
    </row>
    <row r="69" ht="16.5" customFormat="1" customHeight="1" s="575">
      <c r="A69" s="575" t="n"/>
      <c r="B69" s="575" t="n"/>
      <c r="C69" s="575" t="n"/>
      <c r="D69" s="575" t="n"/>
      <c r="E69" s="575" t="n"/>
      <c r="F69" s="575" t="n"/>
      <c r="G69" s="575" t="n"/>
      <c r="H69" s="575" t="n"/>
      <c r="I69" s="575" t="n"/>
      <c r="J69" s="575" t="n"/>
      <c r="K69" s="575" t="n"/>
      <c r="L69" s="575" t="n"/>
      <c r="M69" s="575" t="n"/>
      <c r="N69" s="575" t="n"/>
      <c r="O69" s="575" t="n"/>
      <c r="P69" s="575" t="n"/>
      <c r="Q69" s="575" t="n"/>
      <c r="R69" s="575" t="n"/>
      <c r="S69" s="726">
        <f>IF(_epmOfflineCondition_,"人工成本明细-辞退福利",EPMMemberDesc(U69))</f>
        <v/>
      </c>
      <c r="T69" s="575" t="n"/>
      <c r="U69" s="575" t="inlineStr">
        <is>
          <t>A0070311</t>
        </is>
      </c>
      <c r="V69" s="731">
        <f>IF(_epmOfflineCondition_,"A0070311",EPMOlapMemberO(U69,"[C_ACCOUNT].[PARENTH1].[A0070311]","A0070311 - 人工成本明细-辞退福利","","000"))</f>
        <v/>
      </c>
      <c r="W69" s="726" t="n"/>
      <c r="X69" s="457" t="inlineStr">
        <is>
          <t>辞退福利</t>
        </is>
      </c>
      <c r="Y69" s="1312">
        <f>ROW()-47</f>
        <v/>
      </c>
      <c r="Z69" s="1313" t="n"/>
      <c r="AA69" s="1313" t="n"/>
      <c r="AB69" s="1313" t="n"/>
      <c r="AC69" s="745">
        <f>IF(AB69=0,0,(AA69-AB69)/AB69)</f>
        <v/>
      </c>
      <c r="AD69" s="1313" t="n"/>
      <c r="AE69" s="745">
        <f>IF(AD69=0,0,AA69/AD69)</f>
        <v/>
      </c>
      <c r="AF69" s="1313">
        <f>AJ69*-1</f>
        <v/>
      </c>
      <c r="AG69" s="1313">
        <f>AK69*-1</f>
        <v/>
      </c>
      <c r="AH69" s="1313">
        <f>AL69*-1</f>
        <v/>
      </c>
      <c r="AI69" s="745">
        <f>IF(AH69=0,0,(AG69-AH69)/AH69)</f>
        <v/>
      </c>
      <c r="AJ69" s="1314" t="n"/>
      <c r="AK69" s="1314" t="n"/>
      <c r="AL69" s="1314" t="n"/>
      <c r="AM69" s="575" t="n"/>
      <c r="AN69" s="575" t="n"/>
      <c r="AO69" s="575" t="n"/>
      <c r="AP69" s="575" t="n"/>
      <c r="AQ69" s="575" t="n"/>
      <c r="AR69" s="575" t="n"/>
    </row>
    <row r="70" ht="16.5" customFormat="1" customHeight="1" s="575">
      <c r="A70" s="575" t="n"/>
      <c r="B70" s="575" t="n"/>
      <c r="C70" s="575" t="n"/>
      <c r="D70" s="575" t="n"/>
      <c r="E70" s="575" t="n"/>
      <c r="F70" s="575" t="n"/>
      <c r="G70" s="575" t="n"/>
      <c r="H70" s="575" t="n"/>
      <c r="I70" s="575" t="n"/>
      <c r="J70" s="575" t="n"/>
      <c r="K70" s="575" t="n"/>
      <c r="L70" s="575" t="n"/>
      <c r="M70" s="575" t="n"/>
      <c r="N70" s="575" t="n"/>
      <c r="O70" s="575" t="n"/>
      <c r="P70" s="575" t="n"/>
      <c r="Q70" s="575" t="n"/>
      <c r="R70" s="575" t="n"/>
      <c r="S70" s="726">
        <f>IF(_epmOfflineCondition_,"人工成本明细-技术奖酬金及业务设计奖",EPMMemberDesc(U70))</f>
        <v/>
      </c>
      <c r="T70" s="575" t="n"/>
      <c r="U70" s="575" t="inlineStr">
        <is>
          <t>A0070310</t>
        </is>
      </c>
      <c r="V70" s="731">
        <f>IF(_epmOfflineCondition_,"A0070310",EPMOlapMemberO(U70,"[C_ACCOUNT].[PARENTH1].[A0070310]","A0070310 - 人工成本明细-技术奖酬金及业务设计奖","","000"))</f>
        <v/>
      </c>
      <c r="W70" s="726" t="n"/>
      <c r="X70" s="457" t="inlineStr">
        <is>
          <t>技术奖酬金及业务设计奖</t>
        </is>
      </c>
      <c r="Y70" s="1312">
        <f>ROW()-47</f>
        <v/>
      </c>
      <c r="Z70" s="1313" t="n"/>
      <c r="AA70" s="1313" t="n"/>
      <c r="AB70" s="1313" t="n"/>
      <c r="AC70" s="745">
        <f>IF(AB70=0,0,(AA70-AB70)/AB70)</f>
        <v/>
      </c>
      <c r="AD70" s="1313" t="n"/>
      <c r="AE70" s="745">
        <f>IF(AD70=0,0,AA70/AD70)</f>
        <v/>
      </c>
      <c r="AF70" s="1313">
        <f>AJ70*-1</f>
        <v/>
      </c>
      <c r="AG70" s="1313">
        <f>AK70*-1</f>
        <v/>
      </c>
      <c r="AH70" s="1313">
        <f>AL70*-1</f>
        <v/>
      </c>
      <c r="AI70" s="745">
        <f>IF(AH70=0,0,(AG70-AH70)/AH70)</f>
        <v/>
      </c>
      <c r="AJ70" s="1314" t="n"/>
      <c r="AK70" s="1314" t="n"/>
      <c r="AL70" s="1314" t="n"/>
      <c r="AM70" s="575" t="n"/>
      <c r="AN70" s="575" t="n"/>
      <c r="AO70" s="575" t="n"/>
      <c r="AP70" s="575" t="n"/>
      <c r="AQ70" s="575" t="n"/>
      <c r="AR70" s="575" t="n"/>
    </row>
    <row r="71" ht="16.5" customFormat="1" customHeight="1" s="575">
      <c r="A71" s="575" t="n"/>
      <c r="B71" s="575" t="n"/>
      <c r="C71" s="575" t="n"/>
      <c r="D71" s="575" t="n"/>
      <c r="E71" s="575" t="n"/>
      <c r="F71" s="575" t="n"/>
      <c r="G71" s="575" t="n"/>
      <c r="H71" s="575" t="n"/>
      <c r="I71" s="575" t="n"/>
      <c r="J71" s="575" t="n"/>
      <c r="K71" s="575" t="n"/>
      <c r="L71" s="575" t="n"/>
      <c r="M71" s="575" t="n"/>
      <c r="N71" s="575" t="n"/>
      <c r="O71" s="575" t="n"/>
      <c r="P71" s="575" t="n"/>
      <c r="Q71" s="575" t="n"/>
      <c r="R71" s="575" t="n"/>
      <c r="S71" s="726">
        <f>IF(_epmOfflineCondition_,"人工成本明细-股份支付",EPMMemberDesc(U71))</f>
        <v/>
      </c>
      <c r="T71" s="575" t="n"/>
      <c r="U71" s="575" t="inlineStr">
        <is>
          <t>A0070312</t>
        </is>
      </c>
      <c r="V71" s="731">
        <f>IF(_epmOfflineCondition_,"A0070312",EPMOlapMemberO(U71,"[C_ACCOUNT].[PARENTH1].[A0070312]","A0070312 - 人工成本明细-股份支付","","000"))</f>
        <v/>
      </c>
      <c r="W71" s="726" t="n"/>
      <c r="X71" s="457" t="inlineStr">
        <is>
          <t>股份支付</t>
        </is>
      </c>
      <c r="Y71" s="1312">
        <f>ROW()-47</f>
        <v/>
      </c>
      <c r="Z71" s="1313" t="n"/>
      <c r="AA71" s="1313" t="n"/>
      <c r="AB71" s="1313" t="n"/>
      <c r="AC71" s="745">
        <f>IF(AB71=0,0,(AA71-AB71)/AB71)</f>
        <v/>
      </c>
      <c r="AD71" s="1313" t="n"/>
      <c r="AE71" s="745">
        <f>IF(AD71=0,0,AA71/AD71)</f>
        <v/>
      </c>
      <c r="AF71" s="1313">
        <f>AJ71*-1</f>
        <v/>
      </c>
      <c r="AG71" s="1313">
        <f>AK71*-1</f>
        <v/>
      </c>
      <c r="AH71" s="1313">
        <f>AL71*-1</f>
        <v/>
      </c>
      <c r="AI71" s="745">
        <f>IF(AH71=0,0,(AG71-AH71)/AH71)</f>
        <v/>
      </c>
      <c r="AJ71" s="1314" t="n"/>
      <c r="AK71" s="1314" t="n"/>
      <c r="AL71" s="1314" t="n"/>
      <c r="AM71" s="575" t="n"/>
      <c r="AN71" s="575" t="n"/>
      <c r="AO71" s="575" t="n"/>
      <c r="AP71" s="575" t="n"/>
      <c r="AQ71" s="575" t="n"/>
      <c r="AR71" s="575" t="n"/>
    </row>
    <row r="72" ht="16.5" customFormat="1" customHeight="1" s="575">
      <c r="A72" s="575" t="n"/>
      <c r="B72" s="575" t="n"/>
      <c r="C72" s="575" t="n"/>
      <c r="D72" s="575" t="n"/>
      <c r="E72" s="575" t="n"/>
      <c r="F72" s="575" t="n"/>
      <c r="G72" s="575" t="n"/>
      <c r="H72" s="575" t="n"/>
      <c r="I72" s="575" t="n"/>
      <c r="J72" s="575" t="n"/>
      <c r="K72" s="575" t="n"/>
      <c r="L72" s="575" t="n"/>
      <c r="M72" s="575" t="n"/>
      <c r="N72" s="575" t="n"/>
      <c r="O72" s="575" t="n"/>
      <c r="P72" s="575" t="n"/>
      <c r="Q72" s="575" t="n"/>
      <c r="R72" s="575" t="n"/>
      <c r="S72" s="726">
        <f>IF(_epmOfflineCondition_,"人工成本明细-其他人工成本",EPMMemberDesc(U72))</f>
        <v/>
      </c>
      <c r="T72" s="575" t="n"/>
      <c r="U72" s="575" t="inlineStr">
        <is>
          <t>A0070314</t>
        </is>
      </c>
      <c r="V72" s="731">
        <f>IF(_epmOfflineCondition_,"A0070314",EPMOlapMemberO(U72,"[C_ACCOUNT].[PARENTH1].[A0070314]","A0070314 - 人工成本明细-其他人工成本","","000"))</f>
        <v/>
      </c>
      <c r="W72" s="726" t="n"/>
      <c r="X72" s="457" t="inlineStr">
        <is>
          <t>其他人工成本</t>
        </is>
      </c>
      <c r="Y72" s="1312">
        <f>ROW()-47</f>
        <v/>
      </c>
      <c r="Z72" s="1313">
        <f>IF(_epmOfflineCondition_,1315152.84,IF($M$8="NULL",EPMRetrieveData(,,$D$21,$D$22,$D$25,$D$26,$D$27,$D$28,$Z$41,$Z$42,$Z$43,$Z$44,$Z$45,$Z$46,V72),Z97))</f>
        <v/>
      </c>
      <c r="AA72" s="1313">
        <f>IF(_epmOfflineCondition_,1315152.84,IF($M$8="NULL",EPMRetrieveData(,,$D$21,$D$22,$D$25,$D$26,$D$27,$D$28,$AA$41,$AA$42,$AA$43,$AA$44,$AA$45,$AA$46,V72),AA97))</f>
        <v/>
      </c>
      <c r="AB72" s="1313">
        <f>IF(_epmOfflineCondition_,0,IF($M$8="NULL",EPMRetrieveData(,,$D$21,$D$22,$D$25,$D$26,$D$27,$D$28,$AB$41,$AB$42,$AB$43,$AB$44,$AB$45,$AB$46,V72),AB97))</f>
        <v/>
      </c>
      <c r="AC72" s="745">
        <f>IF(AB72=0,0,(AA72-AB72)/AB72)</f>
        <v/>
      </c>
      <c r="AD72" s="1313" t="n"/>
      <c r="AE72" s="745">
        <f>IF(AD72=0,0,AA72/AD72)</f>
        <v/>
      </c>
      <c r="AF72" s="1313">
        <f>AJ72*-1</f>
        <v/>
      </c>
      <c r="AG72" s="1313">
        <f>AK72*-1</f>
        <v/>
      </c>
      <c r="AH72" s="1313">
        <f>AL72*-1</f>
        <v/>
      </c>
      <c r="AI72" s="745">
        <f>IF(AH72=0,0,(AG72-AH72)/AH72)</f>
        <v/>
      </c>
      <c r="AJ72" s="1314">
        <f>IF(_epmOfflineCondition_,0,IF($M$8="NULL",EPMRetrieveData(,,$D$21,$D$22,$D$25,$D$26,$D$27,$D$28,$AJ$41,$AJ$42,$AJ$43,$AJ$44,$AJ$45,$AJ$46,V72),AJ97))</f>
        <v/>
      </c>
      <c r="AK72" s="1314">
        <f>IF(_epmOfflineCondition_,0,IF($M$8="NULL",EPMRetrieveData(,,$D$21,$D$22,$D$25,$D$26,$D$27,$D$28,$AK$41,$AK$42,$AK$43,$AK$44,$AK$45,$AK$46,V72),AK97))</f>
        <v/>
      </c>
      <c r="AL72" s="1314">
        <f>IF(_epmOfflineCondition_,0,IF($M$8="NULL",EPMRetrieveData(,,$D$21,$D$22,$D$25,$D$26,$D$27,$D$28,$AL$41,$AL$42,$AL$43,$AL$44,$AL$45,$AL$46,V72),AL97))</f>
        <v/>
      </c>
      <c r="AM72" s="575" t="n"/>
      <c r="AN72" s="575" t="n"/>
      <c r="AO72" s="575" t="n"/>
      <c r="AP72" s="575" t="n"/>
      <c r="AQ72" s="575" t="n"/>
      <c r="AR72" s="575" t="n"/>
    </row>
    <row r="73" ht="16.5" customFormat="1" customHeight="1" s="575">
      <c r="A73" s="575" t="n"/>
      <c r="B73" s="575" t="n"/>
      <c r="C73" s="575" t="n"/>
      <c r="D73" s="575" t="n"/>
      <c r="E73" s="575" t="n"/>
      <c r="F73" s="575" t="n"/>
      <c r="G73" s="575" t="n"/>
      <c r="H73" s="575" t="n"/>
      <c r="I73" s="575" t="n"/>
      <c r="J73" s="575" t="n"/>
      <c r="K73" s="575" t="n"/>
      <c r="L73" s="575" t="n"/>
      <c r="M73" s="575" t="n"/>
      <c r="N73" s="575" t="n"/>
      <c r="O73" s="575" t="n"/>
      <c r="P73" s="575" t="n"/>
      <c r="Q73" s="575" t="n"/>
      <c r="R73" s="575" t="n"/>
      <c r="S73" s="726">
        <f>IF(_epmOfflineCondition_,"人工成本明细-在岗职工人工成本总额",EPMMemberDesc(U73))</f>
        <v/>
      </c>
      <c r="T73" s="575" t="n"/>
      <c r="U73" s="575" t="inlineStr">
        <is>
          <t>A00704</t>
        </is>
      </c>
      <c r="V73" s="726">
        <f>IF(_epmOfflineCondition_,"A00704",EPMOlapMemberO(U73,"[C_ACCOUNT].[PARENTH1].[A00704]","A00704 - 人工成本明细-在岗职工人工成本总额","","000"))</f>
        <v/>
      </c>
      <c r="W73" s="726" t="n"/>
      <c r="X73" s="730" t="inlineStr">
        <is>
          <t>在岗职工人工成本总额</t>
        </is>
      </c>
      <c r="Y73" s="1312">
        <f>ROW()-47</f>
        <v/>
      </c>
      <c r="Z73" s="1313">
        <f>Z51-Z75-Z101</f>
        <v/>
      </c>
      <c r="AA73" s="1313">
        <f>AA51-AA75-AA101</f>
        <v/>
      </c>
      <c r="AB73" s="1313">
        <f>AB51-AB75-AB101</f>
        <v/>
      </c>
      <c r="AC73" s="745">
        <f>IF(AB73=0,0,(AA73-AB73)/AB73)</f>
        <v/>
      </c>
      <c r="AD73" s="1313" t="n"/>
      <c r="AE73" s="745">
        <f>IF(AD73=0,0,AA73/AD73)</f>
        <v/>
      </c>
      <c r="AF73" s="1313">
        <f>AF51-AF75-AF101</f>
        <v/>
      </c>
      <c r="AG73" s="1313">
        <f>AG51-AG75-AG101</f>
        <v/>
      </c>
      <c r="AH73" s="1313">
        <f>AH51-AH75-AH101</f>
        <v/>
      </c>
      <c r="AI73" s="745">
        <f>IF(AH73=0,0,(AG73-AH73)/AH73)</f>
        <v/>
      </c>
      <c r="AJ73" s="1315">
        <f>AJ51-AJ75-AJ101</f>
        <v/>
      </c>
      <c r="AK73" s="1315">
        <f>AK51-AK75-AK101</f>
        <v/>
      </c>
      <c r="AL73" s="1315">
        <f>AL51-AL75-AL101</f>
        <v/>
      </c>
      <c r="AM73" s="575" t="n"/>
      <c r="AN73" s="575" t="n"/>
      <c r="AO73" s="575" t="n"/>
      <c r="AP73" s="575" t="n"/>
      <c r="AQ73" s="575" t="n"/>
      <c r="AR73" s="575" t="n"/>
    </row>
    <row r="74" ht="16.5" customFormat="1" customHeight="1" s="575">
      <c r="A74" s="575" t="n"/>
      <c r="B74" s="575" t="n"/>
      <c r="C74" s="575" t="n"/>
      <c r="D74" s="575" t="n"/>
      <c r="E74" s="575" t="n"/>
      <c r="F74" s="575" t="n"/>
      <c r="G74" s="575" t="n"/>
      <c r="H74" s="575" t="n"/>
      <c r="I74" s="575" t="n"/>
      <c r="J74" s="575" t="n"/>
      <c r="K74" s="575" t="n"/>
      <c r="L74" s="575" t="n"/>
      <c r="M74" s="575" t="n"/>
      <c r="N74" s="575" t="n"/>
      <c r="O74" s="575" t="n"/>
      <c r="P74" s="575" t="n"/>
      <c r="Q74" s="575" t="n"/>
      <c r="R74" s="575" t="n"/>
      <c r="S74" s="726">
        <f>IF(_epmOfflineCondition_,"人工成本明细-其中：应发工资总额",EPMMemberDesc(U74))</f>
        <v/>
      </c>
      <c r="T74" s="575" t="n"/>
      <c r="U74" s="575" t="inlineStr">
        <is>
          <t>A0070401</t>
        </is>
      </c>
      <c r="V74" s="731">
        <f>IF(_epmOfflineCondition_,"A0070401",EPMOlapMemberO(U74,"[C_ACCOUNT].[PARENTH1].[A0070401]","A0070401 - 人工成本明细-其中：应发工资总额","","000"))</f>
        <v/>
      </c>
      <c r="W74" s="726" t="n"/>
      <c r="X74" s="482" t="inlineStr">
        <is>
          <t>其中：工资总额</t>
        </is>
      </c>
      <c r="Y74" s="1312">
        <f>ROW()-47</f>
        <v/>
      </c>
      <c r="Z74" s="1313">
        <f>Z52-Z96-Z98-Z102</f>
        <v/>
      </c>
      <c r="AA74" s="1313">
        <f>AA52-AA96-AA98-AA102</f>
        <v/>
      </c>
      <c r="AB74" s="1313">
        <f>AB52-AB96-AB98-AB102</f>
        <v/>
      </c>
      <c r="AC74" s="745">
        <f>IF(AB74=0,0,(AA74-AB74)/AB74)</f>
        <v/>
      </c>
      <c r="AD74" s="1313" t="n"/>
      <c r="AE74" s="745">
        <f>IF(AD74=0,0,AA74/AD74)</f>
        <v/>
      </c>
      <c r="AF74" s="1313">
        <f>AF52-AF96-AF98-AF102</f>
        <v/>
      </c>
      <c r="AG74" s="1313">
        <f>AG52-AG96-AG98-AG102</f>
        <v/>
      </c>
      <c r="AH74" s="1313">
        <f>AH52-AH96-AH98-AH102</f>
        <v/>
      </c>
      <c r="AI74" s="745">
        <f>IF(AH74=0,0,(AG74-AH74)/AH74)</f>
        <v/>
      </c>
      <c r="AJ74" s="1315">
        <f>AJ52-AJ96-AJ98-AJ102</f>
        <v/>
      </c>
      <c r="AK74" s="1315">
        <f>AK52-AK96-AK98-AK102</f>
        <v/>
      </c>
      <c r="AL74" s="1315">
        <f>AL52-AL96-AL98-AL102</f>
        <v/>
      </c>
      <c r="AM74" s="575" t="n"/>
      <c r="AN74" s="575" t="n"/>
      <c r="AO74" s="575" t="n"/>
      <c r="AP74" s="575" t="n"/>
      <c r="AQ74" s="575" t="n"/>
      <c r="AR74" s="575" t="n"/>
    </row>
    <row r="75" ht="16.5" customFormat="1" customHeight="1" s="575">
      <c r="A75" s="575" t="n"/>
      <c r="B75" s="575" t="n"/>
      <c r="C75" s="575" t="n"/>
      <c r="D75" s="575" t="n"/>
      <c r="E75" s="575" t="n"/>
      <c r="F75" s="575" t="n"/>
      <c r="G75" s="575" t="n"/>
      <c r="H75" s="575" t="n"/>
      <c r="I75" s="575" t="n"/>
      <c r="J75" s="575" t="n"/>
      <c r="K75" s="575" t="n"/>
      <c r="L75" s="575" t="n"/>
      <c r="M75" s="575" t="n"/>
      <c r="N75" s="575" t="n"/>
      <c r="O75" s="575" t="n"/>
      <c r="P75" s="575" t="n"/>
      <c r="Q75" s="575" t="n"/>
      <c r="R75" s="575" t="n"/>
      <c r="S75" s="726">
        <f>IF(_epmOfflineCondition_,"人工成本明细-支付给内退及下岗职工工资总额",EPMMemberDesc(U75))</f>
        <v/>
      </c>
      <c r="T75" s="575" t="n"/>
      <c r="U75" s="575" t="inlineStr">
        <is>
          <t>A00705</t>
        </is>
      </c>
      <c r="V75" s="726">
        <f>IF(_epmOfflineCondition_,"A00705",EPMOlapMemberO(U75,"[C_ACCOUNT].[PARENTH1].[A00705]","A00705 - 人工成本明细-支付给内退及下岗职工工资总额","","000"))</f>
        <v/>
      </c>
      <c r="W75" s="726" t="n"/>
      <c r="X75" s="454" t="inlineStr">
        <is>
          <t>支付给内退及下岗职工人工成本总额</t>
        </is>
      </c>
      <c r="Y75" s="1312">
        <f>ROW()-47</f>
        <v/>
      </c>
      <c r="Z75" s="1313">
        <f>Z95+Z97</f>
        <v/>
      </c>
      <c r="AA75" s="1313">
        <f>AA95+AA97</f>
        <v/>
      </c>
      <c r="AB75" s="1313">
        <f>AB95+AB97</f>
        <v/>
      </c>
      <c r="AC75" s="745">
        <f>IF(AB75=0,0,(AA75-AB75)/AB75)</f>
        <v/>
      </c>
      <c r="AD75" s="1313" t="n"/>
      <c r="AE75" s="745">
        <f>IF(AD75=0,0,AA75/AD75)</f>
        <v/>
      </c>
      <c r="AF75" s="1313">
        <f>AF95+AF97</f>
        <v/>
      </c>
      <c r="AG75" s="1313">
        <f>AG95+AG97</f>
        <v/>
      </c>
      <c r="AH75" s="1313">
        <f>AH95+AH97</f>
        <v/>
      </c>
      <c r="AI75" s="745">
        <f>IF(AH75=0,0,(AG75-AH75)/AH75)</f>
        <v/>
      </c>
      <c r="AJ75" s="1314">
        <f>AJ95+AJ97</f>
        <v/>
      </c>
      <c r="AK75" s="1314">
        <f>AK95+AK97</f>
        <v/>
      </c>
      <c r="AL75" s="1314">
        <f>AL95+AL97</f>
        <v/>
      </c>
      <c r="AM75" s="575" t="n"/>
      <c r="AN75" s="575" t="n"/>
      <c r="AO75" s="575" t="n"/>
      <c r="AP75" s="575" t="n"/>
      <c r="AQ75" s="575" t="n"/>
      <c r="AR75" s="575" t="n"/>
    </row>
    <row r="76" ht="16.5" customFormat="1" customHeight="1" s="575">
      <c r="A76" s="575" t="n"/>
      <c r="B76" s="575" t="n"/>
      <c r="C76" s="575" t="n"/>
      <c r="D76" s="575" t="n"/>
      <c r="E76" s="575" t="n"/>
      <c r="F76" s="575" t="n"/>
      <c r="G76" s="575" t="n"/>
      <c r="H76" s="575" t="n"/>
      <c r="I76" s="575" t="n"/>
      <c r="J76" s="575" t="n"/>
      <c r="K76" s="575" t="n"/>
      <c r="L76" s="575" t="n"/>
      <c r="M76" s="575" t="n"/>
      <c r="N76" s="575" t="n"/>
      <c r="O76" s="575" t="n"/>
      <c r="P76" s="575" t="n"/>
      <c r="Q76" s="575" t="n"/>
      <c r="R76" s="575" t="n"/>
      <c r="S76" s="726">
        <f>IF(_epmOfflineCondition_,"人工成本明细-劳务派遣用工支出",EPMMemberDesc(U76))</f>
        <v/>
      </c>
      <c r="T76" s="575" t="n"/>
      <c r="U76" s="575" t="inlineStr">
        <is>
          <t>A00706</t>
        </is>
      </c>
      <c r="V76" s="726">
        <f>IF(_epmOfflineCondition_,"A00706",EPMOlapMemberO(U76,"[C_ACCOUNT].[PARENTH1].[A00706]","A00706 - 人工成本明细-劳务派遣用工支出","","000"))</f>
        <v/>
      </c>
      <c r="W76" s="726" t="n"/>
      <c r="X76" s="454" t="inlineStr">
        <is>
          <t>劳务派遣用工支出</t>
        </is>
      </c>
      <c r="Y76" s="1312">
        <f>ROW()-47</f>
        <v/>
      </c>
      <c r="Z76" s="1313" t="n"/>
      <c r="AA76" s="1313" t="n"/>
      <c r="AB76" s="1313" t="n"/>
      <c r="AC76" s="745">
        <f>IF(AB76=0,0,(AA76-AB76)/AB76)</f>
        <v/>
      </c>
      <c r="AD76" s="1313" t="n"/>
      <c r="AE76" s="745">
        <f>IF(AD76=0,0,AA76/AD76)</f>
        <v/>
      </c>
      <c r="AF76" s="1313">
        <f>AJ76*-1</f>
        <v/>
      </c>
      <c r="AG76" s="1313">
        <f>AK76*-1</f>
        <v/>
      </c>
      <c r="AH76" s="1313">
        <f>AL76*-1</f>
        <v/>
      </c>
      <c r="AI76" s="745">
        <f>IF(AH76=0,0,(AG76-AH76)/AH76)</f>
        <v/>
      </c>
      <c r="AJ76" s="1314" t="n"/>
      <c r="AK76" s="1314" t="n"/>
      <c r="AL76" s="1314" t="n"/>
      <c r="AM76" s="575" t="n"/>
      <c r="AN76" s="575" t="n"/>
      <c r="AO76" s="575" t="n"/>
      <c r="AP76" s="575" t="n"/>
      <c r="AQ76" s="575" t="n"/>
      <c r="AR76" s="575" t="n"/>
    </row>
    <row r="77" ht="16.5" customFormat="1" customHeight="1" s="575">
      <c r="A77" s="575" t="n"/>
      <c r="B77" s="575" t="n"/>
      <c r="C77" s="575" t="n"/>
      <c r="D77" s="575" t="n"/>
      <c r="E77" s="575" t="n"/>
      <c r="F77" s="575" t="n"/>
      <c r="G77" s="575" t="n"/>
      <c r="H77" s="575" t="n"/>
      <c r="I77" s="575" t="n"/>
      <c r="J77" s="575" t="n"/>
      <c r="K77" s="575" t="n"/>
      <c r="L77" s="575" t="n"/>
      <c r="M77" s="575" t="n"/>
      <c r="N77" s="575" t="n"/>
      <c r="O77" s="575" t="n"/>
      <c r="P77" s="575" t="n"/>
      <c r="Q77" s="575" t="n"/>
      <c r="R77" s="575" t="n"/>
      <c r="S77" s="726">
        <f>IF(_epmOfflineCondition_,"人工成本明细-其中：劳务派遣劳动报酬",EPMMemberDesc(U77))</f>
        <v/>
      </c>
      <c r="T77" s="575" t="n"/>
      <c r="U77" s="575" t="inlineStr">
        <is>
          <t>A0070601</t>
        </is>
      </c>
      <c r="V77" s="731">
        <f>IF(_epmOfflineCondition_,"A0070601",EPMOlapMemberO(U77,"[C_ACCOUNT].[PARENTH1].[A0070601]","A0070601 - 人工成本明细-其中：劳务派遣劳动报酬","","000"))</f>
        <v/>
      </c>
      <c r="W77" s="726" t="n"/>
      <c r="X77" s="457" t="inlineStr">
        <is>
          <t>其中：劳务派遣劳动报酬</t>
        </is>
      </c>
      <c r="Y77" s="1312">
        <f>ROW()-47</f>
        <v/>
      </c>
      <c r="Z77" s="1313" t="n"/>
      <c r="AA77" s="1313" t="n"/>
      <c r="AB77" s="1313" t="n"/>
      <c r="AC77" s="745">
        <f>IF(AB77=0,0,(AA77-AB77)/AB77)</f>
        <v/>
      </c>
      <c r="AD77" s="1313" t="n"/>
      <c r="AE77" s="745">
        <f>IF(AD77=0,0,AA77/AD77)</f>
        <v/>
      </c>
      <c r="AF77" s="1313">
        <f>AJ77*-1</f>
        <v/>
      </c>
      <c r="AG77" s="1313">
        <f>AK77*-1</f>
        <v/>
      </c>
      <c r="AH77" s="1313">
        <f>AL77*-1</f>
        <v/>
      </c>
      <c r="AI77" s="745">
        <f>IF(AH77=0,0,(AG77-AH77)/AH77)</f>
        <v/>
      </c>
      <c r="AJ77" s="1314" t="n"/>
      <c r="AK77" s="1314" t="n"/>
      <c r="AL77" s="1314" t="n"/>
      <c r="AM77" s="575" t="n"/>
      <c r="AN77" s="575" t="n"/>
      <c r="AO77" s="575" t="n"/>
      <c r="AP77" s="575" t="n"/>
      <c r="AQ77" s="575" t="n"/>
      <c r="AR77" s="575" t="n"/>
    </row>
    <row r="78" ht="16.5" customFormat="1" customHeight="1" s="575">
      <c r="A78" s="575" t="n"/>
      <c r="B78" s="575" t="n"/>
      <c r="C78" s="575" t="n"/>
      <c r="D78" s="575" t="n"/>
      <c r="E78" s="575" t="n"/>
      <c r="F78" s="575" t="n"/>
      <c r="G78" s="575" t="n"/>
      <c r="H78" s="575" t="n"/>
      <c r="I78" s="575" t="n"/>
      <c r="J78" s="575" t="n"/>
      <c r="K78" s="575" t="n"/>
      <c r="L78" s="575" t="n"/>
      <c r="M78" s="575" t="n"/>
      <c r="N78" s="575" t="n"/>
      <c r="O78" s="575" t="n"/>
      <c r="P78" s="575" t="n"/>
      <c r="Q78" s="575" t="n"/>
      <c r="R78" s="575" t="n"/>
      <c r="S78" s="726">
        <f>IF(_epmOfflineCondition_,"人工成本明细-相关人员情况",EPMMemberDesc(U78))</f>
        <v/>
      </c>
      <c r="T78" s="575" t="n"/>
      <c r="U78" s="575" t="inlineStr">
        <is>
          <t>A00707</t>
        </is>
      </c>
      <c r="V78" s="731">
        <f>IF(_epmOfflineCondition_,"A00707",EPMOlapMemberO(U78,"[C_ACCOUNT].[PARENTH1].[A00707]","A00707 - 人工成本明细-相关人员情况","","000"))</f>
        <v/>
      </c>
      <c r="W78" s="726" t="n"/>
      <c r="X78" s="454" t="inlineStr">
        <is>
          <t>相关人员情况</t>
        </is>
      </c>
      <c r="Y78" s="1312">
        <f>ROW()-47</f>
        <v/>
      </c>
      <c r="Z78" s="1316">
        <f>"— —"</f>
        <v/>
      </c>
      <c r="AA78" s="1316">
        <f>"— —"</f>
        <v/>
      </c>
      <c r="AB78" s="1316">
        <f>"— —"</f>
        <v/>
      </c>
      <c r="AC78" s="1216">
        <f>"— —"</f>
        <v/>
      </c>
      <c r="AD78" s="1316">
        <f>"— —"</f>
        <v/>
      </c>
      <c r="AE78" s="1216">
        <f>"— —"</f>
        <v/>
      </c>
      <c r="AF78" s="1316">
        <f>"— —"</f>
        <v/>
      </c>
      <c r="AG78" s="1316">
        <f>"— —"</f>
        <v/>
      </c>
      <c r="AH78" s="1316">
        <f>"— —"</f>
        <v/>
      </c>
      <c r="AI78" s="1216">
        <f>"— —"</f>
        <v/>
      </c>
      <c r="AJ78" s="1216">
        <f>"— —"</f>
        <v/>
      </c>
      <c r="AK78" s="1216">
        <f>"— —"</f>
        <v/>
      </c>
      <c r="AL78" s="1216">
        <f>"— —"</f>
        <v/>
      </c>
      <c r="AM78" s="575" t="n"/>
      <c r="AN78" s="575" t="n"/>
      <c r="AO78" s="575" t="n"/>
      <c r="AP78" s="575" t="n"/>
      <c r="AQ78" s="575" t="n"/>
      <c r="AR78" s="575" t="n"/>
    </row>
    <row r="79" ht="16.5" customFormat="1" customHeight="1" s="575">
      <c r="A79" s="575" t="n"/>
      <c r="B79" s="575" t="n"/>
      <c r="C79" s="575" t="n"/>
      <c r="D79" s="575" t="n"/>
      <c r="E79" s="575" t="n"/>
      <c r="F79" s="575" t="n"/>
      <c r="G79" s="575" t="n"/>
      <c r="H79" s="575" t="n"/>
      <c r="I79" s="575" t="n"/>
      <c r="J79" s="575" t="n"/>
      <c r="K79" s="575" t="n"/>
      <c r="L79" s="575" t="n"/>
      <c r="M79" s="575" t="n"/>
      <c r="N79" s="575" t="n"/>
      <c r="O79" s="575" t="n"/>
      <c r="P79" s="575" t="n"/>
      <c r="Q79" s="575" t="n"/>
      <c r="R79" s="575" t="n"/>
      <c r="S79" s="726">
        <f>IF(_epmOfflineCondition_,"人工成本明细-全年平均从业人员人数（人）",EPMMemberDesc(U79))</f>
        <v/>
      </c>
      <c r="T79" s="575" t="n"/>
      <c r="U79" s="575" t="inlineStr">
        <is>
          <t>A0070701</t>
        </is>
      </c>
      <c r="V79" s="731">
        <f>IF(_epmOfflineCondition_,"A0070701",EPMOlapMemberO(U79,"[C_ACCOUNT].[PARENTH1].[A0070701]","A0070701 - 人工成本明细-全年平均从业人员人数（人）","","000"))</f>
        <v/>
      </c>
      <c r="W79" s="726" t="n"/>
      <c r="X79" s="457" t="inlineStr">
        <is>
          <t>全年平均从业人员人数（人）</t>
        </is>
      </c>
      <c r="Y79" s="1312">
        <f>ROW()-47</f>
        <v/>
      </c>
      <c r="Z79" s="1313">
        <f>AA79</f>
        <v/>
      </c>
      <c r="AA79" s="1317" t="inlineStr"/>
      <c r="AB79" s="1313" t="inlineStr"/>
      <c r="AC79" s="745">
        <f>IF(AB79=0,0,(AA79-AB79)/AB79)</f>
        <v/>
      </c>
      <c r="AD79" s="1313" t="n"/>
      <c r="AE79" s="745">
        <f>IF(AD79=0,0,AA79/AD79)</f>
        <v/>
      </c>
      <c r="AF79" s="1313">
        <f>AG79</f>
        <v/>
      </c>
      <c r="AG79" s="1317" t="inlineStr"/>
      <c r="AH79" s="1313" t="inlineStr"/>
      <c r="AI79" s="745">
        <f>IF(AH79=0,0,(AG79-AH79)/AH79)</f>
        <v/>
      </c>
      <c r="AJ79" s="1314" t="inlineStr"/>
      <c r="AK79" s="1318" t="inlineStr"/>
      <c r="AL79" s="1314" t="inlineStr"/>
      <c r="AM79" s="575" t="n"/>
      <c r="AN79" s="575" t="n"/>
      <c r="AO79" s="575" t="n"/>
      <c r="AP79" s="575" t="n"/>
      <c r="AQ79" s="575" t="n"/>
      <c r="AR79" s="575" t="n"/>
    </row>
    <row r="80" ht="16.5" customFormat="1" customHeight="1" s="575">
      <c r="A80" s="575" t="n"/>
      <c r="B80" s="575" t="n"/>
      <c r="C80" s="575" t="n"/>
      <c r="D80" s="575" t="n"/>
      <c r="E80" s="575" t="n"/>
      <c r="F80" s="575" t="n"/>
      <c r="G80" s="575" t="n"/>
      <c r="H80" s="575" t="n"/>
      <c r="I80" s="575" t="n"/>
      <c r="J80" s="575" t="n"/>
      <c r="K80" s="575" t="n"/>
      <c r="L80" s="575" t="n"/>
      <c r="M80" s="575" t="n"/>
      <c r="N80" s="575" t="n"/>
      <c r="O80" s="575" t="n"/>
      <c r="P80" s="575" t="n"/>
      <c r="Q80" s="575" t="n"/>
      <c r="R80" s="575" t="n"/>
      <c r="S80" s="726">
        <f>IF(_epmOfflineCondition_,"人工成本明细-全年平均职工人数（人）",EPMMemberDesc(U80))</f>
        <v/>
      </c>
      <c r="T80" s="575" t="n"/>
      <c r="U80" s="575" t="inlineStr">
        <is>
          <t>A0070702</t>
        </is>
      </c>
      <c r="V80" s="731">
        <f>IF(_epmOfflineCondition_,"A0070702",EPMOlapMemberO(U80,"[C_ACCOUNT].[PARENTH1].[A0070702]","A0070702 - 人工成本明细-全年平均职工人数（人）","","000"))</f>
        <v/>
      </c>
      <c r="W80" s="726" t="n"/>
      <c r="X80" s="457" t="inlineStr">
        <is>
          <t>全年平均职工人数（人）</t>
        </is>
      </c>
      <c r="Y80" s="1312">
        <f>ROW()-47</f>
        <v/>
      </c>
      <c r="Z80" s="1313">
        <f>AA80</f>
        <v/>
      </c>
      <c r="AA80" s="1317" t="inlineStr"/>
      <c r="AB80" s="1313" t="inlineStr"/>
      <c r="AC80" s="745">
        <f>IF(AB80=0,0,(AA80-AB80)/AB80)</f>
        <v/>
      </c>
      <c r="AD80" s="1313" t="n"/>
      <c r="AE80" s="745">
        <f>IF(AD80=0,0,AA80/AD80)</f>
        <v/>
      </c>
      <c r="AF80" s="1313">
        <f>AG80</f>
        <v/>
      </c>
      <c r="AG80" s="1317" t="inlineStr"/>
      <c r="AH80" s="1313" t="inlineStr"/>
      <c r="AI80" s="745">
        <f>IF(AH80=0,0,(AG80-AH80)/AH80)</f>
        <v/>
      </c>
      <c r="AJ80" s="1314" t="inlineStr"/>
      <c r="AK80" s="1318" t="inlineStr"/>
      <c r="AL80" s="1314" t="inlineStr"/>
      <c r="AM80" s="575" t="n"/>
      <c r="AN80" s="575" t="n"/>
      <c r="AO80" s="575" t="n"/>
      <c r="AP80" s="575" t="n"/>
      <c r="AQ80" s="575" t="n"/>
      <c r="AR80" s="575" t="n"/>
    </row>
    <row r="81" ht="16.5" customFormat="1" customHeight="1" s="575">
      <c r="A81" s="575" t="n"/>
      <c r="B81" s="575" t="n"/>
      <c r="C81" s="575" t="n"/>
      <c r="D81" s="575" t="n"/>
      <c r="E81" s="575" t="n"/>
      <c r="F81" s="575" t="n"/>
      <c r="G81" s="575" t="n"/>
      <c r="H81" s="575" t="n"/>
      <c r="I81" s="575" t="n"/>
      <c r="J81" s="575" t="n"/>
      <c r="K81" s="575" t="n"/>
      <c r="L81" s="575" t="n"/>
      <c r="M81" s="575" t="n"/>
      <c r="N81" s="575" t="n"/>
      <c r="O81" s="575" t="n"/>
      <c r="P81" s="575" t="n"/>
      <c r="Q81" s="575" t="n"/>
      <c r="R81" s="575" t="n"/>
      <c r="S81" s="726">
        <f>IF(_epmOfflineCondition_,"人工成本明细-全年平均在岗职工人数（人）",EPMMemberDesc(U81))</f>
        <v/>
      </c>
      <c r="T81" s="575" t="n"/>
      <c r="U81" s="575" t="inlineStr">
        <is>
          <t>A0070703</t>
        </is>
      </c>
      <c r="V81" s="731">
        <f>IF(_epmOfflineCondition_,"A0070703",EPMOlapMemberO(U81,"[C_ACCOUNT].[PARENTH1].[A0070703]","A0070703 - 人工成本明细-全年平均在岗职工人数（人）","","000"))</f>
        <v/>
      </c>
      <c r="W81" s="726" t="n"/>
      <c r="X81" s="457" t="inlineStr">
        <is>
          <t>全年平均在岗职工人数（人）</t>
        </is>
      </c>
      <c r="Y81" s="1312">
        <f>ROW()-47</f>
        <v/>
      </c>
      <c r="Z81" s="1313">
        <f>AA81</f>
        <v/>
      </c>
      <c r="AA81" s="1317" t="inlineStr"/>
      <c r="AB81" s="1313" t="inlineStr"/>
      <c r="AC81" s="745">
        <f>IF(AB81=0,0,(AA81-AB81)/AB81)</f>
        <v/>
      </c>
      <c r="AD81" s="1313" t="n"/>
      <c r="AE81" s="745">
        <f>IF(AD81=0,0,AA81/AD81)</f>
        <v/>
      </c>
      <c r="AF81" s="1313">
        <f>AG81</f>
        <v/>
      </c>
      <c r="AG81" s="1317" t="inlineStr"/>
      <c r="AH81" s="1313" t="inlineStr"/>
      <c r="AI81" s="745">
        <f>IF(AH81=0,0,(AG81-AH81)/AH81)</f>
        <v/>
      </c>
      <c r="AJ81" s="1314" t="inlineStr"/>
      <c r="AK81" s="1318" t="inlineStr"/>
      <c r="AL81" s="1314" t="inlineStr"/>
      <c r="AM81" s="575" t="n"/>
      <c r="AN81" s="575" t="n"/>
      <c r="AO81" s="575" t="n"/>
      <c r="AP81" s="575" t="n"/>
      <c r="AQ81" s="575" t="n"/>
      <c r="AR81" s="575" t="n"/>
    </row>
    <row r="82" ht="16.5" customFormat="1" customHeight="1" s="575">
      <c r="A82" s="575" t="n"/>
      <c r="B82" s="575" t="n"/>
      <c r="C82" s="575" t="n"/>
      <c r="D82" s="575" t="n"/>
      <c r="E82" s="575" t="n"/>
      <c r="F82" s="575" t="n"/>
      <c r="G82" s="575" t="n"/>
      <c r="H82" s="575" t="n"/>
      <c r="I82" s="575" t="n"/>
      <c r="J82" s="575" t="n"/>
      <c r="K82" s="575" t="n"/>
      <c r="L82" s="575" t="n"/>
      <c r="M82" s="575" t="n"/>
      <c r="N82" s="575" t="n"/>
      <c r="O82" s="575" t="n"/>
      <c r="P82" s="575" t="n"/>
      <c r="Q82" s="575" t="n"/>
      <c r="R82" s="575" t="n"/>
      <c r="S82" s="726">
        <f>IF(_epmOfflineCondition_,"人工成本明细-劳务派遣用工人数（人）",EPMMemberDesc(U82))</f>
        <v/>
      </c>
      <c r="T82" s="575" t="n"/>
      <c r="U82" s="575" t="inlineStr">
        <is>
          <t>A0070704</t>
        </is>
      </c>
      <c r="V82" s="731">
        <f>IF(_epmOfflineCondition_,"A0070704",EPMOlapMemberO(U82,"[C_ACCOUNT].[PARENTH1].[A0070704]","A0070704 - 人工成本明细-劳务派遣用工人数（人）","","000"))</f>
        <v/>
      </c>
      <c r="W82" s="726" t="n"/>
      <c r="X82" s="457" t="inlineStr">
        <is>
          <t>平均劳务派遣用工人数（人）</t>
        </is>
      </c>
      <c r="Y82" s="1312">
        <f>ROW()-47</f>
        <v/>
      </c>
      <c r="Z82" s="1313">
        <f>AA82</f>
        <v/>
      </c>
      <c r="AA82" s="1317" t="n"/>
      <c r="AB82" s="1313" t="n"/>
      <c r="AC82" s="745">
        <f>IF(AB82=0,0,(AA82-AB82)/AB82)</f>
        <v/>
      </c>
      <c r="AD82" s="1313" t="n"/>
      <c r="AE82" s="745">
        <f>IF(AD82=0,0,AA82/AD82)</f>
        <v/>
      </c>
      <c r="AF82" s="1313">
        <f>AG82</f>
        <v/>
      </c>
      <c r="AG82" s="1317" t="n"/>
      <c r="AH82" s="1313" t="n"/>
      <c r="AI82" s="745">
        <f>IF(AH82=0,0,(AG82-AH82)/AH82)</f>
        <v/>
      </c>
      <c r="AJ82" s="1314" t="n"/>
      <c r="AK82" s="1318" t="n"/>
      <c r="AL82" s="1314" t="n"/>
      <c r="AM82" s="575" t="n"/>
      <c r="AN82" s="575" t="n"/>
      <c r="AO82" s="575" t="n"/>
      <c r="AP82" s="575" t="n"/>
      <c r="AQ82" s="575" t="n"/>
      <c r="AR82" s="575" t="n"/>
    </row>
    <row r="83">
      <c r="A83" s="38" t="n"/>
      <c r="B83" s="38" t="n"/>
      <c r="C83" s="38" t="n"/>
      <c r="D83" s="38" t="n"/>
      <c r="E83" s="38" t="n"/>
      <c r="F83" s="38" t="n"/>
      <c r="G83" s="38" t="n"/>
      <c r="H83" s="38" t="n"/>
      <c r="I83" s="38" t="n"/>
      <c r="J83" s="38" t="n"/>
      <c r="K83" s="38" t="n"/>
      <c r="L83" s="38" t="n"/>
      <c r="M83" s="38" t="n"/>
      <c r="N83" s="38" t="n"/>
      <c r="O83" s="38" t="n"/>
      <c r="P83" s="38" t="n"/>
      <c r="Q83" s="38" t="n"/>
      <c r="R83" s="38" t="n"/>
      <c r="S83" s="580" t="n"/>
      <c r="T83" s="38" t="n"/>
      <c r="U83" s="38" t="n"/>
      <c r="V83" s="753" t="n"/>
      <c r="W83" s="38" t="n"/>
      <c r="X83" s="38" t="n"/>
      <c r="Y83" s="38" t="n"/>
      <c r="Z83" s="162" t="n"/>
      <c r="AA83" s="162" t="n"/>
      <c r="AB83" s="162" t="n"/>
      <c r="AC83" s="162" t="n"/>
      <c r="AD83" s="162" t="n"/>
      <c r="AE83" s="162" t="n"/>
      <c r="AF83" s="162" t="n"/>
      <c r="AG83" s="162" t="n"/>
      <c r="AH83" s="162" t="n"/>
      <c r="AI83" s="162" t="n"/>
      <c r="AJ83" s="162" t="n"/>
      <c r="AK83" s="162" t="n"/>
      <c r="AL83" s="162" t="n"/>
      <c r="AM83" s="38" t="n"/>
      <c r="AN83" s="38" t="n"/>
      <c r="AO83" s="38" t="n"/>
      <c r="AP83" s="38" t="n"/>
      <c r="AQ83" s="38" t="n"/>
      <c r="AR83" s="38" t="n"/>
    </row>
    <row r="84">
      <c r="A84" s="38" t="n"/>
      <c r="B84" s="38" t="n"/>
      <c r="C84" s="38" t="n"/>
      <c r="D84" s="38" t="n"/>
      <c r="E84" s="38" t="n"/>
      <c r="F84" s="38" t="n"/>
      <c r="G84" s="38" t="n"/>
      <c r="H84" s="38" t="n"/>
      <c r="I84" s="38" t="n"/>
      <c r="J84" s="38" t="n"/>
      <c r="K84" s="38" t="n"/>
      <c r="L84" s="38" t="n"/>
      <c r="M84" s="38" t="n"/>
      <c r="N84" s="38" t="n"/>
      <c r="O84" s="38" t="n"/>
      <c r="P84" s="38" t="n"/>
      <c r="Q84" s="38" t="n"/>
      <c r="R84" s="38" t="n"/>
      <c r="S84" s="580" t="n"/>
      <c r="T84" s="38" t="n"/>
      <c r="U84" s="38" t="n"/>
      <c r="V84" s="753" t="n"/>
      <c r="W84" s="38" t="n"/>
      <c r="X84" s="190" t="inlineStr">
        <is>
          <t xml:space="preserve"> 1.填报说明：</t>
        </is>
      </c>
      <c r="Y84" s="38" t="n"/>
      <c r="Z84" s="162" t="n"/>
      <c r="AA84" s="162" t="n"/>
      <c r="AB84" s="162" t="n"/>
      <c r="AC84" s="162" t="n"/>
      <c r="AD84" s="162" t="n"/>
      <c r="AE84" s="162" t="n"/>
      <c r="AF84" s="162" t="n"/>
      <c r="AG84" s="162" t="n"/>
      <c r="AH84" s="162" t="n"/>
      <c r="AI84" s="162" t="n"/>
      <c r="AJ84" s="162" t="n"/>
      <c r="AK84" s="162" t="n"/>
      <c r="AL84" s="162" t="n"/>
      <c r="AM84" s="38" t="n"/>
      <c r="AN84" s="38" t="n"/>
      <c r="AO84" s="38" t="n"/>
      <c r="AP84" s="38" t="n"/>
      <c r="AQ84" s="38" t="n"/>
      <c r="AR84" s="38" t="n"/>
    </row>
    <row r="85">
      <c r="A85" s="38" t="n"/>
      <c r="B85" s="38" t="n"/>
      <c r="C85" s="38" t="n"/>
      <c r="D85" s="38" t="n"/>
      <c r="E85" s="38" t="n"/>
      <c r="F85" s="38" t="n"/>
      <c r="G85" s="38" t="n"/>
      <c r="H85" s="38" t="n"/>
      <c r="I85" s="38" t="n"/>
      <c r="J85" s="38" t="n"/>
      <c r="K85" s="38" t="n"/>
      <c r="L85" s="38" t="n"/>
      <c r="M85" s="38" t="n"/>
      <c r="N85" s="38" t="n"/>
      <c r="O85" s="38" t="n"/>
      <c r="P85" s="38" t="n"/>
      <c r="Q85" s="38" t="n"/>
      <c r="R85" s="38" t="n"/>
      <c r="S85" s="580">
        <f>IF(_epmOfflineCondition_,0,EPMSaveDataOnly(AA48,"",U48,D31,AA25,D21,AA44,E25,D28,C29,D27,D22,D26,AA26,AA27))</f>
        <v/>
      </c>
      <c r="T85" s="38" t="n"/>
      <c r="U85" s="38" t="n"/>
      <c r="V85" s="753" t="n"/>
      <c r="W85" s="38" t="n"/>
      <c r="X85" s="575" t="inlineStr">
        <is>
          <t>（1）商业保险费用：指企业在社会保险机构以外的各种商业保险机构为职工负担、支付的各种保险费用。</t>
        </is>
      </c>
      <c r="Y85" s="38" t="n"/>
      <c r="Z85" s="162" t="n"/>
      <c r="AA85" s="162" t="n"/>
      <c r="AB85" s="162" t="n"/>
      <c r="AC85" s="162" t="n"/>
      <c r="AD85" s="162" t="n"/>
      <c r="AE85" s="162" t="n"/>
      <c r="AF85" s="162" t="n"/>
      <c r="AG85" s="162" t="n"/>
      <c r="AH85" s="162" t="n"/>
      <c r="AI85" s="162" t="n"/>
      <c r="AJ85" s="162" t="n"/>
      <c r="AK85" s="162" t="n"/>
      <c r="AL85" s="162" t="n"/>
      <c r="AM85" s="38" t="n"/>
      <c r="AN85" s="38" t="n"/>
      <c r="AO85" s="38" t="n"/>
      <c r="AP85" s="38" t="n"/>
      <c r="AQ85" s="38" t="n"/>
      <c r="AR85" s="38" t="n"/>
    </row>
    <row r="86">
      <c r="A86" s="38" t="n"/>
      <c r="B86" s="38" t="n"/>
      <c r="C86" s="38" t="n"/>
      <c r="D86" s="38" t="n"/>
      <c r="E86" s="38" t="n"/>
      <c r="F86" s="38" t="n"/>
      <c r="G86" s="38" t="n"/>
      <c r="H86" s="38" t="n"/>
      <c r="I86" s="38" t="n"/>
      <c r="J86" s="38" t="n"/>
      <c r="K86" s="38" t="n"/>
      <c r="L86" s="38" t="n"/>
      <c r="M86" s="38" t="n"/>
      <c r="N86" s="38" t="n"/>
      <c r="O86" s="38" t="n"/>
      <c r="P86" s="38" t="n"/>
      <c r="Q86" s="38" t="n"/>
      <c r="R86" s="38" t="n"/>
      <c r="S86" s="580">
        <f>IF(_epmOfflineCondition_,0,EPMSaveDataOnly(AA49,"",U49,D31,AA25,D21,AA44,E25,D28,C29,D27,D22,D26,AA26,AA27))</f>
        <v/>
      </c>
      <c r="T86" s="38" t="n"/>
      <c r="U86" s="38" t="n"/>
      <c r="V86" s="753" t="n"/>
      <c r="W86" s="38" t="n"/>
      <c r="X86" s="575" t="inlineStr">
        <is>
          <t>（2）技术奖酬金及业余设计奖：指企业按照国家有关规定，从技术开发、技术转让、技术咨询和技术服务的净收入中预计提取的奖励给重要贡献人员的奖金和报酬。（注：已纳入工资总额核算和管理的技术奖酬金及业余设计奖不在此项目反映）</t>
        </is>
      </c>
      <c r="Y86" s="38" t="n"/>
      <c r="Z86" s="162" t="n"/>
      <c r="AA86" s="162" t="n"/>
      <c r="AB86" s="162" t="n"/>
      <c r="AC86" s="162" t="n"/>
      <c r="AD86" s="162" t="n"/>
      <c r="AE86" s="162" t="n"/>
      <c r="AF86" s="162" t="n"/>
      <c r="AG86" s="162" t="n"/>
      <c r="AH86" s="162" t="n"/>
      <c r="AI86" s="162" t="n"/>
      <c r="AJ86" s="162" t="n"/>
      <c r="AK86" s="162" t="n"/>
      <c r="AL86" s="162" t="n"/>
      <c r="AM86" s="38" t="n"/>
      <c r="AN86" s="38" t="n"/>
      <c r="AO86" s="38" t="n"/>
      <c r="AP86" s="38" t="n"/>
      <c r="AQ86" s="38" t="n"/>
      <c r="AR86" s="38" t="n"/>
    </row>
    <row r="87">
      <c r="A87" s="38" t="n"/>
      <c r="B87" s="38" t="n"/>
      <c r="C87" s="38" t="n"/>
      <c r="D87" s="38" t="n"/>
      <c r="E87" s="38" t="n"/>
      <c r="F87" s="38" t="n"/>
      <c r="G87" s="38" t="n"/>
      <c r="H87" s="38" t="n"/>
      <c r="I87" s="38" t="n"/>
      <c r="J87" s="38" t="n"/>
      <c r="K87" s="38" t="n"/>
      <c r="L87" s="38" t="n"/>
      <c r="M87" s="38" t="n"/>
      <c r="N87" s="38" t="n"/>
      <c r="O87" s="38" t="n"/>
      <c r="P87" s="38" t="n"/>
      <c r="Q87" s="38" t="n"/>
      <c r="R87" s="38" t="n"/>
      <c r="S87" s="580" t="n"/>
      <c r="T87" s="38" t="n"/>
      <c r="U87" s="38" t="n"/>
      <c r="V87" s="753" t="n"/>
      <c r="W87" s="38" t="n"/>
      <c r="X87" s="38" t="n"/>
      <c r="Y87" s="38" t="n"/>
      <c r="Z87" s="162" t="n"/>
      <c r="AA87" s="162" t="n"/>
      <c r="AB87" s="162" t="n"/>
      <c r="AC87" s="162" t="n"/>
      <c r="AD87" s="162" t="n"/>
      <c r="AE87" s="162" t="n"/>
      <c r="AF87" s="162" t="n"/>
      <c r="AG87" s="162" t="n"/>
      <c r="AH87" s="162" t="n"/>
      <c r="AI87" s="162" t="n"/>
      <c r="AJ87" s="162" t="n"/>
      <c r="AK87" s="162" t="n"/>
      <c r="AL87" s="162" t="n"/>
      <c r="AM87" s="38" t="n"/>
      <c r="AN87" s="38" t="n"/>
      <c r="AO87" s="38" t="n"/>
      <c r="AP87" s="38" t="n"/>
      <c r="AQ87" s="38" t="n"/>
      <c r="AR87" s="38" t="n"/>
    </row>
    <row r="88">
      <c r="A88" s="38" t="n"/>
      <c r="B88" s="38" t="n"/>
      <c r="C88" s="38" t="n"/>
      <c r="D88" s="38" t="n"/>
      <c r="E88" s="38" t="n"/>
      <c r="F88" s="38" t="n"/>
      <c r="G88" s="38" t="n"/>
      <c r="H88" s="38" t="n"/>
      <c r="I88" s="38" t="n"/>
      <c r="J88" s="38" t="n"/>
      <c r="K88" s="38" t="n"/>
      <c r="L88" s="38" t="n"/>
      <c r="M88" s="38" t="n"/>
      <c r="N88" s="38" t="n"/>
      <c r="O88" s="38" t="n"/>
      <c r="P88" s="38" t="n"/>
      <c r="Q88" s="38" t="n"/>
      <c r="R88" s="38" t="n"/>
      <c r="S88" s="580" t="n"/>
      <c r="T88" s="38" t="n"/>
      <c r="U88" s="38" t="n"/>
      <c r="V88" s="753" t="n"/>
      <c r="W88" s="38" t="n"/>
      <c r="X88" s="190" t="inlineStr">
        <is>
          <t>2.补充说明：</t>
        </is>
      </c>
      <c r="Y88" s="38" t="n"/>
      <c r="Z88" s="162" t="n"/>
      <c r="AA88" s="162" t="n"/>
      <c r="AB88" s="162" t="n"/>
      <c r="AC88" s="162" t="n"/>
      <c r="AD88" s="162" t="n"/>
      <c r="AE88" s="162" t="n"/>
      <c r="AF88" s="162" t="n"/>
      <c r="AG88" s="162" t="n"/>
      <c r="AH88" s="162" t="n"/>
      <c r="AI88" s="162" t="n"/>
      <c r="AJ88" s="162" t="n"/>
      <c r="AK88" s="162" t="n"/>
      <c r="AL88" s="162" t="n"/>
      <c r="AM88" s="38" t="n"/>
      <c r="AN88" s="38" t="n"/>
      <c r="AO88" s="38" t="n"/>
      <c r="AP88" s="38" t="n"/>
      <c r="AQ88" s="38" t="n"/>
      <c r="AR88" s="38" t="n"/>
    </row>
    <row r="89">
      <c r="A89" s="38" t="n"/>
      <c r="B89" s="38" t="n"/>
      <c r="C89" s="38" t="n"/>
      <c r="D89" s="38" t="n"/>
      <c r="E89" s="38" t="n"/>
      <c r="F89" s="38" t="n"/>
      <c r="G89" s="38" t="n"/>
      <c r="H89" s="38" t="n"/>
      <c r="I89" s="38" t="n"/>
      <c r="J89" s="38" t="n"/>
      <c r="K89" s="38" t="n"/>
      <c r="L89" s="38" t="n"/>
      <c r="M89" s="38" t="n"/>
      <c r="N89" s="38" t="n"/>
      <c r="O89" s="38" t="n"/>
      <c r="P89" s="38" t="n"/>
      <c r="Q89" s="38" t="n"/>
      <c r="R89" s="38" t="n"/>
      <c r="S89" s="580" t="n"/>
      <c r="T89" s="38" t="n"/>
      <c r="U89" s="609" t="inlineStr">
        <is>
          <t>A00711</t>
        </is>
      </c>
      <c r="V89" s="726">
        <f>IF(_epmOfflineCondition_,"A00711",EPMOlapMemberO(U89,"[C_ACCOUNT].[PARENTH1].[A00711]","A00711 - 人工成本明细-离退休人工成本","","000"))</f>
        <v/>
      </c>
      <c r="W89" s="38" t="n"/>
      <c r="X89" s="457" t="inlineStr">
        <is>
          <t>离退休人员费用</t>
        </is>
      </c>
      <c r="Y89" s="1312" t="inlineStr"/>
      <c r="Z89" s="1313" t="n"/>
      <c r="AA89" s="1313" t="n"/>
      <c r="AB89" s="1313" t="n"/>
      <c r="AC89" s="745">
        <f>IF(AB89=0,0,(Z89-AB89)/AB89)</f>
        <v/>
      </c>
      <c r="AD89" s="1319" t="n"/>
      <c r="AE89" s="745">
        <f>IFERROR(0,AA89/AD89)</f>
        <v/>
      </c>
      <c r="AF89" s="1313">
        <f>AJ89*-1</f>
        <v/>
      </c>
      <c r="AG89" s="1313">
        <f>AK89*-1</f>
        <v/>
      </c>
      <c r="AH89" s="1313">
        <f>AL89*-1</f>
        <v/>
      </c>
      <c r="AI89" s="745">
        <f>IF(AH89=0,0,(AG89-AH89)/AH89)</f>
        <v/>
      </c>
      <c r="AJ89" s="758" t="n"/>
      <c r="AK89" s="758" t="n"/>
      <c r="AL89" s="758" t="n"/>
      <c r="AM89" s="38" t="n"/>
      <c r="AN89" s="38" t="n"/>
      <c r="AO89" s="38" t="n"/>
      <c r="AP89" s="38" t="n"/>
      <c r="AQ89" s="38" t="n"/>
      <c r="AR89" s="38" t="n"/>
    </row>
    <row r="90">
      <c r="A90" s="38" t="n"/>
      <c r="B90" s="38" t="n"/>
      <c r="C90" s="38" t="n"/>
      <c r="D90" s="38" t="n"/>
      <c r="E90" s="38" t="n"/>
      <c r="F90" s="38" t="n"/>
      <c r="G90" s="38" t="n"/>
      <c r="H90" s="38" t="n"/>
      <c r="I90" s="38" t="n"/>
      <c r="J90" s="38" t="n"/>
      <c r="K90" s="38" t="n"/>
      <c r="L90" s="38" t="n"/>
      <c r="M90" s="38" t="n"/>
      <c r="N90" s="38" t="n"/>
      <c r="O90" s="38" t="n"/>
      <c r="P90" s="38" t="n"/>
      <c r="Q90" s="38" t="n"/>
      <c r="R90" s="38" t="n"/>
      <c r="S90" s="580" t="n"/>
      <c r="T90" s="38" t="n"/>
      <c r="U90" s="609" t="inlineStr">
        <is>
          <t>A00713</t>
        </is>
      </c>
      <c r="V90" s="726">
        <f>IF(_epmOfflineCondition_,"A00713",EPMOlapMemberO(U90,"[C_ACCOUNT].[PARENTH1].[A00713]","A00713 - 人工成本明细-福利费用（含离退休）","","000"))</f>
        <v/>
      </c>
      <c r="W90" s="38" t="n"/>
      <c r="X90" s="457" t="inlineStr">
        <is>
          <t>福利费用（含离退休）</t>
        </is>
      </c>
      <c r="Y90" s="1312" t="inlineStr"/>
      <c r="Z90" s="1313">
        <f>Z61+Z91+Z92</f>
        <v/>
      </c>
      <c r="AA90" s="1313">
        <f>AA61+AA91+AA92</f>
        <v/>
      </c>
      <c r="AB90" s="1313">
        <f>AB61+AB91+AB92</f>
        <v/>
      </c>
      <c r="AC90" s="745">
        <f>IF(AB90=0,0,(Z90-AB90)/AB90)</f>
        <v/>
      </c>
      <c r="AD90" s="1319" t="n"/>
      <c r="AE90" s="745">
        <f>IFERROR(0,AA90/AD90)</f>
        <v/>
      </c>
      <c r="AF90" s="1313">
        <f>AF61+AF91+AF92</f>
        <v/>
      </c>
      <c r="AG90" s="1313">
        <f>AG61+AG91+AG92</f>
        <v/>
      </c>
      <c r="AH90" s="1313">
        <f>AH61+AH91+AH92</f>
        <v/>
      </c>
      <c r="AI90" s="745">
        <f>IF(AH90=0,0,(AG90-AH90)/AH90)</f>
        <v/>
      </c>
      <c r="AJ90" s="1314">
        <f>AJ61+AJ91+AJ92</f>
        <v/>
      </c>
      <c r="AK90" s="1314">
        <f>AK61+AK91+AK92</f>
        <v/>
      </c>
      <c r="AL90" s="1314">
        <f>AL61+AL91+AL92</f>
        <v/>
      </c>
      <c r="AM90" s="38" t="n"/>
      <c r="AN90" s="38" t="n"/>
      <c r="AO90" s="38" t="n"/>
      <c r="AP90" s="38" t="n"/>
      <c r="AQ90" s="38" t="n"/>
      <c r="AR90" s="38" t="n"/>
    </row>
    <row r="91">
      <c r="A91" s="38" t="n"/>
      <c r="B91" s="38" t="n"/>
      <c r="C91" s="38" t="n"/>
      <c r="D91" s="38" t="n"/>
      <c r="E91" s="38" t="n"/>
      <c r="F91" s="38" t="n"/>
      <c r="G91" s="38" t="n"/>
      <c r="H91" s="38" t="n"/>
      <c r="I91" s="38" t="n"/>
      <c r="J91" s="38" t="n"/>
      <c r="K91" s="38" t="n"/>
      <c r="L91" s="38" t="n"/>
      <c r="M91" s="38" t="n"/>
      <c r="N91" s="38" t="n"/>
      <c r="O91" s="38" t="n"/>
      <c r="P91" s="38" t="n"/>
      <c r="Q91" s="38" t="n"/>
      <c r="R91" s="38" t="n"/>
      <c r="S91" s="580" t="n"/>
      <c r="T91" s="38" t="n"/>
      <c r="U91" s="609" t="inlineStr">
        <is>
          <t>A0071301</t>
        </is>
      </c>
      <c r="V91" s="731">
        <f>IF(_epmOfflineCondition_,"A0071301",EPMOlapMemberO(U91,"[C_ACCOUNT].[PARENTH1].[A0071301]","A0071301 - 人工成本明细-其中：福利费用（离退休人员统筹外费用）","","000"))</f>
        <v/>
      </c>
      <c r="W91" s="38" t="n"/>
      <c r="X91" s="732" t="inlineStr">
        <is>
          <t>其中：福利费用（离退休人员统筹外费用）</t>
        </is>
      </c>
      <c r="Y91" s="1312" t="inlineStr"/>
      <c r="Z91" s="1313" t="n"/>
      <c r="AA91" s="1313" t="n"/>
      <c r="AB91" s="1313" t="n"/>
      <c r="AC91" s="745">
        <f>IF(AB91=0,0,(Z91-AB91)/AB91)</f>
        <v/>
      </c>
      <c r="AD91" s="1319" t="n"/>
      <c r="AE91" s="745">
        <f>IFERROR(0,AA91/AD91)</f>
        <v/>
      </c>
      <c r="AF91" s="1313">
        <f>AJ91*-1</f>
        <v/>
      </c>
      <c r="AG91" s="1313">
        <f>AK91*-1</f>
        <v/>
      </c>
      <c r="AH91" s="1313">
        <f>AL91*-1</f>
        <v/>
      </c>
      <c r="AI91" s="745">
        <f>IF(AH91=0,0,(AG91-AH91)/AH91)</f>
        <v/>
      </c>
      <c r="AJ91" s="758" t="n"/>
      <c r="AK91" s="758" t="n"/>
      <c r="AL91" s="758" t="n"/>
      <c r="AM91" s="38" t="n"/>
      <c r="AN91" s="38" t="n"/>
      <c r="AO91" s="38" t="n"/>
      <c r="AP91" s="38" t="n"/>
      <c r="AQ91" s="38" t="n"/>
      <c r="AR91" s="38" t="n"/>
    </row>
    <row r="92">
      <c r="A92" s="38" t="n"/>
      <c r="B92" s="38" t="n"/>
      <c r="C92" s="38" t="n"/>
      <c r="D92" s="38" t="n"/>
      <c r="E92" s="38" t="n"/>
      <c r="F92" s="38" t="n"/>
      <c r="G92" s="38" t="n"/>
      <c r="H92" s="38" t="n"/>
      <c r="I92" s="38" t="n"/>
      <c r="J92" s="38" t="n"/>
      <c r="K92" s="38" t="n"/>
      <c r="L92" s="38" t="n"/>
      <c r="M92" s="38" t="n"/>
      <c r="N92" s="38" t="n"/>
      <c r="O92" s="38" t="n"/>
      <c r="P92" s="38" t="n"/>
      <c r="Q92" s="38" t="n"/>
      <c r="R92" s="38" t="n"/>
      <c r="S92" s="580" t="n"/>
      <c r="T92" s="38" t="n"/>
      <c r="U92" s="609" t="inlineStr">
        <is>
          <t>A0071302</t>
        </is>
      </c>
      <c r="V92" s="731">
        <f>IF(_epmOfflineCondition_,"A0071302",EPMOlapMemberO(U92,"[C_ACCOUNT].[PARENTH1].[A0071302]","A0071302 - 人工成本明细-其中：福利费用（离职后福利）","","000"))</f>
        <v/>
      </c>
      <c r="W92" s="38" t="n"/>
      <c r="X92" s="732" t="inlineStr">
        <is>
          <t>其中：福利费用（离职后福利）</t>
        </is>
      </c>
      <c r="Y92" s="1312" t="inlineStr"/>
      <c r="Z92" s="1313">
        <f>IF(_epmOfflineCondition_,0,IF($M$8="NULL",EPMRetrieveData(,,$D$21,$D$22,$D$25,$D$26,$D$27,$D$28,$Z$41,$Z$42,$Z$43,$Z$44,$Z$45,$Z$46,V92),Z97))</f>
        <v/>
      </c>
      <c r="AA92" s="1313">
        <f>IF(_epmOfflineCondition_,0,IF($M$8="NULL",EPMRetrieveData(,,$D$21,$D$22,$D$25,$D$26,$D$27,$D$28,$AA$41,$AA$42,$AA$43,$AA$44,$AA$45,$AA$46,V92),AA97))</f>
        <v/>
      </c>
      <c r="AB92" s="1313">
        <f>IF(_epmOfflineCondition_,0,IF($M$8="NULL",EPMRetrieveData(,,$D$21,$D$22,$D$25,$D$26,$D$27,$D$28,$AB$41,$AB$42,$AB$43,$AB$44,$AB$45,$AB$46,V92),AH92))</f>
        <v/>
      </c>
      <c r="AC92" s="745">
        <f>IF(AB92=0,0,(Z92-AB92)/AB92)</f>
        <v/>
      </c>
      <c r="AD92" s="1319" t="n"/>
      <c r="AE92" s="745">
        <f>IFERROR(0,AA92/AD92)</f>
        <v/>
      </c>
      <c r="AF92" s="1313">
        <f>AJ92*-1</f>
        <v/>
      </c>
      <c r="AG92" s="1313">
        <f>AK92*-1</f>
        <v/>
      </c>
      <c r="AH92" s="1313">
        <f>AL92*-1</f>
        <v/>
      </c>
      <c r="AI92" s="745">
        <f>IF(AH92=0,0,(AG92-AH92)/AH92)</f>
        <v/>
      </c>
      <c r="AJ92" s="758" t="n"/>
      <c r="AK92" s="758" t="n"/>
      <c r="AL92" s="758" t="n"/>
      <c r="AM92" s="38" t="n"/>
      <c r="AN92" s="38" t="n"/>
      <c r="AO92" s="38" t="n"/>
      <c r="AP92" s="38" t="n"/>
      <c r="AQ92" s="38" t="n"/>
      <c r="AR92" s="38" t="n"/>
    </row>
    <row r="93">
      <c r="A93" s="38" t="n"/>
      <c r="B93" s="38" t="n"/>
      <c r="C93" s="38" t="n"/>
      <c r="D93" s="38" t="n"/>
      <c r="E93" s="38" t="n"/>
      <c r="F93" s="38" t="n"/>
      <c r="G93" s="38" t="n"/>
      <c r="H93" s="38" t="n"/>
      <c r="I93" s="38" t="n"/>
      <c r="J93" s="38" t="n"/>
      <c r="K93" s="38" t="n"/>
      <c r="L93" s="38" t="n"/>
      <c r="M93" s="38" t="n"/>
      <c r="N93" s="38" t="n"/>
      <c r="O93" s="38" t="n"/>
      <c r="P93" s="38" t="n"/>
      <c r="Q93" s="38" t="n"/>
      <c r="R93" s="38" t="n"/>
      <c r="S93" s="580" t="n"/>
      <c r="T93" s="38" t="n"/>
      <c r="U93" s="38" t="inlineStr">
        <is>
          <t>A00712</t>
        </is>
      </c>
      <c r="V93" s="726">
        <f>IF(_epmOfflineCondition_,"A00712",EPMOlapMemberO(U93,"[C_ACCOUNT].[PARENTH1].[A00712]","A00712 - 人工成本明细-其他从业人员","","000"))</f>
        <v/>
      </c>
      <c r="W93" s="38" t="n"/>
      <c r="X93" s="457" t="inlineStr">
        <is>
          <t>其他从业人员</t>
        </is>
      </c>
      <c r="Y93" s="1312" t="inlineStr"/>
      <c r="Z93" s="1313" t="n"/>
      <c r="AA93" s="1313" t="n"/>
      <c r="AB93" s="1313" t="n"/>
      <c r="AC93" s="745">
        <f>IF(AB93=0,0,(Z93-AB93)/AB93)</f>
        <v/>
      </c>
      <c r="AD93" s="1319" t="n"/>
      <c r="AE93" s="745">
        <f>IFERROR(0,AA93/AD93)</f>
        <v/>
      </c>
      <c r="AF93" s="1313">
        <f>AJ93*-1</f>
        <v/>
      </c>
      <c r="AG93" s="1313">
        <f>AK93*-1</f>
        <v/>
      </c>
      <c r="AH93" s="1313">
        <f>AL93*-1</f>
        <v/>
      </c>
      <c r="AI93" s="745">
        <f>IF(AH93=0,0,(AG93-AH93)/AH93)</f>
        <v/>
      </c>
      <c r="AJ93" s="758" t="n"/>
      <c r="AK93" s="758" t="n"/>
      <c r="AL93" s="758" t="n"/>
      <c r="AM93" s="38" t="n"/>
      <c r="AN93" s="38" t="n"/>
      <c r="AO93" s="38" t="n"/>
      <c r="AP93" s="38" t="n"/>
      <c r="AQ93" s="38" t="n"/>
      <c r="AR93" s="38" t="n"/>
    </row>
    <row r="94">
      <c r="A94" s="38" t="n"/>
      <c r="B94" s="38" t="n"/>
      <c r="C94" s="38" t="n"/>
      <c r="D94" s="38" t="n"/>
      <c r="E94" s="38" t="n"/>
      <c r="F94" s="38" t="n"/>
      <c r="G94" s="38" t="n"/>
      <c r="H94" s="38" t="n"/>
      <c r="I94" s="38" t="n"/>
      <c r="J94" s="38" t="n"/>
      <c r="K94" s="38" t="n"/>
      <c r="L94" s="38" t="n"/>
      <c r="M94" s="38" t="n"/>
      <c r="N94" s="38" t="n"/>
      <c r="O94" s="38" t="n"/>
      <c r="P94" s="38" t="n"/>
      <c r="Q94" s="38" t="n"/>
      <c r="R94" s="38" t="n"/>
      <c r="S94" s="580" t="n"/>
      <c r="T94" s="38" t="n"/>
      <c r="U94" s="38" t="inlineStr">
        <is>
          <t>A0071201</t>
        </is>
      </c>
      <c r="V94" s="731">
        <f>IF(_epmOfflineCondition_,"A0071201",EPMOlapMemberO(U94,"[C_ACCOUNT].[PARENTH1].[A0071201]","A0071201 - 人工成本明细-其中：劳动报酬","","000"))</f>
        <v/>
      </c>
      <c r="W94" s="38" t="n"/>
      <c r="X94" s="732" t="inlineStr">
        <is>
          <t>其中：劳动报酬</t>
        </is>
      </c>
      <c r="Y94" s="1312" t="inlineStr"/>
      <c r="Z94" s="1313" t="n"/>
      <c r="AA94" s="1313" t="n"/>
      <c r="AB94" s="1313" t="n"/>
      <c r="AC94" s="745">
        <f>IF(AB94=0,0,(Z94-AB94)/AB94)</f>
        <v/>
      </c>
      <c r="AD94" s="1319" t="n"/>
      <c r="AE94" s="745">
        <f>IFERROR(0,AA94/AD94)</f>
        <v/>
      </c>
      <c r="AF94" s="1313">
        <f>AJ94*-1</f>
        <v/>
      </c>
      <c r="AG94" s="1313">
        <f>AK94*-1</f>
        <v/>
      </c>
      <c r="AH94" s="1313">
        <f>AL94*-1</f>
        <v/>
      </c>
      <c r="AI94" s="745">
        <f>IF(AH94=0,0,(AG94-AH94)/AH94)</f>
        <v/>
      </c>
      <c r="AJ94" s="758" t="n"/>
      <c r="AK94" s="758" t="n"/>
      <c r="AL94" s="758" t="n"/>
      <c r="AM94" s="38" t="n"/>
      <c r="AN94" s="38" t="n"/>
      <c r="AO94" s="38" t="n"/>
      <c r="AP94" s="38" t="n"/>
      <c r="AQ94" s="38" t="n"/>
      <c r="AR94" s="38" t="n"/>
    </row>
    <row r="95">
      <c r="A95" s="38" t="n"/>
      <c r="B95" s="38" t="n"/>
      <c r="C95" s="38" t="n"/>
      <c r="D95" s="38" t="n"/>
      <c r="E95" s="38" t="n"/>
      <c r="F95" s="38" t="n"/>
      <c r="G95" s="38" t="n"/>
      <c r="H95" s="38" t="n"/>
      <c r="I95" s="38" t="n"/>
      <c r="J95" s="38" t="n"/>
      <c r="K95" s="38" t="n"/>
      <c r="L95" s="38" t="n"/>
      <c r="M95" s="38" t="n"/>
      <c r="N95" s="38" t="n"/>
      <c r="O95" s="38" t="n"/>
      <c r="P95" s="38" t="n"/>
      <c r="Q95" s="38" t="n"/>
      <c r="R95" s="38" t="n"/>
      <c r="S95" s="580" t="n"/>
      <c r="T95" s="38" t="n"/>
      <c r="U95" s="38" t="inlineStr">
        <is>
          <t>A00714</t>
        </is>
      </c>
      <c r="V95" s="726">
        <f>IF(_epmOfflineCondition_,"A00714",EPMOlapMemberO(U95,"[C_ACCOUNT].[PARENTH1].[A00714]","A00714 - 人工成本明细-内退人员人支出总额","","000"))</f>
        <v/>
      </c>
      <c r="W95" s="38" t="n"/>
      <c r="X95" s="457" t="inlineStr">
        <is>
          <t>内退人员支出总额</t>
        </is>
      </c>
      <c r="Y95" s="1312" t="inlineStr"/>
      <c r="Z95" s="1313" t="n"/>
      <c r="AA95" s="1313" t="n"/>
      <c r="AB95" s="1313" t="n"/>
      <c r="AC95" s="745">
        <f>IF(AB95=0,0,(Z95-AB95)/AB95)</f>
        <v/>
      </c>
      <c r="AD95" s="1319" t="n"/>
      <c r="AE95" s="745">
        <f>IFERROR(0,AA95/AD95)</f>
        <v/>
      </c>
      <c r="AF95" s="1313">
        <f>AJ95*-1</f>
        <v/>
      </c>
      <c r="AG95" s="1313">
        <f>AK95*-1</f>
        <v/>
      </c>
      <c r="AH95" s="1313">
        <f>AL95*-1</f>
        <v/>
      </c>
      <c r="AI95" s="745">
        <f>IF(AH95=0,0,(AG95-AH95)/AH95)</f>
        <v/>
      </c>
      <c r="AJ95" s="758" t="n"/>
      <c r="AK95" s="758" t="n"/>
      <c r="AL95" s="758" t="n"/>
      <c r="AM95" s="38" t="n"/>
      <c r="AN95" s="38" t="n"/>
      <c r="AO95" s="38" t="n"/>
      <c r="AP95" s="38" t="n"/>
      <c r="AQ95" s="38" t="n"/>
      <c r="AR95" s="38" t="n"/>
    </row>
    <row r="96">
      <c r="A96" s="38" t="n"/>
      <c r="B96" s="38" t="n"/>
      <c r="C96" s="38" t="n"/>
      <c r="D96" s="38" t="n"/>
      <c r="E96" s="38" t="n"/>
      <c r="F96" s="38" t="n"/>
      <c r="G96" s="38" t="n"/>
      <c r="H96" s="38" t="n"/>
      <c r="I96" s="38" t="n"/>
      <c r="J96" s="38" t="n"/>
      <c r="K96" s="38" t="n"/>
      <c r="L96" s="38" t="n"/>
      <c r="M96" s="38" t="n"/>
      <c r="N96" s="38" t="n"/>
      <c r="O96" s="38" t="n"/>
      <c r="P96" s="38" t="n"/>
      <c r="Q96" s="38" t="n"/>
      <c r="R96" s="38" t="n"/>
      <c r="S96" s="580" t="n"/>
      <c r="T96" s="38" t="n"/>
      <c r="U96" s="38" t="inlineStr">
        <is>
          <t>A0071401</t>
        </is>
      </c>
      <c r="V96" s="731">
        <f>IF(_epmOfflineCondition_,"A0071401",EPMOlapMemberO(U96,"[C_ACCOUNT].[PARENTH1].[A0071401]","A0071401 - 人工成本明细-其中：内退人员工资","","000"))</f>
        <v/>
      </c>
      <c r="W96" s="38" t="n"/>
      <c r="X96" s="732" t="inlineStr">
        <is>
          <t>其中：内退人员工资</t>
        </is>
      </c>
      <c r="Y96" s="1312" t="inlineStr"/>
      <c r="Z96" s="1313" t="n"/>
      <c r="AA96" s="1313" t="n"/>
      <c r="AB96" s="1313" t="n"/>
      <c r="AC96" s="745">
        <f>IF(AB96=0,0,(Z96-AB96)/AB96)</f>
        <v/>
      </c>
      <c r="AD96" s="1319" t="n"/>
      <c r="AE96" s="745">
        <f>IFERROR(0,AA96/AD96)</f>
        <v/>
      </c>
      <c r="AF96" s="1313">
        <f>AJ96*-1</f>
        <v/>
      </c>
      <c r="AG96" s="1313">
        <f>AK96*-1</f>
        <v/>
      </c>
      <c r="AH96" s="1313">
        <f>AL96*-1</f>
        <v/>
      </c>
      <c r="AI96" s="745">
        <f>IF(AH96=0,0,(AG96-AH96)/AH96)</f>
        <v/>
      </c>
      <c r="AJ96" s="758" t="n"/>
      <c r="AK96" s="758" t="n"/>
      <c r="AL96" s="758" t="n"/>
      <c r="AM96" s="38" t="n"/>
      <c r="AN96" s="38" t="n"/>
      <c r="AO96" s="38" t="n"/>
      <c r="AP96" s="38" t="n"/>
      <c r="AQ96" s="38" t="n"/>
      <c r="AR96" s="38" t="n"/>
    </row>
    <row r="97">
      <c r="A97" s="38" t="n"/>
      <c r="B97" s="38" t="n"/>
      <c r="C97" s="38" t="n"/>
      <c r="D97" s="38" t="n"/>
      <c r="E97" s="38" t="n"/>
      <c r="F97" s="38" t="n"/>
      <c r="G97" s="38" t="n"/>
      <c r="H97" s="38" t="n"/>
      <c r="I97" s="38" t="n"/>
      <c r="J97" s="38" t="n"/>
      <c r="K97" s="38" t="n"/>
      <c r="L97" s="38" t="n"/>
      <c r="M97" s="38" t="n"/>
      <c r="N97" s="38" t="n"/>
      <c r="O97" s="38" t="n"/>
      <c r="P97" s="38" t="n"/>
      <c r="Q97" s="38" t="n"/>
      <c r="R97" s="38" t="n"/>
      <c r="S97" s="580" t="n"/>
      <c r="T97" s="38" t="n"/>
      <c r="U97" s="754">
        <f>IF($M$8="NULL","","A00715")</f>
        <v/>
      </c>
      <c r="V97" s="726">
        <f>IF(_epmOfflineCondition_,"",EPMOlapMemberO(U97,"[C_ACCOUNT].[PARENTH1].[A00715]","A00715 - 人工成本明细-支付给内退及下岗职工人工成本总额（昊华特殊）","","000"))</f>
        <v/>
      </c>
      <c r="W97" s="38" t="n"/>
      <c r="X97" s="457" t="inlineStr">
        <is>
          <t>支付给内退及下岗职工人工成本总额（昊华特殊）</t>
        </is>
      </c>
      <c r="Y97" s="1312" t="inlineStr"/>
      <c r="Z97" s="1313">
        <f>AF97</f>
        <v/>
      </c>
      <c r="AA97" s="1313">
        <f>AG97</f>
        <v/>
      </c>
      <c r="AB97" s="1313">
        <f>AH97</f>
        <v/>
      </c>
      <c r="AC97" s="745">
        <f>IF(AB97=0,0,(Z97-AB97)/AB97)</f>
        <v/>
      </c>
      <c r="AD97" s="1319" t="n"/>
      <c r="AE97" s="745">
        <f>IFERROR(0,AA97/AD97)</f>
        <v/>
      </c>
      <c r="AF97" s="1313">
        <f>AJ97*-1</f>
        <v/>
      </c>
      <c r="AG97" s="1313">
        <f>AK97*-1</f>
        <v/>
      </c>
      <c r="AH97" s="1313">
        <f>AL97*-1</f>
        <v/>
      </c>
      <c r="AI97" s="745">
        <f>IF(AH97=0,0,(AG97-AH97)/AH97)</f>
        <v/>
      </c>
      <c r="AJ97" s="758" t="n"/>
      <c r="AK97" s="758" t="n"/>
      <c r="AL97" s="758" t="n"/>
      <c r="AM97" s="38" t="n"/>
      <c r="AN97" s="38" t="n"/>
      <c r="AO97" s="38" t="n"/>
      <c r="AP97" s="38" t="n"/>
      <c r="AQ97" s="38" t="n"/>
      <c r="AR97" s="38" t="n"/>
    </row>
    <row r="98">
      <c r="A98" s="38" t="n"/>
      <c r="B98" s="38" t="n"/>
      <c r="C98" s="38" t="n"/>
      <c r="D98" s="38" t="n"/>
      <c r="E98" s="38" t="n"/>
      <c r="F98" s="38" t="n"/>
      <c r="G98" s="38" t="n"/>
      <c r="H98" s="38" t="n"/>
      <c r="I98" s="38" t="n"/>
      <c r="J98" s="38" t="n"/>
      <c r="K98" s="38" t="n"/>
      <c r="L98" s="38" t="n"/>
      <c r="M98" s="38" t="n"/>
      <c r="N98" s="38" t="n"/>
      <c r="O98" s="38" t="n"/>
      <c r="P98" s="38" t="n"/>
      <c r="Q98" s="38" t="n"/>
      <c r="R98" s="38" t="n"/>
      <c r="S98" s="580" t="n"/>
      <c r="T98" s="38" t="n"/>
      <c r="U98" s="754">
        <f>IF($M$8="NULL","","A0071501")</f>
        <v/>
      </c>
      <c r="V98" s="731">
        <f>IF(_epmOfflineCondition_,"",EPMOlapMemberO(U98,"[C_ACCOUNT].[PARENTH1].[A0071501]","A0071501 - 人工成本明细-其中：内退人员工资（昊华特殊）","","000"))</f>
        <v/>
      </c>
      <c r="W98" s="38" t="n"/>
      <c r="X98" s="732" t="inlineStr">
        <is>
          <t>其中：内退人员工资（昊华特殊）</t>
        </is>
      </c>
      <c r="Y98" s="1312" t="inlineStr"/>
      <c r="Z98" s="1313">
        <f>AF98</f>
        <v/>
      </c>
      <c r="AA98" s="1313">
        <f>AG98</f>
        <v/>
      </c>
      <c r="AB98" s="1313">
        <f>AH98</f>
        <v/>
      </c>
      <c r="AC98" s="745">
        <f>IF(AB98=0,0,(Z98-AB98)/AB98)</f>
        <v/>
      </c>
      <c r="AD98" s="1319" t="n"/>
      <c r="AE98" s="745">
        <f>IFERROR(0,AA98/AD98)</f>
        <v/>
      </c>
      <c r="AF98" s="1313">
        <f>AJ98*-1</f>
        <v/>
      </c>
      <c r="AG98" s="1313">
        <f>AK98*-1</f>
        <v/>
      </c>
      <c r="AH98" s="1313">
        <f>AL98*-1</f>
        <v/>
      </c>
      <c r="AI98" s="745">
        <f>IF(AH98=0,0,(AG98-AH98)/AH98)</f>
        <v/>
      </c>
      <c r="AJ98" s="758" t="n"/>
      <c r="AK98" s="758" t="n"/>
      <c r="AL98" s="758" t="n"/>
      <c r="AM98" s="38" t="n"/>
      <c r="AN98" s="38" t="n"/>
      <c r="AO98" s="38" t="n"/>
      <c r="AP98" s="38" t="n"/>
      <c r="AQ98" s="38" t="n"/>
      <c r="AR98" s="38" t="n"/>
    </row>
    <row r="99">
      <c r="A99" s="38" t="n"/>
      <c r="B99" s="38" t="n"/>
      <c r="C99" s="38" t="n"/>
      <c r="D99" s="38" t="n"/>
      <c r="E99" s="38" t="n"/>
      <c r="F99" s="38" t="n"/>
      <c r="G99" s="38" t="n"/>
      <c r="H99" s="38" t="n"/>
      <c r="I99" s="38" t="n"/>
      <c r="J99" s="38" t="n"/>
      <c r="K99" s="38" t="n"/>
      <c r="L99" s="38" t="n"/>
      <c r="M99" s="38" t="n"/>
      <c r="N99" s="38" t="n"/>
      <c r="O99" s="38" t="n"/>
      <c r="P99" s="38" t="n"/>
      <c r="Q99" s="38" t="n"/>
      <c r="R99" s="38" t="n"/>
      <c r="S99" s="580" t="n"/>
      <c r="T99" s="38" t="n"/>
      <c r="U99" s="38" t="n"/>
      <c r="V99" s="38" t="n"/>
      <c r="W99" s="38" t="n"/>
      <c r="X99" s="38" t="n"/>
      <c r="Y99" s="38" t="n"/>
      <c r="Z99" s="162" t="n"/>
      <c r="AA99" s="162" t="n"/>
      <c r="AB99" s="162" t="n"/>
      <c r="AC99" s="162" t="n"/>
      <c r="AD99" s="162" t="n"/>
      <c r="AE99" s="162" t="n"/>
      <c r="AF99" s="162" t="n"/>
      <c r="AG99" s="162" t="n"/>
      <c r="AH99" s="162" t="n"/>
      <c r="AI99" s="162" t="n"/>
      <c r="AJ99" s="162" t="n"/>
      <c r="AK99" s="162" t="n"/>
      <c r="AL99" s="162" t="n"/>
      <c r="AM99" s="38" t="n"/>
      <c r="AN99" s="38" t="n"/>
      <c r="AO99" s="38" t="n"/>
      <c r="AP99" s="38" t="n"/>
      <c r="AQ99" s="38" t="n"/>
      <c r="AR99" s="38" t="n"/>
    </row>
    <row r="100">
      <c r="A100" s="38" t="n"/>
      <c r="B100" s="38" t="n"/>
      <c r="C100" s="38" t="n"/>
      <c r="D100" s="38" t="n"/>
      <c r="E100" s="38" t="n"/>
      <c r="F100" s="38" t="n"/>
      <c r="G100" s="38" t="n"/>
      <c r="H100" s="38" t="n"/>
      <c r="I100" s="38" t="n"/>
      <c r="J100" s="38" t="n"/>
      <c r="K100" s="38" t="n"/>
      <c r="L100" s="38" t="n"/>
      <c r="M100" s="38" t="n"/>
      <c r="N100" s="38" t="n"/>
      <c r="O100" s="38" t="n"/>
      <c r="P100" s="38" t="n"/>
      <c r="Q100" s="38" t="n"/>
      <c r="R100" s="38" t="n"/>
      <c r="S100" s="580" t="n"/>
      <c r="T100" s="38" t="n"/>
      <c r="U100" s="38" t="n"/>
      <c r="V100" s="38" t="n"/>
      <c r="W100" s="38" t="n"/>
      <c r="X100" s="190" t="inlineStr">
        <is>
          <t>3.手工填写：</t>
        </is>
      </c>
      <c r="Y100" s="38" t="n"/>
      <c r="Z100" s="162" t="n"/>
      <c r="AA100" s="162" t="n"/>
      <c r="AB100" s="162" t="n"/>
      <c r="AC100" s="162" t="n"/>
      <c r="AD100" s="162" t="n"/>
      <c r="AE100" s="162" t="n"/>
      <c r="AF100" s="162" t="n"/>
      <c r="AG100" s="162" t="n"/>
      <c r="AH100" s="162" t="n"/>
      <c r="AI100" s="162" t="n"/>
      <c r="AJ100" s="162" t="n"/>
      <c r="AK100" s="162" t="n"/>
      <c r="AL100" s="162" t="n"/>
      <c r="AM100" s="38" t="n"/>
      <c r="AN100" s="38" t="n"/>
      <c r="AO100" s="38" t="n"/>
      <c r="AP100" s="38" t="n"/>
      <c r="AQ100" s="38" t="n"/>
      <c r="AR100" s="38" t="n"/>
    </row>
    <row r="101">
      <c r="A101" s="38" t="n"/>
      <c r="B101" s="38" t="n"/>
      <c r="C101" s="38" t="n"/>
      <c r="D101" s="38" t="n"/>
      <c r="E101" s="38" t="n"/>
      <c r="F101" s="38" t="n"/>
      <c r="G101" s="38" t="n"/>
      <c r="H101" s="38" t="n"/>
      <c r="I101" s="38" t="n"/>
      <c r="J101" s="38" t="n"/>
      <c r="K101" s="38" t="n"/>
      <c r="L101" s="38" t="n"/>
      <c r="M101" s="38" t="n"/>
      <c r="N101" s="38" t="n"/>
      <c r="O101" s="38" t="n"/>
      <c r="P101" s="38" t="n"/>
      <c r="Q101" s="38" t="n"/>
      <c r="R101" s="38" t="n"/>
      <c r="S101" s="580" t="n"/>
      <c r="T101" s="38" t="n"/>
      <c r="U101" s="38" t="inlineStr">
        <is>
          <t>A00716</t>
        </is>
      </c>
      <c r="V101" s="726">
        <f>IF(_epmOfflineCondition_,"A00716",EPMOlapMemberO(U101,"[C_ACCOUNT].[PARENTH1].[A00716]","A00716 - 人工成本明细-除内退及下岗职工外的不在岗职工人工成本总额","","000"))</f>
        <v/>
      </c>
      <c r="W101" s="38" t="n"/>
      <c r="X101" s="730" t="inlineStr">
        <is>
          <t>除内退及下岗职工外的不在岗职工人工成本总额</t>
        </is>
      </c>
      <c r="Y101" s="1312" t="inlineStr"/>
      <c r="Z101" s="1314" t="n"/>
      <c r="AA101" s="1317" t="n"/>
      <c r="AB101" s="1314" t="n"/>
      <c r="AC101" s="745">
        <f>IF(AB101=0,0,(Z101-AB101)/AB101)</f>
        <v/>
      </c>
      <c r="AD101" s="1319" t="n"/>
      <c r="AE101" s="745">
        <f>IFERROR(0,AA101/AD101)</f>
        <v/>
      </c>
      <c r="AF101" s="1313">
        <f>AJ101</f>
        <v/>
      </c>
      <c r="AG101" s="1317" t="n"/>
      <c r="AH101" s="1313">
        <f>AL101</f>
        <v/>
      </c>
      <c r="AI101" s="745">
        <f>IF(AH101=0,0,(AG101-AH101)/AH101)</f>
        <v/>
      </c>
      <c r="AJ101" s="758" t="n"/>
      <c r="AK101" s="758" t="n"/>
      <c r="AL101" s="758" t="n"/>
      <c r="AM101" s="38" t="n"/>
      <c r="AN101" s="38" t="n"/>
      <c r="AO101" s="38" t="n"/>
      <c r="AP101" s="38" t="n"/>
      <c r="AQ101" s="38" t="n"/>
      <c r="AR101" s="38" t="n"/>
    </row>
    <row r="102">
      <c r="A102" s="38" t="n"/>
      <c r="B102" s="38" t="n"/>
      <c r="C102" s="38" t="n"/>
      <c r="D102" s="38" t="n"/>
      <c r="E102" s="38" t="n"/>
      <c r="F102" s="38" t="n"/>
      <c r="G102" s="38" t="n"/>
      <c r="H102" s="38" t="n"/>
      <c r="I102" s="38" t="n"/>
      <c r="J102" s="38" t="n"/>
      <c r="K102" s="38" t="n"/>
      <c r="L102" s="38" t="n"/>
      <c r="M102" s="38" t="n"/>
      <c r="N102" s="38" t="n"/>
      <c r="O102" s="38" t="n"/>
      <c r="P102" s="38" t="n"/>
      <c r="Q102" s="38" t="n"/>
      <c r="R102" s="38" t="n"/>
      <c r="S102" s="580" t="n"/>
      <c r="T102" s="38" t="n"/>
      <c r="U102" s="38" t="inlineStr">
        <is>
          <t>A0071601</t>
        </is>
      </c>
      <c r="V102" s="731">
        <f>IF(_epmOfflineCondition_,"A0071601",EPMOlapMemberO(U102,"[C_ACCOUNT].[PARENTH1].[A0071601]","A0071601 - 人工成本明细-其中：工资总额（不在岗）","","000"))</f>
        <v/>
      </c>
      <c r="W102" s="38" t="n"/>
      <c r="X102" s="482" t="inlineStr">
        <is>
          <t>其中：工资总额</t>
        </is>
      </c>
      <c r="Y102" s="1312" t="inlineStr"/>
      <c r="Z102" s="1314" t="n"/>
      <c r="AA102" s="1317" t="n"/>
      <c r="AB102" s="1314" t="n"/>
      <c r="AC102" s="745">
        <f>IF(AB102=0,0,(Z102-AB102)/AB102)</f>
        <v/>
      </c>
      <c r="AD102" s="1319" t="n"/>
      <c r="AE102" s="745">
        <f>IFERROR(0,AA102/AD102)</f>
        <v/>
      </c>
      <c r="AF102" s="1313">
        <f>AJ102</f>
        <v/>
      </c>
      <c r="AG102" s="1317" t="n"/>
      <c r="AH102" s="1313">
        <f>AL102</f>
        <v/>
      </c>
      <c r="AI102" s="745">
        <f>IF(AH102=0,0,(AG102-AH102)/AH102)</f>
        <v/>
      </c>
      <c r="AJ102" s="758" t="n"/>
      <c r="AK102" s="758" t="n"/>
      <c r="AL102" s="758" t="n"/>
      <c r="AM102" s="38" t="n"/>
      <c r="AN102" s="38" t="n"/>
      <c r="AO102" s="38" t="n"/>
      <c r="AP102" s="38" t="n"/>
      <c r="AQ102" s="38" t="n"/>
      <c r="AR102" s="38" t="n"/>
    </row>
  </sheetData>
  <sheetProtection selectLockedCells="0" selectUnlockedCells="0" algorithmName="SHA-512" sheet="1" objects="0" insertRows="1" insertHyperlinks="1" autoFilter="1" scenarios="1" formatColumns="1" deleteColumns="1" insertColumns="1" pivotTables="1" deleteRows="1" formatCells="1" saltValue="KB3UsKJF4NyyTMwshf23Eg==" formatRows="1" sort="1" spinCount="100000" hashValue="u7kwAhbwY2itGRv7+5YuUtPXuRwYI3Enca8MoMiduFbeDCB05D26pkgJAKeqJeZEGf7yHvFhjXXFlIL9oJlDbA=="/>
  <mergeCells count="6">
    <mergeCell ref="H2:J2"/>
    <mergeCell ref="D16:E16"/>
    <mergeCell ref="Z39:AE39"/>
    <mergeCell ref="AF39:AI39"/>
    <mergeCell ref="X39:X40"/>
    <mergeCell ref="Y39:Y40"/>
  </mergeCells>
  <conditionalFormatting sqref="Z35">
    <cfRule type="cellIs" priority="1" operator="equal" dxfId="0">
      <formula>"集团外公司（合计）"</formula>
    </cfRule>
  </conditionalFormatting>
  <dataValidations count="1">
    <dataValidation sqref="AA37" showErrorMessage="1" showInputMessage="1" allowBlank="1" type="list">
      <formula1>$H$16:$H$17</formula1>
    </dataValidation>
  </dataValidations>
  <pageMargins left="0.7" right="0.7" top="0.75" bottom="0.75" header="0.3" footer="0.3"/>
  <pageSetup orientation="portrait" paperSize="9"/>
  <drawing xmlns:r="http://schemas.openxmlformats.org/officeDocument/2006/relationships" r:id="rId1"/>
</worksheet>
</file>

<file path=xl/worksheets/sheet20.xml><?xml version="1.0" encoding="utf-8"?>
<worksheet xmlns="http://schemas.openxmlformats.org/spreadsheetml/2006/main">
  <sheetPr codeName="Sheet27">
    <outlinePr summaryBelow="1" summaryRight="1"/>
    <pageSetUpPr/>
  </sheetPr>
  <dimension ref="A1:GK9"/>
  <sheetViews>
    <sheetView zoomScale="90" zoomScaleNormal="90" workbookViewId="0">
      <selection activeCell="G19" sqref="G19"/>
    </sheetView>
  </sheetViews>
  <sheetFormatPr baseColWidth="8" defaultColWidth="9" defaultRowHeight="16.8"/>
  <cols>
    <col width="12.375" customWidth="1" style="1181" min="1" max="1"/>
    <col width="13.25" customWidth="1" style="1181" min="2" max="2"/>
    <col width="10.375" customWidth="1" style="1181" min="3" max="3"/>
    <col width="12.375" customWidth="1" style="1181" min="4" max="5"/>
    <col width="14.375" customWidth="1" style="1181" min="6" max="6"/>
    <col width="6.75" customWidth="1" style="1181" min="7" max="7"/>
    <col width="16.75" customWidth="1" style="1181" min="8" max="8"/>
    <col width="11.375" customWidth="1" style="1181" min="9" max="9"/>
    <col width="12.375" customWidth="1" style="1181" min="10" max="10"/>
    <col width="7.75" customWidth="1" style="1181" min="11" max="12"/>
    <col width="16.75" customWidth="1" style="1181" min="13" max="13"/>
  </cols>
  <sheetData>
    <row r="1" ht="25.5" customFormat="1" customHeight="1" s="721">
      <c r="A1" s="722" t="inlineStr">
        <is>
          <t>企业性质</t>
        </is>
      </c>
      <c r="B1" s="722" t="inlineStr">
        <is>
          <t>是否为上市公司</t>
        </is>
      </c>
      <c r="C1" s="723" t="inlineStr">
        <is>
          <t>经营现状</t>
        </is>
      </c>
      <c r="D1" s="723" t="inlineStr">
        <is>
          <t>担保方式</t>
        </is>
      </c>
      <c r="E1" s="723" t="inlineStr">
        <is>
          <t>担保种类</t>
        </is>
      </c>
      <c r="F1" s="723" t="inlineStr">
        <is>
          <t>担保合同类型</t>
        </is>
      </c>
      <c r="G1" s="723" t="inlineStr">
        <is>
          <t>币种</t>
        </is>
      </c>
      <c r="H1" s="724" t="inlineStr">
        <is>
          <t>是否按股权比例担保</t>
        </is>
      </c>
      <c r="I1" s="724" t="inlineStr">
        <is>
          <t>是否有反担保</t>
        </is>
      </c>
      <c r="J1" s="723" t="inlineStr">
        <is>
          <t>反担保方式</t>
        </is>
      </c>
      <c r="K1" s="723" t="inlineStr">
        <is>
          <t>是否逾期</t>
        </is>
      </c>
      <c r="L1" s="723" t="inlineStr">
        <is>
          <t>是否被诉</t>
        </is>
      </c>
      <c r="M1" s="723" t="inlineStr">
        <is>
          <t>是否按股权比例担保</t>
        </is>
      </c>
      <c r="N1" s="725" t="n"/>
      <c r="O1" s="725" t="n"/>
      <c r="P1" s="725" t="n"/>
      <c r="Q1" s="725" t="n"/>
      <c r="R1" s="725" t="n"/>
      <c r="S1" s="725" t="n"/>
      <c r="T1" s="725" t="n"/>
      <c r="U1" s="725" t="n"/>
      <c r="V1" s="725" t="n"/>
      <c r="W1" s="725" t="n"/>
      <c r="X1" s="725" t="n"/>
      <c r="Y1" s="725" t="n"/>
      <c r="Z1" s="725" t="n"/>
      <c r="AA1" s="725" t="n"/>
      <c r="AB1" s="725" t="n"/>
      <c r="AC1" s="725" t="n"/>
      <c r="AD1" s="725" t="n"/>
      <c r="AE1" s="725" t="n"/>
      <c r="AF1" s="725" t="n"/>
      <c r="AG1" s="725" t="n"/>
      <c r="AH1" s="725" t="n"/>
      <c r="AI1" s="725" t="n"/>
      <c r="AJ1" s="725" t="n"/>
      <c r="AK1" s="725" t="n"/>
      <c r="AL1" s="725" t="n"/>
      <c r="AM1" s="725" t="n"/>
      <c r="AN1" s="725" t="n"/>
      <c r="AO1" s="725" t="n"/>
      <c r="AP1" s="725" t="n"/>
      <c r="AQ1" s="725" t="n"/>
      <c r="AR1" s="725" t="n"/>
      <c r="AS1" s="725" t="n"/>
      <c r="AT1" s="725" t="n"/>
      <c r="AU1" s="725" t="n"/>
      <c r="AV1" s="725" t="n"/>
      <c r="AW1" s="725" t="n"/>
      <c r="AX1" s="725" t="n"/>
      <c r="AY1" s="725" t="n"/>
      <c r="AZ1" s="725" t="n"/>
      <c r="BA1" s="725" t="n"/>
      <c r="BB1" s="725" t="n"/>
      <c r="BC1" s="725" t="n"/>
      <c r="BD1" s="725" t="n"/>
      <c r="BE1" s="725" t="n"/>
      <c r="BF1" s="725" t="n"/>
      <c r="BG1" s="725" t="n"/>
      <c r="BH1" s="725" t="n"/>
      <c r="BI1" s="725" t="n"/>
      <c r="BJ1" s="725" t="n"/>
      <c r="BK1" s="725" t="n"/>
      <c r="BL1" s="725" t="n"/>
      <c r="BM1" s="725" t="n"/>
      <c r="BN1" s="725" t="n"/>
      <c r="BO1" s="725" t="n"/>
      <c r="BP1" s="725" t="n"/>
      <c r="BQ1" s="725" t="n"/>
      <c r="BR1" s="725" t="n"/>
      <c r="BS1" s="725" t="n"/>
      <c r="BT1" s="725" t="n"/>
      <c r="BU1" s="725" t="n"/>
      <c r="BV1" s="725" t="n"/>
      <c r="BW1" s="725" t="n"/>
      <c r="BX1" s="725" t="n"/>
      <c r="BY1" s="725" t="n"/>
      <c r="BZ1" s="725" t="n"/>
      <c r="CA1" s="725" t="n"/>
      <c r="CB1" s="725" t="n"/>
      <c r="CC1" s="725" t="n"/>
      <c r="CD1" s="725" t="n"/>
      <c r="CE1" s="725" t="n"/>
      <c r="CF1" s="725" t="n"/>
      <c r="CG1" s="725" t="n"/>
      <c r="CH1" s="725" t="n"/>
      <c r="CI1" s="725" t="n"/>
      <c r="CJ1" s="725" t="n"/>
      <c r="CK1" s="725" t="n"/>
      <c r="CL1" s="725" t="n"/>
      <c r="CM1" s="725" t="n"/>
      <c r="CN1" s="725" t="n"/>
      <c r="CO1" s="725" t="n"/>
      <c r="CP1" s="725" t="n"/>
      <c r="CQ1" s="725" t="n"/>
      <c r="CR1" s="725" t="n"/>
      <c r="CS1" s="725" t="n"/>
      <c r="CT1" s="725" t="n"/>
      <c r="CU1" s="725" t="n"/>
      <c r="CV1" s="725" t="n"/>
      <c r="CW1" s="725" t="n"/>
      <c r="CX1" s="725" t="n"/>
      <c r="CY1" s="725" t="n"/>
      <c r="CZ1" s="725" t="n"/>
      <c r="DA1" s="725" t="n"/>
      <c r="DB1" s="725" t="n"/>
      <c r="DC1" s="725" t="n"/>
      <c r="DD1" s="725" t="n"/>
      <c r="DE1" s="725" t="n"/>
      <c r="DF1" s="725" t="n"/>
      <c r="DG1" s="725" t="n"/>
      <c r="DH1" s="725" t="n"/>
      <c r="DI1" s="725" t="n"/>
      <c r="DJ1" s="725" t="n"/>
      <c r="DK1" s="725" t="n"/>
      <c r="DL1" s="725" t="n"/>
      <c r="DM1" s="725" t="n"/>
      <c r="DN1" s="725" t="n"/>
      <c r="DO1" s="725" t="n"/>
      <c r="DP1" s="725" t="n"/>
      <c r="DQ1" s="725" t="n"/>
      <c r="DR1" s="725" t="n"/>
      <c r="DS1" s="725" t="n"/>
      <c r="DT1" s="725" t="n"/>
      <c r="DU1" s="725" t="n"/>
      <c r="DV1" s="725" t="n"/>
      <c r="DW1" s="725" t="n"/>
      <c r="DX1" s="725" t="n"/>
      <c r="DY1" s="725" t="n"/>
      <c r="DZ1" s="725" t="n"/>
      <c r="EA1" s="725" t="n"/>
      <c r="EB1" s="725" t="n"/>
      <c r="EC1" s="725" t="n"/>
      <c r="ED1" s="725" t="n"/>
      <c r="EE1" s="725" t="n"/>
      <c r="EF1" s="725" t="n"/>
      <c r="EG1" s="725" t="n"/>
      <c r="EH1" s="725" t="n"/>
      <c r="EI1" s="725" t="n"/>
      <c r="EJ1" s="725" t="n"/>
      <c r="EK1" s="725" t="n"/>
      <c r="EL1" s="725" t="n"/>
      <c r="EM1" s="725" t="n"/>
      <c r="EN1" s="725" t="n"/>
      <c r="EO1" s="725" t="n"/>
      <c r="EP1" s="725" t="n"/>
      <c r="EQ1" s="725" t="n"/>
      <c r="ER1" s="725" t="n"/>
      <c r="ES1" s="725" t="n"/>
      <c r="ET1" s="725" t="n"/>
      <c r="EU1" s="725" t="n"/>
      <c r="EV1" s="725" t="n"/>
      <c r="EW1" s="725" t="n"/>
      <c r="EX1" s="725" t="n"/>
      <c r="EY1" s="725" t="n"/>
      <c r="EZ1" s="725" t="n"/>
      <c r="FA1" s="725" t="n"/>
      <c r="FB1" s="725" t="n"/>
      <c r="FC1" s="725" t="n"/>
      <c r="FD1" s="725" t="n"/>
      <c r="FE1" s="725" t="n"/>
      <c r="FF1" s="725" t="n"/>
      <c r="FG1" s="725" t="n"/>
      <c r="FH1" s="725" t="n"/>
      <c r="FI1" s="725" t="n"/>
      <c r="FJ1" s="725" t="n"/>
      <c r="FK1" s="725" t="n"/>
      <c r="FL1" s="725" t="n"/>
      <c r="FM1" s="725" t="n"/>
      <c r="FN1" s="725" t="n"/>
      <c r="FO1" s="725" t="n"/>
      <c r="FP1" s="725" t="n"/>
      <c r="FQ1" s="725" t="n"/>
      <c r="FR1" s="725" t="n"/>
      <c r="FS1" s="725" t="n"/>
      <c r="FT1" s="725" t="n"/>
      <c r="FU1" s="725" t="n"/>
      <c r="FV1" s="725" t="n"/>
      <c r="FW1" s="725" t="n"/>
      <c r="FX1" s="725" t="n"/>
      <c r="FY1" s="725" t="n"/>
      <c r="FZ1" s="725" t="n"/>
      <c r="GA1" s="725" t="n"/>
      <c r="GB1" s="725" t="n"/>
      <c r="GC1" s="725" t="n"/>
      <c r="GD1" s="725" t="n"/>
      <c r="GE1" s="725" t="n"/>
      <c r="GF1" s="725" t="n"/>
      <c r="GG1" s="725" t="n"/>
      <c r="GH1" s="725" t="n"/>
      <c r="GI1" s="725" t="n"/>
      <c r="GJ1" s="725" t="n"/>
      <c r="GK1" s="725" t="n"/>
    </row>
    <row r="2">
      <c r="A2" s="384" t="inlineStr">
        <is>
          <t>国有独资</t>
        </is>
      </c>
      <c r="B2" s="384" t="inlineStr">
        <is>
          <t>是</t>
        </is>
      </c>
      <c r="C2" s="384" t="inlineStr">
        <is>
          <t>正常经营</t>
        </is>
      </c>
      <c r="D2" s="384" t="inlineStr">
        <is>
          <t>一般保证</t>
        </is>
      </c>
      <c r="E2" s="384" t="inlineStr">
        <is>
          <t>贷款担保</t>
        </is>
      </c>
      <c r="F2" s="384" t="inlineStr">
        <is>
          <t>一般担保合同</t>
        </is>
      </c>
      <c r="G2" s="384" t="inlineStr">
        <is>
          <t>人民币</t>
        </is>
      </c>
      <c r="H2" s="384" t="inlineStr">
        <is>
          <t>是</t>
        </is>
      </c>
      <c r="I2" s="384" t="inlineStr">
        <is>
          <t>是</t>
        </is>
      </c>
      <c r="J2" s="384" t="inlineStr">
        <is>
          <t>无反担保</t>
        </is>
      </c>
      <c r="K2" s="384" t="inlineStr">
        <is>
          <t>是</t>
        </is>
      </c>
      <c r="L2" s="384" t="inlineStr">
        <is>
          <t>是</t>
        </is>
      </c>
      <c r="M2" s="384" t="inlineStr">
        <is>
          <t>是</t>
        </is>
      </c>
    </row>
    <row r="3">
      <c r="A3" s="384" t="inlineStr">
        <is>
          <t>国有控股</t>
        </is>
      </c>
      <c r="B3" s="384" t="inlineStr">
        <is>
          <t>否</t>
        </is>
      </c>
      <c r="C3" s="384" t="inlineStr">
        <is>
          <t>非持续经营</t>
        </is>
      </c>
      <c r="D3" s="384" t="inlineStr">
        <is>
          <t>连带责任保证</t>
        </is>
      </c>
      <c r="E3" s="384" t="inlineStr">
        <is>
          <t>履约担保</t>
        </is>
      </c>
      <c r="F3" s="384" t="inlineStr">
        <is>
          <t>最高额担保合同</t>
        </is>
      </c>
      <c r="G3" s="384" t="inlineStr">
        <is>
          <t>港币</t>
        </is>
      </c>
      <c r="H3" s="384" t="inlineStr">
        <is>
          <t>否</t>
        </is>
      </c>
      <c r="I3" s="384" t="inlineStr">
        <is>
          <t>否</t>
        </is>
      </c>
      <c r="J3" s="384" t="inlineStr">
        <is>
          <t>一般保证</t>
        </is>
      </c>
      <c r="K3" s="384" t="inlineStr">
        <is>
          <t>否</t>
        </is>
      </c>
      <c r="L3" s="384" t="inlineStr">
        <is>
          <t>否</t>
        </is>
      </c>
      <c r="M3" s="384" t="inlineStr">
        <is>
          <t>否</t>
        </is>
      </c>
    </row>
    <row r="4">
      <c r="A4" s="384" t="inlineStr">
        <is>
          <t>国有实际控制</t>
        </is>
      </c>
      <c r="B4" s="384" t="inlineStr">
        <is>
          <t xml:space="preserve">  </t>
        </is>
      </c>
      <c r="C4" s="384" t="inlineStr">
        <is>
          <t xml:space="preserve">  </t>
        </is>
      </c>
      <c r="D4" s="384" t="inlineStr">
        <is>
          <t>抵押</t>
        </is>
      </c>
      <c r="E4" s="384" t="inlineStr">
        <is>
          <t>贸易融资担保</t>
        </is>
      </c>
      <c r="F4" s="384" t="inlineStr">
        <is>
          <t xml:space="preserve">  </t>
        </is>
      </c>
      <c r="G4" s="384" t="inlineStr">
        <is>
          <t>美元</t>
        </is>
      </c>
      <c r="H4" s="384" t="inlineStr">
        <is>
          <t xml:space="preserve">  </t>
        </is>
      </c>
      <c r="I4" s="384" t="inlineStr">
        <is>
          <t xml:space="preserve">  </t>
        </is>
      </c>
      <c r="J4" s="384" t="inlineStr">
        <is>
          <t>连带责任保证</t>
        </is>
      </c>
      <c r="K4" s="384" t="inlineStr">
        <is>
          <t xml:space="preserve">  </t>
        </is>
      </c>
      <c r="L4" s="384" t="inlineStr">
        <is>
          <t xml:space="preserve">  </t>
        </is>
      </c>
      <c r="M4" s="384" t="inlineStr">
        <is>
          <t xml:space="preserve">  </t>
        </is>
      </c>
    </row>
    <row r="5">
      <c r="A5" s="384" t="inlineStr">
        <is>
          <t>集体</t>
        </is>
      </c>
      <c r="D5" s="384" t="inlineStr">
        <is>
          <t>质押</t>
        </is>
      </c>
      <c r="E5" s="384" t="inlineStr">
        <is>
          <t>其他担保</t>
        </is>
      </c>
      <c r="G5" s="384" t="inlineStr">
        <is>
          <t>欧元</t>
        </is>
      </c>
      <c r="J5" s="384" t="inlineStr">
        <is>
          <t>抵押</t>
        </is>
      </c>
    </row>
    <row r="6">
      <c r="A6" s="384" t="inlineStr">
        <is>
          <t>私营</t>
        </is>
      </c>
      <c r="D6" s="384" t="inlineStr">
        <is>
          <t xml:space="preserve">  </t>
        </is>
      </c>
      <c r="E6" s="384" t="inlineStr">
        <is>
          <t xml:space="preserve">  </t>
        </is>
      </c>
      <c r="G6" s="384" t="inlineStr">
        <is>
          <t>澳币</t>
        </is>
      </c>
      <c r="J6" s="384" t="inlineStr">
        <is>
          <t>质押</t>
        </is>
      </c>
    </row>
    <row r="7">
      <c r="A7" s="384" t="inlineStr">
        <is>
          <t>外商</t>
        </is>
      </c>
      <c r="G7" s="384" t="inlineStr">
        <is>
          <t>其他</t>
        </is>
      </c>
      <c r="J7" s="384" t="inlineStr">
        <is>
          <t xml:space="preserve">  </t>
        </is>
      </c>
    </row>
    <row r="8">
      <c r="A8" s="384" t="inlineStr">
        <is>
          <t>其他</t>
        </is>
      </c>
      <c r="G8" s="384" t="inlineStr">
        <is>
          <t xml:space="preserve">  </t>
        </is>
      </c>
    </row>
    <row r="9">
      <c r="A9" s="384" t="inlineStr">
        <is>
          <t xml:space="preserve">  </t>
        </is>
      </c>
    </row>
  </sheetData>
  <sheetProtection selectLockedCells="0" selectUnlockedCells="0" algorithmName="SHA-512" sheet="1" objects="0" insertRows="1" insertHyperlinks="1" autoFilter="1" scenarios="1" formatColumns="1" deleteColumns="1" insertColumns="1" pivotTables="1" deleteRows="1" formatCells="1" saltValue="Gw/0vQMPFNVY+QaQkpLxvQ==" formatRows="1" sort="1" spinCount="100000" hashValue="2NouvDnIWHuIBYLw0QIEELb9bo7eihHrfh7i8ylLkGtgnFrzOKOSZtK80lpBsdPCpJ/bUtxhz3gQmAOQ54vakg=="/>
  <pageMargins left="0.7" right="0.7" top="0.75" bottom="0.75" header="0.3" footer="0.3"/>
</worksheet>
</file>

<file path=xl/worksheets/sheet21.xml><?xml version="1.0" encoding="utf-8"?>
<worksheet xmlns="http://schemas.openxmlformats.org/spreadsheetml/2006/main">
  <sheetPr codeName="Sheet15">
    <outlinePr summaryBelow="1" summaryRight="1"/>
    <pageSetUpPr fitToPage="1"/>
  </sheetPr>
  <dimension ref="A1:AC65"/>
  <sheetViews>
    <sheetView topLeftCell="W34" zoomScale="90" zoomScaleNormal="90" workbookViewId="0">
      <selection activeCell="AE53" sqref="AE53"/>
    </sheetView>
  </sheetViews>
  <sheetFormatPr baseColWidth="8" defaultColWidth="9" defaultRowHeight="16.8"/>
  <cols>
    <col hidden="1" width="8" customWidth="1" style="1181" min="1" max="1"/>
    <col hidden="1" width="15.375" customWidth="1" style="1181" min="2" max="2"/>
    <col hidden="1" width="11.375" customWidth="1" style="1181" min="3" max="3"/>
    <col hidden="1" width="12.25" customWidth="1" style="1181" min="4" max="4"/>
    <col hidden="1" width="7.625" customWidth="1" style="1181" min="5" max="5"/>
    <col hidden="1" width="7.75" customWidth="1" style="1181" min="6" max="7"/>
    <col hidden="1" width="8.375" customWidth="1" style="1181" min="8" max="8"/>
    <col hidden="1" width="7.75" customWidth="1" style="1181" min="9" max="9"/>
    <col hidden="1" width="11.125" customWidth="1" style="1181" min="10" max="10"/>
    <col hidden="1" width="7.75" customWidth="1" style="1181" min="11" max="18"/>
    <col hidden="1" width="38.75" customWidth="1" style="32" min="19" max="19"/>
    <col hidden="1" width="2.375" customWidth="1" style="1181" min="20" max="20"/>
    <col hidden="1" width="14.375" customWidth="1" style="1181" min="21" max="21"/>
    <col hidden="1" width="16.125" customWidth="1" style="1181" min="22" max="22"/>
    <col width="1.625" customWidth="1" style="1181" min="23" max="23"/>
    <col width="49.625" customWidth="1" style="38" min="24" max="24"/>
    <col width="15" customWidth="1" style="38" min="25" max="25"/>
    <col width="47.75" customWidth="1" style="1181" min="26" max="26"/>
    <col width="49.375" customWidth="1" style="1181" min="27" max="27"/>
    <col hidden="1" width="11.25" customWidth="1" style="1181" min="28" max="28"/>
    <col width="8.75" customWidth="1" style="1181" min="29" max="30"/>
  </cols>
  <sheetData>
    <row r="1" hidden="1" customFormat="1" s="644">
      <c r="A1" s="172" t="inlineStr">
        <is>
          <t>维度清单</t>
        </is>
      </c>
      <c r="B1" s="462" t="n"/>
      <c r="C1" s="173" t="n"/>
      <c r="D1" s="173" t="n"/>
      <c r="E1" s="716" t="n"/>
      <c r="F1" s="13" t="n"/>
      <c r="G1" s="13" t="n"/>
      <c r="H1" s="13" t="n"/>
      <c r="I1" s="13" t="n"/>
      <c r="J1" s="13" t="n"/>
      <c r="K1" s="13" t="n"/>
      <c r="L1" s="13" t="n"/>
      <c r="M1" s="13" t="n"/>
      <c r="N1" s="13" t="n"/>
      <c r="O1" s="13" t="n"/>
      <c r="P1" s="13" t="n"/>
      <c r="Q1" s="13" t="n"/>
      <c r="R1" s="13" t="n"/>
      <c r="S1" s="1103" t="n"/>
      <c r="T1" s="13" t="n"/>
      <c r="U1" s="13" t="n"/>
      <c r="V1" s="13" t="n"/>
      <c r="W1" s="13" t="n"/>
      <c r="X1" s="171" t="n"/>
      <c r="Y1" s="171" t="n"/>
      <c r="Z1" s="13" t="n"/>
      <c r="AA1" s="13" t="n"/>
      <c r="AB1" s="13" t="n"/>
      <c r="AC1" s="13" t="n"/>
    </row>
    <row r="2" hidden="1" customFormat="1" s="644">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103" t="n"/>
      <c r="T2" s="13" t="n"/>
      <c r="U2" s="13" t="n"/>
      <c r="V2" s="13" t="n"/>
      <c r="W2" s="13" t="n"/>
      <c r="X2" s="171" t="n"/>
      <c r="Y2" s="171" t="n"/>
      <c r="Z2" s="13" t="n"/>
      <c r="AA2" s="13" t="n"/>
      <c r="AB2" s="13" t="n"/>
      <c r="AC2" s="13" t="n"/>
    </row>
    <row r="3" hidden="1" customFormat="1" s="644">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103" t="n"/>
      <c r="T3" s="13" t="n"/>
      <c r="U3" s="13" t="n"/>
      <c r="V3" s="13" t="n"/>
      <c r="W3" s="13" t="n"/>
      <c r="X3" s="171" t="n"/>
      <c r="Y3" s="171" t="n"/>
      <c r="Z3" s="13" t="n"/>
      <c r="AA3" s="13" t="n"/>
      <c r="AB3" s="13" t="n"/>
      <c r="AC3" s="13" t="n"/>
    </row>
    <row r="4" hidden="1" customFormat="1" s="644">
      <c r="A4" s="175" t="inlineStr">
        <is>
          <t>C</t>
        </is>
      </c>
      <c r="B4" s="176">
        <f>IF(_epmOfflineCondition_,"C_CATEGORY",EPMDimensionType(,A4))</f>
        <v/>
      </c>
      <c r="C4" s="176">
        <f>IF(_epmOfflineCondition_,"C_ALL",IF(B4="","",EPMContextMember(,B4)))</f>
        <v/>
      </c>
      <c r="D4" s="176">
        <f>IF(_epmOfflineCondition_,"全部类别",EPMMemberDesc(C4))</f>
        <v/>
      </c>
      <c r="E4" s="176" t="n"/>
      <c r="F4" s="13" t="n"/>
      <c r="G4" s="13" t="n"/>
      <c r="H4" s="184" t="inlineStr">
        <is>
          <t>预算年</t>
        </is>
      </c>
      <c r="I4" s="184">
        <f>"V_"&amp;$I$3</f>
        <v/>
      </c>
      <c r="J4" s="184">
        <f>$I$3&amp;".TOTAL"</f>
        <v/>
      </c>
      <c r="K4" s="13" t="n"/>
      <c r="L4" s="13" t="n"/>
      <c r="M4" s="13" t="n"/>
      <c r="N4" s="13" t="n"/>
      <c r="O4" s="13" t="n"/>
      <c r="P4" s="13" t="n"/>
      <c r="Q4" s="13" t="n"/>
      <c r="R4" s="13" t="n"/>
      <c r="S4" s="1103" t="n"/>
      <c r="T4" s="13" t="n"/>
      <c r="U4" s="13" t="n"/>
      <c r="V4" s="13" t="n"/>
      <c r="W4" s="13" t="n"/>
      <c r="X4" s="171" t="n"/>
      <c r="Y4" s="171" t="n"/>
      <c r="Z4" s="13" t="n"/>
      <c r="AA4" s="13" t="n"/>
      <c r="AB4" s="13" t="n"/>
      <c r="AC4" s="13" t="n"/>
    </row>
    <row r="5" hidden="1" customFormat="1" s="644">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13" t="n"/>
      <c r="V5" s="13" t="n"/>
      <c r="W5" s="13" t="n"/>
      <c r="X5" s="171" t="n"/>
      <c r="Y5" s="171" t="n"/>
      <c r="Z5" s="13" t="n"/>
      <c r="AA5" s="13" t="n"/>
      <c r="AB5" s="13" t="n"/>
      <c r="AC5" s="13" t="n"/>
    </row>
    <row r="6" hidden="1" customFormat="1" s="644">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103" t="n"/>
      <c r="T6" s="13" t="n"/>
      <c r="U6" s="13" t="n"/>
      <c r="V6" s="13" t="n"/>
      <c r="W6" s="13" t="n"/>
      <c r="X6" s="171" t="n"/>
      <c r="Y6" s="171" t="n"/>
      <c r="Z6" s="13" t="n"/>
      <c r="AA6" s="13" t="n"/>
      <c r="AB6" s="13" t="n"/>
      <c r="AC6" s="13" t="n"/>
    </row>
    <row r="7" hidden="1" customFormat="1" s="644">
      <c r="A7" s="175" t="inlineStr">
        <is>
          <t>R</t>
        </is>
      </c>
      <c r="B7" s="176">
        <f>IF(_epmOfflineCondition_,"C_RPTCURRENCY",EPMDimensionType(,A7))</f>
        <v/>
      </c>
      <c r="C7" s="176">
        <f>IF(_epmOfflineCondition_,"AUD",IF(B7="","",EPMContextMember(,B7)))</f>
        <v/>
      </c>
      <c r="D7" s="176">
        <f>IF(_epmOfflineCondition_,"澳元",EPMMemberDesc(C7))</f>
        <v/>
      </c>
      <c r="E7" s="176" t="n"/>
      <c r="F7" s="13" t="n"/>
      <c r="G7" s="13" t="n"/>
      <c r="H7" s="13" t="n"/>
      <c r="I7" s="13" t="n"/>
      <c r="J7" s="13" t="n"/>
      <c r="K7" s="13" t="n"/>
      <c r="L7" s="13" t="n"/>
      <c r="M7" s="13" t="n"/>
      <c r="N7" s="13" t="n"/>
      <c r="O7" s="13" t="n"/>
      <c r="P7" s="13" t="n"/>
      <c r="Q7" s="13" t="n"/>
      <c r="R7" s="13" t="n"/>
      <c r="S7" s="1103" t="n"/>
      <c r="T7" s="13" t="n"/>
      <c r="U7" s="13" t="n"/>
      <c r="V7" s="13" t="n"/>
      <c r="W7" s="13" t="n"/>
      <c r="X7" s="171" t="n"/>
      <c r="Y7" s="171" t="n"/>
      <c r="Z7" s="13" t="n"/>
      <c r="AA7" s="13" t="n"/>
      <c r="AB7" s="13" t="n"/>
      <c r="AC7" s="13" t="n"/>
    </row>
    <row r="8" hidden="1" customFormat="1" s="644">
      <c r="A8" s="175" t="inlineStr">
        <is>
          <t>D</t>
        </is>
      </c>
      <c r="B8" s="176">
        <f>IF(_epmOfflineCondition_,"C_AUDITTRAIL",EPMDimensionType(,A8))</f>
        <v/>
      </c>
      <c r="C8" s="176">
        <f>IF(_epmOfflineCondition_,"DTOTAL",IF(B8="","",EPMContextMember(,B8)))</f>
        <v/>
      </c>
      <c r="D8" s="176">
        <f>IF(_epmOfflineCondition_,"全部审计线索",EPMMemberDesc(C8))</f>
        <v/>
      </c>
      <c r="E8" s="176" t="n"/>
      <c r="F8" s="13" t="n"/>
      <c r="G8" s="13" t="n"/>
      <c r="H8" s="184" t="inlineStr">
        <is>
          <t>本月</t>
        </is>
      </c>
      <c r="I8" s="184">
        <f>IF(_epmOfflineCondition_,"03",RIGHT("0"&amp;EPMMemberProperty(,EPMContextMember(,"C_TIME"),"MONTHNUM"),2))</f>
        <v/>
      </c>
      <c r="J8" s="13" t="n"/>
      <c r="K8" s="13" t="n"/>
      <c r="L8" s="13" t="n"/>
      <c r="M8" s="13" t="n"/>
      <c r="N8" s="13" t="n"/>
      <c r="O8" s="13" t="n"/>
      <c r="P8" s="13" t="n"/>
      <c r="Q8" s="13" t="n"/>
      <c r="R8" s="13" t="n"/>
      <c r="S8" s="1103" t="n"/>
      <c r="T8" s="13" t="n"/>
      <c r="U8" s="13" t="n"/>
      <c r="V8" s="13" t="n"/>
      <c r="W8" s="13" t="n"/>
      <c r="X8" s="171" t="n"/>
      <c r="Y8" s="171" t="n"/>
      <c r="Z8" s="13" t="n"/>
      <c r="AA8" s="13" t="n"/>
      <c r="AB8" s="13" t="n"/>
      <c r="AC8" s="13" t="n"/>
    </row>
    <row r="9" hidden="1" customFormat="1" s="644">
      <c r="A9" s="175" t="inlineStr">
        <is>
          <t>S</t>
        </is>
      </c>
      <c r="B9" s="176">
        <f>IF(_epmOfflineCondition_,"C_FLOW",EPMDimensionType(,A9))</f>
        <v/>
      </c>
      <c r="C9" s="176">
        <f>IF(_epmOfflineCondition_,"FTOTAL",IF(B9="","",EPMContextMember(,B9)))</f>
        <v/>
      </c>
      <c r="D9" s="176">
        <f>IF(_epmOfflineCondition_,"全部变动",EPMMemberDesc(C9))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13" t="n"/>
      <c r="V9" s="13" t="n"/>
      <c r="W9" s="13" t="n"/>
      <c r="X9" s="171" t="n"/>
      <c r="Y9" s="171" t="n"/>
      <c r="Z9" s="13" t="n"/>
      <c r="AA9" s="13" t="n"/>
      <c r="AB9" s="13" t="n"/>
      <c r="AC9" s="13" t="n"/>
    </row>
    <row r="10" hidden="1" customFormat="1" s="644">
      <c r="A10" s="175" t="inlineStr">
        <is>
          <t>I</t>
        </is>
      </c>
      <c r="B10" s="176">
        <f>IF(_epmOfflineCondition_,"C_INTERCO",EPMDimensionType(,A10))</f>
        <v/>
      </c>
      <c r="C10" s="176">
        <f>IF(_epmOfflineCondition_,"I_ALL",IF(B10="","",EPMContextMember(,B10)))</f>
        <v/>
      </c>
      <c r="D10" s="176">
        <f>IF(_epmOfflineCondition_,"全部贸易伙伴",EPMMemberDesc(C10))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13" t="n"/>
      <c r="V10" s="13" t="n"/>
      <c r="W10" s="13" t="n"/>
      <c r="X10" s="171" t="n"/>
      <c r="Y10" s="171" t="n"/>
      <c r="Z10" s="13" t="n"/>
      <c r="AA10" s="13" t="n"/>
      <c r="AB10" s="13" t="n"/>
      <c r="AC10" s="13" t="n"/>
    </row>
    <row r="11" hidden="1" customFormat="1" s="644">
      <c r="A11" s="175" t="inlineStr">
        <is>
          <t>G</t>
        </is>
      </c>
      <c r="B11" s="176">
        <f>IF(_epmOfflineCondition_,"C_SCOPE",EPMDimensionType(,A11))</f>
        <v/>
      </c>
      <c r="C11" s="176">
        <f>IF(_epmOfflineCondition_,"G_DUMMY",IF(B11="","",EPMContextMember(,B11)))</f>
        <v/>
      </c>
      <c r="D11" s="176">
        <f>IF(_epmOfflineCondition_,"合并范围无关",EPMMemberDesc(C11))</f>
        <v/>
      </c>
      <c r="E11" s="176">
        <f>IF(OR(RIGHT(C11,1)="P",RIGHT(C11,1)="S"),LEFT(C11,LEN(C11)-1),C11)</f>
        <v/>
      </c>
      <c r="F11" s="13" t="n"/>
      <c r="G11" s="13" t="n"/>
      <c r="H11" s="184" t="inlineStr">
        <is>
          <t xml:space="preserve">本年月 </t>
        </is>
      </c>
      <c r="I11" s="184">
        <f>I3&amp;"."&amp;I8</f>
        <v/>
      </c>
      <c r="J11" s="13" t="n"/>
      <c r="K11" s="13" t="n"/>
      <c r="L11" s="13" t="n"/>
      <c r="M11" s="13" t="n"/>
      <c r="N11" s="13" t="n"/>
      <c r="O11" s="13" t="n"/>
      <c r="P11" s="13" t="n"/>
      <c r="Q11" s="13" t="n"/>
      <c r="R11" s="13" t="n"/>
      <c r="S11" s="1103" t="n"/>
      <c r="T11" s="13" t="n"/>
      <c r="U11" s="13" t="n"/>
      <c r="V11" s="13" t="n"/>
      <c r="W11" s="13" t="n"/>
      <c r="X11" s="171" t="n"/>
      <c r="Y11" s="171" t="n"/>
      <c r="Z11" s="13" t="n"/>
      <c r="AA11" s="13" t="n"/>
      <c r="AB11" s="13" t="n"/>
      <c r="AC11" s="13" t="n"/>
    </row>
    <row r="12" hidden="1" customFormat="1" s="644">
      <c r="A12" s="175" t="inlineStr">
        <is>
          <t>U8</t>
        </is>
      </c>
      <c r="B12" s="176">
        <f>IF(_epmOfflineCondition_,"C_PROJECT",EPMDimensionType(,A12))</f>
        <v/>
      </c>
      <c r="C12" s="176">
        <f>IF(_epmOfflineCondition_,"ZP_ALL",IF(B12="","",EPMContextMember(,B12)))</f>
        <v/>
      </c>
      <c r="D12" s="176">
        <f>IF(_epmOfflineCondition_,"项目合计",EPMMemberDesc(C12))</f>
        <v/>
      </c>
      <c r="E12" s="176" t="n"/>
      <c r="F12" s="13" t="n"/>
      <c r="G12" s="13" t="n"/>
      <c r="H12" s="184" t="inlineStr">
        <is>
          <t>上年月</t>
        </is>
      </c>
      <c r="I12" s="184">
        <f>IF(I8="01",I10&amp;"."&amp;I9,I3&amp;"."&amp;I9)</f>
        <v/>
      </c>
      <c r="J12" s="13" t="n"/>
      <c r="K12" s="13" t="n"/>
      <c r="L12" s="13" t="n"/>
      <c r="M12" s="13" t="n"/>
      <c r="N12" s="13" t="n"/>
      <c r="O12" s="13" t="n"/>
      <c r="P12" s="13" t="n"/>
      <c r="Q12" s="13" t="n"/>
      <c r="R12" s="13" t="n"/>
      <c r="S12" s="1103" t="n"/>
      <c r="T12" s="13" t="n"/>
      <c r="U12" s="13" t="n"/>
      <c r="V12" s="13" t="n"/>
      <c r="W12" s="13" t="n"/>
      <c r="X12" s="171" t="n"/>
      <c r="Y12" s="171" t="n"/>
      <c r="Z12" s="13" t="n"/>
      <c r="AA12" s="13" t="n"/>
      <c r="AB12" s="13" t="n"/>
      <c r="AC12" s="13" t="n"/>
    </row>
    <row r="13" hidden="1" customFormat="1" s="644">
      <c r="A13" s="175" t="inlineStr">
        <is>
          <t>U9</t>
        </is>
      </c>
      <c r="B13" s="176">
        <f>IF(_epmOfflineCondition_,"C_ITEM",EPMDimensionType(,A13))</f>
        <v/>
      </c>
      <c r="C13" s="176">
        <f>IF(_epmOfflineCondition_,"ZI_ALL",IF(B13="","",EPMContextMember(,B13)))</f>
        <v/>
      </c>
      <c r="D13" s="176">
        <f>IF(_epmOfflineCondition_,"全部ITEM",EPMMemberDesc(C13))</f>
        <v/>
      </c>
      <c r="E13" s="176" t="n"/>
      <c r="F13" s="13" t="n"/>
      <c r="G13" s="13" t="n"/>
      <c r="H13" s="184" t="inlineStr">
        <is>
          <t xml:space="preserve">上年同期 </t>
        </is>
      </c>
      <c r="I13" s="184">
        <f>I10&amp;"."&amp;I8</f>
        <v/>
      </c>
      <c r="J13" s="13" t="n"/>
      <c r="K13" s="13" t="n"/>
      <c r="L13" s="13" t="n"/>
      <c r="M13" s="13" t="n"/>
      <c r="N13" s="13" t="n"/>
      <c r="O13" s="13" t="n"/>
      <c r="P13" s="13" t="n"/>
      <c r="Q13" s="13" t="n"/>
      <c r="R13" s="13" t="n"/>
      <c r="S13" s="1103" t="n"/>
      <c r="T13" s="13" t="n"/>
      <c r="U13" s="13" t="n"/>
      <c r="V13" s="13" t="n"/>
      <c r="W13" s="13" t="n"/>
      <c r="X13" s="171" t="n"/>
      <c r="Y13" s="171" t="n"/>
      <c r="Z13" s="13" t="n"/>
      <c r="AA13" s="13" t="n"/>
      <c r="AB13" s="13" t="n"/>
      <c r="AC13" s="13" t="n"/>
    </row>
    <row r="14" hidden="1" customFormat="1" s="644">
      <c r="A14" s="175" t="inlineStr">
        <is>
          <t>U10</t>
        </is>
      </c>
      <c r="B14" s="176">
        <f>IF(_epmOfflineCondition_,"C_MISK",EPMDimensionType(,A14))</f>
        <v/>
      </c>
      <c r="C14" s="176">
        <f>IF(_epmOfflineCondition_,"ZM_ALL",IF(B14="","",EPMContextMember(,B14)))</f>
        <v/>
      </c>
      <c r="D14" s="176">
        <f>IF(_epmOfflineCondition_,"ALL",EPMMemberDesc(C14))</f>
        <v/>
      </c>
      <c r="E14" s="176" t="n"/>
      <c r="F14" s="13" t="n"/>
      <c r="G14" s="13" t="n"/>
      <c r="H14" s="13" t="n"/>
      <c r="I14" s="13" t="n"/>
      <c r="J14" s="13" t="n"/>
      <c r="K14" s="13" t="n"/>
      <c r="L14" s="13" t="n"/>
      <c r="M14" s="13" t="n"/>
      <c r="N14" s="13" t="n"/>
      <c r="O14" s="13" t="n"/>
      <c r="P14" s="13" t="n"/>
      <c r="Q14" s="13" t="n"/>
      <c r="R14" s="13" t="n"/>
      <c r="S14" s="1103" t="n"/>
      <c r="T14" s="13" t="n"/>
      <c r="U14" s="13" t="n"/>
      <c r="V14" s="13" t="n"/>
      <c r="W14" s="13" t="n"/>
      <c r="X14" s="171" t="n"/>
      <c r="Y14" s="171" t="n"/>
      <c r="Z14" s="13" t="n"/>
      <c r="AA14" s="13" t="n"/>
      <c r="AB14" s="13" t="n"/>
      <c r="AC14" s="13" t="n"/>
    </row>
    <row r="15" hidden="1" customFormat="1" s="644">
      <c r="A15" s="13" t="n"/>
      <c r="B15" s="1103" t="n"/>
      <c r="C15" s="1103" t="n"/>
      <c r="D15" s="1103" t="n"/>
      <c r="E15" s="13" t="n"/>
      <c r="F15" s="13" t="n"/>
      <c r="G15" s="13" t="n"/>
      <c r="H15" s="13" t="n"/>
      <c r="I15" s="13" t="n"/>
      <c r="J15" s="13" t="n"/>
      <c r="K15" s="13" t="n"/>
      <c r="L15" s="13" t="n"/>
      <c r="M15" s="13" t="n"/>
      <c r="N15" s="13" t="n"/>
      <c r="O15" s="13" t="n"/>
      <c r="P15" s="13" t="n"/>
      <c r="Q15" s="13" t="n"/>
      <c r="R15" s="13" t="n"/>
      <c r="S15" s="1103" t="n"/>
      <c r="T15" s="13" t="n"/>
      <c r="U15" s="13" t="n"/>
      <c r="V15" s="13" t="n"/>
      <c r="W15" s="13" t="n"/>
      <c r="X15" s="171" t="n"/>
      <c r="Y15" s="171" t="n"/>
      <c r="Z15" s="13" t="n"/>
      <c r="AA15" s="13" t="n"/>
      <c r="AB15" s="13" t="n"/>
      <c r="AC15" s="13" t="n"/>
    </row>
    <row r="16" hidden="1" customFormat="1" s="644">
      <c r="A16" s="13" t="n"/>
      <c r="B16" s="13" t="n"/>
      <c r="C16" s="13" t="n"/>
      <c r="D16" s="174" t="inlineStr">
        <is>
          <t>页轴</t>
        </is>
      </c>
      <c r="E16" s="1183" t="n"/>
      <c r="F16" s="13" t="n"/>
      <c r="G16" s="13" t="n"/>
      <c r="H16" s="13" t="n"/>
      <c r="I16" s="13" t="n"/>
      <c r="J16" s="13" t="n"/>
      <c r="K16" s="13" t="n"/>
      <c r="L16" s="13" t="n"/>
      <c r="M16" s="13" t="n"/>
      <c r="N16" s="13" t="n"/>
      <c r="O16" s="13" t="n"/>
      <c r="P16" s="13" t="n"/>
      <c r="Q16" s="13" t="n"/>
      <c r="R16" s="13" t="n"/>
      <c r="S16" s="1103" t="n"/>
      <c r="T16" s="13" t="n"/>
      <c r="U16" s="13" t="n"/>
      <c r="V16" s="13" t="n"/>
      <c r="W16" s="13" t="n"/>
      <c r="X16" s="171" t="n"/>
      <c r="Y16" s="171" t="n"/>
      <c r="Z16" s="13" t="n"/>
      <c r="AA16" s="13" t="n"/>
      <c r="AB16" s="13" t="n"/>
      <c r="AC16" s="13" t="n"/>
    </row>
    <row r="17" hidden="1" customFormat="1" s="644">
      <c r="A17" s="174" t="inlineStr">
        <is>
          <t>维度类型</t>
        </is>
      </c>
      <c r="B17" s="174" t="inlineStr">
        <is>
          <t>维度</t>
        </is>
      </c>
      <c r="C17" s="178" t="inlineStr">
        <is>
          <t>页轴替换</t>
        </is>
      </c>
      <c r="D17" s="174" t="inlineStr">
        <is>
          <t>报表001</t>
        </is>
      </c>
      <c r="E17" s="174" t="inlineStr">
        <is>
          <t>报表002</t>
        </is>
      </c>
      <c r="F17" s="13" t="n"/>
      <c r="G17" s="13" t="n"/>
      <c r="H17" s="13" t="n"/>
      <c r="I17" s="13" t="n"/>
      <c r="J17" s="13" t="n"/>
      <c r="K17" s="13" t="n"/>
      <c r="L17" s="13" t="n"/>
      <c r="M17" s="13" t="n"/>
      <c r="N17" s="13" t="n"/>
      <c r="O17" s="13" t="n"/>
      <c r="P17" s="13" t="n"/>
      <c r="Q17" s="13" t="n"/>
      <c r="R17" s="13" t="n"/>
      <c r="S17" s="1103" t="n"/>
      <c r="T17" s="13" t="n"/>
      <c r="U17" s="13" t="n"/>
      <c r="V17" s="13" t="n"/>
      <c r="W17" s="13" t="n"/>
      <c r="X17" s="171" t="n"/>
      <c r="Y17" s="171" t="n"/>
      <c r="Z17" s="13" t="n"/>
      <c r="AA17" s="13" t="n"/>
      <c r="AB17" s="13" t="n"/>
      <c r="AC17" s="13" t="n"/>
    </row>
    <row r="18" hidden="1" customFormat="1" s="644">
      <c r="A18" s="175" t="inlineStr">
        <is>
          <t>A</t>
        </is>
      </c>
      <c r="B18" s="176">
        <f>IF(_epmOfflineCondition_,"C_ACCOUNT",EPMDimensionType(,A18))</f>
        <v/>
      </c>
      <c r="C18" s="182" t="inlineStr">
        <is>
          <t>A_NOUSED</t>
        </is>
      </c>
      <c r="D18" s="180" t="n"/>
      <c r="E18" s="13" t="n"/>
      <c r="F18" s="13" t="n"/>
      <c r="G18" s="13" t="n"/>
      <c r="H18" s="13" t="n"/>
      <c r="I18" s="13" t="n"/>
      <c r="J18" s="13" t="n"/>
      <c r="K18" s="13" t="n"/>
      <c r="L18" s="13" t="n"/>
      <c r="M18" s="13" t="n"/>
      <c r="N18" s="13" t="n"/>
      <c r="O18" s="13" t="n"/>
      <c r="P18" s="13" t="n"/>
      <c r="Q18" s="13" t="n"/>
      <c r="R18" s="13" t="n"/>
      <c r="S18" s="1103" t="n"/>
      <c r="T18" s="13" t="n"/>
      <c r="U18" s="13" t="n"/>
      <c r="V18" s="13" t="n"/>
      <c r="W18" s="13" t="n"/>
      <c r="X18" s="171" t="n"/>
      <c r="Y18" s="171" t="n"/>
      <c r="Z18" s="13" t="n"/>
      <c r="AA18" s="13" t="n"/>
      <c r="AB18" s="13" t="n"/>
      <c r="AC18" s="13" t="n"/>
    </row>
    <row r="19" hidden="1" customFormat="1" s="644">
      <c r="A19" s="175" t="inlineStr">
        <is>
          <t>C</t>
        </is>
      </c>
      <c r="B19" s="176">
        <f>IF(_epmOfflineCondition_,"C_CATEGORY",EPMDimensionType(,A19))</f>
        <v/>
      </c>
      <c r="C19" s="182" t="inlineStr">
        <is>
          <t>C_DUMMY</t>
        </is>
      </c>
      <c r="D19" s="180" t="n"/>
      <c r="E19" s="13" t="n"/>
      <c r="F19" s="13" t="n"/>
      <c r="G19" s="13" t="n"/>
      <c r="H19" s="13" t="n"/>
      <c r="I19" s="13" t="n"/>
      <c r="J19" s="13" t="n"/>
      <c r="K19" s="13" t="n"/>
      <c r="L19" s="13" t="n"/>
      <c r="M19" s="13" t="n"/>
      <c r="N19" s="13" t="n"/>
      <c r="O19" s="13" t="n"/>
      <c r="P19" s="13" t="n"/>
      <c r="Q19" s="13" t="n"/>
      <c r="R19" s="13" t="n"/>
      <c r="S19" s="1103" t="n"/>
      <c r="T19" s="13" t="n"/>
      <c r="U19" s="13" t="n"/>
      <c r="V19" s="13" t="n"/>
      <c r="W19" s="13" t="n"/>
      <c r="X19" s="171" t="n"/>
      <c r="Y19" s="171" t="n"/>
      <c r="Z19" s="13" t="n"/>
      <c r="AA19" s="13" t="n"/>
      <c r="AB19" s="13" t="n"/>
      <c r="AC19" s="13" t="n"/>
    </row>
    <row r="20" hidden="1" customFormat="1" s="644">
      <c r="A20" s="175" t="inlineStr">
        <is>
          <t>T</t>
        </is>
      </c>
      <c r="B20" s="176">
        <f>IF(_epmOfflineCondition_,"C_TIME",EPMDimensionType(,A20))</f>
        <v/>
      </c>
      <c r="C20" s="672" t="inlineStr">
        <is>
          <t>T_DUMMY</t>
        </is>
      </c>
      <c r="D20" s="180" t="n"/>
      <c r="E20" s="13" t="n"/>
      <c r="F20" s="384" t="n"/>
      <c r="G20" s="384" t="n"/>
      <c r="H20" s="13" t="n"/>
      <c r="I20" s="13" t="n"/>
      <c r="J20" s="13" t="n"/>
      <c r="K20" s="13" t="n"/>
      <c r="L20" s="13" t="n"/>
      <c r="M20" s="13" t="n"/>
      <c r="N20" s="13" t="n"/>
      <c r="O20" s="13" t="n"/>
      <c r="P20" s="13" t="n"/>
      <c r="Q20" s="13" t="n"/>
      <c r="R20" s="13" t="n"/>
      <c r="S20" s="1103" t="n"/>
      <c r="T20" s="13" t="n"/>
      <c r="U20" s="13" t="n"/>
      <c r="V20" s="13" t="n"/>
      <c r="W20" s="13" t="n"/>
      <c r="X20" s="171" t="n"/>
      <c r="Y20" s="171" t="n"/>
      <c r="Z20" s="384" t="n"/>
      <c r="AA20" s="13" t="n"/>
      <c r="AB20" s="13" t="n"/>
      <c r="AC20" s="13" t="n"/>
    </row>
    <row r="21" hidden="1" customFormat="1" s="644">
      <c r="A21" s="175" t="inlineStr">
        <is>
          <t>E</t>
        </is>
      </c>
      <c r="B21" s="176">
        <f>IF(_epmOfflineCondition_,"C_ENTITY",EPMDimensionType(,A21))</f>
        <v/>
      </c>
      <c r="C21" s="447">
        <f>IF(_epmOfflineCondition_,"E100787",IF(B21="","",EPMContextMember(,B21)))</f>
        <v/>
      </c>
      <c r="D21" s="390">
        <f>IF(_epmOfflineCondition_,"内蒙古京能苏尼特风力发电有限公司（内蒙古分公司）",EPMOlapMemberO(D6,"[C_ENTITY].[PARENTH1].[E100787]","E100787 - 内蒙古京能苏尼特风力发电有限公司（内蒙古分公司）","","000"))</f>
        <v/>
      </c>
      <c r="E21" s="13" t="n"/>
      <c r="F21" s="384" t="n"/>
      <c r="G21" s="384" t="n"/>
      <c r="H21" s="13" t="n"/>
      <c r="I21" s="13" t="n"/>
      <c r="J21" s="13" t="n"/>
      <c r="K21" s="13" t="n"/>
      <c r="L21" s="13" t="n"/>
      <c r="M21" s="13" t="n"/>
      <c r="N21" s="13" t="n"/>
      <c r="O21" s="13" t="n"/>
      <c r="P21" s="13" t="n"/>
      <c r="Q21" s="13" t="n"/>
      <c r="R21" s="13" t="n"/>
      <c r="S21" s="1103" t="n"/>
      <c r="T21" s="13" t="n"/>
      <c r="U21" s="13" t="n"/>
      <c r="V21" s="13" t="n"/>
      <c r="W21" s="13" t="n"/>
      <c r="X21" s="171" t="n"/>
      <c r="Y21" s="171" t="n"/>
      <c r="Z21" s="384" t="n"/>
      <c r="AA21" s="13" t="n"/>
      <c r="AB21" s="13" t="n"/>
      <c r="AC21" s="13" t="n"/>
    </row>
    <row r="22" hidden="1" customFormat="1" s="644">
      <c r="A22" s="175" t="inlineStr">
        <is>
          <t>R</t>
        </is>
      </c>
      <c r="B22" s="176">
        <f>IF(_epmOfflineCondition_,"C_RPTCURRENCY",EPMDimensionType(,A22))</f>
        <v/>
      </c>
      <c r="C22" s="182" t="inlineStr">
        <is>
          <t>LC</t>
        </is>
      </c>
      <c r="D22" s="998">
        <f>IF(_epmOfflineCondition_,"LC",EPMOlapMemberO(Z37,"[C_RPTCURRENCY].[].[LC]","LC - 本位币","","000"))</f>
        <v/>
      </c>
      <c r="E22" s="13" t="n"/>
      <c r="F22" s="384" t="n"/>
      <c r="G22" s="384" t="n"/>
      <c r="H22" s="13" t="n"/>
      <c r="I22" s="13" t="n"/>
      <c r="J22" s="13" t="n"/>
      <c r="K22" s="13" t="n"/>
      <c r="L22" s="13" t="n"/>
      <c r="M22" s="13" t="n"/>
      <c r="N22" s="13" t="n"/>
      <c r="O22" s="13" t="n"/>
      <c r="P22" s="13" t="n"/>
      <c r="Q22" s="13" t="n"/>
      <c r="R22" s="13" t="n"/>
      <c r="S22" s="1103" t="n"/>
      <c r="T22" s="13" t="n"/>
      <c r="U22" s="13" t="n"/>
      <c r="V22" s="13" t="n"/>
      <c r="W22" s="13" t="n"/>
      <c r="X22" s="171" t="n"/>
      <c r="Y22" s="171" t="n"/>
      <c r="Z22" s="384" t="n"/>
      <c r="AA22" s="13" t="n"/>
      <c r="AB22" s="13" t="n"/>
      <c r="AC22" s="13" t="n"/>
    </row>
    <row r="23" hidden="1" customFormat="1" s="644">
      <c r="A23" s="175" t="inlineStr">
        <is>
          <t>D</t>
        </is>
      </c>
      <c r="B23" s="176">
        <f>IF(_epmOfflineCondition_,"C_AUDITTRAIL",EPMDimensionType(,A23))</f>
        <v/>
      </c>
      <c r="C23" s="447">
        <f>IF(_epmOfflineCondition_,"DTOTAL",IF(B23="","",EPMContextMember(,B23)))</f>
        <v/>
      </c>
      <c r="D23" s="390" t="n"/>
      <c r="E23" s="13" t="n"/>
      <c r="F23" s="384" t="n"/>
      <c r="G23" s="384" t="n"/>
      <c r="H23" s="13" t="n"/>
      <c r="I23" s="13" t="n"/>
      <c r="J23" s="13" t="n"/>
      <c r="K23" s="13" t="n"/>
      <c r="L23" s="13" t="n"/>
      <c r="M23" s="13" t="n"/>
      <c r="N23" s="13" t="n"/>
      <c r="O23" s="13" t="n"/>
      <c r="P23" s="13" t="n"/>
      <c r="Q23" s="13" t="n"/>
      <c r="R23" s="13" t="n"/>
      <c r="S23" s="1103" t="n"/>
      <c r="T23" s="13" t="n"/>
      <c r="U23" s="13" t="n"/>
      <c r="V23" s="13" t="n"/>
      <c r="W23" s="13" t="n"/>
      <c r="X23" s="171" t="n"/>
      <c r="Y23" s="171" t="n"/>
      <c r="Z23" s="384" t="n"/>
      <c r="AA23" s="13" t="n"/>
      <c r="AB23" s="13" t="n"/>
      <c r="AC23" s="13" t="n"/>
    </row>
    <row r="24" hidden="1" customFormat="1" s="644">
      <c r="A24" s="175" t="inlineStr">
        <is>
          <t>S</t>
        </is>
      </c>
      <c r="B24" s="176">
        <f>IF(_epmOfflineCondition_,"C_FLOW",EPMDimensionType(,A24))</f>
        <v/>
      </c>
      <c r="C24" s="176">
        <f>IF(_epmOfflineCondition_,"FTOTAL",IF(B24="","",EPMContextMember(,B24)))</f>
        <v/>
      </c>
      <c r="D24" s="390" t="n"/>
      <c r="E24" s="13" t="n"/>
      <c r="F24" s="384" t="n"/>
      <c r="G24" s="384" t="n"/>
      <c r="H24" s="13" t="n"/>
      <c r="I24" s="13" t="n"/>
      <c r="J24" s="13" t="n"/>
      <c r="K24" s="13" t="n"/>
      <c r="L24" s="13" t="n"/>
      <c r="M24" s="13" t="n"/>
      <c r="N24" s="13" t="n"/>
      <c r="O24" s="13" t="n"/>
      <c r="P24" s="13" t="n"/>
      <c r="Q24" s="13" t="n"/>
      <c r="R24" s="13" t="n"/>
      <c r="S24" s="1103" t="n"/>
      <c r="T24" s="13" t="n"/>
      <c r="U24" s="13" t="n"/>
      <c r="V24" s="13" t="n"/>
      <c r="W24" s="13" t="n"/>
      <c r="X24" s="171" t="n"/>
      <c r="Y24" s="171" t="n"/>
      <c r="Z24" s="384" t="n"/>
      <c r="AA24" s="13" t="n"/>
      <c r="AB24" s="13" t="n"/>
      <c r="AC24" s="13" t="n"/>
    </row>
    <row r="25" hidden="1" customFormat="1" s="644">
      <c r="A25" s="175" t="inlineStr">
        <is>
          <t>I</t>
        </is>
      </c>
      <c r="B25" s="176">
        <f>IF(_epmOfflineCondition_,"C_INTERCO",EPMDimensionType(,A25))</f>
        <v/>
      </c>
      <c r="C25" s="176">
        <f>IF(_epmOfflineCondition_,"I_ALL",IF(B25="","",EPMContextMember(,B25)))</f>
        <v/>
      </c>
      <c r="D25" s="390">
        <f>IF(_epmOfflineCondition_,"I_DUMMY - 贸易伙伴无关",EPMOlapMemberO("[C_INTERCO].[PARENTH1].[I_DUMMY]","","I_DUMMY - 贸易伙伴无关","","000"))</f>
        <v/>
      </c>
      <c r="E25" s="13" t="n"/>
      <c r="F25" s="384" t="n"/>
      <c r="G25" s="384" t="n"/>
      <c r="H25" s="13" t="n"/>
      <c r="I25" s="13" t="n"/>
      <c r="J25" s="13" t="n"/>
      <c r="K25" s="13" t="n"/>
      <c r="L25" s="13" t="n"/>
      <c r="M25" s="13" t="n"/>
      <c r="N25" s="13" t="n"/>
      <c r="O25" s="13" t="n"/>
      <c r="P25" s="13" t="n"/>
      <c r="Q25" s="13" t="n"/>
      <c r="R25" s="13" t="n"/>
      <c r="S25" s="1103" t="n"/>
      <c r="T25" s="13" t="n"/>
      <c r="U25" s="13" t="n"/>
      <c r="V25" s="13" t="n"/>
      <c r="W25" s="13" t="n"/>
      <c r="X25" s="171" t="n"/>
      <c r="Y25" s="178" t="inlineStr">
        <is>
          <t>CATEGORY</t>
        </is>
      </c>
      <c r="Z25" s="178" t="inlineStr">
        <is>
          <t>C1001</t>
        </is>
      </c>
      <c r="AA25" s="178" t="n"/>
      <c r="AB25" s="13" t="n"/>
      <c r="AC25" s="13" t="n"/>
    </row>
    <row r="26" hidden="1" customFormat="1" s="644">
      <c r="A26" s="175" t="inlineStr">
        <is>
          <t>G</t>
        </is>
      </c>
      <c r="B26" s="176">
        <f>IF(_epmOfflineCondition_,"C_SCOPE",EPMDimensionType(,A26))</f>
        <v/>
      </c>
      <c r="C26" s="182" t="inlineStr">
        <is>
          <t>G_DUMMY</t>
        </is>
      </c>
      <c r="D26" s="390">
        <f>IF(_epmOfflineCondition_,"G_DUMMY",EPMOlapMemberO(E11,"[C_SCOPE].[PARENTH1].[G_DUMMY]","G_DUMMY - 合并范围无关","","000"))</f>
        <v/>
      </c>
      <c r="E26" s="13" t="n"/>
      <c r="F26" s="384" t="n"/>
      <c r="G26" s="384" t="n"/>
      <c r="H26" s="13" t="n"/>
      <c r="I26" s="13" t="n"/>
      <c r="J26" s="13" t="n"/>
      <c r="K26" s="13" t="n"/>
      <c r="L26" s="13" t="n"/>
      <c r="M26" s="13" t="n"/>
      <c r="N26" s="13" t="n"/>
      <c r="O26" s="13" t="n"/>
      <c r="P26" s="13" t="n"/>
      <c r="Q26" s="13" t="n"/>
      <c r="R26" s="13" t="n"/>
      <c r="S26" s="1103" t="n"/>
      <c r="T26" s="13" t="n"/>
      <c r="U26" s="13" t="n"/>
      <c r="V26" s="13" t="n"/>
      <c r="W26" s="13" t="n"/>
      <c r="X26" s="171" t="n"/>
      <c r="Y26" s="464" t="inlineStr">
        <is>
          <t>TIME</t>
        </is>
      </c>
      <c r="Z26" s="464">
        <f>$I$11</f>
        <v/>
      </c>
      <c r="AA26" s="200">
        <f>$I$13</f>
        <v/>
      </c>
      <c r="AB26" s="13" t="n"/>
      <c r="AC26" s="13" t="n"/>
    </row>
    <row r="27" hidden="1" customFormat="1" s="644">
      <c r="A27" s="175" t="inlineStr">
        <is>
          <t>U8</t>
        </is>
      </c>
      <c r="B27" s="176">
        <f>IF(_epmOfflineCondition_,"C_PROJECT",EPMDimensionType(,A27))</f>
        <v/>
      </c>
      <c r="C27" s="180" t="inlineStr">
        <is>
          <t>ZP_ALL</t>
        </is>
      </c>
      <c r="D27" s="390">
        <f>IF(_epmOfflineCondition_,"ZP_DUMMY - 项目无关",EPMOlapMemberO("[C_PROJECT].[PARENTH1].[ZP_DUMMY]","","ZP_DUMMY - 项目无关","","000"))</f>
        <v/>
      </c>
      <c r="E27" s="13" t="n"/>
      <c r="F27" s="384" t="n"/>
      <c r="G27" s="384" t="n"/>
      <c r="H27" s="13" t="n"/>
      <c r="I27" s="13" t="n"/>
      <c r="J27" s="13" t="n"/>
      <c r="K27" s="13" t="n"/>
      <c r="L27" s="13" t="n"/>
      <c r="M27" s="13" t="n"/>
      <c r="N27" s="13" t="n"/>
      <c r="O27" s="13" t="n"/>
      <c r="P27" s="13" t="n"/>
      <c r="Q27" s="13" t="n"/>
      <c r="R27" s="13" t="n"/>
      <c r="S27" s="1103" t="n"/>
      <c r="T27" s="13" t="n"/>
      <c r="U27" s="13" t="n"/>
      <c r="V27" s="13" t="n"/>
      <c r="W27" s="13" t="n"/>
      <c r="X27" s="171" t="n"/>
      <c r="Y27" s="200" t="inlineStr">
        <is>
          <t>MEASURES</t>
        </is>
      </c>
      <c r="Z27" s="200" t="inlineStr">
        <is>
          <t>YTD</t>
        </is>
      </c>
      <c r="AA27" s="200" t="inlineStr">
        <is>
          <t>Periodic</t>
        </is>
      </c>
      <c r="AB27" s="13" t="n"/>
      <c r="AC27" s="13" t="n"/>
    </row>
    <row r="28" hidden="1" customFormat="1" s="644">
      <c r="A28" s="175" t="inlineStr">
        <is>
          <t>U9</t>
        </is>
      </c>
      <c r="B28" s="176">
        <f>IF(_epmOfflineCondition_,"C_ITEM",EPMDimensionType(,A28))</f>
        <v/>
      </c>
      <c r="C28" s="180" t="inlineStr">
        <is>
          <t>ZI_ALL</t>
        </is>
      </c>
      <c r="D28" s="390">
        <f>IF(_epmOfflineCondition_,"ZI_DUMMY - 与子项无关",EPMOlapMemberO("[C_ITEM].[PARENTH1].[ZI_DUMMY]","","ZI_DUMMY - 与子项无关","","000"))</f>
        <v/>
      </c>
      <c r="E28" s="13" t="n"/>
      <c r="F28" s="384" t="n"/>
      <c r="G28" s="384" t="n"/>
      <c r="H28" s="13" t="n"/>
      <c r="I28" s="13" t="n"/>
      <c r="J28" s="13" t="n"/>
      <c r="K28" s="13" t="n"/>
      <c r="L28" s="13" t="n"/>
      <c r="M28" s="13" t="n"/>
      <c r="N28" s="13" t="n"/>
      <c r="O28" s="13" t="n"/>
      <c r="P28" s="13" t="n"/>
      <c r="Q28" s="13" t="n"/>
      <c r="R28" s="13" t="n"/>
      <c r="S28" s="1103" t="n"/>
      <c r="T28" s="13" t="n"/>
      <c r="U28" s="13" t="n"/>
      <c r="V28" s="13" t="n"/>
      <c r="W28" s="13" t="n"/>
      <c r="X28" s="171" t="n"/>
      <c r="Y28" s="200" t="inlineStr">
        <is>
          <t>FLOW</t>
        </is>
      </c>
      <c r="Z28" s="200" t="inlineStr">
        <is>
          <t>F20</t>
        </is>
      </c>
      <c r="AA28" s="200" t="inlineStr">
        <is>
          <t>F00T</t>
        </is>
      </c>
      <c r="AB28" s="200" t="inlineStr">
        <is>
          <t>F30</t>
        </is>
      </c>
      <c r="AC28" s="13" t="inlineStr">
        <is>
          <t>FEND</t>
        </is>
      </c>
    </row>
    <row r="29" hidden="1" customFormat="1" s="644">
      <c r="A29" s="175" t="inlineStr">
        <is>
          <t>U10</t>
        </is>
      </c>
      <c r="B29" s="176">
        <f>IF(_epmOfflineCondition_,"C_MISK",EPMDimensionType(,A29))</f>
        <v/>
      </c>
      <c r="C29" s="449" t="inlineStr">
        <is>
          <t>ZM_ALL</t>
        </is>
      </c>
      <c r="D29" s="390">
        <f>IF(_epmOfflineCondition_,"ZM_DUMMY - 综合无关",EPMOlapMemberO("[C_MISK].[PARENTH1].[ZM_DUMMY]","","ZM_DUMMY - 综合无关","","000"))</f>
        <v/>
      </c>
      <c r="E29" s="13" t="n"/>
      <c r="F29" s="384" t="n"/>
      <c r="G29" s="384" t="n"/>
      <c r="H29" s="13" t="n"/>
      <c r="I29" s="13" t="n"/>
      <c r="J29" s="13" t="n"/>
      <c r="K29" s="13" t="n"/>
      <c r="L29" s="13" t="n"/>
      <c r="M29" s="13" t="n"/>
      <c r="N29" s="13" t="n"/>
      <c r="O29" s="13" t="n"/>
      <c r="P29" s="13" t="n"/>
      <c r="Q29" s="13" t="n"/>
      <c r="R29" s="13" t="n"/>
      <c r="S29" s="1103" t="n"/>
      <c r="T29" s="13" t="n"/>
      <c r="U29" s="13" t="n"/>
      <c r="V29" s="13" t="n"/>
      <c r="W29" s="13" t="n"/>
      <c r="X29" s="171" t="n"/>
      <c r="Y29" s="200" t="inlineStr">
        <is>
          <t>AUDITTRAIL</t>
        </is>
      </c>
      <c r="Z29" s="200" t="inlineStr">
        <is>
          <t>DALL</t>
        </is>
      </c>
      <c r="AA29" s="200" t="inlineStr">
        <is>
          <t>D_DUMMY</t>
        </is>
      </c>
      <c r="AB29" s="13" t="n"/>
      <c r="AC29" s="13" t="n"/>
    </row>
    <row r="30" hidden="1" customFormat="1" s="644">
      <c r="A30" s="175" t="n"/>
      <c r="B30" s="175">
        <f>IF(_epmOfflineCondition_,"",EPMDimensionType(,A30))</f>
        <v/>
      </c>
      <c r="C30" s="182" t="inlineStr">
        <is>
          <t>PERIODIC</t>
        </is>
      </c>
      <c r="D30" s="390" t="n"/>
      <c r="E30" s="13" t="n"/>
      <c r="F30" s="384" t="n"/>
      <c r="G30" s="384" t="n"/>
      <c r="H30" s="13" t="n"/>
      <c r="I30" s="13" t="n"/>
      <c r="J30" s="13" t="n"/>
      <c r="K30" s="13" t="n"/>
      <c r="L30" s="13" t="n"/>
      <c r="M30" s="13" t="n"/>
      <c r="N30" s="13" t="n"/>
      <c r="O30" s="13" t="n"/>
      <c r="P30" s="13" t="n"/>
      <c r="Q30" s="13" t="n"/>
      <c r="R30" s="13" t="n"/>
      <c r="S30" s="1103" t="n"/>
      <c r="T30" s="13" t="n"/>
      <c r="U30" s="13" t="n"/>
      <c r="V30" s="13" t="n"/>
      <c r="W30" s="13" t="n"/>
      <c r="X30" s="171" t="n"/>
      <c r="Y30" s="171" t="n"/>
      <c r="Z30" s="13" t="n"/>
      <c r="AA30" s="13">
        <f>IF(_epmOfflineCondition_,"审计线索无关",EPMMemberDesc(AA29))</f>
        <v/>
      </c>
      <c r="AB30" s="13" t="n"/>
      <c r="AC30" s="13" t="n"/>
    </row>
    <row r="31" hidden="1" customFormat="1" s="644">
      <c r="A31" s="13" t="n"/>
      <c r="B31" s="1103" t="n"/>
      <c r="C31" s="1103" t="n"/>
      <c r="D31" s="1103" t="n"/>
      <c r="E31" s="13" t="n"/>
      <c r="F31" s="13" t="n"/>
      <c r="G31" s="13" t="n"/>
      <c r="H31" s="13" t="n"/>
      <c r="I31" s="13" t="n"/>
      <c r="J31" s="13" t="n"/>
      <c r="K31" s="13" t="n"/>
      <c r="L31" s="13" t="n"/>
      <c r="M31" s="13" t="n"/>
      <c r="N31" s="13" t="n"/>
      <c r="O31" s="13" t="n"/>
      <c r="P31" s="13" t="n"/>
      <c r="Q31" s="13" t="n"/>
      <c r="R31" s="13" t="n"/>
      <c r="S31" s="1103" t="n"/>
      <c r="T31" s="13" t="n"/>
      <c r="U31" s="13" t="n"/>
      <c r="V31" s="13" t="n"/>
      <c r="W31" s="13" t="n"/>
      <c r="X31" s="171" t="n"/>
      <c r="Y31" s="171" t="n"/>
      <c r="Z31" s="13" t="n"/>
      <c r="AA31" s="13" t="n"/>
      <c r="AB31" s="13" t="n"/>
      <c r="AC31" s="13" t="n"/>
    </row>
    <row r="32" hidden="1" customFormat="1" s="644">
      <c r="A32" s="13" t="n"/>
      <c r="B32" s="1103" t="n"/>
      <c r="C32" s="1103" t="n"/>
      <c r="D32" s="1103" t="n"/>
      <c r="E32" s="13" t="n"/>
      <c r="F32" s="13" t="n"/>
      <c r="G32" s="13" t="n"/>
      <c r="H32" s="13" t="n"/>
      <c r="I32" s="13" t="n"/>
      <c r="J32" s="13" t="n"/>
      <c r="K32" s="13" t="n"/>
      <c r="L32" s="13" t="n"/>
      <c r="M32" s="13" t="n"/>
      <c r="N32" s="13" t="n"/>
      <c r="O32" s="13" t="n"/>
      <c r="P32" s="13" t="n"/>
      <c r="Q32" s="13" t="n"/>
      <c r="R32" s="13" t="n"/>
      <c r="S32" s="1103" t="n"/>
      <c r="T32" s="13" t="n"/>
      <c r="U32" s="13" t="n"/>
      <c r="V32" s="13" t="n"/>
      <c r="W32" s="13" t="n"/>
      <c r="X32" s="171" t="n"/>
      <c r="Y32" s="171" t="n"/>
      <c r="Z32" s="13" t="n"/>
      <c r="AA32" s="13" t="n"/>
      <c r="AB32" s="13" t="n"/>
      <c r="AC32" s="13" t="n"/>
    </row>
    <row r="33" hidden="1" customFormat="1" s="644">
      <c r="A33" s="13" t="n"/>
      <c r="B33" s="1103" t="n"/>
      <c r="C33" s="1103" t="n"/>
      <c r="D33" s="1103" t="n"/>
      <c r="E33" s="13" t="n"/>
      <c r="F33" s="13" t="n"/>
      <c r="G33" s="13" t="n"/>
      <c r="H33" s="13" t="n"/>
      <c r="I33" s="13" t="n"/>
      <c r="J33" s="13" t="n"/>
      <c r="K33" s="13" t="n"/>
      <c r="L33" s="13" t="n"/>
      <c r="M33" s="13" t="n"/>
      <c r="N33" s="13" t="n"/>
      <c r="O33" s="13" t="n"/>
      <c r="P33" s="13" t="n"/>
      <c r="Q33" s="13" t="n"/>
      <c r="R33" s="13" t="n"/>
      <c r="S33" s="1103" t="n"/>
      <c r="T33" s="13" t="n"/>
      <c r="U33" s="13" t="n"/>
      <c r="V33" s="13" t="n"/>
      <c r="W33" s="13" t="n"/>
      <c r="X33" s="171" t="n"/>
      <c r="Y33" s="171" t="n"/>
      <c r="Z33" s="13" t="n"/>
      <c r="AA33" s="13" t="n"/>
      <c r="AB33" s="13" t="n"/>
      <c r="AC33" s="13" t="n"/>
    </row>
    <row r="34" ht="10.5" customFormat="1" customHeight="1" s="644">
      <c r="A34" s="13" t="n"/>
      <c r="B34" s="1103" t="n"/>
      <c r="C34" s="1103" t="n"/>
      <c r="D34" s="1103" t="n"/>
      <c r="E34" s="13" t="n"/>
      <c r="F34" s="13" t="n"/>
      <c r="G34" s="13" t="n"/>
      <c r="H34" s="13" t="n"/>
      <c r="I34" s="13" t="n"/>
      <c r="J34" s="13" t="n"/>
      <c r="K34" s="13" t="n"/>
      <c r="L34" s="13" t="n"/>
      <c r="M34" s="13" t="n"/>
      <c r="N34" s="13" t="n"/>
      <c r="O34" s="13" t="n"/>
      <c r="P34" s="13" t="n"/>
      <c r="Q34" s="13" t="n"/>
      <c r="R34" s="13" t="n"/>
      <c r="S34" s="1103" t="n"/>
      <c r="T34" s="13" t="n"/>
      <c r="U34" s="13" t="n"/>
      <c r="V34" s="13" t="n"/>
      <c r="W34" s="13" t="n"/>
      <c r="X34" s="171" t="n"/>
      <c r="Y34" s="171" t="n"/>
      <c r="Z34" s="13" t="n"/>
      <c r="AA34" s="13" t="n"/>
      <c r="AB34" s="13" t="n"/>
      <c r="AC34" s="13" t="n"/>
    </row>
    <row r="35" ht="32.25" customFormat="1" customHeight="1" s="155">
      <c r="A35" s="384" t="n"/>
      <c r="B35" s="384" t="n"/>
      <c r="C35" s="384" t="n"/>
      <c r="D35" s="384" t="n"/>
      <c r="E35" s="384" t="n"/>
      <c r="F35" s="384" t="n"/>
      <c r="G35" s="384" t="n"/>
      <c r="H35" s="384" t="n"/>
      <c r="I35" s="384" t="n"/>
      <c r="J35" s="384" t="n"/>
      <c r="K35" s="384" t="n"/>
      <c r="L35" s="384" t="n"/>
      <c r="M35" s="384" t="n"/>
      <c r="N35" s="384" t="n"/>
      <c r="O35" s="384" t="n"/>
      <c r="P35" s="384" t="n"/>
      <c r="Q35" s="384" t="n"/>
      <c r="R35" s="384" t="n"/>
      <c r="S35" s="32" t="n"/>
      <c r="T35" s="384" t="n"/>
      <c r="U35" s="384" t="n"/>
      <c r="V35" s="384" t="n"/>
      <c r="W35" s="384" t="n"/>
      <c r="X35" s="38" t="n"/>
      <c r="Y35" s="190" t="n"/>
      <c r="Z35" s="384" t="n"/>
      <c r="AA35" s="715" t="inlineStr">
        <is>
          <t>受限资金表</t>
        </is>
      </c>
      <c r="AB35" s="384" t="n"/>
      <c r="AC35" s="384" t="n"/>
    </row>
    <row r="36" customFormat="1" s="489">
      <c r="A36" s="716" t="n"/>
      <c r="B36" s="716" t="n"/>
      <c r="C36" s="716" t="n"/>
      <c r="D36" s="716" t="n"/>
      <c r="E36" s="716" t="n"/>
      <c r="F36" s="716" t="n"/>
      <c r="G36" s="716" t="n"/>
      <c r="H36" s="716" t="n"/>
      <c r="I36" s="716" t="n"/>
      <c r="J36" s="716" t="n"/>
      <c r="K36" s="716" t="n"/>
      <c r="L36" s="716" t="n"/>
      <c r="M36" s="716" t="n"/>
      <c r="N36" s="716" t="n"/>
      <c r="O36" s="716" t="n"/>
      <c r="P36" s="716" t="n"/>
      <c r="Q36" s="716" t="n"/>
      <c r="R36" s="716" t="n"/>
      <c r="S36" s="462">
        <f>IF(D21="全部实体",D26,D21)</f>
        <v/>
      </c>
      <c r="T36" s="716" t="n"/>
      <c r="U36" s="716" t="n"/>
      <c r="V36" s="716" t="n"/>
      <c r="W36" s="716" t="n"/>
      <c r="X36" s="190">
        <f>IF(_epmOfflineCondition_,"编制单位：内蒙古京能苏尼特风力发电有限公司（内蒙古分公司）","编制单位："&amp;EPMMemberDesc($S$36))</f>
        <v/>
      </c>
      <c r="Y36" s="190" t="n"/>
      <c r="Z36" s="384" t="n"/>
      <c r="AA36" s="384" t="n"/>
      <c r="AB36" s="716" t="n"/>
      <c r="AC36" s="716" t="n"/>
    </row>
    <row r="37" customFormat="1" s="489">
      <c r="A37" s="716" t="n"/>
      <c r="B37" s="716" t="n"/>
      <c r="C37" s="716" t="n"/>
      <c r="D37" s="716" t="n"/>
      <c r="E37" s="716" t="n"/>
      <c r="F37" s="716" t="n"/>
      <c r="G37" s="716" t="n"/>
      <c r="H37" s="716" t="n"/>
      <c r="I37" s="716" t="n"/>
      <c r="J37" s="716" t="n"/>
      <c r="K37" s="716" t="n"/>
      <c r="L37" s="716" t="n"/>
      <c r="M37" s="716" t="n"/>
      <c r="N37" s="716" t="n"/>
      <c r="O37" s="716" t="n"/>
      <c r="P37" s="716" t="n"/>
      <c r="Q37" s="716" t="n"/>
      <c r="R37" s="716" t="n"/>
      <c r="S37" s="462" t="n"/>
      <c r="T37" s="716" t="n"/>
      <c r="U37" s="716" t="n"/>
      <c r="V37" s="716" t="n"/>
      <c r="W37" s="716" t="n"/>
      <c r="X37" s="190">
        <f>"编制月份："&amp;$I$3&amp;"年"&amp;$I$8&amp;"月"</f>
        <v/>
      </c>
      <c r="Y37" s="38" t="inlineStr">
        <is>
          <t>币种：</t>
        </is>
      </c>
      <c r="Z37" s="384" t="inlineStr">
        <is>
          <t>LC</t>
        </is>
      </c>
      <c r="AA37" s="384" t="n"/>
      <c r="AB37" s="716" t="n"/>
      <c r="AC37" s="716" t="n"/>
    </row>
    <row r="38" ht="15.2" customFormat="1" customHeight="1" s="716">
      <c r="A38" s="716" t="n"/>
      <c r="B38" s="716" t="n"/>
      <c r="C38" s="716" t="n"/>
      <c r="D38" s="716" t="n"/>
      <c r="E38" s="716" t="n"/>
      <c r="F38" s="716" t="n"/>
      <c r="G38" s="716" t="n"/>
      <c r="H38" s="716" t="n"/>
      <c r="I38" s="716" t="n"/>
      <c r="J38" s="716" t="n"/>
      <c r="K38" s="716" t="n"/>
      <c r="L38" s="716" t="n"/>
      <c r="M38" s="716" t="n"/>
      <c r="N38" s="716" t="n"/>
      <c r="O38" s="716" t="n"/>
      <c r="P38" s="716" t="n"/>
      <c r="Q38" s="716" t="n"/>
      <c r="R38" s="716" t="n"/>
      <c r="S38" s="462" t="n"/>
      <c r="T38" s="716" t="n"/>
      <c r="U38" s="716" t="n"/>
      <c r="V38" s="716" t="n"/>
      <c r="W38" s="716" t="n"/>
      <c r="X38" s="450" t="inlineStr">
        <is>
          <t>项目</t>
        </is>
      </c>
      <c r="Y38" s="450" t="inlineStr">
        <is>
          <t>行次</t>
        </is>
      </c>
      <c r="Z38" s="1256" t="inlineStr">
        <is>
          <t>期末余额</t>
        </is>
      </c>
      <c r="AA38" s="1256" t="inlineStr">
        <is>
          <t>期初余额</t>
        </is>
      </c>
      <c r="AB38" s="716" t="inlineStr">
        <is>
          <t>隐藏</t>
        </is>
      </c>
      <c r="AC38" s="716" t="n"/>
    </row>
    <row r="39" hidden="1" ht="14.25" customFormat="1" customHeight="1" s="716">
      <c r="A39" s="716" t="n"/>
      <c r="B39" s="716" t="n"/>
      <c r="C39" s="716" t="n"/>
      <c r="D39" s="716" t="n"/>
      <c r="E39" s="716" t="n"/>
      <c r="F39" s="716" t="n"/>
      <c r="G39" s="716" t="n"/>
      <c r="H39" s="716" t="n"/>
      <c r="I39" s="716" t="n"/>
      <c r="J39" s="716" t="n"/>
      <c r="K39" s="716" t="n"/>
      <c r="L39" s="716" t="n"/>
      <c r="M39" s="716" t="n"/>
      <c r="N39" s="716" t="n"/>
      <c r="O39" s="716" t="n"/>
      <c r="P39" s="716" t="n"/>
      <c r="Q39" s="716" t="n"/>
      <c r="R39" s="716" t="n"/>
      <c r="S39" s="462" t="n"/>
      <c r="T39" s="716" t="n"/>
      <c r="U39" s="716" t="n"/>
      <c r="V39" s="716" t="n"/>
      <c r="W39" s="716" t="n"/>
      <c r="X39" s="451" t="inlineStr">
        <is>
          <t>time</t>
        </is>
      </c>
      <c r="Y39" s="451" t="n"/>
      <c r="Z39" s="648">
        <f>IF(_epmOfflineCondition_,"2025.03",EPMOlapMemberO(I11,"[C_TIME].[PARENTH1].[2025.03]","2025.03 - 2025.03","","000"))</f>
        <v/>
      </c>
      <c r="AA39" s="648">
        <f>IF(_epmOfflineCondition_,"2025.03",EPMOlapMemberO($I$11,"[C_TIME].[PARENTH1].[2025.03]","2025.03 - 2025.03","","000"))</f>
        <v/>
      </c>
      <c r="AB39" s="648">
        <f>IF(_epmOfflineCondition_,"2025.03",EPMOlapMemberO($I$11,"[C_TIME].[PARENTH1].[2025.03]","2025.03 - 2025.03","","000"))</f>
        <v/>
      </c>
      <c r="AC39" s="716" t="n"/>
    </row>
    <row r="40" hidden="1" ht="14.25" customFormat="1" customHeight="1" s="716">
      <c r="A40" s="716" t="n"/>
      <c r="B40" s="716" t="n"/>
      <c r="C40" s="716" t="n"/>
      <c r="D40" s="716" t="n"/>
      <c r="E40" s="716" t="n"/>
      <c r="F40" s="716" t="n"/>
      <c r="G40" s="716" t="n"/>
      <c r="H40" s="716" t="n"/>
      <c r="I40" s="716" t="n"/>
      <c r="J40" s="716" t="n"/>
      <c r="K40" s="716" t="n"/>
      <c r="L40" s="716" t="n"/>
      <c r="M40" s="716" t="n"/>
      <c r="N40" s="716" t="n"/>
      <c r="O40" s="716" t="n"/>
      <c r="P40" s="716" t="n"/>
      <c r="Q40" s="716" t="n"/>
      <c r="R40" s="716" t="n"/>
      <c r="S40" s="462" t="n"/>
      <c r="T40" s="716" t="n"/>
      <c r="U40" s="716" t="n"/>
      <c r="V40" s="716" t="n"/>
      <c r="W40" s="716" t="n"/>
      <c r="X40" s="451" t="inlineStr">
        <is>
          <t>category</t>
        </is>
      </c>
      <c r="Y40" s="451" t="n"/>
      <c r="Z40" s="182">
        <f>IF(_epmOfflineCondition_,"C1001",EPMOlapMemberO($Z$25,"[C_CATEGORY].[PARENTH1].[C1001]","C1001 - 实际数/决算数","","000"))</f>
        <v/>
      </c>
      <c r="AA40" s="182">
        <f>IF(_epmOfflineCondition_,"C1001",EPMOlapMemberO($Z$25,"[C_CATEGORY].[PARENTH1].[C1001]","C1001 - 实际数/决算数","","000"))</f>
        <v/>
      </c>
      <c r="AB40" s="182">
        <f>IF(_epmOfflineCondition_,"C1001",EPMOlapMemberO($Z$25,"[C_CATEGORY].[PARENTH1].[C1001]","C1001 - 实际数/决算数","","000"))</f>
        <v/>
      </c>
      <c r="AC40" s="716" t="n"/>
    </row>
    <row r="41" hidden="1" ht="13.5" customFormat="1" customHeight="1" s="716">
      <c r="A41" s="716" t="n"/>
      <c r="B41" s="716" t="n"/>
      <c r="C41" s="716" t="n"/>
      <c r="D41" s="716" t="n"/>
      <c r="E41" s="716" t="n"/>
      <c r="F41" s="716" t="n"/>
      <c r="G41" s="716" t="n"/>
      <c r="H41" s="716" t="n"/>
      <c r="I41" s="716" t="n"/>
      <c r="J41" s="716" t="n"/>
      <c r="K41" s="716" t="n"/>
      <c r="L41" s="716" t="n"/>
      <c r="M41" s="716" t="n"/>
      <c r="N41" s="716" t="n"/>
      <c r="O41" s="716" t="n"/>
      <c r="P41" s="716" t="n"/>
      <c r="Q41" s="716" t="n"/>
      <c r="R41" s="716" t="n"/>
      <c r="S41" s="462" t="n"/>
      <c r="T41" s="716" t="n"/>
      <c r="U41" s="716" t="n"/>
      <c r="V41" s="716" t="n"/>
      <c r="W41" s="716" t="n"/>
      <c r="X41" s="451" t="inlineStr">
        <is>
          <t>AUDITTRAIL</t>
        </is>
      </c>
      <c r="Y41" s="451" t="n"/>
      <c r="Z41" s="182">
        <f>IF(_epmOfflineCondition_,"DALL",EPMOlapMemberO($Z$29,"[C_AUDITTRAIL].[PARENTH1].[DALL]","DALL - 合并后","","000"))</f>
        <v/>
      </c>
      <c r="AA41" s="182">
        <f>IF(_epmOfflineCondition_,"DALL",EPMOlapMemberO($Z$29,"[C_AUDITTRAIL].[PARENTH1].[DALL]","DALL - 合并后","","000"))</f>
        <v/>
      </c>
      <c r="AB41" s="182">
        <f>IF(_epmOfflineCondition_,"DALL",EPMOlapMemberO($Z$29,"[C_AUDITTRAIL].[PARENTH1].[DALL]","DALL - 合并后","","000"))</f>
        <v/>
      </c>
      <c r="AC41" s="716" t="n"/>
    </row>
    <row r="42" hidden="1" ht="13.5" customFormat="1" customHeight="1" s="716">
      <c r="A42" s="716" t="n"/>
      <c r="B42" s="716" t="n"/>
      <c r="C42" s="716" t="n"/>
      <c r="D42" s="716" t="n"/>
      <c r="E42" s="716" t="n"/>
      <c r="F42" s="716" t="n"/>
      <c r="G42" s="716" t="n"/>
      <c r="H42" s="716" t="n"/>
      <c r="I42" s="716" t="n"/>
      <c r="J42" s="716" t="n"/>
      <c r="K42" s="716" t="n"/>
      <c r="L42" s="716" t="n"/>
      <c r="M42" s="716" t="n"/>
      <c r="N42" s="716" t="n"/>
      <c r="O42" s="716" t="n"/>
      <c r="P42" s="716" t="n"/>
      <c r="Q42" s="716" t="n"/>
      <c r="R42" s="716" t="n"/>
      <c r="S42" s="462" t="n"/>
      <c r="T42" s="716" t="n"/>
      <c r="U42" s="716" t="n"/>
      <c r="V42" s="716" t="n"/>
      <c r="W42" s="716" t="n"/>
      <c r="X42" s="451" t="inlineStr">
        <is>
          <t>flow</t>
        </is>
      </c>
      <c r="Y42" s="451" t="n"/>
      <c r="Z42" s="182">
        <f>IF(_epmOfflineCondition_,"F20",EPMOlapMemberO(Z28,"[C_FLOW].[PARENTH1].[F20]","F20 - 本期增加","","000"))</f>
        <v/>
      </c>
      <c r="AA42" s="182">
        <f>IF(_epmOfflineCondition_,"F00T",EPMOlapMemberO(AA28,"[C_FLOW].[PARENTH1].[F00T]","F00T - 期初金额","","000"))</f>
        <v/>
      </c>
      <c r="AB42" s="716">
        <f>IF(_epmOfflineCondition_,"F30",EPMOlapMemberO(AB28,"[C_FLOW].[PARENTH1].[F30]","F30 - 本期减少","","000"))</f>
        <v/>
      </c>
      <c r="AC42" s="716" t="n"/>
    </row>
    <row r="43" hidden="1" ht="13.5" customFormat="1" customHeight="1" s="716">
      <c r="A43" s="716" t="n"/>
      <c r="B43" s="716" t="n"/>
      <c r="C43" s="716" t="n"/>
      <c r="D43" s="716" t="n"/>
      <c r="E43" s="716" t="n"/>
      <c r="F43" s="716" t="n"/>
      <c r="G43" s="716" t="n"/>
      <c r="H43" s="716" t="n"/>
      <c r="I43" s="716" t="n"/>
      <c r="J43" s="716" t="n"/>
      <c r="K43" s="716" t="n"/>
      <c r="L43" s="716" t="n"/>
      <c r="M43" s="716" t="n"/>
      <c r="N43" s="716" t="n"/>
      <c r="O43" s="716" t="n"/>
      <c r="P43" s="716" t="n"/>
      <c r="Q43" s="716" t="n"/>
      <c r="R43" s="716" t="n"/>
      <c r="S43" s="462" t="n"/>
      <c r="T43" s="716" t="n"/>
      <c r="U43" s="716" t="n"/>
      <c r="V43" s="716" t="n"/>
      <c r="W43" s="716" t="n"/>
      <c r="X43" s="451" t="inlineStr">
        <is>
          <t>measures</t>
        </is>
      </c>
      <c r="Y43" s="451" t="n"/>
      <c r="Z43" s="182">
        <f>IF(_epmOfflineCondition_,"YTD",EPMOlapMemberO($Z$27,"[MEASURES].[].[YTD]","YTD - Year To Date","","000"))</f>
        <v/>
      </c>
      <c r="AA43" s="182">
        <f>IF(_epmOfflineCondition_,"YTD",EPMOlapMemberO($Z$27,"[MEASURES].[].[YTD]","YTD - Year To Date","","000"))</f>
        <v/>
      </c>
      <c r="AB43" s="182">
        <f>IF(_epmOfflineCondition_,"YTD",EPMOlapMemberO($Z$27,"[MEASURES].[].[YTD]","YTD - Year To Date","","000"))</f>
        <v/>
      </c>
      <c r="AC43" s="716" t="n"/>
    </row>
    <row r="44" ht="14.85" customFormat="1" customHeight="1" s="716">
      <c r="A44" s="716" t="n"/>
      <c r="B44" s="716" t="n"/>
      <c r="C44" s="716" t="n"/>
      <c r="D44" s="716" t="n"/>
      <c r="E44" s="716" t="n"/>
      <c r="F44" s="716" t="n"/>
      <c r="G44" s="716" t="n"/>
      <c r="H44" s="716" t="n"/>
      <c r="I44" s="716" t="n"/>
      <c r="J44" s="716" t="n"/>
      <c r="K44" s="716" t="n"/>
      <c r="L44" s="716" t="n"/>
      <c r="M44" s="716" t="n"/>
      <c r="N44" s="716" t="n"/>
      <c r="O44" s="716" t="n"/>
      <c r="P44" s="716" t="n"/>
      <c r="Q44" s="716" t="n"/>
      <c r="R44" s="716" t="n"/>
      <c r="S44" s="462">
        <f>IF(_epmOfflineCondition_,"银行承兑汇票保证金",EPMMemberDesc(U44))</f>
        <v/>
      </c>
      <c r="T44" s="716" t="n"/>
      <c r="U44" s="716" t="inlineStr">
        <is>
          <t>A003080101</t>
        </is>
      </c>
      <c r="V44" s="459">
        <f>IF(_epmOfflineCondition_,"A003080101",EPMOlapMemberO(U44,"[C_ACCOUNT].[PARENTH1].[A003080101]","A003080101 - 银行承兑汇票保证金","","000"))</f>
        <v/>
      </c>
      <c r="W44" s="462" t="n"/>
      <c r="X44" s="585" t="inlineStr">
        <is>
          <t>银行承兑汇票保证金</t>
        </is>
      </c>
      <c r="Y44" s="649">
        <f>ROW()-43</f>
        <v/>
      </c>
      <c r="Z44" s="1320" t="n"/>
      <c r="AA44" s="1320" t="n"/>
      <c r="AB44" s="1308">
        <f>-AA44</f>
        <v/>
      </c>
      <c r="AC44" s="716" t="n"/>
    </row>
    <row r="45">
      <c r="A45" s="384" t="n"/>
      <c r="B45" s="384" t="n"/>
      <c r="C45" s="384" t="n"/>
      <c r="D45" s="384" t="n"/>
      <c r="E45" s="384" t="n"/>
      <c r="F45" s="384" t="n"/>
      <c r="G45" s="384" t="n"/>
      <c r="H45" s="384" t="n"/>
      <c r="I45" s="384" t="n"/>
      <c r="J45" s="384" t="n"/>
      <c r="K45" s="384" t="n"/>
      <c r="L45" s="384" t="n"/>
      <c r="M45" s="384" t="n"/>
      <c r="N45" s="384" t="n"/>
      <c r="O45" s="384" t="n"/>
      <c r="P45" s="384" t="n"/>
      <c r="Q45" s="384" t="n"/>
      <c r="R45" s="384" t="n"/>
      <c r="S45" s="462">
        <f>IF(_epmOfflineCondition_,"信用证保证金",EPMMemberDesc(U45))</f>
        <v/>
      </c>
      <c r="T45" s="384" t="n"/>
      <c r="U45" s="384" t="inlineStr">
        <is>
          <t>A003080102</t>
        </is>
      </c>
      <c r="V45" s="459">
        <f>IF(_epmOfflineCondition_,"A003080102",EPMOlapMemberO(U45,"[C_ACCOUNT].[PARENTH1].[A003080102]","A003080102 - 信用证保证金","","000"))</f>
        <v/>
      </c>
      <c r="W45" s="384" t="n"/>
      <c r="X45" s="585" t="inlineStr">
        <is>
          <t>信用证保证金</t>
        </is>
      </c>
      <c r="Y45" s="649">
        <f>ROW()-43</f>
        <v/>
      </c>
      <c r="Z45" s="1320" t="n"/>
      <c r="AA45" s="1320" t="n"/>
      <c r="AB45" s="1308">
        <f>-AA45</f>
        <v/>
      </c>
      <c r="AC45" s="384" t="n"/>
    </row>
    <row r="46">
      <c r="A46" s="384" t="n"/>
      <c r="B46" s="384" t="n"/>
      <c r="C46" s="384" t="n"/>
      <c r="D46" s="384" t="n"/>
      <c r="E46" s="384" t="n"/>
      <c r="F46" s="384" t="n"/>
      <c r="G46" s="384" t="n"/>
      <c r="H46" s="384" t="n"/>
      <c r="I46" s="384" t="n"/>
      <c r="J46" s="384" t="n"/>
      <c r="K46" s="384" t="n"/>
      <c r="L46" s="384" t="n"/>
      <c r="M46" s="384" t="n"/>
      <c r="N46" s="384" t="n"/>
      <c r="O46" s="384" t="n"/>
      <c r="P46" s="384" t="n"/>
      <c r="Q46" s="384" t="n"/>
      <c r="R46" s="384" t="n"/>
      <c r="S46" s="462">
        <f>IF(_epmOfflineCondition_,"履约保证金",EPMMemberDesc(U46))</f>
        <v/>
      </c>
      <c r="T46" s="384" t="n"/>
      <c r="U46" s="384" t="inlineStr">
        <is>
          <t>A003080103</t>
        </is>
      </c>
      <c r="V46" s="459">
        <f>IF(_epmOfflineCondition_,"A003080103",EPMOlapMemberO(U46,"[C_ACCOUNT].[PARENTH1].[A003080103]","A003080103 - 履约保证金","","000"))</f>
        <v/>
      </c>
      <c r="W46" s="384" t="n"/>
      <c r="X46" s="585" t="inlineStr">
        <is>
          <t>履约保证金</t>
        </is>
      </c>
      <c r="Y46" s="649">
        <f>ROW()-43</f>
        <v/>
      </c>
      <c r="Z46" s="1320" t="n"/>
      <c r="AA46" s="1320" t="n"/>
      <c r="AB46" s="1308">
        <f>-AA46</f>
        <v/>
      </c>
      <c r="AC46" s="384" t="n"/>
    </row>
    <row r="47">
      <c r="A47" s="384" t="n"/>
      <c r="B47" s="384" t="n"/>
      <c r="C47" s="384" t="n"/>
      <c r="D47" s="384" t="n"/>
      <c r="E47" s="384" t="n"/>
      <c r="F47" s="384" t="n"/>
      <c r="G47" s="384" t="n"/>
      <c r="H47" s="384" t="n"/>
      <c r="I47" s="384" t="n"/>
      <c r="J47" s="384" t="n"/>
      <c r="K47" s="384" t="n"/>
      <c r="L47" s="384" t="n"/>
      <c r="M47" s="384" t="n"/>
      <c r="N47" s="384" t="n"/>
      <c r="O47" s="384" t="n"/>
      <c r="P47" s="384" t="n"/>
      <c r="Q47" s="384" t="n"/>
      <c r="R47" s="384" t="n"/>
      <c r="S47" s="462">
        <f>IF(_epmOfflineCondition_,"用于担保的定期存款或通知存款",EPMMemberDesc(U47))</f>
        <v/>
      </c>
      <c r="T47" s="384" t="n"/>
      <c r="U47" s="384" t="inlineStr">
        <is>
          <t>A003080104</t>
        </is>
      </c>
      <c r="V47" s="459">
        <f>IF(_epmOfflineCondition_,"A003080104",EPMOlapMemberO(U47,"[C_ACCOUNT].[PARENTH1].[A003080104]","A003080104 - 用于担保的定期存款或通知存款","","000"))</f>
        <v/>
      </c>
      <c r="W47" s="384" t="n"/>
      <c r="X47" s="585" t="inlineStr">
        <is>
          <t>用于担保的定期存款或通知存款</t>
        </is>
      </c>
      <c r="Y47" s="649">
        <f>ROW()-43</f>
        <v/>
      </c>
      <c r="Z47" s="1320" t="n"/>
      <c r="AA47" s="1320" t="n"/>
      <c r="AB47" s="1308">
        <f>-AA47</f>
        <v/>
      </c>
      <c r="AC47" s="384" t="n"/>
    </row>
    <row r="48">
      <c r="A48" s="384" t="n"/>
      <c r="B48" s="384" t="n"/>
      <c r="C48" s="384" t="n"/>
      <c r="D48" s="384" t="n"/>
      <c r="E48" s="384" t="n"/>
      <c r="F48" s="384" t="n"/>
      <c r="G48" s="384" t="n"/>
      <c r="H48" s="384" t="n"/>
      <c r="I48" s="384" t="n"/>
      <c r="J48" s="384" t="n"/>
      <c r="K48" s="384" t="n"/>
      <c r="L48" s="384" t="n"/>
      <c r="M48" s="384" t="n"/>
      <c r="N48" s="384" t="n"/>
      <c r="O48" s="384" t="n"/>
      <c r="P48" s="384" t="n"/>
      <c r="Q48" s="384" t="n"/>
      <c r="R48" s="384" t="n"/>
      <c r="S48" s="462">
        <f>IF(_epmOfflineCondition_,"放在境外且资金汇回受到限制的款项",EPMMemberDesc(U48))</f>
        <v/>
      </c>
      <c r="T48" s="384" t="n"/>
      <c r="U48" s="384" t="inlineStr">
        <is>
          <t>A003080105</t>
        </is>
      </c>
      <c r="V48" s="459">
        <f>IF(_epmOfflineCondition_,"A003080105",EPMOlapMemberO(U48,"[C_ACCOUNT].[PARENTH1].[A003080105]","A003080105 - 放在境外且资金汇回受到限制的款项","","000"))</f>
        <v/>
      </c>
      <c r="W48" s="384" t="n"/>
      <c r="X48" s="585" t="inlineStr">
        <is>
          <t>放在境外且资金汇回受到限制的款项</t>
        </is>
      </c>
      <c r="Y48" s="649">
        <f>ROW()-43</f>
        <v/>
      </c>
      <c r="Z48" s="1320" t="n"/>
      <c r="AA48" s="1320" t="n"/>
      <c r="AB48" s="1308">
        <f>-AA48</f>
        <v/>
      </c>
      <c r="AC48" s="384" t="n"/>
    </row>
    <row r="49">
      <c r="A49" s="384" t="n"/>
      <c r="B49" s="384" t="n"/>
      <c r="C49" s="384" t="n"/>
      <c r="D49" s="384" t="n"/>
      <c r="E49" s="384" t="n"/>
      <c r="F49" s="384" t="n"/>
      <c r="G49" s="384" t="n"/>
      <c r="H49" s="384" t="n"/>
      <c r="I49" s="384" t="n"/>
      <c r="J49" s="384" t="n"/>
      <c r="K49" s="384" t="n"/>
      <c r="L49" s="384" t="n"/>
      <c r="M49" s="384" t="n"/>
      <c r="N49" s="384" t="n"/>
      <c r="O49" s="384" t="n"/>
      <c r="P49" s="384" t="n"/>
      <c r="Q49" s="384" t="n"/>
      <c r="R49" s="384" t="n"/>
      <c r="S49" s="462">
        <f>IF(_epmOfflineCondition_,"存放中央银行法定准备金",EPMMemberDesc(U49))</f>
        <v/>
      </c>
      <c r="T49" s="384" t="n"/>
      <c r="U49" s="384" t="inlineStr">
        <is>
          <t>A003080106</t>
        </is>
      </c>
      <c r="V49" s="459">
        <f>IF(_epmOfflineCondition_,"A003080106",EPMOlapMemberO(U49,"[C_ACCOUNT].[PARENTH1].[A003080106]","A003080106 - 存放中央银行法定准备金","","000"))</f>
        <v/>
      </c>
      <c r="W49" s="384" t="n"/>
      <c r="X49" s="585" t="inlineStr">
        <is>
          <t>存放中央银行法定准备金</t>
        </is>
      </c>
      <c r="Y49" s="649">
        <f>ROW()-43</f>
        <v/>
      </c>
      <c r="Z49" s="1320" t="n"/>
      <c r="AA49" s="1320" t="n"/>
      <c r="AB49" s="1308">
        <f>-AA49</f>
        <v/>
      </c>
      <c r="AC49" s="384" t="n"/>
    </row>
    <row r="50">
      <c r="A50" s="384" t="n"/>
      <c r="B50" s="384" t="n"/>
      <c r="C50" s="384" t="n"/>
      <c r="D50" s="384" t="n"/>
      <c r="E50" s="384" t="n"/>
      <c r="F50" s="384" t="n"/>
      <c r="G50" s="384" t="n"/>
      <c r="H50" s="384" t="n"/>
      <c r="I50" s="384" t="n"/>
      <c r="J50" s="384" t="n"/>
      <c r="K50" s="384" t="n"/>
      <c r="L50" s="384" t="n"/>
      <c r="M50" s="384" t="n"/>
      <c r="N50" s="384" t="n"/>
      <c r="O50" s="384" t="n"/>
      <c r="P50" s="384" t="n"/>
      <c r="Q50" s="384" t="n"/>
      <c r="R50" s="384" t="n"/>
      <c r="S50" s="462">
        <f>IF(_epmOfflineCondition_,"共管账户",EPMMemberDesc(U50))</f>
        <v/>
      </c>
      <c r="T50" s="384" t="n"/>
      <c r="U50" s="384" t="inlineStr">
        <is>
          <t>A003080107</t>
        </is>
      </c>
      <c r="V50" s="459">
        <f>IF(_epmOfflineCondition_,"A003080107",EPMOlapMemberO(U50,"[C_ACCOUNT].[PARENTH1].[A003080107]","A003080107 - 共管账户","","000"))</f>
        <v/>
      </c>
      <c r="W50" s="384" t="n"/>
      <c r="X50" s="585" t="inlineStr">
        <is>
          <t>共管账户</t>
        </is>
      </c>
      <c r="Y50" s="649">
        <f>ROW()-43</f>
        <v/>
      </c>
      <c r="Z50" s="1320" t="n"/>
      <c r="AA50" s="1320" t="n"/>
      <c r="AB50" s="1308">
        <f>-AA50</f>
        <v/>
      </c>
      <c r="AC50" s="384" t="n"/>
    </row>
    <row r="51">
      <c r="A51" s="384" t="n"/>
      <c r="B51" s="384" t="n"/>
      <c r="C51" s="384" t="n"/>
      <c r="D51" s="384" t="n"/>
      <c r="E51" s="384" t="n"/>
      <c r="F51" s="384" t="n"/>
      <c r="G51" s="384" t="n"/>
      <c r="H51" s="384" t="n"/>
      <c r="I51" s="384" t="n"/>
      <c r="J51" s="384" t="n"/>
      <c r="K51" s="384" t="n"/>
      <c r="L51" s="384" t="n"/>
      <c r="M51" s="384" t="n"/>
      <c r="N51" s="384" t="n"/>
      <c r="O51" s="384" t="n"/>
      <c r="P51" s="384" t="n"/>
      <c r="Q51" s="384" t="n"/>
      <c r="R51" s="384" t="n"/>
      <c r="S51" s="462">
        <f>IF(_epmOfflineCondition_,"贷款保证金",EPMMemberDesc(U51))</f>
        <v/>
      </c>
      <c r="T51" s="384" t="n"/>
      <c r="U51" s="384" t="inlineStr">
        <is>
          <t>A003080108</t>
        </is>
      </c>
      <c r="V51" s="459">
        <f>IF(_epmOfflineCondition_,"A003080108",EPMOlapMemberO(U51,"[C_ACCOUNT].[PARENTH1].[A003080108]","A003080108 - 贷款保证金","","000"))</f>
        <v/>
      </c>
      <c r="W51" s="384" t="n"/>
      <c r="X51" s="585" t="inlineStr">
        <is>
          <t>贷款保证金</t>
        </is>
      </c>
      <c r="Y51" s="649">
        <f>ROW()-43</f>
        <v/>
      </c>
      <c r="Z51" s="1320" t="n"/>
      <c r="AA51" s="1320" t="n"/>
      <c r="AB51" s="1308">
        <f>-AA51</f>
        <v/>
      </c>
      <c r="AC51" s="384" t="n"/>
    </row>
    <row r="52">
      <c r="A52" s="384" t="n"/>
      <c r="B52" s="384" t="n"/>
      <c r="C52" s="384" t="n"/>
      <c r="D52" s="384" t="n"/>
      <c r="E52" s="384" t="n"/>
      <c r="F52" s="384" t="n"/>
      <c r="G52" s="384" t="n"/>
      <c r="H52" s="384" t="n"/>
      <c r="I52" s="384" t="n"/>
      <c r="J52" s="384" t="n"/>
      <c r="K52" s="384" t="n"/>
      <c r="L52" s="384" t="n"/>
      <c r="M52" s="384" t="n"/>
      <c r="N52" s="384" t="n"/>
      <c r="O52" s="384" t="n"/>
      <c r="P52" s="384" t="n"/>
      <c r="Q52" s="384" t="n"/>
      <c r="R52" s="384" t="n"/>
      <c r="S52" s="462">
        <f>IF(_epmOfflineCondition_,"冻结受限、监管账户",EPMMemberDesc(U52))</f>
        <v/>
      </c>
      <c r="T52" s="384" t="n"/>
      <c r="U52" s="384" t="inlineStr">
        <is>
          <t>A003080109</t>
        </is>
      </c>
      <c r="V52" s="459">
        <f>IF(_epmOfflineCondition_,"A003080109",EPMOlapMemberO(U52,"[C_ACCOUNT].[PARENTH1].[A003080109]","A003080109 - 冻结受限、监管账户","","000"))</f>
        <v/>
      </c>
      <c r="W52" s="384" t="n"/>
      <c r="X52" s="585" t="inlineStr">
        <is>
          <t>冻结受限、监管账户</t>
        </is>
      </c>
      <c r="Y52" s="649">
        <f>ROW()-43</f>
        <v/>
      </c>
      <c r="Z52" s="1320" t="n"/>
      <c r="AA52" s="1320" t="n"/>
      <c r="AB52" s="1308">
        <f>-AA52</f>
        <v/>
      </c>
      <c r="AC52" s="384" t="n"/>
    </row>
    <row r="53">
      <c r="A53" s="384" t="n"/>
      <c r="B53" s="384" t="n"/>
      <c r="C53" s="384" t="n"/>
      <c r="D53" s="384" t="n"/>
      <c r="E53" s="384" t="n"/>
      <c r="F53" s="384" t="n"/>
      <c r="G53" s="384" t="n"/>
      <c r="H53" s="384" t="n"/>
      <c r="I53" s="384" t="n"/>
      <c r="J53" s="384" t="n"/>
      <c r="K53" s="384" t="n"/>
      <c r="L53" s="384" t="n"/>
      <c r="M53" s="384" t="n"/>
      <c r="N53" s="384" t="n"/>
      <c r="O53" s="384" t="n"/>
      <c r="P53" s="384" t="n"/>
      <c r="Q53" s="384" t="n"/>
      <c r="R53" s="384" t="n"/>
      <c r="S53" s="462">
        <f>IF(_epmOfflineCondition_,"用于按揭客户担保的货币资金",EPMMemberDesc(U53))</f>
        <v/>
      </c>
      <c r="T53" s="384" t="n"/>
      <c r="U53" s="384" t="inlineStr">
        <is>
          <t>A003080110</t>
        </is>
      </c>
      <c r="V53" s="459">
        <f>IF(_epmOfflineCondition_,"A003080110",EPMOlapMemberO(U53,"[C_ACCOUNT].[PARENTH1].[A003080110]","A003080110 - 用于按揭客户担保的货币资金","","000"))</f>
        <v/>
      </c>
      <c r="W53" s="384" t="n"/>
      <c r="X53" s="585" t="inlineStr">
        <is>
          <t>用于按揭客户担保的货币资金</t>
        </is>
      </c>
      <c r="Y53" s="649">
        <f>ROW()-43</f>
        <v/>
      </c>
      <c r="Z53" s="1320" t="n"/>
      <c r="AA53" s="1320" t="n"/>
      <c r="AB53" s="1308">
        <f>-AA53</f>
        <v/>
      </c>
      <c r="AC53" s="384" t="n"/>
    </row>
    <row r="54">
      <c r="A54" s="384" t="n"/>
      <c r="B54" s="384" t="n"/>
      <c r="C54" s="384" t="n"/>
      <c r="D54" s="384" t="n"/>
      <c r="E54" s="384" t="n"/>
      <c r="F54" s="384" t="n"/>
      <c r="G54" s="384" t="n"/>
      <c r="H54" s="384" t="n"/>
      <c r="I54" s="384" t="n"/>
      <c r="J54" s="384" t="n"/>
      <c r="K54" s="384" t="n"/>
      <c r="L54" s="384" t="n"/>
      <c r="M54" s="384" t="n"/>
      <c r="N54" s="384" t="n"/>
      <c r="O54" s="384" t="n"/>
      <c r="P54" s="384" t="n"/>
      <c r="Q54" s="384" t="n"/>
      <c r="R54" s="384" t="n"/>
      <c r="S54" s="462">
        <f>IF(_epmOfflineCondition_,"复垦保证金",EPMMemberDesc(U54))</f>
        <v/>
      </c>
      <c r="T54" s="384" t="n"/>
      <c r="U54" s="384" t="inlineStr">
        <is>
          <t>A003080111</t>
        </is>
      </c>
      <c r="V54" s="459">
        <f>IF(_epmOfflineCondition_,"A003080111",EPMOlapMemberO(U54,"[C_ACCOUNT].[PARENTH1].[A003080111]","A003080111 - 复垦保证金","","000"))</f>
        <v/>
      </c>
      <c r="W54" s="384" t="n"/>
      <c r="X54" s="585" t="inlineStr">
        <is>
          <t>复垦保证金</t>
        </is>
      </c>
      <c r="Y54" s="649">
        <f>ROW()-43</f>
        <v/>
      </c>
      <c r="Z54" s="1320" t="n"/>
      <c r="AA54" s="1320" t="n"/>
      <c r="AB54" s="1308">
        <f>-AA54</f>
        <v/>
      </c>
      <c r="AC54" s="384" t="n"/>
    </row>
    <row r="55">
      <c r="A55" s="384" t="n"/>
      <c r="B55" s="384" t="n"/>
      <c r="C55" s="384" t="n"/>
      <c r="D55" s="384" t="n"/>
      <c r="E55" s="384" t="n"/>
      <c r="F55" s="384" t="n"/>
      <c r="G55" s="384" t="n"/>
      <c r="H55" s="384" t="n"/>
      <c r="I55" s="384" t="n"/>
      <c r="J55" s="384" t="n"/>
      <c r="K55" s="384" t="n"/>
      <c r="L55" s="384" t="n"/>
      <c r="M55" s="384" t="n"/>
      <c r="N55" s="384" t="n"/>
      <c r="O55" s="384" t="n"/>
      <c r="P55" s="384" t="n"/>
      <c r="Q55" s="384" t="n"/>
      <c r="R55" s="384" t="n"/>
      <c r="S55" s="462">
        <f>IF(_epmOfflineCondition_,"受限资金-其他",EPMMemberDesc(U55))</f>
        <v/>
      </c>
      <c r="T55" s="384" t="n"/>
      <c r="U55" s="384" t="inlineStr">
        <is>
          <t>A003080199</t>
        </is>
      </c>
      <c r="V55" s="459">
        <f>IF(_epmOfflineCondition_,"A003080199",EPMOlapMemberO(U55,"[C_ACCOUNT].[PARENTH1].[A003080199]","A003080199 - 受限资金-其他","","000"))</f>
        <v/>
      </c>
      <c r="W55" s="384" t="n"/>
      <c r="X55" s="585" t="inlineStr">
        <is>
          <t>其他</t>
        </is>
      </c>
      <c r="Y55" s="649">
        <f>ROW()-43</f>
        <v/>
      </c>
      <c r="Z55" s="1320" t="inlineStr"/>
      <c r="AA55" s="1320" t="inlineStr"/>
      <c r="AB55" s="1308">
        <f>-AA55</f>
        <v/>
      </c>
      <c r="AC55" s="384" t="n"/>
    </row>
    <row r="56">
      <c r="A56" s="384" t="n"/>
      <c r="B56" s="384" t="n"/>
      <c r="C56" s="384" t="n"/>
      <c r="D56" s="384" t="n"/>
      <c r="E56" s="384" t="n"/>
      <c r="F56" s="384" t="n"/>
      <c r="G56" s="384" t="n"/>
      <c r="H56" s="384" t="n"/>
      <c r="I56" s="384" t="n"/>
      <c r="J56" s="384" t="n"/>
      <c r="K56" s="384" t="n"/>
      <c r="L56" s="384" t="n"/>
      <c r="M56" s="384" t="n"/>
      <c r="N56" s="384" t="n"/>
      <c r="O56" s="384" t="n"/>
      <c r="P56" s="384" t="n"/>
      <c r="Q56" s="384" t="n"/>
      <c r="R56" s="384" t="n"/>
      <c r="S56" s="462">
        <f>IF(_epmOfflineCondition_,"受限资金合计",EPMMemberDesc(U56))</f>
        <v/>
      </c>
      <c r="T56" s="384" t="n"/>
      <c r="U56" s="384" t="inlineStr">
        <is>
          <t>A0030801</t>
        </is>
      </c>
      <c r="V56" s="535">
        <f>IF(_epmOfflineCondition_,"A0030801",EPMOlapMemberO(U56,"[C_ACCOUNT].[PARENTH1].[A0030801]","A0030801 - 受限资金合计","","000"))</f>
        <v/>
      </c>
      <c r="W56" s="384" t="n"/>
      <c r="X56" s="463" t="inlineStr">
        <is>
          <t>合    计</t>
        </is>
      </c>
      <c r="Y56" s="649">
        <f>ROW()-43</f>
        <v/>
      </c>
      <c r="Z56" s="1321">
        <f>SUM(Z44:Z55)</f>
        <v/>
      </c>
      <c r="AA56" s="1321">
        <f>SUM(AA44:AA55)</f>
        <v/>
      </c>
      <c r="AB56" s="1308">
        <f>-AA56</f>
        <v/>
      </c>
      <c r="AC56" s="384" t="n"/>
    </row>
    <row r="57" hidden="1" s="1181">
      <c r="A57" s="384" t="n"/>
      <c r="B57" s="384" t="n"/>
      <c r="C57" s="384" t="n"/>
      <c r="D57" s="384" t="n"/>
      <c r="E57" s="384" t="n"/>
      <c r="F57" s="384" t="n"/>
      <c r="G57" s="384" t="n"/>
      <c r="H57" s="384" t="n"/>
      <c r="I57" s="384" t="n"/>
      <c r="J57" s="384" t="n"/>
      <c r="K57" s="384" t="n"/>
      <c r="L57" s="384" t="n"/>
      <c r="M57" s="384" t="n"/>
      <c r="N57" s="384" t="n"/>
      <c r="O57" s="384" t="n"/>
      <c r="P57" s="384" t="n"/>
      <c r="Q57" s="384" t="n"/>
      <c r="R57" s="384" t="n"/>
      <c r="S57" s="462" t="n"/>
      <c r="T57" s="384" t="n"/>
      <c r="U57" s="384" t="n"/>
      <c r="V57" s="462" t="n"/>
      <c r="W57" s="384" t="n"/>
      <c r="X57" s="38" t="n"/>
      <c r="Y57" s="38" t="n"/>
      <c r="Z57" s="1322" t="n"/>
      <c r="AA57" s="1322" t="n"/>
      <c r="AB57" s="1308" t="n"/>
      <c r="AC57" s="384" t="n"/>
    </row>
    <row r="58" hidden="1" s="1181">
      <c r="A58" s="384" t="n"/>
      <c r="B58" s="384" t="n"/>
      <c r="C58" s="384" t="n"/>
      <c r="D58" s="384" t="n"/>
      <c r="E58" s="384" t="n"/>
      <c r="F58" s="384" t="n"/>
      <c r="G58" s="384" t="n"/>
      <c r="H58" s="384" t="n"/>
      <c r="I58" s="384" t="n"/>
      <c r="J58" s="384" t="n"/>
      <c r="K58" s="384" t="n"/>
      <c r="L58" s="384" t="n"/>
      <c r="M58" s="384" t="n"/>
      <c r="N58" s="384" t="n"/>
      <c r="O58" s="384" t="n"/>
      <c r="P58" s="384" t="n"/>
      <c r="Q58" s="384" t="n"/>
      <c r="R58" s="384" t="n"/>
      <c r="S58" s="462" t="n"/>
      <c r="T58" s="384" t="n"/>
      <c r="U58" s="384" t="n"/>
      <c r="V58" s="462" t="n"/>
      <c r="W58" s="384" t="n"/>
      <c r="X58" s="384" t="n"/>
      <c r="Y58" s="384" t="n"/>
      <c r="Z58" s="1322" t="n"/>
      <c r="AA58" s="1322" t="n"/>
      <c r="AB58" s="1308" t="n"/>
      <c r="AC58" s="384" t="n"/>
    </row>
    <row r="59">
      <c r="A59" s="384" t="n"/>
      <c r="B59" s="384" t="n"/>
      <c r="C59" s="384" t="n"/>
      <c r="D59" s="384" t="n"/>
      <c r="E59" s="384" t="n"/>
      <c r="F59" s="384" t="n"/>
      <c r="G59" s="384" t="n"/>
      <c r="H59" s="384" t="n"/>
      <c r="I59" s="384" t="n"/>
      <c r="J59" s="384" t="n"/>
      <c r="K59" s="384" t="n"/>
      <c r="L59" s="384" t="n"/>
      <c r="M59" s="384" t="n"/>
      <c r="N59" s="384" t="n"/>
      <c r="O59" s="384" t="n"/>
      <c r="P59" s="384" t="n"/>
      <c r="Q59" s="384" t="n"/>
      <c r="R59" s="384" t="n"/>
      <c r="S59" s="462" t="n"/>
      <c r="T59" s="384" t="n"/>
      <c r="U59" s="384" t="n"/>
      <c r="V59" s="462" t="n"/>
      <c r="W59" s="384" t="n"/>
      <c r="X59" s="384" t="inlineStr">
        <is>
          <t>补充资料：</t>
        </is>
      </c>
      <c r="Y59" s="384" t="n"/>
      <c r="Z59" s="1322" t="n"/>
      <c r="AA59" s="1322" t="n"/>
      <c r="AB59" s="1308" t="n"/>
      <c r="AC59" s="384" t="n"/>
    </row>
    <row r="60">
      <c r="A60" s="384" t="n"/>
      <c r="B60" s="384" t="n"/>
      <c r="C60" s="384" t="n"/>
      <c r="D60" s="384" t="n"/>
      <c r="E60" s="384" t="n"/>
      <c r="F60" s="384" t="n"/>
      <c r="G60" s="384" t="n"/>
      <c r="H60" s="384" t="n"/>
      <c r="I60" s="384" t="n"/>
      <c r="J60" s="384" t="n"/>
      <c r="K60" s="384" t="n"/>
      <c r="L60" s="384" t="n"/>
      <c r="M60" s="384" t="n"/>
      <c r="N60" s="384" t="n"/>
      <c r="O60" s="384" t="n"/>
      <c r="P60" s="384" t="n"/>
      <c r="Q60" s="384" t="n"/>
      <c r="R60" s="384" t="n"/>
      <c r="S60" s="462">
        <f>IF(_epmOfflineCondition_,"货币资金中包含的应收存款利息",EPMMemberDesc(U60))</f>
        <v/>
      </c>
      <c r="T60" s="384" t="n"/>
      <c r="U60" s="384" t="inlineStr">
        <is>
          <t>A003080113</t>
        </is>
      </c>
      <c r="V60" s="462">
        <f>IF(_epmOfflineCondition_,"A003080113",EPMOlapMemberO(U60,"[C_ACCOUNT].[PARENTH1].[A003080113]","A003080113 - 货币资金中包含的应收存款利息","","000"))</f>
        <v/>
      </c>
      <c r="W60" s="384" t="n"/>
      <c r="X60" s="585" t="inlineStr">
        <is>
          <t>货币资金中包含的应收存款利息</t>
        </is>
      </c>
      <c r="Y60" s="38" t="n"/>
      <c r="Z60" s="1320" t="n"/>
      <c r="AA60" s="1320" t="n"/>
      <c r="AB60" s="1308">
        <f>-AA60</f>
        <v/>
      </c>
      <c r="AC60" s="384" t="n"/>
    </row>
    <row r="61">
      <c r="A61" s="384" t="n"/>
      <c r="B61" s="384" t="n"/>
      <c r="C61" s="384" t="n"/>
      <c r="D61" s="384" t="n"/>
      <c r="E61" s="384" t="n"/>
      <c r="F61" s="384" t="n"/>
      <c r="G61" s="384" t="n"/>
      <c r="H61" s="384" t="n"/>
      <c r="I61" s="384" t="n"/>
      <c r="J61" s="384" t="n"/>
      <c r="K61" s="384" t="n"/>
      <c r="L61" s="384" t="n"/>
      <c r="M61" s="384" t="n"/>
      <c r="N61" s="384" t="n"/>
      <c r="O61" s="384" t="n"/>
      <c r="P61" s="384" t="n"/>
      <c r="Q61" s="384" t="n"/>
      <c r="R61" s="384" t="n"/>
      <c r="S61" s="462">
        <f>IF(_epmOfflineCondition_,"货币资金中包含的距离到期日三个月以上的定期存款",EPMMemberDesc(U61))</f>
        <v/>
      </c>
      <c r="T61" s="384" t="n"/>
      <c r="U61" s="384" t="inlineStr">
        <is>
          <t>A003080112</t>
        </is>
      </c>
      <c r="V61" s="462">
        <f>IF(_epmOfflineCondition_,"A003080112",EPMOlapMemberO(U61,"[C_ACCOUNT].[PARENTH1].[A003080112]","A003080112 - 货币资金中包含的距离到期日三个月以上的定期存款","","000"))</f>
        <v/>
      </c>
      <c r="W61" s="384" t="n"/>
      <c r="X61" s="585" t="inlineStr">
        <is>
          <t>货币资金中包含的距离到期日三个月以上的定期存款</t>
        </is>
      </c>
      <c r="Y61" s="38" t="n"/>
      <c r="Z61" s="1320" t="n"/>
      <c r="AA61" s="1320" t="n"/>
      <c r="AB61" s="1308">
        <f>-AA61</f>
        <v/>
      </c>
      <c r="AC61" s="384" t="n"/>
    </row>
    <row r="62">
      <c r="A62" s="384" t="n"/>
      <c r="B62" s="384" t="n"/>
      <c r="C62" s="384" t="n"/>
      <c r="D62" s="384" t="n"/>
      <c r="E62" s="384" t="n"/>
      <c r="F62" s="384" t="n"/>
      <c r="G62" s="384" t="n"/>
      <c r="H62" s="384" t="n"/>
      <c r="I62" s="384" t="n"/>
      <c r="J62" s="384" t="n"/>
      <c r="K62" s="384" t="n"/>
      <c r="L62" s="384" t="n"/>
      <c r="M62" s="384" t="n"/>
      <c r="N62" s="384" t="n"/>
      <c r="O62" s="384" t="n"/>
      <c r="P62" s="384" t="n"/>
      <c r="Q62" s="384" t="n"/>
      <c r="R62" s="384" t="n"/>
      <c r="S62" s="32" t="n"/>
      <c r="T62" s="384" t="n"/>
      <c r="U62" s="384" t="n"/>
      <c r="V62" s="384" t="n"/>
      <c r="W62" s="384" t="n"/>
      <c r="X62" s="38" t="n"/>
      <c r="Y62" s="38" t="n"/>
      <c r="Z62" s="384" t="n"/>
      <c r="AA62" s="384" t="n"/>
      <c r="AB62" s="384" t="n"/>
      <c r="AC62" s="384" t="n"/>
    </row>
    <row r="63" hidden="1" s="1181">
      <c r="A63" s="384" t="n"/>
      <c r="B63" s="384" t="n"/>
      <c r="C63" s="384" t="n"/>
      <c r="D63" s="384" t="n"/>
      <c r="E63" s="384" t="n"/>
      <c r="F63" s="384" t="n"/>
      <c r="G63" s="384" t="n"/>
      <c r="H63" s="384" t="n"/>
      <c r="I63" s="384" t="n"/>
      <c r="J63" s="384" t="n"/>
      <c r="K63" s="384" t="n"/>
      <c r="L63" s="384" t="n"/>
      <c r="M63" s="384" t="n"/>
      <c r="N63" s="384" t="n"/>
      <c r="O63" s="384" t="n"/>
      <c r="P63" s="384" t="n"/>
      <c r="Q63" s="384" t="n"/>
      <c r="R63" s="384" t="n"/>
      <c r="S63" s="32" t="n"/>
      <c r="T63" s="384" t="n"/>
      <c r="U63" s="384" t="n"/>
      <c r="V63" s="384" t="n"/>
      <c r="W63" s="384" t="n"/>
      <c r="X63" s="38" t="n"/>
      <c r="Y63" s="38" t="n"/>
      <c r="Z63" s="384" t="inlineStr">
        <is>
          <t>A1132080000</t>
        </is>
      </c>
      <c r="AA63" s="384" t="n"/>
      <c r="AB63" s="384" t="n"/>
      <c r="AC63" s="384" t="n"/>
    </row>
    <row r="64" hidden="1" s="1181">
      <c r="A64" s="384" t="n"/>
      <c r="B64" s="384" t="n"/>
      <c r="C64" s="384" t="n"/>
      <c r="D64" s="384" t="n"/>
      <c r="E64" s="384" t="n"/>
      <c r="F64" s="384" t="n"/>
      <c r="G64" s="384" t="n"/>
      <c r="H64" s="384" t="n"/>
      <c r="I64" s="384" t="n"/>
      <c r="J64" s="384" t="n"/>
      <c r="K64" s="384" t="n"/>
      <c r="L64" s="384" t="n"/>
      <c r="M64" s="384" t="n"/>
      <c r="N64" s="384" t="n"/>
      <c r="O64" s="384" t="n"/>
      <c r="P64" s="384" t="n"/>
      <c r="Q64" s="384" t="n"/>
      <c r="R64" s="384" t="n"/>
      <c r="S64" s="32" t="n"/>
      <c r="T64" s="384" t="n"/>
      <c r="U64" s="384" t="n"/>
      <c r="V64" s="384" t="n"/>
      <c r="W64" s="384" t="n"/>
      <c r="X64" s="38" t="n"/>
      <c r="Y64" s="38" t="n"/>
      <c r="Z64" s="384" t="inlineStr">
        <is>
          <t>DALL</t>
        </is>
      </c>
      <c r="AA64" s="384" t="n"/>
      <c r="AB64" s="384" t="n"/>
      <c r="AC64" s="384" t="n"/>
    </row>
    <row r="65" hidden="1" s="1181">
      <c r="A65" s="384" t="n"/>
      <c r="B65" s="384" t="n"/>
      <c r="C65" s="384" t="n"/>
      <c r="D65" s="384" t="n"/>
      <c r="E65" s="384" t="n"/>
      <c r="F65" s="384" t="n"/>
      <c r="G65" s="384" t="n"/>
      <c r="H65" s="384" t="n"/>
      <c r="I65" s="384" t="n"/>
      <c r="J65" s="384" t="n"/>
      <c r="K65" s="384" t="n"/>
      <c r="L65" s="384" t="n"/>
      <c r="M65" s="384" t="n"/>
      <c r="N65" s="384" t="n"/>
      <c r="O65" s="384" t="n"/>
      <c r="P65" s="384" t="n"/>
      <c r="Q65" s="384" t="n"/>
      <c r="R65" s="384" t="n"/>
      <c r="S65" s="32" t="n"/>
      <c r="T65" s="384" t="n"/>
      <c r="U65" s="384" t="n"/>
      <c r="V65" s="384" t="n"/>
      <c r="W65" s="384" t="n"/>
      <c r="X65" s="38" t="n"/>
      <c r="Y65" s="38" t="n"/>
      <c r="Z65" s="384" t="n"/>
      <c r="AA65" s="384" t="n"/>
      <c r="AB65" s="384" t="n"/>
      <c r="AC65" s="384" t="n"/>
    </row>
  </sheetData>
  <sheetProtection selectLockedCells="0" selectUnlockedCells="0" algorithmName="SHA-512" sheet="1" objects="0" insertRows="1" insertHyperlinks="1" autoFilter="1" scenarios="1" formatColumns="1" deleteColumns="1" insertColumns="1" pivotTables="1" deleteRows="1" formatCells="1" saltValue="L6AAWRA8MsWb7SHFCgqQ4w==" formatRows="1" sort="1" spinCount="100000" hashValue="LGr9Yc3M64wZsU3CZkMWa5KUYAKlrwdE5BG+PnT8slBv/G5gVlmCmyK39ATGRVl03FCe9f3NsLVs+FbgR83ZQA=="/>
  <mergeCells count="2">
    <mergeCell ref="H2:J2"/>
    <mergeCell ref="D16:E16"/>
  </mergeCells>
  <dataValidations count="1">
    <dataValidation sqref="Z37" showErrorMessage="1" showInputMessage="1" allowBlank="1" type="list">
      <formula1>"LC,CNY"</formula1>
    </dataValidation>
  </dataValidations>
  <pageMargins left="0.7086614173228351" right="0.7086614173228351" top="0.748031496062992" bottom="0.748031496062992" header="0.31496062992126" footer="0.31496062992126"/>
  <pageSetup orientation="landscape" paperSize="9" scale="78"/>
  <drawing xmlns:r="http://schemas.openxmlformats.org/officeDocument/2006/relationships" r:id="rId1"/>
</worksheet>
</file>

<file path=xl/worksheets/sheet22.xml><?xml version="1.0" encoding="utf-8"?>
<worksheet xmlns="http://schemas.openxmlformats.org/spreadsheetml/2006/main">
  <sheetPr codeName="Sheet2">
    <outlinePr summaryBelow="1" summaryRight="1"/>
    <pageSetUpPr/>
  </sheetPr>
  <dimension ref="A1:AS128"/>
  <sheetViews>
    <sheetView showGridLines="0" topLeftCell="X32" zoomScale="85" zoomScaleNormal="85" workbookViewId="0">
      <selection activeCell="AA37" sqref="AA37"/>
    </sheetView>
  </sheetViews>
  <sheetFormatPr baseColWidth="8" defaultColWidth="9" defaultRowHeight="16.8"/>
  <cols>
    <col hidden="1" width="8" customWidth="1" style="1181" min="1" max="1"/>
    <col hidden="1" width="15.375" customWidth="1" style="1181" min="2" max="2"/>
    <col hidden="1" width="11.375" customWidth="1" style="1181" min="3" max="3"/>
    <col hidden="1" width="12.25" customWidth="1" style="1181" min="4" max="4"/>
    <col hidden="1" width="7.625" customWidth="1" style="1181" min="5" max="5"/>
    <col hidden="1" width="7.75" customWidth="1" style="1181" min="6" max="7"/>
    <col hidden="1" width="8.375" customWidth="1" style="1181" min="8" max="8"/>
    <col hidden="1" width="7.75" customWidth="1" style="1181" min="9" max="9"/>
    <col hidden="1" width="11.125" customWidth="1" style="1181" min="10" max="10"/>
    <col hidden="1" width="7.75" customWidth="1" style="1181" min="11" max="18"/>
    <col hidden="1" width="31" customWidth="1" style="32" min="19" max="19"/>
    <col hidden="1" width="2.375" customWidth="1" style="1181" min="20" max="20"/>
    <col hidden="1" width="12.75" customWidth="1" style="1181" min="21" max="21"/>
    <col hidden="1" width="24.375" customWidth="1" style="1181" min="22" max="22"/>
    <col hidden="1" width="1.625" customWidth="1" style="1181" min="23" max="23"/>
    <col width="21.625" customWidth="1" style="38" min="24" max="24"/>
    <col width="5.625" customWidth="1" style="706" min="25" max="25"/>
    <col width="27.375" customWidth="1" style="1181" min="26" max="28"/>
    <col width="36.125" customWidth="1" style="1181" min="29" max="32"/>
    <col width="25.75" customWidth="1" style="1181" min="33" max="33"/>
    <col width="42.125" customWidth="1" style="1181" min="34" max="35"/>
    <col width="23.125" customWidth="1" style="1181" min="36" max="36"/>
    <col width="17.375" customWidth="1" style="1181" min="37" max="37"/>
    <col width="16.75" customWidth="1" style="1181" min="38" max="40"/>
    <col width="17.375" customWidth="1" style="1181" min="41" max="42"/>
    <col width="16.75" customWidth="1" style="1181" min="43" max="45"/>
    <col width="17.375" customWidth="1" style="1181" min="46" max="47"/>
    <col width="16.75" customWidth="1" style="1181" min="48" max="48"/>
  </cols>
  <sheetData>
    <row r="1" hidden="1" customFormat="1" s="13">
      <c r="A1" s="172" t="inlineStr">
        <is>
          <t>维度清单</t>
        </is>
      </c>
      <c r="B1" s="462" t="n"/>
      <c r="C1" s="173" t="n"/>
      <c r="D1" s="173" t="n"/>
      <c r="E1" s="716" t="n"/>
      <c r="F1" s="13" t="n"/>
      <c r="G1" s="13" t="n"/>
      <c r="H1" s="13" t="n"/>
      <c r="I1" s="13" t="n"/>
      <c r="J1" s="13" t="n"/>
      <c r="K1" s="13" t="n"/>
      <c r="L1" s="13" t="n"/>
      <c r="M1" s="13" t="n"/>
      <c r="N1" s="13" t="n"/>
      <c r="O1" s="13" t="n"/>
      <c r="P1" s="13" t="n"/>
      <c r="Q1" s="13" t="n"/>
      <c r="R1" s="13" t="n"/>
      <c r="S1" s="1103" t="n"/>
      <c r="T1" s="13" t="n"/>
      <c r="U1" s="13" t="n"/>
      <c r="V1" s="13" t="n"/>
      <c r="W1" s="13" t="n"/>
      <c r="X1" s="171" t="n"/>
      <c r="Y1" s="601" t="n"/>
      <c r="Z1" s="13" t="n"/>
      <c r="AA1" s="13" t="n"/>
      <c r="AB1" s="13" t="n"/>
      <c r="AC1" s="13" t="n"/>
      <c r="AD1" s="13" t="n"/>
      <c r="AE1" s="13" t="n"/>
      <c r="AF1" s="13" t="n"/>
      <c r="AG1" s="13" t="n"/>
      <c r="AH1" s="13" t="n"/>
      <c r="AI1" s="13" t="n"/>
      <c r="AJ1" s="13" t="n"/>
      <c r="AK1" s="13" t="n"/>
      <c r="AL1" s="13" t="n"/>
      <c r="AM1" s="13" t="n"/>
      <c r="AN1" s="13" t="n"/>
      <c r="AO1" s="13" t="n"/>
      <c r="AP1" s="13" t="n"/>
      <c r="AQ1" s="13" t="n"/>
      <c r="AR1" s="13" t="n"/>
      <c r="AS1" s="13" t="n"/>
    </row>
    <row r="2" hidden="1" customFormat="1" s="13">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103" t="n"/>
      <c r="T2" s="13" t="n"/>
      <c r="U2" s="13" t="n"/>
      <c r="V2" s="13" t="n"/>
      <c r="W2" s="13" t="n"/>
      <c r="X2" s="171" t="n"/>
      <c r="Y2" s="601" t="n"/>
      <c r="Z2" s="13" t="n"/>
      <c r="AA2" s="13" t="n"/>
      <c r="AB2" s="13" t="n"/>
      <c r="AC2" s="13" t="n"/>
      <c r="AD2" s="13" t="n"/>
      <c r="AE2" s="13" t="n"/>
      <c r="AF2" s="13" t="n"/>
      <c r="AG2" s="13" t="n"/>
      <c r="AH2" s="13" t="n"/>
      <c r="AI2" s="13" t="n"/>
      <c r="AJ2" s="13" t="n"/>
      <c r="AK2" s="13" t="n"/>
      <c r="AL2" s="13" t="n"/>
      <c r="AM2" s="13" t="n"/>
      <c r="AN2" s="13" t="n"/>
      <c r="AO2" s="13" t="n"/>
      <c r="AP2" s="13" t="n"/>
      <c r="AQ2" s="13" t="n"/>
      <c r="AR2" s="13" t="n"/>
      <c r="AS2" s="13" t="n"/>
    </row>
    <row r="3" hidden="1" customFormat="1" s="13">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103" t="n"/>
      <c r="T3" s="13" t="n"/>
      <c r="U3" s="13" t="n"/>
      <c r="V3" s="13" t="n"/>
      <c r="W3" s="13" t="n"/>
      <c r="X3" s="171" t="n"/>
      <c r="Y3" s="601" t="n"/>
      <c r="Z3" s="13" t="n"/>
      <c r="AA3" s="13" t="n"/>
      <c r="AB3" s="13" t="n"/>
      <c r="AC3" s="13" t="n"/>
      <c r="AD3" s="13" t="n"/>
      <c r="AE3" s="13" t="n"/>
      <c r="AF3" s="13" t="n"/>
      <c r="AG3" s="13" t="n"/>
      <c r="AH3" s="13" t="n"/>
      <c r="AI3" s="13" t="n"/>
      <c r="AJ3" s="13" t="n"/>
      <c r="AK3" s="13" t="n"/>
      <c r="AL3" s="13" t="n"/>
      <c r="AM3" s="13" t="n"/>
      <c r="AN3" s="13" t="n"/>
      <c r="AO3" s="13" t="n"/>
      <c r="AP3" s="13" t="n"/>
      <c r="AQ3" s="13" t="n"/>
      <c r="AR3" s="13" t="n"/>
      <c r="AS3" s="13" t="n"/>
    </row>
    <row r="4" hidden="1" customFormat="1" s="13">
      <c r="A4" s="175" t="inlineStr">
        <is>
          <t>C</t>
        </is>
      </c>
      <c r="B4" s="176">
        <f>IF(_epmOfflineCondition_,"C_CATEGORY",EPMDimensionType(,A4))</f>
        <v/>
      </c>
      <c r="C4" s="176">
        <f>IF(_epmOfflineCondition_,"C1001",IF(B4="","",EPMContextMember(,B4)))</f>
        <v/>
      </c>
      <c r="D4" s="176">
        <f>IF(_epmOfflineCondition_,"实际数/决算数",EPMMemberDesc(C4))</f>
        <v/>
      </c>
      <c r="E4" s="176" t="n"/>
      <c r="F4" s="13" t="n"/>
      <c r="G4" s="13" t="n"/>
      <c r="H4" s="184" t="inlineStr">
        <is>
          <t>预算年</t>
        </is>
      </c>
      <c r="I4" s="184">
        <f>"V_"&amp;$I$3</f>
        <v/>
      </c>
      <c r="J4" s="184">
        <f>$I$3&amp;".TOTAL"</f>
        <v/>
      </c>
      <c r="K4" s="13" t="n"/>
      <c r="L4" s="13" t="n"/>
      <c r="M4" s="13" t="n"/>
      <c r="N4" s="13" t="n"/>
      <c r="O4" s="13" t="n"/>
      <c r="P4" s="13" t="n"/>
      <c r="Q4" s="13" t="n"/>
      <c r="R4" s="13" t="n"/>
      <c r="S4" s="1103" t="n"/>
      <c r="T4" s="13" t="n"/>
      <c r="U4" s="13" t="n"/>
      <c r="V4" s="13" t="n"/>
      <c r="W4" s="13" t="n"/>
      <c r="X4" s="171" t="n"/>
      <c r="Y4" s="601" t="n"/>
      <c r="Z4" s="13" t="n"/>
      <c r="AA4" s="13" t="n"/>
      <c r="AB4" s="13" t="n"/>
      <c r="AC4" s="13" t="n"/>
      <c r="AD4" s="13" t="n"/>
      <c r="AE4" s="13" t="n"/>
      <c r="AF4" s="13" t="n"/>
      <c r="AG4" s="13" t="n"/>
      <c r="AH4" s="13" t="n"/>
      <c r="AI4" s="13" t="n"/>
      <c r="AJ4" s="13" t="n"/>
      <c r="AK4" s="13" t="n"/>
      <c r="AL4" s="13" t="n"/>
      <c r="AM4" s="13" t="n"/>
      <c r="AN4" s="13" t="n"/>
      <c r="AO4" s="13" t="n"/>
      <c r="AP4" s="13" t="n"/>
      <c r="AQ4" s="13" t="n"/>
      <c r="AR4" s="13" t="n"/>
      <c r="AS4" s="13" t="n"/>
    </row>
    <row r="5" hidden="1" customFormat="1" s="13">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13" t="n"/>
      <c r="V5" s="13" t="n"/>
      <c r="W5" s="13" t="n"/>
      <c r="X5" s="171" t="n"/>
      <c r="Y5" s="601" t="n"/>
      <c r="Z5" s="13" t="n"/>
      <c r="AA5" s="13" t="n"/>
      <c r="AB5" s="13" t="n"/>
      <c r="AC5" s="13" t="n"/>
      <c r="AD5" s="13" t="n"/>
      <c r="AE5" s="13" t="n"/>
      <c r="AF5" s="13" t="n"/>
      <c r="AG5" s="13" t="n"/>
      <c r="AH5" s="13" t="n"/>
      <c r="AI5" s="13" t="n"/>
      <c r="AJ5" s="13" t="n"/>
      <c r="AK5" s="13" t="n"/>
      <c r="AL5" s="13" t="n"/>
      <c r="AM5" s="13" t="n"/>
      <c r="AN5" s="13" t="n"/>
      <c r="AO5" s="13" t="n"/>
      <c r="AP5" s="13" t="n"/>
      <c r="AQ5" s="13" t="n"/>
      <c r="AR5" s="13" t="n"/>
      <c r="AS5" s="13" t="n"/>
    </row>
    <row r="6" hidden="1" customFormat="1" s="13">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103" t="n"/>
      <c r="T6" s="13" t="n"/>
      <c r="U6" s="13" t="n"/>
      <c r="V6" s="13" t="n"/>
      <c r="W6" s="13" t="n"/>
      <c r="X6" s="171" t="n"/>
      <c r="Y6" s="601" t="n"/>
      <c r="Z6" s="13" t="n"/>
      <c r="AA6" s="13" t="n"/>
      <c r="AB6" s="13" t="n"/>
      <c r="AC6" s="13" t="n"/>
      <c r="AD6" s="13" t="n"/>
      <c r="AE6" s="13" t="n"/>
      <c r="AF6" s="13" t="n"/>
      <c r="AG6" s="13" t="n"/>
      <c r="AH6" s="13" t="n"/>
      <c r="AI6" s="13" t="n"/>
      <c r="AJ6" s="13" t="n"/>
      <c r="AK6" s="13" t="n"/>
      <c r="AL6" s="13" t="n"/>
      <c r="AM6" s="13" t="n"/>
      <c r="AN6" s="13" t="n"/>
      <c r="AO6" s="13" t="n"/>
      <c r="AP6" s="13" t="n"/>
      <c r="AQ6" s="13" t="n"/>
      <c r="AR6" s="13" t="n"/>
      <c r="AS6" s="13" t="n"/>
    </row>
    <row r="7" hidden="1" customFormat="1" s="13">
      <c r="A7" s="175" t="inlineStr">
        <is>
          <t>R</t>
        </is>
      </c>
      <c r="B7" s="176">
        <f>IF(_epmOfflineCondition_,"C_RPTCURRENCY",EPMDimensionType(,A7))</f>
        <v/>
      </c>
      <c r="C7" s="176">
        <f>IF(_epmOfflineCondition_,"LC",IF(B7="","",EPMContextMember(,B7)))</f>
        <v/>
      </c>
      <c r="D7" s="176">
        <f>IF(_epmOfflineCondition_,"本位币",EPMMemberDesc(C7))</f>
        <v/>
      </c>
      <c r="E7" s="176" t="n"/>
      <c r="F7" s="13" t="n"/>
      <c r="G7" s="13" t="n"/>
      <c r="H7" s="13" t="n"/>
      <c r="I7" s="13" t="n"/>
      <c r="J7" s="13" t="n"/>
      <c r="K7" s="13" t="n"/>
      <c r="L7" s="13" t="n"/>
      <c r="M7" s="13" t="n"/>
      <c r="N7" s="13" t="n"/>
      <c r="O7" s="13" t="n"/>
      <c r="P7" s="13" t="n"/>
      <c r="Q7" s="13" t="n"/>
      <c r="R7" s="13" t="n"/>
      <c r="S7" s="1103" t="n"/>
      <c r="T7" s="13" t="n"/>
      <c r="U7" s="13" t="n"/>
      <c r="V7" s="13" t="n"/>
      <c r="W7" s="13" t="n"/>
      <c r="X7" s="171" t="n"/>
      <c r="Y7" s="601" t="n"/>
      <c r="Z7" s="13" t="n"/>
      <c r="AA7" s="13" t="n"/>
      <c r="AB7" s="13" t="n"/>
      <c r="AC7" s="13" t="n"/>
      <c r="AD7" s="13" t="n"/>
      <c r="AE7" s="13" t="n"/>
      <c r="AF7" s="13" t="n"/>
      <c r="AG7" s="13" t="n"/>
      <c r="AH7" s="13" t="n"/>
      <c r="AI7" s="13" t="n"/>
      <c r="AJ7" s="13" t="n"/>
      <c r="AK7" s="13" t="n"/>
      <c r="AL7" s="13" t="n"/>
      <c r="AM7" s="13" t="n"/>
      <c r="AN7" s="13" t="n"/>
      <c r="AO7" s="13" t="n"/>
      <c r="AP7" s="13" t="n"/>
      <c r="AQ7" s="13" t="n"/>
      <c r="AR7" s="13" t="n"/>
      <c r="AS7" s="13" t="n"/>
    </row>
    <row r="8" hidden="1" customFormat="1" s="13">
      <c r="A8" s="175" t="inlineStr">
        <is>
          <t>D</t>
        </is>
      </c>
      <c r="B8" s="176">
        <f>IF(_epmOfflineCondition_,"C_AUDITTRAIL",EPMDimensionType(,A8))</f>
        <v/>
      </c>
      <c r="C8" s="176">
        <f>IF(_epmOfflineCondition_,"DTOTAL",IF(B8="","",EPMContextMember(,B8)))</f>
        <v/>
      </c>
      <c r="D8" s="176">
        <f>IF(_epmOfflineCondition_,"全部审计线索",EPMMemberDesc(C8))</f>
        <v/>
      </c>
      <c r="E8" s="176" t="n"/>
      <c r="F8" s="13" t="n"/>
      <c r="G8" s="13" t="n"/>
      <c r="H8" s="184" t="inlineStr">
        <is>
          <t>本月</t>
        </is>
      </c>
      <c r="I8" s="184">
        <f>IF(_epmOfflineCondition_,"03",RIGHT("0"&amp;EPMMemberProperty(,EPMContextMember(,"C_TIME"),"MONTHNUM"),2))</f>
        <v/>
      </c>
      <c r="J8" s="13">
        <f>I3&amp;".12"</f>
        <v/>
      </c>
      <c r="K8" s="13" t="n"/>
      <c r="L8" s="13" t="n"/>
      <c r="M8" s="13" t="n"/>
      <c r="N8" s="13" t="n"/>
      <c r="O8" s="13" t="n"/>
      <c r="P8" s="13" t="n"/>
      <c r="Q8" s="13" t="n"/>
      <c r="R8" s="13" t="n"/>
      <c r="S8" s="1103" t="n"/>
      <c r="T8" s="13" t="n"/>
      <c r="U8" s="13" t="n"/>
      <c r="V8" s="13" t="n"/>
      <c r="W8" s="13" t="n"/>
      <c r="X8" s="171" t="n"/>
      <c r="Y8" s="601" t="n"/>
      <c r="Z8" s="13" t="n"/>
      <c r="AA8" s="13" t="n"/>
      <c r="AB8" s="13" t="n"/>
      <c r="AC8" s="13" t="n"/>
      <c r="AD8" s="13" t="n"/>
      <c r="AE8" s="13" t="n"/>
      <c r="AF8" s="13" t="n"/>
      <c r="AG8" s="13" t="n"/>
      <c r="AH8" s="13" t="n"/>
      <c r="AI8" s="13" t="n"/>
      <c r="AJ8" s="13" t="n"/>
      <c r="AK8" s="13" t="n"/>
      <c r="AL8" s="13" t="n"/>
      <c r="AM8" s="13" t="n"/>
      <c r="AN8" s="13" t="n"/>
      <c r="AO8" s="13" t="n"/>
      <c r="AP8" s="13" t="n"/>
      <c r="AQ8" s="13" t="n"/>
      <c r="AR8" s="13" t="n"/>
      <c r="AS8" s="13" t="n"/>
    </row>
    <row r="9" hidden="1" customFormat="1" s="13">
      <c r="A9" s="175" t="inlineStr">
        <is>
          <t>S</t>
        </is>
      </c>
      <c r="B9" s="176">
        <f>IF(_epmOfflineCondition_,"C_FLOW",EPMDimensionType(,A9))</f>
        <v/>
      </c>
      <c r="C9" s="176">
        <f>IF(_epmOfflineCondition_,"F20",IF(B9="","",EPMContextMember(,B9)))</f>
        <v/>
      </c>
      <c r="D9" s="176">
        <f>IF(_epmOfflineCondition_,"本期增加",EPMMemberDesc(C9))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13" t="n"/>
      <c r="V9" s="13" t="n"/>
      <c r="W9" s="13" t="n"/>
      <c r="X9" s="171" t="n"/>
      <c r="Y9" s="601" t="n"/>
      <c r="Z9" s="13" t="n"/>
      <c r="AA9" s="13" t="n"/>
      <c r="AB9" s="13" t="n"/>
      <c r="AC9" s="13" t="n"/>
      <c r="AD9" s="13" t="n"/>
      <c r="AE9" s="13" t="n"/>
      <c r="AF9" s="13" t="n"/>
      <c r="AG9" s="13" t="n"/>
      <c r="AH9" s="13" t="n"/>
      <c r="AI9" s="13" t="n"/>
      <c r="AJ9" s="13" t="n"/>
      <c r="AK9" s="13" t="n"/>
      <c r="AL9" s="13" t="n"/>
      <c r="AM9" s="13" t="n"/>
      <c r="AN9" s="13" t="n"/>
      <c r="AO9" s="13" t="n"/>
      <c r="AP9" s="13" t="n"/>
      <c r="AQ9" s="13" t="n"/>
      <c r="AR9" s="13" t="n"/>
      <c r="AS9" s="13" t="n"/>
    </row>
    <row r="10" hidden="1" customFormat="1" s="13">
      <c r="A10" s="175" t="inlineStr">
        <is>
          <t>I</t>
        </is>
      </c>
      <c r="B10" s="176">
        <f>IF(_epmOfflineCondition_,"C_INTERCO",EPMDimensionType(,A10))</f>
        <v/>
      </c>
      <c r="C10" s="176">
        <f>IF(_epmOfflineCondition_,"I_ALL",IF(B10="","",EPMContextMember(,B10)))</f>
        <v/>
      </c>
      <c r="D10" s="176">
        <f>IF(_epmOfflineCondition_,"全部贸易伙伴",EPMMemberDesc(C10))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13" t="n"/>
      <c r="V10" s="13" t="n"/>
      <c r="W10" s="13" t="n"/>
      <c r="X10" s="171" t="n"/>
      <c r="Y10" s="601" t="n"/>
      <c r="Z10" s="13" t="n"/>
      <c r="AA10" s="13" t="n"/>
      <c r="AB10" s="13" t="n"/>
      <c r="AC10" s="13" t="n"/>
      <c r="AD10" s="13" t="n"/>
      <c r="AE10" s="13" t="n"/>
      <c r="AF10" s="13" t="n"/>
      <c r="AG10" s="13" t="n"/>
      <c r="AH10" s="13" t="n"/>
      <c r="AI10" s="13" t="n"/>
      <c r="AJ10" s="13" t="n"/>
      <c r="AK10" s="13" t="n"/>
      <c r="AL10" s="13" t="n"/>
      <c r="AM10" s="13" t="n"/>
      <c r="AN10" s="13" t="n"/>
      <c r="AO10" s="13" t="n"/>
      <c r="AP10" s="13" t="n"/>
      <c r="AQ10" s="13" t="n"/>
      <c r="AR10" s="13" t="n"/>
      <c r="AS10" s="13" t="n"/>
    </row>
    <row r="11" hidden="1" customFormat="1" s="13">
      <c r="A11" s="175" t="inlineStr">
        <is>
          <t>G</t>
        </is>
      </c>
      <c r="B11" s="176">
        <f>IF(_epmOfflineCondition_,"C_SCOPE",EPMDimensionType(,A11))</f>
        <v/>
      </c>
      <c r="C11" s="176">
        <f>IF(_epmOfflineCondition_,"G_DUMMY",IF(B11="","",EPMContextMember(,B11)))</f>
        <v/>
      </c>
      <c r="D11" s="176">
        <f>IF(_epmOfflineCondition_,"合并范围无关",EPMMemberDesc(C11))</f>
        <v/>
      </c>
      <c r="E11" s="176">
        <f>IF(OR(RIGHT(C11,1)="P",RIGHT(C11,1)="S"),LEFT(C11,LEN(C11)-1),C11)</f>
        <v/>
      </c>
      <c r="F11" s="13" t="n"/>
      <c r="G11" s="13" t="n"/>
      <c r="H11" s="184" t="inlineStr">
        <is>
          <t xml:space="preserve">本年月 </t>
        </is>
      </c>
      <c r="I11" s="184">
        <f>I3&amp;"."&amp;I8</f>
        <v/>
      </c>
      <c r="J11" s="13" t="n"/>
      <c r="K11" s="13" t="n"/>
      <c r="L11" s="13" t="n"/>
      <c r="M11" s="13" t="n"/>
      <c r="N11" s="13" t="n"/>
      <c r="O11" s="13" t="n"/>
      <c r="P11" s="13" t="n"/>
      <c r="Q11" s="13" t="n"/>
      <c r="R11" s="13" t="n"/>
      <c r="S11" s="1103" t="n"/>
      <c r="T11" s="13" t="n"/>
      <c r="U11" s="13" t="n"/>
      <c r="V11" s="13" t="n"/>
      <c r="W11" s="13" t="n"/>
      <c r="X11" s="171" t="n"/>
      <c r="Y11" s="601" t="n"/>
      <c r="Z11" s="13" t="n"/>
      <c r="AA11" s="13" t="n"/>
      <c r="AB11" s="13" t="n"/>
      <c r="AC11" s="13" t="n"/>
      <c r="AD11" s="13" t="n"/>
      <c r="AE11" s="13" t="n"/>
      <c r="AF11" s="13" t="n"/>
      <c r="AG11" s="13" t="n"/>
      <c r="AH11" s="13" t="n"/>
      <c r="AI11" s="13" t="n"/>
      <c r="AJ11" s="13" t="n"/>
      <c r="AK11" s="13" t="n"/>
      <c r="AL11" s="13" t="n"/>
      <c r="AM11" s="13" t="n"/>
      <c r="AN11" s="13" t="n"/>
      <c r="AO11" s="13" t="n"/>
      <c r="AP11" s="13" t="n"/>
      <c r="AQ11" s="13" t="n"/>
      <c r="AR11" s="13" t="n"/>
      <c r="AS11" s="13" t="n"/>
    </row>
    <row r="12" hidden="1" customFormat="1" s="13">
      <c r="A12" s="175" t="inlineStr">
        <is>
          <t>U8</t>
        </is>
      </c>
      <c r="B12" s="176">
        <f>IF(_epmOfflineCondition_,"C_PROJECT",EPMDimensionType(,A12))</f>
        <v/>
      </c>
      <c r="C12" s="176">
        <f>IF(_epmOfflineCondition_,"ZP_ALL",IF(B12="","",EPMContextMember(,B12)))</f>
        <v/>
      </c>
      <c r="D12" s="176">
        <f>IF(_epmOfflineCondition_,"项目合计",EPMMemberDesc(C12))</f>
        <v/>
      </c>
      <c r="E12" s="176" t="n"/>
      <c r="F12" s="13" t="n"/>
      <c r="G12" s="13" t="n"/>
      <c r="H12" s="184" t="inlineStr">
        <is>
          <t>上年月</t>
        </is>
      </c>
      <c r="I12" s="184">
        <f>IF(I8="01",I10&amp;"."&amp;I9,I3&amp;"."&amp;I9)</f>
        <v/>
      </c>
      <c r="J12" s="13" t="n"/>
      <c r="K12" s="13" t="n"/>
      <c r="L12" s="13" t="n"/>
      <c r="M12" s="13" t="n"/>
      <c r="N12" s="13" t="n"/>
      <c r="O12" s="13" t="n"/>
      <c r="P12" s="13" t="n"/>
      <c r="Q12" s="13" t="n"/>
      <c r="R12" s="13" t="n"/>
      <c r="S12" s="1103" t="n"/>
      <c r="T12" s="13" t="n"/>
      <c r="U12" s="13" t="n"/>
      <c r="V12" s="13" t="n"/>
      <c r="W12" s="13" t="n"/>
      <c r="X12" s="171" t="n"/>
      <c r="Y12" s="601" t="n"/>
      <c r="Z12" s="13" t="n"/>
      <c r="AA12" s="13" t="n"/>
      <c r="AB12" s="13" t="n"/>
      <c r="AC12" s="13" t="n"/>
      <c r="AD12" s="13" t="n"/>
      <c r="AE12" s="13" t="n"/>
      <c r="AF12" s="13" t="n"/>
      <c r="AG12" s="13" t="n"/>
      <c r="AH12" s="13" t="n"/>
      <c r="AI12" s="13" t="n"/>
      <c r="AJ12" s="13" t="n"/>
      <c r="AK12" s="13" t="n"/>
      <c r="AL12" s="13" t="n"/>
      <c r="AM12" s="13" t="n"/>
      <c r="AN12" s="13" t="n"/>
      <c r="AO12" s="13" t="n"/>
      <c r="AP12" s="13" t="n"/>
      <c r="AQ12" s="13" t="n"/>
      <c r="AR12" s="13" t="n"/>
      <c r="AS12" s="13" t="n"/>
    </row>
    <row r="13" hidden="1" customFormat="1" s="13">
      <c r="A13" s="175" t="inlineStr">
        <is>
          <t>U9</t>
        </is>
      </c>
      <c r="B13" s="176">
        <f>IF(_epmOfflineCondition_,"C_ITEM",EPMDimensionType(,A13))</f>
        <v/>
      </c>
      <c r="C13" s="176">
        <f>IF(_epmOfflineCondition_,"ZI_ALL",IF(B13="","",EPMContextMember(,B13)))</f>
        <v/>
      </c>
      <c r="D13" s="176">
        <f>IF(_epmOfflineCondition_,"全部ITEM",EPMMemberDesc(C13))</f>
        <v/>
      </c>
      <c r="E13" s="176" t="n"/>
      <c r="F13" s="13" t="n"/>
      <c r="G13" s="13" t="n"/>
      <c r="H13" s="184" t="inlineStr">
        <is>
          <t xml:space="preserve">上年同期 </t>
        </is>
      </c>
      <c r="I13" s="184">
        <f>I10&amp;"."&amp;I8</f>
        <v/>
      </c>
      <c r="J13" s="13" t="n"/>
      <c r="K13" s="13" t="n"/>
      <c r="L13" s="13" t="n"/>
      <c r="M13" s="13" t="n"/>
      <c r="N13" s="13" t="n"/>
      <c r="O13" s="13" t="n"/>
      <c r="P13" s="13" t="n"/>
      <c r="Q13" s="13" t="n"/>
      <c r="R13" s="13" t="n"/>
      <c r="S13" s="1103" t="n"/>
      <c r="T13" s="13" t="n"/>
      <c r="U13" s="13" t="n"/>
      <c r="V13" s="13" t="n"/>
      <c r="W13" s="13" t="n"/>
      <c r="X13" s="171" t="n"/>
      <c r="Y13" s="601" t="n"/>
      <c r="Z13" s="13" t="n"/>
      <c r="AA13" s="13" t="n"/>
      <c r="AB13" s="13" t="n"/>
      <c r="AC13" s="13" t="n"/>
      <c r="AD13" s="13" t="n"/>
      <c r="AE13" s="13" t="n"/>
      <c r="AF13" s="13" t="n"/>
      <c r="AG13" s="13" t="n"/>
      <c r="AH13" s="13" t="n"/>
      <c r="AI13" s="13" t="n"/>
      <c r="AJ13" s="13" t="n"/>
      <c r="AK13" s="13" t="n"/>
      <c r="AL13" s="13" t="n"/>
      <c r="AM13" s="13" t="n"/>
      <c r="AN13" s="13" t="n"/>
      <c r="AO13" s="13" t="n"/>
      <c r="AP13" s="13" t="n"/>
      <c r="AQ13" s="13" t="n"/>
      <c r="AR13" s="13" t="n"/>
      <c r="AS13" s="13" t="n"/>
    </row>
    <row r="14" hidden="1" customFormat="1" s="13">
      <c r="A14" s="175" t="inlineStr">
        <is>
          <t>U10</t>
        </is>
      </c>
      <c r="B14" s="176">
        <f>IF(_epmOfflineCondition_,"C_MISK",EPMDimensionType(,A14))</f>
        <v/>
      </c>
      <c r="C14" s="176">
        <f>IF(_epmOfflineCondition_,"ZM_ALL",IF(B14="","",EPMContextMember(,B14)))</f>
        <v/>
      </c>
      <c r="D14" s="176">
        <f>IF(_epmOfflineCondition_,"ALL",EPMMemberDesc(C14))</f>
        <v/>
      </c>
      <c r="E14" s="176" t="n"/>
      <c r="F14" s="13" t="n"/>
      <c r="G14" s="13" t="n"/>
      <c r="H14" s="13" t="n"/>
      <c r="I14" s="13" t="n"/>
      <c r="J14" s="13" t="n"/>
      <c r="K14" s="13" t="n"/>
      <c r="L14" s="13" t="n"/>
      <c r="M14" s="13" t="n"/>
      <c r="N14" s="13" t="n"/>
      <c r="O14" s="13" t="n"/>
      <c r="P14" s="13" t="n"/>
      <c r="Q14" s="13" t="n"/>
      <c r="R14" s="13" t="n"/>
      <c r="S14" s="1103" t="n"/>
      <c r="T14" s="13" t="n"/>
      <c r="U14" s="13" t="n"/>
      <c r="V14" s="13" t="n"/>
      <c r="W14" s="13" t="n"/>
      <c r="X14" s="171" t="n"/>
      <c r="Y14" s="601" t="n"/>
      <c r="Z14" s="13" t="n"/>
      <c r="AA14" s="13" t="n"/>
      <c r="AB14" s="13" t="n"/>
      <c r="AC14" s="13" t="n"/>
      <c r="AD14" s="13" t="n"/>
      <c r="AE14" s="13" t="n"/>
      <c r="AF14" s="13" t="n"/>
      <c r="AG14" s="13" t="n"/>
      <c r="AH14" s="13" t="n"/>
      <c r="AI14" s="13" t="n"/>
      <c r="AJ14" s="13" t="n"/>
      <c r="AK14" s="13" t="n"/>
      <c r="AL14" s="13" t="n"/>
      <c r="AM14" s="13" t="n"/>
      <c r="AN14" s="13" t="n"/>
      <c r="AO14" s="13" t="n"/>
      <c r="AP14" s="13" t="n"/>
      <c r="AQ14" s="13" t="n"/>
      <c r="AR14" s="13" t="n"/>
      <c r="AS14" s="13" t="n"/>
    </row>
    <row r="15" hidden="1" customFormat="1" s="13">
      <c r="A15" s="13" t="n"/>
      <c r="B15" s="1103" t="n"/>
      <c r="C15" s="1103" t="n"/>
      <c r="D15" s="1103" t="n"/>
      <c r="E15" s="13" t="n"/>
      <c r="F15" s="13" t="n"/>
      <c r="G15" s="13" t="n"/>
      <c r="H15" s="13" t="n"/>
      <c r="I15" s="13" t="n"/>
      <c r="J15" s="13" t="n"/>
      <c r="K15" s="13" t="n"/>
      <c r="L15" s="13" t="n"/>
      <c r="M15" s="13" t="n"/>
      <c r="N15" s="13" t="n"/>
      <c r="O15" s="13" t="n"/>
      <c r="P15" s="13" t="n"/>
      <c r="Q15" s="13" t="n"/>
      <c r="R15" s="13" t="n"/>
      <c r="S15" s="1103" t="n"/>
      <c r="T15" s="13" t="n"/>
      <c r="U15" s="13" t="n"/>
      <c r="V15" s="13" t="n"/>
      <c r="W15" s="13" t="n"/>
      <c r="X15" s="171" t="n"/>
      <c r="Y15" s="601" t="n"/>
      <c r="Z15" s="13" t="n"/>
      <c r="AA15" s="13" t="n"/>
      <c r="AB15" s="13" t="n"/>
      <c r="AC15" s="13" t="n"/>
      <c r="AD15" s="13" t="n"/>
      <c r="AE15" s="13" t="n"/>
      <c r="AF15" s="13" t="n"/>
      <c r="AG15" s="13" t="n"/>
      <c r="AH15" s="13" t="n"/>
      <c r="AI15" s="13" t="n"/>
      <c r="AJ15" s="13" t="n"/>
      <c r="AK15" s="13" t="n"/>
      <c r="AL15" s="13" t="n"/>
      <c r="AM15" s="13" t="n"/>
      <c r="AN15" s="13" t="n"/>
      <c r="AO15" s="13" t="n"/>
      <c r="AP15" s="13" t="n"/>
      <c r="AQ15" s="13" t="n"/>
      <c r="AR15" s="13" t="n"/>
      <c r="AS15" s="13" t="n"/>
    </row>
    <row r="16" hidden="1" customFormat="1" s="13">
      <c r="A16" s="13" t="n"/>
      <c r="B16" s="13" t="n"/>
      <c r="C16" s="13" t="n"/>
      <c r="D16" s="174" t="inlineStr">
        <is>
          <t>页轴</t>
        </is>
      </c>
      <c r="E16" s="1183" t="n"/>
      <c r="F16" s="13" t="n"/>
      <c r="G16" s="13" t="n"/>
      <c r="H16" s="13" t="n"/>
      <c r="I16" s="13" t="n"/>
      <c r="J16" s="13" t="n"/>
      <c r="K16" s="13" t="n"/>
      <c r="L16" s="13" t="n"/>
      <c r="M16" s="13" t="n"/>
      <c r="N16" s="13" t="n"/>
      <c r="O16" s="13" t="n"/>
      <c r="P16" s="13" t="n"/>
      <c r="Q16" s="13" t="n"/>
      <c r="R16" s="13" t="n"/>
      <c r="S16" s="1103" t="n"/>
      <c r="T16" s="13" t="n"/>
      <c r="U16" s="13" t="n"/>
      <c r="V16" s="13" t="n"/>
      <c r="W16" s="13" t="n"/>
      <c r="X16" s="171" t="n"/>
      <c r="Y16" s="601" t="n"/>
      <c r="Z16" s="13" t="n"/>
      <c r="AA16" s="13" t="n"/>
      <c r="AB16" s="13" t="n"/>
      <c r="AC16" s="13" t="n"/>
      <c r="AD16" s="13" t="n"/>
      <c r="AE16" s="13" t="n"/>
      <c r="AF16" s="13" t="n"/>
      <c r="AG16" s="13" t="n"/>
      <c r="AH16" s="13" t="n"/>
      <c r="AI16" s="13" t="n"/>
      <c r="AJ16" s="13" t="n"/>
      <c r="AK16" s="13" t="n"/>
      <c r="AL16" s="13" t="n"/>
      <c r="AM16" s="13" t="n"/>
      <c r="AN16" s="13" t="n"/>
      <c r="AO16" s="13" t="n"/>
      <c r="AP16" s="13" t="n"/>
      <c r="AQ16" s="13" t="n"/>
      <c r="AR16" s="13" t="n"/>
      <c r="AS16" s="13" t="n"/>
    </row>
    <row r="17" hidden="1" customFormat="1" s="13">
      <c r="A17" s="174" t="inlineStr">
        <is>
          <t>维度类型</t>
        </is>
      </c>
      <c r="B17" s="174" t="inlineStr">
        <is>
          <t>维度</t>
        </is>
      </c>
      <c r="C17" s="178" t="inlineStr">
        <is>
          <t>页轴替换</t>
        </is>
      </c>
      <c r="D17" s="174" t="inlineStr">
        <is>
          <t>报表001</t>
        </is>
      </c>
      <c r="E17" s="174" t="inlineStr">
        <is>
          <t>报表002</t>
        </is>
      </c>
      <c r="F17" s="13" t="n"/>
      <c r="G17" s="13" t="n"/>
      <c r="H17" s="13" t="n"/>
      <c r="I17" s="13" t="n"/>
      <c r="J17" s="13" t="n"/>
      <c r="K17" s="13" t="n"/>
      <c r="L17" s="13" t="n"/>
      <c r="M17" s="13" t="n"/>
      <c r="N17" s="13" t="n"/>
      <c r="O17" s="13" t="n"/>
      <c r="P17" s="13" t="n"/>
      <c r="Q17" s="13" t="n"/>
      <c r="R17" s="13" t="n"/>
      <c r="S17" s="1103" t="n"/>
      <c r="T17" s="13" t="n"/>
      <c r="U17" s="13" t="n"/>
      <c r="V17" s="13" t="n"/>
      <c r="W17" s="13" t="n"/>
      <c r="X17" s="171" t="n"/>
      <c r="Y17" s="601" t="n"/>
      <c r="Z17" s="13" t="n"/>
      <c r="AA17" s="13" t="n"/>
      <c r="AB17" s="13" t="n"/>
      <c r="AC17" s="13" t="n"/>
      <c r="AD17" s="13" t="n"/>
      <c r="AE17" s="13" t="n"/>
      <c r="AF17" s="13" t="n"/>
      <c r="AG17" s="13" t="n"/>
      <c r="AH17" s="13" t="n"/>
      <c r="AI17" s="13" t="n"/>
      <c r="AJ17" s="13" t="n"/>
      <c r="AK17" s="13" t="n"/>
      <c r="AL17" s="13" t="n"/>
      <c r="AM17" s="13" t="n"/>
      <c r="AN17" s="13" t="n"/>
      <c r="AO17" s="13" t="n"/>
      <c r="AP17" s="13" t="n"/>
      <c r="AQ17" s="13" t="n"/>
      <c r="AR17" s="13" t="n"/>
      <c r="AS17" s="13" t="n"/>
    </row>
    <row r="18" hidden="1" customFormat="1" s="13">
      <c r="A18" s="175" t="inlineStr">
        <is>
          <t>A</t>
        </is>
      </c>
      <c r="B18" s="176">
        <f>IF(_epmOfflineCondition_,"C_ACCOUNT",EPMDimensionType(,A18))</f>
        <v/>
      </c>
      <c r="C18" s="182" t="inlineStr">
        <is>
          <t>A_NOUSED</t>
        </is>
      </c>
      <c r="D18" s="180" t="n"/>
      <c r="E18" s="13" t="n"/>
      <c r="F18" s="13" t="n"/>
      <c r="G18" s="13" t="n"/>
      <c r="H18" s="13" t="n"/>
      <c r="I18" s="13" t="n"/>
      <c r="J18" s="13" t="n"/>
      <c r="K18" s="13" t="n"/>
      <c r="L18" s="13" t="n"/>
      <c r="M18" s="13" t="n"/>
      <c r="N18" s="13" t="n"/>
      <c r="O18" s="13" t="n"/>
      <c r="P18" s="13" t="n"/>
      <c r="Q18" s="13" t="n"/>
      <c r="R18" s="13" t="n"/>
      <c r="S18" s="1103" t="n"/>
      <c r="T18" s="13" t="n"/>
      <c r="U18" s="13" t="n"/>
      <c r="V18" s="13" t="n"/>
      <c r="W18" s="13" t="n"/>
      <c r="X18" s="171" t="n"/>
      <c r="Y18" s="601" t="n"/>
      <c r="Z18" s="13" t="n"/>
      <c r="AA18" s="13" t="n"/>
      <c r="AB18" s="13" t="n"/>
      <c r="AC18" s="13" t="n"/>
      <c r="AD18" s="13" t="n"/>
      <c r="AE18" s="13" t="n"/>
      <c r="AF18" s="13" t="n"/>
      <c r="AG18" s="13" t="n"/>
      <c r="AH18" s="13" t="n"/>
      <c r="AI18" s="13" t="n"/>
      <c r="AJ18" s="13" t="n"/>
      <c r="AK18" s="13" t="n"/>
      <c r="AL18" s="13" t="n"/>
      <c r="AM18" s="13" t="n"/>
      <c r="AN18" s="13" t="n"/>
      <c r="AO18" s="13" t="n"/>
      <c r="AP18" s="13" t="n"/>
      <c r="AQ18" s="13" t="n"/>
      <c r="AR18" s="13" t="n"/>
      <c r="AS18" s="13" t="n"/>
    </row>
    <row r="19" hidden="1" customFormat="1" s="13">
      <c r="A19" s="175" t="inlineStr">
        <is>
          <t>C</t>
        </is>
      </c>
      <c r="B19" s="176">
        <f>IF(_epmOfflineCondition_,"C_CATEGORY",EPMDimensionType(,A19))</f>
        <v/>
      </c>
      <c r="C19" s="182" t="inlineStr">
        <is>
          <t>C_DUMMY</t>
        </is>
      </c>
      <c r="D19" s="180" t="n"/>
      <c r="E19" s="13" t="n"/>
      <c r="F19" s="13" t="n"/>
      <c r="G19" s="13" t="n"/>
      <c r="H19" s="13" t="n"/>
      <c r="I19" s="13" t="n"/>
      <c r="J19" s="13" t="n"/>
      <c r="K19" s="13" t="n"/>
      <c r="L19" s="13" t="n"/>
      <c r="M19" s="13" t="n"/>
      <c r="N19" s="13" t="n"/>
      <c r="O19" s="13" t="n"/>
      <c r="P19" s="13" t="n"/>
      <c r="Q19" s="13" t="n"/>
      <c r="R19" s="13" t="n"/>
      <c r="S19" s="1103" t="n"/>
      <c r="T19" s="13" t="n"/>
      <c r="U19" s="13" t="n"/>
      <c r="V19" s="13" t="n"/>
      <c r="W19" s="13" t="n"/>
      <c r="X19" s="171" t="n"/>
      <c r="Y19" s="601" t="n"/>
      <c r="Z19" s="13" t="n"/>
      <c r="AA19" s="13" t="n"/>
      <c r="AB19" s="13" t="n"/>
      <c r="AC19" s="13" t="n"/>
      <c r="AD19" s="13" t="n"/>
      <c r="AE19" s="13" t="n"/>
      <c r="AF19" s="13" t="n"/>
      <c r="AG19" s="13" t="n"/>
      <c r="AH19" s="13" t="n"/>
      <c r="AI19" s="13" t="n"/>
      <c r="AJ19" s="13" t="n"/>
      <c r="AK19" s="13" t="n"/>
      <c r="AL19" s="13" t="n"/>
      <c r="AM19" s="13" t="n"/>
      <c r="AN19" s="13" t="n"/>
      <c r="AO19" s="13" t="n"/>
      <c r="AP19" s="13" t="n"/>
      <c r="AQ19" s="13" t="n"/>
      <c r="AR19" s="13" t="n"/>
      <c r="AS19" s="13" t="n"/>
    </row>
    <row r="20" hidden="1" customFormat="1" s="13">
      <c r="A20" s="175" t="inlineStr">
        <is>
          <t>T</t>
        </is>
      </c>
      <c r="B20" s="176">
        <f>IF(_epmOfflineCondition_,"C_TIME",EPMDimensionType(,A20))</f>
        <v/>
      </c>
      <c r="C20" s="672" t="inlineStr">
        <is>
          <t>T_DUMMY</t>
        </is>
      </c>
      <c r="D20" s="180" t="n"/>
      <c r="E20" s="13" t="n"/>
      <c r="F20" s="384" t="n"/>
      <c r="G20" s="384" t="n"/>
      <c r="H20" s="13" t="n"/>
      <c r="I20" s="13" t="n"/>
      <c r="J20" s="13" t="n"/>
      <c r="K20" s="13" t="n"/>
      <c r="L20" s="13" t="n"/>
      <c r="M20" s="13" t="n"/>
      <c r="N20" s="13" t="n"/>
      <c r="O20" s="13" t="n"/>
      <c r="P20" s="13" t="n"/>
      <c r="Q20" s="13" t="n"/>
      <c r="R20" s="13" t="n"/>
      <c r="S20" s="1103" t="n"/>
      <c r="T20" s="13" t="n"/>
      <c r="U20" s="13" t="n"/>
      <c r="V20" s="13" t="n"/>
      <c r="W20" s="13" t="n"/>
      <c r="X20" s="171" t="n"/>
      <c r="Y20" s="601" t="n"/>
      <c r="Z20" s="384" t="n"/>
      <c r="AA20" s="13" t="n"/>
      <c r="AB20" s="13" t="n"/>
      <c r="AC20" s="13" t="n"/>
      <c r="AD20" s="13" t="n"/>
      <c r="AE20" s="13" t="n"/>
      <c r="AF20" s="13" t="n"/>
      <c r="AG20" s="13" t="n"/>
      <c r="AH20" s="13" t="n"/>
      <c r="AI20" s="13" t="n"/>
      <c r="AJ20" s="13" t="n"/>
      <c r="AK20" s="13" t="n"/>
      <c r="AL20" s="13" t="n"/>
      <c r="AM20" s="13" t="n"/>
      <c r="AN20" s="13" t="n"/>
      <c r="AO20" s="13" t="n"/>
      <c r="AP20" s="13" t="n"/>
      <c r="AQ20" s="13" t="n"/>
      <c r="AR20" s="13" t="n"/>
      <c r="AS20" s="13" t="n"/>
    </row>
    <row r="21" hidden="1" customFormat="1" s="13">
      <c r="A21" s="175" t="inlineStr">
        <is>
          <t>E</t>
        </is>
      </c>
      <c r="B21" s="176">
        <f>IF(_epmOfflineCondition_,"C_ENTITY",EPMDimensionType(,A21))</f>
        <v/>
      </c>
      <c r="C21" s="447">
        <f>IF(_epmOfflineCondition_,"E100787",IF(B21="","",EPMContextMember(,B21)))</f>
        <v/>
      </c>
      <c r="D21" s="390">
        <f>IF(_epmOfflineCondition_,"内蒙古京能苏尼特风力发电有限公司（内蒙古分公司）",EPMOlapMemberO(D6,"[C_ENTITY].[PARENTH1].[E100268]","E100268 - 北京京煤集团有限责任公司","000"))</f>
        <v/>
      </c>
      <c r="E21" s="13" t="n"/>
      <c r="F21" s="384" t="n"/>
      <c r="G21" s="384" t="n"/>
      <c r="H21" s="13" t="n"/>
      <c r="I21" s="13" t="n"/>
      <c r="J21" s="13" t="n"/>
      <c r="K21" s="13" t="n"/>
      <c r="L21" s="13" t="n"/>
      <c r="M21" s="13" t="n"/>
      <c r="N21" s="13" t="n"/>
      <c r="O21" s="13" t="n"/>
      <c r="P21" s="13" t="n"/>
      <c r="Q21" s="13" t="n"/>
      <c r="R21" s="13" t="n"/>
      <c r="S21" s="1103" t="n"/>
      <c r="T21" s="13" t="n"/>
      <c r="U21" s="13" t="n"/>
      <c r="V21" s="13" t="n"/>
      <c r="W21" s="13" t="n"/>
      <c r="X21" s="171" t="n"/>
      <c r="Y21" s="601" t="n"/>
      <c r="Z21" s="384" t="n"/>
      <c r="AA21" s="13" t="n"/>
      <c r="AB21" s="13" t="n"/>
      <c r="AC21" s="13" t="n"/>
      <c r="AD21" s="13" t="n"/>
      <c r="AE21" s="13" t="n"/>
      <c r="AF21" s="13" t="n"/>
      <c r="AG21" s="13" t="n"/>
      <c r="AH21" s="13" t="n"/>
      <c r="AI21" s="13" t="n"/>
      <c r="AJ21" s="13" t="n"/>
      <c r="AK21" s="13" t="n"/>
      <c r="AL21" s="13" t="n"/>
      <c r="AM21" s="13" t="n"/>
      <c r="AN21" s="13" t="n"/>
      <c r="AO21" s="13" t="n"/>
      <c r="AP21" s="13" t="n"/>
      <c r="AQ21" s="13" t="n"/>
      <c r="AR21" s="13" t="n"/>
      <c r="AS21" s="13" t="n"/>
    </row>
    <row r="22" hidden="1" customFormat="1" s="13">
      <c r="A22" s="175" t="inlineStr">
        <is>
          <t>R</t>
        </is>
      </c>
      <c r="B22" s="176">
        <f>IF(_epmOfflineCondition_,"C_RPTCURRENCY",EPMDimensionType(,A22))</f>
        <v/>
      </c>
      <c r="C22" s="182">
        <f>Z37</f>
        <v/>
      </c>
      <c r="D22" s="998">
        <f>IF(_epmOfflineCondition_,"CNY",EPMOlapMemberO(C22,"[C_RPTCURRENCY].[].[CNY]","CNY - 人民币","","000"))</f>
        <v/>
      </c>
      <c r="E22" s="13" t="n"/>
      <c r="F22" s="384" t="n"/>
      <c r="G22" s="384" t="n"/>
      <c r="H22" s="13" t="n"/>
      <c r="I22" s="13" t="n"/>
      <c r="J22" s="13" t="n"/>
      <c r="K22" s="13" t="n"/>
      <c r="L22" s="13" t="n"/>
      <c r="M22" s="13" t="n"/>
      <c r="N22" s="13" t="n"/>
      <c r="O22" s="13" t="n"/>
      <c r="P22" s="13" t="n"/>
      <c r="Q22" s="13" t="n"/>
      <c r="R22" s="13" t="n"/>
      <c r="S22" s="1103" t="n"/>
      <c r="T22" s="13" t="n"/>
      <c r="U22" s="13" t="n"/>
      <c r="V22" s="13" t="n"/>
      <c r="W22" s="13" t="n"/>
      <c r="X22" s="171" t="n"/>
      <c r="Y22" s="601" t="n"/>
      <c r="Z22" s="384" t="n"/>
      <c r="AA22" s="13" t="n"/>
      <c r="AB22" s="13" t="n"/>
      <c r="AC22" s="13" t="n"/>
      <c r="AD22" s="13" t="n"/>
      <c r="AE22" s="13" t="n"/>
      <c r="AF22" s="13" t="n"/>
      <c r="AG22" s="13" t="n"/>
      <c r="AH22" s="13" t="n"/>
      <c r="AI22" s="13" t="n"/>
      <c r="AJ22" s="13" t="n"/>
      <c r="AK22" s="13" t="n"/>
      <c r="AL22" s="13" t="n"/>
      <c r="AM22" s="13" t="n"/>
      <c r="AN22" s="13" t="n"/>
      <c r="AO22" s="13" t="n"/>
      <c r="AP22" s="13" t="n"/>
      <c r="AQ22" s="13" t="n"/>
      <c r="AR22" s="13" t="n"/>
      <c r="AS22" s="13" t="n"/>
    </row>
    <row r="23" hidden="1" customFormat="1" s="13">
      <c r="A23" s="175" t="inlineStr">
        <is>
          <t>D</t>
        </is>
      </c>
      <c r="B23" s="176">
        <f>IF(_epmOfflineCondition_,"C_AUDITTRAIL",EPMDimensionType(,A23))</f>
        <v/>
      </c>
      <c r="C23" s="447">
        <f>IF(_epmOfflineCondition_,"DTOTAL",IF(B23="","",EPMContextMember(,B23)))</f>
        <v/>
      </c>
      <c r="D23" s="390" t="n"/>
      <c r="E23" s="13" t="n"/>
      <c r="F23" s="384" t="n"/>
      <c r="G23" s="384" t="n"/>
      <c r="H23" s="13" t="n"/>
      <c r="I23" s="13" t="n"/>
      <c r="J23" s="13" t="n"/>
      <c r="K23" s="13" t="n"/>
      <c r="L23" s="13" t="n"/>
      <c r="M23" s="13" t="n"/>
      <c r="N23" s="13" t="n"/>
      <c r="O23" s="13" t="n"/>
      <c r="P23" s="13" t="n"/>
      <c r="Q23" s="13" t="n"/>
      <c r="R23" s="13" t="n"/>
      <c r="S23" s="1103" t="n"/>
      <c r="T23" s="13" t="n"/>
      <c r="U23" s="13" t="n"/>
      <c r="V23" s="13" t="n"/>
      <c r="W23" s="13" t="n"/>
      <c r="X23" s="171" t="n"/>
      <c r="Y23" s="601" t="n"/>
      <c r="Z23" s="384" t="n"/>
      <c r="AA23" s="13" t="n"/>
      <c r="AB23" s="13" t="n"/>
      <c r="AC23" s="13" t="n"/>
      <c r="AD23" s="13" t="n"/>
      <c r="AE23" s="13" t="n"/>
      <c r="AF23" s="13" t="n"/>
      <c r="AG23" s="13" t="n"/>
      <c r="AH23" s="13" t="n"/>
      <c r="AI23" s="13" t="n"/>
      <c r="AJ23" s="13" t="n"/>
      <c r="AK23" s="13" t="n"/>
      <c r="AL23" s="13" t="n"/>
      <c r="AM23" s="13" t="n"/>
      <c r="AN23" s="13" t="n"/>
      <c r="AO23" s="13" t="n"/>
      <c r="AP23" s="13" t="n"/>
      <c r="AQ23" s="13" t="n"/>
      <c r="AR23" s="13" t="n"/>
      <c r="AS23" s="13" t="n"/>
    </row>
    <row r="24" hidden="1" customFormat="1" s="13">
      <c r="A24" s="175" t="inlineStr">
        <is>
          <t>S</t>
        </is>
      </c>
      <c r="B24" s="176">
        <f>IF(_epmOfflineCondition_,"C_FLOW",EPMDimensionType(,A24))</f>
        <v/>
      </c>
      <c r="C24" s="176">
        <f>IF(_epmOfflineCondition_,"F20",IF(B24="","",EPMContextMember(,B24)))</f>
        <v/>
      </c>
      <c r="D24" s="390" t="n"/>
      <c r="E24" s="13" t="n"/>
      <c r="F24" s="384" t="n"/>
      <c r="G24" s="384" t="n"/>
      <c r="H24" s="13" t="n"/>
      <c r="I24" s="13" t="n"/>
      <c r="J24" s="13" t="n"/>
      <c r="K24" s="13" t="n"/>
      <c r="L24" s="13" t="n"/>
      <c r="M24" s="13" t="n"/>
      <c r="N24" s="13" t="n"/>
      <c r="O24" s="13" t="n"/>
      <c r="P24" s="13" t="n"/>
      <c r="Q24" s="13" t="n"/>
      <c r="R24" s="13" t="n"/>
      <c r="S24" s="1103" t="n"/>
      <c r="T24" s="13" t="n"/>
      <c r="U24" s="13" t="n"/>
      <c r="V24" s="13" t="n"/>
      <c r="W24" s="13" t="n"/>
      <c r="X24" s="171" t="n"/>
      <c r="Y24" s="601" t="n"/>
      <c r="Z24" s="384" t="n"/>
      <c r="AA24" s="13" t="n"/>
      <c r="AB24" s="13" t="n"/>
      <c r="AC24" s="13" t="n"/>
      <c r="AD24" s="13" t="n"/>
      <c r="AE24" s="13" t="n"/>
      <c r="AF24" s="13" t="n"/>
      <c r="AG24" s="13" t="n"/>
      <c r="AH24" s="13" t="n"/>
      <c r="AI24" s="13" t="n"/>
      <c r="AJ24" s="13" t="n"/>
      <c r="AK24" s="13" t="n"/>
      <c r="AL24" s="13" t="n"/>
      <c r="AM24" s="13" t="n"/>
      <c r="AN24" s="13" t="n"/>
      <c r="AO24" s="13" t="n"/>
      <c r="AP24" s="13" t="n"/>
      <c r="AQ24" s="13" t="n"/>
      <c r="AR24" s="13" t="n"/>
      <c r="AS24" s="13" t="n"/>
    </row>
    <row r="25" hidden="1" customFormat="1" s="13">
      <c r="A25" s="175" t="inlineStr">
        <is>
          <t>I</t>
        </is>
      </c>
      <c r="B25" s="176">
        <f>IF(_epmOfflineCondition_,"C_INTERCO",EPMDimensionType(,A25))</f>
        <v/>
      </c>
      <c r="C25" s="176" t="inlineStr">
        <is>
          <t>I_ALL</t>
        </is>
      </c>
      <c r="D25" s="390">
        <f>IF(_epmOfflineCondition_,"I_ALL",EPMOlapMemberO(C25,"[C_INTERCO].[PARENTH1].[I_ALL]","I_ALL - 全部贸易伙伴","","000"))</f>
        <v/>
      </c>
      <c r="E25" s="13" t="n"/>
      <c r="F25" s="384" t="n"/>
      <c r="G25" s="384" t="n"/>
      <c r="H25" s="13" t="n"/>
      <c r="I25" s="13" t="n"/>
      <c r="J25" s="13" t="n"/>
      <c r="K25" s="13" t="n"/>
      <c r="L25" s="13" t="n"/>
      <c r="M25" s="13" t="n"/>
      <c r="N25" s="13" t="n"/>
      <c r="O25" s="13" t="n"/>
      <c r="P25" s="13" t="n"/>
      <c r="Q25" s="13" t="n"/>
      <c r="R25" s="13" t="n"/>
      <c r="S25" s="1103" t="n"/>
      <c r="T25" s="13" t="n"/>
      <c r="U25" s="13" t="n"/>
      <c r="V25" s="13" t="n"/>
      <c r="W25" s="13" t="n"/>
      <c r="X25" s="171" t="n"/>
      <c r="Y25" s="601" t="n"/>
      <c r="Z25" s="178" t="inlineStr">
        <is>
          <t>CATEGORY</t>
        </is>
      </c>
      <c r="AA25" s="178" t="inlineStr">
        <is>
          <t>C1001</t>
        </is>
      </c>
      <c r="AB25" s="178" t="inlineStr">
        <is>
          <t>C1001</t>
        </is>
      </c>
      <c r="AC25" s="178">
        <f>$C$4</f>
        <v/>
      </c>
      <c r="AD25" s="178">
        <f>$C$4</f>
        <v/>
      </c>
      <c r="AE25" s="178">
        <f>$C$4</f>
        <v/>
      </c>
      <c r="AF25" s="13" t="n"/>
      <c r="AG25" s="384" t="n"/>
      <c r="AH25" s="13" t="n"/>
      <c r="AI25" s="13" t="n"/>
      <c r="AJ25" s="13" t="n"/>
      <c r="AK25" s="13" t="n"/>
      <c r="AL25" s="13" t="n"/>
      <c r="AM25" s="13" t="n"/>
      <c r="AN25" s="13" t="n"/>
      <c r="AO25" s="13" t="n"/>
      <c r="AP25" s="13" t="n"/>
      <c r="AQ25" s="13" t="n"/>
      <c r="AR25" s="13" t="n"/>
      <c r="AS25" s="13" t="n"/>
    </row>
    <row r="26" hidden="1" customFormat="1" s="13">
      <c r="A26" s="175" t="inlineStr">
        <is>
          <t>G</t>
        </is>
      </c>
      <c r="B26" s="176">
        <f>IF(_epmOfflineCondition_,"C_SCOPE",EPMDimensionType(,A26))</f>
        <v/>
      </c>
      <c r="C26" s="182" t="inlineStr">
        <is>
          <t>G_DUMMY</t>
        </is>
      </c>
      <c r="D26" s="390">
        <f>IF(_epmOfflineCondition_,"E100787",EPMOlapMemberO(C6,"[C_ENTITY].[PARENTH1].[E100787]","E100787 - 内蒙古京能苏尼特风力发电有限公司（内蒙古分公司）","","000"))</f>
        <v/>
      </c>
      <c r="E26" s="13" t="n"/>
      <c r="F26" s="384" t="n"/>
      <c r="G26" s="384" t="n"/>
      <c r="H26" s="13" t="n"/>
      <c r="I26" s="13" t="n"/>
      <c r="J26" s="13" t="n"/>
      <c r="K26" s="13" t="n"/>
      <c r="L26" s="13" t="n"/>
      <c r="M26" s="13" t="n"/>
      <c r="N26" s="13" t="n"/>
      <c r="O26" s="13" t="n"/>
      <c r="P26" s="13" t="n"/>
      <c r="Q26" s="13" t="n"/>
      <c r="R26" s="13" t="n"/>
      <c r="S26" s="1103" t="n"/>
      <c r="T26" s="13" t="n"/>
      <c r="U26" s="13" t="n"/>
      <c r="V26" s="13" t="n"/>
      <c r="W26" s="13" t="n"/>
      <c r="X26" s="171" t="n"/>
      <c r="Y26" s="601" t="n"/>
      <c r="Z26" s="464" t="inlineStr">
        <is>
          <t>TIME</t>
        </is>
      </c>
      <c r="AA26" s="464">
        <f>$I$11</f>
        <v/>
      </c>
      <c r="AB26" s="464">
        <f>$I$11</f>
        <v/>
      </c>
      <c r="AC26" s="464">
        <f>$I$11</f>
        <v/>
      </c>
      <c r="AD26" s="178">
        <f>$J$4</f>
        <v/>
      </c>
      <c r="AE26" s="200">
        <f>$I$13</f>
        <v/>
      </c>
      <c r="AF26" s="13" t="n"/>
      <c r="AG26" s="384" t="n"/>
      <c r="AH26" s="13" t="n"/>
      <c r="AI26" s="13" t="n"/>
      <c r="AJ26" s="13" t="n"/>
      <c r="AK26" s="13" t="n"/>
      <c r="AL26" s="13" t="n"/>
      <c r="AM26" s="13" t="n"/>
      <c r="AN26" s="13" t="n"/>
      <c r="AO26" s="13" t="n"/>
      <c r="AP26" s="13" t="n"/>
      <c r="AQ26" s="13" t="n"/>
      <c r="AR26" s="13" t="n"/>
      <c r="AS26" s="13" t="n"/>
    </row>
    <row r="27" hidden="1" customFormat="1" s="13">
      <c r="A27" s="175" t="inlineStr">
        <is>
          <t>U8</t>
        </is>
      </c>
      <c r="B27" s="176">
        <f>IF(_epmOfflineCondition_,"C_PROJECT",EPMDimensionType(,A27))</f>
        <v/>
      </c>
      <c r="C27" s="180" t="inlineStr">
        <is>
          <t>ZP_ALL</t>
        </is>
      </c>
      <c r="D27" s="390">
        <f>IF(_epmOfflineCondition_,"ZP_ALL - 项目合计",EPMOlapMemberO("[C_PROJECT].[PARENTH1].[ZP_ALL]","","ZP_ALL - 项目合计","","000"))</f>
        <v/>
      </c>
      <c r="E27" s="13" t="n"/>
      <c r="F27" s="384" t="n"/>
      <c r="G27" s="384" t="n"/>
      <c r="H27" s="13" t="n"/>
      <c r="I27" s="13" t="n"/>
      <c r="J27" s="13" t="n"/>
      <c r="K27" s="13" t="n"/>
      <c r="L27" s="13" t="n"/>
      <c r="M27" s="13" t="n"/>
      <c r="N27" s="13" t="n"/>
      <c r="O27" s="13" t="n"/>
      <c r="P27" s="13" t="n"/>
      <c r="Q27" s="13" t="n"/>
      <c r="R27" s="13" t="n"/>
      <c r="S27" s="1103" t="n"/>
      <c r="T27" s="13" t="n"/>
      <c r="U27" s="13" t="n"/>
      <c r="V27" s="13" t="n"/>
      <c r="W27" s="13" t="n"/>
      <c r="X27" s="171" t="n"/>
      <c r="Y27" s="601" t="n"/>
      <c r="Z27" s="200" t="inlineStr">
        <is>
          <t>MEASURES</t>
        </is>
      </c>
      <c r="AA27" s="200" t="inlineStr">
        <is>
          <t>YTD</t>
        </is>
      </c>
      <c r="AB27" s="200" t="inlineStr">
        <is>
          <t>YTD</t>
        </is>
      </c>
      <c r="AC27" s="200" t="inlineStr">
        <is>
          <t>Periodic</t>
        </is>
      </c>
      <c r="AD27" s="200" t="inlineStr">
        <is>
          <t>Periodic</t>
        </is>
      </c>
      <c r="AE27" s="200" t="inlineStr">
        <is>
          <t>Periodic</t>
        </is>
      </c>
      <c r="AF27" s="200" t="n"/>
      <c r="AG27" s="200" t="n"/>
      <c r="AH27" s="13" t="n"/>
      <c r="AI27" s="13" t="n"/>
      <c r="AJ27" s="13" t="n"/>
      <c r="AK27" s="13" t="n"/>
      <c r="AL27" s="13" t="n"/>
      <c r="AM27" s="13" t="n"/>
      <c r="AN27" s="13" t="n"/>
      <c r="AO27" s="13" t="n"/>
      <c r="AP27" s="13" t="n"/>
      <c r="AQ27" s="13" t="n"/>
      <c r="AR27" s="13" t="n"/>
      <c r="AS27" s="13" t="n"/>
    </row>
    <row r="28" hidden="1" customFormat="1" s="13">
      <c r="A28" s="175" t="inlineStr">
        <is>
          <t>U9</t>
        </is>
      </c>
      <c r="B28" s="176">
        <f>IF(_epmOfflineCondition_,"C_ITEM",EPMDimensionType(,A28))</f>
        <v/>
      </c>
      <c r="C28" s="180" t="inlineStr">
        <is>
          <t>ZT_ALL</t>
        </is>
      </c>
      <c r="D28" s="390">
        <f>IF(_epmOfflineCondition_,"ZI_ALL - 全部ITEM",EPMOlapMemberO("[C_ITEM].[PARENTH1].[ZI_ALL]","","ZI_ALL - 全部ITEM","","000"))</f>
        <v/>
      </c>
      <c r="E28" s="13" t="n"/>
      <c r="F28" s="384" t="n"/>
      <c r="G28" s="384" t="n"/>
      <c r="H28" s="13" t="n"/>
      <c r="I28" s="13" t="n"/>
      <c r="J28" s="13" t="n"/>
      <c r="K28" s="13" t="n"/>
      <c r="L28" s="13" t="n"/>
      <c r="M28" s="13" t="n"/>
      <c r="N28" s="13" t="n"/>
      <c r="O28" s="13" t="n"/>
      <c r="P28" s="13" t="n"/>
      <c r="Q28" s="13" t="n"/>
      <c r="R28" s="13" t="n"/>
      <c r="S28" s="1103" t="n"/>
      <c r="T28" s="13" t="n"/>
      <c r="U28" s="13" t="n"/>
      <c r="V28" s="13" t="n"/>
      <c r="W28" s="13" t="n"/>
      <c r="X28" s="171" t="n"/>
      <c r="Y28" s="601" t="n"/>
      <c r="Z28" s="200" t="inlineStr">
        <is>
          <t>FLOW</t>
        </is>
      </c>
      <c r="AA28" s="200" t="inlineStr">
        <is>
          <t>F20</t>
        </is>
      </c>
      <c r="AB28" s="200" t="inlineStr">
        <is>
          <t>F20</t>
        </is>
      </c>
      <c r="AC28" s="200" t="inlineStr">
        <is>
          <t>F20</t>
        </is>
      </c>
      <c r="AD28" s="200" t="inlineStr">
        <is>
          <t>F99</t>
        </is>
      </c>
      <c r="AE28" s="200" t="inlineStr">
        <is>
          <t>FEND</t>
        </is>
      </c>
      <c r="AF28" s="200" t="inlineStr">
        <is>
          <t>FMOV</t>
        </is>
      </c>
      <c r="AG28" s="200" t="inlineStr">
        <is>
          <t>FEND</t>
        </is>
      </c>
      <c r="AH28" s="13" t="n"/>
      <c r="AI28" s="13" t="n"/>
      <c r="AJ28" s="13" t="n"/>
      <c r="AK28" s="13" t="n"/>
      <c r="AL28" s="13" t="n"/>
      <c r="AM28" s="13" t="n"/>
      <c r="AN28" s="13" t="n"/>
      <c r="AO28" s="13" t="n"/>
      <c r="AP28" s="13" t="n"/>
      <c r="AQ28" s="13" t="n"/>
      <c r="AR28" s="13" t="n"/>
      <c r="AS28" s="13" t="n"/>
    </row>
    <row r="29" hidden="1" customFormat="1" s="13">
      <c r="A29" s="175" t="inlineStr">
        <is>
          <t>U10</t>
        </is>
      </c>
      <c r="B29" s="176">
        <f>IF(_epmOfflineCondition_,"C_MISK",EPMDimensionType(,A29))</f>
        <v/>
      </c>
      <c r="C29" s="449" t="inlineStr">
        <is>
          <t>ZM_ALL</t>
        </is>
      </c>
      <c r="D29" s="390">
        <f>IF(_epmOfflineCondition_,"ZM_ALL - ALL",EPMOlapMemberO("[C_MISK].[PARENTH1].[ZM_ALL]","","ZM_ALL - ALL","","000"))</f>
        <v/>
      </c>
      <c r="E29" s="13" t="n"/>
      <c r="F29" s="384" t="n"/>
      <c r="G29" s="384" t="n"/>
      <c r="H29" s="13" t="n"/>
      <c r="I29" s="13" t="n"/>
      <c r="J29" s="13" t="n"/>
      <c r="K29" s="13" t="n"/>
      <c r="L29" s="13" t="n"/>
      <c r="M29" s="13" t="n"/>
      <c r="N29" s="13" t="n"/>
      <c r="O29" s="13" t="n"/>
      <c r="P29" s="13" t="n"/>
      <c r="Q29" s="13" t="n"/>
      <c r="R29" s="13" t="n"/>
      <c r="S29" s="1103" t="n"/>
      <c r="T29" s="13" t="n"/>
      <c r="U29" s="13" t="n"/>
      <c r="V29" s="13" t="n"/>
      <c r="W29" s="13" t="n"/>
      <c r="X29" s="171" t="n"/>
      <c r="Y29" s="601" t="n"/>
      <c r="Z29" s="200" t="inlineStr">
        <is>
          <t>AUDITTRAIL</t>
        </is>
      </c>
      <c r="AA29" s="200" t="inlineStr">
        <is>
          <t>DLC_BK</t>
        </is>
      </c>
      <c r="AB29" s="200" t="inlineStr">
        <is>
          <t>DLC_RC</t>
        </is>
      </c>
      <c r="AC29" s="200" t="inlineStr">
        <is>
          <t>DALL</t>
        </is>
      </c>
      <c r="AD29" s="200" t="inlineStr">
        <is>
          <t>DLC</t>
        </is>
      </c>
      <c r="AE29" s="200" t="inlineStr">
        <is>
          <t>DLC</t>
        </is>
      </c>
      <c r="AF29" s="200" t="inlineStr">
        <is>
          <t>DLC_ADJ</t>
        </is>
      </c>
      <c r="AG29" s="384" t="n"/>
      <c r="AH29" s="13" t="n"/>
      <c r="AI29" s="13" t="n"/>
      <c r="AJ29" s="13" t="n"/>
      <c r="AK29" s="13" t="inlineStr">
        <is>
          <t>C3003</t>
        </is>
      </c>
      <c r="AL29" s="13" t="inlineStr">
        <is>
          <t>C3003</t>
        </is>
      </c>
      <c r="AM29" s="13" t="inlineStr">
        <is>
          <t>C3003</t>
        </is>
      </c>
      <c r="AN29" s="13" t="inlineStr">
        <is>
          <t>C3003</t>
        </is>
      </c>
      <c r="AO29" s="13" t="inlineStr">
        <is>
          <t>C3003</t>
        </is>
      </c>
      <c r="AP29" s="13" t="inlineStr">
        <is>
          <t>C3003</t>
        </is>
      </c>
      <c r="AQ29" s="13" t="inlineStr">
        <is>
          <t>C3002</t>
        </is>
      </c>
      <c r="AR29" s="13" t="inlineStr">
        <is>
          <t>C3003</t>
        </is>
      </c>
      <c r="AS29" s="13" t="inlineStr">
        <is>
          <t>C3003</t>
        </is>
      </c>
    </row>
    <row r="30" hidden="1" customFormat="1" s="13">
      <c r="A30" s="175" t="n"/>
      <c r="B30" s="175">
        <f>IF(_epmOfflineCondition_,"",EPMDimensionType(,A30))</f>
        <v/>
      </c>
      <c r="C30" s="182" t="inlineStr">
        <is>
          <t>PERIODIC</t>
        </is>
      </c>
      <c r="D30" s="390" t="n"/>
      <c r="E30" s="13" t="n"/>
      <c r="F30" s="384" t="n"/>
      <c r="G30" s="384" t="n"/>
      <c r="H30" s="13" t="n"/>
      <c r="I30" s="13" t="n"/>
      <c r="J30" s="13" t="n"/>
      <c r="K30" s="13" t="n"/>
      <c r="L30" s="13" t="n"/>
      <c r="M30" s="13" t="n"/>
      <c r="N30" s="13" t="n"/>
      <c r="O30" s="13" t="n"/>
      <c r="P30" s="13" t="n"/>
      <c r="Q30" s="13" t="n"/>
      <c r="R30" s="13" t="n"/>
      <c r="S30" s="1103" t="n"/>
      <c r="T30" s="13" t="n"/>
      <c r="U30" s="13" t="n"/>
      <c r="V30" s="13" t="n"/>
      <c r="W30" s="13" t="n"/>
      <c r="X30" s="171" t="n"/>
      <c r="Y30" s="601" t="n"/>
      <c r="Z30" s="13" t="n"/>
      <c r="AA30" s="13">
        <f>IF(_epmOfflineCondition_,"单体账面",EPMMemberDesc(AA29))</f>
        <v/>
      </c>
      <c r="AB30" s="13">
        <f>IF(_epmOfflineCondition_,"单体重分类",EPMMemberDesc(AB29))</f>
        <v/>
      </c>
      <c r="AC30" s="13">
        <f>IF(_epmOfflineCondition_,"合并后",EPMMemberDesc(AC29))</f>
        <v/>
      </c>
      <c r="AD30" s="13">
        <f>IF(_epmOfflineCondition_,"单体报表",EPMMemberDesc(AD29))</f>
        <v/>
      </c>
      <c r="AE30" s="13">
        <f>IF(_epmOfflineCondition_,"单体报表",EPMMemberDesc(AE29))</f>
        <v/>
      </c>
      <c r="AF30" s="13">
        <f>IF(_epmOfflineCondition_,"单体调整",EPMMemberDesc(AF29))</f>
        <v/>
      </c>
      <c r="AG30" s="384" t="n"/>
      <c r="AH30" s="13" t="n"/>
      <c r="AI30" s="13" t="n"/>
      <c r="AJ30" s="13" t="n"/>
      <c r="AK30" s="13" t="n"/>
      <c r="AL30" s="13" t="n"/>
      <c r="AM30" s="13" t="n"/>
      <c r="AN30" s="13" t="n"/>
      <c r="AO30" s="13" t="n"/>
      <c r="AP30" s="13" t="n"/>
      <c r="AQ30" s="13" t="n"/>
      <c r="AR30" s="13" t="n"/>
      <c r="AS30" s="13" t="n"/>
    </row>
    <row r="31" hidden="1" customFormat="1" s="13">
      <c r="A31" s="13" t="n"/>
      <c r="B31" s="1103" t="n"/>
      <c r="C31" s="1103" t="n"/>
      <c r="D31" s="1103" t="n"/>
      <c r="E31" s="13" t="n"/>
      <c r="F31" s="13" t="n"/>
      <c r="G31" s="13" t="n"/>
      <c r="H31" s="13" t="n"/>
      <c r="I31" s="13" t="n"/>
      <c r="J31" s="13" t="n"/>
      <c r="K31" s="13" t="n"/>
      <c r="L31" s="13" t="n"/>
      <c r="M31" s="13" t="n"/>
      <c r="N31" s="13" t="n"/>
      <c r="O31" s="13" t="n"/>
      <c r="P31" s="13" t="n"/>
      <c r="Q31" s="13" t="n"/>
      <c r="R31" s="13" t="n"/>
      <c r="S31" s="1103" t="n"/>
      <c r="T31" s="13" t="n"/>
      <c r="U31" s="13" t="n"/>
      <c r="V31" s="13" t="n"/>
      <c r="W31" s="13" t="n"/>
      <c r="X31" s="171" t="n"/>
      <c r="Y31" s="601" t="n"/>
      <c r="Z31" s="13" t="n"/>
      <c r="AA31" s="13" t="n"/>
      <c r="AB31" s="13" t="n"/>
      <c r="AC31" s="13" t="n"/>
      <c r="AD31" s="13" t="n"/>
      <c r="AE31" s="13" t="n"/>
      <c r="AF31" s="13" t="n"/>
      <c r="AG31" s="13" t="n"/>
      <c r="AH31" s="13" t="n"/>
      <c r="AI31" s="13" t="n"/>
      <c r="AJ31" s="13" t="n"/>
      <c r="AK31" s="13" t="n"/>
      <c r="AL31" s="13" t="n"/>
      <c r="AM31" s="13" t="n"/>
      <c r="AN31" s="13" t="n"/>
      <c r="AO31" s="13" t="n"/>
      <c r="AP31" s="13" t="n"/>
      <c r="AQ31" s="13" t="n"/>
      <c r="AR31" s="13" t="n"/>
      <c r="AS31" s="13" t="n"/>
    </row>
    <row r="32" customFormat="1" s="13">
      <c r="A32" s="13" t="n"/>
      <c r="B32" s="1103" t="n"/>
      <c r="C32" s="1103" t="n"/>
      <c r="D32" s="1103" t="n"/>
      <c r="E32" s="13" t="n"/>
      <c r="F32" s="13" t="n"/>
      <c r="G32" s="13" t="n"/>
      <c r="H32" s="13" t="n"/>
      <c r="I32" s="13" t="n"/>
      <c r="J32" s="13" t="n"/>
      <c r="K32" s="13" t="n"/>
      <c r="L32" s="13" t="n"/>
      <c r="M32" s="13" t="n"/>
      <c r="N32" s="13" t="n"/>
      <c r="O32" s="13" t="n"/>
      <c r="P32" s="13" t="n"/>
      <c r="Q32" s="13" t="n"/>
      <c r="R32" s="13" t="n"/>
      <c r="S32" s="1103" t="n"/>
      <c r="T32" s="13" t="n"/>
      <c r="U32" s="13" t="n"/>
      <c r="V32" s="13" t="n"/>
      <c r="W32" s="13" t="n"/>
      <c r="X32" s="171" t="n"/>
      <c r="Y32" s="601" t="n"/>
      <c r="Z32" s="13" t="n"/>
      <c r="AA32" s="13" t="n"/>
      <c r="AB32" s="13" t="n"/>
      <c r="AC32" s="13" t="n"/>
      <c r="AD32" s="13" t="n"/>
      <c r="AE32" s="13" t="n"/>
      <c r="AF32" s="13" t="n"/>
      <c r="AG32" s="13" t="n"/>
      <c r="AH32" s="13" t="n"/>
      <c r="AI32" s="13" t="n"/>
      <c r="AJ32" s="13" t="n"/>
      <c r="AK32" s="13" t="n"/>
      <c r="AL32" s="13" t="n"/>
      <c r="AM32" s="13" t="n"/>
      <c r="AN32" s="13" t="n"/>
      <c r="AO32" s="13" t="n"/>
      <c r="AP32" s="13" t="n"/>
      <c r="AQ32" s="13" t="n"/>
      <c r="AR32" s="13" t="n"/>
      <c r="AS32" s="13" t="n"/>
    </row>
    <row r="33" customFormat="1" s="13">
      <c r="A33" s="13" t="n"/>
      <c r="B33" s="1103" t="n"/>
      <c r="C33" s="1103" t="n"/>
      <c r="D33" s="1103" t="n"/>
      <c r="E33" s="13" t="n"/>
      <c r="F33" s="13" t="n"/>
      <c r="G33" s="13" t="n"/>
      <c r="H33" s="13" t="n"/>
      <c r="I33" s="13" t="n"/>
      <c r="J33" s="13" t="n"/>
      <c r="K33" s="13" t="n"/>
      <c r="L33" s="13" t="n"/>
      <c r="M33" s="13" t="n"/>
      <c r="N33" s="13" t="n"/>
      <c r="O33" s="13" t="n"/>
      <c r="P33" s="13" t="n"/>
      <c r="Q33" s="13" t="n"/>
      <c r="R33" s="13" t="n"/>
      <c r="S33" s="1103" t="n"/>
      <c r="T33" s="13" t="n"/>
      <c r="U33" s="13" t="n"/>
      <c r="V33" s="13" t="n"/>
      <c r="W33" s="13" t="n"/>
      <c r="X33" s="171" t="n"/>
      <c r="Y33" s="601" t="n"/>
      <c r="Z33" s="13" t="n"/>
      <c r="AA33" s="13" t="n"/>
      <c r="AB33" s="13" t="n"/>
      <c r="AC33" s="13" t="n"/>
      <c r="AD33" s="13" t="n"/>
      <c r="AE33" s="13" t="n"/>
      <c r="AF33" s="13" t="n"/>
      <c r="AG33" s="13" t="n"/>
      <c r="AH33" s="13" t="n"/>
      <c r="AI33" s="13" t="n"/>
      <c r="AJ33" s="13" t="n"/>
      <c r="AK33" s="13" t="n"/>
      <c r="AL33" s="13" t="n"/>
      <c r="AM33" s="13" t="n"/>
      <c r="AN33" s="13" t="n"/>
      <c r="AO33" s="13" t="n"/>
      <c r="AP33" s="13" t="n"/>
      <c r="AQ33" s="13" t="n"/>
      <c r="AR33" s="13" t="n"/>
      <c r="AS33" s="13" t="n"/>
    </row>
    <row r="34" ht="10.35" customFormat="1" customHeight="1" s="13">
      <c r="A34" s="13" t="n"/>
      <c r="B34" s="1103" t="n"/>
      <c r="C34" s="1103" t="n"/>
      <c r="D34" s="1103" t="n"/>
      <c r="E34" s="13" t="n"/>
      <c r="F34" s="13" t="n"/>
      <c r="G34" s="13" t="n"/>
      <c r="H34" s="13" t="n"/>
      <c r="I34" s="13" t="n"/>
      <c r="J34" s="13" t="n"/>
      <c r="K34" s="13" t="n"/>
      <c r="L34" s="13" t="n"/>
      <c r="M34" s="13" t="n"/>
      <c r="N34" s="13" t="n"/>
      <c r="O34" s="13" t="n"/>
      <c r="P34" s="13" t="n"/>
      <c r="Q34" s="13" t="n"/>
      <c r="R34" s="13" t="n"/>
      <c r="S34" s="1103" t="n"/>
      <c r="T34" s="13" t="n"/>
      <c r="U34" s="13" t="n"/>
      <c r="V34" s="13" t="n"/>
      <c r="W34" s="13" t="n"/>
      <c r="X34" s="171" t="n"/>
      <c r="Y34" s="601" t="n"/>
      <c r="Z34" s="13" t="n"/>
      <c r="AA34" s="13" t="n"/>
      <c r="AB34" s="13" t="n"/>
      <c r="AC34" s="13" t="n"/>
      <c r="AD34" s="13" t="n"/>
      <c r="AE34" s="13" t="n"/>
      <c r="AF34" s="13" t="n"/>
      <c r="AG34" s="13" t="n"/>
      <c r="AH34" s="13" t="n"/>
      <c r="AI34" s="13" t="n"/>
      <c r="AJ34" s="13" t="n"/>
      <c r="AK34" s="13" t="n"/>
      <c r="AL34" s="13" t="n"/>
      <c r="AM34" s="13" t="n"/>
      <c r="AN34" s="13" t="n"/>
      <c r="AO34" s="13" t="n"/>
      <c r="AP34" s="13" t="n"/>
      <c r="AQ34" s="13" t="n"/>
      <c r="AR34" s="13" t="n"/>
      <c r="AS34" s="13" t="n"/>
    </row>
    <row r="35" ht="32.25" customFormat="1" customHeight="1" s="155">
      <c r="A35" s="384" t="n"/>
      <c r="B35" s="384" t="n"/>
      <c r="C35" s="384" t="n"/>
      <c r="D35" s="384" t="n"/>
      <c r="E35" s="384" t="n"/>
      <c r="F35" s="384" t="n"/>
      <c r="G35" s="384" t="n"/>
      <c r="H35" s="384" t="n"/>
      <c r="I35" s="384" t="n"/>
      <c r="J35" s="384" t="n"/>
      <c r="K35" s="384" t="n"/>
      <c r="L35" s="384" t="n"/>
      <c r="M35" s="384" t="n"/>
      <c r="N35" s="384" t="n"/>
      <c r="O35" s="384" t="n"/>
      <c r="P35" s="384" t="n"/>
      <c r="Q35" s="384" t="n"/>
      <c r="R35" s="384" t="n"/>
      <c r="S35" s="32" t="n"/>
      <c r="T35" s="384" t="n"/>
      <c r="U35" s="384" t="n"/>
      <c r="V35" s="384" t="n"/>
      <c r="W35" s="384" t="n"/>
      <c r="X35" s="38" t="n"/>
      <c r="Y35" s="706" t="n"/>
      <c r="Z35" s="13" t="n"/>
      <c r="AA35" s="190" t="n"/>
      <c r="AB35" s="465" t="n"/>
      <c r="AC35" s="384" t="n"/>
      <c r="AD35" s="465" t="n"/>
      <c r="AE35" s="465" t="inlineStr">
        <is>
          <t>主营业务收入成本明细表</t>
        </is>
      </c>
      <c r="AF35" s="384" t="n"/>
      <c r="AG35" s="384" t="n"/>
      <c r="AH35" s="384" t="n"/>
      <c r="AI35" s="384" t="n"/>
      <c r="AJ35" s="384" t="n"/>
      <c r="AK35" s="384" t="n"/>
      <c r="AL35" s="384" t="n"/>
      <c r="AM35" s="384" t="n"/>
      <c r="AN35" s="384" t="n"/>
      <c r="AO35" s="384" t="n"/>
      <c r="AP35" s="384" t="n"/>
      <c r="AQ35" s="384" t="n"/>
      <c r="AR35" s="384" t="n"/>
      <c r="AS35" s="384" t="n"/>
    </row>
    <row r="36" ht="15.2" customFormat="1" customHeight="1" s="489">
      <c r="A36" s="716" t="n"/>
      <c r="B36" s="716" t="n"/>
      <c r="C36" s="716" t="n"/>
      <c r="D36" s="716" t="n"/>
      <c r="E36" s="716" t="n"/>
      <c r="F36" s="716" t="n"/>
      <c r="G36" s="716" t="n"/>
      <c r="H36" s="716" t="n"/>
      <c r="I36" s="716" t="n"/>
      <c r="J36" s="716" t="n"/>
      <c r="K36" s="716" t="n"/>
      <c r="L36" s="716" t="n"/>
      <c r="M36" s="716" t="n"/>
      <c r="N36" s="716" t="n"/>
      <c r="O36" s="716" t="n"/>
      <c r="P36" s="716" t="n"/>
      <c r="Q36" s="716" t="n"/>
      <c r="R36" s="716" t="n"/>
      <c r="S36" s="462" t="n"/>
      <c r="T36" s="716" t="n"/>
      <c r="U36" s="716" t="n"/>
      <c r="V36" s="716" t="n"/>
      <c r="W36" s="716" t="n"/>
      <c r="X36" s="190">
        <f>IF(_epmOfflineCondition_,"编制单位：内蒙古京能苏尼特风力发电有限公司（内蒙古分公司）","编制单位："&amp;EPMMemberDesc($D$6))</f>
        <v/>
      </c>
      <c r="Y36" s="707" t="n"/>
      <c r="Z36" s="716" t="n"/>
      <c r="AA36" s="190" t="n"/>
      <c r="AB36" s="716" t="n"/>
      <c r="AC36" s="716" t="n"/>
      <c r="AD36" s="716" t="n"/>
      <c r="AE36" s="716" t="n"/>
      <c r="AF36" s="716" t="n"/>
      <c r="AG36" s="716" t="n"/>
      <c r="AH36" s="716" t="n"/>
      <c r="AI36" s="716" t="n"/>
      <c r="AJ36" s="716" t="n"/>
      <c r="AK36" s="716" t="n"/>
      <c r="AL36" s="716" t="n"/>
      <c r="AM36" s="716" t="n"/>
      <c r="AN36" s="716" t="n"/>
      <c r="AO36" s="716" t="n"/>
      <c r="AP36" s="716" t="n"/>
      <c r="AQ36" s="716" t="n"/>
      <c r="AR36" s="716" t="n"/>
      <c r="AS36" s="716" t="n"/>
    </row>
    <row r="37" ht="15.2" customFormat="1" customHeight="1" s="489">
      <c r="A37" s="716" t="n"/>
      <c r="B37" s="716" t="n"/>
      <c r="C37" s="716" t="n"/>
      <c r="D37" s="716" t="n"/>
      <c r="E37" s="716" t="n"/>
      <c r="F37" s="716" t="n"/>
      <c r="G37" s="716" t="n"/>
      <c r="H37" s="716" t="n"/>
      <c r="I37" s="716" t="n"/>
      <c r="J37" s="716" t="n"/>
      <c r="K37" s="716" t="n"/>
      <c r="L37" s="716" t="n"/>
      <c r="M37" s="716" t="n"/>
      <c r="N37" s="716" t="n"/>
      <c r="O37" s="716" t="n"/>
      <c r="P37" s="716" t="n"/>
      <c r="Q37" s="716" t="n"/>
      <c r="R37" s="716" t="n"/>
      <c r="S37" s="462" t="n"/>
      <c r="T37" s="716" t="n"/>
      <c r="U37" s="716" t="n"/>
      <c r="V37" s="716" t="n"/>
      <c r="W37" s="716" t="n"/>
      <c r="X37" s="190">
        <f>"编制月份："&amp;$I$3&amp;"年"&amp;$I$8&amp;"月"</f>
        <v/>
      </c>
      <c r="Y37" s="190" t="inlineStr">
        <is>
          <t>币种：</t>
        </is>
      </c>
      <c r="Z37" s="462" t="inlineStr">
        <is>
          <t>CNY</t>
        </is>
      </c>
      <c r="AA37" s="716" t="n"/>
      <c r="AB37" s="716" t="n"/>
      <c r="AC37" s="716" t="n"/>
      <c r="AD37" s="716" t="n"/>
      <c r="AE37" s="716" t="n"/>
      <c r="AF37" s="716" t="n"/>
      <c r="AG37" s="716" t="n"/>
      <c r="AH37" s="716" t="n"/>
      <c r="AI37" s="716" t="n"/>
      <c r="AJ37" s="716" t="n"/>
      <c r="AK37" s="716" t="n"/>
      <c r="AL37" s="716" t="n"/>
      <c r="AM37" s="716" t="n"/>
      <c r="AN37" s="716" t="n"/>
      <c r="AO37" s="716" t="n"/>
      <c r="AP37" s="716" t="n"/>
      <c r="AQ37" s="716" t="n"/>
      <c r="AR37" s="716" t="n"/>
      <c r="AS37" s="190" t="inlineStr">
        <is>
          <t>金额单位：元</t>
        </is>
      </c>
    </row>
    <row r="38" ht="15.2" customFormat="1" customHeight="1" s="716">
      <c r="A38" s="716" t="n"/>
      <c r="B38" s="716" t="n"/>
      <c r="C38" s="716" t="n"/>
      <c r="D38" s="716" t="n"/>
      <c r="E38" s="716" t="n"/>
      <c r="F38" s="716" t="n"/>
      <c r="G38" s="716" t="n"/>
      <c r="H38" s="716" t="n"/>
      <c r="I38" s="716" t="n"/>
      <c r="J38" s="716" t="n"/>
      <c r="K38" s="716" t="n"/>
      <c r="L38" s="716" t="n"/>
      <c r="M38" s="716" t="n"/>
      <c r="N38" s="716" t="n"/>
      <c r="O38" s="716" t="n"/>
      <c r="P38" s="716" t="n"/>
      <c r="Q38" s="716" t="n"/>
      <c r="R38" s="716" t="n"/>
      <c r="S38" s="462" t="n"/>
      <c r="T38" s="716" t="n"/>
      <c r="U38" s="716" t="n"/>
      <c r="V38" s="716" t="n"/>
      <c r="W38" s="716" t="n"/>
      <c r="X38" s="450" t="inlineStr">
        <is>
          <t>项目</t>
        </is>
      </c>
      <c r="Y38" s="450" t="inlineStr">
        <is>
          <t>行次</t>
        </is>
      </c>
      <c r="Z38" s="1256" t="inlineStr">
        <is>
          <t>本年实际</t>
        </is>
      </c>
      <c r="AA38" s="1183" t="n"/>
      <c r="AB38" s="1256" t="inlineStr">
        <is>
          <t>本月对比上月</t>
        </is>
      </c>
      <c r="AC38" s="1182" t="n"/>
      <c r="AD38" s="1183" t="n"/>
      <c r="AE38" s="1256" t="inlineStr">
        <is>
          <t>本月对比上年同期</t>
        </is>
      </c>
      <c r="AF38" s="1182" t="n"/>
      <c r="AG38" s="1183" t="n"/>
      <c r="AH38" s="1256" t="inlineStr">
        <is>
          <t>本年累计对比上年同期累计</t>
        </is>
      </c>
      <c r="AI38" s="1182" t="n"/>
      <c r="AJ38" s="1183" t="n"/>
      <c r="AK38" s="712" t="inlineStr">
        <is>
          <t xml:space="preserve"> 本月预算完成情况 </t>
        </is>
      </c>
      <c r="AL38" s="1182" t="n"/>
      <c r="AM38" s="1183" t="n"/>
      <c r="AN38" s="712" t="inlineStr">
        <is>
          <t xml:space="preserve"> 进度预算完成情况 </t>
        </is>
      </c>
      <c r="AO38" s="1182" t="n"/>
      <c r="AP38" s="1183" t="n"/>
      <c r="AQ38" s="712" t="inlineStr">
        <is>
          <t xml:space="preserve"> 年度预算完成情况 </t>
        </is>
      </c>
      <c r="AR38" s="1182" t="n"/>
      <c r="AS38" s="1183" t="n"/>
    </row>
    <row r="39" ht="15.2" customFormat="1" customHeight="1" s="716">
      <c r="A39" s="716" t="n"/>
      <c r="B39" s="716" t="n"/>
      <c r="C39" s="716" t="n"/>
      <c r="D39" s="716" t="n"/>
      <c r="E39" s="716" t="n"/>
      <c r="F39" s="716" t="n"/>
      <c r="G39" s="716" t="n"/>
      <c r="H39" s="716" t="n"/>
      <c r="I39" s="716" t="n"/>
      <c r="J39" s="716" t="n"/>
      <c r="K39" s="716" t="n"/>
      <c r="L39" s="716" t="n"/>
      <c r="M39" s="716" t="n"/>
      <c r="N39" s="716" t="n"/>
      <c r="O39" s="716" t="n"/>
      <c r="P39" s="716" t="n"/>
      <c r="Q39" s="716" t="n"/>
      <c r="R39" s="716" t="n"/>
      <c r="S39" s="462" t="n"/>
      <c r="T39" s="716" t="n"/>
      <c r="U39" s="716" t="n"/>
      <c r="V39" s="716" t="n"/>
      <c r="W39" s="716" t="n"/>
      <c r="X39" s="1184" t="n"/>
      <c r="Y39" s="1184" t="n"/>
      <c r="Z39" s="1256" t="inlineStr">
        <is>
          <t>本月数</t>
        </is>
      </c>
      <c r="AA39" s="1256" t="inlineStr">
        <is>
          <t>本年累计</t>
        </is>
      </c>
      <c r="AB39" s="1256" t="inlineStr">
        <is>
          <t>上月数</t>
        </is>
      </c>
      <c r="AC39" s="1256" t="inlineStr">
        <is>
          <t>增减额</t>
        </is>
      </c>
      <c r="AD39" s="1256" t="inlineStr">
        <is>
          <t>增减（%）</t>
        </is>
      </c>
      <c r="AE39" s="1256" t="inlineStr">
        <is>
          <t>上年同期</t>
        </is>
      </c>
      <c r="AF39" s="1256" t="inlineStr">
        <is>
          <t>增减额</t>
        </is>
      </c>
      <c r="AG39" s="1256" t="inlineStr">
        <is>
          <t>增减（%）</t>
        </is>
      </c>
      <c r="AH39" s="1256" t="inlineStr">
        <is>
          <t>上年同期累计</t>
        </is>
      </c>
      <c r="AI39" s="1256" t="inlineStr">
        <is>
          <t>增减额</t>
        </is>
      </c>
      <c r="AJ39" s="1256" t="inlineStr">
        <is>
          <t>增减（%）</t>
        </is>
      </c>
      <c r="AK39" s="712" t="inlineStr">
        <is>
          <t xml:space="preserve"> 月度预算 </t>
        </is>
      </c>
      <c r="AL39" s="712" t="inlineStr">
        <is>
          <t xml:space="preserve"> 增减额 </t>
        </is>
      </c>
      <c r="AM39" s="712" t="inlineStr">
        <is>
          <t xml:space="preserve"> 完成预算% </t>
        </is>
      </c>
      <c r="AN39" s="712" t="inlineStr">
        <is>
          <t xml:space="preserve"> 进度预算数 </t>
        </is>
      </c>
      <c r="AO39" s="712" t="inlineStr">
        <is>
          <t xml:space="preserve"> 增减额 </t>
        </is>
      </c>
      <c r="AP39" s="712" t="inlineStr">
        <is>
          <t xml:space="preserve"> 完成预算% </t>
        </is>
      </c>
      <c r="AQ39" s="712" t="inlineStr">
        <is>
          <t xml:space="preserve"> 本年预算数 </t>
        </is>
      </c>
      <c r="AR39" s="712" t="inlineStr">
        <is>
          <t xml:space="preserve"> 增减额 </t>
        </is>
      </c>
      <c r="AS39" s="712" t="inlineStr">
        <is>
          <t xml:space="preserve"> 完成预算% </t>
        </is>
      </c>
    </row>
    <row r="40" hidden="1" ht="14.25" customFormat="1" customHeight="1" s="716">
      <c r="A40" s="716" t="n"/>
      <c r="B40" s="716" t="n"/>
      <c r="C40" s="716" t="n"/>
      <c r="D40" s="716" t="n"/>
      <c r="E40" s="716" t="n"/>
      <c r="F40" s="716" t="n"/>
      <c r="G40" s="716" t="n"/>
      <c r="H40" s="716" t="n"/>
      <c r="I40" s="716" t="n"/>
      <c r="J40" s="716" t="n"/>
      <c r="K40" s="716" t="n"/>
      <c r="L40" s="716" t="n"/>
      <c r="M40" s="716" t="n"/>
      <c r="N40" s="716" t="n"/>
      <c r="O40" s="716" t="n"/>
      <c r="P40" s="716" t="n"/>
      <c r="Q40" s="716" t="n"/>
      <c r="R40" s="716" t="n"/>
      <c r="S40" s="462" t="n"/>
      <c r="T40" s="716" t="n"/>
      <c r="U40" s="716" t="n"/>
      <c r="V40" s="716" t="n"/>
      <c r="W40" s="716" t="n"/>
      <c r="X40" s="451" t="inlineStr">
        <is>
          <t>time</t>
        </is>
      </c>
      <c r="Y40" s="451" t="n"/>
      <c r="Z40" s="648">
        <f>IF(_epmOfflineCondition_,"2025.03",EPMOlapMemberO(I11,"[C_TIME].[PARENTH1].[2025.03]","2025.03 - 2025.03","","000"))</f>
        <v/>
      </c>
      <c r="AA40" s="648">
        <f>IF(_epmOfflineCondition_,"2025.03",EPMOlapMemberO(I11,"[C_TIME].[PARENTH1].[2025.03]","2025.03 - 2025.03","","000"))</f>
        <v/>
      </c>
      <c r="AB40" s="648">
        <f>IF(_epmOfflineCondition_,"2025.02",EPMOlapMemberO(I12,"[C_TIME].[PARENTH1].[2025.02]","2025.02 - 2025.02","","000"))</f>
        <v/>
      </c>
      <c r="AC40" s="1267" t="n"/>
      <c r="AD40" s="1267" t="n"/>
      <c r="AE40" s="648">
        <f>IF(_epmOfflineCondition_,"2024.03",EPMOlapMemberO(I13,"[C_TIME].[PARENTH1].[2024.03]","2024.03 - 2024.03","","000"))</f>
        <v/>
      </c>
      <c r="AF40" s="1267" t="n"/>
      <c r="AG40" s="1267" t="n"/>
      <c r="AH40" s="648">
        <f>IF(_epmOfflineCondition_,"2024.03",EPMOlapMemberO(I13,"[C_TIME].[PARENTH1].[2024.03]","2024.03 - 2024.03","","000"))</f>
        <v/>
      </c>
      <c r="AI40" s="648">
        <f>IF(_epmOfflineCondition_,"",EPMOlapMemberO(J13,"[C_TIME].[PARENTH1].[2022.12]","2022.12 - 2022.12","","000"))</f>
        <v/>
      </c>
      <c r="AJ40" s="648" t="n"/>
      <c r="AK40" s="648">
        <f>IF(_epmOfflineCondition_,"2025.03",EPMOlapMemberO($AB$26,"[C_TIME].[PARENTH1].[2025.03]","2025.03 - 2025.03","","000"))</f>
        <v/>
      </c>
      <c r="AL40" s="648">
        <f>IF(_epmOfflineCondition_,"2025.03",EPMOlapMemberO($AB$26,"[C_TIME].[PARENTH1].[2025.03]","2025.03 - 2025.03","","000"))</f>
        <v/>
      </c>
      <c r="AM40" s="648">
        <f>IF(_epmOfflineCondition_,"2025.03",EPMOlapMemberO($AB$26,"[C_TIME].[PARENTH1].[2025.03]","2025.03 - 2025.03","","000"))</f>
        <v/>
      </c>
      <c r="AN40" s="648">
        <f>IF(_epmOfflineCondition_,"2025.03",EPMOlapMemberO($AB$26,"[C_TIME].[PARENTH1].[2025.03]","2025.03 - 2025.03","","000"))</f>
        <v/>
      </c>
      <c r="AO40" s="648">
        <f>IF(_epmOfflineCondition_,"2025.03",EPMOlapMemberO($AB$26,"[C_TIME].[PARENTH1].[2025.03]","2025.03 - 2025.03","","000"))</f>
        <v/>
      </c>
      <c r="AP40" s="648">
        <f>IF(_epmOfflineCondition_,"2025.03",EPMOlapMemberO($AB$26,"[C_TIME].[PARENTH1].[2025.03]","2025.03 - 2025.03","","000"))</f>
        <v/>
      </c>
      <c r="AQ40" s="648">
        <f>IF(_epmOfflineCondition_,"2025.03",EPMOlapMemberO($AB$26,"[C_TIME].[PARENTH1].[2025.03]","2025.03 - 2025.03","","000"))</f>
        <v/>
      </c>
      <c r="AR40" s="648" t="n"/>
      <c r="AS40" s="648" t="n"/>
    </row>
    <row r="41" hidden="1" ht="14.25" customFormat="1" customHeight="1" s="716">
      <c r="A41" s="716" t="n"/>
      <c r="B41" s="716" t="n"/>
      <c r="C41" s="716" t="n"/>
      <c r="D41" s="716" t="n"/>
      <c r="E41" s="716" t="n"/>
      <c r="F41" s="716" t="n"/>
      <c r="G41" s="716" t="n"/>
      <c r="H41" s="716" t="n"/>
      <c r="I41" s="716" t="n"/>
      <c r="J41" s="716" t="n"/>
      <c r="K41" s="716" t="n"/>
      <c r="L41" s="716" t="n"/>
      <c r="M41" s="716" t="n"/>
      <c r="N41" s="716" t="n"/>
      <c r="O41" s="716" t="n"/>
      <c r="P41" s="716" t="n"/>
      <c r="Q41" s="716" t="n"/>
      <c r="R41" s="716" t="n"/>
      <c r="S41" s="462" t="n"/>
      <c r="T41" s="716" t="n"/>
      <c r="U41" s="716" t="n"/>
      <c r="V41" s="716" t="n"/>
      <c r="W41" s="716" t="n"/>
      <c r="X41" s="451" t="inlineStr">
        <is>
          <t>category</t>
        </is>
      </c>
      <c r="Y41" s="451" t="n"/>
      <c r="Z41" s="182">
        <f>IF(_epmOfflineCondition_,"C1001",EPMOlapMemberO($AB$25,"[C_CATEGORY].[PARENTH1].[C1001]","C1001 - 实际数/决算数","","000"))</f>
        <v/>
      </c>
      <c r="AA41" s="182">
        <f>IF(_epmOfflineCondition_,"C1001",EPMOlapMemberO($AB$25,"[C_CATEGORY].[PARENTH1].[C1001]","C1001 - 实际数/决算数","","000"))</f>
        <v/>
      </c>
      <c r="AB41" s="182">
        <f>IF(_epmOfflineCondition_,"C1001",EPMOlapMemberO($AB$25,"[C_CATEGORY].[PARENTH1].[C1001]","C1001 - 实际数/决算数","","000"))</f>
        <v/>
      </c>
      <c r="AC41" s="182" t="n"/>
      <c r="AD41" s="182" t="n"/>
      <c r="AE41" s="182">
        <f>IF(_epmOfflineCondition_,"C1001",EPMOlapMemberO($AB$25,"[C_CATEGORY].[PARENTH1].[C1001]","C1001 - 实际数/决算数","","000"))</f>
        <v/>
      </c>
      <c r="AF41" s="182" t="n"/>
      <c r="AG41" s="182" t="n"/>
      <c r="AH41" s="182">
        <f>IF(_epmOfflineCondition_,"C1001",EPMOlapMemberO($AB$25,"[C_CATEGORY].[PARENTH1].[C1001]","C1001 - 实际数/决算数","","000"))</f>
        <v/>
      </c>
      <c r="AI41" s="182">
        <f>IF(_epmOfflineCondition_,"C1001",EPMOlapMemberO($AB$25,"[C_CATEGORY].[PARENTH1].[C1001]","C1001 - 实际数/决算数","","000"))</f>
        <v/>
      </c>
      <c r="AJ41" s="182" t="n"/>
      <c r="AK41" s="182">
        <f>IF(_epmOfflineCondition_,"C3003",EPMOlapMemberO(AK29,"[C_CATEGORY].[PARENTH1].[C3003]","C3003 - 进度预算（原""预算数（分解版）"")","","000"))</f>
        <v/>
      </c>
      <c r="AL41" s="182">
        <f>IF(_epmOfflineCondition_,"C3003",EPMOlapMemberO(AL29,"[C_CATEGORY].[PARENTH1].[C3003]","C3003 - 进度预算（原""预算数（分解版）"")","","000"))</f>
        <v/>
      </c>
      <c r="AM41" s="182">
        <f>IF(_epmOfflineCondition_,"C3003",EPMOlapMemberO(AM29,"[C_CATEGORY].[PARENTH1].[C3003]","C3003 - 进度预算（原""预算数（分解版）"")","","000"))</f>
        <v/>
      </c>
      <c r="AN41" s="182">
        <f>IF(_epmOfflineCondition_,"C3003",EPMOlapMemberO(AN29,"[C_CATEGORY].[PARENTH1].[C3003]","C3003 - 进度预算（原""预算数（分解版）"")","","000"))</f>
        <v/>
      </c>
      <c r="AO41" s="182">
        <f>IF(_epmOfflineCondition_,"C3003",EPMOlapMemberO(AO29,"[C_CATEGORY].[PARENTH1].[C3003]","C3003 - 进度预算（原""预算数（分解版）"")","","000"))</f>
        <v/>
      </c>
      <c r="AP41" s="182">
        <f>IF(_epmOfflineCondition_,"C3003",EPMOlapMemberO(AP29,"[C_CATEGORY].[PARENTH1].[C3003]","C3003 - 进度预算（原""预算数（分解版）"")","","000"))</f>
        <v/>
      </c>
      <c r="AQ41" s="182">
        <f>IF(_epmOfflineCondition_,"C3002",EPMOlapMemberO(AQ29,"[C_CATEGORY].[PARENTH1].[C3002]","C3002 - 月度预算（原""预算数（终稿）"")","","000"))</f>
        <v/>
      </c>
      <c r="AR41" s="182" t="n"/>
      <c r="AS41" s="182" t="n"/>
    </row>
    <row r="42" hidden="1" ht="13.5" customFormat="1" customHeight="1" s="716">
      <c r="A42" s="716" t="n"/>
      <c r="B42" s="716" t="n"/>
      <c r="C42" s="716" t="n"/>
      <c r="D42" s="716" t="n"/>
      <c r="E42" s="716" t="n"/>
      <c r="F42" s="716" t="n"/>
      <c r="G42" s="716" t="n"/>
      <c r="H42" s="716" t="n"/>
      <c r="I42" s="716" t="n"/>
      <c r="J42" s="716" t="n"/>
      <c r="K42" s="716" t="n"/>
      <c r="L42" s="716" t="n"/>
      <c r="M42" s="716" t="n"/>
      <c r="N42" s="716" t="n"/>
      <c r="O42" s="716" t="n"/>
      <c r="P42" s="716" t="n"/>
      <c r="Q42" s="716" t="n"/>
      <c r="R42" s="716" t="n"/>
      <c r="S42" s="462" t="n"/>
      <c r="T42" s="716" t="n"/>
      <c r="U42" s="716" t="n"/>
      <c r="V42" s="716" t="n"/>
      <c r="W42" s="716" t="n"/>
      <c r="X42" s="451" t="inlineStr">
        <is>
          <t>AUDITTRAIL</t>
        </is>
      </c>
      <c r="Y42" s="451" t="n"/>
      <c r="Z42" s="182">
        <f>IF(_epmOfflineCondition_,"DALL",EPMOlapMemberO($AC$29,"[C_AUDITTRAIL].[PARENTH1].[DALL]","DALL - 合并后","","000"))</f>
        <v/>
      </c>
      <c r="AA42" s="182">
        <f>IF(_epmOfflineCondition_,"DALL",EPMOlapMemberO($AC$29,"[C_AUDITTRAIL].[PARENTH1].[DALL]","DALL - 合并后","","000"))</f>
        <v/>
      </c>
      <c r="AB42" s="182">
        <f>IF(_epmOfflineCondition_,"DALL",EPMOlapMemberO($AC$29,"[C_AUDITTRAIL].[PARENTH1].[DALL]","DALL - 合并后","","000"))</f>
        <v/>
      </c>
      <c r="AC42" s="679" t="n"/>
      <c r="AD42" s="679" t="n"/>
      <c r="AE42" s="182">
        <f>IF(_epmOfflineCondition_,"DALL",EPMOlapMemberO($AC$29,"[C_AUDITTRAIL].[PARENTH1].[DALL]","DALL - 合并后","","000"))</f>
        <v/>
      </c>
      <c r="AF42" s="182" t="n"/>
      <c r="AG42" s="182" t="n"/>
      <c r="AH42" s="182">
        <f>IF(_epmOfflineCondition_,"DALL",EPMOlapMemberO($AC$29,"[C_AUDITTRAIL].[PARENTH1].[DALL]","DALL - 合并后","","000"))</f>
        <v/>
      </c>
      <c r="AI42" s="182">
        <f>IF(_epmOfflineCondition_,"DALL",EPMOlapMemberO($AC$29,"[C_AUDITTRAIL].[PARENTH1].[DALL]","DALL - 合并后","","000"))</f>
        <v/>
      </c>
      <c r="AJ42" s="182" t="n"/>
      <c r="AK42" s="182">
        <f>IF(_epmOfflineCondition_,"DALL",EPMOlapMemberO($AC$29,"[C_AUDITTRAIL].[PARENTH1].[DALL]","DALL - 合并后","","000"))</f>
        <v/>
      </c>
      <c r="AL42" s="182">
        <f>IF(_epmOfflineCondition_,"DALL",EPMOlapMemberO($AC$29,"[C_AUDITTRAIL].[PARENTH1].[DALL]","DALL - 合并后","","000"))</f>
        <v/>
      </c>
      <c r="AM42" s="182">
        <f>IF(_epmOfflineCondition_,"DALL",EPMOlapMemberO($AC$29,"[C_AUDITTRAIL].[PARENTH1].[DALL]","DALL - 合并后","","000"))</f>
        <v/>
      </c>
      <c r="AN42" s="182">
        <f>IF(_epmOfflineCondition_,"DALL",EPMOlapMemberO($AC$29,"[C_AUDITTRAIL].[PARENTH1].[DALL]","DALL - 合并后","","000"))</f>
        <v/>
      </c>
      <c r="AO42" s="182">
        <f>IF(_epmOfflineCondition_,"DALL",EPMOlapMemberO($AC$29,"[C_AUDITTRAIL].[PARENTH1].[DALL]","DALL - 合并后","","000"))</f>
        <v/>
      </c>
      <c r="AP42" s="182">
        <f>IF(_epmOfflineCondition_,"DALL",EPMOlapMemberO($AC$29,"[C_AUDITTRAIL].[PARENTH1].[DALL]","DALL - 合并后","","000"))</f>
        <v/>
      </c>
      <c r="AQ42" s="182">
        <f>IF(_epmOfflineCondition_,"DALL",EPMOlapMemberO($AC$29,"[C_AUDITTRAIL].[PARENTH1].[DALL]","DALL - 合并后","","000"))</f>
        <v/>
      </c>
      <c r="AR42" s="182" t="n"/>
      <c r="AS42" s="182" t="n"/>
    </row>
    <row r="43" hidden="1" ht="13.5" customFormat="1" customHeight="1" s="716">
      <c r="A43" s="716" t="n"/>
      <c r="B43" s="716" t="n"/>
      <c r="C43" s="716" t="n"/>
      <c r="D43" s="716" t="n"/>
      <c r="E43" s="716" t="n"/>
      <c r="F43" s="716" t="n"/>
      <c r="G43" s="716" t="n"/>
      <c r="H43" s="716" t="n"/>
      <c r="I43" s="716" t="n"/>
      <c r="J43" s="716" t="n"/>
      <c r="K43" s="716" t="n"/>
      <c r="L43" s="716" t="n"/>
      <c r="M43" s="716" t="n"/>
      <c r="N43" s="716" t="n"/>
      <c r="O43" s="716" t="n"/>
      <c r="P43" s="716" t="n"/>
      <c r="Q43" s="716" t="n"/>
      <c r="R43" s="716" t="n"/>
      <c r="S43" s="462" t="n"/>
      <c r="T43" s="716" t="n"/>
      <c r="U43" s="716" t="n"/>
      <c r="V43" s="716" t="n"/>
      <c r="W43" s="716" t="n"/>
      <c r="X43" s="451" t="inlineStr">
        <is>
          <t>flow</t>
        </is>
      </c>
      <c r="Y43" s="451" t="n"/>
      <c r="Z43" s="182">
        <f>IF(_epmOfflineCondition_,"FMOV",EPMOlapMemberO($AF$28,"[C_FLOW].[PARENTH1].[FMOV]","FMOV - 本期变动","","000"))</f>
        <v/>
      </c>
      <c r="AA43" s="182">
        <f>IF(_epmOfflineCondition_,"FMOV",EPMOlapMemberO($AF$28,"[C_FLOW].[PARENTH1].[FMOV]","FMOV - 本期变动","","000"))</f>
        <v/>
      </c>
      <c r="AB43" s="182">
        <f>IF(_epmOfflineCondition_,"FMOV",EPMOlapMemberO($AF$28,"[C_FLOW].[PARENTH1].[FMOV]","FMOV - 本期变动","","000"))</f>
        <v/>
      </c>
      <c r="AC43" s="182" t="n"/>
      <c r="AD43" s="182" t="n"/>
      <c r="AE43" s="182">
        <f>IF(_epmOfflineCondition_,"FMOV",EPMOlapMemberO($AF$28,"[C_FLOW].[PARENTH1].[FMOV]","FMOV - 本期变动","","000"))</f>
        <v/>
      </c>
      <c r="AF43" s="182" t="n"/>
      <c r="AG43" s="182" t="n"/>
      <c r="AH43" s="182">
        <f>IF(_epmOfflineCondition_,"FMOV",EPMOlapMemberO($AF$28,"[C_FLOW].[PARENTH1].[FMOV]","FMOV - 本期变动","","000"))</f>
        <v/>
      </c>
      <c r="AI43" s="182">
        <f>IF(_epmOfflineCondition_,"FMOV",EPMOlapMemberO($AF$28,"[C_FLOW].[PARENTH1].[FMOV]","FMOV - 本期变动","","000"))</f>
        <v/>
      </c>
      <c r="AJ43" s="182" t="n"/>
      <c r="AK43" s="182">
        <f>IF(_epmOfflineCondition_,"FMOV",EPMOlapMemberO($AF$28,"[C_FLOW].[PARENTH1].[FMOV]","FMOV - 本期变动","","000"))</f>
        <v/>
      </c>
      <c r="AL43" s="182">
        <f>IF(_epmOfflineCondition_,"FMOV",EPMOlapMemberO($AF$28,"[C_FLOW].[PARENTH1].[FMOV]","FMOV - 本期变动","","000"))</f>
        <v/>
      </c>
      <c r="AM43" s="182">
        <f>IF(_epmOfflineCondition_,"FMOV",EPMOlapMemberO($AF$28,"[C_FLOW].[PARENTH1].[FMOV]","FMOV - 本期变动","","000"))</f>
        <v/>
      </c>
      <c r="AN43" s="182">
        <f>IF(_epmOfflineCondition_,"FMOV",EPMOlapMemberO($AF$28,"[C_FLOW].[PARENTH1].[FMOV]","FMOV - 本期变动","","000"))</f>
        <v/>
      </c>
      <c r="AO43" s="182">
        <f>IF(_epmOfflineCondition_,"FMOV",EPMOlapMemberO($AF$28,"[C_FLOW].[PARENTH1].[FMOV]","FMOV - 本期变动","","000"))</f>
        <v/>
      </c>
      <c r="AP43" s="182">
        <f>IF(_epmOfflineCondition_,"FMOV",EPMOlapMemberO($AF$28,"[C_FLOW].[PARENTH1].[FMOV]","FMOV - 本期变动","","000"))</f>
        <v/>
      </c>
      <c r="AQ43" s="182">
        <f>IF(_epmOfflineCondition_,"FMOV",EPMOlapMemberO($AF$28,"[C_FLOW].[PARENTH1].[FMOV]","FMOV - 本期变动","","000"))</f>
        <v/>
      </c>
      <c r="AR43" s="182" t="n"/>
      <c r="AS43" s="182" t="n"/>
    </row>
    <row r="44" hidden="1" ht="13.5" customFormat="1" customHeight="1" s="716">
      <c r="A44" s="716" t="n"/>
      <c r="B44" s="716" t="n"/>
      <c r="C44" s="716" t="n"/>
      <c r="D44" s="716" t="n"/>
      <c r="E44" s="716" t="n"/>
      <c r="F44" s="716" t="n"/>
      <c r="G44" s="716" t="n"/>
      <c r="H44" s="716" t="n"/>
      <c r="I44" s="716" t="n"/>
      <c r="J44" s="716" t="n"/>
      <c r="K44" s="716" t="n"/>
      <c r="L44" s="716" t="n"/>
      <c r="M44" s="716" t="n"/>
      <c r="N44" s="716" t="n"/>
      <c r="O44" s="716" t="n"/>
      <c r="P44" s="716" t="n"/>
      <c r="Q44" s="716" t="n"/>
      <c r="R44" s="716" t="n"/>
      <c r="S44" s="462" t="n"/>
      <c r="T44" s="716" t="n"/>
      <c r="U44" s="716" t="n"/>
      <c r="V44" s="716" t="n"/>
      <c r="W44" s="716" t="n"/>
      <c r="X44" s="451" t="inlineStr">
        <is>
          <t>measures</t>
        </is>
      </c>
      <c r="Y44" s="451" t="n"/>
      <c r="Z44" s="182">
        <f>IF(_epmOfflineCondition_,"Periodic",EPMOlapMemberO($AC$27,"[MEASURES].[].[PERIODIC]","PERIODIC - Periodic","","000"))</f>
        <v/>
      </c>
      <c r="AA44" s="182">
        <f>IF(_epmOfflineCondition_,"YTD",EPMOlapMemberO($AA$27,"[MEASURES].[].[YTD]","YTD - Year To Date","","000"))</f>
        <v/>
      </c>
      <c r="AB44" s="182">
        <f>IF(_epmOfflineCondition_,"Periodic",EPMOlapMemberO($AC$27,"[MEASURES].[].[PERIODIC]","PERIODIC - Periodic","","000"))</f>
        <v/>
      </c>
      <c r="AC44" s="182" t="n"/>
      <c r="AD44" s="182" t="n"/>
      <c r="AE44" s="182">
        <f>IF(_epmOfflineCondition_,"Periodic",EPMOlapMemberO($AC$27,"[MEASURES].[].[PERIODIC]","PERIODIC - Periodic","","000"))</f>
        <v/>
      </c>
      <c r="AF44" s="182" t="n"/>
      <c r="AG44" s="182" t="n"/>
      <c r="AH44" s="182">
        <f>IF(_epmOfflineCondition_,"YTD",EPMOlapMemberO($AA$27,"[MEASURES].[].[YTD]","YTD - Year To Date","","000"))</f>
        <v/>
      </c>
      <c r="AI44" s="182">
        <f>IF(_epmOfflineCondition_,"YTD",EPMOlapMemberO($AA$27,"[MEASURES].[].[YTD]","YTD - Year To Date","","000"))</f>
        <v/>
      </c>
      <c r="AJ44" s="182" t="n"/>
      <c r="AK44" s="182">
        <f>IF(_epmOfflineCondition_,"YTD",EPMOlapMemberO($AA$27,"[MEASURES].[].[YTD]","YTD - Year To Date","","000"))</f>
        <v/>
      </c>
      <c r="AL44" s="182">
        <f>IF(_epmOfflineCondition_,"YTD",EPMOlapMemberO($AA$27,"[MEASURES].[].[YTD]","YTD - Year To Date","","000"))</f>
        <v/>
      </c>
      <c r="AM44" s="182">
        <f>IF(_epmOfflineCondition_,"YTD",EPMOlapMemberO($AA$27,"[MEASURES].[].[YTD]","YTD - Year To Date","","000"))</f>
        <v/>
      </c>
      <c r="AN44" s="182">
        <f>IF(_epmOfflineCondition_,"YTD",EPMOlapMemberO($AA$27,"[MEASURES].[].[YTD]","YTD - Year To Date","","000"))</f>
        <v/>
      </c>
      <c r="AO44" s="182">
        <f>IF(_epmOfflineCondition_,"YTD",EPMOlapMemberO($AA$27,"[MEASURES].[].[YTD]","YTD - Year To Date","","000"))</f>
        <v/>
      </c>
      <c r="AP44" s="182">
        <f>IF(_epmOfflineCondition_,"YTD",EPMOlapMemberO($AA$27,"[MEASURES].[].[YTD]","YTD - Year To Date","","000"))</f>
        <v/>
      </c>
      <c r="AQ44" s="182">
        <f>IF(_epmOfflineCondition_,"YTD",EPMOlapMemberO($AA$27,"[MEASURES].[].[YTD]","YTD - Year To Date","","000"))</f>
        <v/>
      </c>
      <c r="AR44" s="182" t="n"/>
      <c r="AS44" s="182" t="n"/>
    </row>
    <row r="45" ht="14.45" customFormat="1" customHeight="1" s="716">
      <c r="A45" s="716" t="n"/>
      <c r="B45" s="716" t="n"/>
      <c r="C45" s="716" t="n"/>
      <c r="D45" s="716" t="n"/>
      <c r="E45" s="716" t="n"/>
      <c r="F45" s="716" t="n"/>
      <c r="G45" s="716" t="n"/>
      <c r="H45" s="716" t="n"/>
      <c r="I45" s="716" t="n"/>
      <c r="J45" s="716" t="n"/>
      <c r="K45" s="716" t="n"/>
      <c r="L45" s="716" t="n"/>
      <c r="M45" s="716" t="n"/>
      <c r="N45" s="716" t="n"/>
      <c r="O45" s="716" t="n"/>
      <c r="P45" s="716" t="n"/>
      <c r="Q45" s="716" t="n"/>
      <c r="R45" s="716" t="n"/>
      <c r="S45" s="462">
        <f>IF(_epmOfflineCondition_,"主营业务收入",EPMMemberDesc(U45))</f>
        <v/>
      </c>
      <c r="T45" s="716" t="n"/>
      <c r="U45" s="716" t="inlineStr">
        <is>
          <t>A6001</t>
        </is>
      </c>
      <c r="V45" s="699">
        <f>IF(_epmOfflineCondition_,"A6001",EPMOlapMemberO(U45,"[C_ACCOUNT].[PARENTH1].[A6001]","A6001 - 主营业务收入","","000"))</f>
        <v/>
      </c>
      <c r="W45" s="462" t="n"/>
      <c r="X45" s="700" t="inlineStr">
        <is>
          <t>一、主营业务收入</t>
        </is>
      </c>
      <c r="Y45" s="649" t="inlineStr"/>
      <c r="Z45" s="1249" t="inlineStr"/>
      <c r="AA45" s="1249" t="inlineStr"/>
      <c r="AB45" s="1250" t="inlineStr"/>
      <c r="AC45" s="1249">
        <f>Z45-AB45</f>
        <v/>
      </c>
      <c r="AD45" s="1249">
        <f>IF(AB45=0,0,(Z45-AB45)/AB45*100)</f>
        <v/>
      </c>
      <c r="AE45" s="1249" t="inlineStr"/>
      <c r="AF45" s="1249">
        <f>Z45-AE45</f>
        <v/>
      </c>
      <c r="AG45" s="1249">
        <f>IF(AE45=0,0,(Z45-AE45)/AE45*100)</f>
        <v/>
      </c>
      <c r="AH45" s="1249" t="inlineStr"/>
      <c r="AI45" s="1249">
        <f>AA45-AH45</f>
        <v/>
      </c>
      <c r="AJ45" s="1249">
        <f>IF(AH45=0,0,(AA45-AH45)/AH45*100)</f>
        <v/>
      </c>
      <c r="AK45" s="1251" t="n"/>
      <c r="AL45" s="1251">
        <f>Z45-AK45</f>
        <v/>
      </c>
      <c r="AM45" s="1251">
        <f>IFERROR(Z45/AK45*100,0)</f>
        <v/>
      </c>
      <c r="AN45" s="1251" t="n"/>
      <c r="AO45" s="1251">
        <f>AA45-AN45</f>
        <v/>
      </c>
      <c r="AP45" s="1251">
        <f>IFERROR(AA45/AN45*100,0)</f>
        <v/>
      </c>
      <c r="AQ45" s="1251" t="n"/>
      <c r="AR45" s="1260">
        <f>AA45-AQ45</f>
        <v/>
      </c>
      <c r="AS45" s="1260">
        <f>IFERROR(AA45/AQ45*100,0)</f>
        <v/>
      </c>
    </row>
    <row r="46" ht="14.45" customFormat="1" customHeight="1" s="716">
      <c r="A46" s="716" t="n"/>
      <c r="B46" s="716" t="n"/>
      <c r="C46" s="716" t="n"/>
      <c r="D46" s="716" t="n"/>
      <c r="E46" s="716" t="n"/>
      <c r="F46" s="716" t="n"/>
      <c r="G46" s="716" t="n"/>
      <c r="H46" s="716" t="n"/>
      <c r="I46" s="716" t="n"/>
      <c r="J46" s="716" t="n"/>
      <c r="K46" s="716" t="n"/>
      <c r="L46" s="716" t="n"/>
      <c r="M46" s="716" t="n"/>
      <c r="N46" s="716" t="n"/>
      <c r="O46" s="716" t="n"/>
      <c r="P46" s="716" t="n"/>
      <c r="Q46" s="716" t="n"/>
      <c r="R46" s="716" t="n"/>
      <c r="S46" s="462">
        <f>IF(_epmOfflineCondition_,"主营业务收入-发电收入",EPMMemberDesc(U46))</f>
        <v/>
      </c>
      <c r="T46" s="716" t="n"/>
      <c r="U46" s="716" t="inlineStr">
        <is>
          <t>A600101</t>
        </is>
      </c>
      <c r="V46" s="701">
        <f>IF(_epmOfflineCondition_,"A600101",EPMOlapMemberO(U46,"[C_ACCOUNT].[PARENTH1].[A600101]","A600101 - 主营业务收入-发电收入","","000"))</f>
        <v/>
      </c>
      <c r="W46" s="462" t="n"/>
      <c r="X46" s="702" t="inlineStr">
        <is>
          <t>发电收入</t>
        </is>
      </c>
      <c r="Y46" s="649" t="inlineStr"/>
      <c r="Z46" s="1249" t="inlineStr"/>
      <c r="AA46" s="1249" t="inlineStr"/>
      <c r="AB46" s="1250" t="inlineStr"/>
      <c r="AC46" s="1249">
        <f>Z46-AB46</f>
        <v/>
      </c>
      <c r="AD46" s="1249">
        <f>IF(AB46=0,0,(Z46-AB46)/AB46*100)</f>
        <v/>
      </c>
      <c r="AE46" s="1249" t="inlineStr"/>
      <c r="AF46" s="1249">
        <f>Z46-AE46</f>
        <v/>
      </c>
      <c r="AG46" s="1249">
        <f>IF(AE46=0,0,(Z46-AE46)/AE46*100)</f>
        <v/>
      </c>
      <c r="AH46" s="1249" t="inlineStr"/>
      <c r="AI46" s="1249">
        <f>AA46-AH46</f>
        <v/>
      </c>
      <c r="AJ46" s="1249">
        <f>IF(AH46=0,0,(AA46-AH46)/AH46*100)</f>
        <v/>
      </c>
      <c r="AK46" s="1251" t="n"/>
      <c r="AL46" s="1251">
        <f>Z46-AK46</f>
        <v/>
      </c>
      <c r="AM46" s="1251">
        <f>IFERROR(Z46/AK46*100,0)</f>
        <v/>
      </c>
      <c r="AN46" s="1251" t="n"/>
      <c r="AO46" s="1251">
        <f>AA46-AN46</f>
        <v/>
      </c>
      <c r="AP46" s="1251">
        <f>IFERROR(AA46/AN46*100,0)</f>
        <v/>
      </c>
      <c r="AQ46" s="1251" t="n"/>
      <c r="AR46" s="1260">
        <f>AA46-AQ46</f>
        <v/>
      </c>
      <c r="AS46" s="1260">
        <f>IFERROR(AA46/AQ46*100,0)</f>
        <v/>
      </c>
    </row>
    <row r="47" ht="14.45" customFormat="1" customHeight="1" s="716">
      <c r="A47" s="716" t="n"/>
      <c r="B47" s="716" t="n"/>
      <c r="C47" s="716" t="n"/>
      <c r="D47" s="716" t="n"/>
      <c r="E47" s="716" t="n"/>
      <c r="F47" s="716" t="n"/>
      <c r="G47" s="716" t="n"/>
      <c r="H47" s="716" t="n"/>
      <c r="I47" s="716" t="n"/>
      <c r="J47" s="716" t="n"/>
      <c r="K47" s="716" t="n"/>
      <c r="L47" s="716" t="n"/>
      <c r="M47" s="716" t="n"/>
      <c r="N47" s="716" t="n"/>
      <c r="O47" s="716" t="n"/>
      <c r="P47" s="716" t="n"/>
      <c r="Q47" s="716" t="n"/>
      <c r="R47" s="716" t="n"/>
      <c r="S47" s="462">
        <f>IF(_epmOfflineCondition_,"主营业务收入-发电收入-燃煤发电",EPMMemberDesc(U47))</f>
        <v/>
      </c>
      <c r="T47" s="716" t="n"/>
      <c r="U47" s="716" t="inlineStr">
        <is>
          <t>A6001010100</t>
        </is>
      </c>
      <c r="V47" s="703">
        <f>IF(_epmOfflineCondition_,"A6001010100",EPMOlapMemberO(U47,"[C_ACCOUNT].[PARENTH1].[A6001010100]","A6001010100 - 主营业务收入-发电收入-燃煤发电","","000"))</f>
        <v/>
      </c>
      <c r="W47" s="462" t="n"/>
      <c r="X47" s="704" t="inlineStr">
        <is>
          <t>其中：燃煤发电</t>
        </is>
      </c>
      <c r="Y47" s="649" t="inlineStr"/>
      <c r="Z47" s="1249" t="n"/>
      <c r="AA47" s="1249" t="n"/>
      <c r="AB47" s="1250" t="n"/>
      <c r="AC47" s="1249">
        <f>Z47-AB47</f>
        <v/>
      </c>
      <c r="AD47" s="1249">
        <f>IF(AB47=0,0,(Z47-AB47)/AB47*100)</f>
        <v/>
      </c>
      <c r="AE47" s="1249" t="n"/>
      <c r="AF47" s="1249">
        <f>Z47-AE47</f>
        <v/>
      </c>
      <c r="AG47" s="1249">
        <f>IF(AE47=0,0,(Z47-AE47)/AE47*100)</f>
        <v/>
      </c>
      <c r="AH47" s="1249" t="n"/>
      <c r="AI47" s="1249">
        <f>AA47-AH47</f>
        <v/>
      </c>
      <c r="AJ47" s="1249">
        <f>IF(AH47=0,0,(AA47-AH47)/AH47*100)</f>
        <v/>
      </c>
      <c r="AK47" s="1251" t="n"/>
      <c r="AL47" s="1251">
        <f>Z47-AK47</f>
        <v/>
      </c>
      <c r="AM47" s="1251">
        <f>IFERROR(Z47/AK47*100,0)</f>
        <v/>
      </c>
      <c r="AN47" s="1251" t="n"/>
      <c r="AO47" s="1251">
        <f>AA47-AN47</f>
        <v/>
      </c>
      <c r="AP47" s="1251">
        <f>IFERROR(AA47/AN47*100,0)</f>
        <v/>
      </c>
      <c r="AQ47" s="1251" t="n"/>
      <c r="AR47" s="1260">
        <f>AA47-AQ47</f>
        <v/>
      </c>
      <c r="AS47" s="1260">
        <f>IFERROR(AA47/AQ47*100,0)</f>
        <v/>
      </c>
    </row>
    <row r="48" ht="14.45" customFormat="1" customHeight="1" s="716">
      <c r="A48" s="716" t="n"/>
      <c r="B48" s="716" t="n"/>
      <c r="C48" s="716" t="n"/>
      <c r="D48" s="716" t="n"/>
      <c r="E48" s="716" t="n"/>
      <c r="F48" s="716" t="n"/>
      <c r="G48" s="716" t="n"/>
      <c r="H48" s="716" t="n"/>
      <c r="I48" s="716" t="n"/>
      <c r="J48" s="716" t="n"/>
      <c r="K48" s="716" t="n"/>
      <c r="L48" s="716" t="n"/>
      <c r="M48" s="716" t="n"/>
      <c r="N48" s="716" t="n"/>
      <c r="O48" s="716" t="n"/>
      <c r="P48" s="716" t="n"/>
      <c r="Q48" s="716" t="n"/>
      <c r="R48" s="716" t="n"/>
      <c r="S48" s="462">
        <f>IF(_epmOfflineCondition_,"主营业务收入-发电收入-光伏发电",EPMMemberDesc(U48))</f>
        <v/>
      </c>
      <c r="T48" s="716" t="n"/>
      <c r="U48" s="716" t="inlineStr">
        <is>
          <t>A6001010200</t>
        </is>
      </c>
      <c r="V48" s="703">
        <f>IF(_epmOfflineCondition_,"A6001010200",EPMOlapMemberO(U48,"[C_ACCOUNT].[PARENTH1].[A6001010200]","A6001010200 - 主营业务收入-发电收入-光伏发电","","000"))</f>
        <v/>
      </c>
      <c r="W48" s="462" t="n"/>
      <c r="X48" s="704" t="inlineStr">
        <is>
          <t xml:space="preserve">          光伏发电</t>
        </is>
      </c>
      <c r="Y48" s="649" t="inlineStr"/>
      <c r="Z48" s="1249" t="n"/>
      <c r="AA48" s="1249" t="n"/>
      <c r="AB48" s="1249" t="n"/>
      <c r="AC48" s="1249">
        <f>Z48-AB48</f>
        <v/>
      </c>
      <c r="AD48" s="1249">
        <f>IF(AB48=0,0,(Z48-AB48)/AB48*100)</f>
        <v/>
      </c>
      <c r="AE48" s="1249" t="n"/>
      <c r="AF48" s="1249">
        <f>Z48-AE48</f>
        <v/>
      </c>
      <c r="AG48" s="1249">
        <f>IF(AE48=0,0,(Z48-AE48)/AE48*100)</f>
        <v/>
      </c>
      <c r="AH48" s="1249" t="n"/>
      <c r="AI48" s="1249">
        <f>AA48-AH48</f>
        <v/>
      </c>
      <c r="AJ48" s="1249">
        <f>IF(AH48=0,0,(AA48-AH48)/AH48*100)</f>
        <v/>
      </c>
      <c r="AK48" s="1251" t="n"/>
      <c r="AL48" s="1251">
        <f>Z48-AK48</f>
        <v/>
      </c>
      <c r="AM48" s="1251">
        <f>IFERROR(Z48/AK48*100,0)</f>
        <v/>
      </c>
      <c r="AN48" s="1251" t="n"/>
      <c r="AO48" s="1251">
        <f>AA48-AN48</f>
        <v/>
      </c>
      <c r="AP48" s="1251">
        <f>IFERROR(AA48/AN48*100,0)</f>
        <v/>
      </c>
      <c r="AQ48" s="1251" t="n"/>
      <c r="AR48" s="1260">
        <f>AA48-AQ48</f>
        <v/>
      </c>
      <c r="AS48" s="1260">
        <f>IFERROR(AA48/AQ48*100,0)</f>
        <v/>
      </c>
    </row>
    <row r="49" ht="14.45" customFormat="1" customHeight="1" s="716">
      <c r="A49" s="716" t="n"/>
      <c r="B49" s="716" t="n"/>
      <c r="C49" s="716" t="n"/>
      <c r="D49" s="716" t="n"/>
      <c r="E49" s="716" t="n"/>
      <c r="F49" s="716" t="n"/>
      <c r="G49" s="716" t="n"/>
      <c r="H49" s="716" t="n"/>
      <c r="I49" s="716" t="n"/>
      <c r="J49" s="716" t="n"/>
      <c r="K49" s="716" t="n"/>
      <c r="L49" s="716" t="n"/>
      <c r="M49" s="716" t="n"/>
      <c r="N49" s="716" t="n"/>
      <c r="O49" s="716" t="n"/>
      <c r="P49" s="716" t="n"/>
      <c r="Q49" s="716" t="n"/>
      <c r="R49" s="716" t="n"/>
      <c r="S49" s="462">
        <f>IF(_epmOfflineCondition_,"主营业务收入-发电收入-风力发电",EPMMemberDesc(U49))</f>
        <v/>
      </c>
      <c r="T49" s="716" t="n"/>
      <c r="U49" s="716" t="inlineStr">
        <is>
          <t>A6001010300</t>
        </is>
      </c>
      <c r="V49" s="703">
        <f>IF(_epmOfflineCondition_,"A6001010300",EPMOlapMemberO(U49,"[C_ACCOUNT].[PARENTH1].[A6001010300]","A6001010300 - 主营业务收入-发电收入-风力发电","","000"))</f>
        <v/>
      </c>
      <c r="W49" s="462" t="n"/>
      <c r="X49" s="704" t="inlineStr">
        <is>
          <t xml:space="preserve">          风力发电</t>
        </is>
      </c>
      <c r="Y49" s="649" t="inlineStr"/>
      <c r="Z49" s="1249" t="inlineStr"/>
      <c r="AA49" s="1249" t="inlineStr"/>
      <c r="AB49" s="1250" t="inlineStr"/>
      <c r="AC49" s="1249">
        <f>Z49-AB49</f>
        <v/>
      </c>
      <c r="AD49" s="1249">
        <f>IF(AB49=0,0,(Z49-AB49)/AB49*100)</f>
        <v/>
      </c>
      <c r="AE49" s="1249" t="inlineStr"/>
      <c r="AF49" s="1249">
        <f>Z49-AE49</f>
        <v/>
      </c>
      <c r="AG49" s="1249">
        <f>IF(AE49=0,0,(Z49-AE49)/AE49*100)</f>
        <v/>
      </c>
      <c r="AH49" s="1249" t="inlineStr"/>
      <c r="AI49" s="1249">
        <f>AA49-AH49</f>
        <v/>
      </c>
      <c r="AJ49" s="1249">
        <f>IF(AH49=0,0,(AA49-AH49)/AH49*100)</f>
        <v/>
      </c>
      <c r="AK49" s="1251" t="n"/>
      <c r="AL49" s="1251">
        <f>Z49-AK49</f>
        <v/>
      </c>
      <c r="AM49" s="1251">
        <f>IFERROR(Z49/AK49*100,0)</f>
        <v/>
      </c>
      <c r="AN49" s="1251" t="n"/>
      <c r="AO49" s="1251">
        <f>AA49-AN49</f>
        <v/>
      </c>
      <c r="AP49" s="1251">
        <f>IFERROR(AA49/AN49*100,0)</f>
        <v/>
      </c>
      <c r="AQ49" s="1251" t="n"/>
      <c r="AR49" s="1260">
        <f>AA49-AQ49</f>
        <v/>
      </c>
      <c r="AS49" s="1260">
        <f>IFERROR(AA49/AQ49*100,0)</f>
        <v/>
      </c>
    </row>
    <row r="50" ht="14.45" customFormat="1" customHeight="1" s="716">
      <c r="A50" s="716" t="n"/>
      <c r="B50" s="716" t="n"/>
      <c r="C50" s="716" t="n"/>
      <c r="D50" s="716" t="n"/>
      <c r="E50" s="716" t="n"/>
      <c r="F50" s="716" t="n"/>
      <c r="G50" s="716" t="n"/>
      <c r="H50" s="716" t="n"/>
      <c r="I50" s="716" t="n"/>
      <c r="J50" s="716" t="n"/>
      <c r="K50" s="716" t="n"/>
      <c r="L50" s="716" t="n"/>
      <c r="M50" s="716" t="n"/>
      <c r="N50" s="716" t="n"/>
      <c r="O50" s="716" t="n"/>
      <c r="P50" s="716" t="n"/>
      <c r="Q50" s="716" t="n"/>
      <c r="R50" s="716" t="n"/>
      <c r="S50" s="462">
        <f>IF(_epmOfflineCondition_,"主营业务收入-发电收入-燃气发电",EPMMemberDesc(U50))</f>
        <v/>
      </c>
      <c r="T50" s="716" t="n"/>
      <c r="U50" s="716" t="inlineStr">
        <is>
          <t>A6001010400</t>
        </is>
      </c>
      <c r="V50" s="703">
        <f>IF(_epmOfflineCondition_,"A6001010400",EPMOlapMemberO(U50,"[C_ACCOUNT].[PARENTH1].[A6001010400]","A6001010400 - 主营业务收入-发电收入-燃气发电","","000"))</f>
        <v/>
      </c>
      <c r="W50" s="462" t="n"/>
      <c r="X50" s="704" t="inlineStr">
        <is>
          <t xml:space="preserve">          燃气发电</t>
        </is>
      </c>
      <c r="Y50" s="649" t="inlineStr"/>
      <c r="Z50" s="1249" t="n"/>
      <c r="AA50" s="1249" t="n"/>
      <c r="AB50" s="1250" t="n"/>
      <c r="AC50" s="1249">
        <f>Z50-AB50</f>
        <v/>
      </c>
      <c r="AD50" s="1249">
        <f>IF(AB50=0,0,(Z50-AB50)/AB50*100)</f>
        <v/>
      </c>
      <c r="AE50" s="1249" t="n"/>
      <c r="AF50" s="1249">
        <f>Z50-AE50</f>
        <v/>
      </c>
      <c r="AG50" s="1249">
        <f>IF(AE50=0,0,(Z50-AE50)/AE50*100)</f>
        <v/>
      </c>
      <c r="AH50" s="1249" t="n"/>
      <c r="AI50" s="1249">
        <f>AA50-AH50</f>
        <v/>
      </c>
      <c r="AJ50" s="1249">
        <f>IF(AH50=0,0,(AA50-AH50)/AH50*100)</f>
        <v/>
      </c>
      <c r="AK50" s="1251" t="n"/>
      <c r="AL50" s="1251">
        <f>Z50-AK50</f>
        <v/>
      </c>
      <c r="AM50" s="1251">
        <f>IFERROR(Z50/AK50*100,0)</f>
        <v/>
      </c>
      <c r="AN50" s="1251" t="n"/>
      <c r="AO50" s="1251">
        <f>AA50-AN50</f>
        <v/>
      </c>
      <c r="AP50" s="1251">
        <f>IFERROR(AA50/AN50*100,0)</f>
        <v/>
      </c>
      <c r="AQ50" s="1251" t="n"/>
      <c r="AR50" s="1260">
        <f>AA50-AQ50</f>
        <v/>
      </c>
      <c r="AS50" s="1260">
        <f>IFERROR(AA50/AQ50*100,0)</f>
        <v/>
      </c>
    </row>
    <row r="51" ht="14.45" customFormat="1" customHeight="1" s="716">
      <c r="A51" s="716" t="n"/>
      <c r="B51" s="716" t="n"/>
      <c r="C51" s="716" t="n"/>
      <c r="D51" s="716" t="n"/>
      <c r="E51" s="716" t="n"/>
      <c r="F51" s="716" t="n"/>
      <c r="G51" s="716" t="n"/>
      <c r="H51" s="716" t="n"/>
      <c r="I51" s="716" t="n"/>
      <c r="J51" s="716" t="n"/>
      <c r="K51" s="716" t="n"/>
      <c r="L51" s="716" t="n"/>
      <c r="M51" s="716" t="n"/>
      <c r="N51" s="716" t="n"/>
      <c r="O51" s="716" t="n"/>
      <c r="P51" s="716" t="n"/>
      <c r="Q51" s="716" t="n"/>
      <c r="R51" s="716" t="n"/>
      <c r="S51" s="462">
        <f>IF(_epmOfflineCondition_,"主营业务收入-发电收入-水力发电",EPMMemberDesc(U51))</f>
        <v/>
      </c>
      <c r="T51" s="716" t="n"/>
      <c r="U51" s="716" t="inlineStr">
        <is>
          <t>A6001010500</t>
        </is>
      </c>
      <c r="V51" s="703">
        <f>IF(_epmOfflineCondition_,"A6001010500",EPMOlapMemberO(U51,"[C_ACCOUNT].[PARENTH1].[A6001010500]","A6001010500 - 主营业务收入-发电收入-水力发电","","000"))</f>
        <v/>
      </c>
      <c r="W51" s="462" t="n"/>
      <c r="X51" s="704" t="inlineStr">
        <is>
          <t xml:space="preserve">          水力发电</t>
        </is>
      </c>
      <c r="Y51" s="649" t="inlineStr"/>
      <c r="Z51" s="1249" t="n"/>
      <c r="AA51" s="1249" t="n"/>
      <c r="AB51" s="1250" t="n"/>
      <c r="AC51" s="1249">
        <f>Z51-AB51</f>
        <v/>
      </c>
      <c r="AD51" s="1249">
        <f>IF(AB51=0,0,(Z51-AB51)/AB51*100)</f>
        <v/>
      </c>
      <c r="AE51" s="1249" t="n"/>
      <c r="AF51" s="1249">
        <f>Z51-AE51</f>
        <v/>
      </c>
      <c r="AG51" s="1249">
        <f>IF(AE51=0,0,(Z51-AE51)/AE51*100)</f>
        <v/>
      </c>
      <c r="AH51" s="1249" t="n"/>
      <c r="AI51" s="1249">
        <f>AA51-AH51</f>
        <v/>
      </c>
      <c r="AJ51" s="1249">
        <f>IF(AH51=0,0,(AA51-AH51)/AH51*100)</f>
        <v/>
      </c>
      <c r="AK51" s="1251" t="n"/>
      <c r="AL51" s="1251">
        <f>Z51-AK51</f>
        <v/>
      </c>
      <c r="AM51" s="1251">
        <f>IFERROR(Z51/AK51*100,0)</f>
        <v/>
      </c>
      <c r="AN51" s="1251" t="n"/>
      <c r="AO51" s="1251">
        <f>AA51-AN51</f>
        <v/>
      </c>
      <c r="AP51" s="1251">
        <f>IFERROR(AA51/AN51*100,0)</f>
        <v/>
      </c>
      <c r="AQ51" s="1251" t="n"/>
      <c r="AR51" s="1260">
        <f>AA51-AQ51</f>
        <v/>
      </c>
      <c r="AS51" s="1260">
        <f>IFERROR(AA51/AQ51*100,0)</f>
        <v/>
      </c>
    </row>
    <row r="52" ht="14.45" customFormat="1" customHeight="1" s="716">
      <c r="A52" s="716" t="n"/>
      <c r="B52" s="716" t="n"/>
      <c r="C52" s="716" t="n"/>
      <c r="D52" s="716" t="n"/>
      <c r="E52" s="716" t="n"/>
      <c r="F52" s="716" t="n"/>
      <c r="G52" s="716" t="n"/>
      <c r="H52" s="716" t="n"/>
      <c r="I52" s="716" t="n"/>
      <c r="J52" s="716" t="n"/>
      <c r="K52" s="716" t="n"/>
      <c r="L52" s="716" t="n"/>
      <c r="M52" s="716" t="n"/>
      <c r="N52" s="716" t="n"/>
      <c r="O52" s="716" t="n"/>
      <c r="P52" s="716" t="n"/>
      <c r="Q52" s="716" t="n"/>
      <c r="R52" s="716" t="n"/>
      <c r="S52" s="462">
        <f>IF(_epmOfflineCondition_,"主营业务收入-供热收入",EPMMemberDesc(U52))</f>
        <v/>
      </c>
      <c r="T52" s="716" t="n"/>
      <c r="U52" s="716" t="inlineStr">
        <is>
          <t>A6001020000</t>
        </is>
      </c>
      <c r="V52" s="701">
        <f>IF(_epmOfflineCondition_,"A6001020000",EPMOlapMemberO(U52,"[C_ACCOUNT].[PARENTH1].[A6001020000]","A6001020000 - 主营业务收入-供热收入","","000"))</f>
        <v/>
      </c>
      <c r="W52" s="462" t="n"/>
      <c r="X52" s="705" t="inlineStr">
        <is>
          <t>供热收入</t>
        </is>
      </c>
      <c r="Y52" s="649" t="inlineStr"/>
      <c r="Z52" s="1249" t="n"/>
      <c r="AA52" s="1249" t="n"/>
      <c r="AB52" s="1250" t="n"/>
      <c r="AC52" s="1249">
        <f>Z52-AB52</f>
        <v/>
      </c>
      <c r="AD52" s="1249">
        <f>IF(AB52=0,0,(Z52-AB52)/AB52*100)</f>
        <v/>
      </c>
      <c r="AE52" s="1249" t="n"/>
      <c r="AF52" s="1249">
        <f>Z52-AE52</f>
        <v/>
      </c>
      <c r="AG52" s="1249">
        <f>IF(AE52=0,0,(Z52-AE52)/AE52*100)</f>
        <v/>
      </c>
      <c r="AH52" s="1249" t="n"/>
      <c r="AI52" s="1249">
        <f>AA52-AH52</f>
        <v/>
      </c>
      <c r="AJ52" s="1249">
        <f>IF(AH52=0,0,(AA52-AH52)/AH52*100)</f>
        <v/>
      </c>
      <c r="AK52" s="1251" t="n"/>
      <c r="AL52" s="1251">
        <f>Z52-AK52</f>
        <v/>
      </c>
      <c r="AM52" s="1251">
        <f>IFERROR(Z52/AK52*100,0)</f>
        <v/>
      </c>
      <c r="AN52" s="1251" t="n"/>
      <c r="AO52" s="1251">
        <f>AA52-AN52</f>
        <v/>
      </c>
      <c r="AP52" s="1251">
        <f>IFERROR(AA52/AN52*100,0)</f>
        <v/>
      </c>
      <c r="AQ52" s="1251" t="n"/>
      <c r="AR52" s="1260">
        <f>AA52-AQ52</f>
        <v/>
      </c>
      <c r="AS52" s="1260">
        <f>IFERROR(AA52/AQ52*100,0)</f>
        <v/>
      </c>
    </row>
    <row r="53" ht="14.45" customFormat="1" customHeight="1" s="716">
      <c r="A53" s="716" t="n"/>
      <c r="B53" s="716" t="n"/>
      <c r="C53" s="716" t="n"/>
      <c r="D53" s="716" t="n"/>
      <c r="E53" s="716" t="n"/>
      <c r="F53" s="716" t="n"/>
      <c r="G53" s="716" t="n"/>
      <c r="H53" s="716" t="n"/>
      <c r="I53" s="716" t="n"/>
      <c r="J53" s="716" t="n"/>
      <c r="K53" s="716" t="n"/>
      <c r="L53" s="716" t="n"/>
      <c r="M53" s="716" t="n"/>
      <c r="N53" s="716" t="n"/>
      <c r="O53" s="716" t="n"/>
      <c r="P53" s="716" t="n"/>
      <c r="Q53" s="716" t="n"/>
      <c r="R53" s="716" t="n"/>
      <c r="S53" s="462">
        <f>IF(_epmOfflineCondition_,"主营业务收入-供热设备收入",EPMMemberDesc(U53))</f>
        <v/>
      </c>
      <c r="T53" s="716" t="n"/>
      <c r="U53" s="716" t="inlineStr">
        <is>
          <t>A6001030000</t>
        </is>
      </c>
      <c r="V53" s="701">
        <f>IF(_epmOfflineCondition_,"A6001030000",EPMOlapMemberO(U53,"[C_ACCOUNT].[PARENTH1].[A6001030000]","A6001030000 - 主营业务收入-供热设备收入","","000"))</f>
        <v/>
      </c>
      <c r="W53" s="462" t="n"/>
      <c r="X53" s="705" t="inlineStr">
        <is>
          <t>供热设备</t>
        </is>
      </c>
      <c r="Y53" s="649" t="inlineStr"/>
      <c r="Z53" s="1249" t="n"/>
      <c r="AA53" s="1249" t="n"/>
      <c r="AB53" s="1250" t="n"/>
      <c r="AC53" s="1249">
        <f>Z53-AB53</f>
        <v/>
      </c>
      <c r="AD53" s="1249">
        <f>IF(AB53=0,0,(Z53-AB53)/AB53*100)</f>
        <v/>
      </c>
      <c r="AE53" s="1249" t="n"/>
      <c r="AF53" s="1249">
        <f>Z53-AE53</f>
        <v/>
      </c>
      <c r="AG53" s="1249">
        <f>IF(AE53=0,0,(Z53-AE53)/AE53*100)</f>
        <v/>
      </c>
      <c r="AH53" s="1249" t="n"/>
      <c r="AI53" s="1249">
        <f>AA53-AH53</f>
        <v/>
      </c>
      <c r="AJ53" s="1249">
        <f>IF(AH53=0,0,(AA53-AH53)/AH53*100)</f>
        <v/>
      </c>
      <c r="AK53" s="1251" t="n"/>
      <c r="AL53" s="1251">
        <f>Z53-AK53</f>
        <v/>
      </c>
      <c r="AM53" s="1251">
        <f>IFERROR(Z53/AK53*100,0)</f>
        <v/>
      </c>
      <c r="AN53" s="1251" t="n"/>
      <c r="AO53" s="1251">
        <f>AA53-AN53</f>
        <v/>
      </c>
      <c r="AP53" s="1251">
        <f>IFERROR(AA53/AN53*100,0)</f>
        <v/>
      </c>
      <c r="AQ53" s="1251" t="n"/>
      <c r="AR53" s="1260">
        <f>AA53-AQ53</f>
        <v/>
      </c>
      <c r="AS53" s="1260">
        <f>IFERROR(AA53/AQ53*100,0)</f>
        <v/>
      </c>
    </row>
    <row r="54" ht="14.45" customFormat="1" customHeight="1" s="716">
      <c r="A54" s="716" t="n"/>
      <c r="B54" s="716" t="n"/>
      <c r="C54" s="716" t="n"/>
      <c r="D54" s="716" t="n"/>
      <c r="E54" s="716" t="n"/>
      <c r="F54" s="716" t="n"/>
      <c r="G54" s="716" t="n"/>
      <c r="H54" s="716" t="n"/>
      <c r="I54" s="716" t="n"/>
      <c r="J54" s="716" t="n"/>
      <c r="K54" s="716" t="n"/>
      <c r="L54" s="716" t="n"/>
      <c r="M54" s="716" t="n"/>
      <c r="N54" s="716" t="n"/>
      <c r="O54" s="716" t="n"/>
      <c r="P54" s="716" t="n"/>
      <c r="Q54" s="716" t="n"/>
      <c r="R54" s="716" t="n"/>
      <c r="S54" s="462">
        <f>IF(_epmOfflineCondition_,"主营业务收入-煤炭及煤炭制品收入",EPMMemberDesc(U54))</f>
        <v/>
      </c>
      <c r="T54" s="716" t="n"/>
      <c r="U54" s="716" t="inlineStr">
        <is>
          <t>A6001040000</t>
        </is>
      </c>
      <c r="V54" s="701">
        <f>IF(_epmOfflineCondition_,"A6001040000",EPMOlapMemberO(U54,"[C_ACCOUNT].[PARENTH1].[A6001040000]","A6001040000 - 主营业务收入-煤炭及煤炭制品收入","","000"))</f>
        <v/>
      </c>
      <c r="W54" s="462" t="n"/>
      <c r="X54" s="705" t="inlineStr">
        <is>
          <t>煤炭及煤炭制品</t>
        </is>
      </c>
      <c r="Y54" s="649" t="inlineStr"/>
      <c r="Z54" s="1249" t="n"/>
      <c r="AA54" s="1249" t="n"/>
      <c r="AB54" s="1250" t="n"/>
      <c r="AC54" s="1249">
        <f>Z54-AB54</f>
        <v/>
      </c>
      <c r="AD54" s="1249">
        <f>IF(AB54=0,0,(Z54-AB54)/AB54*100)</f>
        <v/>
      </c>
      <c r="AE54" s="1249" t="n"/>
      <c r="AF54" s="1249">
        <f>Z54-AE54</f>
        <v/>
      </c>
      <c r="AG54" s="1249">
        <f>IF(AE54=0,0,(Z54-AE54)/AE54*100)</f>
        <v/>
      </c>
      <c r="AH54" s="1249" t="n"/>
      <c r="AI54" s="1249">
        <f>AA54-AH54</f>
        <v/>
      </c>
      <c r="AJ54" s="1249">
        <f>IF(AH54=0,0,(AA54-AH54)/AH54*100)</f>
        <v/>
      </c>
      <c r="AK54" s="1251" t="n"/>
      <c r="AL54" s="1251">
        <f>Z54-AK54</f>
        <v/>
      </c>
      <c r="AM54" s="1251">
        <f>IFERROR(Z54/AK54*100,0)</f>
        <v/>
      </c>
      <c r="AN54" s="1251" t="n"/>
      <c r="AO54" s="1251">
        <f>AA54-AN54</f>
        <v/>
      </c>
      <c r="AP54" s="1251">
        <f>IFERROR(AA54/AN54*100,0)</f>
        <v/>
      </c>
      <c r="AQ54" s="1251" t="n"/>
      <c r="AR54" s="1260">
        <f>AA54-AQ54</f>
        <v/>
      </c>
      <c r="AS54" s="1260">
        <f>IFERROR(AA54/AQ54*100,0)</f>
        <v/>
      </c>
    </row>
    <row r="55" ht="14.45" customFormat="1" customHeight="1" s="716">
      <c r="A55" s="716" t="n"/>
      <c r="B55" s="716" t="n"/>
      <c r="C55" s="716" t="n"/>
      <c r="D55" s="716" t="n"/>
      <c r="E55" s="716" t="n"/>
      <c r="F55" s="716" t="n"/>
      <c r="G55" s="716" t="n"/>
      <c r="H55" s="716" t="n"/>
      <c r="I55" s="716" t="n"/>
      <c r="J55" s="716" t="n"/>
      <c r="K55" s="716" t="n"/>
      <c r="L55" s="716" t="n"/>
      <c r="M55" s="716" t="n"/>
      <c r="N55" s="716" t="n"/>
      <c r="O55" s="716" t="n"/>
      <c r="P55" s="716" t="n"/>
      <c r="Q55" s="716" t="n"/>
      <c r="R55" s="716" t="n"/>
      <c r="S55" s="462">
        <f>IF(_epmOfflineCondition_,"主营业务收入-经营租赁收入",EPMMemberDesc(U55))</f>
        <v/>
      </c>
      <c r="T55" s="716" t="n"/>
      <c r="U55" s="716" t="inlineStr">
        <is>
          <t>A6001050000</t>
        </is>
      </c>
      <c r="V55" s="701">
        <f>IF(_epmOfflineCondition_,"A6001050000",EPMOlapMemberO(U55,"[C_ACCOUNT].[PARENTH1].[A6001050000]","A6001050000 - 主营业务收入-经营租赁收入","","000"))</f>
        <v/>
      </c>
      <c r="W55" s="462" t="n"/>
      <c r="X55" s="705" t="inlineStr">
        <is>
          <t>经营租赁</t>
        </is>
      </c>
      <c r="Y55" s="649" t="inlineStr"/>
      <c r="Z55" s="1249" t="n"/>
      <c r="AA55" s="1249" t="n"/>
      <c r="AB55" s="1250" t="n"/>
      <c r="AC55" s="1249">
        <f>Z55-AB55</f>
        <v/>
      </c>
      <c r="AD55" s="1249">
        <f>IF(AB55=0,0,(Z55-AB55)/AB55*100)</f>
        <v/>
      </c>
      <c r="AE55" s="1249" t="n"/>
      <c r="AF55" s="1249">
        <f>Z55-AE55</f>
        <v/>
      </c>
      <c r="AG55" s="1249">
        <f>IF(AE55=0,0,(Z55-AE55)/AE55*100)</f>
        <v/>
      </c>
      <c r="AH55" s="1249" t="n"/>
      <c r="AI55" s="1249">
        <f>AA55-AH55</f>
        <v/>
      </c>
      <c r="AJ55" s="1249">
        <f>IF(AH55=0,0,(AA55-AH55)/AH55*100)</f>
        <v/>
      </c>
      <c r="AK55" s="1251" t="n"/>
      <c r="AL55" s="1251">
        <f>Z55-AK55</f>
        <v/>
      </c>
      <c r="AM55" s="1251">
        <f>IFERROR(Z55/AK55*100,0)</f>
        <v/>
      </c>
      <c r="AN55" s="1251" t="n"/>
      <c r="AO55" s="1251">
        <f>AA55-AN55</f>
        <v/>
      </c>
      <c r="AP55" s="1251">
        <f>IFERROR(AA55/AN55*100,0)</f>
        <v/>
      </c>
      <c r="AQ55" s="1251" t="n"/>
      <c r="AR55" s="1260">
        <f>AA55-AQ55</f>
        <v/>
      </c>
      <c r="AS55" s="1260">
        <f>IFERROR(AA55/AQ55*100,0)</f>
        <v/>
      </c>
    </row>
    <row r="56" ht="14.45" customFormat="1" customHeight="1" s="716">
      <c r="A56" s="716" t="n"/>
      <c r="B56" s="716" t="n"/>
      <c r="C56" s="716" t="n"/>
      <c r="D56" s="716" t="n"/>
      <c r="E56" s="716" t="n"/>
      <c r="F56" s="716" t="n"/>
      <c r="G56" s="716" t="n"/>
      <c r="H56" s="716" t="n"/>
      <c r="I56" s="716" t="n"/>
      <c r="J56" s="716" t="n"/>
      <c r="K56" s="716" t="n"/>
      <c r="L56" s="716" t="n"/>
      <c r="M56" s="716" t="n"/>
      <c r="N56" s="716" t="n"/>
      <c r="O56" s="716" t="n"/>
      <c r="P56" s="716" t="n"/>
      <c r="Q56" s="716" t="n"/>
      <c r="R56" s="716" t="n"/>
      <c r="S56" s="462">
        <f>IF(_epmOfflineCondition_,"主营业务收入-物业服务收入",EPMMemberDesc(U56))</f>
        <v/>
      </c>
      <c r="T56" s="716" t="n"/>
      <c r="U56" s="716" t="inlineStr">
        <is>
          <t>A6001060000</t>
        </is>
      </c>
      <c r="V56" s="701">
        <f>IF(_epmOfflineCondition_,"A6001060000",EPMOlapMemberO(U56,"[C_ACCOUNT].[PARENTH1].[A6001060000]","A6001060000 - 主营业务收入-物业服务收入","","000"))</f>
        <v/>
      </c>
      <c r="W56" s="462" t="n"/>
      <c r="X56" s="705" t="inlineStr">
        <is>
          <t>物业服务</t>
        </is>
      </c>
      <c r="Y56" s="649" t="inlineStr"/>
      <c r="Z56" s="1249" t="n"/>
      <c r="AA56" s="1249" t="n"/>
      <c r="AB56" s="1250" t="n"/>
      <c r="AC56" s="1249">
        <f>Z56-AB56</f>
        <v/>
      </c>
      <c r="AD56" s="1249">
        <f>IF(AB56=0,0,(Z56-AB56)/AB56*100)</f>
        <v/>
      </c>
      <c r="AE56" s="1249" t="n"/>
      <c r="AF56" s="1249">
        <f>Z56-AE56</f>
        <v/>
      </c>
      <c r="AG56" s="1249">
        <f>IF(AE56=0,0,(Z56-AE56)/AE56*100)</f>
        <v/>
      </c>
      <c r="AH56" s="1249" t="n"/>
      <c r="AI56" s="1249">
        <f>AA56-AH56</f>
        <v/>
      </c>
      <c r="AJ56" s="1249">
        <f>IF(AH56=0,0,(AA56-AH56)/AH56*100)</f>
        <v/>
      </c>
      <c r="AK56" s="1251" t="n"/>
      <c r="AL56" s="1251">
        <f>Z56-AK56</f>
        <v/>
      </c>
      <c r="AM56" s="1251">
        <f>IFERROR(Z56/AK56*100,0)</f>
        <v/>
      </c>
      <c r="AN56" s="1251" t="n"/>
      <c r="AO56" s="1251">
        <f>AA56-AN56</f>
        <v/>
      </c>
      <c r="AP56" s="1251">
        <f>IFERROR(AA56/AN56*100,0)</f>
        <v/>
      </c>
      <c r="AQ56" s="1251" t="n"/>
      <c r="AR56" s="1260">
        <f>AA56-AQ56</f>
        <v/>
      </c>
      <c r="AS56" s="1260">
        <f>IFERROR(AA56/AQ56*100,0)</f>
        <v/>
      </c>
    </row>
    <row r="57" ht="14.45" customFormat="1" customHeight="1" s="716">
      <c r="A57" s="716" t="n"/>
      <c r="B57" s="716" t="n"/>
      <c r="C57" s="716" t="n"/>
      <c r="D57" s="716" t="n"/>
      <c r="E57" s="716" t="n"/>
      <c r="F57" s="716" t="n"/>
      <c r="G57" s="716" t="n"/>
      <c r="H57" s="716" t="n"/>
      <c r="I57" s="716" t="n"/>
      <c r="J57" s="716" t="n"/>
      <c r="K57" s="716" t="n"/>
      <c r="L57" s="716" t="n"/>
      <c r="M57" s="716" t="n"/>
      <c r="N57" s="716" t="n"/>
      <c r="O57" s="716" t="n"/>
      <c r="P57" s="716" t="n"/>
      <c r="Q57" s="716" t="n"/>
      <c r="R57" s="716" t="n"/>
      <c r="S57" s="462">
        <f>IF(_epmOfflineCondition_,"主营业务收入-酒店餐饮娱乐收入",EPMMemberDesc(U57))</f>
        <v/>
      </c>
      <c r="T57" s="716" t="n"/>
      <c r="U57" s="716" t="inlineStr">
        <is>
          <t>A6001070000</t>
        </is>
      </c>
      <c r="V57" s="701">
        <f>IF(_epmOfflineCondition_,"A6001070000",EPMOlapMemberO(U57,"[C_ACCOUNT].[PARENTH1].[A6001070000]","A6001070000 - 主营业务收入-酒店餐饮娱乐收入","","000"))</f>
        <v/>
      </c>
      <c r="W57" s="462" t="n"/>
      <c r="X57" s="705" t="inlineStr">
        <is>
          <t>酒店餐饮娱乐</t>
        </is>
      </c>
      <c r="Y57" s="649" t="inlineStr"/>
      <c r="Z57" s="1249" t="n"/>
      <c r="AA57" s="1249" t="n"/>
      <c r="AB57" s="1250" t="n"/>
      <c r="AC57" s="1249">
        <f>Z57-AB57</f>
        <v/>
      </c>
      <c r="AD57" s="1249">
        <f>IF(AB57=0,0,(Z57-AB57)/AB57*100)</f>
        <v/>
      </c>
      <c r="AE57" s="1249" t="n"/>
      <c r="AF57" s="1249">
        <f>Z57-AE57</f>
        <v/>
      </c>
      <c r="AG57" s="1249">
        <f>IF(AE57=0,0,(Z57-AE57)/AE57*100)</f>
        <v/>
      </c>
      <c r="AH57" s="1249" t="n"/>
      <c r="AI57" s="1249">
        <f>AA57-AH57</f>
        <v/>
      </c>
      <c r="AJ57" s="1249">
        <f>IF(AH57=0,0,(AA57-AH57)/AH57*100)</f>
        <v/>
      </c>
      <c r="AK57" s="1251" t="n"/>
      <c r="AL57" s="1251">
        <f>Z57-AK57</f>
        <v/>
      </c>
      <c r="AM57" s="1251">
        <f>IFERROR(Z57/AK57*100,0)</f>
        <v/>
      </c>
      <c r="AN57" s="1251" t="n"/>
      <c r="AO57" s="1251">
        <f>AA57-AN57</f>
        <v/>
      </c>
      <c r="AP57" s="1251">
        <f>IFERROR(AA57/AN57*100,0)</f>
        <v/>
      </c>
      <c r="AQ57" s="1251" t="n"/>
      <c r="AR57" s="1260">
        <f>AA57-AQ57</f>
        <v/>
      </c>
      <c r="AS57" s="1260">
        <f>IFERROR(AA57/AQ57*100,0)</f>
        <v/>
      </c>
    </row>
    <row r="58" ht="14.45" customFormat="1" customHeight="1" s="716">
      <c r="A58" s="716" t="n"/>
      <c r="B58" s="716" t="n"/>
      <c r="C58" s="716" t="n"/>
      <c r="D58" s="716" t="n"/>
      <c r="E58" s="716" t="n"/>
      <c r="F58" s="716" t="n"/>
      <c r="G58" s="716" t="n"/>
      <c r="H58" s="716" t="n"/>
      <c r="I58" s="716" t="n"/>
      <c r="J58" s="716" t="n"/>
      <c r="K58" s="716" t="n"/>
      <c r="L58" s="716" t="n"/>
      <c r="M58" s="716" t="n"/>
      <c r="N58" s="716" t="n"/>
      <c r="O58" s="716" t="n"/>
      <c r="P58" s="716" t="n"/>
      <c r="Q58" s="716" t="n"/>
      <c r="R58" s="716" t="n"/>
      <c r="S58" s="462">
        <f>IF(_epmOfflineCondition_,"主营业务收入-旅游服务收入",EPMMemberDesc(U58))</f>
        <v/>
      </c>
      <c r="T58" s="716" t="n"/>
      <c r="U58" s="716" t="inlineStr">
        <is>
          <t>A6001080000</t>
        </is>
      </c>
      <c r="V58" s="701">
        <f>IF(_epmOfflineCondition_,"A6001080000",EPMOlapMemberO(U58,"[C_ACCOUNT].[PARENTH1].[A6001080000]","A6001080000 - 主营业务收入-旅游服务收入","","000"))</f>
        <v/>
      </c>
      <c r="W58" s="462" t="n"/>
      <c r="X58" s="705" t="inlineStr">
        <is>
          <t>旅游服务</t>
        </is>
      </c>
      <c r="Y58" s="649" t="inlineStr"/>
      <c r="Z58" s="1249" t="n"/>
      <c r="AA58" s="1249" t="n"/>
      <c r="AB58" s="1250" t="n"/>
      <c r="AC58" s="1249">
        <f>Z58-AB58</f>
        <v/>
      </c>
      <c r="AD58" s="1249">
        <f>IF(AB58=0,0,(Z58-AB58)/AB58*100)</f>
        <v/>
      </c>
      <c r="AE58" s="1249" t="n"/>
      <c r="AF58" s="1249">
        <f>Z58-AE58</f>
        <v/>
      </c>
      <c r="AG58" s="1249">
        <f>IF(AE58=0,0,(Z58-AE58)/AE58*100)</f>
        <v/>
      </c>
      <c r="AH58" s="1249" t="n"/>
      <c r="AI58" s="1249">
        <f>AA58-AH58</f>
        <v/>
      </c>
      <c r="AJ58" s="1249">
        <f>IF(AH58=0,0,(AA58-AH58)/AH58*100)</f>
        <v/>
      </c>
      <c r="AK58" s="1251" t="n"/>
      <c r="AL58" s="1251">
        <f>Z58-AK58</f>
        <v/>
      </c>
      <c r="AM58" s="1251">
        <f>IFERROR(Z58/AK58*100,0)</f>
        <v/>
      </c>
      <c r="AN58" s="1251" t="n"/>
      <c r="AO58" s="1251">
        <f>AA58-AN58</f>
        <v/>
      </c>
      <c r="AP58" s="1251">
        <f>IFERROR(AA58/AN58*100,0)</f>
        <v/>
      </c>
      <c r="AQ58" s="1251" t="n"/>
      <c r="AR58" s="1260">
        <f>AA58-AQ58</f>
        <v/>
      </c>
      <c r="AS58" s="1260">
        <f>IFERROR(AA58/AQ58*100,0)</f>
        <v/>
      </c>
    </row>
    <row r="59" ht="14.45" customFormat="1" customHeight="1" s="716">
      <c r="A59" s="716" t="n"/>
      <c r="B59" s="716" t="n"/>
      <c r="C59" s="716" t="n"/>
      <c r="D59" s="716" t="n"/>
      <c r="E59" s="716" t="n"/>
      <c r="F59" s="716" t="n"/>
      <c r="G59" s="716" t="n"/>
      <c r="H59" s="716" t="n"/>
      <c r="I59" s="716" t="n"/>
      <c r="J59" s="716" t="n"/>
      <c r="K59" s="716" t="n"/>
      <c r="L59" s="716" t="n"/>
      <c r="M59" s="716" t="n"/>
      <c r="N59" s="716" t="n"/>
      <c r="O59" s="716" t="n"/>
      <c r="P59" s="716" t="n"/>
      <c r="Q59" s="716" t="n"/>
      <c r="R59" s="716" t="n"/>
      <c r="S59" s="462">
        <f>IF(_epmOfflineCondition_,"主营业务收入-会展服务收入",EPMMemberDesc(U59))</f>
        <v/>
      </c>
      <c r="T59" s="716" t="n"/>
      <c r="U59" s="716" t="inlineStr">
        <is>
          <t>A6001090000</t>
        </is>
      </c>
      <c r="V59" s="701">
        <f>IF(_epmOfflineCondition_,"A6001090000",EPMOlapMemberO(U59,"[C_ACCOUNT].[PARENTH1].[A6001090000]","A6001090000 - 主营业务收入-会展服务收入","","000"))</f>
        <v/>
      </c>
      <c r="W59" s="462" t="n"/>
      <c r="X59" s="705" t="inlineStr">
        <is>
          <t>会展服务</t>
        </is>
      </c>
      <c r="Y59" s="649" t="inlineStr"/>
      <c r="Z59" s="1249" t="n"/>
      <c r="AA59" s="1249" t="n"/>
      <c r="AB59" s="1250" t="n"/>
      <c r="AC59" s="1249">
        <f>Z59-AB59</f>
        <v/>
      </c>
      <c r="AD59" s="1249">
        <f>IF(AB59=0,0,(Z59-AB59)/AB59*100)</f>
        <v/>
      </c>
      <c r="AE59" s="1249" t="n"/>
      <c r="AF59" s="1249">
        <f>Z59-AE59</f>
        <v/>
      </c>
      <c r="AG59" s="1249">
        <f>IF(AE59=0,0,(Z59-AE59)/AE59*100)</f>
        <v/>
      </c>
      <c r="AH59" s="1249" t="n"/>
      <c r="AI59" s="1249">
        <f>AA59-AH59</f>
        <v/>
      </c>
      <c r="AJ59" s="1249">
        <f>IF(AH59=0,0,(AA59-AH59)/AH59*100)</f>
        <v/>
      </c>
      <c r="AK59" s="1251" t="n"/>
      <c r="AL59" s="1251">
        <f>Z59-AK59</f>
        <v/>
      </c>
      <c r="AM59" s="1251">
        <f>IFERROR(Z59/AK59*100,0)</f>
        <v/>
      </c>
      <c r="AN59" s="1251" t="n"/>
      <c r="AO59" s="1251">
        <f>AA59-AN59</f>
        <v/>
      </c>
      <c r="AP59" s="1251">
        <f>IFERROR(AA59/AN59*100,0)</f>
        <v/>
      </c>
      <c r="AQ59" s="1251" t="n"/>
      <c r="AR59" s="1260">
        <f>AA59-AQ59</f>
        <v/>
      </c>
      <c r="AS59" s="1260">
        <f>IFERROR(AA59/AQ59*100,0)</f>
        <v/>
      </c>
    </row>
    <row r="60" ht="14.45" customFormat="1" customHeight="1" s="716">
      <c r="A60" s="716" t="n"/>
      <c r="B60" s="716" t="n"/>
      <c r="C60" s="716" t="n"/>
      <c r="D60" s="716" t="n"/>
      <c r="E60" s="716" t="n"/>
      <c r="F60" s="716" t="n"/>
      <c r="G60" s="716" t="n"/>
      <c r="H60" s="716" t="n"/>
      <c r="I60" s="716" t="n"/>
      <c r="J60" s="716" t="n"/>
      <c r="K60" s="716" t="n"/>
      <c r="L60" s="716" t="n"/>
      <c r="M60" s="716" t="n"/>
      <c r="N60" s="716" t="n"/>
      <c r="O60" s="716" t="n"/>
      <c r="P60" s="716" t="n"/>
      <c r="Q60" s="716" t="n"/>
      <c r="R60" s="716" t="n"/>
      <c r="S60" s="462">
        <f>IF(_epmOfflineCondition_,"主营业务收入-医事服务收入",EPMMemberDesc(U60))</f>
        <v/>
      </c>
      <c r="T60" s="716" t="n"/>
      <c r="U60" s="716" t="inlineStr">
        <is>
          <t>A6001100000</t>
        </is>
      </c>
      <c r="V60" s="701">
        <f>IF(_epmOfflineCondition_,"A6001100000",EPMOlapMemberO(U60,"[C_ACCOUNT].[PARENTH1].[A6001100000]","A6001100000 - 主营业务收入-医事服务收入","","000"))</f>
        <v/>
      </c>
      <c r="W60" s="462" t="n"/>
      <c r="X60" s="705" t="inlineStr">
        <is>
          <t>医事服务</t>
        </is>
      </c>
      <c r="Y60" s="649" t="inlineStr"/>
      <c r="Z60" s="1249" t="n"/>
      <c r="AA60" s="1249" t="n"/>
      <c r="AB60" s="1250" t="n"/>
      <c r="AC60" s="1249">
        <f>Z60-AB60</f>
        <v/>
      </c>
      <c r="AD60" s="1249">
        <f>IF(AB60=0,0,(Z60-AB60)/AB60*100)</f>
        <v/>
      </c>
      <c r="AE60" s="1249" t="n"/>
      <c r="AF60" s="1249">
        <f>Z60-AE60</f>
        <v/>
      </c>
      <c r="AG60" s="1249">
        <f>IF(AE60=0,0,(Z60-AE60)/AE60*100)</f>
        <v/>
      </c>
      <c r="AH60" s="1249" t="n"/>
      <c r="AI60" s="1249">
        <f>AA60-AH60</f>
        <v/>
      </c>
      <c r="AJ60" s="1249">
        <f>IF(AH60=0,0,(AA60-AH60)/AH60*100)</f>
        <v/>
      </c>
      <c r="AK60" s="1251" t="n"/>
      <c r="AL60" s="1251">
        <f>Z60-AK60</f>
        <v/>
      </c>
      <c r="AM60" s="1251">
        <f>IFERROR(Z60/AK60*100,0)</f>
        <v/>
      </c>
      <c r="AN60" s="1251" t="n"/>
      <c r="AO60" s="1251">
        <f>AA60-AN60</f>
        <v/>
      </c>
      <c r="AP60" s="1251">
        <f>IFERROR(AA60/AN60*100,0)</f>
        <v/>
      </c>
      <c r="AQ60" s="1251" t="n"/>
      <c r="AR60" s="1260">
        <f>AA60-AQ60</f>
        <v/>
      </c>
      <c r="AS60" s="1260">
        <f>IFERROR(AA60/AQ60*100,0)</f>
        <v/>
      </c>
    </row>
    <row r="61" ht="14.45" customFormat="1" customHeight="1" s="716">
      <c r="A61" s="716" t="n"/>
      <c r="B61" s="716" t="n"/>
      <c r="C61" s="716" t="n"/>
      <c r="D61" s="716" t="n"/>
      <c r="E61" s="716" t="n"/>
      <c r="F61" s="716" t="n"/>
      <c r="G61" s="716" t="n"/>
      <c r="H61" s="716" t="n"/>
      <c r="I61" s="716" t="n"/>
      <c r="J61" s="716" t="n"/>
      <c r="K61" s="716" t="n"/>
      <c r="L61" s="716" t="n"/>
      <c r="M61" s="716" t="n"/>
      <c r="N61" s="716" t="n"/>
      <c r="O61" s="716" t="n"/>
      <c r="P61" s="716" t="n"/>
      <c r="Q61" s="716" t="n"/>
      <c r="R61" s="716" t="n"/>
      <c r="S61" s="462">
        <f>IF(_epmOfflineCondition_,"主营业务收入-康养服务",EPMMemberDesc(U61))</f>
        <v/>
      </c>
      <c r="T61" s="716" t="n"/>
      <c r="U61" s="716" t="inlineStr">
        <is>
          <t>A6001110000</t>
        </is>
      </c>
      <c r="V61" s="701">
        <f>IF(_epmOfflineCondition_,"A6001110000",EPMOlapMemberO(U61,"[C_ACCOUNT].[PARENTH1].[A6001110000]","A6001110000 - 主营业务收入-康养服务","","000"))</f>
        <v/>
      </c>
      <c r="W61" s="462" t="n"/>
      <c r="X61" s="705" t="inlineStr">
        <is>
          <t>养老院服务</t>
        </is>
      </c>
      <c r="Y61" s="649" t="inlineStr"/>
      <c r="Z61" s="1249" t="n"/>
      <c r="AA61" s="1249" t="n"/>
      <c r="AB61" s="1250" t="n"/>
      <c r="AC61" s="1249">
        <f>Z61-AB61</f>
        <v/>
      </c>
      <c r="AD61" s="1249">
        <f>IF(AB61=0,0,(Z61-AB61)/AB61*100)</f>
        <v/>
      </c>
      <c r="AE61" s="1249" t="n"/>
      <c r="AF61" s="1249">
        <f>Z61-AE61</f>
        <v/>
      </c>
      <c r="AG61" s="1249">
        <f>IF(AE61=0,0,(Z61-AE61)/AE61*100)</f>
        <v/>
      </c>
      <c r="AH61" s="1249" t="n"/>
      <c r="AI61" s="1249">
        <f>AA61-AH61</f>
        <v/>
      </c>
      <c r="AJ61" s="1249">
        <f>IF(AH61=0,0,(AA61-AH61)/AH61*100)</f>
        <v/>
      </c>
      <c r="AK61" s="1251" t="n"/>
      <c r="AL61" s="1251">
        <f>Z61-AK61</f>
        <v/>
      </c>
      <c r="AM61" s="1251">
        <f>IFERROR(Z61/AK61*100,0)</f>
        <v/>
      </c>
      <c r="AN61" s="1251" t="n"/>
      <c r="AO61" s="1251">
        <f>AA61-AN61</f>
        <v/>
      </c>
      <c r="AP61" s="1251">
        <f>IFERROR(AA61/AN61*100,0)</f>
        <v/>
      </c>
      <c r="AQ61" s="1251" t="n"/>
      <c r="AR61" s="1260">
        <f>AA61-AQ61</f>
        <v/>
      </c>
      <c r="AS61" s="1260">
        <f>IFERROR(AA61/AQ61*100,0)</f>
        <v/>
      </c>
    </row>
    <row r="62" ht="14.45" customFormat="1" customHeight="1" s="716">
      <c r="A62" s="716" t="n"/>
      <c r="B62" s="716" t="n"/>
      <c r="C62" s="716" t="n"/>
      <c r="D62" s="716" t="n"/>
      <c r="E62" s="716" t="n"/>
      <c r="F62" s="716" t="n"/>
      <c r="G62" s="716" t="n"/>
      <c r="H62" s="716" t="n"/>
      <c r="I62" s="716" t="n"/>
      <c r="J62" s="716" t="n"/>
      <c r="K62" s="716" t="n"/>
      <c r="L62" s="716" t="n"/>
      <c r="M62" s="716" t="n"/>
      <c r="N62" s="716" t="n"/>
      <c r="O62" s="716" t="n"/>
      <c r="P62" s="716" t="n"/>
      <c r="Q62" s="716" t="n"/>
      <c r="R62" s="716" t="n"/>
      <c r="S62" s="462">
        <f>IF(_epmOfflineCondition_,"主营业务收入-房地产收入",EPMMemberDesc(U62))</f>
        <v/>
      </c>
      <c r="T62" s="716" t="n"/>
      <c r="U62" s="716" t="inlineStr">
        <is>
          <t>A6001120000</t>
        </is>
      </c>
      <c r="V62" s="701">
        <f>IF(_epmOfflineCondition_,"A6001120000",EPMOlapMemberO(U62,"[C_ACCOUNT].[PARENTH1].[A6001120000]","A6001120000 - 主营业务收入-房地产收入","","000"))</f>
        <v/>
      </c>
      <c r="W62" s="462" t="n"/>
      <c r="X62" s="705" t="inlineStr">
        <is>
          <t>房地产开发及销售</t>
        </is>
      </c>
      <c r="Y62" s="649" t="inlineStr"/>
      <c r="Z62" s="1249" t="n"/>
      <c r="AA62" s="1249" t="n"/>
      <c r="AB62" s="1250" t="n"/>
      <c r="AC62" s="1249">
        <f>Z62-AB62</f>
        <v/>
      </c>
      <c r="AD62" s="1249">
        <f>IF(AB62=0,0,(Z62-AB62)/AB62*100)</f>
        <v/>
      </c>
      <c r="AE62" s="1249" t="n"/>
      <c r="AF62" s="1249">
        <f>Z62-AE62</f>
        <v/>
      </c>
      <c r="AG62" s="1249">
        <f>IF(AE62=0,0,(Z62-AE62)/AE62*100)</f>
        <v/>
      </c>
      <c r="AH62" s="1249" t="n"/>
      <c r="AI62" s="1249">
        <f>AA62-AH62</f>
        <v/>
      </c>
      <c r="AJ62" s="1249">
        <f>IF(AH62=0,0,(AA62-AH62)/AH62*100)</f>
        <v/>
      </c>
      <c r="AK62" s="1251" t="n"/>
      <c r="AL62" s="1251">
        <f>Z62-AK62</f>
        <v/>
      </c>
      <c r="AM62" s="1251">
        <f>IFERROR(Z62/AK62*100,0)</f>
        <v/>
      </c>
      <c r="AN62" s="1251" t="n"/>
      <c r="AO62" s="1251">
        <f>AA62-AN62</f>
        <v/>
      </c>
      <c r="AP62" s="1251">
        <f>IFERROR(AA62/AN62*100,0)</f>
        <v/>
      </c>
      <c r="AQ62" s="1251" t="n"/>
      <c r="AR62" s="1260">
        <f>AA62-AQ62</f>
        <v/>
      </c>
      <c r="AS62" s="1260">
        <f>IFERROR(AA62/AQ62*100,0)</f>
        <v/>
      </c>
    </row>
    <row r="63" ht="14.45" customFormat="1" customHeight="1" s="716">
      <c r="A63" s="716" t="n"/>
      <c r="B63" s="716" t="n"/>
      <c r="C63" s="716" t="n"/>
      <c r="D63" s="716" t="n"/>
      <c r="E63" s="716" t="n"/>
      <c r="F63" s="716" t="n"/>
      <c r="G63" s="716" t="n"/>
      <c r="H63" s="716" t="n"/>
      <c r="I63" s="716" t="n"/>
      <c r="J63" s="716" t="n"/>
      <c r="K63" s="716" t="n"/>
      <c r="L63" s="716" t="n"/>
      <c r="M63" s="716" t="n"/>
      <c r="N63" s="716" t="n"/>
      <c r="O63" s="716" t="n"/>
      <c r="P63" s="716" t="n"/>
      <c r="Q63" s="716" t="n"/>
      <c r="R63" s="716" t="n"/>
      <c r="S63" s="462">
        <f>IF(_epmOfflineCondition_,"主营业务收入-融资租赁收入",EPMMemberDesc(U63))</f>
        <v/>
      </c>
      <c r="T63" s="716" t="n"/>
      <c r="U63" s="716" t="inlineStr">
        <is>
          <t>A6001130000</t>
        </is>
      </c>
      <c r="V63" s="701">
        <f>IF(_epmOfflineCondition_,"A6001130000",EPMOlapMemberO(U63,"[C_ACCOUNT].[PARENTH1].[A6001130000]","A6001130000 - 主营业务收入-融资租赁收入","","000"))</f>
        <v/>
      </c>
      <c r="W63" s="462" t="n"/>
      <c r="X63" s="705" t="inlineStr">
        <is>
          <t>融资租赁</t>
        </is>
      </c>
      <c r="Y63" s="649" t="inlineStr"/>
      <c r="Z63" s="1249" t="n"/>
      <c r="AA63" s="1249" t="n"/>
      <c r="AB63" s="1250" t="n"/>
      <c r="AC63" s="1249">
        <f>Z63-AB63</f>
        <v/>
      </c>
      <c r="AD63" s="1249">
        <f>IF(AB63=0,0,(Z63-AB63)/AB63*100)</f>
        <v/>
      </c>
      <c r="AE63" s="1249" t="n"/>
      <c r="AF63" s="1249">
        <f>Z63-AE63</f>
        <v/>
      </c>
      <c r="AG63" s="1249">
        <f>IF(AE63=0,0,(Z63-AE63)/AE63*100)</f>
        <v/>
      </c>
      <c r="AH63" s="1249" t="n"/>
      <c r="AI63" s="1249">
        <f>AA63-AH63</f>
        <v/>
      </c>
      <c r="AJ63" s="1249">
        <f>IF(AH63=0,0,(AA63-AH63)/AH63*100)</f>
        <v/>
      </c>
      <c r="AK63" s="1251" t="n"/>
      <c r="AL63" s="1251">
        <f>Z63-AK63</f>
        <v/>
      </c>
      <c r="AM63" s="1251">
        <f>IFERROR(Z63/AK63*100,0)</f>
        <v/>
      </c>
      <c r="AN63" s="1251" t="n"/>
      <c r="AO63" s="1251">
        <f>AA63-AN63</f>
        <v/>
      </c>
      <c r="AP63" s="1251">
        <f>IFERROR(AA63/AN63*100,0)</f>
        <v/>
      </c>
      <c r="AQ63" s="1251" t="n"/>
      <c r="AR63" s="1260">
        <f>AA63-AQ63</f>
        <v/>
      </c>
      <c r="AS63" s="1260">
        <f>IFERROR(AA63/AQ63*100,0)</f>
        <v/>
      </c>
    </row>
    <row r="64" ht="14.45" customFormat="1" customHeight="1" s="716">
      <c r="A64" s="716" t="n"/>
      <c r="B64" s="716" t="n"/>
      <c r="C64" s="716" t="n"/>
      <c r="D64" s="716" t="n"/>
      <c r="E64" s="716" t="n"/>
      <c r="F64" s="716" t="n"/>
      <c r="G64" s="716" t="n"/>
      <c r="H64" s="716" t="n"/>
      <c r="I64" s="716" t="n"/>
      <c r="J64" s="716" t="n"/>
      <c r="K64" s="716" t="n"/>
      <c r="L64" s="716" t="n"/>
      <c r="M64" s="716" t="n"/>
      <c r="N64" s="716" t="n"/>
      <c r="O64" s="716" t="n"/>
      <c r="P64" s="716" t="n"/>
      <c r="Q64" s="716" t="n"/>
      <c r="R64" s="716" t="n"/>
      <c r="S64" s="462">
        <f>IF(_epmOfflineCondition_,"主营业务收入-智能停车收入",EPMMemberDesc(U64))</f>
        <v/>
      </c>
      <c r="T64" s="716" t="n"/>
      <c r="U64" s="716" t="inlineStr">
        <is>
          <t>A6001140000</t>
        </is>
      </c>
      <c r="V64" s="701">
        <f>IF(_epmOfflineCondition_,"A6001140000",EPMOlapMemberO(U64,"[C_ACCOUNT].[PARENTH1].[A6001140000]","A6001140000 - 主营业务收入-智能停车收入","","000"))</f>
        <v/>
      </c>
      <c r="W64" s="462" t="n"/>
      <c r="X64" s="705" t="inlineStr">
        <is>
          <t>智能停车</t>
        </is>
      </c>
      <c r="Y64" s="649" t="inlineStr"/>
      <c r="Z64" s="1249" t="n"/>
      <c r="AA64" s="1249" t="n"/>
      <c r="AB64" s="1250" t="n"/>
      <c r="AC64" s="1249">
        <f>Z64-AB64</f>
        <v/>
      </c>
      <c r="AD64" s="1249">
        <f>IF(AB64=0,0,(Z64-AB64)/AB64*100)</f>
        <v/>
      </c>
      <c r="AE64" s="1249" t="n"/>
      <c r="AF64" s="1249">
        <f>Z64-AE64</f>
        <v/>
      </c>
      <c r="AG64" s="1249">
        <f>IF(AE64=0,0,(Z64-AE64)/AE64*100)</f>
        <v/>
      </c>
      <c r="AH64" s="1249" t="n"/>
      <c r="AI64" s="1249">
        <f>AA64-AH64</f>
        <v/>
      </c>
      <c r="AJ64" s="1249">
        <f>IF(AH64=0,0,(AA64-AH64)/AH64*100)</f>
        <v/>
      </c>
      <c r="AK64" s="1251" t="n"/>
      <c r="AL64" s="1251">
        <f>Z64-AK64</f>
        <v/>
      </c>
      <c r="AM64" s="1251">
        <f>IFERROR(Z64/AK64*100,0)</f>
        <v/>
      </c>
      <c r="AN64" s="1251" t="n"/>
      <c r="AO64" s="1251">
        <f>AA64-AN64</f>
        <v/>
      </c>
      <c r="AP64" s="1251">
        <f>IFERROR(AA64/AN64*100,0)</f>
        <v/>
      </c>
      <c r="AQ64" s="1251" t="n"/>
      <c r="AR64" s="1260">
        <f>AA64-AQ64</f>
        <v/>
      </c>
      <c r="AS64" s="1260">
        <f>IFERROR(AA64/AQ64*100,0)</f>
        <v/>
      </c>
    </row>
    <row r="65" ht="14.45" customFormat="1" customHeight="1" s="716">
      <c r="A65" s="716" t="n"/>
      <c r="B65" s="716" t="n"/>
      <c r="C65" s="716" t="n"/>
      <c r="D65" s="716" t="n"/>
      <c r="E65" s="716" t="n"/>
      <c r="F65" s="716" t="n"/>
      <c r="G65" s="716" t="n"/>
      <c r="H65" s="716" t="n"/>
      <c r="I65" s="716" t="n"/>
      <c r="J65" s="716" t="n"/>
      <c r="K65" s="716" t="n"/>
      <c r="L65" s="716" t="n"/>
      <c r="M65" s="716" t="n"/>
      <c r="N65" s="716" t="n"/>
      <c r="O65" s="716" t="n"/>
      <c r="P65" s="716" t="n"/>
      <c r="Q65" s="716" t="n"/>
      <c r="R65" s="716" t="n"/>
      <c r="S65" s="462">
        <f>IF(_epmOfflineCondition_,"主营业务收入-汽贸业务收入",EPMMemberDesc(U65))</f>
        <v/>
      </c>
      <c r="T65" s="716" t="n"/>
      <c r="U65" s="716" t="inlineStr">
        <is>
          <t>A6001150000</t>
        </is>
      </c>
      <c r="V65" s="701">
        <f>IF(_epmOfflineCondition_,"A6001150000",EPMOlapMemberO(U65,"[C_ACCOUNT].[PARENTH1].[A6001150000]","A6001150000 - 主营业务收入-汽贸业务收入","","000"))</f>
        <v/>
      </c>
      <c r="W65" s="462" t="n"/>
      <c r="X65" s="705" t="inlineStr">
        <is>
          <t>汽贸业务</t>
        </is>
      </c>
      <c r="Y65" s="649" t="inlineStr"/>
      <c r="Z65" s="1249" t="n"/>
      <c r="AA65" s="1249" t="n"/>
      <c r="AB65" s="1249" t="n"/>
      <c r="AC65" s="1249">
        <f>Z65-AB65</f>
        <v/>
      </c>
      <c r="AD65" s="1249">
        <f>IF(AB65=0,0,(Z65-AB65)/AB65*100)</f>
        <v/>
      </c>
      <c r="AE65" s="1249" t="n"/>
      <c r="AF65" s="1249">
        <f>Z65-AE65</f>
        <v/>
      </c>
      <c r="AG65" s="1249">
        <f>IF(AE65=0,0,(Z65-AE65)/AE65*100)</f>
        <v/>
      </c>
      <c r="AH65" s="1249" t="n"/>
      <c r="AI65" s="1249">
        <f>AA65-AH65</f>
        <v/>
      </c>
      <c r="AJ65" s="1249">
        <f>IF(AH65=0,0,(AA65-AH65)/AH65*100)</f>
        <v/>
      </c>
      <c r="AK65" s="1251" t="n"/>
      <c r="AL65" s="1251">
        <f>Z65-AK65</f>
        <v/>
      </c>
      <c r="AM65" s="1251">
        <f>IFERROR(Z65/AK65*100,0)</f>
        <v/>
      </c>
      <c r="AN65" s="1251" t="n"/>
      <c r="AO65" s="1251">
        <f>AA65-AN65</f>
        <v/>
      </c>
      <c r="AP65" s="1251">
        <f>IFERROR(AA65/AN65*100,0)</f>
        <v/>
      </c>
      <c r="AQ65" s="1251" t="n"/>
      <c r="AR65" s="1260">
        <f>AA65-AQ65</f>
        <v/>
      </c>
      <c r="AS65" s="1260">
        <f>IFERROR(AA65/AQ65*100,0)</f>
        <v/>
      </c>
    </row>
    <row r="66" ht="14.45" customFormat="1" customHeight="1" s="716">
      <c r="A66" s="716" t="n"/>
      <c r="B66" s="716" t="n"/>
      <c r="C66" s="716" t="n"/>
      <c r="D66" s="716" t="n"/>
      <c r="E66" s="716" t="n"/>
      <c r="F66" s="716" t="n"/>
      <c r="G66" s="716" t="n"/>
      <c r="H66" s="716" t="n"/>
      <c r="I66" s="716" t="n"/>
      <c r="J66" s="716" t="n"/>
      <c r="K66" s="716" t="n"/>
      <c r="L66" s="716" t="n"/>
      <c r="M66" s="716" t="n"/>
      <c r="N66" s="716" t="n"/>
      <c r="O66" s="716" t="n"/>
      <c r="P66" s="716" t="n"/>
      <c r="Q66" s="716" t="n"/>
      <c r="R66" s="716" t="n"/>
      <c r="S66" s="462">
        <f>IF(_epmOfflineCondition_,"主营业务收入-机械产品收入",EPMMemberDesc(U66))</f>
        <v/>
      </c>
      <c r="T66" s="716" t="n"/>
      <c r="U66" s="716" t="inlineStr">
        <is>
          <t>A6001160000</t>
        </is>
      </c>
      <c r="V66" s="701">
        <f>IF(_epmOfflineCondition_,"A6001160000",EPMOlapMemberO(U66,"[C_ACCOUNT].[PARENTH1].[A6001160000]","A6001160000 - 主营业务收入-机械产品收入","","000"))</f>
        <v/>
      </c>
      <c r="W66" s="462" t="n"/>
      <c r="X66" s="705" t="inlineStr">
        <is>
          <t>机械产品</t>
        </is>
      </c>
      <c r="Y66" s="649" t="inlineStr"/>
      <c r="Z66" s="1249" t="n"/>
      <c r="AA66" s="1249" t="n"/>
      <c r="AB66" s="1250" t="n"/>
      <c r="AC66" s="1249">
        <f>Z66-AB66</f>
        <v/>
      </c>
      <c r="AD66" s="1249">
        <f>IF(AB66=0,0,(Z66-AB66)/AB66*100)</f>
        <v/>
      </c>
      <c r="AE66" s="1249" t="n"/>
      <c r="AF66" s="1249">
        <f>Z66-AE66</f>
        <v/>
      </c>
      <c r="AG66" s="1249">
        <f>IF(AE66=0,0,(Z66-AE66)/AE66*100)</f>
        <v/>
      </c>
      <c r="AH66" s="1249" t="n"/>
      <c r="AI66" s="1249">
        <f>AA66-AH66</f>
        <v/>
      </c>
      <c r="AJ66" s="1249">
        <f>IF(AH66=0,0,(AA66-AH66)/AH66*100)</f>
        <v/>
      </c>
      <c r="AK66" s="1251" t="n"/>
      <c r="AL66" s="1251">
        <f>Z66-AK66</f>
        <v/>
      </c>
      <c r="AM66" s="1251">
        <f>IFERROR(Z66/AK66*100,0)</f>
        <v/>
      </c>
      <c r="AN66" s="1251" t="n"/>
      <c r="AO66" s="1251">
        <f>AA66-AN66</f>
        <v/>
      </c>
      <c r="AP66" s="1251">
        <f>IFERROR(AA66/AN66*100,0)</f>
        <v/>
      </c>
      <c r="AQ66" s="1251" t="n"/>
      <c r="AR66" s="1260">
        <f>AA66-AQ66</f>
        <v/>
      </c>
      <c r="AS66" s="1260">
        <f>IFERROR(AA66/AQ66*100,0)</f>
        <v/>
      </c>
    </row>
    <row r="67" ht="14.45" customFormat="1" customHeight="1" s="716">
      <c r="A67" s="716" t="n"/>
      <c r="B67" s="716" t="n"/>
      <c r="C67" s="716" t="n"/>
      <c r="D67" s="716" t="n"/>
      <c r="E67" s="716" t="n"/>
      <c r="F67" s="716" t="n"/>
      <c r="G67" s="716" t="n"/>
      <c r="H67" s="716" t="n"/>
      <c r="I67" s="716" t="n"/>
      <c r="J67" s="716" t="n"/>
      <c r="K67" s="716" t="n"/>
      <c r="L67" s="716" t="n"/>
      <c r="M67" s="716" t="n"/>
      <c r="N67" s="716" t="n"/>
      <c r="O67" s="716" t="n"/>
      <c r="P67" s="716" t="n"/>
      <c r="Q67" s="716" t="n"/>
      <c r="R67" s="716" t="n"/>
      <c r="S67" s="462">
        <f>IF(_epmOfflineCondition_,"主营业务收入-商贸商品收入",EPMMemberDesc(U67))</f>
        <v/>
      </c>
      <c r="T67" s="716" t="n"/>
      <c r="U67" s="716" t="inlineStr">
        <is>
          <t>A6001170000</t>
        </is>
      </c>
      <c r="V67" s="701">
        <f>IF(_epmOfflineCondition_,"A6001170000",EPMOlapMemberO(U67,"[C_ACCOUNT].[PARENTH1].[A6001170000]","A6001170000 - 主营业务收入-商贸商品收入","","000"))</f>
        <v/>
      </c>
      <c r="W67" s="462" t="n"/>
      <c r="X67" s="705" t="inlineStr">
        <is>
          <t>商贸商品</t>
        </is>
      </c>
      <c r="Y67" s="649" t="inlineStr"/>
      <c r="Z67" s="1249" t="n"/>
      <c r="AA67" s="1249" t="n"/>
      <c r="AB67" s="1250" t="n"/>
      <c r="AC67" s="1249">
        <f>Z67-AB67</f>
        <v/>
      </c>
      <c r="AD67" s="1249">
        <f>IF(AB67=0,0,(Z67-AB67)/AB67*100)</f>
        <v/>
      </c>
      <c r="AE67" s="1249" t="n"/>
      <c r="AF67" s="1249">
        <f>Z67-AE67</f>
        <v/>
      </c>
      <c r="AG67" s="1249">
        <f>IF(AE67=0,0,(Z67-AE67)/AE67*100)</f>
        <v/>
      </c>
      <c r="AH67" s="1249" t="n"/>
      <c r="AI67" s="1249">
        <f>AA67-AH67</f>
        <v/>
      </c>
      <c r="AJ67" s="1249">
        <f>IF(AH67=0,0,(AA67-AH67)/AH67*100)</f>
        <v/>
      </c>
      <c r="AK67" s="1251" t="n"/>
      <c r="AL67" s="1251">
        <f>Z67-AK67</f>
        <v/>
      </c>
      <c r="AM67" s="1251">
        <f>IFERROR(Z67/AK67*100,0)</f>
        <v/>
      </c>
      <c r="AN67" s="1251" t="n"/>
      <c r="AO67" s="1251">
        <f>AA67-AN67</f>
        <v/>
      </c>
      <c r="AP67" s="1251">
        <f>IFERROR(AA67/AN67*100,0)</f>
        <v/>
      </c>
      <c r="AQ67" s="1251" t="n"/>
      <c r="AR67" s="1260">
        <f>AA67-AQ67</f>
        <v/>
      </c>
      <c r="AS67" s="1260">
        <f>IFERROR(AA67/AQ67*100,0)</f>
        <v/>
      </c>
    </row>
    <row r="68" ht="14.45" customFormat="1" customHeight="1" s="716">
      <c r="A68" s="716" t="n"/>
      <c r="B68" s="716" t="n"/>
      <c r="C68" s="716" t="n"/>
      <c r="D68" s="716" t="n"/>
      <c r="E68" s="716" t="n"/>
      <c r="F68" s="716" t="n"/>
      <c r="G68" s="716" t="n"/>
      <c r="H68" s="716" t="n"/>
      <c r="I68" s="716" t="n"/>
      <c r="J68" s="716" t="n"/>
      <c r="K68" s="716" t="n"/>
      <c r="L68" s="716" t="n"/>
      <c r="M68" s="716" t="n"/>
      <c r="N68" s="716" t="n"/>
      <c r="O68" s="716" t="n"/>
      <c r="P68" s="716" t="n"/>
      <c r="Q68" s="716" t="n"/>
      <c r="R68" s="716" t="n"/>
      <c r="S68" s="462">
        <f>IF(_epmOfflineCondition_,"主营业务收入-商品销售收入",EPMMemberDesc(U68))</f>
        <v/>
      </c>
      <c r="T68" s="716" t="n"/>
      <c r="U68" s="716" t="inlineStr">
        <is>
          <t>A6001180000</t>
        </is>
      </c>
      <c r="V68" s="701">
        <f>IF(_epmOfflineCondition_,"A6001180000",EPMOlapMemberO(U68,"[C_ACCOUNT].[PARENTH1].[A6001180000]","A6001180000 - 主营业务收入-商品销售收入","","000"))</f>
        <v/>
      </c>
      <c r="W68" s="462" t="n"/>
      <c r="X68" s="705" t="inlineStr">
        <is>
          <t>商品销售</t>
        </is>
      </c>
      <c r="Y68" s="649" t="inlineStr"/>
      <c r="Z68" s="1249" t="n"/>
      <c r="AA68" s="1249" t="n"/>
      <c r="AB68" s="1250" t="n"/>
      <c r="AC68" s="1249">
        <f>Z68-AB68</f>
        <v/>
      </c>
      <c r="AD68" s="1249">
        <f>IF(AB68=0,0,(Z68-AB68)/AB68*100)</f>
        <v/>
      </c>
      <c r="AE68" s="1249" t="n"/>
      <c r="AF68" s="1249">
        <f>Z68-AE68</f>
        <v/>
      </c>
      <c r="AG68" s="1249">
        <f>IF(AE68=0,0,(Z68-AE68)/AE68*100)</f>
        <v/>
      </c>
      <c r="AH68" s="1249" t="n"/>
      <c r="AI68" s="1249">
        <f>AA68-AH68</f>
        <v/>
      </c>
      <c r="AJ68" s="1249">
        <f>IF(AH68=0,0,(AA68-AH68)/AH68*100)</f>
        <v/>
      </c>
      <c r="AK68" s="1251" t="n"/>
      <c r="AL68" s="1251">
        <f>Z68-AK68</f>
        <v/>
      </c>
      <c r="AM68" s="1251">
        <f>IFERROR(Z68/AK68*100,0)</f>
        <v/>
      </c>
      <c r="AN68" s="1251" t="n"/>
      <c r="AO68" s="1251">
        <f>AA68-AN68</f>
        <v/>
      </c>
      <c r="AP68" s="1251">
        <f>IFERROR(AA68/AN68*100,0)</f>
        <v/>
      </c>
      <c r="AQ68" s="1251" t="n"/>
      <c r="AR68" s="1260">
        <f>AA68-AQ68</f>
        <v/>
      </c>
      <c r="AS68" s="1260">
        <f>IFERROR(AA68/AQ68*100,0)</f>
        <v/>
      </c>
    </row>
    <row r="69" ht="14.45" customFormat="1" customHeight="1" s="716">
      <c r="A69" s="716" t="n"/>
      <c r="B69" s="716" t="n"/>
      <c r="C69" s="716" t="n"/>
      <c r="D69" s="716" t="n"/>
      <c r="E69" s="716" t="n"/>
      <c r="F69" s="716" t="n"/>
      <c r="G69" s="716" t="n"/>
      <c r="H69" s="716" t="n"/>
      <c r="I69" s="716" t="n"/>
      <c r="J69" s="716" t="n"/>
      <c r="K69" s="716" t="n"/>
      <c r="L69" s="716" t="n"/>
      <c r="M69" s="716" t="n"/>
      <c r="N69" s="716" t="n"/>
      <c r="O69" s="716" t="n"/>
      <c r="P69" s="716" t="n"/>
      <c r="Q69" s="716" t="n"/>
      <c r="R69" s="716" t="n"/>
      <c r="S69" s="462">
        <f>IF(_epmOfflineCondition_,"主营业务收入-产品销售收入",EPMMemberDesc(U69))</f>
        <v/>
      </c>
      <c r="T69" s="716" t="n"/>
      <c r="U69" s="716" t="inlineStr">
        <is>
          <t>A6001190000</t>
        </is>
      </c>
      <c r="V69" s="701">
        <f>IF(_epmOfflineCondition_,"A6001190000",EPMOlapMemberO(U69,"[C_ACCOUNT].[PARENTH1].[A6001190000]","A6001190000 - 主营业务收入-产品销售收入","","000"))</f>
        <v/>
      </c>
      <c r="W69" s="462" t="n"/>
      <c r="X69" s="705" t="inlineStr">
        <is>
          <t>产品销售</t>
        </is>
      </c>
      <c r="Y69" s="649" t="inlineStr"/>
      <c r="Z69" s="1249" t="n"/>
      <c r="AA69" s="1249" t="n"/>
      <c r="AB69" s="1250" t="n"/>
      <c r="AC69" s="1249">
        <f>Z69-AB69</f>
        <v/>
      </c>
      <c r="AD69" s="1249">
        <f>IF(AB69=0,0,(Z69-AB69)/AB69*100)</f>
        <v/>
      </c>
      <c r="AE69" s="1249" t="n"/>
      <c r="AF69" s="1249">
        <f>Z69-AE69</f>
        <v/>
      </c>
      <c r="AG69" s="1249">
        <f>IF(AE69=0,0,(Z69-AE69)/AE69*100)</f>
        <v/>
      </c>
      <c r="AH69" s="1249" t="n"/>
      <c r="AI69" s="1249">
        <f>AA69-AH69</f>
        <v/>
      </c>
      <c r="AJ69" s="1249">
        <f>IF(AH69=0,0,(AA69-AH69)/AH69*100)</f>
        <v/>
      </c>
      <c r="AK69" s="1251" t="n"/>
      <c r="AL69" s="1251">
        <f>Z69-AK69</f>
        <v/>
      </c>
      <c r="AM69" s="1251">
        <f>IFERROR(Z69/AK69*100,0)</f>
        <v/>
      </c>
      <c r="AN69" s="1251" t="n"/>
      <c r="AO69" s="1251">
        <f>AA69-AN69</f>
        <v/>
      </c>
      <c r="AP69" s="1251">
        <f>IFERROR(AA69/AN69*100,0)</f>
        <v/>
      </c>
      <c r="AQ69" s="1251" t="n"/>
      <c r="AR69" s="1260">
        <f>AA69-AQ69</f>
        <v/>
      </c>
      <c r="AS69" s="1260">
        <f>IFERROR(AA69/AQ69*100,0)</f>
        <v/>
      </c>
    </row>
    <row r="70" ht="14.45" customFormat="1" customHeight="1" s="716">
      <c r="A70" s="716" t="n"/>
      <c r="B70" s="716" t="n"/>
      <c r="C70" s="716" t="n"/>
      <c r="D70" s="716" t="n"/>
      <c r="E70" s="716" t="n"/>
      <c r="F70" s="716" t="n"/>
      <c r="G70" s="716" t="n"/>
      <c r="H70" s="716" t="n"/>
      <c r="I70" s="716" t="n"/>
      <c r="J70" s="716" t="n"/>
      <c r="K70" s="716" t="n"/>
      <c r="L70" s="716" t="n"/>
      <c r="M70" s="716" t="n"/>
      <c r="N70" s="716" t="n"/>
      <c r="O70" s="716" t="n"/>
      <c r="P70" s="716" t="n"/>
      <c r="Q70" s="716" t="n"/>
      <c r="R70" s="716" t="n"/>
      <c r="S70" s="462">
        <f>IF(_epmOfflineCondition_,"主营业务收入-工程收入",EPMMemberDesc(U70))</f>
        <v/>
      </c>
      <c r="T70" s="716" t="n"/>
      <c r="U70" s="716" t="inlineStr">
        <is>
          <t>A6001200000</t>
        </is>
      </c>
      <c r="V70" s="701">
        <f>IF(_epmOfflineCondition_,"A6001200000",EPMOlapMemberO(U70,"[C_ACCOUNT].[PARENTH1].[A6001200000]","A6001200000 - 主营业务收入-工程收入","","000"))</f>
        <v/>
      </c>
      <c r="W70" s="462" t="n"/>
      <c r="X70" s="705" t="inlineStr">
        <is>
          <t>工程收入</t>
        </is>
      </c>
      <c r="Y70" s="649" t="inlineStr"/>
      <c r="Z70" s="1249" t="n"/>
      <c r="AA70" s="1249" t="n"/>
      <c r="AB70" s="1250" t="n"/>
      <c r="AC70" s="1249">
        <f>Z70-AB70</f>
        <v/>
      </c>
      <c r="AD70" s="1249">
        <f>IF(AB70=0,0,(Z70-AB70)/AB70*100)</f>
        <v/>
      </c>
      <c r="AE70" s="1249" t="n"/>
      <c r="AF70" s="1249">
        <f>Z70-AE70</f>
        <v/>
      </c>
      <c r="AG70" s="1249">
        <f>IF(AE70=0,0,(Z70-AE70)/AE70*100)</f>
        <v/>
      </c>
      <c r="AH70" s="1249" t="n"/>
      <c r="AI70" s="1249">
        <f>AA70-AH70</f>
        <v/>
      </c>
      <c r="AJ70" s="1249">
        <f>IF(AH70=0,0,(AA70-AH70)/AH70*100)</f>
        <v/>
      </c>
      <c r="AK70" s="1251" t="n"/>
      <c r="AL70" s="1251">
        <f>Z70-AK70</f>
        <v/>
      </c>
      <c r="AM70" s="1251">
        <f>IFERROR(Z70/AK70*100,0)</f>
        <v/>
      </c>
      <c r="AN70" s="1251" t="n"/>
      <c r="AO70" s="1251">
        <f>AA70-AN70</f>
        <v/>
      </c>
      <c r="AP70" s="1251">
        <f>IFERROR(AA70/AN70*100,0)</f>
        <v/>
      </c>
      <c r="AQ70" s="1251" t="n"/>
      <c r="AR70" s="1260">
        <f>AA70-AQ70</f>
        <v/>
      </c>
      <c r="AS70" s="1260">
        <f>IFERROR(AA70/AQ70*100,0)</f>
        <v/>
      </c>
    </row>
    <row r="71" ht="14.45" customFormat="1" customHeight="1" s="716">
      <c r="A71" s="716" t="n"/>
      <c r="B71" s="716" t="n"/>
      <c r="C71" s="716" t="n"/>
      <c r="D71" s="716" t="n"/>
      <c r="E71" s="716" t="n"/>
      <c r="F71" s="716" t="n"/>
      <c r="G71" s="716" t="n"/>
      <c r="H71" s="716" t="n"/>
      <c r="I71" s="716" t="n"/>
      <c r="J71" s="716" t="n"/>
      <c r="K71" s="716" t="n"/>
      <c r="L71" s="716" t="n"/>
      <c r="M71" s="716" t="n"/>
      <c r="N71" s="716" t="n"/>
      <c r="O71" s="716" t="n"/>
      <c r="P71" s="716" t="n"/>
      <c r="Q71" s="716" t="n"/>
      <c r="R71" s="716" t="n"/>
      <c r="S71" s="462">
        <f>IF(_epmOfflineCondition_,"主营业务收入-服务收入",EPMMemberDesc(U71))</f>
        <v/>
      </c>
      <c r="T71" s="716" t="n"/>
      <c r="U71" s="716" t="inlineStr">
        <is>
          <t>A6001210001</t>
        </is>
      </c>
      <c r="V71" s="701">
        <f>IF(_epmOfflineCondition_,"A6001210001",EPMOlapMemberO(U71,"[C_ACCOUNT].[PARENTH1].[A6001210001]","A6001210001 - 主营业务收入-服务收入","","000"))</f>
        <v/>
      </c>
      <c r="W71" s="462" t="n"/>
      <c r="X71" s="705" t="inlineStr">
        <is>
          <t>服务收入</t>
        </is>
      </c>
      <c r="Y71" s="649" t="inlineStr"/>
      <c r="Z71" s="1249" t="n"/>
      <c r="AA71" s="1249" t="n"/>
      <c r="AB71" s="1250" t="n"/>
      <c r="AC71" s="1249">
        <f>Z71-AB71</f>
        <v/>
      </c>
      <c r="AD71" s="1249">
        <f>IF(AB71=0,0,(Z71-AB71)/AB71*100)</f>
        <v/>
      </c>
      <c r="AE71" s="1249" t="n"/>
      <c r="AF71" s="1249">
        <f>Z71-AE71</f>
        <v/>
      </c>
      <c r="AG71" s="1249">
        <f>IF(AE71=0,0,(Z71-AE71)/AE71*100)</f>
        <v/>
      </c>
      <c r="AH71" s="1249" t="n"/>
      <c r="AI71" s="1249">
        <f>AA71-AH71</f>
        <v/>
      </c>
      <c r="AJ71" s="1249">
        <f>IF(AH71=0,0,(AA71-AH71)/AH71*100)</f>
        <v/>
      </c>
      <c r="AK71" s="1251" t="n"/>
      <c r="AL71" s="1251">
        <f>Z71-AK71</f>
        <v/>
      </c>
      <c r="AM71" s="1251">
        <f>IFERROR(Z71/AK71*100,0)</f>
        <v/>
      </c>
      <c r="AN71" s="1251" t="n"/>
      <c r="AO71" s="1251">
        <f>AA71-AN71</f>
        <v/>
      </c>
      <c r="AP71" s="1251">
        <f>IFERROR(AA71/AN71*100,0)</f>
        <v/>
      </c>
      <c r="AQ71" s="1251" t="n"/>
      <c r="AR71" s="1260">
        <f>AA71-AQ71</f>
        <v/>
      </c>
      <c r="AS71" s="1260">
        <f>IFERROR(AA71/AQ71*100,0)</f>
        <v/>
      </c>
    </row>
    <row r="72" ht="14.45" customFormat="1" customHeight="1" s="716">
      <c r="A72" s="716" t="n"/>
      <c r="B72" s="716" t="n"/>
      <c r="C72" s="716" t="n"/>
      <c r="D72" s="716" t="n"/>
      <c r="E72" s="716" t="n"/>
      <c r="F72" s="716" t="n"/>
      <c r="G72" s="716" t="n"/>
      <c r="H72" s="716" t="n"/>
      <c r="I72" s="716" t="n"/>
      <c r="J72" s="716" t="n"/>
      <c r="K72" s="716" t="n"/>
      <c r="L72" s="716" t="n"/>
      <c r="M72" s="716" t="n"/>
      <c r="N72" s="716" t="n"/>
      <c r="O72" s="716" t="n"/>
      <c r="P72" s="716" t="n"/>
      <c r="Q72" s="716" t="n"/>
      <c r="R72" s="716" t="n"/>
      <c r="S72" s="462">
        <f>IF(_epmOfflineCondition_,"主营业务收入-其他收入",EPMMemberDesc(U72))</f>
        <v/>
      </c>
      <c r="T72" s="716" t="n"/>
      <c r="U72" s="716" t="inlineStr">
        <is>
          <t>A6001220001</t>
        </is>
      </c>
      <c r="V72" s="701">
        <f>IF(_epmOfflineCondition_,"A6001220001",EPMOlapMemberO(U72,"[C_ACCOUNT].[PARENTH1].[A6001220001]","A6001220001 - 主营业务收入-其他收入","","000"))</f>
        <v/>
      </c>
      <c r="W72" s="462" t="n"/>
      <c r="X72" s="705" t="inlineStr">
        <is>
          <t>其他收入</t>
        </is>
      </c>
      <c r="Y72" s="649" t="inlineStr"/>
      <c r="Z72" s="1249" t="n"/>
      <c r="AA72" s="1249" t="n"/>
      <c r="AB72" s="1250" t="n"/>
      <c r="AC72" s="1249">
        <f>Z72-AB72</f>
        <v/>
      </c>
      <c r="AD72" s="1249">
        <f>IF(AB72=0,0,(Z72-AB72)/AB72*100)</f>
        <v/>
      </c>
      <c r="AE72" s="1249" t="n"/>
      <c r="AF72" s="1249">
        <f>Z72-AE72</f>
        <v/>
      </c>
      <c r="AG72" s="1249">
        <f>IF(AE72=0,0,(Z72-AE72)/AE72*100)</f>
        <v/>
      </c>
      <c r="AH72" s="1249" t="n"/>
      <c r="AI72" s="1249">
        <f>AA72-AH72</f>
        <v/>
      </c>
      <c r="AJ72" s="1249">
        <f>IF(AH72=0,0,(AA72-AH72)/AH72*100)</f>
        <v/>
      </c>
      <c r="AK72" s="1251" t="n"/>
      <c r="AL72" s="1251">
        <f>Z72-AK72</f>
        <v/>
      </c>
      <c r="AM72" s="1251">
        <f>IFERROR(Z72/AK72*100,0)</f>
        <v/>
      </c>
      <c r="AN72" s="1251" t="n"/>
      <c r="AO72" s="1251">
        <f>AA72-AN72</f>
        <v/>
      </c>
      <c r="AP72" s="1251">
        <f>IFERROR(AA72/AN72*100,0)</f>
        <v/>
      </c>
      <c r="AQ72" s="1251" t="n"/>
      <c r="AR72" s="1260">
        <f>AA72-AQ72</f>
        <v/>
      </c>
      <c r="AS72" s="1260">
        <f>IFERROR(AA72/AQ72*100,0)</f>
        <v/>
      </c>
    </row>
    <row r="73" ht="14.45" customFormat="1" customHeight="1" s="716">
      <c r="A73" s="716" t="n"/>
      <c r="B73" s="716" t="n"/>
      <c r="C73" s="716" t="n"/>
      <c r="D73" s="716" t="n"/>
      <c r="E73" s="716" t="n"/>
      <c r="F73" s="716" t="n"/>
      <c r="G73" s="716" t="n"/>
      <c r="H73" s="716" t="n"/>
      <c r="I73" s="716" t="n"/>
      <c r="J73" s="716" t="n"/>
      <c r="K73" s="716" t="n"/>
      <c r="L73" s="716" t="n"/>
      <c r="M73" s="716" t="n"/>
      <c r="N73" s="716" t="n"/>
      <c r="O73" s="716" t="n"/>
      <c r="P73" s="716" t="n"/>
      <c r="Q73" s="716" t="n"/>
      <c r="R73" s="716" t="n"/>
      <c r="S73" s="462">
        <f>IF(_epmOfflineCondition_,"主营业务成本",EPMMemberDesc(U73))</f>
        <v/>
      </c>
      <c r="T73" s="716" t="n"/>
      <c r="U73" s="716" t="inlineStr">
        <is>
          <t>A6401</t>
        </is>
      </c>
      <c r="V73" s="699">
        <f>IF(_epmOfflineCondition_,"A6401",EPMOlapMemberO(U73,"[C_ACCOUNT].[PARENTH1].[A6401]","A6401 - 主营业务成本","","000"))</f>
        <v/>
      </c>
      <c r="W73" s="462" t="n"/>
      <c r="X73" s="700" t="inlineStr">
        <is>
          <t>二、主营业务成本</t>
        </is>
      </c>
      <c r="Y73" s="649" t="inlineStr"/>
      <c r="Z73" s="1249" t="inlineStr"/>
      <c r="AA73" s="1249" t="inlineStr"/>
      <c r="AB73" s="1250" t="inlineStr"/>
      <c r="AC73" s="1249">
        <f>Z73-AB73</f>
        <v/>
      </c>
      <c r="AD73" s="1249">
        <f>IF(AB73=0,0,(Z73-AB73)/AB73*100)</f>
        <v/>
      </c>
      <c r="AE73" s="1249" t="n"/>
      <c r="AF73" s="1249">
        <f>Z73-AE73</f>
        <v/>
      </c>
      <c r="AG73" s="1249">
        <f>IF(AE73=0,0,(Z73-AE73)/AE73*100)</f>
        <v/>
      </c>
      <c r="AH73" s="1249" t="n"/>
      <c r="AI73" s="1249">
        <f>AA73-AH73</f>
        <v/>
      </c>
      <c r="AJ73" s="1249">
        <f>IF(AH73=0,0,(AA73-AH73)/AH73*100)</f>
        <v/>
      </c>
      <c r="AK73" s="1251" t="n"/>
      <c r="AL73" s="1251">
        <f>Z73-AK73</f>
        <v/>
      </c>
      <c r="AM73" s="1251">
        <f>IFERROR(Z73/AK73*100,0)</f>
        <v/>
      </c>
      <c r="AN73" s="1251" t="n"/>
      <c r="AO73" s="1251">
        <f>AA73-AN73</f>
        <v/>
      </c>
      <c r="AP73" s="1251">
        <f>IFERROR(AA73/AN73*100,0)</f>
        <v/>
      </c>
      <c r="AQ73" s="1251" t="n"/>
      <c r="AR73" s="1260">
        <f>AA73-AQ73</f>
        <v/>
      </c>
      <c r="AS73" s="1260">
        <f>IFERROR(AA73/AQ73*100,0)</f>
        <v/>
      </c>
    </row>
    <row r="74" ht="14.45" customFormat="1" customHeight="1" s="716">
      <c r="A74" s="716" t="n"/>
      <c r="B74" s="716" t="n"/>
      <c r="C74" s="716" t="n"/>
      <c r="D74" s="716" t="n"/>
      <c r="E74" s="716" t="n"/>
      <c r="F74" s="716" t="n"/>
      <c r="G74" s="716" t="n"/>
      <c r="H74" s="716" t="n"/>
      <c r="I74" s="716" t="n"/>
      <c r="J74" s="716" t="n"/>
      <c r="K74" s="716" t="n"/>
      <c r="L74" s="716" t="n"/>
      <c r="M74" s="716" t="n"/>
      <c r="N74" s="716" t="n"/>
      <c r="O74" s="716" t="n"/>
      <c r="P74" s="716" t="n"/>
      <c r="Q74" s="716" t="n"/>
      <c r="R74" s="716" t="n"/>
      <c r="S74" s="462">
        <f>IF(_epmOfflineCondition_,"主营业务成本-发电成本",EPMMemberDesc(U74))</f>
        <v/>
      </c>
      <c r="T74" s="716" t="n"/>
      <c r="U74" s="716" t="inlineStr">
        <is>
          <t>A640101</t>
        </is>
      </c>
      <c r="V74" s="701">
        <f>IF(_epmOfflineCondition_,"A640101",EPMOlapMemberO(U74,"[C_ACCOUNT].[PARENTH1].[A640101]","A640101 - 主营业务成本-发电成本","","000"))</f>
        <v/>
      </c>
      <c r="W74" s="462" t="n"/>
      <c r="X74" s="702" t="inlineStr">
        <is>
          <t>发电成本</t>
        </is>
      </c>
      <c r="Y74" s="649" t="inlineStr"/>
      <c r="Z74" s="1249" t="inlineStr"/>
      <c r="AA74" s="1249" t="inlineStr"/>
      <c r="AB74" s="1250" t="inlineStr"/>
      <c r="AC74" s="1249">
        <f>Z74-AB74</f>
        <v/>
      </c>
      <c r="AD74" s="1249">
        <f>IF(AB74=0,0,(Z74-AB74)/AB74*100)</f>
        <v/>
      </c>
      <c r="AE74" s="1249" t="n"/>
      <c r="AF74" s="1249">
        <f>Z74-AE74</f>
        <v/>
      </c>
      <c r="AG74" s="1249">
        <f>IF(AE74=0,0,(Z74-AE74)/AE74*100)</f>
        <v/>
      </c>
      <c r="AH74" s="1249" t="n"/>
      <c r="AI74" s="1249">
        <f>AA74-AH74</f>
        <v/>
      </c>
      <c r="AJ74" s="1249">
        <f>IF(AH74=0,0,(AA74-AH74)/AH74*100)</f>
        <v/>
      </c>
      <c r="AK74" s="1251" t="n"/>
      <c r="AL74" s="1251">
        <f>Z74-AK74</f>
        <v/>
      </c>
      <c r="AM74" s="1251">
        <f>IFERROR(Z74/AK74*100,0)</f>
        <v/>
      </c>
      <c r="AN74" s="1251" t="n"/>
      <c r="AO74" s="1251">
        <f>AA74-AN74</f>
        <v/>
      </c>
      <c r="AP74" s="1251">
        <f>IFERROR(AA74/AN74*100,0)</f>
        <v/>
      </c>
      <c r="AQ74" s="1251" t="n"/>
      <c r="AR74" s="1260">
        <f>AA74-AQ74</f>
        <v/>
      </c>
      <c r="AS74" s="1260">
        <f>IFERROR(AA74/AQ74*100,0)</f>
        <v/>
      </c>
    </row>
    <row r="75" ht="14.45" customFormat="1" customHeight="1" s="716">
      <c r="A75" s="716" t="n"/>
      <c r="B75" s="716" t="n"/>
      <c r="C75" s="716" t="n"/>
      <c r="D75" s="716" t="n"/>
      <c r="E75" s="716" t="n"/>
      <c r="F75" s="716" t="n"/>
      <c r="G75" s="716" t="n"/>
      <c r="H75" s="716" t="n"/>
      <c r="I75" s="716" t="n"/>
      <c r="J75" s="716" t="n"/>
      <c r="K75" s="716" t="n"/>
      <c r="L75" s="716" t="n"/>
      <c r="M75" s="716" t="n"/>
      <c r="N75" s="716" t="n"/>
      <c r="O75" s="716" t="n"/>
      <c r="P75" s="716" t="n"/>
      <c r="Q75" s="716" t="n"/>
      <c r="R75" s="716" t="n"/>
      <c r="S75" s="462">
        <f>IF(_epmOfflineCondition_,"主营业务成本-发电成本-煤炭发电成本",EPMMemberDesc(U75))</f>
        <v/>
      </c>
      <c r="T75" s="716" t="n"/>
      <c r="U75" s="716" t="inlineStr">
        <is>
          <t>A6401010100</t>
        </is>
      </c>
      <c r="V75" s="703">
        <f>IF(_epmOfflineCondition_,"A6401010100",EPMOlapMemberO(U75,"[C_ACCOUNT].[PARENTH1].[A6401010100]","A6401010100 - 主营业务成本-发电成本-煤炭发电成本","","000"))</f>
        <v/>
      </c>
      <c r="W75" s="462" t="n"/>
      <c r="X75" s="704" t="inlineStr">
        <is>
          <t>其中：燃煤发电</t>
        </is>
      </c>
      <c r="Y75" s="649" t="inlineStr"/>
      <c r="Z75" s="1249" t="n"/>
      <c r="AA75" s="1249" t="n"/>
      <c r="AB75" s="1250" t="n"/>
      <c r="AC75" s="1249">
        <f>Z75-AB75</f>
        <v/>
      </c>
      <c r="AD75" s="1249">
        <f>IF(AB75=0,0,(Z75-AB75)/AB75*100)</f>
        <v/>
      </c>
      <c r="AE75" s="1249" t="n"/>
      <c r="AF75" s="1249">
        <f>Z75-AE75</f>
        <v/>
      </c>
      <c r="AG75" s="1249">
        <f>IF(AE75=0,0,(Z75-AE75)/AE75*100)</f>
        <v/>
      </c>
      <c r="AH75" s="1249" t="n"/>
      <c r="AI75" s="1249">
        <f>AA75-AH75</f>
        <v/>
      </c>
      <c r="AJ75" s="1249">
        <f>IF(AH75=0,0,(AA75-AH75)/AH75*100)</f>
        <v/>
      </c>
      <c r="AK75" s="1251" t="n"/>
      <c r="AL75" s="1251">
        <f>Z75-AK75</f>
        <v/>
      </c>
      <c r="AM75" s="1251">
        <f>IFERROR(Z75/AK75*100,0)</f>
        <v/>
      </c>
      <c r="AN75" s="1251" t="n"/>
      <c r="AO75" s="1251">
        <f>AA75-AN75</f>
        <v/>
      </c>
      <c r="AP75" s="1251">
        <f>IFERROR(AA75/AN75*100,0)</f>
        <v/>
      </c>
      <c r="AQ75" s="1251" t="n"/>
      <c r="AR75" s="1260">
        <f>AA75-AQ75</f>
        <v/>
      </c>
      <c r="AS75" s="1260">
        <f>IFERROR(AA75/AQ75*100,0)</f>
        <v/>
      </c>
    </row>
    <row r="76" ht="14.45" customFormat="1" customHeight="1" s="716">
      <c r="A76" s="716" t="n"/>
      <c r="B76" s="716" t="n"/>
      <c r="C76" s="716" t="n"/>
      <c r="D76" s="716" t="n"/>
      <c r="E76" s="716" t="n"/>
      <c r="F76" s="716" t="n"/>
      <c r="G76" s="716" t="n"/>
      <c r="H76" s="716" t="n"/>
      <c r="I76" s="716" t="n"/>
      <c r="J76" s="716" t="n"/>
      <c r="K76" s="716" t="n"/>
      <c r="L76" s="716" t="n"/>
      <c r="M76" s="716" t="n"/>
      <c r="N76" s="716" t="n"/>
      <c r="O76" s="716" t="n"/>
      <c r="P76" s="716" t="n"/>
      <c r="Q76" s="716" t="n"/>
      <c r="R76" s="716" t="n"/>
      <c r="S76" s="462">
        <f>IF(_epmOfflineCondition_,"主营业务成本-发电成本-光伏发电成本",EPMMemberDesc(U76))</f>
        <v/>
      </c>
      <c r="T76" s="716" t="n"/>
      <c r="U76" s="716" t="inlineStr">
        <is>
          <t>A6401010200</t>
        </is>
      </c>
      <c r="V76" s="703">
        <f>IF(_epmOfflineCondition_,"A6401010200",EPMOlapMemberO(U76,"[C_ACCOUNT].[PARENTH1].[A6401010200]","A6401010200 - 主营业务成本-发电成本-光伏发电成本","","000"))</f>
        <v/>
      </c>
      <c r="W76" s="462" t="n"/>
      <c r="X76" s="704" t="inlineStr">
        <is>
          <t xml:space="preserve">          光伏发电</t>
        </is>
      </c>
      <c r="Y76" s="649" t="inlineStr"/>
      <c r="Z76" s="1249" t="n"/>
      <c r="AA76" s="1249" t="n"/>
      <c r="AB76" s="1250" t="n"/>
      <c r="AC76" s="1249">
        <f>Z76-AB76</f>
        <v/>
      </c>
      <c r="AD76" s="1249">
        <f>IF(AB76=0,0,(Z76-AB76)/AB76*100)</f>
        <v/>
      </c>
      <c r="AE76" s="1249" t="n"/>
      <c r="AF76" s="1249">
        <f>Z76-AE76</f>
        <v/>
      </c>
      <c r="AG76" s="1249">
        <f>IF(AE76=0,0,(Z76-AE76)/AE76*100)</f>
        <v/>
      </c>
      <c r="AH76" s="1249" t="n"/>
      <c r="AI76" s="1249">
        <f>AA76-AH76</f>
        <v/>
      </c>
      <c r="AJ76" s="1249">
        <f>IF(AH76=0,0,(AA76-AH76)/AH76*100)</f>
        <v/>
      </c>
      <c r="AK76" s="1251" t="n"/>
      <c r="AL76" s="1251">
        <f>Z76-AK76</f>
        <v/>
      </c>
      <c r="AM76" s="1251">
        <f>IFERROR(Z76/AK76*100,0)</f>
        <v/>
      </c>
      <c r="AN76" s="1251" t="n"/>
      <c r="AO76" s="1251">
        <f>AA76-AN76</f>
        <v/>
      </c>
      <c r="AP76" s="1251">
        <f>IFERROR(AA76/AN76*100,0)</f>
        <v/>
      </c>
      <c r="AQ76" s="1251" t="n"/>
      <c r="AR76" s="1260">
        <f>AA76-AQ76</f>
        <v/>
      </c>
      <c r="AS76" s="1260">
        <f>IFERROR(AA76/AQ76*100,0)</f>
        <v/>
      </c>
    </row>
    <row r="77" ht="14.45" customFormat="1" customHeight="1" s="716">
      <c r="A77" s="716" t="n"/>
      <c r="B77" s="716" t="n"/>
      <c r="C77" s="716" t="n"/>
      <c r="D77" s="716" t="n"/>
      <c r="E77" s="716" t="n"/>
      <c r="F77" s="716" t="n"/>
      <c r="G77" s="716" t="n"/>
      <c r="H77" s="716" t="n"/>
      <c r="I77" s="716" t="n"/>
      <c r="J77" s="716" t="n"/>
      <c r="K77" s="716" t="n"/>
      <c r="L77" s="716" t="n"/>
      <c r="M77" s="716" t="n"/>
      <c r="N77" s="716" t="n"/>
      <c r="O77" s="716" t="n"/>
      <c r="P77" s="716" t="n"/>
      <c r="Q77" s="716" t="n"/>
      <c r="R77" s="716" t="n"/>
      <c r="S77" s="462">
        <f>IF(_epmOfflineCondition_,"主营业务成本-发电成本-风力发电成本",EPMMemberDesc(U77))</f>
        <v/>
      </c>
      <c r="T77" s="716" t="n"/>
      <c r="U77" s="716" t="inlineStr">
        <is>
          <t>A6401010300</t>
        </is>
      </c>
      <c r="V77" s="703">
        <f>IF(_epmOfflineCondition_,"A6401010300",EPMOlapMemberO(U77,"[C_ACCOUNT].[PARENTH1].[A6401010300]","A6401010300 - 主营业务成本-发电成本-风力发电成本","","000"))</f>
        <v/>
      </c>
      <c r="W77" s="462" t="n"/>
      <c r="X77" s="704" t="inlineStr">
        <is>
          <t xml:space="preserve">          风力发电</t>
        </is>
      </c>
      <c r="Y77" s="649" t="inlineStr"/>
      <c r="Z77" s="1249" t="inlineStr"/>
      <c r="AA77" s="1249" t="inlineStr"/>
      <c r="AB77" s="1250" t="inlineStr"/>
      <c r="AC77" s="1249">
        <f>Z77-AB77</f>
        <v/>
      </c>
      <c r="AD77" s="1249">
        <f>IF(AB77=0,0,(Z77-AB77)/AB77*100)</f>
        <v/>
      </c>
      <c r="AE77" s="1249" t="n"/>
      <c r="AF77" s="1249">
        <f>Z77-AE77</f>
        <v/>
      </c>
      <c r="AG77" s="1249">
        <f>IF(AE77=0,0,(Z77-AE77)/AE77*100)</f>
        <v/>
      </c>
      <c r="AH77" s="1249" t="n"/>
      <c r="AI77" s="1249">
        <f>AA77-AH77</f>
        <v/>
      </c>
      <c r="AJ77" s="1249">
        <f>IF(AH77=0,0,(AA77-AH77)/AH77*100)</f>
        <v/>
      </c>
      <c r="AK77" s="1251" t="n"/>
      <c r="AL77" s="1251">
        <f>Z77-AK77</f>
        <v/>
      </c>
      <c r="AM77" s="1251">
        <f>IFERROR(Z77/AK77*100,0)</f>
        <v/>
      </c>
      <c r="AN77" s="1251" t="n"/>
      <c r="AO77" s="1251">
        <f>AA77-AN77</f>
        <v/>
      </c>
      <c r="AP77" s="1251">
        <f>IFERROR(AA77/AN77*100,0)</f>
        <v/>
      </c>
      <c r="AQ77" s="1251" t="n"/>
      <c r="AR77" s="1260">
        <f>AA77-AQ77</f>
        <v/>
      </c>
      <c r="AS77" s="1260">
        <f>IFERROR(AA77/AQ77*100,0)</f>
        <v/>
      </c>
    </row>
    <row r="78" ht="14.45" customFormat="1" customHeight="1" s="716">
      <c r="A78" s="716" t="n"/>
      <c r="B78" s="716" t="n"/>
      <c r="C78" s="716" t="n"/>
      <c r="D78" s="716" t="n"/>
      <c r="E78" s="716" t="n"/>
      <c r="F78" s="716" t="n"/>
      <c r="G78" s="716" t="n"/>
      <c r="H78" s="716" t="n"/>
      <c r="I78" s="716" t="n"/>
      <c r="J78" s="716" t="n"/>
      <c r="K78" s="716" t="n"/>
      <c r="L78" s="716" t="n"/>
      <c r="M78" s="716" t="n"/>
      <c r="N78" s="716" t="n"/>
      <c r="O78" s="716" t="n"/>
      <c r="P78" s="716" t="n"/>
      <c r="Q78" s="716" t="n"/>
      <c r="R78" s="716" t="n"/>
      <c r="S78" s="462">
        <f>IF(_epmOfflineCondition_,"主营业务成本-发电成本-燃气发电成本",EPMMemberDesc(U78))</f>
        <v/>
      </c>
      <c r="T78" s="716" t="n"/>
      <c r="U78" s="716" t="inlineStr">
        <is>
          <t>A6401010400</t>
        </is>
      </c>
      <c r="V78" s="703">
        <f>IF(_epmOfflineCondition_,"A6401010400",EPMOlapMemberO(U78,"[C_ACCOUNT].[PARENTH1].[A6401010400]","A6401010400 - 主营业务成本-发电成本-燃气发电成本","","000"))</f>
        <v/>
      </c>
      <c r="W78" s="462" t="n"/>
      <c r="X78" s="704" t="inlineStr">
        <is>
          <t xml:space="preserve">          燃气发电</t>
        </is>
      </c>
      <c r="Y78" s="649" t="inlineStr"/>
      <c r="Z78" s="1249" t="n"/>
      <c r="AA78" s="1249" t="n"/>
      <c r="AB78" s="1250" t="n"/>
      <c r="AC78" s="1249">
        <f>Z78-AB78</f>
        <v/>
      </c>
      <c r="AD78" s="1249">
        <f>IF(AB78=0,0,(Z78-AB78)/AB78*100)</f>
        <v/>
      </c>
      <c r="AE78" s="1249" t="n"/>
      <c r="AF78" s="1249">
        <f>Z78-AE78</f>
        <v/>
      </c>
      <c r="AG78" s="1249">
        <f>IF(AE78=0,0,(Z78-AE78)/AE78*100)</f>
        <v/>
      </c>
      <c r="AH78" s="1249" t="n"/>
      <c r="AI78" s="1249">
        <f>AA78-AH78</f>
        <v/>
      </c>
      <c r="AJ78" s="1249">
        <f>IF(AH78=0,0,(AA78-AH78)/AH78*100)</f>
        <v/>
      </c>
      <c r="AK78" s="1251" t="n"/>
      <c r="AL78" s="1251">
        <f>Z78-AK78</f>
        <v/>
      </c>
      <c r="AM78" s="1251">
        <f>IFERROR(Z78/AK78*100,0)</f>
        <v/>
      </c>
      <c r="AN78" s="1251" t="n"/>
      <c r="AO78" s="1251">
        <f>AA78-AN78</f>
        <v/>
      </c>
      <c r="AP78" s="1251">
        <f>IFERROR(AA78/AN78*100,0)</f>
        <v/>
      </c>
      <c r="AQ78" s="1251" t="n"/>
      <c r="AR78" s="1260">
        <f>AA78-AQ78</f>
        <v/>
      </c>
      <c r="AS78" s="1260">
        <f>IFERROR(AA78/AQ78*100,0)</f>
        <v/>
      </c>
    </row>
    <row r="79" ht="14.45" customFormat="1" customHeight="1" s="716">
      <c r="A79" s="716" t="n"/>
      <c r="B79" s="716" t="n"/>
      <c r="C79" s="716" t="n"/>
      <c r="D79" s="716" t="n"/>
      <c r="E79" s="716" t="n"/>
      <c r="F79" s="716" t="n"/>
      <c r="G79" s="716" t="n"/>
      <c r="H79" s="716" t="n"/>
      <c r="I79" s="716" t="n"/>
      <c r="J79" s="716" t="n"/>
      <c r="K79" s="716" t="n"/>
      <c r="L79" s="716" t="n"/>
      <c r="M79" s="716" t="n"/>
      <c r="N79" s="716" t="n"/>
      <c r="O79" s="716" t="n"/>
      <c r="P79" s="716" t="n"/>
      <c r="Q79" s="716" t="n"/>
      <c r="R79" s="716" t="n"/>
      <c r="S79" s="462">
        <f>IF(_epmOfflineCondition_,"主营业务成本-发电成本-水力发电成本",EPMMemberDesc(U79))</f>
        <v/>
      </c>
      <c r="T79" s="716" t="n"/>
      <c r="U79" s="716" t="inlineStr">
        <is>
          <t>A6401010500</t>
        </is>
      </c>
      <c r="V79" s="703">
        <f>IF(_epmOfflineCondition_,"A6401010500",EPMOlapMemberO(U79,"[C_ACCOUNT].[PARENTH1].[A6401010500]","A6401010500 - 主营业务成本-发电成本-水力发电成本","","000"))</f>
        <v/>
      </c>
      <c r="W79" s="462" t="n"/>
      <c r="X79" s="704" t="inlineStr">
        <is>
          <t xml:space="preserve">          水力发电</t>
        </is>
      </c>
      <c r="Y79" s="649" t="inlineStr"/>
      <c r="Z79" s="1249" t="n"/>
      <c r="AA79" s="1249" t="n"/>
      <c r="AB79" s="1250" t="n"/>
      <c r="AC79" s="1249">
        <f>Z79-AB79</f>
        <v/>
      </c>
      <c r="AD79" s="1249">
        <f>IF(AB79=0,0,(Z79-AB79)/AB79*100)</f>
        <v/>
      </c>
      <c r="AE79" s="1249" t="n"/>
      <c r="AF79" s="1249">
        <f>Z79-AE79</f>
        <v/>
      </c>
      <c r="AG79" s="1249">
        <f>IF(AE79=0,0,(Z79-AE79)/AE79*100)</f>
        <v/>
      </c>
      <c r="AH79" s="1249" t="n"/>
      <c r="AI79" s="1249">
        <f>AA79-AH79</f>
        <v/>
      </c>
      <c r="AJ79" s="1249">
        <f>IF(AH79=0,0,(AA79-AH79)/AH79*100)</f>
        <v/>
      </c>
      <c r="AK79" s="1251" t="n"/>
      <c r="AL79" s="1251">
        <f>Z79-AK79</f>
        <v/>
      </c>
      <c r="AM79" s="1251">
        <f>IFERROR(Z79/AK79*100,0)</f>
        <v/>
      </c>
      <c r="AN79" s="1251" t="n"/>
      <c r="AO79" s="1251">
        <f>AA79-AN79</f>
        <v/>
      </c>
      <c r="AP79" s="1251">
        <f>IFERROR(AA79/AN79*100,0)</f>
        <v/>
      </c>
      <c r="AQ79" s="1251" t="n"/>
      <c r="AR79" s="1260">
        <f>AA79-AQ79</f>
        <v/>
      </c>
      <c r="AS79" s="1260">
        <f>IFERROR(AA79/AQ79*100,0)</f>
        <v/>
      </c>
    </row>
    <row r="80" ht="14.45" customFormat="1" customHeight="1" s="716">
      <c r="A80" s="716" t="n"/>
      <c r="B80" s="716" t="n"/>
      <c r="C80" s="716" t="n"/>
      <c r="D80" s="716" t="n"/>
      <c r="E80" s="716" t="n"/>
      <c r="F80" s="716" t="n"/>
      <c r="G80" s="716" t="n"/>
      <c r="H80" s="716" t="n"/>
      <c r="I80" s="716" t="n"/>
      <c r="J80" s="716" t="n"/>
      <c r="K80" s="716" t="n"/>
      <c r="L80" s="716" t="n"/>
      <c r="M80" s="716" t="n"/>
      <c r="N80" s="716" t="n"/>
      <c r="O80" s="716" t="n"/>
      <c r="P80" s="716" t="n"/>
      <c r="Q80" s="716" t="n"/>
      <c r="R80" s="716" t="n"/>
      <c r="S80" s="462">
        <f>IF(_epmOfflineCondition_,"主营业务成本-供热成本",EPMMemberDesc(U80))</f>
        <v/>
      </c>
      <c r="T80" s="716" t="n"/>
      <c r="U80" s="716" t="inlineStr">
        <is>
          <t>A6401020000</t>
        </is>
      </c>
      <c r="V80" s="701">
        <f>IF(_epmOfflineCondition_,"A6401020000",EPMOlapMemberO(U80,"[C_ACCOUNT].[PARENTH1].[A6401020000]","A6401020000 - 主营业务成本-供热成本","","000"))</f>
        <v/>
      </c>
      <c r="W80" s="462" t="n"/>
      <c r="X80" s="705" t="inlineStr">
        <is>
          <t>供热成本</t>
        </is>
      </c>
      <c r="Y80" s="649" t="inlineStr"/>
      <c r="Z80" s="1249" t="n"/>
      <c r="AA80" s="1249" t="n"/>
      <c r="AB80" s="1250" t="n"/>
      <c r="AC80" s="1249">
        <f>Z80-AB80</f>
        <v/>
      </c>
      <c r="AD80" s="1249">
        <f>IF(AB80=0,0,(Z80-AB80)/AB80*100)</f>
        <v/>
      </c>
      <c r="AE80" s="1249" t="n"/>
      <c r="AF80" s="1249">
        <f>Z80-AE80</f>
        <v/>
      </c>
      <c r="AG80" s="1249">
        <f>IF(AE80=0,0,(Z80-AE80)/AE80*100)</f>
        <v/>
      </c>
      <c r="AH80" s="1249" t="n"/>
      <c r="AI80" s="1249">
        <f>AA80-AH80</f>
        <v/>
      </c>
      <c r="AJ80" s="1249">
        <f>IF(AH80=0,0,(AA80-AH80)/AH80*100)</f>
        <v/>
      </c>
      <c r="AK80" s="1251" t="n"/>
      <c r="AL80" s="1251">
        <f>Z80-AK80</f>
        <v/>
      </c>
      <c r="AM80" s="1251">
        <f>IFERROR(Z80/AK80*100,0)</f>
        <v/>
      </c>
      <c r="AN80" s="1251" t="n"/>
      <c r="AO80" s="1251">
        <f>AA80-AN80</f>
        <v/>
      </c>
      <c r="AP80" s="1251">
        <f>IFERROR(AA80/AN80*100,0)</f>
        <v/>
      </c>
      <c r="AQ80" s="1251" t="n"/>
      <c r="AR80" s="1260">
        <f>AA80-AQ80</f>
        <v/>
      </c>
      <c r="AS80" s="1260">
        <f>IFERROR(AA80/AQ80*100,0)</f>
        <v/>
      </c>
    </row>
    <row r="81" ht="14.45" customFormat="1" customHeight="1" s="716">
      <c r="A81" s="716" t="n"/>
      <c r="B81" s="716" t="n"/>
      <c r="C81" s="716" t="n"/>
      <c r="D81" s="716" t="n"/>
      <c r="E81" s="716" t="n"/>
      <c r="F81" s="716" t="n"/>
      <c r="G81" s="716" t="n"/>
      <c r="H81" s="716" t="n"/>
      <c r="I81" s="716" t="n"/>
      <c r="J81" s="716" t="n"/>
      <c r="K81" s="716" t="n"/>
      <c r="L81" s="716" t="n"/>
      <c r="M81" s="716" t="n"/>
      <c r="N81" s="716" t="n"/>
      <c r="O81" s="716" t="n"/>
      <c r="P81" s="716" t="n"/>
      <c r="Q81" s="716" t="n"/>
      <c r="R81" s="716" t="n"/>
      <c r="S81" s="462">
        <f>IF(_epmOfflineCondition_,"主营业务成本-供热设备成本",EPMMemberDesc(U81))</f>
        <v/>
      </c>
      <c r="T81" s="716" t="n"/>
      <c r="U81" s="716" t="inlineStr">
        <is>
          <t>A6401030000</t>
        </is>
      </c>
      <c r="V81" s="701">
        <f>IF(_epmOfflineCondition_,"A6401030000",EPMOlapMemberO(U81,"[C_ACCOUNT].[PARENTH1].[A6401030000]","A6401030000 - 主营业务成本-供热设备成本","","000"))</f>
        <v/>
      </c>
      <c r="W81" s="462" t="n"/>
      <c r="X81" s="705" t="inlineStr">
        <is>
          <t>供热设备</t>
        </is>
      </c>
      <c r="Y81" s="649" t="inlineStr"/>
      <c r="Z81" s="1249" t="n"/>
      <c r="AA81" s="1249" t="n"/>
      <c r="AB81" s="1250" t="n"/>
      <c r="AC81" s="1249">
        <f>Z81-AB81</f>
        <v/>
      </c>
      <c r="AD81" s="1249">
        <f>IF(AB81=0,0,(Z81-AB81)/AB81*100)</f>
        <v/>
      </c>
      <c r="AE81" s="1249" t="n"/>
      <c r="AF81" s="1249">
        <f>Z81-AE81</f>
        <v/>
      </c>
      <c r="AG81" s="1249">
        <f>IF(AE81=0,0,(Z81-AE81)/AE81*100)</f>
        <v/>
      </c>
      <c r="AH81" s="1249" t="n"/>
      <c r="AI81" s="1249">
        <f>AA81-AH81</f>
        <v/>
      </c>
      <c r="AJ81" s="1249">
        <f>IF(AH81=0,0,(AA81-AH81)/AH81*100)</f>
        <v/>
      </c>
      <c r="AK81" s="1251" t="n"/>
      <c r="AL81" s="1251">
        <f>Z81-AK81</f>
        <v/>
      </c>
      <c r="AM81" s="1251">
        <f>IFERROR(Z81/AK81*100,0)</f>
        <v/>
      </c>
      <c r="AN81" s="1251" t="n"/>
      <c r="AO81" s="1251">
        <f>AA81-AN81</f>
        <v/>
      </c>
      <c r="AP81" s="1251">
        <f>IFERROR(AA81/AN81*100,0)</f>
        <v/>
      </c>
      <c r="AQ81" s="1251" t="n"/>
      <c r="AR81" s="1260">
        <f>AA81-AQ81</f>
        <v/>
      </c>
      <c r="AS81" s="1260">
        <f>IFERROR(AA81/AQ81*100,0)</f>
        <v/>
      </c>
    </row>
    <row r="82" ht="14.45" customFormat="1" customHeight="1" s="716">
      <c r="A82" s="716" t="n"/>
      <c r="B82" s="716" t="n"/>
      <c r="C82" s="716" t="n"/>
      <c r="D82" s="716" t="n"/>
      <c r="E82" s="716" t="n"/>
      <c r="F82" s="716" t="n"/>
      <c r="G82" s="716" t="n"/>
      <c r="H82" s="716" t="n"/>
      <c r="I82" s="716" t="n"/>
      <c r="J82" s="716" t="n"/>
      <c r="K82" s="716" t="n"/>
      <c r="L82" s="716" t="n"/>
      <c r="M82" s="716" t="n"/>
      <c r="N82" s="716" t="n"/>
      <c r="O82" s="716" t="n"/>
      <c r="P82" s="716" t="n"/>
      <c r="Q82" s="716" t="n"/>
      <c r="R82" s="716" t="n"/>
      <c r="S82" s="462">
        <f>IF(_epmOfflineCondition_,"主营业务成本-煤炭及煤炭制品成本",EPMMemberDesc(U82))</f>
        <v/>
      </c>
      <c r="T82" s="716" t="n"/>
      <c r="U82" s="716" t="inlineStr">
        <is>
          <t>A6401040000</t>
        </is>
      </c>
      <c r="V82" s="701">
        <f>IF(_epmOfflineCondition_,"A6401040000",EPMOlapMemberO(U82,"[C_ACCOUNT].[PARENTH1].[A6401040000]","A6401040000 - 主营业务成本-煤炭及煤炭制品成本","","000"))</f>
        <v/>
      </c>
      <c r="W82" s="462" t="n"/>
      <c r="X82" s="705" t="inlineStr">
        <is>
          <t>煤炭及煤炭制品</t>
        </is>
      </c>
      <c r="Y82" s="649" t="inlineStr"/>
      <c r="Z82" s="1249" t="n"/>
      <c r="AA82" s="1249" t="n"/>
      <c r="AB82" s="1250" t="n"/>
      <c r="AC82" s="1249">
        <f>Z82-AB82</f>
        <v/>
      </c>
      <c r="AD82" s="1249">
        <f>IF(AB82=0,0,(Z82-AB82)/AB82*100)</f>
        <v/>
      </c>
      <c r="AE82" s="1249" t="n"/>
      <c r="AF82" s="1249">
        <f>Z82-AE82</f>
        <v/>
      </c>
      <c r="AG82" s="1249">
        <f>IF(AE82=0,0,(Z82-AE82)/AE82*100)</f>
        <v/>
      </c>
      <c r="AH82" s="1249" t="n"/>
      <c r="AI82" s="1249">
        <f>AA82-AH82</f>
        <v/>
      </c>
      <c r="AJ82" s="1249">
        <f>IF(AH82=0,0,(AA82-AH82)/AH82*100)</f>
        <v/>
      </c>
      <c r="AK82" s="1251" t="n"/>
      <c r="AL82" s="1251">
        <f>Z82-AK82</f>
        <v/>
      </c>
      <c r="AM82" s="1251">
        <f>IFERROR(Z82/AK82*100,0)</f>
        <v/>
      </c>
      <c r="AN82" s="1251" t="n"/>
      <c r="AO82" s="1251">
        <f>AA82-AN82</f>
        <v/>
      </c>
      <c r="AP82" s="1251">
        <f>IFERROR(AA82/AN82*100,0)</f>
        <v/>
      </c>
      <c r="AQ82" s="1251" t="n"/>
      <c r="AR82" s="1260">
        <f>AA82-AQ82</f>
        <v/>
      </c>
      <c r="AS82" s="1260">
        <f>IFERROR(AA82/AQ82*100,0)</f>
        <v/>
      </c>
    </row>
    <row r="83" ht="14.45" customFormat="1" customHeight="1" s="716">
      <c r="A83" s="716" t="n"/>
      <c r="B83" s="716" t="n"/>
      <c r="C83" s="716" t="n"/>
      <c r="D83" s="716" t="n"/>
      <c r="E83" s="716" t="n"/>
      <c r="F83" s="716" t="n"/>
      <c r="G83" s="716" t="n"/>
      <c r="H83" s="716" t="n"/>
      <c r="I83" s="716" t="n"/>
      <c r="J83" s="716" t="n"/>
      <c r="K83" s="716" t="n"/>
      <c r="L83" s="716" t="n"/>
      <c r="M83" s="716" t="n"/>
      <c r="N83" s="716" t="n"/>
      <c r="O83" s="716" t="n"/>
      <c r="P83" s="716" t="n"/>
      <c r="Q83" s="716" t="n"/>
      <c r="R83" s="716" t="n"/>
      <c r="S83" s="462">
        <f>IF(_epmOfflineCondition_,"主营业务成本-经营租赁成本",EPMMemberDesc(U83))</f>
        <v/>
      </c>
      <c r="T83" s="716" t="n"/>
      <c r="U83" s="716" t="inlineStr">
        <is>
          <t>A6401050000</t>
        </is>
      </c>
      <c r="V83" s="701">
        <f>IF(_epmOfflineCondition_,"A6401050000",EPMOlapMemberO(U83,"[C_ACCOUNT].[PARENTH1].[A6401050000]","A6401050000 - 主营业务成本-经营租赁成本","","000"))</f>
        <v/>
      </c>
      <c r="W83" s="462" t="n"/>
      <c r="X83" s="705" t="inlineStr">
        <is>
          <t>经营租赁</t>
        </is>
      </c>
      <c r="Y83" s="649" t="inlineStr"/>
      <c r="Z83" s="1249" t="n"/>
      <c r="AA83" s="1249" t="n"/>
      <c r="AB83" s="1250" t="n"/>
      <c r="AC83" s="1249">
        <f>Z83-AB83</f>
        <v/>
      </c>
      <c r="AD83" s="1249">
        <f>IF(AB83=0,0,(Z83-AB83)/AB83*100)</f>
        <v/>
      </c>
      <c r="AE83" s="1249" t="n"/>
      <c r="AF83" s="1249">
        <f>Z83-AE83</f>
        <v/>
      </c>
      <c r="AG83" s="1249">
        <f>IF(AE83=0,0,(Z83-AE83)/AE83*100)</f>
        <v/>
      </c>
      <c r="AH83" s="1249" t="n"/>
      <c r="AI83" s="1249">
        <f>AA83-AH83</f>
        <v/>
      </c>
      <c r="AJ83" s="1249">
        <f>IF(AH83=0,0,(AA83-AH83)/AH83*100)</f>
        <v/>
      </c>
      <c r="AK83" s="1251" t="n"/>
      <c r="AL83" s="1251">
        <f>Z83-AK83</f>
        <v/>
      </c>
      <c r="AM83" s="1251">
        <f>IFERROR(Z83/AK83*100,0)</f>
        <v/>
      </c>
      <c r="AN83" s="1251" t="n"/>
      <c r="AO83" s="1251">
        <f>AA83-AN83</f>
        <v/>
      </c>
      <c r="AP83" s="1251">
        <f>IFERROR(AA83/AN83*100,0)</f>
        <v/>
      </c>
      <c r="AQ83" s="1251" t="n"/>
      <c r="AR83" s="1260">
        <f>AA83-AQ83</f>
        <v/>
      </c>
      <c r="AS83" s="1260">
        <f>IFERROR(AA83/AQ83*100,0)</f>
        <v/>
      </c>
    </row>
    <row r="84" ht="14.45" customFormat="1" customHeight="1" s="716">
      <c r="A84" s="716" t="n"/>
      <c r="B84" s="716" t="n"/>
      <c r="C84" s="716" t="n"/>
      <c r="D84" s="716" t="n"/>
      <c r="E84" s="716" t="n"/>
      <c r="F84" s="716" t="n"/>
      <c r="G84" s="716" t="n"/>
      <c r="H84" s="716" t="n"/>
      <c r="I84" s="716" t="n"/>
      <c r="J84" s="716" t="n"/>
      <c r="K84" s="716" t="n"/>
      <c r="L84" s="716" t="n"/>
      <c r="M84" s="716" t="n"/>
      <c r="N84" s="716" t="n"/>
      <c r="O84" s="716" t="n"/>
      <c r="P84" s="716" t="n"/>
      <c r="Q84" s="716" t="n"/>
      <c r="R84" s="716" t="n"/>
      <c r="S84" s="462">
        <f>IF(_epmOfflineCondition_,"主营业务成本-物业服务成本",EPMMemberDesc(U84))</f>
        <v/>
      </c>
      <c r="T84" s="716" t="n"/>
      <c r="U84" s="716" t="inlineStr">
        <is>
          <t>A6401060000</t>
        </is>
      </c>
      <c r="V84" s="701">
        <f>IF(_epmOfflineCondition_,"A6401060000",EPMOlapMemberO(U84,"[C_ACCOUNT].[PARENTH1].[A6401060000]","A6401060000 - 主营业务成本-物业服务成本","","000"))</f>
        <v/>
      </c>
      <c r="W84" s="462" t="n"/>
      <c r="X84" s="705" t="inlineStr">
        <is>
          <t>物业服务</t>
        </is>
      </c>
      <c r="Y84" s="649" t="inlineStr"/>
      <c r="Z84" s="1249" t="n"/>
      <c r="AA84" s="1249" t="n"/>
      <c r="AB84" s="1250" t="n"/>
      <c r="AC84" s="1249">
        <f>Z84-AB84</f>
        <v/>
      </c>
      <c r="AD84" s="1249">
        <f>IF(AB84=0,0,(Z84-AB84)/AB84*100)</f>
        <v/>
      </c>
      <c r="AE84" s="1249" t="n"/>
      <c r="AF84" s="1249">
        <f>Z84-AE84</f>
        <v/>
      </c>
      <c r="AG84" s="1249">
        <f>IF(AE84=0,0,(Z84-AE84)/AE84*100)</f>
        <v/>
      </c>
      <c r="AH84" s="1249" t="n"/>
      <c r="AI84" s="1249">
        <f>AA84-AH84</f>
        <v/>
      </c>
      <c r="AJ84" s="1249">
        <f>IF(AH84=0,0,(AA84-AH84)/AH84*100)</f>
        <v/>
      </c>
      <c r="AK84" s="1251" t="n"/>
      <c r="AL84" s="1251">
        <f>Z84-AK84</f>
        <v/>
      </c>
      <c r="AM84" s="1251">
        <f>IFERROR(Z84/AK84*100,0)</f>
        <v/>
      </c>
      <c r="AN84" s="1251" t="n"/>
      <c r="AO84" s="1251">
        <f>AA84-AN84</f>
        <v/>
      </c>
      <c r="AP84" s="1251">
        <f>IFERROR(AA84/AN84*100,0)</f>
        <v/>
      </c>
      <c r="AQ84" s="1251" t="n"/>
      <c r="AR84" s="1260">
        <f>AA84-AQ84</f>
        <v/>
      </c>
      <c r="AS84" s="1260">
        <f>IFERROR(AA84/AQ84*100,0)</f>
        <v/>
      </c>
    </row>
    <row r="85" ht="14.45" customFormat="1" customHeight="1" s="716">
      <c r="A85" s="716" t="n"/>
      <c r="B85" s="716" t="n"/>
      <c r="C85" s="716" t="n"/>
      <c r="D85" s="716" t="n"/>
      <c r="E85" s="716" t="n"/>
      <c r="F85" s="716" t="n"/>
      <c r="G85" s="716" t="n"/>
      <c r="H85" s="716" t="n"/>
      <c r="I85" s="716" t="n"/>
      <c r="J85" s="716" t="n"/>
      <c r="K85" s="716" t="n"/>
      <c r="L85" s="716" t="n"/>
      <c r="M85" s="716" t="n"/>
      <c r="N85" s="716" t="n"/>
      <c r="O85" s="716" t="n"/>
      <c r="P85" s="716" t="n"/>
      <c r="Q85" s="716" t="n"/>
      <c r="R85" s="716" t="n"/>
      <c r="S85" s="462">
        <f>IF(_epmOfflineCondition_,"主营业务成本-酒店餐饮娱乐成本",EPMMemberDesc(U85))</f>
        <v/>
      </c>
      <c r="T85" s="716" t="n"/>
      <c r="U85" s="716" t="inlineStr">
        <is>
          <t>A6401070000</t>
        </is>
      </c>
      <c r="V85" s="701">
        <f>IF(_epmOfflineCondition_,"A6401070000",EPMOlapMemberO(U85,"[C_ACCOUNT].[PARENTH1].[A6401070000]","A6401070000 - 主营业务成本-酒店餐饮娱乐成本","","000"))</f>
        <v/>
      </c>
      <c r="W85" s="462" t="n"/>
      <c r="X85" s="705" t="inlineStr">
        <is>
          <t>酒店餐饮娱乐</t>
        </is>
      </c>
      <c r="Y85" s="649" t="inlineStr"/>
      <c r="Z85" s="1249" t="n"/>
      <c r="AA85" s="1249" t="n"/>
      <c r="AB85" s="1250" t="n"/>
      <c r="AC85" s="1249">
        <f>Z85-AB85</f>
        <v/>
      </c>
      <c r="AD85" s="1249">
        <f>IF(AB85=0,0,(Z85-AB85)/AB85*100)</f>
        <v/>
      </c>
      <c r="AE85" s="1249" t="n"/>
      <c r="AF85" s="1249">
        <f>Z85-AE85</f>
        <v/>
      </c>
      <c r="AG85" s="1249">
        <f>IF(AE85=0,0,(Z85-AE85)/AE85*100)</f>
        <v/>
      </c>
      <c r="AH85" s="1249" t="n"/>
      <c r="AI85" s="1249">
        <f>AA85-AH85</f>
        <v/>
      </c>
      <c r="AJ85" s="1249">
        <f>IF(AH85=0,0,(AA85-AH85)/AH85*100)</f>
        <v/>
      </c>
      <c r="AK85" s="1251" t="n"/>
      <c r="AL85" s="1251">
        <f>Z85-AK85</f>
        <v/>
      </c>
      <c r="AM85" s="1251">
        <f>IFERROR(Z85/AK85*100,0)</f>
        <v/>
      </c>
      <c r="AN85" s="1251" t="n"/>
      <c r="AO85" s="1251">
        <f>AA85-AN85</f>
        <v/>
      </c>
      <c r="AP85" s="1251">
        <f>IFERROR(AA85/AN85*100,0)</f>
        <v/>
      </c>
      <c r="AQ85" s="1251" t="n"/>
      <c r="AR85" s="1260">
        <f>AA85-AQ85</f>
        <v/>
      </c>
      <c r="AS85" s="1260">
        <f>IFERROR(AA85/AQ85*100,0)</f>
        <v/>
      </c>
    </row>
    <row r="86" ht="14.45" customFormat="1" customHeight="1" s="716">
      <c r="A86" s="716" t="n"/>
      <c r="B86" s="716" t="n"/>
      <c r="C86" s="716" t="n"/>
      <c r="D86" s="716" t="n"/>
      <c r="E86" s="716" t="n"/>
      <c r="F86" s="716" t="n"/>
      <c r="G86" s="716" t="n"/>
      <c r="H86" s="716" t="n"/>
      <c r="I86" s="716" t="n"/>
      <c r="J86" s="716" t="n"/>
      <c r="K86" s="716" t="n"/>
      <c r="L86" s="716" t="n"/>
      <c r="M86" s="716" t="n"/>
      <c r="N86" s="716" t="n"/>
      <c r="O86" s="716" t="n"/>
      <c r="P86" s="716" t="n"/>
      <c r="Q86" s="716" t="n"/>
      <c r="R86" s="716" t="n"/>
      <c r="S86" s="462">
        <f>IF(_epmOfflineCondition_,"主营业务成本-旅游服务成本",EPMMemberDesc(U86))</f>
        <v/>
      </c>
      <c r="T86" s="716" t="n"/>
      <c r="U86" s="716" t="inlineStr">
        <is>
          <t>A6401080000</t>
        </is>
      </c>
      <c r="V86" s="701">
        <f>IF(_epmOfflineCondition_,"A6401080000",EPMOlapMemberO(U86,"[C_ACCOUNT].[PARENTH1].[A6401080000]","A6401080000 - 主营业务成本-旅游服务成本","","000"))</f>
        <v/>
      </c>
      <c r="W86" s="462" t="n"/>
      <c r="X86" s="705" t="inlineStr">
        <is>
          <t>旅游服务</t>
        </is>
      </c>
      <c r="Y86" s="649" t="inlineStr"/>
      <c r="Z86" s="1249" t="n"/>
      <c r="AA86" s="1249" t="n"/>
      <c r="AB86" s="1250" t="n"/>
      <c r="AC86" s="1249">
        <f>Z86-AB86</f>
        <v/>
      </c>
      <c r="AD86" s="1249">
        <f>IF(AB86=0,0,(Z86-AB86)/AB86*100)</f>
        <v/>
      </c>
      <c r="AE86" s="1249" t="n"/>
      <c r="AF86" s="1249">
        <f>Z86-AE86</f>
        <v/>
      </c>
      <c r="AG86" s="1249">
        <f>IF(AE86=0,0,(Z86-AE86)/AE86*100)</f>
        <v/>
      </c>
      <c r="AH86" s="1249" t="n"/>
      <c r="AI86" s="1249">
        <f>AA86-AH86</f>
        <v/>
      </c>
      <c r="AJ86" s="1249">
        <f>IF(AH86=0,0,(AA86-AH86)/AH86*100)</f>
        <v/>
      </c>
      <c r="AK86" s="1251" t="n"/>
      <c r="AL86" s="1251">
        <f>Z86-AK86</f>
        <v/>
      </c>
      <c r="AM86" s="1251">
        <f>IFERROR(Z86/AK86*100,0)</f>
        <v/>
      </c>
      <c r="AN86" s="1251" t="n"/>
      <c r="AO86" s="1251">
        <f>AA86-AN86</f>
        <v/>
      </c>
      <c r="AP86" s="1251">
        <f>IFERROR(AA86/AN86*100,0)</f>
        <v/>
      </c>
      <c r="AQ86" s="1251" t="n"/>
      <c r="AR86" s="1260">
        <f>AA86-AQ86</f>
        <v/>
      </c>
      <c r="AS86" s="1260">
        <f>IFERROR(AA86/AQ86*100,0)</f>
        <v/>
      </c>
    </row>
    <row r="87" ht="14.45" customFormat="1" customHeight="1" s="716">
      <c r="A87" s="716" t="n"/>
      <c r="B87" s="716" t="n"/>
      <c r="C87" s="716" t="n"/>
      <c r="D87" s="716" t="n"/>
      <c r="E87" s="716" t="n"/>
      <c r="F87" s="716" t="n"/>
      <c r="G87" s="716" t="n"/>
      <c r="H87" s="716" t="n"/>
      <c r="I87" s="716" t="n"/>
      <c r="J87" s="716" t="n"/>
      <c r="K87" s="716" t="n"/>
      <c r="L87" s="716" t="n"/>
      <c r="M87" s="716" t="n"/>
      <c r="N87" s="716" t="n"/>
      <c r="O87" s="716" t="n"/>
      <c r="P87" s="716" t="n"/>
      <c r="Q87" s="716" t="n"/>
      <c r="R87" s="716" t="n"/>
      <c r="S87" s="462">
        <f>IF(_epmOfflineCondition_,"主营业务成本-会展服务成本",EPMMemberDesc(U87))</f>
        <v/>
      </c>
      <c r="T87" s="716" t="n"/>
      <c r="U87" s="716" t="inlineStr">
        <is>
          <t>A6401090000</t>
        </is>
      </c>
      <c r="V87" s="701">
        <f>IF(_epmOfflineCondition_,"A6401090000",EPMOlapMemberO(U87,"[C_ACCOUNT].[PARENTH1].[A6401090000]","A6401090000 - 主营业务成本-会展服务成本","","000"))</f>
        <v/>
      </c>
      <c r="W87" s="462" t="n"/>
      <c r="X87" s="705" t="inlineStr">
        <is>
          <t>会展服务</t>
        </is>
      </c>
      <c r="Y87" s="649" t="inlineStr"/>
      <c r="Z87" s="1249" t="n"/>
      <c r="AA87" s="1249" t="n"/>
      <c r="AB87" s="1250" t="n"/>
      <c r="AC87" s="1249">
        <f>Z87-AB87</f>
        <v/>
      </c>
      <c r="AD87" s="1249">
        <f>IF(AB87=0,0,(Z87-AB87)/AB87*100)</f>
        <v/>
      </c>
      <c r="AE87" s="1249" t="n"/>
      <c r="AF87" s="1249">
        <f>Z87-AE87</f>
        <v/>
      </c>
      <c r="AG87" s="1249">
        <f>IF(AE87=0,0,(Z87-AE87)/AE87*100)</f>
        <v/>
      </c>
      <c r="AH87" s="1249" t="n"/>
      <c r="AI87" s="1249">
        <f>AA87-AH87</f>
        <v/>
      </c>
      <c r="AJ87" s="1249">
        <f>IF(AH87=0,0,(AA87-AH87)/AH87*100)</f>
        <v/>
      </c>
      <c r="AK87" s="1251" t="n"/>
      <c r="AL87" s="1251">
        <f>Z87-AK87</f>
        <v/>
      </c>
      <c r="AM87" s="1251">
        <f>IFERROR(Z87/AK87*100,0)</f>
        <v/>
      </c>
      <c r="AN87" s="1251" t="n"/>
      <c r="AO87" s="1251">
        <f>AA87-AN87</f>
        <v/>
      </c>
      <c r="AP87" s="1251">
        <f>IFERROR(AA87/AN87*100,0)</f>
        <v/>
      </c>
      <c r="AQ87" s="1251" t="n"/>
      <c r="AR87" s="1260">
        <f>AA87-AQ87</f>
        <v/>
      </c>
      <c r="AS87" s="1260">
        <f>IFERROR(AA87/AQ87*100,0)</f>
        <v/>
      </c>
    </row>
    <row r="88" ht="14.45" customFormat="1" customHeight="1" s="716">
      <c r="A88" s="716" t="n"/>
      <c r="B88" s="716" t="n"/>
      <c r="C88" s="716" t="n"/>
      <c r="D88" s="716" t="n"/>
      <c r="E88" s="716" t="n"/>
      <c r="F88" s="716" t="n"/>
      <c r="G88" s="716" t="n"/>
      <c r="H88" s="716" t="n"/>
      <c r="I88" s="716" t="n"/>
      <c r="J88" s="716" t="n"/>
      <c r="K88" s="716" t="n"/>
      <c r="L88" s="716" t="n"/>
      <c r="M88" s="716" t="n"/>
      <c r="N88" s="716" t="n"/>
      <c r="O88" s="716" t="n"/>
      <c r="P88" s="716" t="n"/>
      <c r="Q88" s="716" t="n"/>
      <c r="R88" s="716" t="n"/>
      <c r="S88" s="462">
        <f>IF(_epmOfflineCondition_,"主营业务成本-医事服务成本",EPMMemberDesc(U88))</f>
        <v/>
      </c>
      <c r="T88" s="716" t="n"/>
      <c r="U88" s="716" t="inlineStr">
        <is>
          <t>A6401100000</t>
        </is>
      </c>
      <c r="V88" s="701">
        <f>IF(_epmOfflineCondition_,"A6401100000",EPMOlapMemberO(U88,"[C_ACCOUNT].[PARENTH1].[A6401100000]","A6401100000 - 主营业务成本-医事服务成本","","000"))</f>
        <v/>
      </c>
      <c r="W88" s="462" t="n"/>
      <c r="X88" s="705" t="inlineStr">
        <is>
          <t>医事服务</t>
        </is>
      </c>
      <c r="Y88" s="649" t="inlineStr"/>
      <c r="Z88" s="1249" t="n"/>
      <c r="AA88" s="1249" t="n"/>
      <c r="AB88" s="1250" t="n"/>
      <c r="AC88" s="1249">
        <f>Z88-AB88</f>
        <v/>
      </c>
      <c r="AD88" s="1249">
        <f>IF(AB88=0,0,(Z88-AB88)/AB88*100)</f>
        <v/>
      </c>
      <c r="AE88" s="1249" t="n"/>
      <c r="AF88" s="1249">
        <f>Z88-AE88</f>
        <v/>
      </c>
      <c r="AG88" s="1249">
        <f>IF(AE88=0,0,(Z88-AE88)/AE88*100)</f>
        <v/>
      </c>
      <c r="AH88" s="1249" t="n"/>
      <c r="AI88" s="1249">
        <f>AA88-AH88</f>
        <v/>
      </c>
      <c r="AJ88" s="1249">
        <f>IF(AH88=0,0,(AA88-AH88)/AH88*100)</f>
        <v/>
      </c>
      <c r="AK88" s="1251" t="n"/>
      <c r="AL88" s="1251">
        <f>Z88-AK88</f>
        <v/>
      </c>
      <c r="AM88" s="1251">
        <f>IFERROR(Z88/AK88*100,0)</f>
        <v/>
      </c>
      <c r="AN88" s="1251" t="n"/>
      <c r="AO88" s="1251">
        <f>AA88-AN88</f>
        <v/>
      </c>
      <c r="AP88" s="1251">
        <f>IFERROR(AA88/AN88*100,0)</f>
        <v/>
      </c>
      <c r="AQ88" s="1251" t="n"/>
      <c r="AR88" s="1260">
        <f>AA88-AQ88</f>
        <v/>
      </c>
      <c r="AS88" s="1260">
        <f>IFERROR(AA88/AQ88*100,0)</f>
        <v/>
      </c>
    </row>
    <row r="89">
      <c r="A89" s="384" t="n"/>
      <c r="B89" s="384" t="n"/>
      <c r="C89" s="384" t="n"/>
      <c r="D89" s="384" t="n"/>
      <c r="E89" s="384" t="n"/>
      <c r="F89" s="384" t="n"/>
      <c r="G89" s="384" t="n"/>
      <c r="H89" s="384" t="n"/>
      <c r="I89" s="384" t="n"/>
      <c r="J89" s="384" t="n"/>
      <c r="K89" s="384" t="n"/>
      <c r="L89" s="384" t="n"/>
      <c r="M89" s="384" t="n"/>
      <c r="N89" s="384" t="n"/>
      <c r="O89" s="384" t="n"/>
      <c r="P89" s="384" t="n"/>
      <c r="Q89" s="384" t="n"/>
      <c r="R89" s="384" t="n"/>
      <c r="S89" s="462">
        <f>IF(_epmOfflineCondition_,"主营业务成本-康养服务",EPMMemberDesc(U89))</f>
        <v/>
      </c>
      <c r="T89" s="384" t="n"/>
      <c r="U89" s="716" t="inlineStr">
        <is>
          <t>A6401110000</t>
        </is>
      </c>
      <c r="V89" s="701">
        <f>IF(_epmOfflineCondition_,"A6401110000",EPMOlapMemberO(U89,"[C_ACCOUNT].[PARENTH1].[A6401110000]","A6401110000 - 主营业务成本-康养服务","","000"))</f>
        <v/>
      </c>
      <c r="W89" s="384" t="n"/>
      <c r="X89" s="705" t="inlineStr">
        <is>
          <t>康养服务</t>
        </is>
      </c>
      <c r="Y89" s="649" t="inlineStr"/>
      <c r="Z89" s="1249" t="n"/>
      <c r="AA89" s="1249" t="n"/>
      <c r="AB89" s="1250" t="n"/>
      <c r="AC89" s="1249">
        <f>Z89-AB89</f>
        <v/>
      </c>
      <c r="AD89" s="1249">
        <f>IF(AB89=0,0,(Z89-AB89)/AB89*100)</f>
        <v/>
      </c>
      <c r="AE89" s="1249" t="n"/>
      <c r="AF89" s="1249">
        <f>Z89-AE89</f>
        <v/>
      </c>
      <c r="AG89" s="1249">
        <f>IF(AE89=0,0,(Z89-AE89)/AE89*100)</f>
        <v/>
      </c>
      <c r="AH89" s="1249" t="n"/>
      <c r="AI89" s="1249">
        <f>AA89-AH89</f>
        <v/>
      </c>
      <c r="AJ89" s="1249">
        <f>IF(AH89=0,0,(AA89-AH89)/AH89*100)</f>
        <v/>
      </c>
      <c r="AK89" s="1251" t="n"/>
      <c r="AL89" s="1251">
        <f>Z89-AK89</f>
        <v/>
      </c>
      <c r="AM89" s="1251">
        <f>IFERROR(Z89/AK89*100,0)</f>
        <v/>
      </c>
      <c r="AN89" s="1251" t="n"/>
      <c r="AO89" s="1251">
        <f>AA89-AN89</f>
        <v/>
      </c>
      <c r="AP89" s="1251">
        <f>IFERROR(AA89/AN89*100,0)</f>
        <v/>
      </c>
      <c r="AQ89" s="1251" t="n"/>
      <c r="AR89" s="1260">
        <f>AA89-AQ89</f>
        <v/>
      </c>
      <c r="AS89" s="1260">
        <f>IFERROR(AA89/AQ89*100,0)</f>
        <v/>
      </c>
    </row>
    <row r="90">
      <c r="A90" s="384" t="n"/>
      <c r="B90" s="384" t="n"/>
      <c r="C90" s="384" t="n"/>
      <c r="D90" s="384" t="n"/>
      <c r="E90" s="384" t="n"/>
      <c r="F90" s="384" t="n"/>
      <c r="G90" s="384" t="n"/>
      <c r="H90" s="384" t="n"/>
      <c r="I90" s="384" t="n"/>
      <c r="J90" s="384" t="n"/>
      <c r="K90" s="384" t="n"/>
      <c r="L90" s="384" t="n"/>
      <c r="M90" s="384" t="n"/>
      <c r="N90" s="384" t="n"/>
      <c r="O90" s="384" t="n"/>
      <c r="P90" s="384" t="n"/>
      <c r="Q90" s="384" t="n"/>
      <c r="R90" s="384" t="n"/>
      <c r="S90" s="462">
        <f>IF(_epmOfflineCondition_,"主营业务成本-房地产成本",EPMMemberDesc(U90))</f>
        <v/>
      </c>
      <c r="T90" s="384" t="n"/>
      <c r="U90" s="716" t="inlineStr">
        <is>
          <t>A6401120000</t>
        </is>
      </c>
      <c r="V90" s="701">
        <f>IF(_epmOfflineCondition_,"A6401120000",EPMOlapMemberO(U90,"[C_ACCOUNT].[PARENTH1].[A6401120000]","A6401120000 - 主营业务成本-房地产成本","","000"))</f>
        <v/>
      </c>
      <c r="W90" s="384" t="n"/>
      <c r="X90" s="705" t="inlineStr">
        <is>
          <t>房地产开发及销售</t>
        </is>
      </c>
      <c r="Y90" s="649" t="inlineStr"/>
      <c r="Z90" s="1249" t="n"/>
      <c r="AA90" s="1249" t="n"/>
      <c r="AB90" s="1250" t="n"/>
      <c r="AC90" s="1249">
        <f>Z90-AB90</f>
        <v/>
      </c>
      <c r="AD90" s="1249">
        <f>IF(AB90=0,0,(Z90-AB90)/AB90*100)</f>
        <v/>
      </c>
      <c r="AE90" s="1249" t="n"/>
      <c r="AF90" s="1249">
        <f>Z90-AE90</f>
        <v/>
      </c>
      <c r="AG90" s="1249">
        <f>IF(AE90=0,0,(Z90-AE90)/AE90*100)</f>
        <v/>
      </c>
      <c r="AH90" s="1249" t="n"/>
      <c r="AI90" s="1249">
        <f>AA90-AH90</f>
        <v/>
      </c>
      <c r="AJ90" s="1249">
        <f>IF(AH90=0,0,(AA90-AH90)/AH90*100)</f>
        <v/>
      </c>
      <c r="AK90" s="1251" t="n"/>
      <c r="AL90" s="1251">
        <f>Z90-AK90</f>
        <v/>
      </c>
      <c r="AM90" s="1251">
        <f>IFERROR(Z90/AK90*100,0)</f>
        <v/>
      </c>
      <c r="AN90" s="1251" t="n"/>
      <c r="AO90" s="1251">
        <f>AA90-AN90</f>
        <v/>
      </c>
      <c r="AP90" s="1251">
        <f>IFERROR(AA90/AN90*100,0)</f>
        <v/>
      </c>
      <c r="AQ90" s="1251" t="n"/>
      <c r="AR90" s="1260">
        <f>AA90-AQ90</f>
        <v/>
      </c>
      <c r="AS90" s="1260">
        <f>IFERROR(AA90/AQ90*100,0)</f>
        <v/>
      </c>
    </row>
    <row r="91">
      <c r="A91" s="384" t="n"/>
      <c r="B91" s="384" t="n"/>
      <c r="C91" s="384" t="n"/>
      <c r="D91" s="384" t="n"/>
      <c r="E91" s="384" t="n"/>
      <c r="F91" s="384" t="n"/>
      <c r="G91" s="384" t="n"/>
      <c r="H91" s="384" t="n"/>
      <c r="I91" s="384" t="n"/>
      <c r="J91" s="384" t="n"/>
      <c r="K91" s="384" t="n"/>
      <c r="L91" s="384" t="n"/>
      <c r="M91" s="384" t="n"/>
      <c r="N91" s="384" t="n"/>
      <c r="O91" s="384" t="n"/>
      <c r="P91" s="384" t="n"/>
      <c r="Q91" s="384" t="n"/>
      <c r="R91" s="384" t="n"/>
      <c r="S91" s="462">
        <f>IF(_epmOfflineCondition_,"主营业务成本-融资租赁成本",EPMMemberDesc(U91))</f>
        <v/>
      </c>
      <c r="T91" s="384" t="n"/>
      <c r="U91" s="716" t="inlineStr">
        <is>
          <t>A6401130000</t>
        </is>
      </c>
      <c r="V91" s="701">
        <f>IF(_epmOfflineCondition_,"A6401130000",EPMOlapMemberO(U91,"[C_ACCOUNT].[PARENTH1].[A6401130000]","A6401130000 - 主营业务成本-融资租赁成本","","000"))</f>
        <v/>
      </c>
      <c r="W91" s="384" t="n"/>
      <c r="X91" s="705" t="inlineStr">
        <is>
          <t>融资租赁</t>
        </is>
      </c>
      <c r="Y91" s="649" t="inlineStr"/>
      <c r="Z91" s="1249" t="n"/>
      <c r="AA91" s="1249" t="n"/>
      <c r="AB91" s="1250" t="n"/>
      <c r="AC91" s="1249">
        <f>Z91-AB91</f>
        <v/>
      </c>
      <c r="AD91" s="1249">
        <f>IF(AB91=0,0,(Z91-AB91)/AB91*100)</f>
        <v/>
      </c>
      <c r="AE91" s="1249" t="n"/>
      <c r="AF91" s="1249">
        <f>Z91-AE91</f>
        <v/>
      </c>
      <c r="AG91" s="1249">
        <f>IF(AE91=0,0,(Z91-AE91)/AE91*100)</f>
        <v/>
      </c>
      <c r="AH91" s="1249" t="n"/>
      <c r="AI91" s="1249">
        <f>AA91-AH91</f>
        <v/>
      </c>
      <c r="AJ91" s="1249">
        <f>IF(AH91=0,0,(AA91-AH91)/AH91*100)</f>
        <v/>
      </c>
      <c r="AK91" s="1251" t="n"/>
      <c r="AL91" s="1251">
        <f>Z91-AK91</f>
        <v/>
      </c>
      <c r="AM91" s="1251">
        <f>IFERROR(Z91/AK91*100,0)</f>
        <v/>
      </c>
      <c r="AN91" s="1251" t="n"/>
      <c r="AO91" s="1251">
        <f>AA91-AN91</f>
        <v/>
      </c>
      <c r="AP91" s="1251">
        <f>IFERROR(AA91/AN91*100,0)</f>
        <v/>
      </c>
      <c r="AQ91" s="1251" t="n"/>
      <c r="AR91" s="1260">
        <f>AA91-AQ91</f>
        <v/>
      </c>
      <c r="AS91" s="1260">
        <f>IFERROR(AA91/AQ91*100,0)</f>
        <v/>
      </c>
    </row>
    <row r="92">
      <c r="A92" s="384" t="n"/>
      <c r="B92" s="384" t="n"/>
      <c r="C92" s="384" t="n"/>
      <c r="D92" s="384" t="n"/>
      <c r="E92" s="384" t="n"/>
      <c r="F92" s="384" t="n"/>
      <c r="G92" s="384" t="n"/>
      <c r="H92" s="384" t="n"/>
      <c r="I92" s="384" t="n"/>
      <c r="J92" s="384" t="n"/>
      <c r="K92" s="384" t="n"/>
      <c r="L92" s="384" t="n"/>
      <c r="M92" s="384" t="n"/>
      <c r="N92" s="384" t="n"/>
      <c r="O92" s="384" t="n"/>
      <c r="P92" s="384" t="n"/>
      <c r="Q92" s="384" t="n"/>
      <c r="R92" s="384" t="n"/>
      <c r="S92" s="462">
        <f>IF(_epmOfflineCondition_,"主营业务成本-智能停车成本",EPMMemberDesc(U92))</f>
        <v/>
      </c>
      <c r="T92" s="384" t="n"/>
      <c r="U92" s="716" t="inlineStr">
        <is>
          <t>A6401140000</t>
        </is>
      </c>
      <c r="V92" s="701">
        <f>IF(_epmOfflineCondition_,"A6401140000",EPMOlapMemberO(U92,"[C_ACCOUNT].[PARENTH1].[A6401140000]","A6401140000 - 主营业务成本-智能停车成本","","000"))</f>
        <v/>
      </c>
      <c r="W92" s="384" t="n"/>
      <c r="X92" s="705" t="inlineStr">
        <is>
          <t>智能停车</t>
        </is>
      </c>
      <c r="Y92" s="649" t="inlineStr"/>
      <c r="Z92" s="1249" t="n"/>
      <c r="AA92" s="1249" t="n"/>
      <c r="AB92" s="1250" t="n"/>
      <c r="AC92" s="1249">
        <f>Z92-AB92</f>
        <v/>
      </c>
      <c r="AD92" s="1249">
        <f>IF(AB92=0,0,(Z92-AB92)/AB92*100)</f>
        <v/>
      </c>
      <c r="AE92" s="1249" t="n"/>
      <c r="AF92" s="1249">
        <f>Z92-AE92</f>
        <v/>
      </c>
      <c r="AG92" s="1249">
        <f>IF(AE92=0,0,(Z92-AE92)/AE92*100)</f>
        <v/>
      </c>
      <c r="AH92" s="1249" t="n"/>
      <c r="AI92" s="1249">
        <f>AA92-AH92</f>
        <v/>
      </c>
      <c r="AJ92" s="1249">
        <f>IF(AH92=0,0,(AA92-AH92)/AH92*100)</f>
        <v/>
      </c>
      <c r="AK92" s="1251" t="n"/>
      <c r="AL92" s="1251">
        <f>Z92-AK92</f>
        <v/>
      </c>
      <c r="AM92" s="1251">
        <f>IFERROR(Z92/AK92*100,0)</f>
        <v/>
      </c>
      <c r="AN92" s="1251" t="n"/>
      <c r="AO92" s="1251">
        <f>AA92-AN92</f>
        <v/>
      </c>
      <c r="AP92" s="1251">
        <f>IFERROR(AA92/AN92*100,0)</f>
        <v/>
      </c>
      <c r="AQ92" s="1251" t="n"/>
      <c r="AR92" s="1260">
        <f>AA92-AQ92</f>
        <v/>
      </c>
      <c r="AS92" s="1260">
        <f>IFERROR(AA92/AQ92*100,0)</f>
        <v/>
      </c>
    </row>
    <row r="93">
      <c r="A93" s="384" t="n"/>
      <c r="B93" s="384" t="n"/>
      <c r="C93" s="384" t="n"/>
      <c r="D93" s="384" t="n"/>
      <c r="E93" s="384" t="n"/>
      <c r="F93" s="384" t="n"/>
      <c r="G93" s="384" t="n"/>
      <c r="H93" s="384" t="n"/>
      <c r="I93" s="384" t="n"/>
      <c r="J93" s="384" t="n"/>
      <c r="K93" s="384" t="n"/>
      <c r="L93" s="384" t="n"/>
      <c r="M93" s="384" t="n"/>
      <c r="N93" s="384" t="n"/>
      <c r="O93" s="384" t="n"/>
      <c r="P93" s="384" t="n"/>
      <c r="Q93" s="384" t="n"/>
      <c r="R93" s="384" t="n"/>
      <c r="S93" s="462">
        <f>IF(_epmOfflineCondition_,"主营业务成本-汽贸业务成本",EPMMemberDesc(U93))</f>
        <v/>
      </c>
      <c r="T93" s="384" t="n"/>
      <c r="U93" s="716" t="inlineStr">
        <is>
          <t>A6401150000</t>
        </is>
      </c>
      <c r="V93" s="701">
        <f>IF(_epmOfflineCondition_,"A6401150000",EPMOlapMemberO(U93,"[C_ACCOUNT].[PARENTH1].[A6401150000]","A6401150000 - 主营业务成本-汽贸业务成本","","000"))</f>
        <v/>
      </c>
      <c r="W93" s="384" t="n"/>
      <c r="X93" s="705" t="inlineStr">
        <is>
          <t>汽贸业务</t>
        </is>
      </c>
      <c r="Y93" s="649" t="inlineStr"/>
      <c r="Z93" s="1249" t="n"/>
      <c r="AA93" s="1249" t="n"/>
      <c r="AB93" s="1250" t="n"/>
      <c r="AC93" s="1249">
        <f>Z93-AB93</f>
        <v/>
      </c>
      <c r="AD93" s="1249">
        <f>IF(AB93=0,0,(Z93-AB93)/AB93*100)</f>
        <v/>
      </c>
      <c r="AE93" s="1249" t="n"/>
      <c r="AF93" s="1249">
        <f>Z93-AE93</f>
        <v/>
      </c>
      <c r="AG93" s="1249">
        <f>IF(AE93=0,0,(Z93-AE93)/AE93*100)</f>
        <v/>
      </c>
      <c r="AH93" s="1249" t="n"/>
      <c r="AI93" s="1249">
        <f>AA93-AH93</f>
        <v/>
      </c>
      <c r="AJ93" s="1249">
        <f>IF(AH93=0,0,(AA93-AH93)/AH93*100)</f>
        <v/>
      </c>
      <c r="AK93" s="1251" t="n"/>
      <c r="AL93" s="1251">
        <f>Z93-AK93</f>
        <v/>
      </c>
      <c r="AM93" s="1251">
        <f>IFERROR(Z93/AK93*100,0)</f>
        <v/>
      </c>
      <c r="AN93" s="1251" t="n"/>
      <c r="AO93" s="1251">
        <f>AA93-AN93</f>
        <v/>
      </c>
      <c r="AP93" s="1251">
        <f>IFERROR(AA93/AN93*100,0)</f>
        <v/>
      </c>
      <c r="AQ93" s="1251" t="n"/>
      <c r="AR93" s="1260">
        <f>AA93-AQ93</f>
        <v/>
      </c>
      <c r="AS93" s="1260">
        <f>IFERROR(AA93/AQ93*100,0)</f>
        <v/>
      </c>
    </row>
    <row r="94">
      <c r="A94" s="384" t="n"/>
      <c r="B94" s="384" t="n"/>
      <c r="C94" s="384" t="n"/>
      <c r="D94" s="384" t="n"/>
      <c r="E94" s="384" t="n"/>
      <c r="F94" s="384" t="n"/>
      <c r="G94" s="384" t="n"/>
      <c r="H94" s="384" t="n"/>
      <c r="I94" s="384" t="n"/>
      <c r="J94" s="384" t="n"/>
      <c r="K94" s="384" t="n"/>
      <c r="L94" s="384" t="n"/>
      <c r="M94" s="384" t="n"/>
      <c r="N94" s="384" t="n"/>
      <c r="O94" s="384" t="n"/>
      <c r="P94" s="384" t="n"/>
      <c r="Q94" s="384" t="n"/>
      <c r="R94" s="384" t="n"/>
      <c r="S94" s="462">
        <f>IF(_epmOfflineCondition_,"主营业务成本-机械产品成本",EPMMemberDesc(U94))</f>
        <v/>
      </c>
      <c r="T94" s="384" t="n"/>
      <c r="U94" s="716" t="inlineStr">
        <is>
          <t>A6401160000</t>
        </is>
      </c>
      <c r="V94" s="701">
        <f>IF(_epmOfflineCondition_,"A6401160000",EPMOlapMemberO(U94,"[C_ACCOUNT].[PARENTH1].[A6401160000]","A6401160000 - 主营业务成本-机械产品成本","","000"))</f>
        <v/>
      </c>
      <c r="W94" s="384" t="n"/>
      <c r="X94" s="705" t="inlineStr">
        <is>
          <t>机械产品</t>
        </is>
      </c>
      <c r="Y94" s="649" t="inlineStr"/>
      <c r="Z94" s="1249" t="n"/>
      <c r="AA94" s="1249" t="n"/>
      <c r="AB94" s="1250" t="n"/>
      <c r="AC94" s="1249">
        <f>Z94-AB94</f>
        <v/>
      </c>
      <c r="AD94" s="1249">
        <f>IF(AB94=0,0,(Z94-AB94)/AB94*100)</f>
        <v/>
      </c>
      <c r="AE94" s="1249" t="n"/>
      <c r="AF94" s="1249">
        <f>Z94-AE94</f>
        <v/>
      </c>
      <c r="AG94" s="1249">
        <f>IF(AE94=0,0,(Z94-AE94)/AE94*100)</f>
        <v/>
      </c>
      <c r="AH94" s="1249" t="n"/>
      <c r="AI94" s="1249">
        <f>AA94-AH94</f>
        <v/>
      </c>
      <c r="AJ94" s="1249">
        <f>IF(AH94=0,0,(AA94-AH94)/AH94*100)</f>
        <v/>
      </c>
      <c r="AK94" s="1251" t="n"/>
      <c r="AL94" s="1251">
        <f>Z94-AK94</f>
        <v/>
      </c>
      <c r="AM94" s="1251">
        <f>IFERROR(Z94/AK94*100,0)</f>
        <v/>
      </c>
      <c r="AN94" s="1251" t="n"/>
      <c r="AO94" s="1251">
        <f>AA94-AN94</f>
        <v/>
      </c>
      <c r="AP94" s="1251">
        <f>IFERROR(AA94/AN94*100,0)</f>
        <v/>
      </c>
      <c r="AQ94" s="1251" t="n"/>
      <c r="AR94" s="1260">
        <f>AA94-AQ94</f>
        <v/>
      </c>
      <c r="AS94" s="1260">
        <f>IFERROR(AA94/AQ94*100,0)</f>
        <v/>
      </c>
    </row>
    <row r="95">
      <c r="A95" s="384" t="n"/>
      <c r="B95" s="384" t="n"/>
      <c r="C95" s="384" t="n"/>
      <c r="D95" s="384" t="n"/>
      <c r="E95" s="384" t="n"/>
      <c r="F95" s="384" t="n"/>
      <c r="G95" s="384" t="n"/>
      <c r="H95" s="384" t="n"/>
      <c r="I95" s="384" t="n"/>
      <c r="J95" s="384" t="n"/>
      <c r="K95" s="384" t="n"/>
      <c r="L95" s="384" t="n"/>
      <c r="M95" s="384" t="n"/>
      <c r="N95" s="384" t="n"/>
      <c r="O95" s="384" t="n"/>
      <c r="P95" s="384" t="n"/>
      <c r="Q95" s="384" t="n"/>
      <c r="R95" s="384" t="n"/>
      <c r="S95" s="462">
        <f>IF(_epmOfflineCondition_,"主营业务成本-商贸商品成本",EPMMemberDesc(U95))</f>
        <v/>
      </c>
      <c r="T95" s="384" t="n"/>
      <c r="U95" s="716" t="inlineStr">
        <is>
          <t>A6401170000</t>
        </is>
      </c>
      <c r="V95" s="701">
        <f>IF(_epmOfflineCondition_,"A6401170000",EPMOlapMemberO(U95,"[C_ACCOUNT].[PARENTH1].[A6401170000]","A6401170000 - 主营业务成本-商贸商品成本","","000"))</f>
        <v/>
      </c>
      <c r="W95" s="384" t="n"/>
      <c r="X95" s="705" t="inlineStr">
        <is>
          <t>商贸商品</t>
        </is>
      </c>
      <c r="Y95" s="649" t="inlineStr"/>
      <c r="Z95" s="1249" t="n"/>
      <c r="AA95" s="1249" t="n"/>
      <c r="AB95" s="1250" t="n"/>
      <c r="AC95" s="1249">
        <f>Z95-AB95</f>
        <v/>
      </c>
      <c r="AD95" s="1249">
        <f>IF(AB95=0,0,(Z95-AB95)/AB95*100)</f>
        <v/>
      </c>
      <c r="AE95" s="1249" t="n"/>
      <c r="AF95" s="1249">
        <f>Z95-AE95</f>
        <v/>
      </c>
      <c r="AG95" s="1249">
        <f>IF(AE95=0,0,(Z95-AE95)/AE95*100)</f>
        <v/>
      </c>
      <c r="AH95" s="1249" t="n"/>
      <c r="AI95" s="1249">
        <f>AA95-AH95</f>
        <v/>
      </c>
      <c r="AJ95" s="1249">
        <f>IF(AH95=0,0,(AA95-AH95)/AH95*100)</f>
        <v/>
      </c>
      <c r="AK95" s="1251" t="n"/>
      <c r="AL95" s="1251">
        <f>Z95-AK95</f>
        <v/>
      </c>
      <c r="AM95" s="1251">
        <f>IFERROR(Z95/AK95*100,0)</f>
        <v/>
      </c>
      <c r="AN95" s="1251" t="n"/>
      <c r="AO95" s="1251">
        <f>AA95-AN95</f>
        <v/>
      </c>
      <c r="AP95" s="1251">
        <f>IFERROR(AA95/AN95*100,0)</f>
        <v/>
      </c>
      <c r="AQ95" s="1251" t="n"/>
      <c r="AR95" s="1260">
        <f>AA95-AQ95</f>
        <v/>
      </c>
      <c r="AS95" s="1260">
        <f>IFERROR(AA95/AQ95*100,0)</f>
        <v/>
      </c>
    </row>
    <row r="96">
      <c r="A96" s="384" t="n"/>
      <c r="B96" s="384" t="n"/>
      <c r="C96" s="384" t="n"/>
      <c r="D96" s="384" t="n"/>
      <c r="E96" s="384" t="n"/>
      <c r="F96" s="384" t="n"/>
      <c r="G96" s="384" t="n"/>
      <c r="H96" s="384" t="n"/>
      <c r="I96" s="384" t="n"/>
      <c r="J96" s="384" t="n"/>
      <c r="K96" s="384" t="n"/>
      <c r="L96" s="384" t="n"/>
      <c r="M96" s="384" t="n"/>
      <c r="N96" s="384" t="n"/>
      <c r="O96" s="384" t="n"/>
      <c r="P96" s="384" t="n"/>
      <c r="Q96" s="384" t="n"/>
      <c r="R96" s="384" t="n"/>
      <c r="S96" s="462">
        <f>IF(_epmOfflineCondition_,"主营业务成本-商品销售成本",EPMMemberDesc(U96))</f>
        <v/>
      </c>
      <c r="T96" s="384" t="n"/>
      <c r="U96" s="716" t="inlineStr">
        <is>
          <t>A6401180000</t>
        </is>
      </c>
      <c r="V96" s="701">
        <f>IF(_epmOfflineCondition_,"A6401180000",EPMOlapMemberO(U96,"[C_ACCOUNT].[PARENTH1].[A6401180000]","A6401180000 - 主营业务成本-商品销售成本","","000"))</f>
        <v/>
      </c>
      <c r="W96" s="384" t="n"/>
      <c r="X96" s="705" t="inlineStr">
        <is>
          <t>商品销售</t>
        </is>
      </c>
      <c r="Y96" s="649" t="inlineStr"/>
      <c r="Z96" s="1249" t="n"/>
      <c r="AA96" s="1249" t="n"/>
      <c r="AB96" s="1250" t="n"/>
      <c r="AC96" s="1249">
        <f>Z96-AB96</f>
        <v/>
      </c>
      <c r="AD96" s="1249">
        <f>IF(AB96=0,0,(Z96-AB96)/AB96*100)</f>
        <v/>
      </c>
      <c r="AE96" s="1249" t="n"/>
      <c r="AF96" s="1249">
        <f>Z96-AE96</f>
        <v/>
      </c>
      <c r="AG96" s="1249">
        <f>IF(AE96=0,0,(Z96-AE96)/AE96*100)</f>
        <v/>
      </c>
      <c r="AH96" s="1249" t="n"/>
      <c r="AI96" s="1249">
        <f>AA96-AH96</f>
        <v/>
      </c>
      <c r="AJ96" s="1249">
        <f>IF(AH96=0,0,(AA96-AH96)/AH96*100)</f>
        <v/>
      </c>
      <c r="AK96" s="1251" t="n"/>
      <c r="AL96" s="1251">
        <f>Z96-AK96</f>
        <v/>
      </c>
      <c r="AM96" s="1251">
        <f>IFERROR(Z96/AK96*100,0)</f>
        <v/>
      </c>
      <c r="AN96" s="1251" t="n"/>
      <c r="AO96" s="1251">
        <f>AA96-AN96</f>
        <v/>
      </c>
      <c r="AP96" s="1251">
        <f>IFERROR(AA96/AN96*100,0)</f>
        <v/>
      </c>
      <c r="AQ96" s="1251" t="n"/>
      <c r="AR96" s="1260">
        <f>AA96-AQ96</f>
        <v/>
      </c>
      <c r="AS96" s="1260">
        <f>IFERROR(AA96/AQ96*100,0)</f>
        <v/>
      </c>
    </row>
    <row r="97">
      <c r="A97" s="384" t="n"/>
      <c r="B97" s="384" t="n"/>
      <c r="C97" s="384" t="n"/>
      <c r="D97" s="384" t="n"/>
      <c r="E97" s="384" t="n"/>
      <c r="F97" s="384" t="n"/>
      <c r="G97" s="384" t="n"/>
      <c r="H97" s="384" t="n"/>
      <c r="I97" s="384" t="n"/>
      <c r="J97" s="384" t="n"/>
      <c r="K97" s="384" t="n"/>
      <c r="L97" s="384" t="n"/>
      <c r="M97" s="384" t="n"/>
      <c r="N97" s="384" t="n"/>
      <c r="O97" s="384" t="n"/>
      <c r="P97" s="384" t="n"/>
      <c r="Q97" s="384" t="n"/>
      <c r="R97" s="384" t="n"/>
      <c r="S97" s="462">
        <f>IF(_epmOfflineCondition_,"主营业务成本-产品销售成本",EPMMemberDesc(U97))</f>
        <v/>
      </c>
      <c r="T97" s="384" t="n"/>
      <c r="U97" s="716" t="inlineStr">
        <is>
          <t>A6401190000</t>
        </is>
      </c>
      <c r="V97" s="701">
        <f>IF(_epmOfflineCondition_,"A6401190000",EPMOlapMemberO(U97,"[C_ACCOUNT].[PARENTH1].[A6401190000]","A6401190000 - 主营业务成本-产品销售成本","","000"))</f>
        <v/>
      </c>
      <c r="W97" s="384" t="n"/>
      <c r="X97" s="705" t="inlineStr">
        <is>
          <t>产品销售</t>
        </is>
      </c>
      <c r="Y97" s="649" t="inlineStr"/>
      <c r="Z97" s="1249" t="n"/>
      <c r="AA97" s="1249" t="n"/>
      <c r="AB97" s="1250" t="n"/>
      <c r="AC97" s="1249">
        <f>Z97-AB97</f>
        <v/>
      </c>
      <c r="AD97" s="1249">
        <f>IF(AB97=0,0,(Z97-AB97)/AB97*100)</f>
        <v/>
      </c>
      <c r="AE97" s="1249" t="n"/>
      <c r="AF97" s="1249">
        <f>Z97-AE97</f>
        <v/>
      </c>
      <c r="AG97" s="1249">
        <f>IF(AE97=0,0,(Z97-AE97)/AE97*100)</f>
        <v/>
      </c>
      <c r="AH97" s="1249" t="n"/>
      <c r="AI97" s="1249">
        <f>AA97-AH97</f>
        <v/>
      </c>
      <c r="AJ97" s="1249">
        <f>IF(AH97=0,0,(AA97-AH97)/AH97*100)</f>
        <v/>
      </c>
      <c r="AK97" s="1251" t="n"/>
      <c r="AL97" s="1251">
        <f>Z97-AK97</f>
        <v/>
      </c>
      <c r="AM97" s="1251">
        <f>IFERROR(Z97/AK97*100,0)</f>
        <v/>
      </c>
      <c r="AN97" s="1251" t="n"/>
      <c r="AO97" s="1251">
        <f>AA97-AN97</f>
        <v/>
      </c>
      <c r="AP97" s="1251">
        <f>IFERROR(AA97/AN97*100,0)</f>
        <v/>
      </c>
      <c r="AQ97" s="1251" t="n"/>
      <c r="AR97" s="1260">
        <f>AA97-AQ97</f>
        <v/>
      </c>
      <c r="AS97" s="1260">
        <f>IFERROR(AA97/AQ97*100,0)</f>
        <v/>
      </c>
    </row>
    <row r="98">
      <c r="A98" s="384" t="n"/>
      <c r="B98" s="384" t="n"/>
      <c r="C98" s="384" t="n"/>
      <c r="D98" s="384" t="n"/>
      <c r="E98" s="384" t="n"/>
      <c r="F98" s="384" t="n"/>
      <c r="G98" s="384" t="n"/>
      <c r="H98" s="384" t="n"/>
      <c r="I98" s="384" t="n"/>
      <c r="J98" s="384" t="n"/>
      <c r="K98" s="384" t="n"/>
      <c r="L98" s="384" t="n"/>
      <c r="M98" s="384" t="n"/>
      <c r="N98" s="384" t="n"/>
      <c r="O98" s="384" t="n"/>
      <c r="P98" s="384" t="n"/>
      <c r="Q98" s="384" t="n"/>
      <c r="R98" s="384" t="n"/>
      <c r="S98" s="462">
        <f>IF(_epmOfflineCondition_,"主营业务成本-工程成本",EPMMemberDesc(U98))</f>
        <v/>
      </c>
      <c r="T98" s="384" t="n"/>
      <c r="U98" s="716" t="inlineStr">
        <is>
          <t>A6401200000</t>
        </is>
      </c>
      <c r="V98" s="701">
        <f>IF(_epmOfflineCondition_,"A6401200000",EPMOlapMemberO(U98,"[C_ACCOUNT].[PARENTH1].[A6401200000]","A6401200000 - 主营业务成本-工程成本","","000"))</f>
        <v/>
      </c>
      <c r="W98" s="384" t="n"/>
      <c r="X98" s="705" t="inlineStr">
        <is>
          <t>工程成本</t>
        </is>
      </c>
      <c r="Y98" s="649" t="inlineStr"/>
      <c r="Z98" s="1249" t="n"/>
      <c r="AA98" s="1249" t="n"/>
      <c r="AB98" s="1250" t="n"/>
      <c r="AC98" s="1249">
        <f>Z98-AB98</f>
        <v/>
      </c>
      <c r="AD98" s="1249">
        <f>IF(AB98=0,0,(Z98-AB98)/AB98*100)</f>
        <v/>
      </c>
      <c r="AE98" s="1249" t="n"/>
      <c r="AF98" s="1249">
        <f>Z98-AE98</f>
        <v/>
      </c>
      <c r="AG98" s="1249">
        <f>IF(AE98=0,0,(Z98-AE98)/AE98*100)</f>
        <v/>
      </c>
      <c r="AH98" s="1249" t="n"/>
      <c r="AI98" s="1249">
        <f>AA98-AH98</f>
        <v/>
      </c>
      <c r="AJ98" s="1249">
        <f>IF(AH98=0,0,(AA98-AH98)/AH98*100)</f>
        <v/>
      </c>
      <c r="AK98" s="1251" t="n"/>
      <c r="AL98" s="1251">
        <f>Z98-AK98</f>
        <v/>
      </c>
      <c r="AM98" s="1251">
        <f>IFERROR(Z98/AK98*100,0)</f>
        <v/>
      </c>
      <c r="AN98" s="1251" t="n"/>
      <c r="AO98" s="1251">
        <f>AA98-AN98</f>
        <v/>
      </c>
      <c r="AP98" s="1251">
        <f>IFERROR(AA98/AN98*100,0)</f>
        <v/>
      </c>
      <c r="AQ98" s="1251" t="n"/>
      <c r="AR98" s="1260">
        <f>AA98-AQ98</f>
        <v/>
      </c>
      <c r="AS98" s="1260">
        <f>IFERROR(AA98/AQ98*100,0)</f>
        <v/>
      </c>
    </row>
    <row r="99">
      <c r="A99" s="384" t="n"/>
      <c r="B99" s="384" t="n"/>
      <c r="C99" s="384" t="n"/>
      <c r="D99" s="384" t="n"/>
      <c r="E99" s="384" t="n"/>
      <c r="F99" s="384" t="n"/>
      <c r="G99" s="384" t="n"/>
      <c r="H99" s="384" t="n"/>
      <c r="I99" s="384" t="n"/>
      <c r="J99" s="384" t="n"/>
      <c r="K99" s="384" t="n"/>
      <c r="L99" s="384" t="n"/>
      <c r="M99" s="384" t="n"/>
      <c r="N99" s="384" t="n"/>
      <c r="O99" s="384" t="n"/>
      <c r="P99" s="384" t="n"/>
      <c r="Q99" s="384" t="n"/>
      <c r="R99" s="384" t="n"/>
      <c r="S99" s="462">
        <f>IF(_epmOfflineCondition_,"主营业务成本-服务成本",EPMMemberDesc(U99))</f>
        <v/>
      </c>
      <c r="T99" s="384" t="n"/>
      <c r="U99" s="716" t="inlineStr">
        <is>
          <t>A6401210001</t>
        </is>
      </c>
      <c r="V99" s="701">
        <f>IF(_epmOfflineCondition_,"A6401210001",EPMOlapMemberO(U99,"[C_ACCOUNT].[PARENTH1].[A6401210001]","A6401210001 - 主营业务成本-服务成本","","000"))</f>
        <v/>
      </c>
      <c r="W99" s="384" t="n"/>
      <c r="X99" s="705" t="inlineStr">
        <is>
          <t>服务成本</t>
        </is>
      </c>
      <c r="Y99" s="649" t="inlineStr"/>
      <c r="Z99" s="1249" t="n"/>
      <c r="AA99" s="1249" t="n"/>
      <c r="AB99" s="1250" t="n"/>
      <c r="AC99" s="1249">
        <f>Z99-AB99</f>
        <v/>
      </c>
      <c r="AD99" s="1249">
        <f>IF(AB99=0,0,(Z99-AB99)/AB99*100)</f>
        <v/>
      </c>
      <c r="AE99" s="1249" t="n"/>
      <c r="AF99" s="1249">
        <f>Z99-AE99</f>
        <v/>
      </c>
      <c r="AG99" s="1249">
        <f>IF(AE99=0,0,(Z99-AE99)/AE99*100)</f>
        <v/>
      </c>
      <c r="AH99" s="1249" t="n"/>
      <c r="AI99" s="1249">
        <f>AA99-AH99</f>
        <v/>
      </c>
      <c r="AJ99" s="1249">
        <f>IF(AH99=0,0,(AA99-AH99)/AH99*100)</f>
        <v/>
      </c>
      <c r="AK99" s="1251" t="n"/>
      <c r="AL99" s="1251">
        <f>Z99-AK99</f>
        <v/>
      </c>
      <c r="AM99" s="1251">
        <f>IFERROR(Z99/AK99*100,0)</f>
        <v/>
      </c>
      <c r="AN99" s="1251" t="n"/>
      <c r="AO99" s="1251">
        <f>AA99-AN99</f>
        <v/>
      </c>
      <c r="AP99" s="1251">
        <f>IFERROR(AA99/AN99*100,0)</f>
        <v/>
      </c>
      <c r="AQ99" s="1251" t="n"/>
      <c r="AR99" s="1260">
        <f>AA99-AQ99</f>
        <v/>
      </c>
      <c r="AS99" s="1260">
        <f>IFERROR(AA99/AQ99*100,0)</f>
        <v/>
      </c>
    </row>
    <row r="100">
      <c r="A100" s="384" t="n"/>
      <c r="B100" s="384" t="n"/>
      <c r="C100" s="384" t="n"/>
      <c r="D100" s="384" t="n"/>
      <c r="E100" s="384" t="n"/>
      <c r="F100" s="384" t="n"/>
      <c r="G100" s="384" t="n"/>
      <c r="H100" s="384" t="n"/>
      <c r="I100" s="384" t="n"/>
      <c r="J100" s="384" t="n"/>
      <c r="K100" s="384" t="n"/>
      <c r="L100" s="384" t="n"/>
      <c r="M100" s="384" t="n"/>
      <c r="N100" s="384" t="n"/>
      <c r="O100" s="384" t="n"/>
      <c r="P100" s="384" t="n"/>
      <c r="Q100" s="384" t="n"/>
      <c r="R100" s="384" t="n"/>
      <c r="S100" s="462">
        <f>IF(_epmOfflineCondition_,"主营业务成本-其他成本",EPMMemberDesc(U100))</f>
        <v/>
      </c>
      <c r="T100" s="384" t="n"/>
      <c r="U100" s="716" t="inlineStr">
        <is>
          <t>A6401220001</t>
        </is>
      </c>
      <c r="V100" s="703">
        <f>IF(_epmOfflineCondition_,"A6401220001",EPMOlapMemberO(U100,"[C_ACCOUNT].[PARENTH1].[A6401220001]","A6401220001 - 主营业务成本-其他成本","","000"))</f>
        <v/>
      </c>
      <c r="W100" s="384" t="n"/>
      <c r="X100" s="705" t="inlineStr">
        <is>
          <t>其他成本</t>
        </is>
      </c>
      <c r="Y100" s="649" t="inlineStr"/>
      <c r="Z100" s="1249" t="n"/>
      <c r="AA100" s="1249" t="n"/>
      <c r="AB100" s="1250" t="n"/>
      <c r="AC100" s="1249">
        <f>Z100-AB100</f>
        <v/>
      </c>
      <c r="AD100" s="1249">
        <f>IF(AB100=0,0,(Z100-AB100)/AB100*100)</f>
        <v/>
      </c>
      <c r="AE100" s="1249" t="n"/>
      <c r="AF100" s="1249">
        <f>Z100-AE100</f>
        <v/>
      </c>
      <c r="AG100" s="1249">
        <f>IF(AE100=0,0,(Z100-AE100)/AE100*100)</f>
        <v/>
      </c>
      <c r="AH100" s="1249" t="n"/>
      <c r="AI100" s="1249">
        <f>AA100-AH100</f>
        <v/>
      </c>
      <c r="AJ100" s="1249">
        <f>IF(AH100=0,0,(AA100-AH100)/AH100*100)</f>
        <v/>
      </c>
      <c r="AK100" s="1251" t="n"/>
      <c r="AL100" s="1251">
        <f>Z100-AK100</f>
        <v/>
      </c>
      <c r="AM100" s="1251">
        <f>IFERROR(Z100/AK100*100,0)</f>
        <v/>
      </c>
      <c r="AN100" s="1251" t="n"/>
      <c r="AO100" s="1251">
        <f>AA100-AN100</f>
        <v/>
      </c>
      <c r="AP100" s="1251">
        <f>IFERROR(AA100/AN100*100,0)</f>
        <v/>
      </c>
      <c r="AQ100" s="1251" t="n"/>
      <c r="AR100" s="1260">
        <f>AA100-AQ100</f>
        <v/>
      </c>
      <c r="AS100" s="1260">
        <f>IFERROR(AA100/AQ100*100,0)</f>
        <v/>
      </c>
    </row>
    <row r="101">
      <c r="A101" s="384" t="n"/>
      <c r="B101" s="384" t="n"/>
      <c r="C101" s="384" t="n"/>
      <c r="D101" s="384" t="n"/>
      <c r="E101" s="384" t="n"/>
      <c r="F101" s="384" t="n"/>
      <c r="G101" s="384" t="n"/>
      <c r="H101" s="384" t="n"/>
      <c r="I101" s="384" t="n"/>
      <c r="J101" s="384" t="n"/>
      <c r="K101" s="384" t="n"/>
      <c r="L101" s="384" t="n"/>
      <c r="M101" s="384" t="n"/>
      <c r="N101" s="384" t="n"/>
      <c r="O101" s="384" t="n"/>
      <c r="P101" s="384" t="n"/>
      <c r="Q101" s="384" t="n"/>
      <c r="R101" s="384" t="n"/>
      <c r="S101" s="462">
        <f>IF(_epmOfflineCondition_,"三、毛利额",EPMMemberDesc(U101))</f>
        <v/>
      </c>
      <c r="T101" s="384" t="n"/>
      <c r="U101" s="716" t="inlineStr">
        <is>
          <t>A01701</t>
        </is>
      </c>
      <c r="V101" s="462">
        <f>IF(_epmOfflineCondition_,"A01701",EPMOlapMemberO(U101,"[C_ACCOUNT].[PARENTH1].[A01701]","A01701 - 三、毛利额","","000"))</f>
        <v/>
      </c>
      <c r="W101" s="384" t="n"/>
      <c r="X101" s="700" t="inlineStr">
        <is>
          <t>三、毛利额</t>
        </is>
      </c>
      <c r="Y101" s="649" t="inlineStr"/>
      <c r="Z101" s="1249">
        <f>Z45-Z73</f>
        <v/>
      </c>
      <c r="AA101" s="1249">
        <f>AA45-AA73</f>
        <v/>
      </c>
      <c r="AB101" s="1249">
        <f>AB45-AB73</f>
        <v/>
      </c>
      <c r="AC101" s="1249">
        <f>Z101-AB101</f>
        <v/>
      </c>
      <c r="AD101" s="1249">
        <f>IF(AB101=0,0,(Z101-AB101)/AB101*100)</f>
        <v/>
      </c>
      <c r="AE101" s="1249">
        <f>AE45-AE73</f>
        <v/>
      </c>
      <c r="AF101" s="1249">
        <f>Z101-AE101</f>
        <v/>
      </c>
      <c r="AG101" s="1249">
        <f>IF(AE101=0,0,(Z101-AE101)/AE101*100)</f>
        <v/>
      </c>
      <c r="AH101" s="1249">
        <f>AH45-AH73</f>
        <v/>
      </c>
      <c r="AI101" s="1249">
        <f>AA101-AH101</f>
        <v/>
      </c>
      <c r="AJ101" s="1249">
        <f>IF(AH101=0,0,(AA101-AH101)/AH101*100)</f>
        <v/>
      </c>
      <c r="AK101" s="1251" t="n"/>
      <c r="AL101" s="1251">
        <f>Z101-AK101</f>
        <v/>
      </c>
      <c r="AM101" s="1251">
        <f>IFERROR(Z101/AK101*100,0)</f>
        <v/>
      </c>
      <c r="AN101" s="1251" t="n"/>
      <c r="AO101" s="1251">
        <f>AA101-AN101</f>
        <v/>
      </c>
      <c r="AP101" s="1251">
        <f>IFERROR(AA101/AN101*100,0)</f>
        <v/>
      </c>
      <c r="AQ101" s="1251" t="n"/>
      <c r="AR101" s="1260">
        <f>AA101-AQ101</f>
        <v/>
      </c>
      <c r="AS101" s="1260">
        <f>IFERROR(AA101/AQ101*100,0)</f>
        <v/>
      </c>
    </row>
    <row r="102">
      <c r="A102" s="384" t="n"/>
      <c r="B102" s="384" t="n"/>
      <c r="C102" s="384" t="n"/>
      <c r="D102" s="384" t="n"/>
      <c r="E102" s="384" t="n"/>
      <c r="F102" s="384" t="n"/>
      <c r="G102" s="384" t="n"/>
      <c r="H102" s="384" t="n"/>
      <c r="I102" s="384" t="n"/>
      <c r="J102" s="384" t="n"/>
      <c r="K102" s="384" t="n"/>
      <c r="L102" s="384" t="n"/>
      <c r="M102" s="384" t="n"/>
      <c r="N102" s="384" t="n"/>
      <c r="O102" s="384" t="n"/>
      <c r="P102" s="384" t="n"/>
      <c r="Q102" s="384" t="n"/>
      <c r="R102" s="384" t="n"/>
      <c r="S102" s="462">
        <f>IF(_epmOfflineCondition_,"发电毛利（合计）",EPMMemberDesc(U102))</f>
        <v/>
      </c>
      <c r="T102" s="384" t="n"/>
      <c r="U102" s="716" t="inlineStr">
        <is>
          <t>A0170101</t>
        </is>
      </c>
      <c r="V102" s="455">
        <f>IF(_epmOfflineCondition_,"A0170101",EPMOlapMemberO(U102,"[C_ACCOUNT].[PARENTH1].[A0170101]","A0170101 - 发电毛利（合计）","","000"))</f>
        <v/>
      </c>
      <c r="W102" s="384" t="n"/>
      <c r="X102" s="702" t="inlineStr">
        <is>
          <t>发电毛利</t>
        </is>
      </c>
      <c r="Y102" s="649" t="inlineStr"/>
      <c r="Z102" s="1249">
        <f>Z46-Z74</f>
        <v/>
      </c>
      <c r="AA102" s="1249">
        <f>AA46-AA74</f>
        <v/>
      </c>
      <c r="AB102" s="1249">
        <f>AB46-AB74</f>
        <v/>
      </c>
      <c r="AC102" s="1249">
        <f>Z102-AB102</f>
        <v/>
      </c>
      <c r="AD102" s="1249">
        <f>IF(AB102=0,0,(Z102-AB102)/AB102*100)</f>
        <v/>
      </c>
      <c r="AE102" s="1249">
        <f>AE46-AE74</f>
        <v/>
      </c>
      <c r="AF102" s="1249">
        <f>Z102-AE102</f>
        <v/>
      </c>
      <c r="AG102" s="1249">
        <f>IF(AE102=0,0,(Z102-AE102)/AE102*100)</f>
        <v/>
      </c>
      <c r="AH102" s="1249">
        <f>AH46-AH74</f>
        <v/>
      </c>
      <c r="AI102" s="1249">
        <f>AA102-AH102</f>
        <v/>
      </c>
      <c r="AJ102" s="1249">
        <f>IF(AH102=0,0,(AA102-AH102)/AH102*100)</f>
        <v/>
      </c>
      <c r="AK102" s="1251" t="n"/>
      <c r="AL102" s="1251">
        <f>Z102-AK102</f>
        <v/>
      </c>
      <c r="AM102" s="1251">
        <f>IFERROR(Z102/AK102*100,0)</f>
        <v/>
      </c>
      <c r="AN102" s="1251" t="n"/>
      <c r="AO102" s="1251">
        <f>AA102-AN102</f>
        <v/>
      </c>
      <c r="AP102" s="1251">
        <f>IFERROR(AA102/AN102*100,0)</f>
        <v/>
      </c>
      <c r="AQ102" s="1251" t="n"/>
      <c r="AR102" s="1260">
        <f>AA102-AQ102</f>
        <v/>
      </c>
      <c r="AS102" s="1260">
        <f>IFERROR(AA102/AQ102*100,0)</f>
        <v/>
      </c>
    </row>
    <row r="103">
      <c r="A103" s="384" t="n"/>
      <c r="B103" s="384" t="n"/>
      <c r="C103" s="384" t="n"/>
      <c r="D103" s="384" t="n"/>
      <c r="E103" s="384" t="n"/>
      <c r="F103" s="384" t="n"/>
      <c r="G103" s="384" t="n"/>
      <c r="H103" s="384" t="n"/>
      <c r="I103" s="384" t="n"/>
      <c r="J103" s="384" t="n"/>
      <c r="K103" s="384" t="n"/>
      <c r="L103" s="384" t="n"/>
      <c r="M103" s="384" t="n"/>
      <c r="N103" s="384" t="n"/>
      <c r="O103" s="384" t="n"/>
      <c r="P103" s="384" t="n"/>
      <c r="Q103" s="384" t="n"/>
      <c r="R103" s="384" t="n"/>
      <c r="S103" s="462">
        <f>IF(_epmOfflineCondition_,"其中：煤炭发电",EPMMemberDesc(U103))</f>
        <v/>
      </c>
      <c r="T103" s="384" t="n"/>
      <c r="U103" s="716" t="inlineStr">
        <is>
          <t>A017010101</t>
        </is>
      </c>
      <c r="V103" s="535">
        <f>IF(_epmOfflineCondition_,"A017010101",EPMOlapMemberO(U103,"[C_ACCOUNT].[PARENTH1].[A017010101]","A017010101 - 其中：煤炭发电","","000"))</f>
        <v/>
      </c>
      <c r="W103" s="384" t="n"/>
      <c r="X103" s="704" t="inlineStr">
        <is>
          <t>其中：燃煤发电</t>
        </is>
      </c>
      <c r="Y103" s="649" t="inlineStr"/>
      <c r="Z103" s="1249">
        <f>Z47-Z75</f>
        <v/>
      </c>
      <c r="AA103" s="1249">
        <f>AA47-AA75</f>
        <v/>
      </c>
      <c r="AB103" s="1249">
        <f>AB47-AB75</f>
        <v/>
      </c>
      <c r="AC103" s="1249">
        <f>Z103-AB103</f>
        <v/>
      </c>
      <c r="AD103" s="1249">
        <f>IF(AB103=0,0,(Z103-AB103)/AB103*100)</f>
        <v/>
      </c>
      <c r="AE103" s="1249">
        <f>AE47-AE75</f>
        <v/>
      </c>
      <c r="AF103" s="1249">
        <f>Z103-AE103</f>
        <v/>
      </c>
      <c r="AG103" s="1249">
        <f>IF(AE103=0,0,(Z103-AE103)/AE103*100)</f>
        <v/>
      </c>
      <c r="AH103" s="1249">
        <f>AH47-AH75</f>
        <v/>
      </c>
      <c r="AI103" s="1249">
        <f>AA103-AH103</f>
        <v/>
      </c>
      <c r="AJ103" s="1249">
        <f>IF(AH103=0,0,(AA103-AH103)/AH103*100)</f>
        <v/>
      </c>
      <c r="AK103" s="1251" t="n"/>
      <c r="AL103" s="1251">
        <f>Z103-AK103</f>
        <v/>
      </c>
      <c r="AM103" s="1251">
        <f>IFERROR(Z103/AK103*100,0)</f>
        <v/>
      </c>
      <c r="AN103" s="1251" t="n"/>
      <c r="AO103" s="1251">
        <f>AA103-AN103</f>
        <v/>
      </c>
      <c r="AP103" s="1251">
        <f>IFERROR(AA103/AN103*100,0)</f>
        <v/>
      </c>
      <c r="AQ103" s="1251" t="n"/>
      <c r="AR103" s="1260">
        <f>AA103-AQ103</f>
        <v/>
      </c>
      <c r="AS103" s="1260">
        <f>IFERROR(AA103/AQ103*100,0)</f>
        <v/>
      </c>
    </row>
    <row r="104">
      <c r="A104" s="384" t="n"/>
      <c r="B104" s="384" t="n"/>
      <c r="C104" s="384" t="n"/>
      <c r="D104" s="384" t="n"/>
      <c r="E104" s="384" t="n"/>
      <c r="F104" s="384" t="n"/>
      <c r="G104" s="384" t="n"/>
      <c r="H104" s="384" t="n"/>
      <c r="I104" s="384" t="n"/>
      <c r="J104" s="384" t="n"/>
      <c r="K104" s="384" t="n"/>
      <c r="L104" s="384" t="n"/>
      <c r="M104" s="384" t="n"/>
      <c r="N104" s="384" t="n"/>
      <c r="O104" s="384" t="n"/>
      <c r="P104" s="384" t="n"/>
      <c r="Q104" s="384" t="n"/>
      <c r="R104" s="384" t="n"/>
      <c r="S104" s="462">
        <f>IF(_epmOfflineCondition_,"光伏发电",EPMMemberDesc(U104))</f>
        <v/>
      </c>
      <c r="T104" s="384" t="n"/>
      <c r="U104" s="716" t="inlineStr">
        <is>
          <t>A017010102</t>
        </is>
      </c>
      <c r="V104" s="535">
        <f>IF(_epmOfflineCondition_,"A017010102",EPMOlapMemberO(U104,"[C_ACCOUNT].[PARENTH1].[A017010102]","A017010102 - 光伏发电","","000"))</f>
        <v/>
      </c>
      <c r="W104" s="384" t="n"/>
      <c r="X104" s="704" t="inlineStr">
        <is>
          <t xml:space="preserve">          光伏发电</t>
        </is>
      </c>
      <c r="Y104" s="649" t="inlineStr"/>
      <c r="Z104" s="1249">
        <f>Z48-Z76</f>
        <v/>
      </c>
      <c r="AA104" s="1249">
        <f>AA48-AA76</f>
        <v/>
      </c>
      <c r="AB104" s="1249">
        <f>AB48-AB76</f>
        <v/>
      </c>
      <c r="AC104" s="1249">
        <f>Z104-AB104</f>
        <v/>
      </c>
      <c r="AD104" s="1249">
        <f>IF(AB104=0,0,(Z104-AB104)/AB104*100)</f>
        <v/>
      </c>
      <c r="AE104" s="1249">
        <f>AE48-AE76</f>
        <v/>
      </c>
      <c r="AF104" s="1249">
        <f>Z104-AE104</f>
        <v/>
      </c>
      <c r="AG104" s="1249">
        <f>IF(AE104=0,0,(Z104-AE104)/AE104*100)</f>
        <v/>
      </c>
      <c r="AH104" s="1249">
        <f>AH48-AH76</f>
        <v/>
      </c>
      <c r="AI104" s="1249">
        <f>AA104-AH104</f>
        <v/>
      </c>
      <c r="AJ104" s="1249">
        <f>IF(AH104=0,0,(AA104-AH104)/AH104*100)</f>
        <v/>
      </c>
      <c r="AK104" s="1251" t="n"/>
      <c r="AL104" s="1251">
        <f>Z104-AK104</f>
        <v/>
      </c>
      <c r="AM104" s="1251">
        <f>IFERROR(Z104/AK104*100,0)</f>
        <v/>
      </c>
      <c r="AN104" s="1251" t="n"/>
      <c r="AO104" s="1251">
        <f>AA104-AN104</f>
        <v/>
      </c>
      <c r="AP104" s="1251">
        <f>IFERROR(AA104/AN104*100,0)</f>
        <v/>
      </c>
      <c r="AQ104" s="1251" t="n"/>
      <c r="AR104" s="1260">
        <f>AA104-AQ104</f>
        <v/>
      </c>
      <c r="AS104" s="1260">
        <f>IFERROR(AA104/AQ104*100,0)</f>
        <v/>
      </c>
    </row>
    <row r="105">
      <c r="A105" s="384" t="n"/>
      <c r="B105" s="384" t="n"/>
      <c r="C105" s="384" t="n"/>
      <c r="D105" s="384" t="n"/>
      <c r="E105" s="384" t="n"/>
      <c r="F105" s="384" t="n"/>
      <c r="G105" s="384" t="n"/>
      <c r="H105" s="384" t="n"/>
      <c r="I105" s="384" t="n"/>
      <c r="J105" s="384" t="n"/>
      <c r="K105" s="384" t="n"/>
      <c r="L105" s="384" t="n"/>
      <c r="M105" s="384" t="n"/>
      <c r="N105" s="384" t="n"/>
      <c r="O105" s="384" t="n"/>
      <c r="P105" s="384" t="n"/>
      <c r="Q105" s="384" t="n"/>
      <c r="R105" s="384" t="n"/>
      <c r="S105" s="462">
        <f>IF(_epmOfflineCondition_,"风力发电",EPMMemberDesc(U105))</f>
        <v/>
      </c>
      <c r="T105" s="384" t="n"/>
      <c r="U105" s="716" t="inlineStr">
        <is>
          <t>A017010103</t>
        </is>
      </c>
      <c r="V105" s="535">
        <f>IF(_epmOfflineCondition_,"A017010103",EPMOlapMemberO(U105,"[C_ACCOUNT].[PARENTH1].[A017010103]","A017010103 - 风力发电","","000"))</f>
        <v/>
      </c>
      <c r="W105" s="384" t="n"/>
      <c r="X105" s="704" t="inlineStr">
        <is>
          <t xml:space="preserve">          风力发电</t>
        </is>
      </c>
      <c r="Y105" s="649" t="inlineStr"/>
      <c r="Z105" s="1249">
        <f>Z49-Z77</f>
        <v/>
      </c>
      <c r="AA105" s="1249">
        <f>AA49-AA77</f>
        <v/>
      </c>
      <c r="AB105" s="1249">
        <f>AB49-AB77</f>
        <v/>
      </c>
      <c r="AC105" s="1249">
        <f>Z105-AB105</f>
        <v/>
      </c>
      <c r="AD105" s="1249">
        <f>IF(AB105=0,0,(Z105-AB105)/AB105*100)</f>
        <v/>
      </c>
      <c r="AE105" s="1249">
        <f>AE49-AE77</f>
        <v/>
      </c>
      <c r="AF105" s="1249">
        <f>Z105-AE105</f>
        <v/>
      </c>
      <c r="AG105" s="1249">
        <f>IF(AE105=0,0,(Z105-AE105)/AE105*100)</f>
        <v/>
      </c>
      <c r="AH105" s="1249">
        <f>AH49-AH77</f>
        <v/>
      </c>
      <c r="AI105" s="1249">
        <f>AA105-AH105</f>
        <v/>
      </c>
      <c r="AJ105" s="1249">
        <f>IF(AH105=0,0,(AA105-AH105)/AH105*100)</f>
        <v/>
      </c>
      <c r="AK105" s="1251" t="n"/>
      <c r="AL105" s="1251">
        <f>Z105-AK105</f>
        <v/>
      </c>
      <c r="AM105" s="1251">
        <f>IFERROR(Z105/AK105*100,0)</f>
        <v/>
      </c>
      <c r="AN105" s="1251" t="n"/>
      <c r="AO105" s="1251">
        <f>AA105-AN105</f>
        <v/>
      </c>
      <c r="AP105" s="1251">
        <f>IFERROR(AA105/AN105*100,0)</f>
        <v/>
      </c>
      <c r="AQ105" s="1251" t="n"/>
      <c r="AR105" s="1260">
        <f>AA105-AQ105</f>
        <v/>
      </c>
      <c r="AS105" s="1260">
        <f>IFERROR(AA105/AQ105*100,0)</f>
        <v/>
      </c>
    </row>
    <row r="106">
      <c r="A106" s="384" t="n"/>
      <c r="B106" s="384" t="n"/>
      <c r="C106" s="384" t="n"/>
      <c r="D106" s="384" t="n"/>
      <c r="E106" s="384" t="n"/>
      <c r="F106" s="384" t="n"/>
      <c r="G106" s="384" t="n"/>
      <c r="H106" s="384" t="n"/>
      <c r="I106" s="384" t="n"/>
      <c r="J106" s="384" t="n"/>
      <c r="K106" s="384" t="n"/>
      <c r="L106" s="384" t="n"/>
      <c r="M106" s="384" t="n"/>
      <c r="N106" s="384" t="n"/>
      <c r="O106" s="384" t="n"/>
      <c r="P106" s="384" t="n"/>
      <c r="Q106" s="384" t="n"/>
      <c r="R106" s="384" t="n"/>
      <c r="S106" s="462">
        <f>IF(_epmOfflineCondition_,"燃气发电",EPMMemberDesc(U106))</f>
        <v/>
      </c>
      <c r="T106" s="384" t="n"/>
      <c r="U106" s="716" t="inlineStr">
        <is>
          <t>A017010104</t>
        </is>
      </c>
      <c r="V106" s="535">
        <f>IF(_epmOfflineCondition_,"A017010104",EPMOlapMemberO(U106,"[C_ACCOUNT].[PARENTH1].[A017010104]","A017010104 - 燃气发电","","000"))</f>
        <v/>
      </c>
      <c r="W106" s="384" t="n"/>
      <c r="X106" s="704" t="inlineStr">
        <is>
          <t xml:space="preserve">          燃气发电</t>
        </is>
      </c>
      <c r="Y106" s="649" t="inlineStr"/>
      <c r="Z106" s="1249">
        <f>Z50-Z78</f>
        <v/>
      </c>
      <c r="AA106" s="1249">
        <f>AA50-AA78</f>
        <v/>
      </c>
      <c r="AB106" s="1249">
        <f>AB50-AB78</f>
        <v/>
      </c>
      <c r="AC106" s="1249">
        <f>Z106-AB106</f>
        <v/>
      </c>
      <c r="AD106" s="1249">
        <f>IF(AB106=0,0,(Z106-AB106)/AB106*100)</f>
        <v/>
      </c>
      <c r="AE106" s="1249">
        <f>AE50-AE78</f>
        <v/>
      </c>
      <c r="AF106" s="1249">
        <f>Z106-AE106</f>
        <v/>
      </c>
      <c r="AG106" s="1249">
        <f>IF(AE106=0,0,(Z106-AE106)/AE106*100)</f>
        <v/>
      </c>
      <c r="AH106" s="1249">
        <f>AH50-AH78</f>
        <v/>
      </c>
      <c r="AI106" s="1249">
        <f>AA106-AH106</f>
        <v/>
      </c>
      <c r="AJ106" s="1249">
        <f>IF(AH106=0,0,(AA106-AH106)/AH106*100)</f>
        <v/>
      </c>
      <c r="AK106" s="1251" t="n"/>
      <c r="AL106" s="1251">
        <f>Z106-AK106</f>
        <v/>
      </c>
      <c r="AM106" s="1251">
        <f>IFERROR(Z106/AK106*100,0)</f>
        <v/>
      </c>
      <c r="AN106" s="1251" t="n"/>
      <c r="AO106" s="1251">
        <f>AA106-AN106</f>
        <v/>
      </c>
      <c r="AP106" s="1251">
        <f>IFERROR(AA106/AN106*100,0)</f>
        <v/>
      </c>
      <c r="AQ106" s="1251" t="n"/>
      <c r="AR106" s="1260">
        <f>AA106-AQ106</f>
        <v/>
      </c>
      <c r="AS106" s="1260">
        <f>IFERROR(AA106/AQ106*100,0)</f>
        <v/>
      </c>
    </row>
    <row r="107">
      <c r="A107" s="384" t="n"/>
      <c r="B107" s="384" t="n"/>
      <c r="C107" s="384" t="n"/>
      <c r="D107" s="384" t="n"/>
      <c r="E107" s="384" t="n"/>
      <c r="F107" s="384" t="n"/>
      <c r="G107" s="384" t="n"/>
      <c r="H107" s="384" t="n"/>
      <c r="I107" s="384" t="n"/>
      <c r="J107" s="384" t="n"/>
      <c r="K107" s="384" t="n"/>
      <c r="L107" s="384" t="n"/>
      <c r="M107" s="384" t="n"/>
      <c r="N107" s="384" t="n"/>
      <c r="O107" s="384" t="n"/>
      <c r="P107" s="384" t="n"/>
      <c r="Q107" s="384" t="n"/>
      <c r="R107" s="384" t="n"/>
      <c r="S107" s="462">
        <f>IF(_epmOfflineCondition_,"水力发电",EPMMemberDesc(U107))</f>
        <v/>
      </c>
      <c r="T107" s="384" t="n"/>
      <c r="U107" s="716" t="inlineStr">
        <is>
          <t>A017010105</t>
        </is>
      </c>
      <c r="V107" s="535">
        <f>IF(_epmOfflineCondition_,"A017010105",EPMOlapMemberO(U107,"[C_ACCOUNT].[PARENTH1].[A017010105]","A017010105 - 水力发电","","000"))</f>
        <v/>
      </c>
      <c r="W107" s="384" t="n"/>
      <c r="X107" s="704" t="inlineStr">
        <is>
          <t xml:space="preserve">          水力发电</t>
        </is>
      </c>
      <c r="Y107" s="649" t="inlineStr"/>
      <c r="Z107" s="1249">
        <f>Z51-Z79</f>
        <v/>
      </c>
      <c r="AA107" s="1249">
        <f>AA51-AA79</f>
        <v/>
      </c>
      <c r="AB107" s="1249">
        <f>AB51-AB79</f>
        <v/>
      </c>
      <c r="AC107" s="1249">
        <f>Z107-AB107</f>
        <v/>
      </c>
      <c r="AD107" s="1249">
        <f>IF(AB107=0,0,(Z107-AB107)/AB107*100)</f>
        <v/>
      </c>
      <c r="AE107" s="1249">
        <f>AE51-AE79</f>
        <v/>
      </c>
      <c r="AF107" s="1249">
        <f>Z107-AE107</f>
        <v/>
      </c>
      <c r="AG107" s="1249">
        <f>IF(AE107=0,0,(Z107-AE107)/AE107*100)</f>
        <v/>
      </c>
      <c r="AH107" s="1249">
        <f>AH51-AH79</f>
        <v/>
      </c>
      <c r="AI107" s="1249">
        <f>AA107-AH107</f>
        <v/>
      </c>
      <c r="AJ107" s="1249">
        <f>IF(AH107=0,0,(AA107-AH107)/AH107*100)</f>
        <v/>
      </c>
      <c r="AK107" s="1251" t="n"/>
      <c r="AL107" s="1251">
        <f>Z107-AK107</f>
        <v/>
      </c>
      <c r="AM107" s="1251">
        <f>IFERROR(Z107/AK107*100,0)</f>
        <v/>
      </c>
      <c r="AN107" s="1251" t="n"/>
      <c r="AO107" s="1251">
        <f>AA107-AN107</f>
        <v/>
      </c>
      <c r="AP107" s="1251">
        <f>IFERROR(AA107/AN107*100,0)</f>
        <v/>
      </c>
      <c r="AQ107" s="1251" t="n"/>
      <c r="AR107" s="1260">
        <f>AA107-AQ107</f>
        <v/>
      </c>
      <c r="AS107" s="1260">
        <f>IFERROR(AA107/AQ107*100,0)</f>
        <v/>
      </c>
    </row>
    <row r="108">
      <c r="A108" s="384" t="n"/>
      <c r="B108" s="384" t="n"/>
      <c r="C108" s="384" t="n"/>
      <c r="D108" s="384" t="n"/>
      <c r="E108" s="384" t="n"/>
      <c r="F108" s="384" t="n"/>
      <c r="G108" s="384" t="n"/>
      <c r="H108" s="384" t="n"/>
      <c r="I108" s="384" t="n"/>
      <c r="J108" s="384" t="n"/>
      <c r="K108" s="384" t="n"/>
      <c r="L108" s="384" t="n"/>
      <c r="M108" s="384" t="n"/>
      <c r="N108" s="384" t="n"/>
      <c r="O108" s="384" t="n"/>
      <c r="P108" s="384" t="n"/>
      <c r="Q108" s="384" t="n"/>
      <c r="R108" s="384" t="n"/>
      <c r="S108" s="462">
        <f>IF(_epmOfflineCondition_,"供热",EPMMemberDesc(U108))</f>
        <v/>
      </c>
      <c r="T108" s="384" t="n"/>
      <c r="U108" s="716" t="inlineStr">
        <is>
          <t>A0170102</t>
        </is>
      </c>
      <c r="V108" s="455">
        <f>IF(_epmOfflineCondition_,"A0170102",EPMOlapMemberO(U108,"[C_ACCOUNT].[PARENTH1].[A0170102]","A0170102 - 供热","","000"))</f>
        <v/>
      </c>
      <c r="W108" s="384" t="n"/>
      <c r="X108" s="705" t="inlineStr">
        <is>
          <t>供热毛利</t>
        </is>
      </c>
      <c r="Y108" s="649" t="inlineStr"/>
      <c r="Z108" s="1249">
        <f>Z52-Z80</f>
        <v/>
      </c>
      <c r="AA108" s="1249">
        <f>AA52-AA80</f>
        <v/>
      </c>
      <c r="AB108" s="1249">
        <f>AB52-AB80</f>
        <v/>
      </c>
      <c r="AC108" s="1249">
        <f>Z108-AB108</f>
        <v/>
      </c>
      <c r="AD108" s="1249">
        <f>IF(AB108=0,0,(Z108-AB108)/AB108*100)</f>
        <v/>
      </c>
      <c r="AE108" s="1249">
        <f>AE52-AE80</f>
        <v/>
      </c>
      <c r="AF108" s="1249">
        <f>Z108-AE108</f>
        <v/>
      </c>
      <c r="AG108" s="1249">
        <f>IF(AE108=0,0,(Z108-AE108)/AE108*100)</f>
        <v/>
      </c>
      <c r="AH108" s="1249">
        <f>AH52-AH80</f>
        <v/>
      </c>
      <c r="AI108" s="1249">
        <f>AA108-AH108</f>
        <v/>
      </c>
      <c r="AJ108" s="1249">
        <f>IF(AH108=0,0,(AA108-AH108)/AH108*100)</f>
        <v/>
      </c>
      <c r="AK108" s="1251" t="n"/>
      <c r="AL108" s="1251">
        <f>Z108-AK108</f>
        <v/>
      </c>
      <c r="AM108" s="1251">
        <f>IFERROR(Z108/AK108*100,0)</f>
        <v/>
      </c>
      <c r="AN108" s="1251" t="n"/>
      <c r="AO108" s="1251">
        <f>AA108-AN108</f>
        <v/>
      </c>
      <c r="AP108" s="1251">
        <f>IFERROR(AA108/AN108*100,0)</f>
        <v/>
      </c>
      <c r="AQ108" s="1251" t="n"/>
      <c r="AR108" s="1260">
        <f>AA108-AQ108</f>
        <v/>
      </c>
      <c r="AS108" s="1260">
        <f>IFERROR(AA108/AQ108*100,0)</f>
        <v/>
      </c>
    </row>
    <row r="109">
      <c r="A109" s="384" t="n"/>
      <c r="B109" s="384" t="n"/>
      <c r="C109" s="384" t="n"/>
      <c r="D109" s="384" t="n"/>
      <c r="E109" s="384" t="n"/>
      <c r="F109" s="384" t="n"/>
      <c r="G109" s="384" t="n"/>
      <c r="H109" s="384" t="n"/>
      <c r="I109" s="384" t="n"/>
      <c r="J109" s="384" t="n"/>
      <c r="K109" s="384" t="n"/>
      <c r="L109" s="384" t="n"/>
      <c r="M109" s="384" t="n"/>
      <c r="N109" s="384" t="n"/>
      <c r="O109" s="384" t="n"/>
      <c r="P109" s="384" t="n"/>
      <c r="Q109" s="384" t="n"/>
      <c r="R109" s="384" t="n"/>
      <c r="S109" s="462">
        <f>IF(_epmOfflineCondition_,"供热设备",EPMMemberDesc(U109))</f>
        <v/>
      </c>
      <c r="T109" s="384" t="n"/>
      <c r="U109" s="716" t="inlineStr">
        <is>
          <t>A0170103</t>
        </is>
      </c>
      <c r="V109" s="455">
        <f>IF(_epmOfflineCondition_,"A0170103",EPMOlapMemberO(U109,"[C_ACCOUNT].[PARENTH1].[A0170103]","A0170103 - 供热设备","","000"))</f>
        <v/>
      </c>
      <c r="W109" s="384" t="n"/>
      <c r="X109" s="705" t="inlineStr">
        <is>
          <t>供热设备</t>
        </is>
      </c>
      <c r="Y109" s="649" t="inlineStr"/>
      <c r="Z109" s="1249">
        <f>Z53-Z81</f>
        <v/>
      </c>
      <c r="AA109" s="1249">
        <f>AA53-AA81</f>
        <v/>
      </c>
      <c r="AB109" s="1249">
        <f>AB53-AB81</f>
        <v/>
      </c>
      <c r="AC109" s="1249">
        <f>Z109-AB109</f>
        <v/>
      </c>
      <c r="AD109" s="1249">
        <f>IF(AB109=0,0,(Z109-AB109)/AB109*100)</f>
        <v/>
      </c>
      <c r="AE109" s="1249">
        <f>AE53-AE81</f>
        <v/>
      </c>
      <c r="AF109" s="1249">
        <f>Z109-AE109</f>
        <v/>
      </c>
      <c r="AG109" s="1249">
        <f>IF(AE109=0,0,(Z109-AE109)/AE109*100)</f>
        <v/>
      </c>
      <c r="AH109" s="1249">
        <f>AH53-AH81</f>
        <v/>
      </c>
      <c r="AI109" s="1249">
        <f>AA109-AH109</f>
        <v/>
      </c>
      <c r="AJ109" s="1249">
        <f>IF(AH109=0,0,(AA109-AH109)/AH109*100)</f>
        <v/>
      </c>
      <c r="AK109" s="1251" t="n"/>
      <c r="AL109" s="1251">
        <f>Z109-AK109</f>
        <v/>
      </c>
      <c r="AM109" s="1251">
        <f>IFERROR(Z109/AK109*100,0)</f>
        <v/>
      </c>
      <c r="AN109" s="1251" t="n"/>
      <c r="AO109" s="1251">
        <f>AA109-AN109</f>
        <v/>
      </c>
      <c r="AP109" s="1251">
        <f>IFERROR(AA109/AN109*100,0)</f>
        <v/>
      </c>
      <c r="AQ109" s="1251" t="n"/>
      <c r="AR109" s="1260">
        <f>AA109-AQ109</f>
        <v/>
      </c>
      <c r="AS109" s="1260">
        <f>IFERROR(AA109/AQ109*100,0)</f>
        <v/>
      </c>
    </row>
    <row r="110">
      <c r="A110" s="384" t="n"/>
      <c r="B110" s="384" t="n"/>
      <c r="C110" s="384" t="n"/>
      <c r="D110" s="384" t="n"/>
      <c r="E110" s="384" t="n"/>
      <c r="F110" s="384" t="n"/>
      <c r="G110" s="384" t="n"/>
      <c r="H110" s="384" t="n"/>
      <c r="I110" s="384" t="n"/>
      <c r="J110" s="384" t="n"/>
      <c r="K110" s="384" t="n"/>
      <c r="L110" s="384" t="n"/>
      <c r="M110" s="384" t="n"/>
      <c r="N110" s="384" t="n"/>
      <c r="O110" s="384" t="n"/>
      <c r="P110" s="384" t="n"/>
      <c r="Q110" s="384" t="n"/>
      <c r="R110" s="384" t="n"/>
      <c r="S110" s="462">
        <f>IF(_epmOfflineCondition_,"煤炭及煤炭制品",EPMMemberDesc(U110))</f>
        <v/>
      </c>
      <c r="T110" s="384" t="n"/>
      <c r="U110" s="716" t="inlineStr">
        <is>
          <t>A0170104</t>
        </is>
      </c>
      <c r="V110" s="455">
        <f>IF(_epmOfflineCondition_,"A0170104",EPMOlapMemberO(U110,"[C_ACCOUNT].[PARENTH1].[A0170104]","A0170104 - 煤炭及煤炭制品","","000"))</f>
        <v/>
      </c>
      <c r="W110" s="384" t="n"/>
      <c r="X110" s="705" t="inlineStr">
        <is>
          <t>煤炭及煤炭制品</t>
        </is>
      </c>
      <c r="Y110" s="649" t="inlineStr"/>
      <c r="Z110" s="1249">
        <f>Z54-Z82</f>
        <v/>
      </c>
      <c r="AA110" s="1249">
        <f>AA54-AA82</f>
        <v/>
      </c>
      <c r="AB110" s="1249">
        <f>AB54-AB82</f>
        <v/>
      </c>
      <c r="AC110" s="1249">
        <f>Z110-AB110</f>
        <v/>
      </c>
      <c r="AD110" s="1249">
        <f>IF(AB110=0,0,(Z110-AB110)/AB110*100)</f>
        <v/>
      </c>
      <c r="AE110" s="1249">
        <f>AE54-AE82</f>
        <v/>
      </c>
      <c r="AF110" s="1249">
        <f>Z110-AE110</f>
        <v/>
      </c>
      <c r="AG110" s="1249">
        <f>IF(AE110=0,0,(Z110-AE110)/AE110*100)</f>
        <v/>
      </c>
      <c r="AH110" s="1249">
        <f>AH54-AH82</f>
        <v/>
      </c>
      <c r="AI110" s="1249">
        <f>AA110-AH110</f>
        <v/>
      </c>
      <c r="AJ110" s="1249">
        <f>IF(AH110=0,0,(AA110-AH110)/AH110*100)</f>
        <v/>
      </c>
      <c r="AK110" s="1251" t="n"/>
      <c r="AL110" s="1251">
        <f>Z110-AK110</f>
        <v/>
      </c>
      <c r="AM110" s="1251">
        <f>IFERROR(Z110/AK110*100,0)</f>
        <v/>
      </c>
      <c r="AN110" s="1251" t="n"/>
      <c r="AO110" s="1251">
        <f>AA110-AN110</f>
        <v/>
      </c>
      <c r="AP110" s="1251">
        <f>IFERROR(AA110/AN110*100,0)</f>
        <v/>
      </c>
      <c r="AQ110" s="1251" t="n"/>
      <c r="AR110" s="1260">
        <f>AA110-AQ110</f>
        <v/>
      </c>
      <c r="AS110" s="1260">
        <f>IFERROR(AA110/AQ110*100,0)</f>
        <v/>
      </c>
    </row>
    <row r="111">
      <c r="A111" s="384" t="n"/>
      <c r="B111" s="384" t="n"/>
      <c r="C111" s="384" t="n"/>
      <c r="D111" s="384" t="n"/>
      <c r="E111" s="384" t="n"/>
      <c r="F111" s="384" t="n"/>
      <c r="G111" s="384" t="n"/>
      <c r="H111" s="384" t="n"/>
      <c r="I111" s="384" t="n"/>
      <c r="J111" s="384" t="n"/>
      <c r="K111" s="384" t="n"/>
      <c r="L111" s="384" t="n"/>
      <c r="M111" s="384" t="n"/>
      <c r="N111" s="384" t="n"/>
      <c r="O111" s="384" t="n"/>
      <c r="P111" s="384" t="n"/>
      <c r="Q111" s="384" t="n"/>
      <c r="R111" s="384" t="n"/>
      <c r="S111" s="462">
        <f>IF(_epmOfflineCondition_,"经营租赁",EPMMemberDesc(U111))</f>
        <v/>
      </c>
      <c r="T111" s="384" t="n"/>
      <c r="U111" s="716" t="inlineStr">
        <is>
          <t>A0170105</t>
        </is>
      </c>
      <c r="V111" s="455">
        <f>IF(_epmOfflineCondition_,"A0170105",EPMOlapMemberO(U111,"[C_ACCOUNT].[PARENTH1].[A0170105]","A0170105 - 经营租赁","","000"))</f>
        <v/>
      </c>
      <c r="W111" s="384" t="n"/>
      <c r="X111" s="705" t="inlineStr">
        <is>
          <t>经营租赁</t>
        </is>
      </c>
      <c r="Y111" s="649" t="inlineStr"/>
      <c r="Z111" s="1249">
        <f>Z55-Z83</f>
        <v/>
      </c>
      <c r="AA111" s="1249">
        <f>AA55-AA83</f>
        <v/>
      </c>
      <c r="AB111" s="1249">
        <f>AB55-AB83</f>
        <v/>
      </c>
      <c r="AC111" s="1249">
        <f>Z111-AB111</f>
        <v/>
      </c>
      <c r="AD111" s="1249">
        <f>IF(AB111=0,0,(Z111-AB111)/AB111*100)</f>
        <v/>
      </c>
      <c r="AE111" s="1249">
        <f>AE55-AE83</f>
        <v/>
      </c>
      <c r="AF111" s="1249">
        <f>Z111-AE111</f>
        <v/>
      </c>
      <c r="AG111" s="1249">
        <f>IF(AE111=0,0,(Z111-AE111)/AE111*100)</f>
        <v/>
      </c>
      <c r="AH111" s="1249">
        <f>AH55-AH83</f>
        <v/>
      </c>
      <c r="AI111" s="1249">
        <f>AA111-AH111</f>
        <v/>
      </c>
      <c r="AJ111" s="1249">
        <f>IF(AH111=0,0,(AA111-AH111)/AH111*100)</f>
        <v/>
      </c>
      <c r="AK111" s="1251" t="n"/>
      <c r="AL111" s="1251">
        <f>Z111-AK111</f>
        <v/>
      </c>
      <c r="AM111" s="1251">
        <f>IFERROR(Z111/AK111*100,0)</f>
        <v/>
      </c>
      <c r="AN111" s="1251" t="n"/>
      <c r="AO111" s="1251">
        <f>AA111-AN111</f>
        <v/>
      </c>
      <c r="AP111" s="1251">
        <f>IFERROR(AA111/AN111*100,0)</f>
        <v/>
      </c>
      <c r="AQ111" s="1251" t="n"/>
      <c r="AR111" s="1260">
        <f>AA111-AQ111</f>
        <v/>
      </c>
      <c r="AS111" s="1260">
        <f>IFERROR(AA111/AQ111*100,0)</f>
        <v/>
      </c>
    </row>
    <row r="112">
      <c r="A112" s="384" t="n"/>
      <c r="B112" s="384" t="n"/>
      <c r="C112" s="384" t="n"/>
      <c r="D112" s="384" t="n"/>
      <c r="E112" s="384" t="n"/>
      <c r="F112" s="384" t="n"/>
      <c r="G112" s="384" t="n"/>
      <c r="H112" s="384" t="n"/>
      <c r="I112" s="384" t="n"/>
      <c r="J112" s="384" t="n"/>
      <c r="K112" s="384" t="n"/>
      <c r="L112" s="384" t="n"/>
      <c r="M112" s="384" t="n"/>
      <c r="N112" s="384" t="n"/>
      <c r="O112" s="384" t="n"/>
      <c r="P112" s="384" t="n"/>
      <c r="Q112" s="384" t="n"/>
      <c r="R112" s="384" t="n"/>
      <c r="S112" s="462">
        <f>IF(_epmOfflineCondition_,"物业服务",EPMMemberDesc(U112))</f>
        <v/>
      </c>
      <c r="T112" s="384" t="n"/>
      <c r="U112" s="716" t="inlineStr">
        <is>
          <t>A0170106</t>
        </is>
      </c>
      <c r="V112" s="455">
        <f>IF(_epmOfflineCondition_,"A0170106",EPMOlapMemberO(U112,"[C_ACCOUNT].[PARENTH1].[A0170106]","A0170106 - 物业服务","","000"))</f>
        <v/>
      </c>
      <c r="W112" s="384" t="n"/>
      <c r="X112" s="705" t="inlineStr">
        <is>
          <t>物业服务</t>
        </is>
      </c>
      <c r="Y112" s="649" t="inlineStr"/>
      <c r="Z112" s="1249">
        <f>Z56-Z84</f>
        <v/>
      </c>
      <c r="AA112" s="1249">
        <f>AA56-AA84</f>
        <v/>
      </c>
      <c r="AB112" s="1249">
        <f>AB56-AB84</f>
        <v/>
      </c>
      <c r="AC112" s="1249">
        <f>Z112-AB112</f>
        <v/>
      </c>
      <c r="AD112" s="1249">
        <f>IF(AB112=0,0,(Z112-AB112)/AB112*100)</f>
        <v/>
      </c>
      <c r="AE112" s="1249">
        <f>AE56-AE84</f>
        <v/>
      </c>
      <c r="AF112" s="1249">
        <f>Z112-AE112</f>
        <v/>
      </c>
      <c r="AG112" s="1249">
        <f>IF(AE112=0,0,(Z112-AE112)/AE112*100)</f>
        <v/>
      </c>
      <c r="AH112" s="1249">
        <f>AH56-AH84</f>
        <v/>
      </c>
      <c r="AI112" s="1249">
        <f>AA112-AH112</f>
        <v/>
      </c>
      <c r="AJ112" s="1249">
        <f>IF(AH112=0,0,(AA112-AH112)/AH112*100)</f>
        <v/>
      </c>
      <c r="AK112" s="1251" t="n"/>
      <c r="AL112" s="1251">
        <f>Z112-AK112</f>
        <v/>
      </c>
      <c r="AM112" s="1251">
        <f>IFERROR(Z112/AK112*100,0)</f>
        <v/>
      </c>
      <c r="AN112" s="1251" t="n"/>
      <c r="AO112" s="1251">
        <f>AA112-AN112</f>
        <v/>
      </c>
      <c r="AP112" s="1251">
        <f>IFERROR(AA112/AN112*100,0)</f>
        <v/>
      </c>
      <c r="AQ112" s="1251" t="n"/>
      <c r="AR112" s="1260">
        <f>AA112-AQ112</f>
        <v/>
      </c>
      <c r="AS112" s="1260">
        <f>IFERROR(AA112/AQ112*100,0)</f>
        <v/>
      </c>
    </row>
    <row r="113">
      <c r="A113" s="384" t="n"/>
      <c r="B113" s="384" t="n"/>
      <c r="C113" s="384" t="n"/>
      <c r="D113" s="384" t="n"/>
      <c r="E113" s="384" t="n"/>
      <c r="F113" s="384" t="n"/>
      <c r="G113" s="384" t="n"/>
      <c r="H113" s="384" t="n"/>
      <c r="I113" s="384" t="n"/>
      <c r="J113" s="384" t="n"/>
      <c r="K113" s="384" t="n"/>
      <c r="L113" s="384" t="n"/>
      <c r="M113" s="384" t="n"/>
      <c r="N113" s="384" t="n"/>
      <c r="O113" s="384" t="n"/>
      <c r="P113" s="384" t="n"/>
      <c r="Q113" s="384" t="n"/>
      <c r="R113" s="384" t="n"/>
      <c r="S113" s="462">
        <f>IF(_epmOfflineCondition_,"酒店餐饮娱乐",EPMMemberDesc(U113))</f>
        <v/>
      </c>
      <c r="T113" s="384" t="n"/>
      <c r="U113" s="716" t="inlineStr">
        <is>
          <t>A0170107</t>
        </is>
      </c>
      <c r="V113" s="455">
        <f>IF(_epmOfflineCondition_,"A0170107",EPMOlapMemberO(U113,"[C_ACCOUNT].[PARENTH1].[A0170107]","A0170107 - 酒店餐饮娱乐","","000"))</f>
        <v/>
      </c>
      <c r="W113" s="384" t="n"/>
      <c r="X113" s="705" t="inlineStr">
        <is>
          <t>酒店餐饮娱乐</t>
        </is>
      </c>
      <c r="Y113" s="649" t="inlineStr"/>
      <c r="Z113" s="1249">
        <f>Z57-Z85</f>
        <v/>
      </c>
      <c r="AA113" s="1249">
        <f>AA57-AA85</f>
        <v/>
      </c>
      <c r="AB113" s="1249">
        <f>AB57-AB85</f>
        <v/>
      </c>
      <c r="AC113" s="1249">
        <f>Z113-AB113</f>
        <v/>
      </c>
      <c r="AD113" s="1249">
        <f>IF(AB113=0,0,(Z113-AB113)/AB113*100)</f>
        <v/>
      </c>
      <c r="AE113" s="1249">
        <f>AE57-AE85</f>
        <v/>
      </c>
      <c r="AF113" s="1249">
        <f>Z113-AE113</f>
        <v/>
      </c>
      <c r="AG113" s="1249">
        <f>IF(AE113=0,0,(Z113-AE113)/AE113*100)</f>
        <v/>
      </c>
      <c r="AH113" s="1249">
        <f>AH57-AH85</f>
        <v/>
      </c>
      <c r="AI113" s="1249">
        <f>AA113-AH113</f>
        <v/>
      </c>
      <c r="AJ113" s="1249">
        <f>IF(AH113=0,0,(AA113-AH113)/AH113*100)</f>
        <v/>
      </c>
      <c r="AK113" s="1251" t="n"/>
      <c r="AL113" s="1251">
        <f>Z113-AK113</f>
        <v/>
      </c>
      <c r="AM113" s="1251">
        <f>IFERROR(Z113/AK113*100,0)</f>
        <v/>
      </c>
      <c r="AN113" s="1251" t="n"/>
      <c r="AO113" s="1251">
        <f>AA113-AN113</f>
        <v/>
      </c>
      <c r="AP113" s="1251">
        <f>IFERROR(AA113/AN113*100,0)</f>
        <v/>
      </c>
      <c r="AQ113" s="1251" t="n"/>
      <c r="AR113" s="1260">
        <f>AA113-AQ113</f>
        <v/>
      </c>
      <c r="AS113" s="1260">
        <f>IFERROR(AA113/AQ113*100,0)</f>
        <v/>
      </c>
    </row>
    <row r="114">
      <c r="A114" s="384" t="n"/>
      <c r="B114" s="384" t="n"/>
      <c r="C114" s="384" t="n"/>
      <c r="D114" s="384" t="n"/>
      <c r="E114" s="384" t="n"/>
      <c r="F114" s="384" t="n"/>
      <c r="G114" s="384" t="n"/>
      <c r="H114" s="384" t="n"/>
      <c r="I114" s="384" t="n"/>
      <c r="J114" s="384" t="n"/>
      <c r="K114" s="384" t="n"/>
      <c r="L114" s="384" t="n"/>
      <c r="M114" s="384" t="n"/>
      <c r="N114" s="384" t="n"/>
      <c r="O114" s="384" t="n"/>
      <c r="P114" s="384" t="n"/>
      <c r="Q114" s="384" t="n"/>
      <c r="R114" s="384" t="n"/>
      <c r="S114" s="462">
        <f>IF(_epmOfflineCondition_,"旅游服务",EPMMemberDesc(U114))</f>
        <v/>
      </c>
      <c r="T114" s="384" t="n"/>
      <c r="U114" s="716" t="inlineStr">
        <is>
          <t>A0170108</t>
        </is>
      </c>
      <c r="V114" s="455">
        <f>IF(_epmOfflineCondition_,"A0170108",EPMOlapMemberO(U114,"[C_ACCOUNT].[PARENTH1].[A0170108]","A0170108 - 旅游服务","","000"))</f>
        <v/>
      </c>
      <c r="W114" s="384" t="n"/>
      <c r="X114" s="705" t="inlineStr">
        <is>
          <t>旅游服务</t>
        </is>
      </c>
      <c r="Y114" s="649" t="inlineStr"/>
      <c r="Z114" s="1249">
        <f>Z58-Z86</f>
        <v/>
      </c>
      <c r="AA114" s="1249">
        <f>AA58-AA86</f>
        <v/>
      </c>
      <c r="AB114" s="1249">
        <f>AB58-AB86</f>
        <v/>
      </c>
      <c r="AC114" s="1249">
        <f>Z114-AB114</f>
        <v/>
      </c>
      <c r="AD114" s="1249">
        <f>IF(AB114=0,0,(Z114-AB114)/AB114*100)</f>
        <v/>
      </c>
      <c r="AE114" s="1249">
        <f>AE58-AE86</f>
        <v/>
      </c>
      <c r="AF114" s="1249">
        <f>Z114-AE114</f>
        <v/>
      </c>
      <c r="AG114" s="1249">
        <f>IF(AE114=0,0,(Z114-AE114)/AE114*100)</f>
        <v/>
      </c>
      <c r="AH114" s="1249">
        <f>AH58-AH86</f>
        <v/>
      </c>
      <c r="AI114" s="1249">
        <f>AA114-AH114</f>
        <v/>
      </c>
      <c r="AJ114" s="1249">
        <f>IF(AH114=0,0,(AA114-AH114)/AH114*100)</f>
        <v/>
      </c>
      <c r="AK114" s="1251" t="n"/>
      <c r="AL114" s="1251">
        <f>Z114-AK114</f>
        <v/>
      </c>
      <c r="AM114" s="1251">
        <f>IFERROR(Z114/AK114*100,0)</f>
        <v/>
      </c>
      <c r="AN114" s="1251" t="n"/>
      <c r="AO114" s="1251">
        <f>AA114-AN114</f>
        <v/>
      </c>
      <c r="AP114" s="1251">
        <f>IFERROR(AA114/AN114*100,0)</f>
        <v/>
      </c>
      <c r="AQ114" s="1251" t="n"/>
      <c r="AR114" s="1260">
        <f>AA114-AQ114</f>
        <v/>
      </c>
      <c r="AS114" s="1260">
        <f>IFERROR(AA114/AQ114*100,0)</f>
        <v/>
      </c>
    </row>
    <row r="115">
      <c r="A115" s="384" t="n"/>
      <c r="B115" s="384" t="n"/>
      <c r="C115" s="384" t="n"/>
      <c r="D115" s="384" t="n"/>
      <c r="E115" s="384" t="n"/>
      <c r="F115" s="384" t="n"/>
      <c r="G115" s="384" t="n"/>
      <c r="H115" s="384" t="n"/>
      <c r="I115" s="384" t="n"/>
      <c r="J115" s="384" t="n"/>
      <c r="K115" s="384" t="n"/>
      <c r="L115" s="384" t="n"/>
      <c r="M115" s="384" t="n"/>
      <c r="N115" s="384" t="n"/>
      <c r="O115" s="384" t="n"/>
      <c r="P115" s="384" t="n"/>
      <c r="Q115" s="384" t="n"/>
      <c r="R115" s="384" t="n"/>
      <c r="S115" s="462">
        <f>IF(_epmOfflineCondition_,"会展服务",EPMMemberDesc(U115))</f>
        <v/>
      </c>
      <c r="T115" s="384" t="n"/>
      <c r="U115" s="716" t="inlineStr">
        <is>
          <t>A0170109</t>
        </is>
      </c>
      <c r="V115" s="455">
        <f>IF(_epmOfflineCondition_,"A0170109",EPMOlapMemberO(U115,"[C_ACCOUNT].[PARENTH1].[A0170109]","A0170109 - 会展服务","","000"))</f>
        <v/>
      </c>
      <c r="W115" s="384" t="n"/>
      <c r="X115" s="705" t="inlineStr">
        <is>
          <t>会展服务</t>
        </is>
      </c>
      <c r="Y115" s="649" t="inlineStr"/>
      <c r="Z115" s="1249">
        <f>Z59-Z87</f>
        <v/>
      </c>
      <c r="AA115" s="1249">
        <f>AA59-AA87</f>
        <v/>
      </c>
      <c r="AB115" s="1249">
        <f>AB59-AB87</f>
        <v/>
      </c>
      <c r="AC115" s="1249">
        <f>Z115-AB115</f>
        <v/>
      </c>
      <c r="AD115" s="1249">
        <f>IF(AB115=0,0,(Z115-AB115)/AB115*100)</f>
        <v/>
      </c>
      <c r="AE115" s="1249">
        <f>AE59-AE87</f>
        <v/>
      </c>
      <c r="AF115" s="1249">
        <f>Z115-AE115</f>
        <v/>
      </c>
      <c r="AG115" s="1249">
        <f>IF(AE115=0,0,(Z115-AE115)/AE115*100)</f>
        <v/>
      </c>
      <c r="AH115" s="1249">
        <f>AH59-AH87</f>
        <v/>
      </c>
      <c r="AI115" s="1249">
        <f>AA115-AH115</f>
        <v/>
      </c>
      <c r="AJ115" s="1249">
        <f>IF(AH115=0,0,(AA115-AH115)/AH115*100)</f>
        <v/>
      </c>
      <c r="AK115" s="1251" t="n"/>
      <c r="AL115" s="1251">
        <f>Z115-AK115</f>
        <v/>
      </c>
      <c r="AM115" s="1251">
        <f>IFERROR(Z115/AK115*100,0)</f>
        <v/>
      </c>
      <c r="AN115" s="1251" t="n"/>
      <c r="AO115" s="1251">
        <f>AA115-AN115</f>
        <v/>
      </c>
      <c r="AP115" s="1251">
        <f>IFERROR(AA115/AN115*100,0)</f>
        <v/>
      </c>
      <c r="AQ115" s="1251" t="n"/>
      <c r="AR115" s="1260">
        <f>AA115-AQ115</f>
        <v/>
      </c>
      <c r="AS115" s="1260">
        <f>IFERROR(AA115/AQ115*100,0)</f>
        <v/>
      </c>
    </row>
    <row r="116">
      <c r="A116" s="384" t="n"/>
      <c r="B116" s="384" t="n"/>
      <c r="C116" s="384" t="n"/>
      <c r="D116" s="384" t="n"/>
      <c r="E116" s="384" t="n"/>
      <c r="F116" s="384" t="n"/>
      <c r="G116" s="384" t="n"/>
      <c r="H116" s="384" t="n"/>
      <c r="I116" s="384" t="n"/>
      <c r="J116" s="384" t="n"/>
      <c r="K116" s="384" t="n"/>
      <c r="L116" s="384" t="n"/>
      <c r="M116" s="384" t="n"/>
      <c r="N116" s="384" t="n"/>
      <c r="O116" s="384" t="n"/>
      <c r="P116" s="384" t="n"/>
      <c r="Q116" s="384" t="n"/>
      <c r="R116" s="384" t="n"/>
      <c r="S116" s="462">
        <f>IF(_epmOfflineCondition_,"医事服务",EPMMemberDesc(U116))</f>
        <v/>
      </c>
      <c r="T116" s="384" t="n"/>
      <c r="U116" s="716" t="inlineStr">
        <is>
          <t>A0170110</t>
        </is>
      </c>
      <c r="V116" s="455">
        <f>IF(_epmOfflineCondition_,"A0170110",EPMOlapMemberO(U116,"[C_ACCOUNT].[PARENTH1].[A0170110]","A0170110 - 医事服务","","000"))</f>
        <v/>
      </c>
      <c r="W116" s="384" t="n"/>
      <c r="X116" s="705" t="inlineStr">
        <is>
          <t>医事服务</t>
        </is>
      </c>
      <c r="Y116" s="649" t="inlineStr"/>
      <c r="Z116" s="1249">
        <f>Z60-Z88</f>
        <v/>
      </c>
      <c r="AA116" s="1249">
        <f>AA60-AA88</f>
        <v/>
      </c>
      <c r="AB116" s="1249">
        <f>AB60-AB88</f>
        <v/>
      </c>
      <c r="AC116" s="1249">
        <f>Z116-AB116</f>
        <v/>
      </c>
      <c r="AD116" s="1249">
        <f>IF(AB116=0,0,(Z116-AB116)/AB116*100)</f>
        <v/>
      </c>
      <c r="AE116" s="1249">
        <f>AE60-AE88</f>
        <v/>
      </c>
      <c r="AF116" s="1249">
        <f>Z116-AE116</f>
        <v/>
      </c>
      <c r="AG116" s="1249">
        <f>IF(AE116=0,0,(Z116-AE116)/AE116*100)</f>
        <v/>
      </c>
      <c r="AH116" s="1249">
        <f>AH60-AH88</f>
        <v/>
      </c>
      <c r="AI116" s="1249">
        <f>AA116-AH116</f>
        <v/>
      </c>
      <c r="AJ116" s="1249">
        <f>IF(AH116=0,0,(AA116-AH116)/AH116*100)</f>
        <v/>
      </c>
      <c r="AK116" s="1251" t="n"/>
      <c r="AL116" s="1251">
        <f>Z116-AK116</f>
        <v/>
      </c>
      <c r="AM116" s="1251">
        <f>IFERROR(Z116/AK116*100,0)</f>
        <v/>
      </c>
      <c r="AN116" s="1251" t="n"/>
      <c r="AO116" s="1251">
        <f>AA116-AN116</f>
        <v/>
      </c>
      <c r="AP116" s="1251">
        <f>IFERROR(AA116/AN116*100,0)</f>
        <v/>
      </c>
      <c r="AQ116" s="1251" t="n"/>
      <c r="AR116" s="1260">
        <f>AA116-AQ116</f>
        <v/>
      </c>
      <c r="AS116" s="1260">
        <f>IFERROR(AA116/AQ116*100,0)</f>
        <v/>
      </c>
    </row>
    <row r="117">
      <c r="A117" s="384" t="n"/>
      <c r="B117" s="384" t="n"/>
      <c r="C117" s="384" t="n"/>
      <c r="D117" s="384" t="n"/>
      <c r="E117" s="384" t="n"/>
      <c r="F117" s="384" t="n"/>
      <c r="G117" s="384" t="n"/>
      <c r="H117" s="384" t="n"/>
      <c r="I117" s="384" t="n"/>
      <c r="J117" s="384" t="n"/>
      <c r="K117" s="384" t="n"/>
      <c r="L117" s="384" t="n"/>
      <c r="M117" s="384" t="n"/>
      <c r="N117" s="384" t="n"/>
      <c r="O117" s="384" t="n"/>
      <c r="P117" s="384" t="n"/>
      <c r="Q117" s="384" t="n"/>
      <c r="R117" s="384" t="n"/>
      <c r="S117" s="462">
        <f>IF(_epmOfflineCondition_,"养老院服务",EPMMemberDesc(U117))</f>
        <v/>
      </c>
      <c r="T117" s="384" t="n"/>
      <c r="U117" s="716" t="inlineStr">
        <is>
          <t>A0170111</t>
        </is>
      </c>
      <c r="V117" s="455">
        <f>IF(_epmOfflineCondition_,"A0170111",EPMOlapMemberO(U117,"[C_ACCOUNT].[PARENTH1].[A0170111]","A0170111 - 养老院服务","","000"))</f>
        <v/>
      </c>
      <c r="W117" s="384" t="n"/>
      <c r="X117" s="705" t="inlineStr">
        <is>
          <t>养老院服务</t>
        </is>
      </c>
      <c r="Y117" s="649" t="inlineStr"/>
      <c r="Z117" s="1249">
        <f>Z61-Z89</f>
        <v/>
      </c>
      <c r="AA117" s="1249">
        <f>AA61-AA89</f>
        <v/>
      </c>
      <c r="AB117" s="1249">
        <f>AB61-AB89</f>
        <v/>
      </c>
      <c r="AC117" s="1249">
        <f>Z117-AB117</f>
        <v/>
      </c>
      <c r="AD117" s="1249">
        <f>IF(AB117=0,0,(Z117-AB117)/AB117*100)</f>
        <v/>
      </c>
      <c r="AE117" s="1249">
        <f>AE61-AE89</f>
        <v/>
      </c>
      <c r="AF117" s="1249">
        <f>Z117-AE117</f>
        <v/>
      </c>
      <c r="AG117" s="1249">
        <f>IF(AE117=0,0,(Z117-AE117)/AE117*100)</f>
        <v/>
      </c>
      <c r="AH117" s="1249">
        <f>AH61-AH89</f>
        <v/>
      </c>
      <c r="AI117" s="1249">
        <f>AA117-AH117</f>
        <v/>
      </c>
      <c r="AJ117" s="1249">
        <f>IF(AH117=0,0,(AA117-AH117)/AH117*100)</f>
        <v/>
      </c>
      <c r="AK117" s="1251" t="n"/>
      <c r="AL117" s="1251">
        <f>Z117-AK117</f>
        <v/>
      </c>
      <c r="AM117" s="1251">
        <f>IFERROR(Z117/AK117*100,0)</f>
        <v/>
      </c>
      <c r="AN117" s="1251" t="n"/>
      <c r="AO117" s="1251">
        <f>AA117-AN117</f>
        <v/>
      </c>
      <c r="AP117" s="1251">
        <f>IFERROR(AA117/AN117*100,0)</f>
        <v/>
      </c>
      <c r="AQ117" s="1251" t="n"/>
      <c r="AR117" s="1260">
        <f>AA117-AQ117</f>
        <v/>
      </c>
      <c r="AS117" s="1260">
        <f>IFERROR(AA117/AQ117*100,0)</f>
        <v/>
      </c>
    </row>
    <row r="118">
      <c r="A118" s="384" t="n"/>
      <c r="B118" s="384" t="n"/>
      <c r="C118" s="384" t="n"/>
      <c r="D118" s="384" t="n"/>
      <c r="E118" s="384" t="n"/>
      <c r="F118" s="384" t="n"/>
      <c r="G118" s="384" t="n"/>
      <c r="H118" s="384" t="n"/>
      <c r="I118" s="384" t="n"/>
      <c r="J118" s="384" t="n"/>
      <c r="K118" s="384" t="n"/>
      <c r="L118" s="384" t="n"/>
      <c r="M118" s="384" t="n"/>
      <c r="N118" s="384" t="n"/>
      <c r="O118" s="384" t="n"/>
      <c r="P118" s="384" t="n"/>
      <c r="Q118" s="384" t="n"/>
      <c r="R118" s="384" t="n"/>
      <c r="S118" s="462">
        <f>IF(_epmOfflineCondition_,"房地产",EPMMemberDesc(U118))</f>
        <v/>
      </c>
      <c r="T118" s="384" t="n"/>
      <c r="U118" s="716" t="inlineStr">
        <is>
          <t>A0170112</t>
        </is>
      </c>
      <c r="V118" s="455">
        <f>IF(_epmOfflineCondition_,"A0170112",EPMOlapMemberO(U118,"[C_ACCOUNT].[PARENTH1].[A0170112]","A0170112 - 房地产","","000"))</f>
        <v/>
      </c>
      <c r="W118" s="384" t="n"/>
      <c r="X118" s="705" t="inlineStr">
        <is>
          <t>房地产开发及销售</t>
        </is>
      </c>
      <c r="Y118" s="649" t="inlineStr"/>
      <c r="Z118" s="1249">
        <f>Z62-Z90</f>
        <v/>
      </c>
      <c r="AA118" s="1249">
        <f>AA62-AA90</f>
        <v/>
      </c>
      <c r="AB118" s="1249">
        <f>AB62-AB90</f>
        <v/>
      </c>
      <c r="AC118" s="1249">
        <f>Z118-AB118</f>
        <v/>
      </c>
      <c r="AD118" s="1249">
        <f>IF(AB118=0,0,(Z118-AB118)/AB118*100)</f>
        <v/>
      </c>
      <c r="AE118" s="1249">
        <f>AE62-AE90</f>
        <v/>
      </c>
      <c r="AF118" s="1249">
        <f>Z118-AE118</f>
        <v/>
      </c>
      <c r="AG118" s="1249">
        <f>IF(AE118=0,0,(Z118-AE118)/AE118*100)</f>
        <v/>
      </c>
      <c r="AH118" s="1249">
        <f>AH62-AH90</f>
        <v/>
      </c>
      <c r="AI118" s="1249">
        <f>AA118-AH118</f>
        <v/>
      </c>
      <c r="AJ118" s="1249">
        <f>IF(AH118=0,0,(AA118-AH118)/AH118*100)</f>
        <v/>
      </c>
      <c r="AK118" s="1251" t="n"/>
      <c r="AL118" s="1251">
        <f>Z118-AK118</f>
        <v/>
      </c>
      <c r="AM118" s="1251">
        <f>IFERROR(Z118/AK118*100,0)</f>
        <v/>
      </c>
      <c r="AN118" s="1251" t="n"/>
      <c r="AO118" s="1251">
        <f>AA118-AN118</f>
        <v/>
      </c>
      <c r="AP118" s="1251">
        <f>IFERROR(AA118/AN118*100,0)</f>
        <v/>
      </c>
      <c r="AQ118" s="1251" t="n"/>
      <c r="AR118" s="1260">
        <f>AA118-AQ118</f>
        <v/>
      </c>
      <c r="AS118" s="1260">
        <f>IFERROR(AA118/AQ118*100,0)</f>
        <v/>
      </c>
    </row>
    <row r="119">
      <c r="A119" s="384" t="n"/>
      <c r="B119" s="384" t="n"/>
      <c r="C119" s="384" t="n"/>
      <c r="D119" s="384" t="n"/>
      <c r="E119" s="384" t="n"/>
      <c r="F119" s="384" t="n"/>
      <c r="G119" s="384" t="n"/>
      <c r="H119" s="384" t="n"/>
      <c r="I119" s="384" t="n"/>
      <c r="J119" s="384" t="n"/>
      <c r="K119" s="384" t="n"/>
      <c r="L119" s="384" t="n"/>
      <c r="M119" s="384" t="n"/>
      <c r="N119" s="384" t="n"/>
      <c r="O119" s="384" t="n"/>
      <c r="P119" s="384" t="n"/>
      <c r="Q119" s="384" t="n"/>
      <c r="R119" s="384" t="n"/>
      <c r="S119" s="462">
        <f>IF(_epmOfflineCondition_,"融资租赁",EPMMemberDesc(U119))</f>
        <v/>
      </c>
      <c r="T119" s="384" t="n"/>
      <c r="U119" s="716" t="inlineStr">
        <is>
          <t>A0170113</t>
        </is>
      </c>
      <c r="V119" s="455">
        <f>IF(_epmOfflineCondition_,"A0170113",EPMOlapMemberO(U119,"[C_ACCOUNT].[PARENTH1].[A0170113]","A0170113 - 融资租赁","","000"))</f>
        <v/>
      </c>
      <c r="W119" s="384" t="n"/>
      <c r="X119" s="705" t="inlineStr">
        <is>
          <t>融资租赁</t>
        </is>
      </c>
      <c r="Y119" s="649" t="inlineStr"/>
      <c r="Z119" s="1249">
        <f>Z63-Z91</f>
        <v/>
      </c>
      <c r="AA119" s="1249">
        <f>AA63-AA91</f>
        <v/>
      </c>
      <c r="AB119" s="1249">
        <f>AB63-AB91</f>
        <v/>
      </c>
      <c r="AC119" s="1249">
        <f>Z119-AB119</f>
        <v/>
      </c>
      <c r="AD119" s="1249">
        <f>IF(AB119=0,0,(Z119-AB119)/AB119*100)</f>
        <v/>
      </c>
      <c r="AE119" s="1249">
        <f>AE63-AE91</f>
        <v/>
      </c>
      <c r="AF119" s="1249">
        <f>Z119-AE119</f>
        <v/>
      </c>
      <c r="AG119" s="1249">
        <f>IF(AE119=0,0,(Z119-AE119)/AE119*100)</f>
        <v/>
      </c>
      <c r="AH119" s="1249">
        <f>AH63-AH91</f>
        <v/>
      </c>
      <c r="AI119" s="1249">
        <f>AA119-AH119</f>
        <v/>
      </c>
      <c r="AJ119" s="1249">
        <f>IF(AH119=0,0,(AA119-AH119)/AH119*100)</f>
        <v/>
      </c>
      <c r="AK119" s="1251" t="n"/>
      <c r="AL119" s="1251">
        <f>Z119-AK119</f>
        <v/>
      </c>
      <c r="AM119" s="1251">
        <f>IFERROR(Z119/AK119*100,0)</f>
        <v/>
      </c>
      <c r="AN119" s="1251" t="n"/>
      <c r="AO119" s="1251">
        <f>AA119-AN119</f>
        <v/>
      </c>
      <c r="AP119" s="1251">
        <f>IFERROR(AA119/AN119*100,0)</f>
        <v/>
      </c>
      <c r="AQ119" s="1251" t="n"/>
      <c r="AR119" s="1260">
        <f>AA119-AQ119</f>
        <v/>
      </c>
      <c r="AS119" s="1260">
        <f>IFERROR(AA119/AQ119*100,0)</f>
        <v/>
      </c>
    </row>
    <row r="120">
      <c r="A120" s="384" t="n"/>
      <c r="B120" s="384" t="n"/>
      <c r="C120" s="384" t="n"/>
      <c r="D120" s="384" t="n"/>
      <c r="E120" s="384" t="n"/>
      <c r="F120" s="384" t="n"/>
      <c r="G120" s="384" t="n"/>
      <c r="H120" s="384" t="n"/>
      <c r="I120" s="384" t="n"/>
      <c r="J120" s="384" t="n"/>
      <c r="K120" s="384" t="n"/>
      <c r="L120" s="384" t="n"/>
      <c r="M120" s="384" t="n"/>
      <c r="N120" s="384" t="n"/>
      <c r="O120" s="384" t="n"/>
      <c r="P120" s="384" t="n"/>
      <c r="Q120" s="384" t="n"/>
      <c r="R120" s="384" t="n"/>
      <c r="S120" s="462">
        <f>IF(_epmOfflineCondition_,"智能停车",EPMMemberDesc(U120))</f>
        <v/>
      </c>
      <c r="T120" s="384" t="n"/>
      <c r="U120" s="716" t="inlineStr">
        <is>
          <t>A0170114</t>
        </is>
      </c>
      <c r="V120" s="455">
        <f>IF(_epmOfflineCondition_,"A0170114",EPMOlapMemberO(U120,"[C_ACCOUNT].[PARENTH1].[A0170114]","A0170114 - 智能停车","","000"))</f>
        <v/>
      </c>
      <c r="W120" s="384" t="n"/>
      <c r="X120" s="705" t="inlineStr">
        <is>
          <t>智能停车</t>
        </is>
      </c>
      <c r="Y120" s="649" t="inlineStr"/>
      <c r="Z120" s="1249">
        <f>Z64-Z92</f>
        <v/>
      </c>
      <c r="AA120" s="1249">
        <f>AA64-AA92</f>
        <v/>
      </c>
      <c r="AB120" s="1249">
        <f>AB64-AB92</f>
        <v/>
      </c>
      <c r="AC120" s="1249">
        <f>Z120-AB120</f>
        <v/>
      </c>
      <c r="AD120" s="1249">
        <f>IF(AB120=0,0,(Z120-AB120)/AB120*100)</f>
        <v/>
      </c>
      <c r="AE120" s="1249">
        <f>AE64-AE92</f>
        <v/>
      </c>
      <c r="AF120" s="1249">
        <f>Z120-AE120</f>
        <v/>
      </c>
      <c r="AG120" s="1249">
        <f>IF(AE120=0,0,(Z120-AE120)/AE120*100)</f>
        <v/>
      </c>
      <c r="AH120" s="1249">
        <f>AH64-AH92</f>
        <v/>
      </c>
      <c r="AI120" s="1249">
        <f>AA120-AH120</f>
        <v/>
      </c>
      <c r="AJ120" s="1249">
        <f>IF(AH120=0,0,(AA120-AH120)/AH120*100)</f>
        <v/>
      </c>
      <c r="AK120" s="1251" t="n"/>
      <c r="AL120" s="1251">
        <f>Z120-AK120</f>
        <v/>
      </c>
      <c r="AM120" s="1251">
        <f>IFERROR(Z120/AK120*100,0)</f>
        <v/>
      </c>
      <c r="AN120" s="1251" t="n"/>
      <c r="AO120" s="1251">
        <f>AA120-AN120</f>
        <v/>
      </c>
      <c r="AP120" s="1251">
        <f>IFERROR(AA120/AN120*100,0)</f>
        <v/>
      </c>
      <c r="AQ120" s="1251" t="n"/>
      <c r="AR120" s="1260">
        <f>AA120-AQ120</f>
        <v/>
      </c>
      <c r="AS120" s="1260">
        <f>IFERROR(AA120/AQ120*100,0)</f>
        <v/>
      </c>
    </row>
    <row r="121">
      <c r="A121" s="384" t="n"/>
      <c r="B121" s="384" t="n"/>
      <c r="C121" s="384" t="n"/>
      <c r="D121" s="384" t="n"/>
      <c r="E121" s="384" t="n"/>
      <c r="F121" s="384" t="n"/>
      <c r="G121" s="384" t="n"/>
      <c r="H121" s="384" t="n"/>
      <c r="I121" s="384" t="n"/>
      <c r="J121" s="384" t="n"/>
      <c r="K121" s="384" t="n"/>
      <c r="L121" s="384" t="n"/>
      <c r="M121" s="384" t="n"/>
      <c r="N121" s="384" t="n"/>
      <c r="O121" s="384" t="n"/>
      <c r="P121" s="384" t="n"/>
      <c r="Q121" s="384" t="n"/>
      <c r="R121" s="384" t="n"/>
      <c r="S121" s="462">
        <f>IF(_epmOfflineCondition_,"汽贸业务",EPMMemberDesc(U121))</f>
        <v/>
      </c>
      <c r="T121" s="384" t="n"/>
      <c r="U121" s="716" t="inlineStr">
        <is>
          <t>A0170115</t>
        </is>
      </c>
      <c r="V121" s="455">
        <f>IF(_epmOfflineCondition_,"A0170115",EPMOlapMemberO(U121,"[C_ACCOUNT].[PARENTH1].[A0170115]","A0170115 - 汽贸业务","","000"))</f>
        <v/>
      </c>
      <c r="W121" s="384" t="n"/>
      <c r="X121" s="705" t="inlineStr">
        <is>
          <t>汽贸业务</t>
        </is>
      </c>
      <c r="Y121" s="649" t="inlineStr"/>
      <c r="Z121" s="1249">
        <f>Z65-Z93</f>
        <v/>
      </c>
      <c r="AA121" s="1249">
        <f>AA65-AA93</f>
        <v/>
      </c>
      <c r="AB121" s="1249">
        <f>AB65-AB93</f>
        <v/>
      </c>
      <c r="AC121" s="1249">
        <f>Z121-AB121</f>
        <v/>
      </c>
      <c r="AD121" s="1249">
        <f>IF(AB121=0,0,(Z121-AB121)/AB121*100)</f>
        <v/>
      </c>
      <c r="AE121" s="1249">
        <f>AE65-AE93</f>
        <v/>
      </c>
      <c r="AF121" s="1249">
        <f>Z121-AE121</f>
        <v/>
      </c>
      <c r="AG121" s="1249">
        <f>IF(AE121=0,0,(Z121-AE121)/AE121*100)</f>
        <v/>
      </c>
      <c r="AH121" s="1249">
        <f>AH65-AH93</f>
        <v/>
      </c>
      <c r="AI121" s="1249">
        <f>AA121-AH121</f>
        <v/>
      </c>
      <c r="AJ121" s="1249">
        <f>IF(AH121=0,0,(AA121-AH121)/AH121*100)</f>
        <v/>
      </c>
      <c r="AK121" s="1251" t="n"/>
      <c r="AL121" s="1251">
        <f>Z121-AK121</f>
        <v/>
      </c>
      <c r="AM121" s="1251">
        <f>IFERROR(Z121/AK121*100,0)</f>
        <v/>
      </c>
      <c r="AN121" s="1251" t="n"/>
      <c r="AO121" s="1251">
        <f>AA121-AN121</f>
        <v/>
      </c>
      <c r="AP121" s="1251">
        <f>IFERROR(AA121/AN121*100,0)</f>
        <v/>
      </c>
      <c r="AQ121" s="1251" t="n"/>
      <c r="AR121" s="1260">
        <f>AA121-AQ121</f>
        <v/>
      </c>
      <c r="AS121" s="1260">
        <f>IFERROR(AA121/AQ121*100,0)</f>
        <v/>
      </c>
    </row>
    <row r="122">
      <c r="A122" s="384" t="n"/>
      <c r="B122" s="384" t="n"/>
      <c r="C122" s="384" t="n"/>
      <c r="D122" s="384" t="n"/>
      <c r="E122" s="384" t="n"/>
      <c r="F122" s="384" t="n"/>
      <c r="G122" s="384" t="n"/>
      <c r="H122" s="384" t="n"/>
      <c r="I122" s="384" t="n"/>
      <c r="J122" s="384" t="n"/>
      <c r="K122" s="384" t="n"/>
      <c r="L122" s="384" t="n"/>
      <c r="M122" s="384" t="n"/>
      <c r="N122" s="384" t="n"/>
      <c r="O122" s="384" t="n"/>
      <c r="P122" s="384" t="n"/>
      <c r="Q122" s="384" t="n"/>
      <c r="R122" s="384" t="n"/>
      <c r="S122" s="462">
        <f>IF(_epmOfflineCondition_,"机械产品",EPMMemberDesc(U122))</f>
        <v/>
      </c>
      <c r="T122" s="384" t="n"/>
      <c r="U122" s="716" t="inlineStr">
        <is>
          <t>A0170116</t>
        </is>
      </c>
      <c r="V122" s="455">
        <f>IF(_epmOfflineCondition_,"A0170116",EPMOlapMemberO(U122,"[C_ACCOUNT].[PARENTH1].[A0170116]","A0170116 - 机械产品","","000"))</f>
        <v/>
      </c>
      <c r="W122" s="384" t="n"/>
      <c r="X122" s="705" t="inlineStr">
        <is>
          <t>机械产品</t>
        </is>
      </c>
      <c r="Y122" s="649" t="inlineStr"/>
      <c r="Z122" s="1249">
        <f>Z66-Z94</f>
        <v/>
      </c>
      <c r="AA122" s="1249">
        <f>AA66-AA94</f>
        <v/>
      </c>
      <c r="AB122" s="1249">
        <f>AB66-AB94</f>
        <v/>
      </c>
      <c r="AC122" s="1249">
        <f>Z122-AB122</f>
        <v/>
      </c>
      <c r="AD122" s="1249">
        <f>IF(AB122=0,0,(Z122-AB122)/AB122*100)</f>
        <v/>
      </c>
      <c r="AE122" s="1249">
        <f>AE66-AE94</f>
        <v/>
      </c>
      <c r="AF122" s="1249">
        <f>Z122-AE122</f>
        <v/>
      </c>
      <c r="AG122" s="1249">
        <f>IF(AE122=0,0,(Z122-AE122)/AE122*100)</f>
        <v/>
      </c>
      <c r="AH122" s="1249">
        <f>AH66-AH94</f>
        <v/>
      </c>
      <c r="AI122" s="1249">
        <f>AA122-AH122</f>
        <v/>
      </c>
      <c r="AJ122" s="1249">
        <f>IF(AH122=0,0,(AA122-AH122)/AH122*100)</f>
        <v/>
      </c>
      <c r="AK122" s="1251" t="n"/>
      <c r="AL122" s="1251">
        <f>Z122-AK122</f>
        <v/>
      </c>
      <c r="AM122" s="1251">
        <f>IFERROR(Z122/AK122*100,0)</f>
        <v/>
      </c>
      <c r="AN122" s="1251" t="n"/>
      <c r="AO122" s="1251">
        <f>AA122-AN122</f>
        <v/>
      </c>
      <c r="AP122" s="1251">
        <f>IFERROR(AA122/AN122*100,0)</f>
        <v/>
      </c>
      <c r="AQ122" s="1251" t="n"/>
      <c r="AR122" s="1260">
        <f>AA122-AQ122</f>
        <v/>
      </c>
      <c r="AS122" s="1260">
        <f>IFERROR(AA122/AQ122*100,0)</f>
        <v/>
      </c>
    </row>
    <row r="123">
      <c r="A123" s="384" t="n"/>
      <c r="B123" s="384" t="n"/>
      <c r="C123" s="384" t="n"/>
      <c r="D123" s="384" t="n"/>
      <c r="E123" s="384" t="n"/>
      <c r="F123" s="384" t="n"/>
      <c r="G123" s="384" t="n"/>
      <c r="H123" s="384" t="n"/>
      <c r="I123" s="384" t="n"/>
      <c r="J123" s="384" t="n"/>
      <c r="K123" s="384" t="n"/>
      <c r="L123" s="384" t="n"/>
      <c r="M123" s="384" t="n"/>
      <c r="N123" s="384" t="n"/>
      <c r="O123" s="384" t="n"/>
      <c r="P123" s="384" t="n"/>
      <c r="Q123" s="384" t="n"/>
      <c r="R123" s="384" t="n"/>
      <c r="S123" s="462">
        <f>IF(_epmOfflineCondition_,"商贸商品",EPMMemberDesc(U123))</f>
        <v/>
      </c>
      <c r="T123" s="384" t="n"/>
      <c r="U123" s="716" t="inlineStr">
        <is>
          <t>A0170117</t>
        </is>
      </c>
      <c r="V123" s="455">
        <f>IF(_epmOfflineCondition_,"A0170117",EPMOlapMemberO(U123,"[C_ACCOUNT].[PARENTH1].[A0170117]","A0170117 - 商贸商品","","000"))</f>
        <v/>
      </c>
      <c r="W123" s="384" t="n"/>
      <c r="X123" s="705" t="inlineStr">
        <is>
          <t>商贸商品</t>
        </is>
      </c>
      <c r="Y123" s="649" t="inlineStr"/>
      <c r="Z123" s="1249">
        <f>Z67-Z95</f>
        <v/>
      </c>
      <c r="AA123" s="1249">
        <f>AA67-AA95</f>
        <v/>
      </c>
      <c r="AB123" s="1249">
        <f>AB67-AB95</f>
        <v/>
      </c>
      <c r="AC123" s="1249">
        <f>Z123-AB123</f>
        <v/>
      </c>
      <c r="AD123" s="1249">
        <f>IF(AB123=0,0,(Z123-AB123)/AB123*100)</f>
        <v/>
      </c>
      <c r="AE123" s="1249">
        <f>AE67-AE95</f>
        <v/>
      </c>
      <c r="AF123" s="1249">
        <f>Z123-AE123</f>
        <v/>
      </c>
      <c r="AG123" s="1249">
        <f>IF(AE123=0,0,(Z123-AE123)/AE123*100)</f>
        <v/>
      </c>
      <c r="AH123" s="1249">
        <f>AH67-AH95</f>
        <v/>
      </c>
      <c r="AI123" s="1249">
        <f>AA123-AH123</f>
        <v/>
      </c>
      <c r="AJ123" s="1249">
        <f>IF(AH123=0,0,(AA123-AH123)/AH123*100)</f>
        <v/>
      </c>
      <c r="AK123" s="1251" t="n"/>
      <c r="AL123" s="1251">
        <f>Z123-AK123</f>
        <v/>
      </c>
      <c r="AM123" s="1251">
        <f>IFERROR(Z123/AK123*100,0)</f>
        <v/>
      </c>
      <c r="AN123" s="1251" t="n"/>
      <c r="AO123" s="1251">
        <f>AA123-AN123</f>
        <v/>
      </c>
      <c r="AP123" s="1251">
        <f>IFERROR(AA123/AN123*100,0)</f>
        <v/>
      </c>
      <c r="AQ123" s="1251" t="n"/>
      <c r="AR123" s="1260">
        <f>AA123-AQ123</f>
        <v/>
      </c>
      <c r="AS123" s="1260">
        <f>IFERROR(AA123/AQ123*100,0)</f>
        <v/>
      </c>
    </row>
    <row r="124">
      <c r="A124" s="384" t="n"/>
      <c r="B124" s="384" t="n"/>
      <c r="C124" s="384" t="n"/>
      <c r="D124" s="384" t="n"/>
      <c r="E124" s="384" t="n"/>
      <c r="F124" s="384" t="n"/>
      <c r="G124" s="384" t="n"/>
      <c r="H124" s="384" t="n"/>
      <c r="I124" s="384" t="n"/>
      <c r="J124" s="384" t="n"/>
      <c r="K124" s="384" t="n"/>
      <c r="L124" s="384" t="n"/>
      <c r="M124" s="384" t="n"/>
      <c r="N124" s="384" t="n"/>
      <c r="O124" s="384" t="n"/>
      <c r="P124" s="384" t="n"/>
      <c r="Q124" s="384" t="n"/>
      <c r="R124" s="384" t="n"/>
      <c r="S124" s="462">
        <f>IF(_epmOfflineCondition_,"商品销售",EPMMemberDesc(U124))</f>
        <v/>
      </c>
      <c r="T124" s="384" t="n"/>
      <c r="U124" s="716" t="inlineStr">
        <is>
          <t>A0170118</t>
        </is>
      </c>
      <c r="V124" s="455">
        <f>IF(_epmOfflineCondition_,"A0170118",EPMOlapMemberO(U124,"[C_ACCOUNT].[PARENTH1].[A0170118]","A0170118 - 商品销售","","000"))</f>
        <v/>
      </c>
      <c r="W124" s="384" t="n"/>
      <c r="X124" s="705" t="inlineStr">
        <is>
          <t>商品销售</t>
        </is>
      </c>
      <c r="Y124" s="649" t="inlineStr"/>
      <c r="Z124" s="1249">
        <f>Z68-Z96</f>
        <v/>
      </c>
      <c r="AA124" s="1249">
        <f>AA68-AA96</f>
        <v/>
      </c>
      <c r="AB124" s="1249">
        <f>AB68-AB96</f>
        <v/>
      </c>
      <c r="AC124" s="1249">
        <f>Z124-AB124</f>
        <v/>
      </c>
      <c r="AD124" s="1249">
        <f>IF(AB124=0,0,(Z124-AB124)/AB124*100)</f>
        <v/>
      </c>
      <c r="AE124" s="1249">
        <f>AE68-AE96</f>
        <v/>
      </c>
      <c r="AF124" s="1249">
        <f>Z124-AE124</f>
        <v/>
      </c>
      <c r="AG124" s="1249">
        <f>IF(AE124=0,0,(Z124-AE124)/AE124*100)</f>
        <v/>
      </c>
      <c r="AH124" s="1249">
        <f>AH68-AH96</f>
        <v/>
      </c>
      <c r="AI124" s="1249">
        <f>AA124-AH124</f>
        <v/>
      </c>
      <c r="AJ124" s="1249">
        <f>IF(AH124=0,0,(AA124-AH124)/AH124*100)</f>
        <v/>
      </c>
      <c r="AK124" s="1251" t="n"/>
      <c r="AL124" s="1251">
        <f>Z124-AK124</f>
        <v/>
      </c>
      <c r="AM124" s="1251">
        <f>IFERROR(Z124/AK124*100,0)</f>
        <v/>
      </c>
      <c r="AN124" s="1251" t="n"/>
      <c r="AO124" s="1251">
        <f>AA124-AN124</f>
        <v/>
      </c>
      <c r="AP124" s="1251">
        <f>IFERROR(AA124/AN124*100,0)</f>
        <v/>
      </c>
      <c r="AQ124" s="1251" t="n"/>
      <c r="AR124" s="1260">
        <f>AA124-AQ124</f>
        <v/>
      </c>
      <c r="AS124" s="1260">
        <f>IFERROR(AA124/AQ124*100,0)</f>
        <v/>
      </c>
    </row>
    <row r="125">
      <c r="A125" s="384" t="n"/>
      <c r="B125" s="384" t="n"/>
      <c r="C125" s="384" t="n"/>
      <c r="D125" s="384" t="n"/>
      <c r="E125" s="384" t="n"/>
      <c r="F125" s="384" t="n"/>
      <c r="G125" s="384" t="n"/>
      <c r="H125" s="384" t="n"/>
      <c r="I125" s="384" t="n"/>
      <c r="J125" s="384" t="n"/>
      <c r="K125" s="384" t="n"/>
      <c r="L125" s="384" t="n"/>
      <c r="M125" s="384" t="n"/>
      <c r="N125" s="384" t="n"/>
      <c r="O125" s="384" t="n"/>
      <c r="P125" s="384" t="n"/>
      <c r="Q125" s="384" t="n"/>
      <c r="R125" s="384" t="n"/>
      <c r="S125" s="462">
        <f>IF(_epmOfflineCondition_,"产品销售",EPMMemberDesc(U125))</f>
        <v/>
      </c>
      <c r="T125" s="384" t="n"/>
      <c r="U125" s="716" t="inlineStr">
        <is>
          <t>A0170119</t>
        </is>
      </c>
      <c r="V125" s="455">
        <f>IF(_epmOfflineCondition_,"A0170119",EPMOlapMemberO(U125,"[C_ACCOUNT].[PARENTH1].[A0170119]","A0170119 - 产品销售","","000"))</f>
        <v/>
      </c>
      <c r="W125" s="384" t="n"/>
      <c r="X125" s="705" t="inlineStr">
        <is>
          <t>产品销售</t>
        </is>
      </c>
      <c r="Y125" s="649" t="inlineStr"/>
      <c r="Z125" s="1249">
        <f>Z69-Z97</f>
        <v/>
      </c>
      <c r="AA125" s="1249">
        <f>AA69-AA97</f>
        <v/>
      </c>
      <c r="AB125" s="1249">
        <f>AB69-AB97</f>
        <v/>
      </c>
      <c r="AC125" s="1249">
        <f>Z125-AB125</f>
        <v/>
      </c>
      <c r="AD125" s="1249">
        <f>IF(AB125=0,0,(Z125-AB125)/AB125*100)</f>
        <v/>
      </c>
      <c r="AE125" s="1249">
        <f>AE69-AE97</f>
        <v/>
      </c>
      <c r="AF125" s="1249">
        <f>Z125-AE125</f>
        <v/>
      </c>
      <c r="AG125" s="1249">
        <f>IF(AE125=0,0,(Z125-AE125)/AE125*100)</f>
        <v/>
      </c>
      <c r="AH125" s="1249">
        <f>AH69-AH97</f>
        <v/>
      </c>
      <c r="AI125" s="1249">
        <f>AA125-AH125</f>
        <v/>
      </c>
      <c r="AJ125" s="1249">
        <f>IF(AH125=0,0,(AA125-AH125)/AH125*100)</f>
        <v/>
      </c>
      <c r="AK125" s="1251" t="n"/>
      <c r="AL125" s="1251">
        <f>Z125-AK125</f>
        <v/>
      </c>
      <c r="AM125" s="1251">
        <f>IFERROR(Z125/AK125*100,0)</f>
        <v/>
      </c>
      <c r="AN125" s="1251" t="n"/>
      <c r="AO125" s="1251">
        <f>AA125-AN125</f>
        <v/>
      </c>
      <c r="AP125" s="1251">
        <f>IFERROR(AA125/AN125*100,0)</f>
        <v/>
      </c>
      <c r="AQ125" s="1251" t="n"/>
      <c r="AR125" s="1260">
        <f>AA125-AQ125</f>
        <v/>
      </c>
      <c r="AS125" s="1260">
        <f>IFERROR(AA125/AQ125*100,0)</f>
        <v/>
      </c>
    </row>
    <row r="126">
      <c r="A126" s="384" t="n"/>
      <c r="B126" s="384" t="n"/>
      <c r="C126" s="384" t="n"/>
      <c r="D126" s="384" t="n"/>
      <c r="E126" s="384" t="n"/>
      <c r="F126" s="384" t="n"/>
      <c r="G126" s="384" t="n"/>
      <c r="H126" s="384" t="n"/>
      <c r="I126" s="384" t="n"/>
      <c r="J126" s="384" t="n"/>
      <c r="K126" s="384" t="n"/>
      <c r="L126" s="384" t="n"/>
      <c r="M126" s="384" t="n"/>
      <c r="N126" s="384" t="n"/>
      <c r="O126" s="384" t="n"/>
      <c r="P126" s="384" t="n"/>
      <c r="Q126" s="384" t="n"/>
      <c r="R126" s="384" t="n"/>
      <c r="S126" s="462">
        <f>IF(_epmOfflineCondition_,"工程毛利",EPMMemberDesc(U126))</f>
        <v/>
      </c>
      <c r="T126" s="384" t="n"/>
      <c r="U126" s="716" t="inlineStr">
        <is>
          <t>A0170120</t>
        </is>
      </c>
      <c r="V126" s="455">
        <f>IF(_epmOfflineCondition_,"A0170120",EPMOlapMemberO(U126,"[C_ACCOUNT].[PARENTH1].[A0170120]","A0170120 - 工程毛利","","000"))</f>
        <v/>
      </c>
      <c r="W126" s="384" t="n"/>
      <c r="X126" s="705" t="inlineStr">
        <is>
          <t>工程毛利</t>
        </is>
      </c>
      <c r="Y126" s="649" t="inlineStr"/>
      <c r="Z126" s="1249">
        <f>Z70-Z98</f>
        <v/>
      </c>
      <c r="AA126" s="1249">
        <f>AA70-AA98</f>
        <v/>
      </c>
      <c r="AB126" s="1249">
        <f>AB70-AB98</f>
        <v/>
      </c>
      <c r="AC126" s="1249">
        <f>Z126-AB126</f>
        <v/>
      </c>
      <c r="AD126" s="1249">
        <f>IF(AB126=0,0,(Z126-AB126)/AB126*100)</f>
        <v/>
      </c>
      <c r="AE126" s="1249">
        <f>AE70-AE98</f>
        <v/>
      </c>
      <c r="AF126" s="1249">
        <f>Z126-AE126</f>
        <v/>
      </c>
      <c r="AG126" s="1249">
        <f>IF(AE126=0,0,(Z126-AE126)/AE126*100)</f>
        <v/>
      </c>
      <c r="AH126" s="1249">
        <f>AH70-AH98</f>
        <v/>
      </c>
      <c r="AI126" s="1249">
        <f>AA126-AH126</f>
        <v/>
      </c>
      <c r="AJ126" s="1249">
        <f>IF(AH126=0,0,(AA126-AH126)/AH126*100)</f>
        <v/>
      </c>
      <c r="AK126" s="1251" t="n"/>
      <c r="AL126" s="1251">
        <f>Z126-AK126</f>
        <v/>
      </c>
      <c r="AM126" s="1251">
        <f>IFERROR(Z126/AK126*100,0)</f>
        <v/>
      </c>
      <c r="AN126" s="1251" t="n"/>
      <c r="AO126" s="1251">
        <f>AA126-AN126</f>
        <v/>
      </c>
      <c r="AP126" s="1251">
        <f>IFERROR(AA126/AN126*100,0)</f>
        <v/>
      </c>
      <c r="AQ126" s="1251" t="n"/>
      <c r="AR126" s="1260">
        <f>AA126-AQ126</f>
        <v/>
      </c>
      <c r="AS126" s="1260">
        <f>IFERROR(AA126/AQ126*100,0)</f>
        <v/>
      </c>
    </row>
    <row r="127">
      <c r="A127" s="384" t="n"/>
      <c r="B127" s="384" t="n"/>
      <c r="C127" s="384" t="n"/>
      <c r="D127" s="384" t="n"/>
      <c r="E127" s="384" t="n"/>
      <c r="F127" s="384" t="n"/>
      <c r="G127" s="384" t="n"/>
      <c r="H127" s="384" t="n"/>
      <c r="I127" s="384" t="n"/>
      <c r="J127" s="384" t="n"/>
      <c r="K127" s="384" t="n"/>
      <c r="L127" s="384" t="n"/>
      <c r="M127" s="384" t="n"/>
      <c r="N127" s="384" t="n"/>
      <c r="O127" s="384" t="n"/>
      <c r="P127" s="384" t="n"/>
      <c r="Q127" s="384" t="n"/>
      <c r="R127" s="384" t="n"/>
      <c r="S127" s="462">
        <f>IF(_epmOfflineCondition_,"服务毛利",EPMMemberDesc(U127))</f>
        <v/>
      </c>
      <c r="T127" s="384" t="n"/>
      <c r="U127" s="716" t="inlineStr">
        <is>
          <t>A0170121</t>
        </is>
      </c>
      <c r="V127" s="455">
        <f>IF(_epmOfflineCondition_,"A0170121",EPMOlapMemberO(U127,"[C_ACCOUNT].[PARENTH1].[A0170121]","A0170121 - 服务毛利","","000"))</f>
        <v/>
      </c>
      <c r="W127" s="384" t="n"/>
      <c r="X127" s="705" t="inlineStr">
        <is>
          <t>服务毛利</t>
        </is>
      </c>
      <c r="Y127" s="649" t="inlineStr"/>
      <c r="Z127" s="1249">
        <f>Z71-Z99</f>
        <v/>
      </c>
      <c r="AA127" s="1249">
        <f>AA71-AA99</f>
        <v/>
      </c>
      <c r="AB127" s="1249">
        <f>AB71-AB99</f>
        <v/>
      </c>
      <c r="AC127" s="1249">
        <f>Z127-AB127</f>
        <v/>
      </c>
      <c r="AD127" s="1249">
        <f>IF(AB127=0,0,(Z127-AB127)/AB127*100)</f>
        <v/>
      </c>
      <c r="AE127" s="1249">
        <f>AE71-AE99</f>
        <v/>
      </c>
      <c r="AF127" s="1249">
        <f>Z127-AE127</f>
        <v/>
      </c>
      <c r="AG127" s="1249">
        <f>IF(AE127=0,0,(Z127-AE127)/AE127*100)</f>
        <v/>
      </c>
      <c r="AH127" s="1249">
        <f>AH71-AH99</f>
        <v/>
      </c>
      <c r="AI127" s="1249">
        <f>AA127-AH127</f>
        <v/>
      </c>
      <c r="AJ127" s="1249">
        <f>IF(AH127=0,0,(AA127-AH127)/AH127*100)</f>
        <v/>
      </c>
      <c r="AK127" s="1251" t="n"/>
      <c r="AL127" s="1251">
        <f>Z127-AK127</f>
        <v/>
      </c>
      <c r="AM127" s="1251">
        <f>IFERROR(Z127/AK127*100,0)</f>
        <v/>
      </c>
      <c r="AN127" s="1251" t="n"/>
      <c r="AO127" s="1251">
        <f>AA127-AN127</f>
        <v/>
      </c>
      <c r="AP127" s="1251">
        <f>IFERROR(AA127/AN127*100,0)</f>
        <v/>
      </c>
      <c r="AQ127" s="1251" t="n"/>
      <c r="AR127" s="1260">
        <f>AA127-AQ127</f>
        <v/>
      </c>
      <c r="AS127" s="1260">
        <f>IFERROR(AA127/AQ127*100,0)</f>
        <v/>
      </c>
    </row>
    <row r="128">
      <c r="A128" s="384" t="n"/>
      <c r="B128" s="384" t="n"/>
      <c r="C128" s="384" t="n"/>
      <c r="D128" s="384" t="n"/>
      <c r="E128" s="384" t="n"/>
      <c r="F128" s="384" t="n"/>
      <c r="G128" s="384" t="n"/>
      <c r="H128" s="384" t="n"/>
      <c r="I128" s="384" t="n"/>
      <c r="J128" s="384" t="n"/>
      <c r="K128" s="384" t="n"/>
      <c r="L128" s="384" t="n"/>
      <c r="M128" s="384" t="n"/>
      <c r="N128" s="384" t="n"/>
      <c r="O128" s="384" t="n"/>
      <c r="P128" s="384" t="n"/>
      <c r="Q128" s="384" t="n"/>
      <c r="R128" s="384" t="n"/>
      <c r="S128" s="462">
        <f>IF(_epmOfflineCondition_,"其他毛利",EPMMemberDesc(U128))</f>
        <v/>
      </c>
      <c r="T128" s="384" t="n"/>
      <c r="U128" s="716" t="inlineStr">
        <is>
          <t>A0170199</t>
        </is>
      </c>
      <c r="V128" s="455">
        <f>IF(_epmOfflineCondition_,"A0170199",EPMOlapMemberO(U128,"[C_ACCOUNT].[PARENTH1].[A0170199]","A0170199 - 其他毛利","","000"))</f>
        <v/>
      </c>
      <c r="W128" s="384" t="n"/>
      <c r="X128" s="705" t="inlineStr">
        <is>
          <t>其他毛利</t>
        </is>
      </c>
      <c r="Y128" s="649" t="inlineStr"/>
      <c r="Z128" s="1249">
        <f>Z72-Z100</f>
        <v/>
      </c>
      <c r="AA128" s="1249">
        <f>AA72-AA100</f>
        <v/>
      </c>
      <c r="AB128" s="1249">
        <f>AB72-AB100</f>
        <v/>
      </c>
      <c r="AC128" s="1249">
        <f>Z128-AB128</f>
        <v/>
      </c>
      <c r="AD128" s="1249">
        <f>IF(AB128=0,0,(Z128-AB128)/AB128*100)</f>
        <v/>
      </c>
      <c r="AE128" s="1249">
        <f>AE72-AE100</f>
        <v/>
      </c>
      <c r="AF128" s="1249">
        <f>Z128-AE128</f>
        <v/>
      </c>
      <c r="AG128" s="1249">
        <f>IF(AE128=0,0,(Z128-AE128)/AE128*100)</f>
        <v/>
      </c>
      <c r="AH128" s="1249">
        <f>AH72-AH100</f>
        <v/>
      </c>
      <c r="AI128" s="1249">
        <f>AA128-AH128</f>
        <v/>
      </c>
      <c r="AJ128" s="1249">
        <f>IF(AH128=0,0,(AA128-AH128)/AH128*100)</f>
        <v/>
      </c>
      <c r="AK128" s="1251" t="n"/>
      <c r="AL128" s="1251">
        <f>Z128-AK128</f>
        <v/>
      </c>
      <c r="AM128" s="1251">
        <f>IFERROR(Z128/AK128*100,0)</f>
        <v/>
      </c>
      <c r="AN128" s="1251" t="n"/>
      <c r="AO128" s="1251">
        <f>AA128-AN128</f>
        <v/>
      </c>
      <c r="AP128" s="1251">
        <f>IFERROR(AA128/AN128*100,0)</f>
        <v/>
      </c>
      <c r="AQ128" s="1251" t="n"/>
      <c r="AR128" s="1260">
        <f>AA128-AQ128</f>
        <v/>
      </c>
      <c r="AS128" s="1260">
        <f>IFERROR(AA128/AQ128*100,0)</f>
        <v/>
      </c>
    </row>
  </sheetData>
  <sheetProtection selectLockedCells="0" selectUnlockedCells="0" algorithmName="SHA-512" sheet="1" objects="0" insertRows="1" insertHyperlinks="1" autoFilter="1" scenarios="1" formatColumns="1" deleteColumns="1" insertColumns="1" pivotTables="1" deleteRows="1" formatCells="1" saltValue="xveZv8wf2nRHtC9jJ1iOsw==" formatRows="1" sort="1" spinCount="100000" hashValue="i5ICW/4r1qpNKyv/49m2ZANfMpMJQXKh/EKusA7PDJ14S87/plURhzGo/bpXerse4b3c0VTMeCso/kgpA7SUlA=="/>
  <mergeCells count="11">
    <mergeCell ref="H2:J2"/>
    <mergeCell ref="D16:E16"/>
    <mergeCell ref="Z38:AA38"/>
    <mergeCell ref="AB38:AD38"/>
    <mergeCell ref="AE38:AG38"/>
    <mergeCell ref="AH38:AJ38"/>
    <mergeCell ref="AK38:AM38"/>
    <mergeCell ref="AN38:AP38"/>
    <mergeCell ref="AQ38:AS38"/>
    <mergeCell ref="X38:X39"/>
    <mergeCell ref="Y38:Y39"/>
  </mergeCells>
  <dataValidations count="1">
    <dataValidation sqref="Z37" showErrorMessage="1" showInputMessage="1" allowBlank="1" type="list">
      <formula1>"LC,CNY"</formula1>
    </dataValidation>
  </dataValidations>
  <pageMargins left="0.7086614173228351" right="0.7086614173228351" top="0.748031496062992" bottom="0.748031496062992" header="0.31496062992126" footer="0.31496062992126"/>
  <pageSetup orientation="landscape" paperSize="9" scale="38"/>
  <drawing xmlns:r="http://schemas.openxmlformats.org/officeDocument/2006/relationships" r:id="rId1"/>
</worksheet>
</file>

<file path=xl/worksheets/sheet23.xml><?xml version="1.0" encoding="utf-8"?>
<worksheet xmlns="http://schemas.openxmlformats.org/spreadsheetml/2006/main">
  <sheetPr codeName="Sheet13">
    <outlinePr summaryBelow="1" summaryRight="1"/>
    <pageSetUpPr/>
  </sheetPr>
  <dimension ref="A1:AS98"/>
  <sheetViews>
    <sheetView zoomScale="90" zoomScaleNormal="90" workbookViewId="0">
      <pane xSplit="25" ySplit="44" topLeftCell="Z45" activePane="bottomRight" state="frozen"/>
      <selection activeCell="A1" sqref="A1"/>
      <selection pane="topRight" activeCell="A1" sqref="A1"/>
      <selection pane="bottomLeft" activeCell="A1" sqref="A1"/>
      <selection pane="bottomRight" activeCell="A1" sqref="A1"/>
    </sheetView>
  </sheetViews>
  <sheetFormatPr baseColWidth="8" defaultColWidth="9" defaultRowHeight="16.8"/>
  <cols>
    <col hidden="1" width="8" customWidth="1" style="1181" min="1" max="1"/>
    <col hidden="1" width="15.375" customWidth="1" style="1181" min="2" max="2"/>
    <col hidden="1" width="11.375" customWidth="1" style="1181" min="3" max="3"/>
    <col hidden="1" width="12.25" customWidth="1" style="1181" min="4" max="4"/>
    <col hidden="1" width="7.625" customWidth="1" style="1181" min="5" max="5"/>
    <col hidden="1" width="7.75" customWidth="1" style="1181" min="6" max="7"/>
    <col hidden="1" width="8.375" customWidth="1" style="1181" min="8" max="8"/>
    <col hidden="1" width="7.75" customWidth="1" style="1181" min="9" max="9"/>
    <col hidden="1" width="11.125" customWidth="1" style="1181" min="10" max="10"/>
    <col hidden="1" width="7.75" customWidth="1" style="1181" min="11" max="18"/>
    <col hidden="1" width="31" customWidth="1" style="32" min="19" max="19"/>
    <col hidden="1" width="2.375" customWidth="1" style="1181" min="20" max="20"/>
    <col hidden="1" width="12.75" customWidth="1" style="1181" min="21" max="21"/>
    <col hidden="1" width="16.125" customWidth="1" style="1181" min="22" max="22"/>
    <col width="1.625" customWidth="1" style="1181" min="23" max="23"/>
    <col width="29.375" customWidth="1" style="38" min="24" max="24"/>
    <col width="5.625" customWidth="1" style="38" min="25" max="25"/>
    <col width="20.625" customWidth="1" style="1181" min="26" max="36"/>
    <col width="16.75" customWidth="1" style="1181" min="37" max="37"/>
    <col width="17.375" customWidth="1" style="1181" min="38" max="39"/>
    <col width="16.75" customWidth="1" style="1181" min="40" max="42"/>
    <col width="17.375" customWidth="1" style="1181" min="43" max="45"/>
    <col width="16.75" customWidth="1" style="1181" min="46" max="48"/>
    <col width="17.375" customWidth="1" style="1181" min="49" max="50"/>
    <col width="16.75" customWidth="1" style="1181" min="51" max="53"/>
    <col width="17.375" customWidth="1" style="1181" min="54" max="55"/>
    <col width="16.75" customWidth="1" style="1181" min="56" max="58"/>
    <col width="17.375" customWidth="1" style="1181" min="59" max="60"/>
    <col width="16.75" customWidth="1" style="1181" min="61" max="61"/>
  </cols>
  <sheetData>
    <row r="1" hidden="1" customFormat="1" s="13">
      <c r="A1" s="172" t="inlineStr">
        <is>
          <t>维度清单</t>
        </is>
      </c>
      <c r="B1" s="462" t="n"/>
      <c r="C1" s="173" t="n"/>
      <c r="D1" s="173" t="n"/>
      <c r="E1" s="716" t="n"/>
      <c r="F1" s="13" t="n"/>
      <c r="G1" s="13" t="n"/>
      <c r="H1" s="13" t="n"/>
      <c r="I1" s="13" t="n"/>
      <c r="J1" s="13" t="n"/>
      <c r="K1" s="13" t="n"/>
      <c r="L1" s="13" t="n"/>
      <c r="M1" s="13" t="n"/>
      <c r="N1" s="13" t="n"/>
      <c r="O1" s="13" t="n"/>
      <c r="P1" s="13" t="n"/>
      <c r="Q1" s="13" t="n"/>
      <c r="R1" s="13" t="n"/>
      <c r="S1" s="1103" t="n"/>
      <c r="T1" s="13" t="n"/>
      <c r="U1" s="13" t="n"/>
      <c r="V1" s="13" t="n"/>
      <c r="W1" s="13" t="n"/>
      <c r="X1" s="171" t="n"/>
      <c r="Y1" s="171" t="n"/>
      <c r="Z1" s="13" t="n"/>
      <c r="AA1" s="13" t="n"/>
      <c r="AB1" s="13" t="n"/>
      <c r="AC1" s="13" t="n"/>
      <c r="AD1" s="13" t="n"/>
      <c r="AE1" s="13" t="n"/>
      <c r="AF1" s="13" t="n"/>
      <c r="AG1" s="13" t="n"/>
      <c r="AH1" s="13" t="n"/>
      <c r="AI1" s="13" t="n"/>
      <c r="AJ1" s="13" t="n"/>
      <c r="AK1" s="13" t="n"/>
      <c r="AL1" s="13" t="n"/>
      <c r="AM1" s="13" t="n"/>
      <c r="AN1" s="13" t="n"/>
      <c r="AO1" s="13" t="n"/>
      <c r="AP1" s="220" t="n"/>
      <c r="AQ1" s="13" t="n"/>
      <c r="AR1" s="13" t="n"/>
      <c r="AS1" s="13" t="n"/>
    </row>
    <row r="2" hidden="1" customFormat="1" s="13">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103" t="n"/>
      <c r="T2" s="13" t="n"/>
      <c r="U2" s="13" t="n"/>
      <c r="V2" s="13" t="n"/>
      <c r="W2" s="13" t="n"/>
      <c r="X2" s="171" t="n"/>
      <c r="Y2" s="171" t="n"/>
      <c r="Z2" s="13" t="n"/>
      <c r="AA2" s="13" t="n"/>
      <c r="AB2" s="13" t="n"/>
      <c r="AC2" s="13" t="n"/>
      <c r="AD2" s="13" t="n"/>
      <c r="AE2" s="13" t="n"/>
      <c r="AF2" s="13" t="n"/>
      <c r="AG2" s="13" t="n"/>
      <c r="AH2" s="13" t="n"/>
      <c r="AI2" s="13" t="n"/>
      <c r="AJ2" s="13" t="n"/>
      <c r="AK2" s="13" t="n"/>
      <c r="AL2" s="13" t="n"/>
      <c r="AM2" s="13" t="n"/>
      <c r="AN2" s="13" t="n"/>
      <c r="AO2" s="13" t="n"/>
      <c r="AP2" s="220" t="n"/>
      <c r="AQ2" s="13" t="n"/>
      <c r="AR2" s="13" t="n"/>
      <c r="AS2" s="13" t="n"/>
    </row>
    <row r="3" hidden="1" customFormat="1" s="13">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103" t="n"/>
      <c r="T3" s="13" t="n"/>
      <c r="U3" s="13" t="n"/>
      <c r="V3" s="13" t="n"/>
      <c r="W3" s="13" t="n"/>
      <c r="X3" s="171" t="n"/>
      <c r="Y3" s="171" t="n"/>
      <c r="Z3" s="13" t="n"/>
      <c r="AA3" s="13" t="n"/>
      <c r="AB3" s="13" t="n"/>
      <c r="AC3" s="13" t="n"/>
      <c r="AD3" s="13" t="n"/>
      <c r="AE3" s="13" t="n"/>
      <c r="AF3" s="13" t="n"/>
      <c r="AG3" s="13" t="n"/>
      <c r="AH3" s="13" t="n"/>
      <c r="AI3" s="13" t="n"/>
      <c r="AJ3" s="13" t="n"/>
      <c r="AK3" s="13" t="n"/>
      <c r="AL3" s="13" t="n"/>
      <c r="AM3" s="13" t="n"/>
      <c r="AN3" s="13" t="n"/>
      <c r="AO3" s="13" t="n"/>
      <c r="AP3" s="220" t="n"/>
      <c r="AQ3" s="13" t="n"/>
      <c r="AR3" s="13" t="n"/>
      <c r="AS3" s="13" t="n"/>
    </row>
    <row r="4" hidden="1" customFormat="1" s="13">
      <c r="A4" s="175" t="inlineStr">
        <is>
          <t>C</t>
        </is>
      </c>
      <c r="B4" s="176">
        <f>IF(_epmOfflineCondition_,"C_CATEGORY",EPMDimensionType(,A4))</f>
        <v/>
      </c>
      <c r="C4" s="176">
        <f>IF(_epmOfflineCondition_,"C1001",IF(B4="","",EPMContextMember(,B4)))</f>
        <v/>
      </c>
      <c r="D4" s="176">
        <f>IF(_epmOfflineCondition_,"实际数/决算数",EPMMemberDesc(C4))</f>
        <v/>
      </c>
      <c r="E4" s="176" t="n"/>
      <c r="F4" s="13" t="n"/>
      <c r="G4" s="13" t="n"/>
      <c r="H4" s="184" t="inlineStr">
        <is>
          <t>预算年</t>
        </is>
      </c>
      <c r="I4" s="184">
        <f>"V_"&amp;$I$3</f>
        <v/>
      </c>
      <c r="J4" s="184">
        <f>$I$3&amp;".TOTAL"</f>
        <v/>
      </c>
      <c r="K4" s="13" t="n"/>
      <c r="L4" s="13" t="n"/>
      <c r="M4" s="13" t="n"/>
      <c r="N4" s="13" t="n"/>
      <c r="O4" s="13" t="n"/>
      <c r="P4" s="13" t="n"/>
      <c r="Q4" s="13" t="n"/>
      <c r="R4" s="13" t="n"/>
      <c r="S4" s="1103" t="n"/>
      <c r="T4" s="13" t="n"/>
      <c r="U4" s="13" t="n"/>
      <c r="V4" s="13" t="n"/>
      <c r="W4" s="13" t="n"/>
      <c r="X4" s="171" t="n"/>
      <c r="Y4" s="171" t="n"/>
      <c r="Z4" s="13" t="n"/>
      <c r="AA4" s="13" t="n"/>
      <c r="AB4" s="13" t="n"/>
      <c r="AC4" s="13" t="n"/>
      <c r="AD4" s="13" t="n"/>
      <c r="AE4" s="13" t="n"/>
      <c r="AF4" s="13" t="n"/>
      <c r="AG4" s="13" t="n"/>
      <c r="AH4" s="13" t="n"/>
      <c r="AI4" s="13" t="n"/>
      <c r="AJ4" s="13" t="n"/>
      <c r="AK4" s="13" t="n"/>
      <c r="AL4" s="13" t="n"/>
      <c r="AM4" s="13" t="n"/>
      <c r="AN4" s="13" t="n"/>
      <c r="AO4" s="13" t="n"/>
      <c r="AP4" s="220" t="n"/>
      <c r="AQ4" s="13" t="n"/>
      <c r="AR4" s="13" t="n"/>
      <c r="AS4" s="13" t="n"/>
    </row>
    <row r="5" hidden="1" customFormat="1" s="13">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13" t="n"/>
      <c r="V5" s="13" t="n"/>
      <c r="W5" s="13" t="n"/>
      <c r="X5" s="171" t="n"/>
      <c r="Y5" s="171" t="n"/>
      <c r="Z5" s="13" t="n"/>
      <c r="AA5" s="13" t="n"/>
      <c r="AB5" s="13" t="n"/>
      <c r="AC5" s="13" t="n"/>
      <c r="AD5" s="13" t="n"/>
      <c r="AE5" s="13" t="n"/>
      <c r="AF5" s="13" t="n"/>
      <c r="AG5" s="13" t="n"/>
      <c r="AH5" s="13" t="n"/>
      <c r="AI5" s="13" t="n"/>
      <c r="AJ5" s="13" t="n"/>
      <c r="AK5" s="13" t="n"/>
      <c r="AL5" s="13" t="n"/>
      <c r="AM5" s="13" t="n"/>
      <c r="AN5" s="13" t="n"/>
      <c r="AO5" s="13" t="n"/>
      <c r="AP5" s="220" t="n"/>
      <c r="AQ5" s="13" t="n"/>
      <c r="AR5" s="13" t="n"/>
      <c r="AS5" s="13" t="n"/>
    </row>
    <row r="6" hidden="1" customFormat="1" s="13">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103" t="n"/>
      <c r="T6" s="13" t="n"/>
      <c r="U6" s="13" t="n"/>
      <c r="V6" s="13" t="n"/>
      <c r="W6" s="13" t="n"/>
      <c r="X6" s="171" t="n"/>
      <c r="Y6" s="171" t="n"/>
      <c r="Z6" s="13" t="n"/>
      <c r="AA6" s="13" t="n"/>
      <c r="AB6" s="13" t="n"/>
      <c r="AC6" s="13" t="n"/>
      <c r="AD6" s="13" t="n"/>
      <c r="AE6" s="13" t="n"/>
      <c r="AF6" s="13" t="n"/>
      <c r="AG6" s="13" t="n"/>
      <c r="AH6" s="13" t="n"/>
      <c r="AI6" s="13" t="n"/>
      <c r="AJ6" s="13" t="n"/>
      <c r="AK6" s="13" t="n"/>
      <c r="AL6" s="13" t="n"/>
      <c r="AM6" s="13" t="n"/>
      <c r="AN6" s="13" t="n"/>
      <c r="AO6" s="13" t="n"/>
      <c r="AP6" s="220" t="n"/>
      <c r="AQ6" s="13" t="n"/>
      <c r="AR6" s="13" t="n"/>
      <c r="AS6" s="13" t="n"/>
    </row>
    <row r="7" hidden="1" customFormat="1" s="13">
      <c r="A7" s="175" t="inlineStr">
        <is>
          <t>R</t>
        </is>
      </c>
      <c r="B7" s="176">
        <f>IF(_epmOfflineCondition_,"C_RPTCURRENCY",EPMDimensionType(,A7))</f>
        <v/>
      </c>
      <c r="C7" s="176">
        <f>IF(_epmOfflineCondition_,"LC",IF(B7="","",EPMContextMember(,B7)))</f>
        <v/>
      </c>
      <c r="D7" s="176">
        <f>IF(_epmOfflineCondition_,"本位币",EPMMemberDesc(C7))</f>
        <v/>
      </c>
      <c r="E7" s="176" t="n"/>
      <c r="F7" s="13" t="n"/>
      <c r="G7" s="13" t="n"/>
      <c r="H7" s="13" t="n"/>
      <c r="I7" s="13" t="n"/>
      <c r="J7" s="13" t="n"/>
      <c r="K7" s="13" t="n"/>
      <c r="L7" s="13" t="n"/>
      <c r="M7" s="13" t="n"/>
      <c r="N7" s="13" t="n"/>
      <c r="O7" s="13" t="n"/>
      <c r="P7" s="13" t="n"/>
      <c r="Q7" s="13" t="n"/>
      <c r="R7" s="13" t="n"/>
      <c r="S7" s="1103" t="n"/>
      <c r="T7" s="13" t="n"/>
      <c r="U7" s="13" t="n"/>
      <c r="V7" s="13" t="n"/>
      <c r="W7" s="13" t="n"/>
      <c r="X7" s="171" t="n"/>
      <c r="Y7" s="171" t="n"/>
      <c r="Z7" s="13" t="n"/>
      <c r="AA7" s="13" t="n"/>
      <c r="AB7" s="13" t="n"/>
      <c r="AC7" s="13" t="n"/>
      <c r="AD7" s="13" t="n"/>
      <c r="AE7" s="13" t="n"/>
      <c r="AF7" s="13" t="n"/>
      <c r="AG7" s="13" t="n"/>
      <c r="AH7" s="13" t="n"/>
      <c r="AI7" s="13" t="n"/>
      <c r="AJ7" s="13" t="n"/>
      <c r="AK7" s="13" t="n"/>
      <c r="AL7" s="13" t="n"/>
      <c r="AM7" s="13" t="n"/>
      <c r="AN7" s="13" t="n"/>
      <c r="AO7" s="13" t="n"/>
      <c r="AP7" s="220" t="n"/>
      <c r="AQ7" s="13" t="n"/>
      <c r="AR7" s="13" t="n"/>
      <c r="AS7" s="13" t="n"/>
    </row>
    <row r="8" hidden="1" customFormat="1" s="13">
      <c r="A8" s="175" t="inlineStr">
        <is>
          <t>D</t>
        </is>
      </c>
      <c r="B8" s="176">
        <f>IF(_epmOfflineCondition_,"C_AUDITTRAIL",EPMDimensionType(,A8))</f>
        <v/>
      </c>
      <c r="C8" s="176">
        <f>IF(_epmOfflineCondition_,"DTOTAL",IF(B8="","",EPMContextMember(,B8)))</f>
        <v/>
      </c>
      <c r="D8" s="176">
        <f>IF(_epmOfflineCondition_,"全部审计线索",EPMMemberDesc(C8))</f>
        <v/>
      </c>
      <c r="E8" s="176" t="n"/>
      <c r="F8" s="13" t="n"/>
      <c r="G8" s="13" t="n"/>
      <c r="H8" s="184" t="inlineStr">
        <is>
          <t>本月</t>
        </is>
      </c>
      <c r="I8" s="184">
        <f>IF(_epmOfflineCondition_,"03",RIGHT("0"&amp;EPMMemberProperty(,EPMContextMember(,"C_TIME"),"MONTHNUM"),2))</f>
        <v/>
      </c>
      <c r="J8" s="13" t="n"/>
      <c r="K8" s="13" t="n"/>
      <c r="L8" s="13" t="n"/>
      <c r="M8" s="13" t="n"/>
      <c r="N8" s="13" t="n"/>
      <c r="O8" s="13" t="n"/>
      <c r="P8" s="13" t="n"/>
      <c r="Q8" s="13" t="n"/>
      <c r="R8" s="13" t="n"/>
      <c r="S8" s="1103" t="n"/>
      <c r="T8" s="13" t="n"/>
      <c r="U8" s="13" t="n"/>
      <c r="V8" s="13" t="n"/>
      <c r="W8" s="13" t="n"/>
      <c r="X8" s="171" t="n"/>
      <c r="Y8" s="171" t="n"/>
      <c r="Z8" s="13" t="n"/>
      <c r="AA8" s="13" t="n"/>
      <c r="AB8" s="13" t="n"/>
      <c r="AC8" s="13" t="n"/>
      <c r="AD8" s="13" t="n"/>
      <c r="AE8" s="13" t="n"/>
      <c r="AF8" s="13" t="n"/>
      <c r="AG8" s="13" t="n"/>
      <c r="AH8" s="13" t="n"/>
      <c r="AI8" s="13" t="n"/>
      <c r="AJ8" s="13" t="n"/>
      <c r="AK8" s="13" t="n"/>
      <c r="AL8" s="13" t="n"/>
      <c r="AM8" s="13" t="n"/>
      <c r="AN8" s="13" t="n"/>
      <c r="AO8" s="13" t="n"/>
      <c r="AP8" s="220" t="n"/>
      <c r="AQ8" s="13" t="n"/>
      <c r="AR8" s="13" t="n"/>
      <c r="AS8" s="13" t="n"/>
    </row>
    <row r="9" hidden="1" customFormat="1" s="13">
      <c r="A9" s="175" t="inlineStr">
        <is>
          <t>S</t>
        </is>
      </c>
      <c r="B9" s="176">
        <f>IF(_epmOfflineCondition_,"C_FLOW",EPMDimensionType(,A9))</f>
        <v/>
      </c>
      <c r="C9" s="176">
        <f>IF(_epmOfflineCondition_,"FTOTAL",IF(B9="","",EPMContextMember(,B9)))</f>
        <v/>
      </c>
      <c r="D9" s="176">
        <f>IF(_epmOfflineCondition_,"全部变动",EPMMemberDesc(C9))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13" t="n"/>
      <c r="V9" s="13" t="n"/>
      <c r="W9" s="13" t="n"/>
      <c r="X9" s="171" t="n"/>
      <c r="Y9" s="171" t="n"/>
      <c r="Z9" s="13" t="n"/>
      <c r="AA9" s="13" t="n"/>
      <c r="AB9" s="13" t="n"/>
      <c r="AC9" s="13" t="n"/>
      <c r="AD9" s="13" t="n"/>
      <c r="AE9" s="13" t="n"/>
      <c r="AF9" s="13" t="n"/>
      <c r="AG9" s="13" t="n"/>
      <c r="AH9" s="13" t="n"/>
      <c r="AI9" s="13" t="n"/>
      <c r="AJ9" s="13" t="n"/>
      <c r="AK9" s="13" t="n"/>
      <c r="AL9" s="13" t="n"/>
      <c r="AM9" s="13" t="n"/>
      <c r="AN9" s="13" t="n"/>
      <c r="AO9" s="13" t="n"/>
      <c r="AP9" s="220" t="n"/>
      <c r="AQ9" s="13" t="n"/>
      <c r="AR9" s="13" t="n"/>
      <c r="AS9" s="13" t="n"/>
    </row>
    <row r="10" hidden="1" customFormat="1" s="13">
      <c r="A10" s="175" t="inlineStr">
        <is>
          <t>I</t>
        </is>
      </c>
      <c r="B10" s="176">
        <f>IF(_epmOfflineCondition_,"C_INTERCO",EPMDimensionType(,A10))</f>
        <v/>
      </c>
      <c r="C10" s="176">
        <f>IF(_epmOfflineCondition_,"I_ALL",IF(B10="","",EPMContextMember(,B10)))</f>
        <v/>
      </c>
      <c r="D10" s="176">
        <f>IF(_epmOfflineCondition_,"全部贸易伙伴",EPMMemberDesc(C10))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13" t="n"/>
      <c r="V10" s="13" t="n"/>
      <c r="W10" s="13" t="n"/>
      <c r="X10" s="171" t="n"/>
      <c r="Y10" s="171" t="n"/>
      <c r="Z10" s="13" t="n"/>
      <c r="AA10" s="13" t="n"/>
      <c r="AB10" s="13" t="n"/>
      <c r="AC10" s="13" t="n"/>
      <c r="AD10" s="13" t="n"/>
      <c r="AE10" s="13" t="n"/>
      <c r="AF10" s="13" t="n"/>
      <c r="AG10" s="13" t="n"/>
      <c r="AH10" s="13" t="n"/>
      <c r="AI10" s="13" t="n"/>
      <c r="AJ10" s="13" t="n"/>
      <c r="AK10" s="13" t="n"/>
      <c r="AL10" s="13" t="n"/>
      <c r="AM10" s="13" t="n"/>
      <c r="AN10" s="13" t="n"/>
      <c r="AO10" s="13" t="n"/>
      <c r="AP10" s="220" t="n"/>
      <c r="AQ10" s="13" t="n"/>
      <c r="AR10" s="13" t="n"/>
      <c r="AS10" s="13" t="n"/>
    </row>
    <row r="11" hidden="1" customFormat="1" s="13">
      <c r="A11" s="175" t="inlineStr">
        <is>
          <t>G</t>
        </is>
      </c>
      <c r="B11" s="176">
        <f>IF(_epmOfflineCondition_,"C_SCOPE",EPMDimensionType(,A11))</f>
        <v/>
      </c>
      <c r="C11" s="176">
        <f>IF(_epmOfflineCondition_,"G_DUMMY",IF(B11="","",EPMContextMember(,B11)))</f>
        <v/>
      </c>
      <c r="D11" s="176">
        <f>IF(_epmOfflineCondition_,"合并范围无关",EPMMemberDesc(C11))</f>
        <v/>
      </c>
      <c r="E11" s="176">
        <f>IF(OR(RIGHT(C11,1)="P",RIGHT(C11,1)="S"),LEFT(C11,LEN(C11)-1),C11)</f>
        <v/>
      </c>
      <c r="F11" s="13" t="n"/>
      <c r="G11" s="13" t="n"/>
      <c r="H11" s="184" t="inlineStr">
        <is>
          <t xml:space="preserve">本年月 </t>
        </is>
      </c>
      <c r="I11" s="184">
        <f>I3&amp;"."&amp;I8</f>
        <v/>
      </c>
      <c r="J11" s="13" t="n"/>
      <c r="K11" s="13" t="n"/>
      <c r="L11" s="13" t="n"/>
      <c r="M11" s="13" t="n"/>
      <c r="N11" s="13" t="n"/>
      <c r="O11" s="13" t="n"/>
      <c r="P11" s="13" t="n"/>
      <c r="Q11" s="13" t="n"/>
      <c r="R11" s="13" t="n"/>
      <c r="S11" s="1103" t="n"/>
      <c r="T11" s="13" t="n"/>
      <c r="U11" s="13" t="n"/>
      <c r="V11" s="13" t="n"/>
      <c r="W11" s="13" t="n"/>
      <c r="X11" s="171" t="n"/>
      <c r="Y11" s="171" t="n"/>
      <c r="Z11" s="13" t="n"/>
      <c r="AA11" s="13" t="n"/>
      <c r="AB11" s="13" t="n"/>
      <c r="AC11" s="13" t="n"/>
      <c r="AD11" s="13" t="n"/>
      <c r="AE11" s="13" t="n"/>
      <c r="AF11" s="13" t="n"/>
      <c r="AG11" s="13" t="n"/>
      <c r="AH11" s="13" t="n"/>
      <c r="AI11" s="13" t="n"/>
      <c r="AJ11" s="13" t="n"/>
      <c r="AK11" s="13" t="n"/>
      <c r="AL11" s="13" t="n"/>
      <c r="AM11" s="13" t="n"/>
      <c r="AN11" s="13" t="n"/>
      <c r="AO11" s="13" t="n"/>
      <c r="AP11" s="220" t="n"/>
      <c r="AQ11" s="13" t="n"/>
      <c r="AR11" s="13" t="n"/>
      <c r="AS11" s="13" t="n"/>
    </row>
    <row r="12" hidden="1" customFormat="1" s="13">
      <c r="A12" s="175" t="inlineStr">
        <is>
          <t>U8</t>
        </is>
      </c>
      <c r="B12" s="176">
        <f>IF(_epmOfflineCondition_,"C_PROJECT",EPMDimensionType(,A12))</f>
        <v/>
      </c>
      <c r="C12" s="176">
        <f>IF(_epmOfflineCondition_,"ZP_ALL",IF(B12="","",EPMContextMember(,B12)))</f>
        <v/>
      </c>
      <c r="D12" s="176">
        <f>IF(_epmOfflineCondition_,"项目合计",EPMMemberDesc(C12))</f>
        <v/>
      </c>
      <c r="E12" s="176" t="n"/>
      <c r="F12" s="13" t="n"/>
      <c r="G12" s="13" t="n"/>
      <c r="H12" s="184" t="inlineStr">
        <is>
          <t>上年月</t>
        </is>
      </c>
      <c r="I12" s="184">
        <f>IF(I8="01",I10&amp;"."&amp;I9,I3&amp;"."&amp;I9)</f>
        <v/>
      </c>
      <c r="J12" s="13" t="n"/>
      <c r="K12" s="13" t="n"/>
      <c r="L12" s="13" t="n"/>
      <c r="M12" s="13" t="n"/>
      <c r="N12" s="13" t="n"/>
      <c r="O12" s="13" t="n"/>
      <c r="P12" s="13" t="n"/>
      <c r="Q12" s="13" t="n"/>
      <c r="R12" s="13" t="n"/>
      <c r="S12" s="1103" t="n"/>
      <c r="T12" s="13" t="n"/>
      <c r="U12" s="13" t="n"/>
      <c r="V12" s="13" t="n"/>
      <c r="W12" s="13" t="n"/>
      <c r="X12" s="171" t="n"/>
      <c r="Y12" s="171" t="n"/>
      <c r="Z12" s="13" t="n"/>
      <c r="AA12" s="13" t="n"/>
      <c r="AB12" s="13" t="n"/>
      <c r="AC12" s="13" t="n"/>
      <c r="AD12" s="13" t="n"/>
      <c r="AE12" s="13" t="n"/>
      <c r="AF12" s="13" t="n"/>
      <c r="AG12" s="13" t="n"/>
      <c r="AH12" s="13" t="n"/>
      <c r="AI12" s="13" t="n"/>
      <c r="AJ12" s="13" t="n"/>
      <c r="AK12" s="13" t="n"/>
      <c r="AL12" s="13" t="n"/>
      <c r="AM12" s="13" t="n"/>
      <c r="AN12" s="13" t="n"/>
      <c r="AO12" s="13" t="n"/>
      <c r="AP12" s="220" t="n"/>
      <c r="AQ12" s="13" t="n"/>
      <c r="AR12" s="13" t="n"/>
      <c r="AS12" s="13" t="n"/>
    </row>
    <row r="13" hidden="1" customFormat="1" s="13">
      <c r="A13" s="175" t="inlineStr">
        <is>
          <t>U9</t>
        </is>
      </c>
      <c r="B13" s="176">
        <f>IF(_epmOfflineCondition_,"C_ITEM",EPMDimensionType(,A13))</f>
        <v/>
      </c>
      <c r="C13" s="176">
        <f>IF(_epmOfflineCondition_,"ZI_ALL",IF(B13="","",EPMContextMember(,B13)))</f>
        <v/>
      </c>
      <c r="D13" s="176">
        <f>IF(_epmOfflineCondition_,"全部ITEM",EPMMemberDesc(C13))</f>
        <v/>
      </c>
      <c r="E13" s="176" t="n"/>
      <c r="F13" s="13" t="n"/>
      <c r="G13" s="13" t="n"/>
      <c r="H13" s="184" t="inlineStr">
        <is>
          <t xml:space="preserve">上年同期 </t>
        </is>
      </c>
      <c r="I13" s="184">
        <f>I10&amp;"."&amp;I8</f>
        <v/>
      </c>
      <c r="J13" s="13" t="n"/>
      <c r="K13" s="13" t="n"/>
      <c r="L13" s="13" t="n"/>
      <c r="M13" s="13" t="n"/>
      <c r="N13" s="13" t="n"/>
      <c r="O13" s="13" t="n"/>
      <c r="P13" s="13" t="n"/>
      <c r="Q13" s="13" t="n"/>
      <c r="R13" s="13" t="n"/>
      <c r="S13" s="1103" t="n"/>
      <c r="T13" s="13" t="n"/>
      <c r="U13" s="13" t="n"/>
      <c r="V13" s="13" t="n"/>
      <c r="W13" s="13" t="n"/>
      <c r="X13" s="171" t="n"/>
      <c r="Y13" s="171" t="n"/>
      <c r="Z13" s="13" t="n"/>
      <c r="AA13" s="13" t="n"/>
      <c r="AB13" s="13" t="n"/>
      <c r="AC13" s="13" t="n"/>
      <c r="AD13" s="13" t="n"/>
      <c r="AE13" s="13" t="n"/>
      <c r="AF13" s="13" t="n"/>
      <c r="AG13" s="13" t="n"/>
      <c r="AH13" s="13" t="n"/>
      <c r="AI13" s="13" t="n"/>
      <c r="AJ13" s="13" t="n"/>
      <c r="AK13" s="13" t="n"/>
      <c r="AL13" s="13" t="n"/>
      <c r="AM13" s="13" t="n"/>
      <c r="AN13" s="13" t="n"/>
      <c r="AO13" s="13" t="n"/>
      <c r="AP13" s="220" t="n"/>
      <c r="AQ13" s="13" t="n"/>
      <c r="AR13" s="13" t="n"/>
      <c r="AS13" s="13" t="n"/>
    </row>
    <row r="14" hidden="1" customFormat="1" s="13">
      <c r="A14" s="175" t="inlineStr">
        <is>
          <t>U10</t>
        </is>
      </c>
      <c r="B14" s="176">
        <f>IF(_epmOfflineCondition_,"C_MISK",EPMDimensionType(,A14))</f>
        <v/>
      </c>
      <c r="C14" s="176">
        <f>IF(_epmOfflineCondition_,"ZM_ALL",IF(B14="","",EPMContextMember(,B14)))</f>
        <v/>
      </c>
      <c r="D14" s="176">
        <f>IF(_epmOfflineCondition_,"ALL",EPMMemberDesc(C14))</f>
        <v/>
      </c>
      <c r="E14" s="176" t="n"/>
      <c r="F14" s="13" t="n"/>
      <c r="G14" s="13" t="n"/>
      <c r="H14" s="13" t="n"/>
      <c r="I14" s="13" t="n"/>
      <c r="J14" s="13" t="n"/>
      <c r="K14" s="13" t="n"/>
      <c r="L14" s="13" t="n"/>
      <c r="M14" s="13" t="n"/>
      <c r="N14" s="13" t="n"/>
      <c r="O14" s="13" t="n"/>
      <c r="P14" s="13" t="n"/>
      <c r="Q14" s="13" t="n"/>
      <c r="R14" s="13" t="n"/>
      <c r="S14" s="1103" t="n"/>
      <c r="T14" s="13" t="n"/>
      <c r="U14" s="13" t="n"/>
      <c r="V14" s="13" t="n"/>
      <c r="W14" s="13" t="n"/>
      <c r="X14" s="171" t="n"/>
      <c r="Y14" s="171" t="n"/>
      <c r="Z14" s="13" t="n"/>
      <c r="AA14" s="13" t="n"/>
      <c r="AB14" s="13" t="n"/>
      <c r="AC14" s="13" t="n"/>
      <c r="AD14" s="13" t="n"/>
      <c r="AE14" s="13" t="n"/>
      <c r="AF14" s="13" t="n"/>
      <c r="AG14" s="13" t="n"/>
      <c r="AH14" s="13" t="n"/>
      <c r="AI14" s="13" t="n"/>
      <c r="AJ14" s="13" t="n"/>
      <c r="AK14" s="13" t="n"/>
      <c r="AL14" s="13" t="n"/>
      <c r="AM14" s="13" t="n"/>
      <c r="AN14" s="13" t="n"/>
      <c r="AO14" s="13" t="n"/>
      <c r="AP14" s="220" t="n"/>
      <c r="AQ14" s="13" t="n"/>
      <c r="AR14" s="13" t="n"/>
      <c r="AS14" s="13" t="n"/>
    </row>
    <row r="15" hidden="1" customFormat="1" s="13">
      <c r="A15" s="13" t="n"/>
      <c r="B15" s="1103" t="n"/>
      <c r="C15" s="1103" t="n"/>
      <c r="D15" s="1103" t="n"/>
      <c r="E15" s="13" t="n"/>
      <c r="F15" s="13" t="n"/>
      <c r="G15" s="13" t="n"/>
      <c r="H15" s="681">
        <f>E11</f>
        <v/>
      </c>
      <c r="I15" s="13" t="n"/>
      <c r="J15" s="13" t="n"/>
      <c r="K15" s="13" t="n"/>
      <c r="L15" s="13" t="n"/>
      <c r="M15" s="13" t="n"/>
      <c r="N15" s="13" t="n"/>
      <c r="O15" s="13" t="n"/>
      <c r="P15" s="13" t="n"/>
      <c r="Q15" s="13" t="n"/>
      <c r="R15" s="13" t="n"/>
      <c r="S15" s="1103" t="n"/>
      <c r="T15" s="13" t="n"/>
      <c r="U15" s="13" t="n"/>
      <c r="V15" s="13" t="n"/>
      <c r="W15" s="13" t="n"/>
      <c r="X15" s="171" t="n"/>
      <c r="Y15" s="171" t="n"/>
      <c r="Z15" s="13" t="n"/>
      <c r="AA15" s="13" t="n"/>
      <c r="AB15" s="13" t="n"/>
      <c r="AC15" s="13" t="n"/>
      <c r="AD15" s="13" t="n"/>
      <c r="AE15" s="13" t="n"/>
      <c r="AF15" s="13" t="n"/>
      <c r="AG15" s="13" t="n"/>
      <c r="AH15" s="13" t="n"/>
      <c r="AI15" s="13" t="n"/>
      <c r="AJ15" s="13" t="n"/>
      <c r="AK15" s="13" t="n"/>
      <c r="AL15" s="13" t="n"/>
      <c r="AM15" s="13" t="n"/>
      <c r="AN15" s="13" t="n"/>
      <c r="AO15" s="13" t="n"/>
      <c r="AP15" s="220" t="n"/>
      <c r="AQ15" s="13" t="n"/>
      <c r="AR15" s="13" t="n"/>
      <c r="AS15" s="13" t="n"/>
    </row>
    <row r="16" hidden="1" customFormat="1" s="13">
      <c r="A16" s="13" t="n"/>
      <c r="B16" s="13" t="n"/>
      <c r="C16" s="13" t="n"/>
      <c r="D16" s="174" t="inlineStr">
        <is>
          <t>页轴</t>
        </is>
      </c>
      <c r="E16" s="1183" t="n"/>
      <c r="F16" s="13" t="n"/>
      <c r="G16" s="13" t="n"/>
      <c r="H16" s="681">
        <f>IF(_epmOfflineCondition_,"E_DUMMY",EPMMemberProperty(,H15,"GENTITY"))</f>
        <v/>
      </c>
      <c r="I16" s="13" t="n"/>
      <c r="J16" s="13" t="n"/>
      <c r="K16" s="13" t="n"/>
      <c r="L16" s="13" t="n"/>
      <c r="M16" s="13" t="n"/>
      <c r="N16" s="13" t="n"/>
      <c r="O16" s="13" t="n"/>
      <c r="P16" s="13" t="n"/>
      <c r="Q16" s="13" t="n"/>
      <c r="R16" s="13" t="n"/>
      <c r="S16" s="1103" t="n"/>
      <c r="T16" s="13" t="n"/>
      <c r="U16" s="13" t="n"/>
      <c r="V16" s="13" t="n"/>
      <c r="W16" s="13" t="n"/>
      <c r="X16" s="171" t="n"/>
      <c r="Y16" s="171" t="n"/>
      <c r="Z16" s="13" t="n"/>
      <c r="AA16" s="13" t="n"/>
      <c r="AB16" s="13" t="n"/>
      <c r="AC16" s="13" t="n"/>
      <c r="AD16" s="13" t="n"/>
      <c r="AE16" s="13" t="n"/>
      <c r="AF16" s="13" t="n"/>
      <c r="AG16" s="13" t="n"/>
      <c r="AH16" s="13" t="n"/>
      <c r="AI16" s="13" t="n"/>
      <c r="AJ16" s="13" t="n"/>
      <c r="AK16" s="13" t="n"/>
      <c r="AL16" s="13" t="n"/>
      <c r="AM16" s="13" t="n"/>
      <c r="AN16" s="13" t="n"/>
      <c r="AO16" s="13" t="n"/>
      <c r="AP16" s="220" t="n"/>
      <c r="AQ16" s="13" t="n"/>
      <c r="AR16" s="13" t="n"/>
      <c r="AS16" s="13" t="n"/>
    </row>
    <row r="17" hidden="1" customFormat="1" s="13">
      <c r="A17" s="174" t="inlineStr">
        <is>
          <t>维度类型</t>
        </is>
      </c>
      <c r="B17" s="174" t="inlineStr">
        <is>
          <t>维度</t>
        </is>
      </c>
      <c r="C17" s="178" t="inlineStr">
        <is>
          <t>页轴替换</t>
        </is>
      </c>
      <c r="D17" s="174" t="inlineStr">
        <is>
          <t>报表001</t>
        </is>
      </c>
      <c r="E17" s="174" t="inlineStr">
        <is>
          <t>报表002</t>
        </is>
      </c>
      <c r="F17" s="13" t="n"/>
      <c r="G17" s="13" t="n"/>
      <c r="H17" s="681">
        <f>IF(H15="G_DUMMY",$C$6,$H$16)</f>
        <v/>
      </c>
      <c r="I17" s="13" t="n"/>
      <c r="J17" s="13" t="n"/>
      <c r="K17" s="13" t="n"/>
      <c r="L17" s="13" t="n"/>
      <c r="M17" s="13" t="n"/>
      <c r="N17" s="13" t="n"/>
      <c r="O17" s="13" t="n"/>
      <c r="P17" s="13" t="n"/>
      <c r="Q17" s="13" t="n"/>
      <c r="R17" s="13" t="n"/>
      <c r="S17" s="1103" t="n"/>
      <c r="T17" s="13" t="n"/>
      <c r="U17" s="13" t="n"/>
      <c r="V17" s="13" t="n"/>
      <c r="W17" s="13" t="n"/>
      <c r="X17" s="171" t="n"/>
      <c r="Y17" s="171" t="n"/>
      <c r="Z17" s="13" t="n"/>
      <c r="AA17" s="13" t="n"/>
      <c r="AB17" s="13" t="n"/>
      <c r="AC17" s="13" t="n"/>
      <c r="AD17" s="13" t="n"/>
      <c r="AE17" s="13" t="n"/>
      <c r="AF17" s="13" t="n"/>
      <c r="AG17" s="13" t="n"/>
      <c r="AH17" s="13" t="n"/>
      <c r="AI17" s="13" t="n"/>
      <c r="AJ17" s="13" t="n"/>
      <c r="AK17" s="13" t="n"/>
      <c r="AL17" s="13" t="n"/>
      <c r="AM17" s="13" t="n"/>
      <c r="AN17" s="13" t="n"/>
      <c r="AO17" s="13" t="n"/>
      <c r="AP17" s="220" t="n"/>
      <c r="AQ17" s="13" t="n"/>
      <c r="AR17" s="13" t="n"/>
      <c r="AS17" s="13" t="n"/>
    </row>
    <row r="18" hidden="1" customFormat="1" s="13">
      <c r="A18" s="175" t="inlineStr">
        <is>
          <t>A</t>
        </is>
      </c>
      <c r="B18" s="176">
        <f>IF(_epmOfflineCondition_,"C_ACCOUNT",EPMDimensionType(,A18))</f>
        <v/>
      </c>
      <c r="C18" s="182" t="inlineStr">
        <is>
          <t>A_NOUSED</t>
        </is>
      </c>
      <c r="D18" s="180" t="n"/>
      <c r="E18" s="13" t="n"/>
      <c r="F18" s="13" t="n"/>
      <c r="G18" s="13" t="n"/>
      <c r="H18" s="13" t="n"/>
      <c r="I18" s="13" t="n"/>
      <c r="J18" s="13" t="n"/>
      <c r="K18" s="13" t="n"/>
      <c r="L18" s="13" t="n"/>
      <c r="M18" s="13" t="n"/>
      <c r="N18" s="13" t="n"/>
      <c r="O18" s="13" t="n"/>
      <c r="P18" s="13" t="n"/>
      <c r="Q18" s="13" t="n"/>
      <c r="R18" s="13" t="n"/>
      <c r="S18" s="1103" t="n"/>
      <c r="T18" s="13" t="n"/>
      <c r="U18" s="13" t="n"/>
      <c r="V18" s="13" t="n"/>
      <c r="W18" s="13" t="n"/>
      <c r="X18" s="171" t="n"/>
      <c r="Y18" s="171" t="n"/>
      <c r="Z18" s="13" t="n"/>
      <c r="AA18" s="13" t="n"/>
      <c r="AB18" s="13" t="n"/>
      <c r="AC18" s="13" t="n"/>
      <c r="AD18" s="13" t="n"/>
      <c r="AE18" s="13" t="n"/>
      <c r="AF18" s="13" t="n"/>
      <c r="AG18" s="13" t="n"/>
      <c r="AH18" s="13" t="n"/>
      <c r="AI18" s="13" t="n"/>
      <c r="AJ18" s="13" t="n"/>
      <c r="AK18" s="13" t="n"/>
      <c r="AL18" s="13" t="n"/>
      <c r="AM18" s="13" t="n"/>
      <c r="AN18" s="13" t="n"/>
      <c r="AO18" s="13" t="n"/>
      <c r="AP18" s="220" t="n"/>
      <c r="AQ18" s="13" t="n"/>
      <c r="AR18" s="13" t="n"/>
      <c r="AS18" s="13" t="n"/>
    </row>
    <row r="19" hidden="1" customFormat="1" s="13">
      <c r="A19" s="175" t="inlineStr">
        <is>
          <t>C</t>
        </is>
      </c>
      <c r="B19" s="176">
        <f>IF(_epmOfflineCondition_,"C_CATEGORY",EPMDimensionType(,A19))</f>
        <v/>
      </c>
      <c r="C19" s="182" t="inlineStr">
        <is>
          <t>C_DUMMY</t>
        </is>
      </c>
      <c r="D19" s="180" t="n"/>
      <c r="E19" s="13" t="n"/>
      <c r="F19" s="13" t="n"/>
      <c r="G19" s="13" t="n"/>
      <c r="H19" s="13" t="n"/>
      <c r="I19" s="13" t="n"/>
      <c r="J19" s="13" t="n"/>
      <c r="K19" s="13" t="n"/>
      <c r="L19" s="13" t="n"/>
      <c r="M19" s="13" t="n"/>
      <c r="N19" s="13" t="n"/>
      <c r="O19" s="13" t="n"/>
      <c r="P19" s="13" t="n"/>
      <c r="Q19" s="13" t="n"/>
      <c r="R19" s="13" t="n"/>
      <c r="S19" s="1103" t="n"/>
      <c r="T19" s="13" t="n"/>
      <c r="U19" s="13" t="n"/>
      <c r="V19" s="13" t="n"/>
      <c r="W19" s="13" t="n"/>
      <c r="X19" s="171" t="n"/>
      <c r="Y19" s="171" t="n"/>
      <c r="Z19" s="13" t="n"/>
      <c r="AA19" s="13" t="n"/>
      <c r="AB19" s="13" t="n"/>
      <c r="AC19" s="13" t="n"/>
      <c r="AD19" s="13" t="n"/>
      <c r="AE19" s="13" t="n"/>
      <c r="AF19" s="13" t="n"/>
      <c r="AG19" s="13" t="n"/>
      <c r="AH19" s="13" t="n"/>
      <c r="AI19" s="13" t="n"/>
      <c r="AJ19" s="13" t="n"/>
      <c r="AK19" s="13" t="n"/>
      <c r="AL19" s="13" t="n"/>
      <c r="AM19" s="13" t="n"/>
      <c r="AN19" s="13" t="n"/>
      <c r="AO19" s="13" t="n"/>
      <c r="AP19" s="220" t="n"/>
      <c r="AQ19" s="13" t="n"/>
      <c r="AR19" s="13" t="n"/>
      <c r="AS19" s="13" t="n"/>
    </row>
    <row r="20" hidden="1" customFormat="1" s="13">
      <c r="A20" s="175" t="inlineStr">
        <is>
          <t>T</t>
        </is>
      </c>
      <c r="B20" s="176">
        <f>IF(_epmOfflineCondition_,"C_TIME",EPMDimensionType(,A20))</f>
        <v/>
      </c>
      <c r="C20" s="672" t="inlineStr">
        <is>
          <t>T_DUMMY</t>
        </is>
      </c>
      <c r="D20" s="180" t="n"/>
      <c r="E20" s="13" t="n"/>
      <c r="F20" s="384" t="n"/>
      <c r="G20" s="384" t="n"/>
      <c r="H20" s="13" t="n"/>
      <c r="I20" s="13" t="n"/>
      <c r="J20" s="13" t="n"/>
      <c r="K20" s="13" t="n"/>
      <c r="L20" s="13" t="n"/>
      <c r="M20" s="13" t="n"/>
      <c r="N20" s="13" t="n"/>
      <c r="O20" s="13" t="n"/>
      <c r="P20" s="13" t="n"/>
      <c r="Q20" s="13" t="n"/>
      <c r="R20" s="13" t="n"/>
      <c r="S20" s="1103" t="n"/>
      <c r="T20" s="13" t="n"/>
      <c r="U20" s="13" t="n"/>
      <c r="V20" s="13" t="n"/>
      <c r="W20" s="13" t="n"/>
      <c r="X20" s="171" t="n"/>
      <c r="Y20" s="171" t="n"/>
      <c r="Z20" s="384" t="n"/>
      <c r="AA20" s="13" t="n"/>
      <c r="AB20" s="13" t="n"/>
      <c r="AC20" s="13" t="n"/>
      <c r="AD20" s="13" t="n"/>
      <c r="AE20" s="13" t="n"/>
      <c r="AF20" s="13" t="n"/>
      <c r="AG20" s="13" t="n"/>
      <c r="AH20" s="13" t="n"/>
      <c r="AI20" s="13" t="n"/>
      <c r="AJ20" s="13" t="n"/>
      <c r="AK20" s="13" t="n"/>
      <c r="AL20" s="13" t="n"/>
      <c r="AM20" s="13" t="n"/>
      <c r="AN20" s="13" t="n"/>
      <c r="AO20" s="13" t="n"/>
      <c r="AP20" s="220" t="n"/>
      <c r="AQ20" s="13" t="n"/>
      <c r="AR20" s="13" t="n"/>
      <c r="AS20" s="13" t="n"/>
    </row>
    <row r="21" hidden="1" customFormat="1" s="13">
      <c r="A21" s="175" t="inlineStr">
        <is>
          <t>E</t>
        </is>
      </c>
      <c r="B21" s="176">
        <f>IF(_epmOfflineCondition_,"C_ENTITY",EPMDimensionType(,A21))</f>
        <v/>
      </c>
      <c r="C21" s="447">
        <f>IF(_epmOfflineCondition_,"E100787",IF(B21="","",EPMContextMember(,B21)))</f>
        <v/>
      </c>
      <c r="D21" s="390">
        <f>IF(_epmOfflineCondition_,"E100787",EPMOlapMemberO($H$17,"[C_ENTITY].[PARENTH1].[E100787]","E100787 - 内蒙古京能苏尼特风力发电有限公司（内蒙古分公司）","","000"))</f>
        <v/>
      </c>
      <c r="E21" s="13" t="n"/>
      <c r="F21" s="384" t="n"/>
      <c r="G21" s="384" t="n"/>
      <c r="H21" s="13" t="n"/>
      <c r="I21" s="13" t="n"/>
      <c r="J21" s="13" t="n"/>
      <c r="K21" s="13" t="n"/>
      <c r="L21" s="13" t="n"/>
      <c r="M21" s="13" t="n"/>
      <c r="N21" s="13" t="n"/>
      <c r="O21" s="13" t="n"/>
      <c r="P21" s="13" t="n"/>
      <c r="Q21" s="13" t="n"/>
      <c r="R21" s="13" t="n"/>
      <c r="S21" s="1103" t="n"/>
      <c r="T21" s="13" t="n"/>
      <c r="U21" s="13" t="n"/>
      <c r="V21" s="13" t="n"/>
      <c r="W21" s="13" t="n"/>
      <c r="X21" s="171" t="n"/>
      <c r="Y21" s="171" t="n"/>
      <c r="Z21" s="384" t="n"/>
      <c r="AA21" s="13" t="n"/>
      <c r="AB21" s="13" t="n"/>
      <c r="AC21" s="13" t="n"/>
      <c r="AD21" s="13" t="n"/>
      <c r="AE21" s="13" t="n"/>
      <c r="AF21" s="13" t="n"/>
      <c r="AG21" s="13" t="n"/>
      <c r="AH21" s="13" t="n"/>
      <c r="AI21" s="13" t="n"/>
      <c r="AJ21" s="13" t="n"/>
      <c r="AK21" s="13" t="n"/>
      <c r="AL21" s="13" t="n"/>
      <c r="AM21" s="13" t="n"/>
      <c r="AN21" s="13" t="n"/>
      <c r="AO21" s="13" t="n"/>
      <c r="AP21" s="220" t="n"/>
      <c r="AQ21" s="13" t="n"/>
      <c r="AR21" s="13" t="n"/>
      <c r="AS21" s="13" t="n"/>
    </row>
    <row r="22" hidden="1" customFormat="1" s="13">
      <c r="A22" s="175" t="inlineStr">
        <is>
          <t>R</t>
        </is>
      </c>
      <c r="B22" s="176">
        <f>IF(_epmOfflineCondition_,"C_RPTCURRENCY",EPMDimensionType(,A22))</f>
        <v/>
      </c>
      <c r="C22" s="182">
        <f>IF(H15="G_DUMMY",Z37,"CNY")</f>
        <v/>
      </c>
      <c r="D22" s="390" t="n"/>
      <c r="E22" s="13" t="n"/>
      <c r="F22" s="384" t="n"/>
      <c r="G22" s="384" t="n"/>
      <c r="H22" s="13" t="n"/>
      <c r="I22" s="13" t="n"/>
      <c r="J22" s="13" t="n"/>
      <c r="K22" s="13" t="n"/>
      <c r="L22" s="13" t="n"/>
      <c r="M22" s="13" t="n"/>
      <c r="N22" s="13" t="n"/>
      <c r="O22" s="13" t="n"/>
      <c r="P22" s="13" t="n"/>
      <c r="Q22" s="13" t="n"/>
      <c r="R22" s="13" t="n"/>
      <c r="S22" s="1103" t="n"/>
      <c r="T22" s="13" t="n"/>
      <c r="U22" s="13" t="n"/>
      <c r="V22" s="13" t="n"/>
      <c r="W22" s="13" t="n"/>
      <c r="X22" s="171" t="n"/>
      <c r="Y22" s="171" t="n"/>
      <c r="Z22" s="384" t="n"/>
      <c r="AA22" s="13" t="n"/>
      <c r="AB22" s="13" t="n"/>
      <c r="AC22" s="13" t="n"/>
      <c r="AD22" s="13" t="n"/>
      <c r="AE22" s="13" t="n"/>
      <c r="AF22" s="13" t="n"/>
      <c r="AG22" s="13" t="n"/>
      <c r="AH22" s="13" t="n"/>
      <c r="AI22" s="13" t="n"/>
      <c r="AJ22" s="13" t="n"/>
      <c r="AK22" s="13" t="n"/>
      <c r="AL22" s="13" t="n"/>
      <c r="AM22" s="13" t="n"/>
      <c r="AN22" s="13" t="n"/>
      <c r="AO22" s="13" t="n"/>
      <c r="AP22" s="220" t="n"/>
      <c r="AQ22" s="13" t="n"/>
      <c r="AR22" s="13" t="n"/>
      <c r="AS22" s="13" t="n"/>
    </row>
    <row r="23" hidden="1" customFormat="1" s="13">
      <c r="A23" s="175" t="inlineStr">
        <is>
          <t>D</t>
        </is>
      </c>
      <c r="B23" s="176">
        <f>IF(_epmOfflineCondition_,"C_AUDITTRAIL",EPMDimensionType(,A23))</f>
        <v/>
      </c>
      <c r="C23" s="447" t="inlineStr">
        <is>
          <t>DALL</t>
        </is>
      </c>
      <c r="D23" s="390" t="n"/>
      <c r="E23" s="13" t="n"/>
      <c r="F23" s="384" t="n"/>
      <c r="G23" s="384" t="n"/>
      <c r="H23" s="13" t="n"/>
      <c r="I23" s="13" t="n"/>
      <c r="J23" s="13" t="n"/>
      <c r="K23" s="13" t="n"/>
      <c r="L23" s="13" t="n"/>
      <c r="M23" s="13" t="n"/>
      <c r="N23" s="13" t="n"/>
      <c r="O23" s="13" t="n"/>
      <c r="P23" s="13" t="n"/>
      <c r="Q23" s="13" t="n"/>
      <c r="R23" s="13" t="n"/>
      <c r="S23" s="1103" t="n"/>
      <c r="T23" s="13" t="n"/>
      <c r="U23" s="13" t="n"/>
      <c r="V23" s="13" t="n"/>
      <c r="W23" s="13" t="n"/>
      <c r="X23" s="171" t="n"/>
      <c r="Y23" s="171" t="n"/>
      <c r="Z23" s="384" t="n"/>
      <c r="AA23" s="13" t="n"/>
      <c r="AB23" s="13" t="n"/>
      <c r="AC23" s="13" t="n"/>
      <c r="AD23" s="13" t="n"/>
      <c r="AE23" s="13" t="n"/>
      <c r="AF23" s="13" t="n"/>
      <c r="AG23" s="13" t="n"/>
      <c r="AH23" s="13" t="n"/>
      <c r="AI23" s="13" t="n"/>
      <c r="AJ23" s="13" t="n"/>
      <c r="AK23" s="13" t="n"/>
      <c r="AL23" s="13" t="n"/>
      <c r="AM23" s="13" t="n"/>
      <c r="AN23" s="13" t="n"/>
      <c r="AO23" s="13" t="n"/>
      <c r="AP23" s="220" t="n"/>
      <c r="AQ23" s="13" t="n"/>
      <c r="AR23" s="13" t="n"/>
      <c r="AS23" s="13" t="n"/>
    </row>
    <row r="24" hidden="1" customFormat="1" s="13">
      <c r="A24" s="175" t="inlineStr">
        <is>
          <t>S</t>
        </is>
      </c>
      <c r="B24" s="176">
        <f>IF(_epmOfflineCondition_,"C_FLOW",EPMDimensionType(,A24))</f>
        <v/>
      </c>
      <c r="C24" s="176">
        <f>IF(_epmOfflineCondition_,"FTOTAL",IF(B24="","",EPMContextMember(,B24)))</f>
        <v/>
      </c>
      <c r="D24" s="390" t="n"/>
      <c r="E24" s="13" t="n"/>
      <c r="F24" s="384" t="n"/>
      <c r="G24" s="384" t="n"/>
      <c r="H24" s="13" t="n"/>
      <c r="I24" s="13" t="n"/>
      <c r="J24" s="13" t="n"/>
      <c r="K24" s="13" t="n"/>
      <c r="L24" s="13" t="n"/>
      <c r="M24" s="13" t="n"/>
      <c r="N24" s="13" t="n"/>
      <c r="O24" s="13" t="n"/>
      <c r="P24" s="13" t="n"/>
      <c r="Q24" s="13" t="n"/>
      <c r="R24" s="13" t="n"/>
      <c r="S24" s="1103" t="n"/>
      <c r="T24" s="13" t="n"/>
      <c r="U24" s="13" t="n"/>
      <c r="V24" s="13" t="n"/>
      <c r="W24" s="13" t="n"/>
      <c r="X24" s="171" t="n"/>
      <c r="Y24" s="171" t="n"/>
      <c r="Z24" s="384" t="n"/>
      <c r="AA24" s="13" t="n"/>
      <c r="AB24" s="13" t="n"/>
      <c r="AC24" s="13" t="n"/>
      <c r="AD24" s="13" t="n"/>
      <c r="AE24" s="13" t="n"/>
      <c r="AF24" s="13" t="n"/>
      <c r="AG24" s="13" t="n"/>
      <c r="AH24" s="13" t="n"/>
      <c r="AI24" s="13" t="n"/>
      <c r="AJ24" s="13" t="n"/>
      <c r="AK24" s="13" t="n"/>
      <c r="AL24" s="13" t="n"/>
      <c r="AM24" s="13" t="n"/>
      <c r="AN24" s="13" t="n"/>
      <c r="AO24" s="13" t="n"/>
      <c r="AP24" s="220" t="n"/>
      <c r="AQ24" s="13" t="n"/>
      <c r="AR24" s="13" t="n"/>
      <c r="AS24" s="13" t="n"/>
    </row>
    <row r="25" hidden="1" customFormat="1" s="13">
      <c r="A25" s="175" t="inlineStr">
        <is>
          <t>I</t>
        </is>
      </c>
      <c r="B25" s="176">
        <f>IF(_epmOfflineCondition_,"C_INTERCO",EPMDimensionType(,A25))</f>
        <v/>
      </c>
      <c r="C25" s="176" t="inlineStr">
        <is>
          <t>I_ALL</t>
        </is>
      </c>
      <c r="D25" s="390">
        <f>IF(_epmOfflineCondition_,"I_ALL",EPMOlapMemberO(C25,"[C_INTERCO].[PARENTH1].[I_ALL]","I_ALL - 全部贸易伙伴","","000"))</f>
        <v/>
      </c>
      <c r="E25" s="13" t="n"/>
      <c r="F25" s="384" t="n"/>
      <c r="G25" s="384" t="n"/>
      <c r="H25" s="13" t="n"/>
      <c r="I25" s="13" t="n"/>
      <c r="J25" s="13" t="n"/>
      <c r="K25" s="13" t="n"/>
      <c r="L25" s="13" t="n"/>
      <c r="M25" s="13" t="n"/>
      <c r="N25" s="13" t="n"/>
      <c r="O25" s="13" t="n"/>
      <c r="P25" s="13" t="n"/>
      <c r="Q25" s="13" t="n"/>
      <c r="R25" s="13" t="n"/>
      <c r="S25" s="1103" t="n"/>
      <c r="T25" s="13" t="n"/>
      <c r="U25" s="13" t="n"/>
      <c r="V25" s="13" t="n"/>
      <c r="W25" s="13" t="n"/>
      <c r="X25" s="171" t="n"/>
      <c r="Y25" s="171" t="n"/>
      <c r="Z25" s="178" t="inlineStr">
        <is>
          <t>CATEGORY</t>
        </is>
      </c>
      <c r="AA25" s="178" t="inlineStr">
        <is>
          <t>C1001</t>
        </is>
      </c>
      <c r="AB25" s="178" t="inlineStr">
        <is>
          <t>C1001</t>
        </is>
      </c>
      <c r="AC25" s="178">
        <f>$C$4</f>
        <v/>
      </c>
      <c r="AD25" s="178">
        <f>$C$4</f>
        <v/>
      </c>
      <c r="AE25" s="178">
        <f>$C$4</f>
        <v/>
      </c>
      <c r="AF25" s="13" t="n"/>
      <c r="AG25" s="384" t="n"/>
      <c r="AH25" s="13" t="n"/>
      <c r="AI25" s="13" t="n"/>
      <c r="AJ25" s="13" t="n"/>
      <c r="AK25" s="178" t="inlineStr">
        <is>
          <t>C3003</t>
        </is>
      </c>
      <c r="AL25" s="13" t="n"/>
      <c r="AM25" s="13" t="n"/>
      <c r="AN25" s="178" t="inlineStr">
        <is>
          <t>C3003</t>
        </is>
      </c>
      <c r="AO25" s="220" t="n"/>
      <c r="AP25" s="220" t="n"/>
      <c r="AQ25" s="178" t="inlineStr">
        <is>
          <t>C3002</t>
        </is>
      </c>
      <c r="AR25" s="220" t="n"/>
      <c r="AS25" s="220" t="n"/>
    </row>
    <row r="26" hidden="1" customFormat="1" s="13">
      <c r="A26" s="175" t="inlineStr">
        <is>
          <t>G</t>
        </is>
      </c>
      <c r="B26" s="176">
        <f>IF(_epmOfflineCondition_,"C_SCOPE",EPMDimensionType(,A26))</f>
        <v/>
      </c>
      <c r="C26" s="182" t="inlineStr">
        <is>
          <t>G_DUMMY</t>
        </is>
      </c>
      <c r="D26" s="390">
        <f>IF(_epmOfflineCondition_,"G_DUMMY",EPMOlapMemberO($E$11,"[C_SCOPE].[PARENTH1].[G_DUMMY]","G_DUMMY - 合并范围无关","","000"))</f>
        <v/>
      </c>
      <c r="E26" s="13" t="n"/>
      <c r="F26" s="384" t="n"/>
      <c r="G26" s="384" t="n"/>
      <c r="H26" s="13" t="n"/>
      <c r="I26" s="13" t="n"/>
      <c r="J26" s="13" t="n"/>
      <c r="K26" s="13" t="n"/>
      <c r="L26" s="13" t="n"/>
      <c r="M26" s="13" t="n"/>
      <c r="N26" s="13" t="n"/>
      <c r="O26" s="13" t="n"/>
      <c r="P26" s="13" t="n"/>
      <c r="Q26" s="13" t="n"/>
      <c r="R26" s="13" t="n"/>
      <c r="S26" s="1103" t="n"/>
      <c r="T26" s="13" t="n"/>
      <c r="U26" s="13" t="n"/>
      <c r="V26" s="13" t="n"/>
      <c r="W26" s="13" t="n"/>
      <c r="X26" s="171" t="n"/>
      <c r="Y26" s="171" t="n"/>
      <c r="Z26" s="464" t="inlineStr">
        <is>
          <t>TIME</t>
        </is>
      </c>
      <c r="AA26" s="464">
        <f>$I$11</f>
        <v/>
      </c>
      <c r="AB26" s="464">
        <f>$I$11</f>
        <v/>
      </c>
      <c r="AC26" s="464">
        <f>$I$11</f>
        <v/>
      </c>
      <c r="AD26" s="178">
        <f>$J$4</f>
        <v/>
      </c>
      <c r="AE26" s="200">
        <f>$I$13</f>
        <v/>
      </c>
      <c r="AF26" s="13" t="n"/>
      <c r="AG26" s="384" t="n"/>
      <c r="AH26" s="13" t="n"/>
      <c r="AI26" s="13" t="n"/>
      <c r="AJ26" s="13" t="n"/>
      <c r="AK26" s="464">
        <f>$I$11</f>
        <v/>
      </c>
      <c r="AL26" s="13" t="n"/>
      <c r="AM26" s="13" t="n"/>
      <c r="AN26" s="464">
        <f>$I$11</f>
        <v/>
      </c>
      <c r="AO26" s="220" t="n"/>
      <c r="AP26" s="220" t="n"/>
      <c r="AQ26" s="464">
        <f>$I$11</f>
        <v/>
      </c>
      <c r="AR26" s="220" t="n"/>
      <c r="AS26" s="220" t="n"/>
    </row>
    <row r="27" hidden="1" customFormat="1" s="13">
      <c r="A27" s="175" t="inlineStr">
        <is>
          <t>U8</t>
        </is>
      </c>
      <c r="B27" s="176">
        <f>IF(_epmOfflineCondition_,"C_PROJECT",EPMDimensionType(,A27))</f>
        <v/>
      </c>
      <c r="C27" s="180" t="inlineStr">
        <is>
          <t>ZP_ALL</t>
        </is>
      </c>
      <c r="D27" s="390">
        <f>IF(_epmOfflineCondition_,"ZP_ALL - 项目合计",EPMOlapMemberO("[C_PROJECT].[PARENTH1].[ZP_ALL]","","ZP_ALL - 项目合计","","000"))</f>
        <v/>
      </c>
      <c r="E27" s="13" t="n"/>
      <c r="F27" s="384" t="n"/>
      <c r="G27" s="384" t="n"/>
      <c r="H27" s="13" t="n"/>
      <c r="I27" s="13" t="n"/>
      <c r="J27" s="13" t="n"/>
      <c r="K27" s="13" t="n"/>
      <c r="L27" s="13" t="n"/>
      <c r="M27" s="13" t="n"/>
      <c r="N27" s="13" t="n"/>
      <c r="O27" s="13" t="n"/>
      <c r="P27" s="13" t="n"/>
      <c r="Q27" s="13" t="n"/>
      <c r="R27" s="13" t="n"/>
      <c r="S27" s="1103" t="n"/>
      <c r="T27" s="13" t="n"/>
      <c r="U27" s="13" t="n"/>
      <c r="V27" s="13" t="n"/>
      <c r="W27" s="13" t="n"/>
      <c r="X27" s="171" t="n"/>
      <c r="Y27" s="171" t="n"/>
      <c r="Z27" s="200" t="inlineStr">
        <is>
          <t>MEASURES</t>
        </is>
      </c>
      <c r="AA27" s="200" t="inlineStr">
        <is>
          <t>YTD</t>
        </is>
      </c>
      <c r="AB27" s="200" t="inlineStr">
        <is>
          <t>YTD</t>
        </is>
      </c>
      <c r="AC27" s="200" t="inlineStr">
        <is>
          <t>Periodic</t>
        </is>
      </c>
      <c r="AD27" s="200" t="inlineStr">
        <is>
          <t>Periodic</t>
        </is>
      </c>
      <c r="AE27" s="200" t="inlineStr">
        <is>
          <t>Periodic</t>
        </is>
      </c>
      <c r="AF27" s="200" t="n"/>
      <c r="AG27" s="200" t="n"/>
      <c r="AH27" s="13" t="n"/>
      <c r="AI27" s="13" t="n"/>
      <c r="AJ27" s="13" t="n"/>
      <c r="AK27" s="200" t="inlineStr">
        <is>
          <t>Periodic</t>
        </is>
      </c>
      <c r="AL27" s="13" t="n"/>
      <c r="AM27" s="13" t="n"/>
      <c r="AN27" s="200" t="inlineStr">
        <is>
          <t>YTD</t>
        </is>
      </c>
      <c r="AO27" s="220" t="n"/>
      <c r="AP27" s="220" t="n"/>
      <c r="AQ27" s="200" t="inlineStr">
        <is>
          <t>YTD</t>
        </is>
      </c>
      <c r="AR27" s="220" t="n"/>
      <c r="AS27" s="220" t="n"/>
    </row>
    <row r="28" hidden="1" customFormat="1" s="13">
      <c r="A28" s="175" t="inlineStr">
        <is>
          <t>U9</t>
        </is>
      </c>
      <c r="B28" s="176">
        <f>IF(_epmOfflineCondition_,"C_ITEM",EPMDimensionType(,A28))</f>
        <v/>
      </c>
      <c r="C28" s="180" t="inlineStr">
        <is>
          <t>ZT_ALL</t>
        </is>
      </c>
      <c r="D28" s="390">
        <f>IF(_epmOfflineCondition_,"ZI_ALL - 全部ITEM",EPMOlapMemberO("[C_ITEM].[PARENTH1].[ZI_ALL]","","ZI_ALL - 全部ITEM","","000"))</f>
        <v/>
      </c>
      <c r="E28" s="13" t="n"/>
      <c r="F28" s="384" t="n"/>
      <c r="G28" s="384" t="n"/>
      <c r="H28" s="13" t="n"/>
      <c r="I28" s="13" t="n"/>
      <c r="J28" s="13" t="n"/>
      <c r="K28" s="13" t="n"/>
      <c r="L28" s="13" t="n"/>
      <c r="M28" s="13" t="n"/>
      <c r="N28" s="13" t="n"/>
      <c r="O28" s="13" t="n"/>
      <c r="P28" s="13" t="n"/>
      <c r="Q28" s="13" t="n"/>
      <c r="R28" s="13" t="n"/>
      <c r="S28" s="1103" t="n"/>
      <c r="T28" s="13" t="n"/>
      <c r="U28" s="13" t="n"/>
      <c r="V28" s="13" t="n"/>
      <c r="W28" s="13" t="n"/>
      <c r="X28" s="171" t="n"/>
      <c r="Y28" s="171" t="n"/>
      <c r="Z28" s="200" t="inlineStr">
        <is>
          <t>FLOW</t>
        </is>
      </c>
      <c r="AA28" s="200" t="inlineStr">
        <is>
          <t>F20</t>
        </is>
      </c>
      <c r="AB28" s="200" t="inlineStr">
        <is>
          <t>F20</t>
        </is>
      </c>
      <c r="AC28" s="200" t="inlineStr">
        <is>
          <t>F20</t>
        </is>
      </c>
      <c r="AD28" s="200" t="inlineStr">
        <is>
          <t>F99</t>
        </is>
      </c>
      <c r="AE28" s="200" t="inlineStr">
        <is>
          <t>FEND</t>
        </is>
      </c>
      <c r="AF28" s="200" t="inlineStr">
        <is>
          <t>FMOV</t>
        </is>
      </c>
      <c r="AG28" s="200" t="inlineStr">
        <is>
          <t>FEND</t>
        </is>
      </c>
      <c r="AH28" s="13" t="n"/>
      <c r="AI28" s="13" t="n"/>
      <c r="AJ28" s="13" t="n"/>
      <c r="AK28" s="200" t="inlineStr">
        <is>
          <t>FMOV</t>
        </is>
      </c>
      <c r="AL28" s="13" t="n"/>
      <c r="AM28" s="13" t="n"/>
      <c r="AN28" s="200" t="inlineStr">
        <is>
          <t>FMOV</t>
        </is>
      </c>
      <c r="AO28" s="13" t="n"/>
      <c r="AP28" s="220" t="n"/>
      <c r="AQ28" s="200" t="inlineStr">
        <is>
          <t>FMOV</t>
        </is>
      </c>
      <c r="AR28" s="13" t="n"/>
      <c r="AS28" s="13" t="n"/>
    </row>
    <row r="29" hidden="1" customFormat="1" s="13">
      <c r="A29" s="175" t="inlineStr">
        <is>
          <t>U10</t>
        </is>
      </c>
      <c r="B29" s="176">
        <f>IF(_epmOfflineCondition_,"C_MISK",EPMDimensionType(,A29))</f>
        <v/>
      </c>
      <c r="C29" s="449" t="inlineStr">
        <is>
          <t>ZM_ALL</t>
        </is>
      </c>
      <c r="D29" s="390">
        <f>IF(_epmOfflineCondition_,"ZM_ALL - ALL",EPMOlapMemberO("[C_MISK].[PARENTH1].[ZM_ALL]","","ZM_ALL - ALL","","000"))</f>
        <v/>
      </c>
      <c r="E29" s="13" t="n"/>
      <c r="F29" s="384" t="n"/>
      <c r="G29" s="384" t="n"/>
      <c r="H29" s="13" t="n"/>
      <c r="I29" s="13" t="n"/>
      <c r="J29" s="13" t="n"/>
      <c r="K29" s="13" t="n"/>
      <c r="L29" s="13" t="n"/>
      <c r="M29" s="13" t="n"/>
      <c r="N29" s="13" t="n"/>
      <c r="O29" s="13" t="n"/>
      <c r="P29" s="13" t="n"/>
      <c r="Q29" s="13" t="n"/>
      <c r="R29" s="13" t="n"/>
      <c r="S29" s="1103" t="n"/>
      <c r="T29" s="13" t="n"/>
      <c r="U29" s="13" t="n"/>
      <c r="V29" s="13" t="n"/>
      <c r="W29" s="13" t="n"/>
      <c r="X29" s="171" t="n"/>
      <c r="Y29" s="171" t="n"/>
      <c r="Z29" s="200" t="inlineStr">
        <is>
          <t>AUDITTRAIL</t>
        </is>
      </c>
      <c r="AA29" s="200" t="inlineStr">
        <is>
          <t>DLC_BK</t>
        </is>
      </c>
      <c r="AB29" s="200" t="inlineStr">
        <is>
          <t>DLC_RC</t>
        </is>
      </c>
      <c r="AC29" s="200" t="inlineStr">
        <is>
          <t>DALL</t>
        </is>
      </c>
      <c r="AD29" s="200" t="inlineStr">
        <is>
          <t>DLC</t>
        </is>
      </c>
      <c r="AE29" s="200" t="inlineStr">
        <is>
          <t>DLC</t>
        </is>
      </c>
      <c r="AF29" s="200" t="inlineStr">
        <is>
          <t>DLC_ADJ</t>
        </is>
      </c>
      <c r="AG29" s="384" t="n"/>
      <c r="AH29" s="13" t="n"/>
      <c r="AI29" s="13" t="n"/>
      <c r="AJ29" s="13" t="n"/>
      <c r="AK29" s="200" t="inlineStr">
        <is>
          <t>DALL</t>
        </is>
      </c>
      <c r="AL29" s="13" t="n"/>
      <c r="AM29" s="13" t="n"/>
      <c r="AN29" s="200" t="inlineStr">
        <is>
          <t>DALL</t>
        </is>
      </c>
      <c r="AO29" s="13" t="n"/>
      <c r="AP29" s="220" t="n"/>
      <c r="AQ29" s="200" t="inlineStr">
        <is>
          <t>DALL</t>
        </is>
      </c>
      <c r="AR29" s="13" t="n"/>
      <c r="AS29" s="13" t="n"/>
    </row>
    <row r="30" hidden="1" customFormat="1" s="13">
      <c r="A30" s="175" t="n"/>
      <c r="B30" s="175">
        <f>IF(_epmOfflineCondition_,"",EPMDimensionType(,A30))</f>
        <v/>
      </c>
      <c r="C30" s="182" t="inlineStr">
        <is>
          <t>PERIODIC</t>
        </is>
      </c>
      <c r="D30" s="390" t="n"/>
      <c r="E30" s="13" t="n"/>
      <c r="F30" s="384" t="n"/>
      <c r="G30" s="384" t="n"/>
      <c r="H30" s="13" t="n"/>
      <c r="I30" s="13" t="n"/>
      <c r="J30" s="13" t="n"/>
      <c r="K30" s="13" t="n"/>
      <c r="L30" s="13" t="n"/>
      <c r="M30" s="13" t="n"/>
      <c r="N30" s="13" t="n"/>
      <c r="O30" s="13" t="n"/>
      <c r="P30" s="13" t="n"/>
      <c r="Q30" s="13" t="n"/>
      <c r="R30" s="13" t="n"/>
      <c r="S30" s="1103" t="n"/>
      <c r="T30" s="13" t="n"/>
      <c r="U30" s="13" t="n"/>
      <c r="V30" s="13" t="n"/>
      <c r="W30" s="13" t="n"/>
      <c r="X30" s="171" t="n"/>
      <c r="Y30" s="171" t="n"/>
      <c r="Z30" s="13" t="n"/>
      <c r="AA30" s="13">
        <f>IF(_epmOfflineCondition_,"单体账面",EPMMemberDesc(AA29))</f>
        <v/>
      </c>
      <c r="AB30" s="13">
        <f>IF(_epmOfflineCondition_,"单体重分类",EPMMemberDesc(AB29))</f>
        <v/>
      </c>
      <c r="AC30" s="13">
        <f>IF(_epmOfflineCondition_,"合并后",EPMMemberDesc(AC29))</f>
        <v/>
      </c>
      <c r="AD30" s="13">
        <f>IF(_epmOfflineCondition_,"单体报表",EPMMemberDesc(AD29))</f>
        <v/>
      </c>
      <c r="AE30" s="13">
        <f>IF(_epmOfflineCondition_,"单体报表",EPMMemberDesc(AE29))</f>
        <v/>
      </c>
      <c r="AF30" s="13">
        <f>IF(_epmOfflineCondition_,"单体调整",EPMMemberDesc(AF29))</f>
        <v/>
      </c>
      <c r="AG30" s="384" t="n"/>
      <c r="AH30" s="13" t="n"/>
      <c r="AI30" s="13" t="n"/>
      <c r="AJ30" s="13" t="n"/>
      <c r="AK30" s="200" t="inlineStr">
        <is>
          <t>CNY</t>
        </is>
      </c>
      <c r="AL30" s="13" t="n"/>
      <c r="AM30" s="13" t="n"/>
      <c r="AN30" s="200" t="inlineStr">
        <is>
          <t>CNY</t>
        </is>
      </c>
      <c r="AO30" s="13" t="n"/>
      <c r="AP30" s="220" t="n"/>
      <c r="AQ30" s="200" t="inlineStr">
        <is>
          <t>CNY</t>
        </is>
      </c>
      <c r="AR30" s="13" t="n"/>
      <c r="AS30" s="13" t="n"/>
    </row>
    <row r="31" hidden="1" customFormat="1" s="13">
      <c r="A31" s="13" t="n"/>
      <c r="B31" s="1103" t="n"/>
      <c r="C31" s="1103" t="n"/>
      <c r="D31" s="1103" t="n"/>
      <c r="E31" s="13" t="n"/>
      <c r="F31" s="13" t="n"/>
      <c r="G31" s="13" t="n"/>
      <c r="H31" s="13" t="n"/>
      <c r="I31" s="13" t="n"/>
      <c r="J31" s="13" t="n"/>
      <c r="K31" s="13" t="n"/>
      <c r="L31" s="13" t="n"/>
      <c r="M31" s="13" t="n"/>
      <c r="N31" s="13" t="n"/>
      <c r="O31" s="13" t="n"/>
      <c r="P31" s="13" t="n"/>
      <c r="Q31" s="13" t="n"/>
      <c r="R31" s="13" t="n"/>
      <c r="S31" s="1103" t="n"/>
      <c r="T31" s="13" t="n"/>
      <c r="U31" s="13" t="n"/>
      <c r="V31" s="13" t="n"/>
      <c r="W31" s="13" t="n"/>
      <c r="X31" s="171" t="n"/>
      <c r="Y31" s="171" t="n"/>
      <c r="Z31" s="13" t="n"/>
      <c r="AA31" s="13" t="n"/>
      <c r="AB31" s="13" t="n"/>
      <c r="AC31" s="13" t="n"/>
      <c r="AD31" s="13" t="n"/>
      <c r="AE31" s="13" t="n"/>
      <c r="AF31" s="13" t="n"/>
      <c r="AG31" s="13" t="n"/>
      <c r="AH31" s="13" t="n"/>
      <c r="AI31" s="13" t="n"/>
      <c r="AJ31" s="13" t="n"/>
      <c r="AK31" s="13" t="n"/>
      <c r="AL31" s="13" t="n"/>
      <c r="AM31" s="13" t="n"/>
      <c r="AN31" s="13" t="n"/>
      <c r="AO31" s="13" t="n"/>
      <c r="AP31" s="220" t="n"/>
      <c r="AQ31" s="13" t="n"/>
      <c r="AR31" s="13" t="n"/>
      <c r="AS31" s="13" t="n"/>
    </row>
    <row r="32" hidden="1" customFormat="1" s="13">
      <c r="A32" s="13" t="n"/>
      <c r="B32" s="1103" t="n"/>
      <c r="C32" s="1103" t="n"/>
      <c r="D32" s="1103" t="n"/>
      <c r="E32" s="13" t="n"/>
      <c r="F32" s="13" t="n"/>
      <c r="G32" s="13" t="n"/>
      <c r="H32" s="13" t="n"/>
      <c r="I32" s="13" t="n"/>
      <c r="J32" s="13" t="n"/>
      <c r="K32" s="13" t="n"/>
      <c r="L32" s="13" t="n"/>
      <c r="M32" s="13" t="n"/>
      <c r="N32" s="13" t="n"/>
      <c r="O32" s="13" t="n"/>
      <c r="P32" s="13" t="n"/>
      <c r="Q32" s="13" t="n"/>
      <c r="R32" s="13" t="n"/>
      <c r="S32" s="1103" t="n"/>
      <c r="T32" s="13" t="n"/>
      <c r="U32" s="13" t="n"/>
      <c r="V32" s="13" t="n"/>
      <c r="W32" s="13" t="n"/>
      <c r="X32" s="171" t="n"/>
      <c r="Y32" s="171" t="n"/>
      <c r="Z32" s="13" t="n"/>
      <c r="AA32" s="13" t="n"/>
      <c r="AB32" s="13" t="n"/>
      <c r="AC32" s="13" t="n"/>
      <c r="AD32" s="13" t="n"/>
      <c r="AE32" s="13" t="n"/>
      <c r="AF32" s="13" t="n"/>
      <c r="AG32" s="13" t="n"/>
      <c r="AH32" s="13" t="n"/>
      <c r="AI32" s="13" t="n"/>
      <c r="AJ32" s="13" t="n"/>
      <c r="AK32" s="13" t="n"/>
      <c r="AL32" s="13" t="n"/>
      <c r="AM32" s="13" t="n"/>
      <c r="AN32" s="13" t="n"/>
      <c r="AO32" s="13" t="n"/>
      <c r="AP32" s="220" t="n"/>
      <c r="AQ32" s="13" t="n"/>
      <c r="AR32" s="13" t="n"/>
      <c r="AS32" s="13" t="n"/>
    </row>
    <row r="33" hidden="1" customFormat="1" s="13">
      <c r="A33" s="13" t="n"/>
      <c r="B33" s="1103" t="n"/>
      <c r="C33" s="1103" t="n"/>
      <c r="D33" s="1103" t="n"/>
      <c r="E33" s="13" t="n"/>
      <c r="F33" s="13" t="n"/>
      <c r="G33" s="13" t="n"/>
      <c r="H33" s="13" t="n"/>
      <c r="I33" s="13" t="n"/>
      <c r="J33" s="13" t="n"/>
      <c r="K33" s="13" t="n"/>
      <c r="L33" s="13" t="n"/>
      <c r="M33" s="13" t="n"/>
      <c r="N33" s="13" t="n"/>
      <c r="O33" s="13" t="n"/>
      <c r="P33" s="13" t="n"/>
      <c r="Q33" s="13" t="n"/>
      <c r="R33" s="13" t="n"/>
      <c r="S33" s="1103" t="n"/>
      <c r="T33" s="13" t="n"/>
      <c r="U33" s="13" t="n"/>
      <c r="V33" s="13" t="n"/>
      <c r="W33" s="13" t="n"/>
      <c r="X33" s="171" t="n"/>
      <c r="Y33" s="171" t="n"/>
      <c r="Z33" s="13" t="n"/>
      <c r="AA33" s="13" t="n"/>
      <c r="AB33" s="13" t="n"/>
      <c r="AC33" s="13" t="n"/>
      <c r="AD33" s="13" t="n"/>
      <c r="AE33" s="13" t="n"/>
      <c r="AF33" s="13" t="n"/>
      <c r="AG33" s="13" t="n"/>
      <c r="AH33" s="13" t="n"/>
      <c r="AI33" s="13" t="n"/>
      <c r="AJ33" s="13" t="n"/>
      <c r="AK33" s="13" t="n"/>
      <c r="AL33" s="13" t="n"/>
      <c r="AM33" s="13" t="n"/>
      <c r="AN33" s="13" t="n"/>
      <c r="AO33" s="13" t="n"/>
      <c r="AP33" s="220" t="n"/>
      <c r="AQ33" s="13" t="n"/>
      <c r="AR33" s="13" t="n"/>
      <c r="AS33" s="13" t="n"/>
    </row>
    <row r="34" ht="10.5" customFormat="1" customHeight="1" s="13">
      <c r="A34" s="13" t="n"/>
      <c r="B34" s="1103" t="n"/>
      <c r="C34" s="1103" t="n"/>
      <c r="D34" s="1103" t="n"/>
      <c r="E34" s="13" t="n"/>
      <c r="F34" s="13" t="n"/>
      <c r="G34" s="13" t="n"/>
      <c r="H34" s="13" t="n"/>
      <c r="I34" s="13" t="n"/>
      <c r="J34" s="13" t="n"/>
      <c r="K34" s="13" t="n"/>
      <c r="L34" s="13" t="n"/>
      <c r="M34" s="13" t="n"/>
      <c r="N34" s="13" t="n"/>
      <c r="O34" s="13" t="n"/>
      <c r="P34" s="13" t="n"/>
      <c r="Q34" s="13" t="n"/>
      <c r="R34" s="13" t="n"/>
      <c r="S34" s="1103" t="n"/>
      <c r="T34" s="13" t="n"/>
      <c r="U34" s="13" t="n"/>
      <c r="V34" s="13" t="n"/>
      <c r="W34" s="13" t="n"/>
      <c r="X34" s="171" t="n"/>
      <c r="Y34" s="171" t="n"/>
      <c r="Z34" s="13" t="n"/>
      <c r="AA34" s="13" t="n"/>
      <c r="AB34" s="13" t="n"/>
      <c r="AC34" s="13" t="n"/>
      <c r="AD34" s="13" t="n"/>
      <c r="AE34" s="13" t="n"/>
      <c r="AF34" s="13" t="n"/>
      <c r="AG34" s="13" t="n"/>
      <c r="AH34" s="13" t="n"/>
      <c r="AI34" s="13" t="n"/>
      <c r="AJ34" s="13" t="n"/>
      <c r="AK34" s="13" t="n"/>
      <c r="AL34" s="716" t="n"/>
      <c r="AM34" s="13" t="n"/>
      <c r="AN34" s="13" t="n"/>
      <c r="AO34" s="13" t="n"/>
      <c r="AP34" s="220" t="n"/>
      <c r="AQ34" s="13" t="n"/>
      <c r="AR34" s="13" t="n"/>
      <c r="AS34" s="13" t="n"/>
    </row>
    <row r="35" ht="32.25" customHeight="1" s="1181">
      <c r="A35" s="384" t="n"/>
      <c r="B35" s="384" t="n"/>
      <c r="C35" s="384" t="n"/>
      <c r="D35" s="384" t="n"/>
      <c r="E35" s="384" t="n"/>
      <c r="F35" s="384" t="n"/>
      <c r="G35" s="384" t="n"/>
      <c r="H35" s="384" t="n"/>
      <c r="I35" s="384" t="n"/>
      <c r="J35" s="384" t="n"/>
      <c r="K35" s="384" t="n"/>
      <c r="L35" s="384" t="n"/>
      <c r="M35" s="384" t="n"/>
      <c r="N35" s="384" t="n"/>
      <c r="O35" s="384" t="n"/>
      <c r="P35" s="384" t="n"/>
      <c r="Q35" s="384" t="n"/>
      <c r="R35" s="384" t="n"/>
      <c r="S35" s="32" t="n"/>
      <c r="T35" s="384" t="n"/>
      <c r="U35" s="384" t="n"/>
      <c r="V35" s="384" t="n"/>
      <c r="W35" s="384" t="n"/>
      <c r="X35" s="38" t="n"/>
      <c r="Y35" s="38" t="n"/>
      <c r="Z35" s="686" t="n"/>
      <c r="AD35" s="465" t="n"/>
      <c r="AE35" s="465" t="inlineStr">
        <is>
          <t>管理费用明细表</t>
        </is>
      </c>
      <c r="AF35" s="384" t="n"/>
      <c r="AG35" s="384" t="n"/>
      <c r="AH35" s="384" t="n"/>
      <c r="AI35" s="384" t="n"/>
      <c r="AJ35" s="384" t="n"/>
      <c r="AK35" s="384" t="n"/>
      <c r="AL35" s="384" t="n"/>
      <c r="AM35" s="384" t="n"/>
      <c r="AN35" s="384" t="n"/>
      <c r="AO35" s="384" t="n"/>
      <c r="AP35" s="384" t="n"/>
      <c r="AQ35" s="384" t="n"/>
      <c r="AR35" s="384" t="n"/>
      <c r="AS35" s="384" t="n"/>
    </row>
    <row r="36" ht="15.2" customFormat="1" customHeight="1" s="716">
      <c r="A36" s="716" t="n"/>
      <c r="B36" s="716" t="n"/>
      <c r="C36" s="716" t="n"/>
      <c r="D36" s="716" t="n"/>
      <c r="E36" s="716" t="n"/>
      <c r="F36" s="716" t="n"/>
      <c r="G36" s="716" t="n"/>
      <c r="H36" s="716" t="n"/>
      <c r="I36" s="716" t="n"/>
      <c r="J36" s="716" t="n"/>
      <c r="K36" s="716" t="n"/>
      <c r="L36" s="716" t="n"/>
      <c r="M36" s="716" t="n"/>
      <c r="N36" s="716" t="n"/>
      <c r="O36" s="716" t="n"/>
      <c r="P36" s="716" t="n"/>
      <c r="Q36" s="716" t="n"/>
      <c r="R36" s="716" t="n"/>
      <c r="S36" s="462" t="n"/>
      <c r="T36" s="716" t="n"/>
      <c r="U36" s="716" t="n"/>
      <c r="V36" s="716" t="n"/>
      <c r="W36" s="716" t="n"/>
      <c r="X36" s="190">
        <f>IF(_epmOfflineCondition_,"编制单位：内蒙古京能苏尼特风力发电有限公司（内蒙古分公司）","编制单位："&amp;EPMMemberDesc($D$21))</f>
        <v/>
      </c>
      <c r="Y36" s="190" t="n"/>
      <c r="Z36" s="116" t="n"/>
      <c r="AA36" s="760" t="n"/>
      <c r="AB36" s="716" t="n"/>
      <c r="AC36" s="716" t="n"/>
      <c r="AD36" s="716" t="n"/>
      <c r="AE36" s="716" t="n"/>
      <c r="AF36" s="716" t="n"/>
      <c r="AG36" s="716" t="n"/>
      <c r="AH36" s="716" t="n"/>
      <c r="AI36" s="716" t="n"/>
      <c r="AJ36" s="716" t="n"/>
      <c r="AK36" s="716" t="n"/>
      <c r="AL36" s="716" t="n"/>
      <c r="AM36" s="716" t="n"/>
      <c r="AN36" s="716" t="n"/>
      <c r="AO36" s="716" t="n"/>
      <c r="AP36" s="716" t="n"/>
      <c r="AQ36" s="716" t="n"/>
      <c r="AR36" s="716" t="n"/>
      <c r="AS36" s="716" t="n"/>
    </row>
    <row r="37" ht="15.2" customFormat="1" customHeight="1" s="716">
      <c r="A37" s="716" t="n"/>
      <c r="B37" s="716" t="n"/>
      <c r="C37" s="716" t="n"/>
      <c r="D37" s="716" t="n"/>
      <c r="E37" s="716" t="n"/>
      <c r="F37" s="716" t="n"/>
      <c r="G37" s="716" t="n"/>
      <c r="H37" s="716" t="n"/>
      <c r="I37" s="716" t="n"/>
      <c r="J37" s="716" t="n"/>
      <c r="K37" s="716" t="n"/>
      <c r="L37" s="716" t="n"/>
      <c r="M37" s="716" t="n"/>
      <c r="N37" s="716" t="n"/>
      <c r="O37" s="716" t="n"/>
      <c r="P37" s="716" t="n"/>
      <c r="Q37" s="716" t="n"/>
      <c r="R37" s="716" t="n"/>
      <c r="S37" s="462" t="n"/>
      <c r="T37" s="716" t="n"/>
      <c r="U37" s="716" t="n"/>
      <c r="V37" s="716" t="n"/>
      <c r="W37" s="716" t="n"/>
      <c r="X37" s="190">
        <f>"编制月份："&amp;$I$3&amp;"年"&amp;$I$8&amp;"月"</f>
        <v/>
      </c>
      <c r="Y37" s="190" t="inlineStr">
        <is>
          <t>币种：</t>
        </is>
      </c>
      <c r="Z37" s="521" t="inlineStr">
        <is>
          <t>LC</t>
        </is>
      </c>
      <c r="AA37" s="716" t="n"/>
      <c r="AB37" s="716" t="n"/>
      <c r="AC37" s="716" t="n"/>
      <c r="AD37" s="716" t="n"/>
      <c r="AE37" s="716" t="n"/>
      <c r="AF37" s="716" t="n"/>
      <c r="AG37" s="716" t="n"/>
      <c r="AH37" s="716" t="n"/>
      <c r="AI37" s="716" t="n"/>
      <c r="AJ37" s="190" t="n"/>
      <c r="AK37" s="716" t="n"/>
      <c r="AL37" s="716" t="n"/>
      <c r="AM37" s="716" t="n"/>
      <c r="AN37" s="716" t="n"/>
      <c r="AO37" s="716" t="n"/>
      <c r="AP37" s="716" t="n"/>
      <c r="AQ37" s="716" t="n"/>
      <c r="AR37" s="190" t="inlineStr">
        <is>
          <t>金额单位：元</t>
        </is>
      </c>
      <c r="AS37" s="190" t="n"/>
    </row>
    <row r="38" ht="26.1" customFormat="1" customHeight="1" s="716">
      <c r="A38" s="716" t="n"/>
      <c r="B38" s="716" t="n"/>
      <c r="C38" s="716" t="n"/>
      <c r="D38" s="716" t="n"/>
      <c r="E38" s="716" t="n"/>
      <c r="F38" s="716" t="n"/>
      <c r="G38" s="716" t="n"/>
      <c r="H38" s="716" t="n"/>
      <c r="I38" s="716" t="n"/>
      <c r="J38" s="716" t="n"/>
      <c r="K38" s="716" t="n"/>
      <c r="L38" s="716" t="n"/>
      <c r="M38" s="716" t="n"/>
      <c r="N38" s="716" t="n"/>
      <c r="O38" s="716" t="n"/>
      <c r="P38" s="716" t="n"/>
      <c r="Q38" s="716" t="n"/>
      <c r="R38" s="716" t="n"/>
      <c r="S38" s="462" t="n"/>
      <c r="T38" s="716" t="n"/>
      <c r="U38" s="716" t="n"/>
      <c r="V38" s="716" t="n"/>
      <c r="W38" s="716" t="n"/>
      <c r="X38" s="450" t="inlineStr">
        <is>
          <t>项目</t>
        </is>
      </c>
      <c r="Y38" s="450" t="inlineStr">
        <is>
          <t>行次</t>
        </is>
      </c>
      <c r="Z38" s="1256" t="inlineStr">
        <is>
          <t>本年实际</t>
        </is>
      </c>
      <c r="AA38" s="1183" t="n"/>
      <c r="AB38" s="1256" t="inlineStr">
        <is>
          <t>本月对比上月</t>
        </is>
      </c>
      <c r="AC38" s="1182" t="n"/>
      <c r="AD38" s="1183" t="n"/>
      <c r="AE38" s="1256" t="inlineStr">
        <is>
          <t>本月对比上年同期</t>
        </is>
      </c>
      <c r="AF38" s="1182" t="n"/>
      <c r="AG38" s="1183" t="n"/>
      <c r="AH38" s="1256" t="inlineStr">
        <is>
          <t>本年累计对比上年同期累计</t>
        </is>
      </c>
      <c r="AI38" s="1182" t="n"/>
      <c r="AJ38" s="1183" t="n"/>
      <c r="AK38" s="1323" t="inlineStr">
        <is>
          <t xml:space="preserve"> 本月预算完成情况 </t>
        </is>
      </c>
      <c r="AL38" s="1182" t="n"/>
      <c r="AM38" s="1182" t="n"/>
      <c r="AN38" s="1256" t="inlineStr">
        <is>
          <t xml:space="preserve"> 进度预算完成情况 </t>
        </is>
      </c>
      <c r="AO38" s="1182" t="n"/>
      <c r="AP38" s="1183" t="n"/>
      <c r="AQ38" s="1256" t="inlineStr">
        <is>
          <t xml:space="preserve"> 年度预算完成情况 </t>
        </is>
      </c>
      <c r="AR38" s="1182" t="n"/>
      <c r="AS38" s="1183" t="n"/>
    </row>
    <row r="39" ht="15.2" customFormat="1" customHeight="1" s="716">
      <c r="A39" s="716" t="n"/>
      <c r="B39" s="716" t="n"/>
      <c r="C39" s="716" t="n"/>
      <c r="D39" s="716" t="n"/>
      <c r="E39" s="716" t="n"/>
      <c r="F39" s="716" t="n"/>
      <c r="G39" s="716" t="n"/>
      <c r="H39" s="716" t="n"/>
      <c r="I39" s="716" t="n"/>
      <c r="J39" s="716" t="n"/>
      <c r="K39" s="716" t="n"/>
      <c r="L39" s="716" t="n"/>
      <c r="M39" s="716" t="n"/>
      <c r="N39" s="716" t="n"/>
      <c r="O39" s="716" t="n"/>
      <c r="P39" s="716" t="n"/>
      <c r="Q39" s="716" t="n"/>
      <c r="R39" s="716" t="n"/>
      <c r="S39" s="462" t="n"/>
      <c r="T39" s="716" t="n"/>
      <c r="U39" s="716" t="n"/>
      <c r="V39" s="716" t="n"/>
      <c r="W39" s="716" t="n"/>
      <c r="X39" s="1184" t="n"/>
      <c r="Y39" s="1184" t="n"/>
      <c r="Z39" s="1256" t="inlineStr">
        <is>
          <t>本月数</t>
        </is>
      </c>
      <c r="AA39" s="1256" t="inlineStr">
        <is>
          <t>本年累计</t>
        </is>
      </c>
      <c r="AB39" s="1256" t="inlineStr">
        <is>
          <t>上月数</t>
        </is>
      </c>
      <c r="AC39" s="1256" t="inlineStr">
        <is>
          <t>增减额</t>
        </is>
      </c>
      <c r="AD39" s="1256" t="inlineStr">
        <is>
          <t>增减（%）</t>
        </is>
      </c>
      <c r="AE39" s="1256" t="inlineStr">
        <is>
          <t>上年同期</t>
        </is>
      </c>
      <c r="AF39" s="1256" t="inlineStr">
        <is>
          <t>增减额</t>
        </is>
      </c>
      <c r="AG39" s="1256" t="inlineStr">
        <is>
          <t>增减（%）</t>
        </is>
      </c>
      <c r="AH39" s="1256" t="inlineStr">
        <is>
          <t>上年同期累计</t>
        </is>
      </c>
      <c r="AI39" s="1256" t="inlineStr">
        <is>
          <t>增减额</t>
        </is>
      </c>
      <c r="AJ39" s="1256" t="inlineStr">
        <is>
          <t>增减（%）</t>
        </is>
      </c>
      <c r="AK39" s="1256" t="inlineStr">
        <is>
          <t xml:space="preserve"> 月度预算 </t>
        </is>
      </c>
      <c r="AL39" s="1256" t="inlineStr">
        <is>
          <t xml:space="preserve"> 增减额 </t>
        </is>
      </c>
      <c r="AM39" s="1256" t="inlineStr">
        <is>
          <t xml:space="preserve"> 完成预算% </t>
        </is>
      </c>
      <c r="AN39" s="1256" t="inlineStr">
        <is>
          <t xml:space="preserve"> 进度预算数 </t>
        </is>
      </c>
      <c r="AO39" s="1256" t="inlineStr">
        <is>
          <t xml:space="preserve"> 增减额 </t>
        </is>
      </c>
      <c r="AP39" s="1256" t="inlineStr">
        <is>
          <t xml:space="preserve"> 完成预算% </t>
        </is>
      </c>
      <c r="AQ39" s="1256" t="inlineStr">
        <is>
          <t xml:space="preserve"> 本年预算数 </t>
        </is>
      </c>
      <c r="AR39" s="1256" t="inlineStr">
        <is>
          <t xml:space="preserve"> 增减额 </t>
        </is>
      </c>
      <c r="AS39" s="1256" t="inlineStr">
        <is>
          <t xml:space="preserve"> 完成预算% </t>
        </is>
      </c>
    </row>
    <row r="40" hidden="1" ht="14.25" customFormat="1" customHeight="1" s="716">
      <c r="A40" s="716" t="n"/>
      <c r="B40" s="716" t="n"/>
      <c r="C40" s="716" t="n"/>
      <c r="D40" s="716" t="n"/>
      <c r="E40" s="716" t="n"/>
      <c r="F40" s="716" t="n"/>
      <c r="G40" s="716" t="n"/>
      <c r="H40" s="716" t="n"/>
      <c r="I40" s="716" t="n"/>
      <c r="J40" s="716" t="n"/>
      <c r="K40" s="716" t="n"/>
      <c r="L40" s="716" t="n"/>
      <c r="M40" s="716" t="n"/>
      <c r="N40" s="716" t="n"/>
      <c r="O40" s="716" t="n"/>
      <c r="P40" s="716" t="n"/>
      <c r="Q40" s="716" t="n"/>
      <c r="R40" s="716" t="n"/>
      <c r="S40" s="462" t="n"/>
      <c r="T40" s="716" t="n"/>
      <c r="U40" s="716" t="n"/>
      <c r="V40" s="716" t="n"/>
      <c r="W40" s="716" t="n"/>
      <c r="X40" s="451" t="inlineStr">
        <is>
          <t>time</t>
        </is>
      </c>
      <c r="Y40" s="451" t="n"/>
      <c r="Z40" s="648">
        <f>IF(_epmOfflineCondition_,"2025.03",EPMOlapMemberO(I11,"[C_TIME].[PARENTH1].[2025.03]","2025.03 - 2025.03","","000"))</f>
        <v/>
      </c>
      <c r="AA40" s="648">
        <f>IF(_epmOfflineCondition_,"2025.03",EPMOlapMemberO(I11,"[C_TIME].[PARENTH1].[2025.03]","2025.03 - 2025.03","","000"))</f>
        <v/>
      </c>
      <c r="AB40" s="648">
        <f>IF(_epmOfflineCondition_,"2025.02",EPMOlapMemberO(I12,"[C_TIME].[PARENTH1].[2025.02]","2025.02 - 2025.02","","000"))</f>
        <v/>
      </c>
      <c r="AC40" s="1267" t="n"/>
      <c r="AD40" s="1267" t="n"/>
      <c r="AE40" s="648">
        <f>IF(_epmOfflineCondition_,"2024.03",EPMOlapMemberO(I13,"[C_TIME].[PARENTH1].[2024.03]","2024.03 - 2024.03","","000"))</f>
        <v/>
      </c>
      <c r="AF40" s="1267" t="n"/>
      <c r="AG40" s="1267" t="n"/>
      <c r="AH40" s="648">
        <f>IF(_epmOfflineCondition_,"2024.03",EPMOlapMemberO(I13,"[C_TIME].[PARENTH1].[2024.03]","2024.03 - 2024.03","","000"))</f>
        <v/>
      </c>
      <c r="AI40" s="648" t="n"/>
      <c r="AJ40" s="648" t="n"/>
      <c r="AK40" s="648">
        <f>IF(_epmOfflineCondition_,"2025.03",EPMOlapMemberO(AK26,"[C_TIME].[PARENTH1].[2025.03]","2025.03 - 2025.03","","000"))</f>
        <v/>
      </c>
      <c r="AL40" s="692" t="n"/>
      <c r="AM40" s="692" t="n"/>
      <c r="AN40" s="648">
        <f>IF(_epmOfflineCondition_,"2025.03",EPMOlapMemberO(AN26,"[C_TIME].[PARENTH1].[2025.03]","2025.03 - 2025.03","","000"))</f>
        <v/>
      </c>
      <c r="AO40" s="692" t="n"/>
      <c r="AP40" s="692" t="n"/>
      <c r="AQ40" s="648">
        <f>IF(_epmOfflineCondition_,"2025.03",EPMOlapMemberO(AQ26,"[C_TIME].[PARENTH1].[2025.03]","2025.03 - 2025.03","","000"))</f>
        <v/>
      </c>
      <c r="AR40" s="648">
        <f>AR26</f>
        <v/>
      </c>
      <c r="AS40" s="697" t="n"/>
    </row>
    <row r="41" hidden="1" ht="14.25" customFormat="1" customHeight="1" s="716">
      <c r="A41" s="716" t="n"/>
      <c r="B41" s="716" t="n"/>
      <c r="C41" s="716" t="n"/>
      <c r="D41" s="716" t="n"/>
      <c r="E41" s="716" t="n"/>
      <c r="F41" s="716" t="n"/>
      <c r="G41" s="716" t="n"/>
      <c r="H41" s="716" t="n"/>
      <c r="I41" s="716" t="n"/>
      <c r="J41" s="716" t="n"/>
      <c r="K41" s="716" t="n"/>
      <c r="L41" s="716" t="n"/>
      <c r="M41" s="716" t="n"/>
      <c r="N41" s="716" t="n"/>
      <c r="O41" s="716" t="n"/>
      <c r="P41" s="716" t="n"/>
      <c r="Q41" s="716" t="n"/>
      <c r="R41" s="716" t="n"/>
      <c r="S41" s="462" t="n"/>
      <c r="T41" s="716" t="n"/>
      <c r="U41" s="716" t="n"/>
      <c r="V41" s="716" t="n"/>
      <c r="W41" s="716" t="n"/>
      <c r="X41" s="451" t="inlineStr">
        <is>
          <t>category</t>
        </is>
      </c>
      <c r="Y41" s="451" t="n"/>
      <c r="Z41" s="182">
        <f>IF(_epmOfflineCondition_,"C1001",EPMOlapMemberO($AB$25,"[C_CATEGORY].[PARENTH1].[C1001]","C1001 - 实际数/决算数","","000"))</f>
        <v/>
      </c>
      <c r="AA41" s="182">
        <f>IF(_epmOfflineCondition_,"C1001",EPMOlapMemberO($AB$25,"[C_CATEGORY].[PARENTH1].[C1001]","C1001 - 实际数/决算数","","000"))</f>
        <v/>
      </c>
      <c r="AB41" s="182">
        <f>IF(_epmOfflineCondition_,"C1001",EPMOlapMemberO($AB$25,"[C_CATEGORY].[PARENTH1].[C1001]","C1001 - 实际数/决算数","","000"))</f>
        <v/>
      </c>
      <c r="AC41" s="182" t="n"/>
      <c r="AD41" s="182" t="n"/>
      <c r="AE41" s="182">
        <f>IF(_epmOfflineCondition_,"C1001",EPMOlapMemberO($AB$25,"[C_CATEGORY].[PARENTH1].[C1001]","C1001 - 实际数/决算数","","000"))</f>
        <v/>
      </c>
      <c r="AF41" s="182" t="n"/>
      <c r="AG41" s="182" t="n"/>
      <c r="AH41" s="182">
        <f>IF(_epmOfflineCondition_,"C1001",EPMOlapMemberO($AB$25,"[C_CATEGORY].[PARENTH1].[C1001]","C1001 - 实际数/决算数","","000"))</f>
        <v/>
      </c>
      <c r="AI41" s="182" t="n"/>
      <c r="AJ41" s="182" t="n"/>
      <c r="AK41" s="182">
        <f>IF(_epmOfflineCondition_,"C3003",EPMOlapMemberO(AK25,"[C_CATEGORY].[PARENTH1].[C3003]","C3003 - 进度预算（原""预算数（分解版）"")","","000"))</f>
        <v/>
      </c>
      <c r="AL41" s="692" t="n"/>
      <c r="AM41" s="692" t="n"/>
      <c r="AN41" s="182">
        <f>IF(_epmOfflineCondition_,"C3003",EPMOlapMemberO(AN25,"[C_CATEGORY].[PARENTH1].[C3003]","C3003 - 进度预算（原""预算数（分解版）"")","","000"))</f>
        <v/>
      </c>
      <c r="AO41" s="692" t="n"/>
      <c r="AP41" s="692" t="n"/>
      <c r="AQ41" s="182">
        <f>IF(_epmOfflineCondition_,"C3002",EPMOlapMemberO(AQ25,"[C_CATEGORY].[PARENTH1].[C3002]","C3002 - 月度预算（原""预算数（终稿）"")","","000"))</f>
        <v/>
      </c>
      <c r="AR41" s="182">
        <f>AR25</f>
        <v/>
      </c>
      <c r="AS41" s="716" t="n"/>
    </row>
    <row r="42" hidden="1" ht="13.5" customFormat="1" customHeight="1" s="716">
      <c r="A42" s="716" t="n"/>
      <c r="B42" s="716" t="n"/>
      <c r="C42" s="716" t="n"/>
      <c r="D42" s="716" t="n"/>
      <c r="E42" s="716" t="n"/>
      <c r="F42" s="716" t="n"/>
      <c r="G42" s="716" t="n"/>
      <c r="H42" s="716" t="n"/>
      <c r="I42" s="716" t="n"/>
      <c r="J42" s="716" t="n"/>
      <c r="K42" s="716" t="n"/>
      <c r="L42" s="716" t="n"/>
      <c r="M42" s="716" t="n"/>
      <c r="N42" s="716" t="n"/>
      <c r="O42" s="716" t="n"/>
      <c r="P42" s="716" t="n"/>
      <c r="Q42" s="716" t="n"/>
      <c r="R42" s="716" t="n"/>
      <c r="S42" s="462" t="n"/>
      <c r="T42" s="716" t="n"/>
      <c r="U42" s="716" t="n"/>
      <c r="V42" s="716" t="n"/>
      <c r="W42" s="716" t="n"/>
      <c r="X42" s="451" t="inlineStr">
        <is>
          <t>AUDITTRAIL</t>
        </is>
      </c>
      <c r="Y42" s="451" t="n"/>
      <c r="Z42" s="182">
        <f>IF(_epmOfflineCondition_,"DALL",EPMOlapMemberO($AC$29,"[C_AUDITTRAIL].[PARENTH1].[DALL]","DALL - 合并后","","000"))</f>
        <v/>
      </c>
      <c r="AA42" s="182">
        <f>IF(_epmOfflineCondition_,"DALL",EPMOlapMemberO($AC$29,"[C_AUDITTRAIL].[PARENTH1].[DALL]","DALL - 合并后","","000"))</f>
        <v/>
      </c>
      <c r="AB42" s="182">
        <f>IF(_epmOfflineCondition_,"DALL",EPMOlapMemberO($AC$29,"[C_AUDITTRAIL].[PARENTH1].[DALL]","DALL - 合并后","","000"))</f>
        <v/>
      </c>
      <c r="AC42" s="679" t="n"/>
      <c r="AD42" s="679" t="n"/>
      <c r="AE42" s="182">
        <f>IF(_epmOfflineCondition_,"DALL",EPMOlapMemberO($AC$29,"[C_AUDITTRAIL].[PARENTH1].[DALL]","DALL - 合并后","","000"))</f>
        <v/>
      </c>
      <c r="AF42" s="182" t="n"/>
      <c r="AG42" s="182" t="n"/>
      <c r="AH42" s="182">
        <f>IF(_epmOfflineCondition_,"DALL",EPMOlapMemberO($AC$29,"[C_AUDITTRAIL].[PARENTH1].[DALL]","DALL - 合并后","","000"))</f>
        <v/>
      </c>
      <c r="AI42" s="182" t="n"/>
      <c r="AJ42" s="182" t="n"/>
      <c r="AK42" s="182">
        <f>IF(_epmOfflineCondition_,"DALL",EPMOlapMemberO(AK29,"[C_AUDITTRAIL].[PARENTH1].[DALL]","DALL - 合并后","","000"))</f>
        <v/>
      </c>
      <c r="AL42" s="692" t="n"/>
      <c r="AM42" s="692" t="n"/>
      <c r="AN42" s="182">
        <f>IF(_epmOfflineCondition_,"DALL",EPMOlapMemberO(AN29,"[C_AUDITTRAIL].[PARENTH1].[DALL]","DALL - 合并后","","000"))</f>
        <v/>
      </c>
      <c r="AO42" s="692" t="n"/>
      <c r="AP42" s="692" t="n"/>
      <c r="AQ42" s="182">
        <f>IF(_epmOfflineCondition_,"DALL",EPMOlapMemberO(AQ29,"[C_AUDITTRAIL].[PARENTH1].[DALL]","DALL - 合并后","","000"))</f>
        <v/>
      </c>
      <c r="AR42" s="182">
        <f>AR29</f>
        <v/>
      </c>
      <c r="AS42" s="716" t="n"/>
    </row>
    <row r="43" hidden="1" ht="13.5" customFormat="1" customHeight="1" s="716">
      <c r="A43" s="716" t="n"/>
      <c r="B43" s="716" t="n"/>
      <c r="C43" s="716" t="n"/>
      <c r="D43" s="716" t="n"/>
      <c r="E43" s="716" t="n"/>
      <c r="F43" s="716" t="n"/>
      <c r="G43" s="716" t="n"/>
      <c r="H43" s="716" t="n"/>
      <c r="I43" s="716" t="n"/>
      <c r="J43" s="716" t="n"/>
      <c r="K43" s="716" t="n"/>
      <c r="L43" s="716" t="n"/>
      <c r="M43" s="716" t="n"/>
      <c r="N43" s="716" t="n"/>
      <c r="O43" s="716" t="n"/>
      <c r="P43" s="716" t="n"/>
      <c r="Q43" s="716" t="n"/>
      <c r="R43" s="716" t="n"/>
      <c r="S43" s="462" t="n"/>
      <c r="T43" s="716" t="n"/>
      <c r="U43" s="716" t="n"/>
      <c r="V43" s="716" t="n"/>
      <c r="W43" s="716" t="n"/>
      <c r="X43" s="451" t="inlineStr">
        <is>
          <t>flow</t>
        </is>
      </c>
      <c r="Y43" s="451" t="n"/>
      <c r="Z43" s="182">
        <f>IF(_epmOfflineCondition_,"FMOV",EPMOlapMemberO($AF$28,"[C_FLOW].[PARENTH1].[FMOV]","FMOV - 本期变动","","000"))</f>
        <v/>
      </c>
      <c r="AA43" s="182">
        <f>IF(_epmOfflineCondition_,"FMOV",EPMOlapMemberO($AF$28,"[C_FLOW].[PARENTH1].[FMOV]","FMOV - 本期变动","","000"))</f>
        <v/>
      </c>
      <c r="AB43" s="182">
        <f>IF(_epmOfflineCondition_,"FMOV",EPMOlapMemberO($AF$28,"[C_FLOW].[PARENTH1].[FMOV]","FMOV - 本期变动","","000"))</f>
        <v/>
      </c>
      <c r="AC43" s="182" t="n"/>
      <c r="AD43" s="182" t="n"/>
      <c r="AE43" s="182">
        <f>IF(_epmOfflineCondition_,"FMOV",EPMOlapMemberO($AF$28,"[C_FLOW].[PARENTH1].[FMOV]","FMOV - 本期变动","","000"))</f>
        <v/>
      </c>
      <c r="AF43" s="182" t="n"/>
      <c r="AG43" s="182" t="n"/>
      <c r="AH43" s="182">
        <f>IF(_epmOfflineCondition_,"FMOV",EPMOlapMemberO($AF$28,"[C_FLOW].[PARENTH1].[FMOV]","FMOV - 本期变动","","000"))</f>
        <v/>
      </c>
      <c r="AI43" s="182" t="n"/>
      <c r="AJ43" s="182" t="n"/>
      <c r="AK43" s="182">
        <f>IF(_epmOfflineCondition_,"FMOV",EPMOlapMemberO(AK28,"[C_FLOW].[PARENTH1].[FMOV]","FMOV - 本期变动","","000"))</f>
        <v/>
      </c>
      <c r="AL43" s="692" t="n"/>
      <c r="AM43" s="692" t="n"/>
      <c r="AN43" s="182">
        <f>IF(_epmOfflineCondition_,"FMOV",EPMOlapMemberO(AN28,"[C_FLOW].[PARENTH1].[FMOV]","FMOV - 本期变动","","000"))</f>
        <v/>
      </c>
      <c r="AO43" s="692" t="n"/>
      <c r="AP43" s="692" t="n"/>
      <c r="AQ43" s="182">
        <f>IF(_epmOfflineCondition_,"FMOV",EPMOlapMemberO(AQ28,"[C_FLOW].[PARENTH1].[FMOV]","FMOV - 本期变动","","000"))</f>
        <v/>
      </c>
      <c r="AR43" s="182">
        <f>AR28</f>
        <v/>
      </c>
      <c r="AS43" s="716" t="n"/>
    </row>
    <row r="44" hidden="1" ht="13.5" customFormat="1" customHeight="1" s="716">
      <c r="A44" s="716" t="n"/>
      <c r="B44" s="716" t="n"/>
      <c r="C44" s="716" t="n"/>
      <c r="D44" s="716" t="n"/>
      <c r="E44" s="716" t="n"/>
      <c r="F44" s="716" t="n"/>
      <c r="G44" s="716" t="n"/>
      <c r="H44" s="716" t="n"/>
      <c r="I44" s="716" t="n"/>
      <c r="J44" s="716" t="n"/>
      <c r="K44" s="716" t="n"/>
      <c r="L44" s="716" t="n"/>
      <c r="M44" s="716" t="n"/>
      <c r="N44" s="716" t="n"/>
      <c r="O44" s="716" t="n"/>
      <c r="P44" s="716" t="n"/>
      <c r="Q44" s="716" t="n"/>
      <c r="R44" s="716" t="n"/>
      <c r="S44" s="462" t="n"/>
      <c r="T44" s="716" t="n"/>
      <c r="U44" s="716" t="n"/>
      <c r="V44" s="716" t="n"/>
      <c r="W44" s="716" t="n"/>
      <c r="X44" s="451" t="inlineStr">
        <is>
          <t>measures</t>
        </is>
      </c>
      <c r="Y44" s="451" t="n"/>
      <c r="Z44" s="182">
        <f>IF(_epmOfflineCondition_,"Periodic",EPMOlapMemberO($AC$27,"[MEASURES].[].[PERIODIC]","PERIODIC - Periodic","","000"))</f>
        <v/>
      </c>
      <c r="AA44" s="182">
        <f>IF(_epmOfflineCondition_,"YTD",EPMOlapMemberO($AA$27,"[MEASURES].[].[YTD]","YTD - Year To Date","","000"))</f>
        <v/>
      </c>
      <c r="AB44" s="182">
        <f>IF(_epmOfflineCondition_,"Periodic",EPMOlapMemberO($AC$27,"[MEASURES].[].[PERIODIC]","PERIODIC - Periodic","","000"))</f>
        <v/>
      </c>
      <c r="AC44" s="182" t="n"/>
      <c r="AD44" s="182" t="n"/>
      <c r="AE44" s="182">
        <f>IF(_epmOfflineCondition_,"Periodic",EPMOlapMemberO($AC$27,"[MEASURES].[].[PERIODIC]","PERIODIC - Periodic","","000"))</f>
        <v/>
      </c>
      <c r="AF44" s="182" t="n"/>
      <c r="AG44" s="182" t="n"/>
      <c r="AH44" s="182">
        <f>IF(_epmOfflineCondition_,"YTD",EPMOlapMemberO($AA$27,"[MEASURES].[].[YTD]","YTD - Year To Date","","000"))</f>
        <v/>
      </c>
      <c r="AI44" s="182" t="n"/>
      <c r="AJ44" s="182" t="n"/>
      <c r="AK44" s="182">
        <f>IF(_epmOfflineCondition_,"Periodic",EPMOlapMemberO(AK27,"[MEASURES].[].[PERIODIC]","PERIODIC - Periodic","","000"))</f>
        <v/>
      </c>
      <c r="AL44" s="692" t="n"/>
      <c r="AM44" s="692" t="n"/>
      <c r="AN44" s="182">
        <f>IF(_epmOfflineCondition_,"YTD",EPMOlapMemberO(AN27,"[MEASURES].[].[YTD]","YTD - Year To Date","","000"))</f>
        <v/>
      </c>
      <c r="AO44" s="692" t="n"/>
      <c r="AP44" s="692" t="n"/>
      <c r="AQ44" s="182">
        <f>IF(_epmOfflineCondition_,"YTD",EPMOlapMemberO(AQ27,"[MEASURES].[].[YTD]","YTD - Year To Date","","000"))</f>
        <v/>
      </c>
      <c r="AR44" s="182">
        <f>AR27</f>
        <v/>
      </c>
      <c r="AS44" s="716" t="n"/>
    </row>
    <row r="45" hidden="1" ht="13.5" customFormat="1" customHeight="1" s="716">
      <c r="A45" s="716" t="n"/>
      <c r="B45" s="716" t="n"/>
      <c r="C45" s="716" t="n"/>
      <c r="D45" s="716" t="n"/>
      <c r="E45" s="716" t="n"/>
      <c r="F45" s="716" t="n"/>
      <c r="G45" s="716" t="n"/>
      <c r="H45" s="716" t="n"/>
      <c r="I45" s="716" t="n"/>
      <c r="J45" s="716" t="n"/>
      <c r="K45" s="716" t="n"/>
      <c r="L45" s="716" t="n"/>
      <c r="M45" s="716" t="n"/>
      <c r="N45" s="716" t="n"/>
      <c r="O45" s="716" t="n"/>
      <c r="P45" s="716" t="n"/>
      <c r="Q45" s="716" t="n"/>
      <c r="R45" s="716" t="n"/>
      <c r="S45" s="462" t="n"/>
      <c r="T45" s="716" t="n"/>
      <c r="U45" s="716" t="n"/>
      <c r="V45" s="716" t="n"/>
      <c r="W45" s="716" t="n"/>
      <c r="X45" s="451" t="inlineStr">
        <is>
          <t>币种</t>
        </is>
      </c>
      <c r="Y45" s="451" t="n"/>
      <c r="Z45" s="182">
        <f>IF(_epmOfflineCondition_,"LC",EPMOlapMemberO($Z$37,"[C_RPTCURRENCY].[].[LC]","LC - 本位币","","000"))</f>
        <v/>
      </c>
      <c r="AA45" s="182">
        <f>IF(_epmOfflineCondition_,"LC",EPMOlapMemberO($Z$37,"[C_RPTCURRENCY].[].[LC]","LC - 本位币","","000"))</f>
        <v/>
      </c>
      <c r="AB45" s="182">
        <f>IF(_epmOfflineCondition_,"LC",EPMOlapMemberO($Z$37,"[C_RPTCURRENCY].[].[LC]","LC - 本位币","","000"))</f>
        <v/>
      </c>
      <c r="AC45" s="182" t="n"/>
      <c r="AD45" s="182" t="n"/>
      <c r="AE45" s="182">
        <f>IF(_epmOfflineCondition_,"LC",EPMOlapMemberO($Z$37,"[C_RPTCURRENCY].[].[LC]","LC - 本位币","","000"))</f>
        <v/>
      </c>
      <c r="AF45" s="182" t="n"/>
      <c r="AG45" s="182" t="n"/>
      <c r="AH45" s="182">
        <f>IF(_epmOfflineCondition_,"LC",EPMOlapMemberO($Z$37,"[C_RPTCURRENCY].[].[LC]","LC - 本位币","","000"))</f>
        <v/>
      </c>
      <c r="AI45" s="182" t="n"/>
      <c r="AJ45" s="182" t="n"/>
      <c r="AK45" s="182">
        <f>IF(_epmOfflineCondition_,"CNY",EPMOlapMemberO(AK30,"[C_RPTCURRENCY].[].[CNY]","CNY - 人民币","","000"))</f>
        <v/>
      </c>
      <c r="AL45" s="693" t="n"/>
      <c r="AM45" s="693" t="n"/>
      <c r="AN45" s="182">
        <f>IF(_epmOfflineCondition_,"CNY",EPMOlapMemberO(AN30,"[C_RPTCURRENCY].[].[CNY]","CNY - 人民币","","000"))</f>
        <v/>
      </c>
      <c r="AO45" s="693" t="n"/>
      <c r="AP45" s="693" t="n"/>
      <c r="AQ45" s="182">
        <f>IF(_epmOfflineCondition_,"CNY",EPMOlapMemberO(AQ30,"[C_RPTCURRENCY].[].[CNY]","CNY - 人民币","","000"))</f>
        <v/>
      </c>
      <c r="AR45" s="182" t="n"/>
      <c r="AS45" s="716" t="n"/>
    </row>
    <row r="46" ht="14.45" customFormat="1" customHeight="1" s="716">
      <c r="A46" s="716" t="n"/>
      <c r="B46" s="716" t="n"/>
      <c r="C46" s="716" t="n"/>
      <c r="D46" s="716" t="n"/>
      <c r="E46" s="716" t="n"/>
      <c r="F46" s="716" t="n"/>
      <c r="G46" s="716" t="n"/>
      <c r="H46" s="716" t="n"/>
      <c r="I46" s="716" t="n"/>
      <c r="J46" s="716" t="n"/>
      <c r="K46" s="716" t="n"/>
      <c r="L46" s="716" t="n"/>
      <c r="M46" s="716" t="n"/>
      <c r="N46" s="716" t="n"/>
      <c r="O46" s="716" t="n"/>
      <c r="P46" s="716" t="n"/>
      <c r="Q46" s="716" t="n"/>
      <c r="R46" s="716" t="n"/>
      <c r="S46" s="462">
        <f>IF(_epmOfflineCondition_,"　　    管理费用",EPMMemberDesc(U46))</f>
        <v/>
      </c>
      <c r="T46" s="716" t="n"/>
      <c r="U46" s="716" t="inlineStr">
        <is>
          <t>A0020206</t>
        </is>
      </c>
      <c r="V46" s="462">
        <f>IF(_epmOfflineCondition_,"A0020206",EPMOlapMemberO(U46,"[C_ACCOUNT].[PARENTH1].[A0020206]","A0020206 - 　　    管理费用","","000"))</f>
        <v/>
      </c>
      <c r="W46" s="462" t="n"/>
      <c r="X46" s="463" t="inlineStr">
        <is>
          <t>合计</t>
        </is>
      </c>
      <c r="Y46" s="651" t="inlineStr"/>
      <c r="Z46" s="1324" t="n"/>
      <c r="AA46" s="1324" t="n"/>
      <c r="AB46" s="1325" t="n"/>
      <c r="AC46" s="1324">
        <f>Z46-AB46</f>
        <v/>
      </c>
      <c r="AD46" s="1324">
        <f>IF(AB46=0,0,(Z46-AB46)/AB46*100)</f>
        <v/>
      </c>
      <c r="AE46" s="1324" t="n"/>
      <c r="AF46" s="1324">
        <f>Z46-AE46</f>
        <v/>
      </c>
      <c r="AG46" s="1324">
        <f>IF(AE46=0,0,(Z46-AE46)/AE46*100)</f>
        <v/>
      </c>
      <c r="AH46" s="1324" t="n"/>
      <c r="AI46" s="1324">
        <f>AA46-AH46</f>
        <v/>
      </c>
      <c r="AJ46" s="1324">
        <f>IF(AH46=0,0,(AA46-AH46)/AH46*100)</f>
        <v/>
      </c>
      <c r="AK46" s="1326" t="n"/>
      <c r="AL46" s="1327">
        <f>Z46-AK46</f>
        <v/>
      </c>
      <c r="AM46" s="1327">
        <f>IFERROR(Z46/AK46*100,0)</f>
        <v/>
      </c>
      <c r="AN46" s="1326">
        <f>AN47+AN48+AN49+AN50+SUM(AN53:AN70)+SUM(AN77:AN98)</f>
        <v/>
      </c>
      <c r="AO46" s="1327">
        <f>AA46-AN46</f>
        <v/>
      </c>
      <c r="AP46" s="1327">
        <f>IFERROR(AA46/AN46*100,0)</f>
        <v/>
      </c>
      <c r="AQ46" s="1326" t="n"/>
      <c r="AR46" s="1328">
        <f>AA46-AQ46</f>
        <v/>
      </c>
      <c r="AS46" s="1328">
        <f>IFERROR(AA46/AQ46*100,0)</f>
        <v/>
      </c>
    </row>
    <row r="47" ht="14.45" customFormat="1" customHeight="1" s="716">
      <c r="A47" s="716" t="n"/>
      <c r="B47" s="716" t="n"/>
      <c r="C47" s="716" t="n"/>
      <c r="D47" s="716" t="n"/>
      <c r="E47" s="716" t="n"/>
      <c r="F47" s="716" t="n"/>
      <c r="G47" s="716" t="n"/>
      <c r="H47" s="716" t="n"/>
      <c r="I47" s="716" t="n"/>
      <c r="J47" s="716" t="n"/>
      <c r="K47" s="716" t="n"/>
      <c r="L47" s="716" t="n"/>
      <c r="M47" s="716" t="n"/>
      <c r="N47" s="716" t="n"/>
      <c r="O47" s="716" t="n"/>
      <c r="P47" s="716" t="n"/>
      <c r="Q47" s="716" t="n"/>
      <c r="R47" s="716" t="n"/>
      <c r="S47" s="462">
        <f>IF(_epmOfflineCondition_,"管理费用-职工薪酬",EPMMemberDesc(U47))</f>
        <v/>
      </c>
      <c r="T47" s="716" t="n"/>
      <c r="U47" s="716" t="inlineStr">
        <is>
          <t>A6602010000</t>
        </is>
      </c>
      <c r="V47" s="455">
        <f>IF(_epmOfflineCondition_,"A6602010000",EPMOlapMemberO(U47,"[C_ACCOUNT].[PARENTH1].[A6602010000]","A6602010000 - 管理费用-职工薪酬","","000"))</f>
        <v/>
      </c>
      <c r="W47" s="462" t="n"/>
      <c r="X47" s="585" t="inlineStr">
        <is>
          <t>职工薪酬</t>
        </is>
      </c>
      <c r="Y47" s="651" t="inlineStr"/>
      <c r="Z47" s="1324" t="n"/>
      <c r="AA47" s="1324" t="n"/>
      <c r="AB47" s="1325" t="n"/>
      <c r="AC47" s="1324">
        <f>Z47-AB47</f>
        <v/>
      </c>
      <c r="AD47" s="1324">
        <f>IF(AB47=0,0,(Z47-AB47)/AB47*100)</f>
        <v/>
      </c>
      <c r="AE47" s="1324" t="n"/>
      <c r="AF47" s="1324">
        <f>Z47-AE47</f>
        <v/>
      </c>
      <c r="AG47" s="1324">
        <f>IF(AE47=0,0,(Z47-AE47)/AE47*100)</f>
        <v/>
      </c>
      <c r="AH47" s="1324" t="n"/>
      <c r="AI47" s="1324">
        <f>AA47-AH47</f>
        <v/>
      </c>
      <c r="AJ47" s="1324">
        <f>IF(AH47=0,0,(AA47-AH47)/AH47*100)</f>
        <v/>
      </c>
      <c r="AK47" s="1326" t="n"/>
      <c r="AL47" s="1327">
        <f>Z47-AK47</f>
        <v/>
      </c>
      <c r="AM47" s="1327">
        <f>IFERROR(Z47/AK47*100,0)</f>
        <v/>
      </c>
      <c r="AN47" s="1327" t="n"/>
      <c r="AO47" s="1327">
        <f>AA47-AN47</f>
        <v/>
      </c>
      <c r="AP47" s="1327">
        <f>IFERROR(AA47/AN47*100,0)</f>
        <v/>
      </c>
      <c r="AQ47" s="1327" t="n"/>
      <c r="AR47" s="1328">
        <f>AA47-AQ47</f>
        <v/>
      </c>
      <c r="AS47" s="1328">
        <f>IFERROR(AA47/AQ47*100,0)</f>
        <v/>
      </c>
    </row>
    <row r="48" ht="14.45" customFormat="1" customHeight="1" s="716">
      <c r="A48" s="716" t="n"/>
      <c r="B48" s="716" t="n"/>
      <c r="C48" s="716" t="n"/>
      <c r="D48" s="716" t="n"/>
      <c r="E48" s="716" t="n"/>
      <c r="F48" s="716" t="n"/>
      <c r="G48" s="716" t="n"/>
      <c r="H48" s="716" t="n"/>
      <c r="I48" s="716" t="n"/>
      <c r="J48" s="716" t="n"/>
      <c r="K48" s="716" t="n"/>
      <c r="L48" s="716" t="n"/>
      <c r="M48" s="716" t="n"/>
      <c r="N48" s="716" t="n"/>
      <c r="O48" s="716" t="n"/>
      <c r="P48" s="716" t="n"/>
      <c r="Q48" s="716" t="n"/>
      <c r="R48" s="716" t="n"/>
      <c r="S48" s="462">
        <f>IF(_epmOfflineCondition_,"管理费用-水电燃气费",EPMMemberDesc(U48))</f>
        <v/>
      </c>
      <c r="T48" s="716" t="n"/>
      <c r="U48" s="716" t="inlineStr">
        <is>
          <t>A6602030000</t>
        </is>
      </c>
      <c r="V48" s="455">
        <f>IF(_epmOfflineCondition_,"A6602030000",EPMOlapMemberO(U48,"[C_ACCOUNT].[PARENTH1].[A6602030000]","A6602030000 - 管理费用-水电燃气费","","000"))</f>
        <v/>
      </c>
      <c r="W48" s="462" t="n"/>
      <c r="X48" s="585" t="inlineStr">
        <is>
          <t>水电费</t>
        </is>
      </c>
      <c r="Y48" s="651" t="inlineStr"/>
      <c r="Z48" s="1324" t="n"/>
      <c r="AA48" s="1324" t="n"/>
      <c r="AB48" s="1325" t="n"/>
      <c r="AC48" s="1324">
        <f>Z48-AB48</f>
        <v/>
      </c>
      <c r="AD48" s="1324">
        <f>IF(AB48=0,0,(Z48-AB48)/AB48*100)</f>
        <v/>
      </c>
      <c r="AE48" s="1324" t="n"/>
      <c r="AF48" s="1324">
        <f>Z48-AE48</f>
        <v/>
      </c>
      <c r="AG48" s="1324">
        <f>IF(AE48=0,0,(Z48-AE48)/AE48*100)</f>
        <v/>
      </c>
      <c r="AH48" s="1324" t="n"/>
      <c r="AI48" s="1324">
        <f>AA48-AH48</f>
        <v/>
      </c>
      <c r="AJ48" s="1324">
        <f>IF(AH48=0,0,(AA48-AH48)/AH48*100)</f>
        <v/>
      </c>
      <c r="AK48" s="1326" t="n"/>
      <c r="AL48" s="1327">
        <f>Z48-AK48</f>
        <v/>
      </c>
      <c r="AM48" s="1327">
        <f>IFERROR(Z48/AK48*100,0)</f>
        <v/>
      </c>
      <c r="AN48" s="1327" t="n"/>
      <c r="AO48" s="1327">
        <f>AA48-AN48</f>
        <v/>
      </c>
      <c r="AP48" s="1327">
        <f>IFERROR(AA48/AN48*100,0)</f>
        <v/>
      </c>
      <c r="AQ48" s="1327" t="n"/>
      <c r="AR48" s="1328">
        <f>AA48-AQ48</f>
        <v/>
      </c>
      <c r="AS48" s="1328">
        <f>IFERROR(AA48/AQ48*100,0)</f>
        <v/>
      </c>
    </row>
    <row r="49" ht="14.45" customFormat="1" customHeight="1" s="716">
      <c r="A49" s="716" t="n"/>
      <c r="B49" s="716" t="n"/>
      <c r="C49" s="716" t="n"/>
      <c r="D49" s="716" t="n"/>
      <c r="E49" s="716" t="n"/>
      <c r="F49" s="716" t="n"/>
      <c r="G49" s="716" t="n"/>
      <c r="H49" s="716" t="n"/>
      <c r="I49" s="716" t="n"/>
      <c r="J49" s="716" t="n"/>
      <c r="K49" s="716" t="n"/>
      <c r="L49" s="716" t="n"/>
      <c r="M49" s="716" t="n"/>
      <c r="N49" s="716" t="n"/>
      <c r="O49" s="716" t="n"/>
      <c r="P49" s="716" t="n"/>
      <c r="Q49" s="716" t="n"/>
      <c r="R49" s="716" t="n"/>
      <c r="S49" s="462">
        <f>IF(_epmOfflineCondition_,"管理费用-燃气费",EPMMemberDesc(U49))</f>
        <v/>
      </c>
      <c r="T49" s="716" t="n"/>
      <c r="U49" s="716" t="inlineStr">
        <is>
          <t>A6602040000</t>
        </is>
      </c>
      <c r="V49" s="455">
        <f>IF(_epmOfflineCondition_,"A6602040000",EPMOlapMemberO(U49,"[C_ACCOUNT].[PARENTH1].[A6602040000]","A6602040000 - 管理费用-燃气费","","000"))</f>
        <v/>
      </c>
      <c r="W49" s="462" t="n"/>
      <c r="X49" s="585" t="inlineStr">
        <is>
          <t>燃气费</t>
        </is>
      </c>
      <c r="Y49" s="651" t="inlineStr"/>
      <c r="Z49" s="1324" t="n"/>
      <c r="AA49" s="1324" t="n"/>
      <c r="AB49" s="1325" t="n"/>
      <c r="AC49" s="1324">
        <f>Z49-AB49</f>
        <v/>
      </c>
      <c r="AD49" s="1324">
        <f>IF(AB49=0,0,(Z49-AB49)/AB49*100)</f>
        <v/>
      </c>
      <c r="AE49" s="1324" t="n"/>
      <c r="AF49" s="1324">
        <f>Z49-AE49</f>
        <v/>
      </c>
      <c r="AG49" s="1324">
        <f>IF(AE49=0,0,(Z49-AE49)/AE49*100)</f>
        <v/>
      </c>
      <c r="AH49" s="1324" t="n"/>
      <c r="AI49" s="1324">
        <f>AA49-AH49</f>
        <v/>
      </c>
      <c r="AJ49" s="1324">
        <f>IF(AH49=0,0,(AA49-AH49)/AH49*100)</f>
        <v/>
      </c>
      <c r="AK49" s="1326" t="n"/>
      <c r="AL49" s="1327">
        <f>Z49-AK49</f>
        <v/>
      </c>
      <c r="AM49" s="1327">
        <f>IFERROR(Z49/AK49*100,0)</f>
        <v/>
      </c>
      <c r="AN49" s="1327" t="n"/>
      <c r="AO49" s="1327">
        <f>AA49-AN49</f>
        <v/>
      </c>
      <c r="AP49" s="1327">
        <f>IFERROR(AA49/AN49*100,0)</f>
        <v/>
      </c>
      <c r="AQ49" s="1327" t="n"/>
      <c r="AR49" s="1328">
        <f>AA49-AQ49</f>
        <v/>
      </c>
      <c r="AS49" s="1328">
        <f>IFERROR(AA49/AQ49*100,0)</f>
        <v/>
      </c>
    </row>
    <row r="50" ht="14.45" customFormat="1" customHeight="1" s="716">
      <c r="A50" s="716" t="n"/>
      <c r="B50" s="716" t="n"/>
      <c r="C50" s="716" t="n"/>
      <c r="D50" s="716" t="n"/>
      <c r="E50" s="716" t="n"/>
      <c r="F50" s="716" t="n"/>
      <c r="G50" s="716" t="n"/>
      <c r="H50" s="716" t="n"/>
      <c r="I50" s="716" t="n"/>
      <c r="J50" s="716" t="n"/>
      <c r="K50" s="716" t="n"/>
      <c r="L50" s="716" t="n"/>
      <c r="M50" s="716" t="n"/>
      <c r="N50" s="716" t="n"/>
      <c r="O50" s="716" t="n"/>
      <c r="P50" s="716" t="n"/>
      <c r="Q50" s="716" t="n"/>
      <c r="R50" s="716" t="n"/>
      <c r="S50" s="462">
        <f>IF(_epmOfflineCondition_,"管理费用-折旧费",EPMMemberDesc(U50))</f>
        <v/>
      </c>
      <c r="T50" s="716" t="n"/>
      <c r="U50" s="716" t="inlineStr">
        <is>
          <t>A660205</t>
        </is>
      </c>
      <c r="V50" s="455">
        <f>IF(_epmOfflineCondition_,"A660205",EPMOlapMemberO(U50,"[C_ACCOUNT].[PARENTH1].[A660205]","A660205 - 管理费用-折旧费","","000"))</f>
        <v/>
      </c>
      <c r="W50" s="462" t="n"/>
      <c r="X50" s="585" t="inlineStr">
        <is>
          <t>折旧费</t>
        </is>
      </c>
      <c r="Y50" s="651" t="inlineStr"/>
      <c r="Z50" s="1324" t="n"/>
      <c r="AA50" s="1324" t="n"/>
      <c r="AB50" s="1325" t="n"/>
      <c r="AC50" s="1324">
        <f>Z50-AB50</f>
        <v/>
      </c>
      <c r="AD50" s="1324">
        <f>IF(AB50=0,0,(Z50-AB50)/AB50*100)</f>
        <v/>
      </c>
      <c r="AE50" s="1324" t="n"/>
      <c r="AF50" s="1324">
        <f>Z50-AE50</f>
        <v/>
      </c>
      <c r="AG50" s="1324">
        <f>IF(AE50=0,0,(Z50-AE50)/AE50*100)</f>
        <v/>
      </c>
      <c r="AH50" s="1324" t="n"/>
      <c r="AI50" s="1324">
        <f>AA50-AH50</f>
        <v/>
      </c>
      <c r="AJ50" s="1324">
        <f>IF(AH50=0,0,(AA50-AH50)/AH50*100)</f>
        <v/>
      </c>
      <c r="AK50" s="1326" t="n"/>
      <c r="AL50" s="1327">
        <f>Z50-AK50</f>
        <v/>
      </c>
      <c r="AM50" s="1327">
        <f>IFERROR(Z50/AK50*100,0)</f>
        <v/>
      </c>
      <c r="AN50" s="1326">
        <f>SUM(AN51:AN52)</f>
        <v/>
      </c>
      <c r="AO50" s="1327">
        <f>AA50-AN50</f>
        <v/>
      </c>
      <c r="AP50" s="1327">
        <f>IFERROR(AA50/AN50*100,0)</f>
        <v/>
      </c>
      <c r="AQ50" s="1326" t="n"/>
      <c r="AR50" s="1328">
        <f>AA50-AQ50</f>
        <v/>
      </c>
      <c r="AS50" s="1328">
        <f>IFERROR(AA50/AQ50*100,0)</f>
        <v/>
      </c>
    </row>
    <row r="51" ht="14.45" customFormat="1" customHeight="1" s="716">
      <c r="A51" s="716" t="n"/>
      <c r="B51" s="716" t="n"/>
      <c r="C51" s="716" t="n"/>
      <c r="D51" s="716" t="n"/>
      <c r="E51" s="716" t="n"/>
      <c r="F51" s="716" t="n"/>
      <c r="G51" s="716" t="n"/>
      <c r="H51" s="716" t="n"/>
      <c r="I51" s="716" t="n"/>
      <c r="J51" s="716" t="n"/>
      <c r="K51" s="716" t="n"/>
      <c r="L51" s="716" t="n"/>
      <c r="M51" s="716" t="n"/>
      <c r="N51" s="716" t="n"/>
      <c r="O51" s="716" t="n"/>
      <c r="P51" s="716" t="n"/>
      <c r="Q51" s="716" t="n"/>
      <c r="R51" s="716" t="n"/>
      <c r="S51" s="462">
        <f>IF(_epmOfflineCondition_,"管理费用-折旧费-固定资产折旧费",EPMMemberDesc(U51))</f>
        <v/>
      </c>
      <c r="T51" s="716" t="n"/>
      <c r="U51" s="716" t="inlineStr">
        <is>
          <t>A6602050100</t>
        </is>
      </c>
      <c r="V51" s="535">
        <f>IF(_epmOfflineCondition_,"A6602050100",EPMOlapMemberO(U51,"[C_ACCOUNT].[PARENTH1].[A6602050100]","A6602050100 - 管理费用-折旧费-固定资产折旧费","","000"))</f>
        <v/>
      </c>
      <c r="W51" s="462" t="n"/>
      <c r="X51" s="457" t="inlineStr">
        <is>
          <t>固定资产折旧费</t>
        </is>
      </c>
      <c r="Y51" s="651" t="inlineStr"/>
      <c r="Z51" s="1324" t="n"/>
      <c r="AA51" s="1324" t="n"/>
      <c r="AB51" s="1325" t="n"/>
      <c r="AC51" s="1324">
        <f>Z51-AB51</f>
        <v/>
      </c>
      <c r="AD51" s="1324">
        <f>IF(AB51=0,0,(Z51-AB51)/AB51*100)</f>
        <v/>
      </c>
      <c r="AE51" s="1324" t="n"/>
      <c r="AF51" s="1324">
        <f>Z51-AE51</f>
        <v/>
      </c>
      <c r="AG51" s="1324">
        <f>IF(AE51=0,0,(Z51-AE51)/AE51*100)</f>
        <v/>
      </c>
      <c r="AH51" s="1324" t="n"/>
      <c r="AI51" s="1324">
        <f>AA51-AH51</f>
        <v/>
      </c>
      <c r="AJ51" s="1324">
        <f>IF(AH51=0,0,(AA51-AH51)/AH51*100)</f>
        <v/>
      </c>
      <c r="AK51" s="1326" t="n"/>
      <c r="AL51" s="1327">
        <f>Z51-AK51</f>
        <v/>
      </c>
      <c r="AM51" s="1327">
        <f>IFERROR(Z51/AK51*100,0)</f>
        <v/>
      </c>
      <c r="AN51" s="1327" t="n"/>
      <c r="AO51" s="1327">
        <f>AA51-AN51</f>
        <v/>
      </c>
      <c r="AP51" s="1327">
        <f>IFERROR(AA51/AN51*100,0)</f>
        <v/>
      </c>
      <c r="AQ51" s="1327" t="n"/>
      <c r="AR51" s="1328">
        <f>AA51-AQ51</f>
        <v/>
      </c>
      <c r="AS51" s="1328">
        <f>IFERROR(AA51/AQ51*100,0)</f>
        <v/>
      </c>
    </row>
    <row r="52" ht="14.45" customFormat="1" customHeight="1" s="716">
      <c r="A52" s="716" t="n"/>
      <c r="B52" s="716" t="n"/>
      <c r="C52" s="716" t="n"/>
      <c r="D52" s="716" t="n"/>
      <c r="E52" s="716" t="n"/>
      <c r="F52" s="716" t="n"/>
      <c r="G52" s="716" t="n"/>
      <c r="H52" s="716" t="n"/>
      <c r="I52" s="716" t="n"/>
      <c r="J52" s="716" t="n"/>
      <c r="K52" s="716" t="n"/>
      <c r="L52" s="716" t="n"/>
      <c r="M52" s="716" t="n"/>
      <c r="N52" s="716" t="n"/>
      <c r="O52" s="716" t="n"/>
      <c r="P52" s="716" t="n"/>
      <c r="Q52" s="716" t="n"/>
      <c r="R52" s="716" t="n"/>
      <c r="S52" s="462">
        <f>IF(_epmOfflineCondition_,"管理费用-折旧费-使用权资产折旧费用",EPMMemberDesc(U52))</f>
        <v/>
      </c>
      <c r="T52" s="716" t="n"/>
      <c r="U52" s="716" t="inlineStr">
        <is>
          <t>A6602050200</t>
        </is>
      </c>
      <c r="V52" s="535">
        <f>IF(_epmOfflineCondition_,"A6602050200",EPMOlapMemberO(U52,"[C_ACCOUNT].[PARENTH1].[A6602050200]","A6602050200 - 管理费用-折旧费-使用权资产折旧费用","","000"))</f>
        <v/>
      </c>
      <c r="W52" s="462" t="n"/>
      <c r="X52" s="457" t="inlineStr">
        <is>
          <t>使用权资产折旧费用</t>
        </is>
      </c>
      <c r="Y52" s="651" t="inlineStr"/>
      <c r="Z52" s="1324" t="n"/>
      <c r="AA52" s="1324" t="n"/>
      <c r="AB52" s="1325" t="n"/>
      <c r="AC52" s="1324">
        <f>Z52-AB52</f>
        <v/>
      </c>
      <c r="AD52" s="1324">
        <f>IF(AB52=0,0,(Z52-AB52)/AB52*100)</f>
        <v/>
      </c>
      <c r="AE52" s="1324" t="n"/>
      <c r="AF52" s="1324">
        <f>Z52-AE52</f>
        <v/>
      </c>
      <c r="AG52" s="1324">
        <f>IF(AE52=0,0,(Z52-AE52)/AE52*100)</f>
        <v/>
      </c>
      <c r="AH52" s="1324" t="n"/>
      <c r="AI52" s="1324">
        <f>AA52-AH52</f>
        <v/>
      </c>
      <c r="AJ52" s="1324">
        <f>IF(AH52=0,0,(AA52-AH52)/AH52*100)</f>
        <v/>
      </c>
      <c r="AK52" s="1326" t="n"/>
      <c r="AL52" s="1327">
        <f>Z52-AK52</f>
        <v/>
      </c>
      <c r="AM52" s="1327">
        <f>IFERROR(Z52/AK52*100,0)</f>
        <v/>
      </c>
      <c r="AN52" s="1327" t="n"/>
      <c r="AO52" s="1327">
        <f>AA52-AN52</f>
        <v/>
      </c>
      <c r="AP52" s="1327">
        <f>IFERROR(AA52/AN52*100,0)</f>
        <v/>
      </c>
      <c r="AQ52" s="1327" t="n"/>
      <c r="AR52" s="1328">
        <f>AA52-AQ52</f>
        <v/>
      </c>
      <c r="AS52" s="1328">
        <f>IFERROR(AA52/AQ52*100,0)</f>
        <v/>
      </c>
    </row>
    <row r="53" ht="14.45" customFormat="1" customHeight="1" s="716">
      <c r="A53" s="716" t="n"/>
      <c r="B53" s="716" t="n"/>
      <c r="C53" s="716" t="n"/>
      <c r="D53" s="716" t="n"/>
      <c r="E53" s="716" t="n"/>
      <c r="F53" s="716" t="n"/>
      <c r="G53" s="716" t="n"/>
      <c r="H53" s="716" t="n"/>
      <c r="I53" s="716" t="n"/>
      <c r="J53" s="716" t="n"/>
      <c r="K53" s="716" t="n"/>
      <c r="L53" s="716" t="n"/>
      <c r="M53" s="716" t="n"/>
      <c r="N53" s="716" t="n"/>
      <c r="O53" s="716" t="n"/>
      <c r="P53" s="716" t="n"/>
      <c r="Q53" s="716" t="n"/>
      <c r="R53" s="716" t="n"/>
      <c r="S53" s="462">
        <f>IF(_epmOfflineCondition_,"管理费用-低值易耗品摊销",EPMMemberDesc(U53))</f>
        <v/>
      </c>
      <c r="T53" s="716" t="n"/>
      <c r="U53" s="716" t="inlineStr">
        <is>
          <t>A6602070000</t>
        </is>
      </c>
      <c r="V53" s="455">
        <f>IF(_epmOfflineCondition_,"A6602070000",EPMOlapMemberO(U53,"[C_ACCOUNT].[PARENTH1].[A6602070000]","A6602070000 - 管理费用-低值易耗品摊销","","000"))</f>
        <v/>
      </c>
      <c r="W53" s="462" t="n"/>
      <c r="X53" s="585" t="inlineStr">
        <is>
          <t>低值易耗品摊销</t>
        </is>
      </c>
      <c r="Y53" s="651" t="inlineStr"/>
      <c r="Z53" s="1324" t="n"/>
      <c r="AA53" s="1324" t="n"/>
      <c r="AB53" s="1325" t="n"/>
      <c r="AC53" s="1324">
        <f>Z53-AB53</f>
        <v/>
      </c>
      <c r="AD53" s="1324">
        <f>IF(AB53=0,0,(Z53-AB53)/AB53*100)</f>
        <v/>
      </c>
      <c r="AE53" s="1324" t="n"/>
      <c r="AF53" s="1324">
        <f>Z53-AE53</f>
        <v/>
      </c>
      <c r="AG53" s="1324">
        <f>IF(AE53=0,0,(Z53-AE53)/AE53*100)</f>
        <v/>
      </c>
      <c r="AH53" s="1324" t="n"/>
      <c r="AI53" s="1324">
        <f>AA53-AH53</f>
        <v/>
      </c>
      <c r="AJ53" s="1324">
        <f>IF(AH53=0,0,(AA53-AH53)/AH53*100)</f>
        <v/>
      </c>
      <c r="AK53" s="1326" t="n"/>
      <c r="AL53" s="1327">
        <f>Z53-AK53</f>
        <v/>
      </c>
      <c r="AM53" s="1327">
        <f>IFERROR(Z53/AK53*100,0)</f>
        <v/>
      </c>
      <c r="AN53" s="1327" t="n"/>
      <c r="AO53" s="1327">
        <f>AA53-AN53</f>
        <v/>
      </c>
      <c r="AP53" s="1327">
        <f>IFERROR(AA53/AN53*100,0)</f>
        <v/>
      </c>
      <c r="AQ53" s="1327" t="n"/>
      <c r="AR53" s="1328">
        <f>AA53-AQ53</f>
        <v/>
      </c>
      <c r="AS53" s="1328">
        <f>IFERROR(AA53/AQ53*100,0)</f>
        <v/>
      </c>
    </row>
    <row r="54" ht="14.45" customFormat="1" customHeight="1" s="716">
      <c r="A54" s="716" t="n"/>
      <c r="B54" s="716" t="n"/>
      <c r="C54" s="716" t="n"/>
      <c r="D54" s="716" t="n"/>
      <c r="E54" s="716" t="n"/>
      <c r="F54" s="716" t="n"/>
      <c r="G54" s="716" t="n"/>
      <c r="H54" s="716" t="n"/>
      <c r="I54" s="716" t="n"/>
      <c r="J54" s="716" t="n"/>
      <c r="K54" s="716" t="n"/>
      <c r="L54" s="716" t="n"/>
      <c r="M54" s="716" t="n"/>
      <c r="N54" s="716" t="n"/>
      <c r="O54" s="716" t="n"/>
      <c r="P54" s="716" t="n"/>
      <c r="Q54" s="716" t="n"/>
      <c r="R54" s="716" t="n"/>
      <c r="S54" s="462">
        <f>IF(_epmOfflineCondition_,"管理费用-无形资产摊销",EPMMemberDesc(U54))</f>
        <v/>
      </c>
      <c r="T54" s="716" t="n"/>
      <c r="U54" s="716" t="inlineStr">
        <is>
          <t>A6602080000</t>
        </is>
      </c>
      <c r="V54" s="455">
        <f>IF(_epmOfflineCondition_,"A6602080000",EPMOlapMemberO(U54,"[C_ACCOUNT].[PARENTH1].[A6602080000]","A6602080000 - 管理费用-无形资产摊销","","000"))</f>
        <v/>
      </c>
      <c r="W54" s="462" t="n"/>
      <c r="X54" s="585" t="inlineStr">
        <is>
          <t>无形资产摊销</t>
        </is>
      </c>
      <c r="Y54" s="651" t="inlineStr"/>
      <c r="Z54" s="1324" t="n"/>
      <c r="AA54" s="1324" t="n"/>
      <c r="AB54" s="1325" t="n"/>
      <c r="AC54" s="1324">
        <f>Z54-AB54</f>
        <v/>
      </c>
      <c r="AD54" s="1324">
        <f>IF(AB54=0,0,(Z54-AB54)/AB54*100)</f>
        <v/>
      </c>
      <c r="AE54" s="1324" t="n"/>
      <c r="AF54" s="1324">
        <f>Z54-AE54</f>
        <v/>
      </c>
      <c r="AG54" s="1324">
        <f>IF(AE54=0,0,(Z54-AE54)/AE54*100)</f>
        <v/>
      </c>
      <c r="AH54" s="1324" t="n"/>
      <c r="AI54" s="1324">
        <f>AA54-AH54</f>
        <v/>
      </c>
      <c r="AJ54" s="1324">
        <f>IF(AH54=0,0,(AA54-AH54)/AH54*100)</f>
        <v/>
      </c>
      <c r="AK54" s="1326" t="n"/>
      <c r="AL54" s="1327">
        <f>Z54-AK54</f>
        <v/>
      </c>
      <c r="AM54" s="1327">
        <f>IFERROR(Z54/AK54*100,0)</f>
        <v/>
      </c>
      <c r="AN54" s="1327" t="n"/>
      <c r="AO54" s="1327">
        <f>AA54-AN54</f>
        <v/>
      </c>
      <c r="AP54" s="1327">
        <f>IFERROR(AA54/AN54*100,0)</f>
        <v/>
      </c>
      <c r="AQ54" s="1327" t="n"/>
      <c r="AR54" s="1328">
        <f>AA54-AQ54</f>
        <v/>
      </c>
      <c r="AS54" s="1328">
        <f>IFERROR(AA54/AQ54*100,0)</f>
        <v/>
      </c>
    </row>
    <row r="55" ht="14.45" customFormat="1" customHeight="1" s="716">
      <c r="A55" s="716" t="n"/>
      <c r="B55" s="716" t="n"/>
      <c r="C55" s="716" t="n"/>
      <c r="D55" s="716" t="n"/>
      <c r="E55" s="716" t="n"/>
      <c r="F55" s="716" t="n"/>
      <c r="G55" s="716" t="n"/>
      <c r="H55" s="716" t="n"/>
      <c r="I55" s="716" t="n"/>
      <c r="J55" s="716" t="n"/>
      <c r="K55" s="716" t="n"/>
      <c r="L55" s="716" t="n"/>
      <c r="M55" s="716" t="n"/>
      <c r="N55" s="716" t="n"/>
      <c r="O55" s="716" t="n"/>
      <c r="P55" s="716" t="n"/>
      <c r="Q55" s="716" t="n"/>
      <c r="R55" s="716" t="n"/>
      <c r="S55" s="462">
        <f>IF(_epmOfflineCondition_,"管理费用-长期待摊费用摊销",EPMMemberDesc(U55))</f>
        <v/>
      </c>
      <c r="T55" s="716" t="n"/>
      <c r="U55" s="716" t="inlineStr">
        <is>
          <t>A6602090000</t>
        </is>
      </c>
      <c r="V55" s="455">
        <f>IF(_epmOfflineCondition_,"A6602090000",EPMOlapMemberO(U55,"[C_ACCOUNT].[PARENTH1].[A6602090000]","A6602090000 - 管理费用-长期待摊费用摊销","","000"))</f>
        <v/>
      </c>
      <c r="W55" s="462" t="n"/>
      <c r="X55" s="585" t="inlineStr">
        <is>
          <t>长期待摊费用摊销</t>
        </is>
      </c>
      <c r="Y55" s="651" t="inlineStr"/>
      <c r="Z55" s="1324" t="n"/>
      <c r="AA55" s="1324" t="n"/>
      <c r="AB55" s="1325" t="n"/>
      <c r="AC55" s="1324">
        <f>Z55-AB55</f>
        <v/>
      </c>
      <c r="AD55" s="1324">
        <f>IF(AB55=0,0,(Z55-AB55)/AB55*100)</f>
        <v/>
      </c>
      <c r="AE55" s="1324" t="n"/>
      <c r="AF55" s="1324">
        <f>Z55-AE55</f>
        <v/>
      </c>
      <c r="AG55" s="1324">
        <f>IF(AE55=0,0,(Z55-AE55)/AE55*100)</f>
        <v/>
      </c>
      <c r="AH55" s="1324" t="n"/>
      <c r="AI55" s="1324">
        <f>AA55-AH55</f>
        <v/>
      </c>
      <c r="AJ55" s="1324">
        <f>IF(AH55=0,0,(AA55-AH55)/AH55*100)</f>
        <v/>
      </c>
      <c r="AK55" s="1326" t="n"/>
      <c r="AL55" s="1327">
        <f>Z55-AK55</f>
        <v/>
      </c>
      <c r="AM55" s="1327">
        <f>IFERROR(Z55/AK55*100,0)</f>
        <v/>
      </c>
      <c r="AN55" s="1327" t="n"/>
      <c r="AO55" s="1327">
        <f>AA55-AN55</f>
        <v/>
      </c>
      <c r="AP55" s="1327">
        <f>IFERROR(AA55/AN55*100,0)</f>
        <v/>
      </c>
      <c r="AQ55" s="1327" t="n"/>
      <c r="AR55" s="1328">
        <f>AA55-AQ55</f>
        <v/>
      </c>
      <c r="AS55" s="1328">
        <f>IFERROR(AA55/AQ55*100,0)</f>
        <v/>
      </c>
    </row>
    <row r="56" ht="14.45" customFormat="1" customHeight="1" s="716">
      <c r="A56" s="716" t="n"/>
      <c r="B56" s="716" t="n"/>
      <c r="C56" s="716" t="n"/>
      <c r="D56" s="716" t="n"/>
      <c r="E56" s="716" t="n"/>
      <c r="F56" s="716" t="n"/>
      <c r="G56" s="716" t="n"/>
      <c r="H56" s="716" t="n"/>
      <c r="I56" s="716" t="n"/>
      <c r="J56" s="716" t="n"/>
      <c r="K56" s="716" t="n"/>
      <c r="L56" s="716" t="n"/>
      <c r="M56" s="716" t="n"/>
      <c r="N56" s="716" t="n"/>
      <c r="O56" s="716" t="n"/>
      <c r="P56" s="716" t="n"/>
      <c r="Q56" s="716" t="n"/>
      <c r="R56" s="716" t="n"/>
      <c r="S56" s="462">
        <f>IF(_epmOfflineCondition_,"管理费用-办公费",EPMMemberDesc(U56))</f>
        <v/>
      </c>
      <c r="T56" s="716" t="n"/>
      <c r="U56" s="716" t="inlineStr">
        <is>
          <t>A6602100000</t>
        </is>
      </c>
      <c r="V56" s="455">
        <f>IF(_epmOfflineCondition_,"A6602100000",EPMOlapMemberO(U56,"[C_ACCOUNT].[PARENTH1].[A6602100000]","A6602100000 - 管理费用-办公费","","000"))</f>
        <v/>
      </c>
      <c r="W56" s="462" t="n"/>
      <c r="X56" s="585" t="inlineStr">
        <is>
          <t>办公费</t>
        </is>
      </c>
      <c r="Y56" s="651" t="inlineStr"/>
      <c r="Z56" s="1324" t="n"/>
      <c r="AA56" s="1324" t="n"/>
      <c r="AB56" s="1325" t="n"/>
      <c r="AC56" s="1324">
        <f>Z56-AB56</f>
        <v/>
      </c>
      <c r="AD56" s="1324">
        <f>IF(AB56=0,0,(Z56-AB56)/AB56*100)</f>
        <v/>
      </c>
      <c r="AE56" s="1324" t="n"/>
      <c r="AF56" s="1324">
        <f>Z56-AE56</f>
        <v/>
      </c>
      <c r="AG56" s="1324">
        <f>IF(AE56=0,0,(Z56-AE56)/AE56*100)</f>
        <v/>
      </c>
      <c r="AH56" s="1324" t="n"/>
      <c r="AI56" s="1324">
        <f>AA56-AH56</f>
        <v/>
      </c>
      <c r="AJ56" s="1324">
        <f>IF(AH56=0,0,(AA56-AH56)/AH56*100)</f>
        <v/>
      </c>
      <c r="AK56" s="1326" t="n"/>
      <c r="AL56" s="1327">
        <f>Z56-AK56</f>
        <v/>
      </c>
      <c r="AM56" s="1327">
        <f>IFERROR(Z56/AK56*100,0)</f>
        <v/>
      </c>
      <c r="AN56" s="1327" t="n"/>
      <c r="AO56" s="1327">
        <f>AA56-AN56</f>
        <v/>
      </c>
      <c r="AP56" s="1327">
        <f>IFERROR(AA56/AN56*100,0)</f>
        <v/>
      </c>
      <c r="AQ56" s="1327" t="n"/>
      <c r="AR56" s="1328">
        <f>AA56-AQ56</f>
        <v/>
      </c>
      <c r="AS56" s="1328">
        <f>IFERROR(AA56/AQ56*100,0)</f>
        <v/>
      </c>
    </row>
    <row r="57" ht="14.45" customFormat="1" customHeight="1" s="716">
      <c r="A57" s="716" t="n"/>
      <c r="B57" s="716" t="n"/>
      <c r="C57" s="716" t="n"/>
      <c r="D57" s="716" t="n"/>
      <c r="E57" s="716" t="n"/>
      <c r="F57" s="716" t="n"/>
      <c r="G57" s="716" t="n"/>
      <c r="H57" s="716" t="n"/>
      <c r="I57" s="716" t="n"/>
      <c r="J57" s="716" t="n"/>
      <c r="K57" s="716" t="n"/>
      <c r="L57" s="716" t="n"/>
      <c r="M57" s="716" t="n"/>
      <c r="N57" s="716" t="n"/>
      <c r="O57" s="716" t="n"/>
      <c r="P57" s="716" t="n"/>
      <c r="Q57" s="716" t="n"/>
      <c r="R57" s="716" t="n"/>
      <c r="S57" s="462">
        <f>IF(_epmOfflineCondition_,"管理费用-差旅费",EPMMemberDesc(U57))</f>
        <v/>
      </c>
      <c r="T57" s="716" t="n"/>
      <c r="U57" s="716" t="inlineStr">
        <is>
          <t>A6602110000</t>
        </is>
      </c>
      <c r="V57" s="455">
        <f>IF(_epmOfflineCondition_,"A6602110000",EPMOlapMemberO(U57,"[C_ACCOUNT].[PARENTH1].[A6602110000]","A6602110000 - 管理费用-差旅费","","000"))</f>
        <v/>
      </c>
      <c r="W57" s="462" t="n"/>
      <c r="X57" s="585" t="inlineStr">
        <is>
          <t>差旅费</t>
        </is>
      </c>
      <c r="Y57" s="651" t="inlineStr"/>
      <c r="Z57" s="1324" t="n"/>
      <c r="AA57" s="1324" t="n"/>
      <c r="AB57" s="1325" t="n"/>
      <c r="AC57" s="1324">
        <f>Z57-AB57</f>
        <v/>
      </c>
      <c r="AD57" s="1324">
        <f>IF(AB57=0,0,(Z57-AB57)/AB57*100)</f>
        <v/>
      </c>
      <c r="AE57" s="1324" t="n"/>
      <c r="AF57" s="1324">
        <f>Z57-AE57</f>
        <v/>
      </c>
      <c r="AG57" s="1324">
        <f>IF(AE57=0,0,(Z57-AE57)/AE57*100)</f>
        <v/>
      </c>
      <c r="AH57" s="1324" t="n"/>
      <c r="AI57" s="1324">
        <f>AA57-AH57</f>
        <v/>
      </c>
      <c r="AJ57" s="1324">
        <f>IF(AH57=0,0,(AA57-AH57)/AH57*100)</f>
        <v/>
      </c>
      <c r="AK57" s="1326" t="n"/>
      <c r="AL57" s="1327">
        <f>Z57-AK57</f>
        <v/>
      </c>
      <c r="AM57" s="1327">
        <f>IFERROR(Z57/AK57*100,0)</f>
        <v/>
      </c>
      <c r="AN57" s="1327" t="n"/>
      <c r="AO57" s="1327">
        <f>AA57-AN57</f>
        <v/>
      </c>
      <c r="AP57" s="1327">
        <f>IFERROR(AA57/AN57*100,0)</f>
        <v/>
      </c>
      <c r="AQ57" s="1327" t="n"/>
      <c r="AR57" s="1328">
        <f>AA57-AQ57</f>
        <v/>
      </c>
      <c r="AS57" s="1328">
        <f>IFERROR(AA57/AQ57*100,0)</f>
        <v/>
      </c>
    </row>
    <row r="58" ht="14.45" customFormat="1" customHeight="1" s="716">
      <c r="A58" s="716" t="n"/>
      <c r="B58" s="716" t="n"/>
      <c r="C58" s="716" t="n"/>
      <c r="D58" s="716" t="n"/>
      <c r="E58" s="716" t="n"/>
      <c r="F58" s="716" t="n"/>
      <c r="G58" s="716" t="n"/>
      <c r="H58" s="716" t="n"/>
      <c r="I58" s="716" t="n"/>
      <c r="J58" s="716" t="n"/>
      <c r="K58" s="716" t="n"/>
      <c r="L58" s="716" t="n"/>
      <c r="M58" s="716" t="n"/>
      <c r="N58" s="716" t="n"/>
      <c r="O58" s="716" t="n"/>
      <c r="P58" s="716" t="n"/>
      <c r="Q58" s="716" t="n"/>
      <c r="R58" s="716" t="n"/>
      <c r="S58" s="462">
        <f>IF(_epmOfflineCondition_,"管理费用-交通费",EPMMemberDesc(U58))</f>
        <v/>
      </c>
      <c r="T58" s="716" t="n"/>
      <c r="U58" s="716" t="inlineStr">
        <is>
          <t>A6602120000</t>
        </is>
      </c>
      <c r="V58" s="455">
        <f>IF(_epmOfflineCondition_,"A6602120000",EPMOlapMemberO(U58,"[C_ACCOUNT].[PARENTH1].[A6602120000]","A6602120000 - 管理费用-交通费","","000"))</f>
        <v/>
      </c>
      <c r="W58" s="462" t="n"/>
      <c r="X58" s="585" t="inlineStr">
        <is>
          <t>交通费</t>
        </is>
      </c>
      <c r="Y58" s="651" t="inlineStr"/>
      <c r="Z58" s="1324" t="n"/>
      <c r="AA58" s="1324" t="n"/>
      <c r="AB58" s="1325" t="n"/>
      <c r="AC58" s="1324">
        <f>Z58-AB58</f>
        <v/>
      </c>
      <c r="AD58" s="1324">
        <f>IF(AB58=0,0,(Z58-AB58)/AB58*100)</f>
        <v/>
      </c>
      <c r="AE58" s="1324" t="n"/>
      <c r="AF58" s="1324">
        <f>Z58-AE58</f>
        <v/>
      </c>
      <c r="AG58" s="1324">
        <f>IF(AE58=0,0,(Z58-AE58)/AE58*100)</f>
        <v/>
      </c>
      <c r="AH58" s="1324" t="n"/>
      <c r="AI58" s="1324">
        <f>AA58-AH58</f>
        <v/>
      </c>
      <c r="AJ58" s="1324">
        <f>IF(AH58=0,0,(AA58-AH58)/AH58*100)</f>
        <v/>
      </c>
      <c r="AK58" s="1326" t="n"/>
      <c r="AL58" s="1327">
        <f>Z58-AK58</f>
        <v/>
      </c>
      <c r="AM58" s="1327">
        <f>IFERROR(Z58/AK58*100,0)</f>
        <v/>
      </c>
      <c r="AN58" s="1327" t="n"/>
      <c r="AO58" s="1327">
        <f>AA58-AN58</f>
        <v/>
      </c>
      <c r="AP58" s="1327">
        <f>IFERROR(AA58/AN58*100,0)</f>
        <v/>
      </c>
      <c r="AQ58" s="1327" t="n"/>
      <c r="AR58" s="1328">
        <f>AA58-AQ58</f>
        <v/>
      </c>
      <c r="AS58" s="1328">
        <f>IFERROR(AA58/AQ58*100,0)</f>
        <v/>
      </c>
    </row>
    <row r="59" ht="14.45" customFormat="1" customHeight="1" s="716">
      <c r="A59" s="716" t="n"/>
      <c r="B59" s="716" t="n"/>
      <c r="C59" s="716" t="n"/>
      <c r="D59" s="716" t="n"/>
      <c r="E59" s="716" t="n"/>
      <c r="F59" s="716" t="n"/>
      <c r="G59" s="716" t="n"/>
      <c r="H59" s="716" t="n"/>
      <c r="I59" s="716" t="n"/>
      <c r="J59" s="716" t="n"/>
      <c r="K59" s="716" t="n"/>
      <c r="L59" s="716" t="n"/>
      <c r="M59" s="716" t="n"/>
      <c r="N59" s="716" t="n"/>
      <c r="O59" s="716" t="n"/>
      <c r="P59" s="716" t="n"/>
      <c r="Q59" s="716" t="n"/>
      <c r="R59" s="716" t="n"/>
      <c r="S59" s="462">
        <f>IF(_epmOfflineCondition_,"管理费用-会议费",EPMMemberDesc(U59))</f>
        <v/>
      </c>
      <c r="T59" s="716" t="n"/>
      <c r="U59" s="716" t="inlineStr">
        <is>
          <t>A6602130000</t>
        </is>
      </c>
      <c r="V59" s="455">
        <f>IF(_epmOfflineCondition_,"A6602130000",EPMOlapMemberO(U59,"[C_ACCOUNT].[PARENTH1].[A6602130000]","A6602130000 - 管理费用-会议费","","000"))</f>
        <v/>
      </c>
      <c r="W59" s="462" t="n"/>
      <c r="X59" s="585" t="inlineStr">
        <is>
          <t>会议费</t>
        </is>
      </c>
      <c r="Y59" s="651" t="inlineStr"/>
      <c r="Z59" s="1324" t="n"/>
      <c r="AA59" s="1324" t="n"/>
      <c r="AB59" s="1325" t="n"/>
      <c r="AC59" s="1324">
        <f>Z59-AB59</f>
        <v/>
      </c>
      <c r="AD59" s="1324">
        <f>IF(AB59=0,0,(Z59-AB59)/AB59*100)</f>
        <v/>
      </c>
      <c r="AE59" s="1324" t="n"/>
      <c r="AF59" s="1324">
        <f>Z59-AE59</f>
        <v/>
      </c>
      <c r="AG59" s="1324">
        <f>IF(AE59=0,0,(Z59-AE59)/AE59*100)</f>
        <v/>
      </c>
      <c r="AH59" s="1324" t="n"/>
      <c r="AI59" s="1324">
        <f>AA59-AH59</f>
        <v/>
      </c>
      <c r="AJ59" s="1324">
        <f>IF(AH59=0,0,(AA59-AH59)/AH59*100)</f>
        <v/>
      </c>
      <c r="AK59" s="1326" t="n"/>
      <c r="AL59" s="1327">
        <f>Z59-AK59</f>
        <v/>
      </c>
      <c r="AM59" s="1327">
        <f>IFERROR(Z59/AK59*100,0)</f>
        <v/>
      </c>
      <c r="AN59" s="1327" t="n"/>
      <c r="AO59" s="1327">
        <f>AA59-AN59</f>
        <v/>
      </c>
      <c r="AP59" s="1327">
        <f>IFERROR(AA59/AN59*100,0)</f>
        <v/>
      </c>
      <c r="AQ59" s="1327" t="n"/>
      <c r="AR59" s="1328">
        <f>AA59-AQ59</f>
        <v/>
      </c>
      <c r="AS59" s="1328">
        <f>IFERROR(AA59/AQ59*100,0)</f>
        <v/>
      </c>
    </row>
    <row r="60" ht="14.45" customFormat="1" customHeight="1" s="716">
      <c r="A60" s="716" t="n"/>
      <c r="B60" s="716" t="n"/>
      <c r="C60" s="716" t="n"/>
      <c r="D60" s="716" t="n"/>
      <c r="E60" s="716" t="n"/>
      <c r="F60" s="716" t="n"/>
      <c r="G60" s="716" t="n"/>
      <c r="H60" s="716" t="n"/>
      <c r="I60" s="716" t="n"/>
      <c r="J60" s="716" t="n"/>
      <c r="K60" s="716" t="n"/>
      <c r="L60" s="716" t="n"/>
      <c r="M60" s="716" t="n"/>
      <c r="N60" s="716" t="n"/>
      <c r="O60" s="716" t="n"/>
      <c r="P60" s="716" t="n"/>
      <c r="Q60" s="716" t="n"/>
      <c r="R60" s="716" t="n"/>
      <c r="S60" s="462">
        <f>IF(_epmOfflineCondition_,"管理费用-业务招待费",EPMMemberDesc(U60))</f>
        <v/>
      </c>
      <c r="T60" s="716" t="n"/>
      <c r="U60" s="716" t="inlineStr">
        <is>
          <t>A6602140000</t>
        </is>
      </c>
      <c r="V60" s="455">
        <f>IF(_epmOfflineCondition_,"A6602140000",EPMOlapMemberO(U60,"[C_ACCOUNT].[PARENTH1].[A6602140000]","A6602140000 - 管理费用-业务招待费","","000"))</f>
        <v/>
      </c>
      <c r="W60" s="462" t="n"/>
      <c r="X60" s="585" t="inlineStr">
        <is>
          <t>业务招待费</t>
        </is>
      </c>
      <c r="Y60" s="651" t="inlineStr"/>
      <c r="Z60" s="1324" t="n"/>
      <c r="AA60" s="1324" t="n"/>
      <c r="AB60" s="1325" t="n"/>
      <c r="AC60" s="1324">
        <f>Z60-AB60</f>
        <v/>
      </c>
      <c r="AD60" s="1324">
        <f>IF(AB60=0,0,(Z60-AB60)/AB60*100)</f>
        <v/>
      </c>
      <c r="AE60" s="1324" t="n"/>
      <c r="AF60" s="1324">
        <f>Z60-AE60</f>
        <v/>
      </c>
      <c r="AG60" s="1324">
        <f>IF(AE60=0,0,(Z60-AE60)/AE60*100)</f>
        <v/>
      </c>
      <c r="AH60" s="1324" t="n"/>
      <c r="AI60" s="1324">
        <f>AA60-AH60</f>
        <v/>
      </c>
      <c r="AJ60" s="1324">
        <f>IF(AH60=0,0,(AA60-AH60)/AH60*100)</f>
        <v/>
      </c>
      <c r="AK60" s="1326" t="n"/>
      <c r="AL60" s="1327">
        <f>Z60-AK60</f>
        <v/>
      </c>
      <c r="AM60" s="1327">
        <f>IFERROR(Z60/AK60*100,0)</f>
        <v/>
      </c>
      <c r="AN60" s="1327" t="n"/>
      <c r="AO60" s="1327">
        <f>AA60-AN60</f>
        <v/>
      </c>
      <c r="AP60" s="1327">
        <f>IFERROR(AA60/AN60*100,0)</f>
        <v/>
      </c>
      <c r="AQ60" s="1327" t="n"/>
      <c r="AR60" s="1328">
        <f>AA60-AQ60</f>
        <v/>
      </c>
      <c r="AS60" s="1328">
        <f>IFERROR(AA60/AQ60*100,0)</f>
        <v/>
      </c>
    </row>
    <row r="61" ht="14.45" customFormat="1" customHeight="1" s="716">
      <c r="A61" s="716" t="n"/>
      <c r="B61" s="716" t="n"/>
      <c r="C61" s="716" t="n"/>
      <c r="D61" s="716" t="n"/>
      <c r="E61" s="716" t="n"/>
      <c r="F61" s="716" t="n"/>
      <c r="G61" s="716" t="n"/>
      <c r="H61" s="716" t="n"/>
      <c r="I61" s="716" t="n"/>
      <c r="J61" s="716" t="n"/>
      <c r="K61" s="716" t="n"/>
      <c r="L61" s="716" t="n"/>
      <c r="M61" s="716" t="n"/>
      <c r="N61" s="716" t="n"/>
      <c r="O61" s="716" t="n"/>
      <c r="P61" s="716" t="n"/>
      <c r="Q61" s="716" t="n"/>
      <c r="R61" s="716" t="n"/>
      <c r="S61" s="462">
        <f>IF(_epmOfflineCondition_,"管理费用-出国人员经费",EPMMemberDesc(U61))</f>
        <v/>
      </c>
      <c r="T61" s="716" t="n"/>
      <c r="U61" s="716" t="inlineStr">
        <is>
          <t>A6602150000</t>
        </is>
      </c>
      <c r="V61" s="455">
        <f>IF(_epmOfflineCondition_,"A6602150000",EPMOlapMemberO(U61,"[C_ACCOUNT].[PARENTH1].[A6602150000]","A6602150000 - 管理费用-出国人员经费","","000"))</f>
        <v/>
      </c>
      <c r="W61" s="462" t="n"/>
      <c r="X61" s="585" t="inlineStr">
        <is>
          <t>出国人员经费</t>
        </is>
      </c>
      <c r="Y61" s="651" t="inlineStr"/>
      <c r="Z61" s="1324" t="n"/>
      <c r="AA61" s="1324" t="n"/>
      <c r="AB61" s="1325" t="n"/>
      <c r="AC61" s="1324">
        <f>Z61-AB61</f>
        <v/>
      </c>
      <c r="AD61" s="1324">
        <f>IF(AB61=0,0,(Z61-AB61)/AB61*100)</f>
        <v/>
      </c>
      <c r="AE61" s="1324" t="n"/>
      <c r="AF61" s="1324">
        <f>Z61-AE61</f>
        <v/>
      </c>
      <c r="AG61" s="1324">
        <f>IF(AE61=0,0,(Z61-AE61)/AE61*100)</f>
        <v/>
      </c>
      <c r="AH61" s="1324" t="n"/>
      <c r="AI61" s="1324">
        <f>AA61-AH61</f>
        <v/>
      </c>
      <c r="AJ61" s="1324">
        <f>IF(AH61=0,0,(AA61-AH61)/AH61*100)</f>
        <v/>
      </c>
      <c r="AK61" s="1326" t="n"/>
      <c r="AL61" s="1327">
        <f>Z61-AK61</f>
        <v/>
      </c>
      <c r="AM61" s="1327">
        <f>IFERROR(Z61/AK61*100,0)</f>
        <v/>
      </c>
      <c r="AN61" s="1327" t="n"/>
      <c r="AO61" s="1327">
        <f>AA61-AN61</f>
        <v/>
      </c>
      <c r="AP61" s="1327">
        <f>IFERROR(AA61/AN61*100,0)</f>
        <v/>
      </c>
      <c r="AQ61" s="1327" t="n"/>
      <c r="AR61" s="1328">
        <f>AA61-AQ61</f>
        <v/>
      </c>
      <c r="AS61" s="1328">
        <f>IFERROR(AA61/AQ61*100,0)</f>
        <v/>
      </c>
    </row>
    <row r="62" ht="14.45" customFormat="1" customHeight="1" s="716">
      <c r="A62" s="716" t="n"/>
      <c r="B62" s="716" t="n"/>
      <c r="C62" s="716" t="n"/>
      <c r="D62" s="716" t="n"/>
      <c r="E62" s="716" t="n"/>
      <c r="F62" s="716" t="n"/>
      <c r="G62" s="716" t="n"/>
      <c r="H62" s="716" t="n"/>
      <c r="I62" s="716" t="n"/>
      <c r="J62" s="716" t="n"/>
      <c r="K62" s="716" t="n"/>
      <c r="L62" s="716" t="n"/>
      <c r="M62" s="716" t="n"/>
      <c r="N62" s="716" t="n"/>
      <c r="O62" s="716" t="n"/>
      <c r="P62" s="716" t="n"/>
      <c r="Q62" s="716" t="n"/>
      <c r="R62" s="716" t="n"/>
      <c r="S62" s="462">
        <f>IF(_epmOfflineCondition_,"管理费用-安全费",EPMMemberDesc(U62))</f>
        <v/>
      </c>
      <c r="T62" s="716" t="n"/>
      <c r="U62" s="716" t="inlineStr">
        <is>
          <t>A6602160000</t>
        </is>
      </c>
      <c r="V62" s="455">
        <f>IF(_epmOfflineCondition_,"A6602160000",EPMOlapMemberO(U62,"[C_ACCOUNT].[PARENTH1].[A6602160000]","A6602160000 - 管理费用-安全费","","000"))</f>
        <v/>
      </c>
      <c r="W62" s="462" t="n"/>
      <c r="X62" s="585" t="inlineStr">
        <is>
          <t>安全费</t>
        </is>
      </c>
      <c r="Y62" s="651" t="inlineStr"/>
      <c r="Z62" s="1324" t="n"/>
      <c r="AA62" s="1324" t="n"/>
      <c r="AB62" s="1325" t="n"/>
      <c r="AC62" s="1324">
        <f>Z62-AB62</f>
        <v/>
      </c>
      <c r="AD62" s="1324">
        <f>IF(AB62=0,0,(Z62-AB62)/AB62*100)</f>
        <v/>
      </c>
      <c r="AE62" s="1324" t="n"/>
      <c r="AF62" s="1324">
        <f>Z62-AE62</f>
        <v/>
      </c>
      <c r="AG62" s="1324">
        <f>IF(AE62=0,0,(Z62-AE62)/AE62*100)</f>
        <v/>
      </c>
      <c r="AH62" s="1324" t="n"/>
      <c r="AI62" s="1324">
        <f>AA62-AH62</f>
        <v/>
      </c>
      <c r="AJ62" s="1324">
        <f>IF(AH62=0,0,(AA62-AH62)/AH62*100)</f>
        <v/>
      </c>
      <c r="AK62" s="1326" t="n"/>
      <c r="AL62" s="1327">
        <f>Z62-AK62</f>
        <v/>
      </c>
      <c r="AM62" s="1327">
        <f>IFERROR(Z62/AK62*100,0)</f>
        <v/>
      </c>
      <c r="AN62" s="1327" t="n"/>
      <c r="AO62" s="1327">
        <f>AA62-AN62</f>
        <v/>
      </c>
      <c r="AP62" s="1327">
        <f>IFERROR(AA62/AN62*100,0)</f>
        <v/>
      </c>
      <c r="AQ62" s="1327" t="n"/>
      <c r="AR62" s="1328">
        <f>AA62-AQ62</f>
        <v/>
      </c>
      <c r="AS62" s="1328">
        <f>IFERROR(AA62/AQ62*100,0)</f>
        <v/>
      </c>
    </row>
    <row r="63" ht="14.45" customFormat="1" customHeight="1" s="716">
      <c r="A63" s="716" t="n"/>
      <c r="B63" s="716" t="n"/>
      <c r="C63" s="716" t="n"/>
      <c r="D63" s="716" t="n"/>
      <c r="E63" s="716" t="n"/>
      <c r="F63" s="716" t="n"/>
      <c r="G63" s="716" t="n"/>
      <c r="H63" s="716" t="n"/>
      <c r="I63" s="716" t="n"/>
      <c r="J63" s="716" t="n"/>
      <c r="K63" s="716" t="n"/>
      <c r="L63" s="716" t="n"/>
      <c r="M63" s="716" t="n"/>
      <c r="N63" s="716" t="n"/>
      <c r="O63" s="716" t="n"/>
      <c r="P63" s="716" t="n"/>
      <c r="Q63" s="716" t="n"/>
      <c r="R63" s="716" t="n"/>
      <c r="S63" s="462">
        <f>IF(_epmOfflineCondition_,"管理费用-环保费用",EPMMemberDesc(U63))</f>
        <v/>
      </c>
      <c r="T63" s="716" t="n"/>
      <c r="U63" s="716" t="inlineStr">
        <is>
          <t>A6602170000</t>
        </is>
      </c>
      <c r="V63" s="455">
        <f>IF(_epmOfflineCondition_,"A6602170000",EPMOlapMemberO(U63,"[C_ACCOUNT].[PARENTH1].[A6602170000]","A6602170000 - 管理费用-环保费用","","000"))</f>
        <v/>
      </c>
      <c r="W63" s="462" t="n"/>
      <c r="X63" s="585" t="inlineStr">
        <is>
          <t>环保费用</t>
        </is>
      </c>
      <c r="Y63" s="651" t="inlineStr"/>
      <c r="Z63" s="1324" t="n"/>
      <c r="AA63" s="1324" t="n"/>
      <c r="AB63" s="1325" t="n"/>
      <c r="AC63" s="1324">
        <f>Z63-AB63</f>
        <v/>
      </c>
      <c r="AD63" s="1324">
        <f>IF(AB63=0,0,(Z63-AB63)/AB63*100)</f>
        <v/>
      </c>
      <c r="AE63" s="1324" t="n"/>
      <c r="AF63" s="1324">
        <f>Z63-AE63</f>
        <v/>
      </c>
      <c r="AG63" s="1324">
        <f>IF(AE63=0,0,(Z63-AE63)/AE63*100)</f>
        <v/>
      </c>
      <c r="AH63" s="1324" t="n"/>
      <c r="AI63" s="1324">
        <f>AA63-AH63</f>
        <v/>
      </c>
      <c r="AJ63" s="1324">
        <f>IF(AH63=0,0,(AA63-AH63)/AH63*100)</f>
        <v/>
      </c>
      <c r="AK63" s="1326" t="n"/>
      <c r="AL63" s="1327">
        <f>Z63-AK63</f>
        <v/>
      </c>
      <c r="AM63" s="1327">
        <f>IFERROR(Z63/AK63*100,0)</f>
        <v/>
      </c>
      <c r="AN63" s="1327" t="n"/>
      <c r="AO63" s="1327">
        <f>AA63-AN63</f>
        <v/>
      </c>
      <c r="AP63" s="1327">
        <f>IFERROR(AA63/AN63*100,0)</f>
        <v/>
      </c>
      <c r="AQ63" s="1327" t="n"/>
      <c r="AR63" s="1328">
        <f>AA63-AQ63</f>
        <v/>
      </c>
      <c r="AS63" s="1328">
        <f>IFERROR(AA63/AQ63*100,0)</f>
        <v/>
      </c>
    </row>
    <row r="64" ht="14.45" customFormat="1" customHeight="1" s="716">
      <c r="A64" s="716" t="n"/>
      <c r="B64" s="716" t="n"/>
      <c r="C64" s="716" t="n"/>
      <c r="D64" s="716" t="n"/>
      <c r="E64" s="716" t="n"/>
      <c r="F64" s="716" t="n"/>
      <c r="G64" s="716" t="n"/>
      <c r="H64" s="716" t="n"/>
      <c r="I64" s="716" t="n"/>
      <c r="J64" s="716" t="n"/>
      <c r="K64" s="716" t="n"/>
      <c r="L64" s="716" t="n"/>
      <c r="M64" s="716" t="n"/>
      <c r="N64" s="716" t="n"/>
      <c r="O64" s="716" t="n"/>
      <c r="P64" s="716" t="n"/>
      <c r="Q64" s="716" t="n"/>
      <c r="R64" s="716" t="n"/>
      <c r="S64" s="462">
        <f>IF(_epmOfflineCondition_,"管理费用-清洁绿化费",EPMMemberDesc(U64))</f>
        <v/>
      </c>
      <c r="T64" s="716" t="n"/>
      <c r="U64" s="716" t="inlineStr">
        <is>
          <t>A6602170200</t>
        </is>
      </c>
      <c r="V64" s="455">
        <f>IF(_epmOfflineCondition_,"A6602170200",EPMOlapMemberO(U64,"[C_ACCOUNT].[PARENTH1].[A6602170200]","A6602170200 - 管理费用-清洁绿化费","","000"))</f>
        <v/>
      </c>
      <c r="W64" s="462" t="n"/>
      <c r="X64" s="585" t="inlineStr">
        <is>
          <t>清洁绿化费</t>
        </is>
      </c>
      <c r="Y64" s="651" t="inlineStr"/>
      <c r="Z64" s="1324" t="n"/>
      <c r="AA64" s="1324" t="n"/>
      <c r="AB64" s="1325" t="n"/>
      <c r="AC64" s="1324">
        <f>Z64-AB64</f>
        <v/>
      </c>
      <c r="AD64" s="1324">
        <f>IF(AB64=0,0,(Z64-AB64)/AB64*100)</f>
        <v/>
      </c>
      <c r="AE64" s="1324" t="n"/>
      <c r="AF64" s="1324">
        <f>Z64-AE64</f>
        <v/>
      </c>
      <c r="AG64" s="1324">
        <f>IF(AE64=0,0,(Z64-AE64)/AE64*100)</f>
        <v/>
      </c>
      <c r="AH64" s="1324" t="n"/>
      <c r="AI64" s="1324">
        <f>AA64-AH64</f>
        <v/>
      </c>
      <c r="AJ64" s="1324">
        <f>IF(AH64=0,0,(AA64-AH64)/AH64*100)</f>
        <v/>
      </c>
      <c r="AK64" s="1326" t="n"/>
      <c r="AL64" s="1327">
        <f>Z64-AK64</f>
        <v/>
      </c>
      <c r="AM64" s="1327">
        <f>IFERROR(Z64/AK64*100,0)</f>
        <v/>
      </c>
      <c r="AN64" s="1327" t="n"/>
      <c r="AO64" s="1327">
        <f>AA64-AN64</f>
        <v/>
      </c>
      <c r="AP64" s="1327">
        <f>IFERROR(AA64/AN64*100,0)</f>
        <v/>
      </c>
      <c r="AQ64" s="1327" t="n"/>
      <c r="AR64" s="1328">
        <f>AA64-AQ64</f>
        <v/>
      </c>
      <c r="AS64" s="1328">
        <f>IFERROR(AA64/AQ64*100,0)</f>
        <v/>
      </c>
    </row>
    <row r="65" ht="14.45" customFormat="1" customHeight="1" s="716">
      <c r="A65" s="716" t="n"/>
      <c r="B65" s="716" t="n"/>
      <c r="C65" s="716" t="n"/>
      <c r="D65" s="716" t="n"/>
      <c r="E65" s="716" t="n"/>
      <c r="F65" s="716" t="n"/>
      <c r="G65" s="716" t="n"/>
      <c r="H65" s="716" t="n"/>
      <c r="I65" s="716" t="n"/>
      <c r="J65" s="716" t="n"/>
      <c r="K65" s="716" t="n"/>
      <c r="L65" s="716" t="n"/>
      <c r="M65" s="716" t="n"/>
      <c r="N65" s="716" t="n"/>
      <c r="O65" s="716" t="n"/>
      <c r="P65" s="716" t="n"/>
      <c r="Q65" s="716" t="n"/>
      <c r="R65" s="716" t="n"/>
      <c r="S65" s="462">
        <f>IF(_epmOfflineCondition_,"管理费用-试验检验费",EPMMemberDesc(U65))</f>
        <v/>
      </c>
      <c r="T65" s="716" t="n"/>
      <c r="U65" s="716" t="inlineStr">
        <is>
          <t>A6602170400</t>
        </is>
      </c>
      <c r="V65" s="455">
        <f>IF(_epmOfflineCondition_,"A6602170400",EPMOlapMemberO(U65,"[C_ACCOUNT].[PARENTH1].[A6602170400]","A6602170400 - 管理费用-试验检验费","","000"))</f>
        <v/>
      </c>
      <c r="W65" s="462" t="n"/>
      <c r="X65" s="585" t="inlineStr">
        <is>
          <t>试验检验费</t>
        </is>
      </c>
      <c r="Y65" s="651" t="inlineStr"/>
      <c r="Z65" s="1324" t="n"/>
      <c r="AA65" s="1324" t="n"/>
      <c r="AB65" s="1325" t="n"/>
      <c r="AC65" s="1324">
        <f>Z65-AB65</f>
        <v/>
      </c>
      <c r="AD65" s="1324">
        <f>IF(AB65=0,0,(Z65-AB65)/AB65*100)</f>
        <v/>
      </c>
      <c r="AE65" s="1324" t="n"/>
      <c r="AF65" s="1324">
        <f>Z65-AE65</f>
        <v/>
      </c>
      <c r="AG65" s="1324">
        <f>IF(AE65=0,0,(Z65-AE65)/AE65*100)</f>
        <v/>
      </c>
      <c r="AH65" s="1324" t="n"/>
      <c r="AI65" s="1324">
        <f>AA65-AH65</f>
        <v/>
      </c>
      <c r="AJ65" s="1324">
        <f>IF(AH65=0,0,(AA65-AH65)/AH65*100)</f>
        <v/>
      </c>
      <c r="AK65" s="1326" t="n"/>
      <c r="AL65" s="1327">
        <f>Z65-AK65</f>
        <v/>
      </c>
      <c r="AM65" s="1327">
        <f>IFERROR(Z65/AK65*100,0)</f>
        <v/>
      </c>
      <c r="AN65" s="1327" t="n"/>
      <c r="AO65" s="1327">
        <f>AA65-AN65</f>
        <v/>
      </c>
      <c r="AP65" s="1327">
        <f>IFERROR(AA65/AN65*100,0)</f>
        <v/>
      </c>
      <c r="AQ65" s="1327" t="n"/>
      <c r="AR65" s="1328">
        <f>AA65-AQ65</f>
        <v/>
      </c>
      <c r="AS65" s="1328">
        <f>IFERROR(AA65/AQ65*100,0)</f>
        <v/>
      </c>
    </row>
    <row r="66" ht="14.45" customFormat="1" customHeight="1" s="716">
      <c r="A66" s="716" t="n"/>
      <c r="B66" s="716" t="n"/>
      <c r="C66" s="716" t="n"/>
      <c r="D66" s="716" t="n"/>
      <c r="E66" s="716" t="n"/>
      <c r="F66" s="716" t="n"/>
      <c r="G66" s="716" t="n"/>
      <c r="H66" s="716" t="n"/>
      <c r="I66" s="716" t="n"/>
      <c r="J66" s="716" t="n"/>
      <c r="K66" s="716" t="n"/>
      <c r="L66" s="716" t="n"/>
      <c r="M66" s="716" t="n"/>
      <c r="N66" s="716" t="n"/>
      <c r="O66" s="716" t="n"/>
      <c r="P66" s="716" t="n"/>
      <c r="Q66" s="716" t="n"/>
      <c r="R66" s="716" t="n"/>
      <c r="S66" s="462">
        <f>IF(_epmOfflineCondition_,"管理费用-修理费",EPMMemberDesc(U66))</f>
        <v/>
      </c>
      <c r="T66" s="716" t="n"/>
      <c r="U66" s="716" t="inlineStr">
        <is>
          <t>A6602180000</t>
        </is>
      </c>
      <c r="V66" s="455">
        <f>IF(_epmOfflineCondition_,"A6602180000",EPMOlapMemberO(U66,"[C_ACCOUNT].[PARENTH1].[A6602180000]","A6602180000 - 管理费用-修理费","","000"))</f>
        <v/>
      </c>
      <c r="W66" s="462" t="n"/>
      <c r="X66" s="585" t="inlineStr">
        <is>
          <t>修理费</t>
        </is>
      </c>
      <c r="Y66" s="651" t="inlineStr"/>
      <c r="Z66" s="1324" t="n"/>
      <c r="AA66" s="1324" t="n"/>
      <c r="AB66" s="1325" t="n"/>
      <c r="AC66" s="1324">
        <f>Z66-AB66</f>
        <v/>
      </c>
      <c r="AD66" s="1324">
        <f>IF(AB66=0,0,(Z66-AB66)/AB66*100)</f>
        <v/>
      </c>
      <c r="AE66" s="1324" t="n"/>
      <c r="AF66" s="1324">
        <f>Z66-AE66</f>
        <v/>
      </c>
      <c r="AG66" s="1324">
        <f>IF(AE66=0,0,(Z66-AE66)/AE66*100)</f>
        <v/>
      </c>
      <c r="AH66" s="1324" t="n"/>
      <c r="AI66" s="1324">
        <f>AA66-AH66</f>
        <v/>
      </c>
      <c r="AJ66" s="1324">
        <f>IF(AH66=0,0,(AA66-AH66)/AH66*100)</f>
        <v/>
      </c>
      <c r="AK66" s="1326" t="n"/>
      <c r="AL66" s="1327">
        <f>Z66-AK66</f>
        <v/>
      </c>
      <c r="AM66" s="1327">
        <f>IFERROR(Z66/AK66*100,0)</f>
        <v/>
      </c>
      <c r="AN66" s="1327" t="n"/>
      <c r="AO66" s="1327">
        <f>AA66-AN66</f>
        <v/>
      </c>
      <c r="AP66" s="1327">
        <f>IFERROR(AA66/AN66*100,0)</f>
        <v/>
      </c>
      <c r="AQ66" s="1327" t="n"/>
      <c r="AR66" s="1328">
        <f>AA66-AQ66</f>
        <v/>
      </c>
      <c r="AS66" s="1328">
        <f>IFERROR(AA66/AQ66*100,0)</f>
        <v/>
      </c>
    </row>
    <row r="67" ht="14.45" customFormat="1" customHeight="1" s="716">
      <c r="A67" s="716" t="n"/>
      <c r="B67" s="716" t="n"/>
      <c r="C67" s="716" t="n"/>
      <c r="D67" s="716" t="n"/>
      <c r="E67" s="716" t="n"/>
      <c r="F67" s="716" t="n"/>
      <c r="G67" s="716" t="n"/>
      <c r="H67" s="716" t="n"/>
      <c r="I67" s="716" t="n"/>
      <c r="J67" s="716" t="n"/>
      <c r="K67" s="716" t="n"/>
      <c r="L67" s="716" t="n"/>
      <c r="M67" s="716" t="n"/>
      <c r="N67" s="716" t="n"/>
      <c r="O67" s="716" t="n"/>
      <c r="P67" s="716" t="n"/>
      <c r="Q67" s="716" t="n"/>
      <c r="R67" s="716" t="n"/>
      <c r="S67" s="462">
        <f>IF(_epmOfflineCondition_,"管理费用-车辆费用",EPMMemberDesc(U67))</f>
        <v/>
      </c>
      <c r="T67" s="716" t="n"/>
      <c r="U67" s="716" t="inlineStr">
        <is>
          <t>A6602210000</t>
        </is>
      </c>
      <c r="V67" s="455">
        <f>IF(_epmOfflineCondition_,"A6602210000",EPMOlapMemberO(U67,"[C_ACCOUNT].[PARENTH1].[A6602210000]","A6602210000 - 管理费用-车辆费用","","000"))</f>
        <v/>
      </c>
      <c r="W67" s="462" t="n"/>
      <c r="X67" s="585" t="inlineStr">
        <is>
          <t>车辆费用</t>
        </is>
      </c>
      <c r="Y67" s="651" t="inlineStr"/>
      <c r="Z67" s="1324" t="n"/>
      <c r="AA67" s="1324" t="n"/>
      <c r="AB67" s="1325" t="n"/>
      <c r="AC67" s="1324">
        <f>Z67-AB67</f>
        <v/>
      </c>
      <c r="AD67" s="1324">
        <f>IF(AB67=0,0,(Z67-AB67)/AB67*100)</f>
        <v/>
      </c>
      <c r="AE67" s="1324" t="n"/>
      <c r="AF67" s="1324">
        <f>Z67-AE67</f>
        <v/>
      </c>
      <c r="AG67" s="1324">
        <f>IF(AE67=0,0,(Z67-AE67)/AE67*100)</f>
        <v/>
      </c>
      <c r="AH67" s="1324" t="n"/>
      <c r="AI67" s="1324">
        <f>AA67-AH67</f>
        <v/>
      </c>
      <c r="AJ67" s="1324">
        <f>IF(AH67=0,0,(AA67-AH67)/AH67*100)</f>
        <v/>
      </c>
      <c r="AK67" s="1326" t="n"/>
      <c r="AL67" s="1327">
        <f>Z67-AK67</f>
        <v/>
      </c>
      <c r="AM67" s="1327">
        <f>IFERROR(Z67/AK67*100,0)</f>
        <v/>
      </c>
      <c r="AN67" s="1327" t="n"/>
      <c r="AO67" s="1327">
        <f>AA67-AN67</f>
        <v/>
      </c>
      <c r="AP67" s="1327">
        <f>IFERROR(AA67/AN67*100,0)</f>
        <v/>
      </c>
      <c r="AQ67" s="1327" t="n"/>
      <c r="AR67" s="1328">
        <f>AA67-AQ67</f>
        <v/>
      </c>
      <c r="AS67" s="1328">
        <f>IFERROR(AA67/AQ67*100,0)</f>
        <v/>
      </c>
    </row>
    <row r="68" ht="14.45" customFormat="1" customHeight="1" s="716">
      <c r="A68" s="716" t="n"/>
      <c r="B68" s="716" t="n"/>
      <c r="C68" s="716" t="n"/>
      <c r="D68" s="716" t="n"/>
      <c r="E68" s="716" t="n"/>
      <c r="F68" s="716" t="n"/>
      <c r="G68" s="716" t="n"/>
      <c r="H68" s="716" t="n"/>
      <c r="I68" s="716" t="n"/>
      <c r="J68" s="716" t="n"/>
      <c r="K68" s="716" t="n"/>
      <c r="L68" s="716" t="n"/>
      <c r="M68" s="716" t="n"/>
      <c r="N68" s="716" t="n"/>
      <c r="O68" s="716" t="n"/>
      <c r="P68" s="716" t="n"/>
      <c r="Q68" s="716" t="n"/>
      <c r="R68" s="716" t="n"/>
      <c r="S68" s="462">
        <f>IF(_epmOfflineCondition_,"管理费用-保险费",EPMMemberDesc(U68))</f>
        <v/>
      </c>
      <c r="T68" s="716" t="n"/>
      <c r="U68" s="716" t="inlineStr">
        <is>
          <t>A6602220000</t>
        </is>
      </c>
      <c r="V68" s="455">
        <f>IF(_epmOfflineCondition_,"A6602220000",EPMOlapMemberO(U68,"[C_ACCOUNT].[PARENTH1].[A6602220000]","A6602220000 - 管理费用-保险费","","000"))</f>
        <v/>
      </c>
      <c r="W68" s="462" t="n"/>
      <c r="X68" s="585" t="inlineStr">
        <is>
          <t>保险费</t>
        </is>
      </c>
      <c r="Y68" s="651" t="inlineStr"/>
      <c r="Z68" s="1324" t="n"/>
      <c r="AA68" s="1324" t="n"/>
      <c r="AB68" s="1325" t="n"/>
      <c r="AC68" s="1324">
        <f>Z68-AB68</f>
        <v/>
      </c>
      <c r="AD68" s="1324">
        <f>IF(AB68=0,0,(Z68-AB68)/AB68*100)</f>
        <v/>
      </c>
      <c r="AE68" s="1324" t="n"/>
      <c r="AF68" s="1324">
        <f>Z68-AE68</f>
        <v/>
      </c>
      <c r="AG68" s="1324">
        <f>IF(AE68=0,0,(Z68-AE68)/AE68*100)</f>
        <v/>
      </c>
      <c r="AH68" s="1324" t="n"/>
      <c r="AI68" s="1324">
        <f>AA68-AH68</f>
        <v/>
      </c>
      <c r="AJ68" s="1324">
        <f>IF(AH68=0,0,(AA68-AH68)/AH68*100)</f>
        <v/>
      </c>
      <c r="AK68" s="1326" t="n"/>
      <c r="AL68" s="1327">
        <f>Z68-AK68</f>
        <v/>
      </c>
      <c r="AM68" s="1327">
        <f>IFERROR(Z68/AK68*100,0)</f>
        <v/>
      </c>
      <c r="AN68" s="1327" t="n"/>
      <c r="AO68" s="1327">
        <f>AA68-AN68</f>
        <v/>
      </c>
      <c r="AP68" s="1327">
        <f>IFERROR(AA68/AN68*100,0)</f>
        <v/>
      </c>
      <c r="AQ68" s="1327" t="n"/>
      <c r="AR68" s="1328">
        <f>AA68-AQ68</f>
        <v/>
      </c>
      <c r="AS68" s="1328">
        <f>IFERROR(AA68/AQ68*100,0)</f>
        <v/>
      </c>
    </row>
    <row r="69" ht="14.45" customFormat="1" customHeight="1" s="716">
      <c r="A69" s="716" t="n"/>
      <c r="B69" s="716" t="n"/>
      <c r="C69" s="716" t="n"/>
      <c r="D69" s="716" t="n"/>
      <c r="E69" s="716" t="n"/>
      <c r="F69" s="716" t="n"/>
      <c r="G69" s="716" t="n"/>
      <c r="H69" s="716" t="n"/>
      <c r="I69" s="716" t="n"/>
      <c r="J69" s="716" t="n"/>
      <c r="K69" s="716" t="n"/>
      <c r="L69" s="716" t="n"/>
      <c r="M69" s="716" t="n"/>
      <c r="N69" s="716" t="n"/>
      <c r="O69" s="716" t="n"/>
      <c r="P69" s="716" t="n"/>
      <c r="Q69" s="716" t="n"/>
      <c r="R69" s="716" t="n"/>
      <c r="S69" s="462">
        <f>IF(_epmOfflineCondition_,"管理费用-租赁费",EPMMemberDesc(U69))</f>
        <v/>
      </c>
      <c r="T69" s="716" t="n"/>
      <c r="U69" s="716" t="inlineStr">
        <is>
          <t>A6602230000</t>
        </is>
      </c>
      <c r="V69" s="455">
        <f>IF(_epmOfflineCondition_,"A6602230000",EPMOlapMemberO(U69,"[C_ACCOUNT].[PARENTH1].[A6602230000]","A6602230000 - 管理费用-租赁费","","000"))</f>
        <v/>
      </c>
      <c r="W69" s="462" t="n"/>
      <c r="X69" s="585" t="inlineStr">
        <is>
          <t>租赁费</t>
        </is>
      </c>
      <c r="Y69" s="651" t="inlineStr"/>
      <c r="Z69" s="1324" t="n"/>
      <c r="AA69" s="1324" t="n"/>
      <c r="AB69" s="1325" t="n"/>
      <c r="AC69" s="1324">
        <f>Z69-AB69</f>
        <v/>
      </c>
      <c r="AD69" s="1324">
        <f>IF(AB69=0,0,(Z69-AB69)/AB69*100)</f>
        <v/>
      </c>
      <c r="AE69" s="1324" t="n"/>
      <c r="AF69" s="1324">
        <f>Z69-AE69</f>
        <v/>
      </c>
      <c r="AG69" s="1324">
        <f>IF(AE69=0,0,(Z69-AE69)/AE69*100)</f>
        <v/>
      </c>
      <c r="AH69" s="1324" t="n"/>
      <c r="AI69" s="1324">
        <f>AA69-AH69</f>
        <v/>
      </c>
      <c r="AJ69" s="1324">
        <f>IF(AH69=0,0,(AA69-AH69)/AH69*100)</f>
        <v/>
      </c>
      <c r="AK69" s="1326" t="n"/>
      <c r="AL69" s="1327">
        <f>Z69-AK69</f>
        <v/>
      </c>
      <c r="AM69" s="1327">
        <f>IFERROR(Z69/AK69*100,0)</f>
        <v/>
      </c>
      <c r="AN69" s="1327" t="n"/>
      <c r="AO69" s="1327">
        <f>AA69-AN69</f>
        <v/>
      </c>
      <c r="AP69" s="1327">
        <f>IFERROR(AA69/AN69*100,0)</f>
        <v/>
      </c>
      <c r="AQ69" s="1327" t="n"/>
      <c r="AR69" s="1328">
        <f>AA69-AQ69</f>
        <v/>
      </c>
      <c r="AS69" s="1328">
        <f>IFERROR(AA69/AQ69*100,0)</f>
        <v/>
      </c>
    </row>
    <row r="70" ht="14.45" customFormat="1" customHeight="1" s="716">
      <c r="A70" s="716" t="n"/>
      <c r="B70" s="716" t="n"/>
      <c r="C70" s="716" t="n"/>
      <c r="D70" s="716" t="n"/>
      <c r="E70" s="716" t="n"/>
      <c r="F70" s="716" t="n"/>
      <c r="G70" s="716" t="n"/>
      <c r="H70" s="716" t="n"/>
      <c r="I70" s="716" t="n"/>
      <c r="J70" s="716" t="n"/>
      <c r="K70" s="716" t="n"/>
      <c r="L70" s="716" t="n"/>
      <c r="M70" s="716" t="n"/>
      <c r="N70" s="716" t="n"/>
      <c r="O70" s="716" t="n"/>
      <c r="P70" s="716" t="n"/>
      <c r="Q70" s="716" t="n"/>
      <c r="R70" s="716" t="n"/>
      <c r="S70" s="462">
        <f>IF(_epmOfflineCondition_,"管理费用-中介服务费",EPMMemberDesc(U70))</f>
        <v/>
      </c>
      <c r="T70" s="716" t="n"/>
      <c r="U70" s="514" t="inlineStr">
        <is>
          <t>A660224</t>
        </is>
      </c>
      <c r="V70" s="455">
        <f>IF(_epmOfflineCondition_,"A660224",EPMOlapMemberO(U70,"[C_ACCOUNT].[PARENTH1].[A660224]","A660224 - 管理费用-中介服务费","","000"))</f>
        <v/>
      </c>
      <c r="W70" s="462" t="n"/>
      <c r="X70" s="585" t="inlineStr">
        <is>
          <t>中介服务费</t>
        </is>
      </c>
      <c r="Y70" s="651" t="inlineStr"/>
      <c r="Z70" s="1324" t="n"/>
      <c r="AA70" s="1324" t="n"/>
      <c r="AB70" s="1325" t="n"/>
      <c r="AC70" s="1324">
        <f>Z70-AB70</f>
        <v/>
      </c>
      <c r="AD70" s="1324">
        <f>IF(AB70=0,0,(Z70-AB70)/AB70*100)</f>
        <v/>
      </c>
      <c r="AE70" s="1324" t="n"/>
      <c r="AF70" s="1324">
        <f>Z70-AE70</f>
        <v/>
      </c>
      <c r="AG70" s="1324">
        <f>IF(AE70=0,0,(Z70-AE70)/AE70*100)</f>
        <v/>
      </c>
      <c r="AH70" s="1324" t="n"/>
      <c r="AI70" s="1324">
        <f>AA70-AH70</f>
        <v/>
      </c>
      <c r="AJ70" s="1324">
        <f>IF(AH70=0,0,(AA70-AH70)/AH70*100)</f>
        <v/>
      </c>
      <c r="AK70" s="1326" t="n"/>
      <c r="AL70" s="1327">
        <f>Z70-AK70</f>
        <v/>
      </c>
      <c r="AM70" s="1327">
        <f>IFERROR(Z70/AK70*100,0)</f>
        <v/>
      </c>
      <c r="AN70" s="1327" t="n"/>
      <c r="AO70" s="1327">
        <f>AA70-AN70</f>
        <v/>
      </c>
      <c r="AP70" s="1327">
        <f>IFERROR(AA70/AN70*100,0)</f>
        <v/>
      </c>
      <c r="AQ70" s="1327" t="n"/>
      <c r="AR70" s="1328">
        <f>AA70-AQ70</f>
        <v/>
      </c>
      <c r="AS70" s="1328">
        <f>IFERROR(AA70/AQ70*100,0)</f>
        <v/>
      </c>
    </row>
    <row r="71" ht="14.45" customFormat="1" customHeight="1" s="716">
      <c r="A71" s="716" t="n"/>
      <c r="B71" s="716" t="n"/>
      <c r="C71" s="716" t="n"/>
      <c r="D71" s="716" t="n"/>
      <c r="E71" s="716" t="n"/>
      <c r="F71" s="716" t="n"/>
      <c r="G71" s="716" t="n"/>
      <c r="H71" s="716" t="n"/>
      <c r="I71" s="716" t="n"/>
      <c r="J71" s="716" t="n"/>
      <c r="K71" s="716" t="n"/>
      <c r="L71" s="716" t="n"/>
      <c r="M71" s="716" t="n"/>
      <c r="N71" s="716" t="n"/>
      <c r="O71" s="716" t="n"/>
      <c r="P71" s="716" t="n"/>
      <c r="Q71" s="716" t="n"/>
      <c r="R71" s="716" t="n"/>
      <c r="S71" s="462">
        <f>IF(_epmOfflineCondition_,"管理费用-中介服务费-咨询费",EPMMemberDesc(U71))</f>
        <v/>
      </c>
      <c r="T71" s="716" t="n"/>
      <c r="U71" s="514" t="inlineStr">
        <is>
          <t>A6602240100</t>
        </is>
      </c>
      <c r="V71" s="535">
        <f>IF(_epmOfflineCondition_,"A6602240100",EPMOlapMemberO(U71,"[C_ACCOUNT].[PARENTH1].[A6602240100]","A6602240100 - 管理费用-中介服务费-咨询费","","000"))</f>
        <v/>
      </c>
      <c r="W71" s="462" t="n"/>
      <c r="X71" s="457" t="inlineStr">
        <is>
          <t>咨询费</t>
        </is>
      </c>
      <c r="Y71" s="651" t="inlineStr"/>
      <c r="Z71" s="1324" t="n"/>
      <c r="AA71" s="1324" t="n"/>
      <c r="AB71" s="1325" t="n"/>
      <c r="AC71" s="1324">
        <f>Z71-AB71</f>
        <v/>
      </c>
      <c r="AD71" s="1324">
        <f>IF(AB71=0,0,(Z71-AB71)/AB71*100)</f>
        <v/>
      </c>
      <c r="AE71" s="1324" t="n"/>
      <c r="AF71" s="1324">
        <f>Z71-AE71</f>
        <v/>
      </c>
      <c r="AG71" s="1324">
        <f>IF(AE71=0,0,(Z71-AE71)/AE71*100)</f>
        <v/>
      </c>
      <c r="AH71" s="1324" t="n"/>
      <c r="AI71" s="1324">
        <f>AA71-AH71</f>
        <v/>
      </c>
      <c r="AJ71" s="1324">
        <f>IF(AH71=0,0,(AA71-AH71)/AH71*100)</f>
        <v/>
      </c>
      <c r="AK71" s="1326" t="n"/>
      <c r="AL71" s="1327">
        <f>Z71-AK71</f>
        <v/>
      </c>
      <c r="AM71" s="1327">
        <f>IFERROR(Z71/AK71*100,0)</f>
        <v/>
      </c>
      <c r="AN71" s="1327" t="n"/>
      <c r="AO71" s="1327">
        <f>AA71-AN71</f>
        <v/>
      </c>
      <c r="AP71" s="1327">
        <f>IFERROR(AA71/AN71*100,0)</f>
        <v/>
      </c>
      <c r="AQ71" s="1327" t="n"/>
      <c r="AR71" s="1328">
        <f>AA71-AQ71</f>
        <v/>
      </c>
      <c r="AS71" s="1328">
        <f>IFERROR(AA71/AQ71*100,0)</f>
        <v/>
      </c>
    </row>
    <row r="72" ht="14.45" customFormat="1" customHeight="1" s="716">
      <c r="A72" s="716" t="n"/>
      <c r="B72" s="716" t="n"/>
      <c r="C72" s="716" t="n"/>
      <c r="D72" s="716" t="n"/>
      <c r="E72" s="716" t="n"/>
      <c r="F72" s="716" t="n"/>
      <c r="G72" s="716" t="n"/>
      <c r="H72" s="716" t="n"/>
      <c r="I72" s="716" t="n"/>
      <c r="J72" s="716" t="n"/>
      <c r="K72" s="716" t="n"/>
      <c r="L72" s="716" t="n"/>
      <c r="M72" s="716" t="n"/>
      <c r="N72" s="716" t="n"/>
      <c r="O72" s="716" t="n"/>
      <c r="P72" s="716" t="n"/>
      <c r="Q72" s="716" t="n"/>
      <c r="R72" s="716" t="n"/>
      <c r="S72" s="462">
        <f>IF(_epmOfflineCondition_,"管理费用-中介服务费-资产评估费",EPMMemberDesc(U72))</f>
        <v/>
      </c>
      <c r="T72" s="716" t="n"/>
      <c r="U72" s="514" t="inlineStr">
        <is>
          <t>A6602240200</t>
        </is>
      </c>
      <c r="V72" s="535">
        <f>IF(_epmOfflineCondition_,"A6602240200",EPMOlapMemberO(U72,"[C_ACCOUNT].[PARENTH1].[A6602240200]","A6602240200 - 管理费用-中介服务费-资产评估费","","000"))</f>
        <v/>
      </c>
      <c r="W72" s="462" t="n"/>
      <c r="X72" s="457" t="inlineStr">
        <is>
          <t>资产评估费</t>
        </is>
      </c>
      <c r="Y72" s="651" t="inlineStr"/>
      <c r="Z72" s="1324" t="n"/>
      <c r="AA72" s="1324" t="n"/>
      <c r="AB72" s="1325" t="n"/>
      <c r="AC72" s="1324">
        <f>Z72-AB72</f>
        <v/>
      </c>
      <c r="AD72" s="1324">
        <f>IF(AB72=0,0,(Z72-AB72)/AB72*100)</f>
        <v/>
      </c>
      <c r="AE72" s="1324" t="n"/>
      <c r="AF72" s="1324">
        <f>Z72-AE72</f>
        <v/>
      </c>
      <c r="AG72" s="1324">
        <f>IF(AE72=0,0,(Z72-AE72)/AE72*100)</f>
        <v/>
      </c>
      <c r="AH72" s="1324" t="n"/>
      <c r="AI72" s="1324">
        <f>AA72-AH72</f>
        <v/>
      </c>
      <c r="AJ72" s="1324">
        <f>IF(AH72=0,0,(AA72-AH72)/AH72*100)</f>
        <v/>
      </c>
      <c r="AK72" s="1326" t="n"/>
      <c r="AL72" s="1327">
        <f>Z72-AK72</f>
        <v/>
      </c>
      <c r="AM72" s="1327">
        <f>IFERROR(Z72/AK72*100,0)</f>
        <v/>
      </c>
      <c r="AN72" s="1327" t="n"/>
      <c r="AO72" s="1327">
        <f>AA72-AN72</f>
        <v/>
      </c>
      <c r="AP72" s="1327">
        <f>IFERROR(AA72/AN72*100,0)</f>
        <v/>
      </c>
      <c r="AQ72" s="1327" t="n"/>
      <c r="AR72" s="1328">
        <f>AA72-AQ72</f>
        <v/>
      </c>
      <c r="AS72" s="1328">
        <f>IFERROR(AA72/AQ72*100,0)</f>
        <v/>
      </c>
    </row>
    <row r="73" ht="14.45" customFormat="1" customHeight="1" s="716">
      <c r="A73" s="716" t="n"/>
      <c r="B73" s="716" t="n"/>
      <c r="C73" s="716" t="n"/>
      <c r="D73" s="716" t="n"/>
      <c r="E73" s="716" t="n"/>
      <c r="F73" s="716" t="n"/>
      <c r="G73" s="716" t="n"/>
      <c r="H73" s="716" t="n"/>
      <c r="I73" s="716" t="n"/>
      <c r="J73" s="716" t="n"/>
      <c r="K73" s="716" t="n"/>
      <c r="L73" s="716" t="n"/>
      <c r="M73" s="716" t="n"/>
      <c r="N73" s="716" t="n"/>
      <c r="O73" s="716" t="n"/>
      <c r="P73" s="716" t="n"/>
      <c r="Q73" s="716" t="n"/>
      <c r="R73" s="716" t="n"/>
      <c r="S73" s="462">
        <f>IF(_epmOfflineCondition_,"管理费用-中介服务费-招投标费",EPMMemberDesc(U73))</f>
        <v/>
      </c>
      <c r="T73" s="716" t="n"/>
      <c r="U73" s="514" t="inlineStr">
        <is>
          <t>A6602240300</t>
        </is>
      </c>
      <c r="V73" s="535">
        <f>IF(_epmOfflineCondition_,"A6602240300",EPMOlapMemberO(U73,"[C_ACCOUNT].[PARENTH1].[A6602240300]","A6602240300 - 管理费用-中介服务费-招投标费","","000"))</f>
        <v/>
      </c>
      <c r="W73" s="462" t="n"/>
      <c r="X73" s="457" t="inlineStr">
        <is>
          <t>招投标费</t>
        </is>
      </c>
      <c r="Y73" s="651" t="inlineStr"/>
      <c r="Z73" s="1324" t="n"/>
      <c r="AA73" s="1324" t="n"/>
      <c r="AB73" s="1325" t="n"/>
      <c r="AC73" s="1324">
        <f>Z73-AB73</f>
        <v/>
      </c>
      <c r="AD73" s="1324">
        <f>IF(AB73=0,0,(Z73-AB73)/AB73*100)</f>
        <v/>
      </c>
      <c r="AE73" s="1324" t="n"/>
      <c r="AF73" s="1324">
        <f>Z73-AE73</f>
        <v/>
      </c>
      <c r="AG73" s="1324">
        <f>IF(AE73=0,0,(Z73-AE73)/AE73*100)</f>
        <v/>
      </c>
      <c r="AH73" s="1324" t="n"/>
      <c r="AI73" s="1324">
        <f>AA73-AH73</f>
        <v/>
      </c>
      <c r="AJ73" s="1324">
        <f>IF(AH73=0,0,(AA73-AH73)/AH73*100)</f>
        <v/>
      </c>
      <c r="AK73" s="1326" t="n"/>
      <c r="AL73" s="1327">
        <f>Z73-AK73</f>
        <v/>
      </c>
      <c r="AM73" s="1327">
        <f>IFERROR(Z73/AK73*100,0)</f>
        <v/>
      </c>
      <c r="AN73" s="1327" t="n"/>
      <c r="AO73" s="1327">
        <f>AA73-AN73</f>
        <v/>
      </c>
      <c r="AP73" s="1327">
        <f>IFERROR(AA73/AN73*100,0)</f>
        <v/>
      </c>
      <c r="AQ73" s="1327" t="n"/>
      <c r="AR73" s="1328">
        <f>AA73-AQ73</f>
        <v/>
      </c>
      <c r="AS73" s="1328">
        <f>IFERROR(AA73/AQ73*100,0)</f>
        <v/>
      </c>
    </row>
    <row r="74" ht="14.45" customFormat="1" customHeight="1" s="716">
      <c r="A74" s="716" t="n"/>
      <c r="B74" s="716" t="n"/>
      <c r="C74" s="716" t="n"/>
      <c r="D74" s="716" t="n"/>
      <c r="E74" s="716" t="n"/>
      <c r="F74" s="716" t="n"/>
      <c r="G74" s="716" t="n"/>
      <c r="H74" s="716" t="n"/>
      <c r="I74" s="716" t="n"/>
      <c r="J74" s="716" t="n"/>
      <c r="K74" s="716" t="n"/>
      <c r="L74" s="716" t="n"/>
      <c r="M74" s="716" t="n"/>
      <c r="N74" s="716" t="n"/>
      <c r="O74" s="716" t="n"/>
      <c r="P74" s="716" t="n"/>
      <c r="Q74" s="716" t="n"/>
      <c r="R74" s="716" t="n"/>
      <c r="S74" s="462">
        <f>IF(_epmOfflineCondition_,"管理费用-中介服务费-审计验资费",EPMMemberDesc(U74))</f>
        <v/>
      </c>
      <c r="T74" s="716" t="n"/>
      <c r="U74" s="514" t="inlineStr">
        <is>
          <t>A6602240400</t>
        </is>
      </c>
      <c r="V74" s="535">
        <f>IF(_epmOfflineCondition_,"A6602240400",EPMOlapMemberO(U74,"[C_ACCOUNT].[PARENTH1].[A6602240400]","A6602240400 - 管理费用-中介服务费-审计验资费","","000"))</f>
        <v/>
      </c>
      <c r="W74" s="462" t="n"/>
      <c r="X74" s="457" t="inlineStr">
        <is>
          <t>审计验资费</t>
        </is>
      </c>
      <c r="Y74" s="651" t="inlineStr"/>
      <c r="Z74" s="1324" t="n"/>
      <c r="AA74" s="1324" t="n"/>
      <c r="AB74" s="1325" t="n"/>
      <c r="AC74" s="1324">
        <f>Z74-AB74</f>
        <v/>
      </c>
      <c r="AD74" s="1324">
        <f>IF(AB74=0,0,(Z74-AB74)/AB74*100)</f>
        <v/>
      </c>
      <c r="AE74" s="1324" t="n"/>
      <c r="AF74" s="1324">
        <f>Z74-AE74</f>
        <v/>
      </c>
      <c r="AG74" s="1324">
        <f>IF(AE74=0,0,(Z74-AE74)/AE74*100)</f>
        <v/>
      </c>
      <c r="AH74" s="1324" t="n"/>
      <c r="AI74" s="1324">
        <f>AA74-AH74</f>
        <v/>
      </c>
      <c r="AJ74" s="1324">
        <f>IF(AH74=0,0,(AA74-AH74)/AH74*100)</f>
        <v/>
      </c>
      <c r="AK74" s="1326" t="n"/>
      <c r="AL74" s="1327">
        <f>Z74-AK74</f>
        <v/>
      </c>
      <c r="AM74" s="1327">
        <f>IFERROR(Z74/AK74*100,0)</f>
        <v/>
      </c>
      <c r="AN74" s="1327" t="n"/>
      <c r="AO74" s="1327">
        <f>AA74-AN74</f>
        <v/>
      </c>
      <c r="AP74" s="1327">
        <f>IFERROR(AA74/AN74*100,0)</f>
        <v/>
      </c>
      <c r="AQ74" s="1327" t="n"/>
      <c r="AR74" s="1328">
        <f>AA74-AQ74</f>
        <v/>
      </c>
      <c r="AS74" s="1328">
        <f>IFERROR(AA74/AQ74*100,0)</f>
        <v/>
      </c>
    </row>
    <row r="75" ht="14.45" customFormat="1" customHeight="1" s="716">
      <c r="A75" s="716" t="n"/>
      <c r="B75" s="716" t="n"/>
      <c r="C75" s="716" t="n"/>
      <c r="D75" s="716" t="n"/>
      <c r="E75" s="716" t="n"/>
      <c r="F75" s="716" t="n"/>
      <c r="G75" s="716" t="n"/>
      <c r="H75" s="716" t="n"/>
      <c r="I75" s="716" t="n"/>
      <c r="J75" s="716" t="n"/>
      <c r="K75" s="716" t="n"/>
      <c r="L75" s="716" t="n"/>
      <c r="M75" s="716" t="n"/>
      <c r="N75" s="716" t="n"/>
      <c r="O75" s="716" t="n"/>
      <c r="P75" s="716" t="n"/>
      <c r="Q75" s="716" t="n"/>
      <c r="R75" s="716" t="n"/>
      <c r="S75" s="462">
        <f>IF(_epmOfflineCondition_,"管理费用-中介服务费-法律事务费",EPMMemberDesc(U75))</f>
        <v/>
      </c>
      <c r="T75" s="716" t="n"/>
      <c r="U75" s="514" t="inlineStr">
        <is>
          <t>A6602240500</t>
        </is>
      </c>
      <c r="V75" s="535">
        <f>IF(_epmOfflineCondition_,"A6602240500",EPMOlapMemberO(U75,"[C_ACCOUNT].[PARENTH1].[A6602240500]","A6602240500 - 管理费用-中介服务费-法律事务费","","000"))</f>
        <v/>
      </c>
      <c r="W75" s="462" t="n"/>
      <c r="X75" s="457" t="inlineStr">
        <is>
          <t>法律事务费</t>
        </is>
      </c>
      <c r="Y75" s="651" t="inlineStr"/>
      <c r="Z75" s="1324" t="n"/>
      <c r="AA75" s="1324" t="n"/>
      <c r="AB75" s="1325" t="n"/>
      <c r="AC75" s="1324">
        <f>Z75-AB75</f>
        <v/>
      </c>
      <c r="AD75" s="1324">
        <f>IF(AB75=0,0,(Z75-AB75)/AB75*100)</f>
        <v/>
      </c>
      <c r="AE75" s="1324" t="n"/>
      <c r="AF75" s="1324">
        <f>Z75-AE75</f>
        <v/>
      </c>
      <c r="AG75" s="1324">
        <f>IF(AE75=0,0,(Z75-AE75)/AE75*100)</f>
        <v/>
      </c>
      <c r="AH75" s="1324" t="n"/>
      <c r="AI75" s="1324">
        <f>AA75-AH75</f>
        <v/>
      </c>
      <c r="AJ75" s="1324">
        <f>IF(AH75=0,0,(AA75-AH75)/AH75*100)</f>
        <v/>
      </c>
      <c r="AK75" s="1326" t="n"/>
      <c r="AL75" s="1327">
        <f>Z75-AK75</f>
        <v/>
      </c>
      <c r="AM75" s="1327">
        <f>IFERROR(Z75/AK75*100,0)</f>
        <v/>
      </c>
      <c r="AN75" s="1327" t="n"/>
      <c r="AO75" s="1327">
        <f>AA75-AN75</f>
        <v/>
      </c>
      <c r="AP75" s="1327">
        <f>IFERROR(AA75/AN75*100,0)</f>
        <v/>
      </c>
      <c r="AQ75" s="1327" t="n"/>
      <c r="AR75" s="1328">
        <f>AA75-AQ75</f>
        <v/>
      </c>
      <c r="AS75" s="1328">
        <f>IFERROR(AA75/AQ75*100,0)</f>
        <v/>
      </c>
    </row>
    <row r="76" ht="14.45" customFormat="1" customHeight="1" s="716">
      <c r="A76" s="716" t="n"/>
      <c r="B76" s="716" t="n"/>
      <c r="C76" s="716" t="n"/>
      <c r="D76" s="716" t="n"/>
      <c r="E76" s="716" t="n"/>
      <c r="F76" s="716" t="n"/>
      <c r="G76" s="716" t="n"/>
      <c r="H76" s="716" t="n"/>
      <c r="I76" s="716" t="n"/>
      <c r="J76" s="716" t="n"/>
      <c r="K76" s="716" t="n"/>
      <c r="L76" s="716" t="n"/>
      <c r="M76" s="716" t="n"/>
      <c r="N76" s="716" t="n"/>
      <c r="O76" s="716" t="n"/>
      <c r="P76" s="716" t="n"/>
      <c r="Q76" s="716" t="n"/>
      <c r="R76" s="716" t="n"/>
      <c r="S76" s="462">
        <f>IF(_epmOfflineCondition_,"管理费用-中介服务费-其他",EPMMemberDesc(U76))</f>
        <v/>
      </c>
      <c r="T76" s="716" t="n"/>
      <c r="U76" s="514" t="inlineStr">
        <is>
          <t>A6602249900</t>
        </is>
      </c>
      <c r="V76" s="535">
        <f>IF(_epmOfflineCondition_,"A6602249900",EPMOlapMemberO(U76,"[C_ACCOUNT].[PARENTH1].[A6602249900]","A6602249900 - 管理费用-中介服务费-其他","","000"))</f>
        <v/>
      </c>
      <c r="W76" s="462" t="n"/>
      <c r="X76" s="457" t="inlineStr">
        <is>
          <t>其他</t>
        </is>
      </c>
      <c r="Y76" s="651" t="inlineStr"/>
      <c r="Z76" s="1324" t="n"/>
      <c r="AA76" s="1324" t="n"/>
      <c r="AB76" s="1325" t="n"/>
      <c r="AC76" s="1324">
        <f>Z76-AB76</f>
        <v/>
      </c>
      <c r="AD76" s="1324">
        <f>IF(AB76=0,0,(Z76-AB76)/AB76*100)</f>
        <v/>
      </c>
      <c r="AE76" s="1324" t="n"/>
      <c r="AF76" s="1324">
        <f>Z76-AE76</f>
        <v/>
      </c>
      <c r="AG76" s="1324">
        <f>IF(AE76=0,0,(Z76-AE76)/AE76*100)</f>
        <v/>
      </c>
      <c r="AH76" s="1324" t="n"/>
      <c r="AI76" s="1324">
        <f>AA76-AH76</f>
        <v/>
      </c>
      <c r="AJ76" s="1324">
        <f>IF(AH76=0,0,(AA76-AH76)/AH76*100)</f>
        <v/>
      </c>
      <c r="AK76" s="1326" t="n"/>
      <c r="AL76" s="1327">
        <f>Z76-AK76</f>
        <v/>
      </c>
      <c r="AM76" s="1327">
        <f>IFERROR(Z76/AK76*100,0)</f>
        <v/>
      </c>
      <c r="AN76" s="1327" t="n"/>
      <c r="AO76" s="1327">
        <f>AA76-AN76</f>
        <v/>
      </c>
      <c r="AP76" s="1327">
        <f>IFERROR(AA76/AN76*100,0)</f>
        <v/>
      </c>
      <c r="AQ76" s="1327" t="n"/>
      <c r="AR76" s="1328">
        <f>AA76-AQ76</f>
        <v/>
      </c>
      <c r="AS76" s="1328">
        <f>IFERROR(AA76/AQ76*100,0)</f>
        <v/>
      </c>
    </row>
    <row r="77" ht="14.45" customFormat="1" customHeight="1" s="716">
      <c r="A77" s="716" t="n"/>
      <c r="B77" s="716" t="n"/>
      <c r="C77" s="716" t="n"/>
      <c r="D77" s="716" t="n"/>
      <c r="E77" s="716" t="n"/>
      <c r="F77" s="716" t="n"/>
      <c r="G77" s="716" t="n"/>
      <c r="H77" s="716" t="n"/>
      <c r="I77" s="716" t="n"/>
      <c r="J77" s="716" t="n"/>
      <c r="K77" s="716" t="n"/>
      <c r="L77" s="716" t="n"/>
      <c r="M77" s="716" t="n"/>
      <c r="N77" s="716" t="n"/>
      <c r="O77" s="716" t="n"/>
      <c r="P77" s="716" t="n"/>
      <c r="Q77" s="716" t="n"/>
      <c r="R77" s="716" t="n"/>
      <c r="S77" s="462">
        <f>IF(_epmOfflineCondition_,"管理费用-外部劳务费",EPMMemberDesc(U77))</f>
        <v/>
      </c>
      <c r="T77" s="716" t="n"/>
      <c r="U77" s="716" t="inlineStr">
        <is>
          <t>A6602250000</t>
        </is>
      </c>
      <c r="V77" s="455">
        <f>IF(_epmOfflineCondition_,"A6602250000",EPMOlapMemberO(U77,"[C_ACCOUNT].[PARENTH1].[A6602250000]","A6602250000 - 管理费用-外部劳务费","","000"))</f>
        <v/>
      </c>
      <c r="W77" s="462" t="n"/>
      <c r="X77" s="585" t="inlineStr">
        <is>
          <t>外部劳务费</t>
        </is>
      </c>
      <c r="Y77" s="651" t="inlineStr"/>
      <c r="Z77" s="1324" t="n"/>
      <c r="AA77" s="1324" t="n"/>
      <c r="AB77" s="1325" t="n"/>
      <c r="AC77" s="1324">
        <f>Z77-AB77</f>
        <v/>
      </c>
      <c r="AD77" s="1324">
        <f>IF(AB77=0,0,(Z77-AB77)/AB77*100)</f>
        <v/>
      </c>
      <c r="AE77" s="1324" t="n"/>
      <c r="AF77" s="1324">
        <f>Z77-AE77</f>
        <v/>
      </c>
      <c r="AG77" s="1324">
        <f>IF(AE77=0,0,(Z77-AE77)/AE77*100)</f>
        <v/>
      </c>
      <c r="AH77" s="1324" t="n"/>
      <c r="AI77" s="1324">
        <f>AA77-AH77</f>
        <v/>
      </c>
      <c r="AJ77" s="1324">
        <f>IF(AH77=0,0,(AA77-AH77)/AH77*100)</f>
        <v/>
      </c>
      <c r="AK77" s="1326" t="n"/>
      <c r="AL77" s="1327">
        <f>Z77-AK77</f>
        <v/>
      </c>
      <c r="AM77" s="1327">
        <f>IFERROR(Z77/AK77*100,0)</f>
        <v/>
      </c>
      <c r="AN77" s="1327" t="n"/>
      <c r="AO77" s="1327">
        <f>AA77-AN77</f>
        <v/>
      </c>
      <c r="AP77" s="1327">
        <f>IFERROR(AA77/AN77*100,0)</f>
        <v/>
      </c>
      <c r="AQ77" s="1327" t="n"/>
      <c r="AR77" s="1328">
        <f>AA77-AQ77</f>
        <v/>
      </c>
      <c r="AS77" s="1328">
        <f>IFERROR(AA77/AQ77*100,0)</f>
        <v/>
      </c>
    </row>
    <row r="78" ht="14.45" customFormat="1" customHeight="1" s="716">
      <c r="A78" s="716" t="n"/>
      <c r="B78" s="716" t="n"/>
      <c r="C78" s="716" t="n"/>
      <c r="D78" s="716" t="n"/>
      <c r="E78" s="716" t="n"/>
      <c r="F78" s="716" t="n"/>
      <c r="G78" s="716" t="n"/>
      <c r="H78" s="716" t="n"/>
      <c r="I78" s="716" t="n"/>
      <c r="J78" s="716" t="n"/>
      <c r="K78" s="716" t="n"/>
      <c r="L78" s="716" t="n"/>
      <c r="M78" s="716" t="n"/>
      <c r="N78" s="716" t="n"/>
      <c r="O78" s="716" t="n"/>
      <c r="P78" s="716" t="n"/>
      <c r="Q78" s="716" t="n"/>
      <c r="R78" s="716" t="n"/>
      <c r="S78" s="462">
        <f>IF(_epmOfflineCondition_,"管理费用-技术监督服务费",EPMMemberDesc(U78))</f>
        <v/>
      </c>
      <c r="T78" s="716" t="n"/>
      <c r="U78" s="716" t="inlineStr">
        <is>
          <t>A6602260000</t>
        </is>
      </c>
      <c r="V78" s="455">
        <f>IF(_epmOfflineCondition_,"A6602260000",EPMOlapMemberO(U78,"[C_ACCOUNT].[PARENTH1].[A6602260000]","A6602260000 - 管理费用-技术监督服务费","","000"))</f>
        <v/>
      </c>
      <c r="W78" s="462" t="n"/>
      <c r="X78" s="585" t="inlineStr">
        <is>
          <t>技术服务费</t>
        </is>
      </c>
      <c r="Y78" s="651" t="inlineStr"/>
      <c r="Z78" s="1324" t="n"/>
      <c r="AA78" s="1324" t="n"/>
      <c r="AB78" s="1325" t="n"/>
      <c r="AC78" s="1324">
        <f>Z78-AB78</f>
        <v/>
      </c>
      <c r="AD78" s="1324">
        <f>IF(AB78=0,0,(Z78-AB78)/AB78*100)</f>
        <v/>
      </c>
      <c r="AE78" s="1324" t="n"/>
      <c r="AF78" s="1324">
        <f>Z78-AE78</f>
        <v/>
      </c>
      <c r="AG78" s="1324">
        <f>IF(AE78=0,0,(Z78-AE78)/AE78*100)</f>
        <v/>
      </c>
      <c r="AH78" s="1324" t="n"/>
      <c r="AI78" s="1324">
        <f>AA78-AH78</f>
        <v/>
      </c>
      <c r="AJ78" s="1324">
        <f>IF(AH78=0,0,(AA78-AH78)/AH78*100)</f>
        <v/>
      </c>
      <c r="AK78" s="1326" t="n"/>
      <c r="AL78" s="1327">
        <f>Z78-AK78</f>
        <v/>
      </c>
      <c r="AM78" s="1327">
        <f>IFERROR(Z78/AK78*100,0)</f>
        <v/>
      </c>
      <c r="AN78" s="1327" t="n"/>
      <c r="AO78" s="1327">
        <f>AA78-AN78</f>
        <v/>
      </c>
      <c r="AP78" s="1327">
        <f>IFERROR(AA78/AN78*100,0)</f>
        <v/>
      </c>
      <c r="AQ78" s="1327" t="n"/>
      <c r="AR78" s="1328">
        <f>AA78-AQ78</f>
        <v/>
      </c>
      <c r="AS78" s="1328">
        <f>IFERROR(AA78/AQ78*100,0)</f>
        <v/>
      </c>
    </row>
    <row r="79" ht="14.45" customFormat="1" customHeight="1" s="716">
      <c r="A79" s="716" t="n"/>
      <c r="B79" s="716" t="n"/>
      <c r="C79" s="716" t="n"/>
      <c r="D79" s="716" t="n"/>
      <c r="E79" s="716" t="n"/>
      <c r="F79" s="716" t="n"/>
      <c r="G79" s="716" t="n"/>
      <c r="H79" s="716" t="n"/>
      <c r="I79" s="716" t="n"/>
      <c r="J79" s="716" t="n"/>
      <c r="K79" s="716" t="n"/>
      <c r="L79" s="716" t="n"/>
      <c r="M79" s="716" t="n"/>
      <c r="N79" s="716" t="n"/>
      <c r="O79" s="716" t="n"/>
      <c r="P79" s="716" t="n"/>
      <c r="Q79" s="716" t="n"/>
      <c r="R79" s="716" t="n"/>
      <c r="S79" s="462">
        <f>IF(_epmOfflineCondition_,"管理费用-存货盘亏或损失",EPMMemberDesc(U79))</f>
        <v/>
      </c>
      <c r="T79" s="716" t="n"/>
      <c r="U79" s="716" t="inlineStr">
        <is>
          <t>A6602270000</t>
        </is>
      </c>
      <c r="V79" s="455">
        <f>IF(_epmOfflineCondition_,"A6602270000",EPMOlapMemberO(U79,"[C_ACCOUNT].[PARENTH1].[A6602270000]","A6602270000 - 管理费用-存货盘亏或损失","","000"))</f>
        <v/>
      </c>
      <c r="W79" s="462" t="n"/>
      <c r="X79" s="585" t="inlineStr">
        <is>
          <t>存货盘亏或损失</t>
        </is>
      </c>
      <c r="Y79" s="651" t="inlineStr"/>
      <c r="Z79" s="1324" t="n"/>
      <c r="AA79" s="1324" t="n"/>
      <c r="AB79" s="1325" t="n"/>
      <c r="AC79" s="1324">
        <f>Z79-AB79</f>
        <v/>
      </c>
      <c r="AD79" s="1324">
        <f>IF(AB79=0,0,(Z79-AB79)/AB79*100)</f>
        <v/>
      </c>
      <c r="AE79" s="1324" t="n"/>
      <c r="AF79" s="1324">
        <f>Z79-AE79</f>
        <v/>
      </c>
      <c r="AG79" s="1324">
        <f>IF(AE79=0,0,(Z79-AE79)/AE79*100)</f>
        <v/>
      </c>
      <c r="AH79" s="1324" t="n"/>
      <c r="AI79" s="1324">
        <f>AA79-AH79</f>
        <v/>
      </c>
      <c r="AJ79" s="1324">
        <f>IF(AH79=0,0,(AA79-AH79)/AH79*100)</f>
        <v/>
      </c>
      <c r="AK79" s="1326" t="n"/>
      <c r="AL79" s="1327">
        <f>Z79-AK79</f>
        <v/>
      </c>
      <c r="AM79" s="1327">
        <f>IFERROR(Z79/AK79*100,0)</f>
        <v/>
      </c>
      <c r="AN79" s="1327" t="n"/>
      <c r="AO79" s="1327">
        <f>AA79-AN79</f>
        <v/>
      </c>
      <c r="AP79" s="1327">
        <f>IFERROR(AA79/AN79*100,0)</f>
        <v/>
      </c>
      <c r="AQ79" s="1327" t="n"/>
      <c r="AR79" s="1328">
        <f>AA79-AQ79</f>
        <v/>
      </c>
      <c r="AS79" s="1328">
        <f>IFERROR(AA79/AQ79*100,0)</f>
        <v/>
      </c>
    </row>
    <row r="80" ht="14.45" customFormat="1" customHeight="1" s="716">
      <c r="A80" s="716" t="n"/>
      <c r="B80" s="716" t="n"/>
      <c r="C80" s="716" t="n"/>
      <c r="D80" s="716" t="n"/>
      <c r="E80" s="716" t="n"/>
      <c r="F80" s="716" t="n"/>
      <c r="G80" s="716" t="n"/>
      <c r="H80" s="716" t="n"/>
      <c r="I80" s="716" t="n"/>
      <c r="J80" s="716" t="n"/>
      <c r="K80" s="716" t="n"/>
      <c r="L80" s="716" t="n"/>
      <c r="M80" s="716" t="n"/>
      <c r="N80" s="716" t="n"/>
      <c r="O80" s="716" t="n"/>
      <c r="P80" s="716" t="n"/>
      <c r="Q80" s="716" t="n"/>
      <c r="R80" s="716" t="n"/>
      <c r="S80" s="462">
        <f>IF(_epmOfflineCondition_,"管理费用-物业管理费",EPMMemberDesc(U80))</f>
        <v/>
      </c>
      <c r="T80" s="716" t="n"/>
      <c r="U80" s="716" t="inlineStr">
        <is>
          <t>A6602280000</t>
        </is>
      </c>
      <c r="V80" s="455">
        <f>IF(_epmOfflineCondition_,"A6602280000",EPMOlapMemberO(U80,"[C_ACCOUNT].[PARENTH1].[A6602280000]","A6602280000 - 管理费用-物业管理费","","000"))</f>
        <v/>
      </c>
      <c r="W80" s="462" t="n"/>
      <c r="X80" s="585" t="inlineStr">
        <is>
          <t>物业管理费</t>
        </is>
      </c>
      <c r="Y80" s="651" t="inlineStr"/>
      <c r="Z80" s="1324" t="n"/>
      <c r="AA80" s="1324" t="n"/>
      <c r="AB80" s="1325" t="n"/>
      <c r="AC80" s="1324">
        <f>Z80-AB80</f>
        <v/>
      </c>
      <c r="AD80" s="1324">
        <f>IF(AB80=0,0,(Z80-AB80)/AB80*100)</f>
        <v/>
      </c>
      <c r="AE80" s="1324" t="n"/>
      <c r="AF80" s="1324">
        <f>Z80-AE80</f>
        <v/>
      </c>
      <c r="AG80" s="1324">
        <f>IF(AE80=0,0,(Z80-AE80)/AE80*100)</f>
        <v/>
      </c>
      <c r="AH80" s="1324" t="n"/>
      <c r="AI80" s="1324">
        <f>AA80-AH80</f>
        <v/>
      </c>
      <c r="AJ80" s="1324">
        <f>IF(AH80=0,0,(AA80-AH80)/AH80*100)</f>
        <v/>
      </c>
      <c r="AK80" s="1326" t="n"/>
      <c r="AL80" s="1327">
        <f>Z80-AK80</f>
        <v/>
      </c>
      <c r="AM80" s="1327">
        <f>IFERROR(Z80/AK80*100,0)</f>
        <v/>
      </c>
      <c r="AN80" s="1327" t="n"/>
      <c r="AO80" s="1327">
        <f>AA80-AN80</f>
        <v/>
      </c>
      <c r="AP80" s="1327">
        <f>IFERROR(AA80/AN80*100,0)</f>
        <v/>
      </c>
      <c r="AQ80" s="1327" t="n"/>
      <c r="AR80" s="1328">
        <f>AA80-AQ80</f>
        <v/>
      </c>
      <c r="AS80" s="1328">
        <f>IFERROR(AA80/AQ80*100,0)</f>
        <v/>
      </c>
    </row>
    <row r="81" ht="14.45" customFormat="1" customHeight="1" s="716">
      <c r="A81" s="716" t="n"/>
      <c r="B81" s="716" t="n"/>
      <c r="C81" s="716" t="n"/>
      <c r="D81" s="716" t="n"/>
      <c r="E81" s="716" t="n"/>
      <c r="F81" s="716" t="n"/>
      <c r="G81" s="716" t="n"/>
      <c r="H81" s="716" t="n"/>
      <c r="I81" s="716" t="n"/>
      <c r="J81" s="716" t="n"/>
      <c r="K81" s="716" t="n"/>
      <c r="L81" s="716" t="n"/>
      <c r="M81" s="716" t="n"/>
      <c r="N81" s="716" t="n"/>
      <c r="O81" s="716" t="n"/>
      <c r="P81" s="716" t="n"/>
      <c r="Q81" s="716" t="n"/>
      <c r="R81" s="716" t="n"/>
      <c r="S81" s="462">
        <f>IF(_epmOfflineCondition_,"管理费用-诉讼费",EPMMemberDesc(U81))</f>
        <v/>
      </c>
      <c r="T81" s="716" t="n"/>
      <c r="U81" s="716" t="inlineStr">
        <is>
          <t>A6602290000</t>
        </is>
      </c>
      <c r="V81" s="455">
        <f>IF(_epmOfflineCondition_,"A6602290000",EPMOlapMemberO(U81,"[C_ACCOUNT].[PARENTH1].[A6602290000]","A6602290000 - 管理费用-诉讼费","","000"))</f>
        <v/>
      </c>
      <c r="W81" s="462" t="n"/>
      <c r="X81" s="585" t="inlineStr">
        <is>
          <t>诉讼费</t>
        </is>
      </c>
      <c r="Y81" s="651" t="inlineStr"/>
      <c r="Z81" s="1324" t="n"/>
      <c r="AA81" s="1324" t="n"/>
      <c r="AB81" s="1325" t="n"/>
      <c r="AC81" s="1324">
        <f>Z81-AB81</f>
        <v/>
      </c>
      <c r="AD81" s="1324">
        <f>IF(AB81=0,0,(Z81-AB81)/AB81*100)</f>
        <v/>
      </c>
      <c r="AE81" s="1324" t="n"/>
      <c r="AF81" s="1324">
        <f>Z81-AE81</f>
        <v/>
      </c>
      <c r="AG81" s="1324">
        <f>IF(AE81=0,0,(Z81-AE81)/AE81*100)</f>
        <v/>
      </c>
      <c r="AH81" s="1324" t="n"/>
      <c r="AI81" s="1324">
        <f>AA81-AH81</f>
        <v/>
      </c>
      <c r="AJ81" s="1324">
        <f>IF(AH81=0,0,(AA81-AH81)/AH81*100)</f>
        <v/>
      </c>
      <c r="AK81" s="1326" t="n"/>
      <c r="AL81" s="1327">
        <f>Z81-AK81</f>
        <v/>
      </c>
      <c r="AM81" s="1327">
        <f>IFERROR(Z81/AK81*100,0)</f>
        <v/>
      </c>
      <c r="AN81" s="1327" t="n"/>
      <c r="AO81" s="1327">
        <f>AA81-AN81</f>
        <v/>
      </c>
      <c r="AP81" s="1327">
        <f>IFERROR(AA81/AN81*100,0)</f>
        <v/>
      </c>
      <c r="AQ81" s="1327" t="n"/>
      <c r="AR81" s="1328">
        <f>AA81-AQ81</f>
        <v/>
      </c>
      <c r="AS81" s="1328">
        <f>IFERROR(AA81/AQ81*100,0)</f>
        <v/>
      </c>
    </row>
    <row r="82" ht="14.45" customFormat="1" customHeight="1" s="716">
      <c r="A82" s="716" t="n"/>
      <c r="B82" s="716" t="n"/>
      <c r="C82" s="716" t="n"/>
      <c r="D82" s="716" t="n"/>
      <c r="E82" s="716" t="n"/>
      <c r="F82" s="716" t="n"/>
      <c r="G82" s="716" t="n"/>
      <c r="H82" s="716" t="n"/>
      <c r="I82" s="716" t="n"/>
      <c r="J82" s="716" t="n"/>
      <c r="K82" s="716" t="n"/>
      <c r="L82" s="716" t="n"/>
      <c r="M82" s="716" t="n"/>
      <c r="N82" s="716" t="n"/>
      <c r="O82" s="716" t="n"/>
      <c r="P82" s="716" t="n"/>
      <c r="Q82" s="716" t="n"/>
      <c r="R82" s="716" t="n"/>
      <c r="S82" s="462">
        <f>IF(_epmOfflineCondition_,"管理费用-技术转让费",EPMMemberDesc(U82))</f>
        <v/>
      </c>
      <c r="T82" s="716" t="n"/>
      <c r="U82" s="716" t="inlineStr">
        <is>
          <t>A6602300000</t>
        </is>
      </c>
      <c r="V82" s="455">
        <f>IF(_epmOfflineCondition_,"A6602300000",EPMOlapMemberO(U82,"[C_ACCOUNT].[PARENTH1].[A6602300000]","A6602300000 - 管理费用-技术转让费","","000"))</f>
        <v/>
      </c>
      <c r="W82" s="462" t="n"/>
      <c r="X82" s="585" t="inlineStr">
        <is>
          <t>技术转让费</t>
        </is>
      </c>
      <c r="Y82" s="651" t="inlineStr"/>
      <c r="Z82" s="1324" t="n"/>
      <c r="AA82" s="1324" t="n"/>
      <c r="AB82" s="1325" t="n"/>
      <c r="AC82" s="1324">
        <f>Z82-AB82</f>
        <v/>
      </c>
      <c r="AD82" s="1324">
        <f>IF(AB82=0,0,(Z82-AB82)/AB82*100)</f>
        <v/>
      </c>
      <c r="AE82" s="1324" t="n"/>
      <c r="AF82" s="1324">
        <f>Z82-AE82</f>
        <v/>
      </c>
      <c r="AG82" s="1324">
        <f>IF(AE82=0,0,(Z82-AE82)/AE82*100)</f>
        <v/>
      </c>
      <c r="AH82" s="1324" t="n"/>
      <c r="AI82" s="1324">
        <f>AA82-AH82</f>
        <v/>
      </c>
      <c r="AJ82" s="1324">
        <f>IF(AH82=0,0,(AA82-AH82)/AH82*100)</f>
        <v/>
      </c>
      <c r="AK82" s="1326" t="n"/>
      <c r="AL82" s="1327">
        <f>Z82-AK82</f>
        <v/>
      </c>
      <c r="AM82" s="1327">
        <f>IFERROR(Z82/AK82*100,0)</f>
        <v/>
      </c>
      <c r="AN82" s="1327" t="n"/>
      <c r="AO82" s="1327">
        <f>AA82-AN82</f>
        <v/>
      </c>
      <c r="AP82" s="1327">
        <f>IFERROR(AA82/AN82*100,0)</f>
        <v/>
      </c>
      <c r="AQ82" s="1327" t="n"/>
      <c r="AR82" s="1328">
        <f>AA82-AQ82</f>
        <v/>
      </c>
      <c r="AS82" s="1328">
        <f>IFERROR(AA82/AQ82*100,0)</f>
        <v/>
      </c>
    </row>
    <row r="83" ht="14.45" customFormat="1" customHeight="1" s="716">
      <c r="A83" s="716" t="n"/>
      <c r="B83" s="716" t="n"/>
      <c r="C83" s="716" t="n"/>
      <c r="D83" s="716" t="n"/>
      <c r="E83" s="716" t="n"/>
      <c r="F83" s="716" t="n"/>
      <c r="G83" s="716" t="n"/>
      <c r="H83" s="716" t="n"/>
      <c r="I83" s="716" t="n"/>
      <c r="J83" s="716" t="n"/>
      <c r="K83" s="716" t="n"/>
      <c r="L83" s="716" t="n"/>
      <c r="M83" s="716" t="n"/>
      <c r="N83" s="716" t="n"/>
      <c r="O83" s="716" t="n"/>
      <c r="P83" s="716" t="n"/>
      <c r="Q83" s="716" t="n"/>
      <c r="R83" s="716" t="n"/>
      <c r="S83" s="462">
        <f>IF(_epmOfflineCondition_,"管理费用-董事会费",EPMMemberDesc(U83))</f>
        <v/>
      </c>
      <c r="T83" s="716" t="n"/>
      <c r="U83" s="716" t="inlineStr">
        <is>
          <t>A6602310000</t>
        </is>
      </c>
      <c r="V83" s="455">
        <f>IF(_epmOfflineCondition_,"A6602310000",EPMOlapMemberO(U83,"[C_ACCOUNT].[PARENTH1].[A6602310000]","A6602310000 - 管理费用-董事会费","","000"))</f>
        <v/>
      </c>
      <c r="W83" s="462" t="n"/>
      <c r="X83" s="585" t="inlineStr">
        <is>
          <t>董事会费</t>
        </is>
      </c>
      <c r="Y83" s="651" t="inlineStr"/>
      <c r="Z83" s="1324" t="n"/>
      <c r="AA83" s="1324" t="n"/>
      <c r="AB83" s="1325" t="n"/>
      <c r="AC83" s="1324">
        <f>Z83-AB83</f>
        <v/>
      </c>
      <c r="AD83" s="1324">
        <f>IF(AB83=0,0,(Z83-AB83)/AB83*100)</f>
        <v/>
      </c>
      <c r="AE83" s="1324" t="n"/>
      <c r="AF83" s="1324">
        <f>Z83-AE83</f>
        <v/>
      </c>
      <c r="AG83" s="1324">
        <f>IF(AE83=0,0,(Z83-AE83)/AE83*100)</f>
        <v/>
      </c>
      <c r="AH83" s="1324" t="n"/>
      <c r="AI83" s="1324">
        <f>AA83-AH83</f>
        <v/>
      </c>
      <c r="AJ83" s="1324">
        <f>IF(AH83=0,0,(AA83-AH83)/AH83*100)</f>
        <v/>
      </c>
      <c r="AK83" s="1326" t="n"/>
      <c r="AL83" s="1327">
        <f>Z83-AK83</f>
        <v/>
      </c>
      <c r="AM83" s="1327">
        <f>IFERROR(Z83/AK83*100,0)</f>
        <v/>
      </c>
      <c r="AN83" s="1327" t="n"/>
      <c r="AO83" s="1327">
        <f>AA83-AN83</f>
        <v/>
      </c>
      <c r="AP83" s="1327">
        <f>IFERROR(AA83/AN83*100,0)</f>
        <v/>
      </c>
      <c r="AQ83" s="1327" t="n"/>
      <c r="AR83" s="1328">
        <f>AA83-AQ83</f>
        <v/>
      </c>
      <c r="AS83" s="1328">
        <f>IFERROR(AA83/AQ83*100,0)</f>
        <v/>
      </c>
    </row>
    <row r="84" ht="14.45" customFormat="1" customHeight="1" s="716">
      <c r="A84" s="716" t="n"/>
      <c r="B84" s="716" t="n"/>
      <c r="C84" s="716" t="n"/>
      <c r="D84" s="716" t="n"/>
      <c r="E84" s="716" t="n"/>
      <c r="F84" s="716" t="n"/>
      <c r="G84" s="716" t="n"/>
      <c r="H84" s="716" t="n"/>
      <c r="I84" s="716" t="n"/>
      <c r="J84" s="716" t="n"/>
      <c r="K84" s="716" t="n"/>
      <c r="L84" s="716" t="n"/>
      <c r="M84" s="716" t="n"/>
      <c r="N84" s="716" t="n"/>
      <c r="O84" s="716" t="n"/>
      <c r="P84" s="716" t="n"/>
      <c r="Q84" s="716" t="n"/>
      <c r="R84" s="716" t="n"/>
      <c r="S84" s="462">
        <f>IF(_epmOfflineCondition_,"管理费用-取暖制冷费",EPMMemberDesc(U84))</f>
        <v/>
      </c>
      <c r="T84" s="716" t="n"/>
      <c r="U84" s="716" t="inlineStr">
        <is>
          <t>A6602320000</t>
        </is>
      </c>
      <c r="V84" s="455">
        <f>IF(_epmOfflineCondition_,"A6602320000",EPMOlapMemberO(U84,"[C_ACCOUNT].[PARENTH1].[A6602320000]","A6602320000 - 管理费用-取暖制冷费","","000"))</f>
        <v/>
      </c>
      <c r="W84" s="462" t="n"/>
      <c r="X84" s="585" t="inlineStr">
        <is>
          <t>取暖制冷费</t>
        </is>
      </c>
      <c r="Y84" s="651" t="inlineStr"/>
      <c r="Z84" s="1324" t="n"/>
      <c r="AA84" s="1324" t="n"/>
      <c r="AB84" s="1325" t="n"/>
      <c r="AC84" s="1324">
        <f>Z84-AB84</f>
        <v/>
      </c>
      <c r="AD84" s="1324">
        <f>IF(AB84=0,0,(Z84-AB84)/AB84*100)</f>
        <v/>
      </c>
      <c r="AE84" s="1324" t="n"/>
      <c r="AF84" s="1324">
        <f>Z84-AE84</f>
        <v/>
      </c>
      <c r="AG84" s="1324">
        <f>IF(AE84=0,0,(Z84-AE84)/AE84*100)</f>
        <v/>
      </c>
      <c r="AH84" s="1324" t="n"/>
      <c r="AI84" s="1324">
        <f>AA84-AH84</f>
        <v/>
      </c>
      <c r="AJ84" s="1324">
        <f>IF(AH84=0,0,(AA84-AH84)/AH84*100)</f>
        <v/>
      </c>
      <c r="AK84" s="1326" t="n"/>
      <c r="AL84" s="1327">
        <f>Z84-AK84</f>
        <v/>
      </c>
      <c r="AM84" s="1327">
        <f>IFERROR(Z84/AK84*100,0)</f>
        <v/>
      </c>
      <c r="AN84" s="1327" t="n"/>
      <c r="AO84" s="1327">
        <f>AA84-AN84</f>
        <v/>
      </c>
      <c r="AP84" s="1327">
        <f>IFERROR(AA84/AN84*100,0)</f>
        <v/>
      </c>
      <c r="AQ84" s="1327" t="n"/>
      <c r="AR84" s="1328">
        <f>AA84-AQ84</f>
        <v/>
      </c>
      <c r="AS84" s="1328">
        <f>IFERROR(AA84/AQ84*100,0)</f>
        <v/>
      </c>
    </row>
    <row r="85" ht="14.45" customFormat="1" customHeight="1" s="716">
      <c r="A85" s="716" t="n"/>
      <c r="B85" s="716" t="n"/>
      <c r="C85" s="716" t="n"/>
      <c r="D85" s="716" t="n"/>
      <c r="E85" s="716" t="n"/>
      <c r="F85" s="716" t="n"/>
      <c r="G85" s="716" t="n"/>
      <c r="H85" s="716" t="n"/>
      <c r="I85" s="716" t="n"/>
      <c r="J85" s="716" t="n"/>
      <c r="K85" s="716" t="n"/>
      <c r="L85" s="716" t="n"/>
      <c r="M85" s="716" t="n"/>
      <c r="N85" s="716" t="n"/>
      <c r="O85" s="716" t="n"/>
      <c r="P85" s="716" t="n"/>
      <c r="Q85" s="716" t="n"/>
      <c r="R85" s="716" t="n"/>
      <c r="S85" s="462">
        <f>IF(_epmOfflineCondition_,"管理费用-残疾人就业保障金",EPMMemberDesc(U85))</f>
        <v/>
      </c>
      <c r="T85" s="716" t="n"/>
      <c r="U85" s="716" t="inlineStr">
        <is>
          <t>A6602330000</t>
        </is>
      </c>
      <c r="V85" s="455">
        <f>IF(_epmOfflineCondition_,"A6602330000",EPMOlapMemberO(U85,"[C_ACCOUNT].[PARENTH1].[A6602330000]","A6602330000 - 管理费用-残疾人就业保障金","","000"))</f>
        <v/>
      </c>
      <c r="W85" s="462" t="n"/>
      <c r="X85" s="585" t="inlineStr">
        <is>
          <t>残疾人就业保障金</t>
        </is>
      </c>
      <c r="Y85" s="651" t="inlineStr"/>
      <c r="Z85" s="1324" t="n"/>
      <c r="AA85" s="1324" t="n"/>
      <c r="AB85" s="1325" t="n"/>
      <c r="AC85" s="1324">
        <f>Z85-AB85</f>
        <v/>
      </c>
      <c r="AD85" s="1324">
        <f>IF(AB85=0,0,(Z85-AB85)/AB85*100)</f>
        <v/>
      </c>
      <c r="AE85" s="1324" t="n"/>
      <c r="AF85" s="1324">
        <f>Z85-AE85</f>
        <v/>
      </c>
      <c r="AG85" s="1324">
        <f>IF(AE85=0,0,(Z85-AE85)/AE85*100)</f>
        <v/>
      </c>
      <c r="AH85" s="1324" t="n"/>
      <c r="AI85" s="1324">
        <f>AA85-AH85</f>
        <v/>
      </c>
      <c r="AJ85" s="1324">
        <f>IF(AH85=0,0,(AA85-AH85)/AH85*100)</f>
        <v/>
      </c>
      <c r="AK85" s="1326" t="n"/>
      <c r="AL85" s="1327">
        <f>Z85-AK85</f>
        <v/>
      </c>
      <c r="AM85" s="1327">
        <f>IFERROR(Z85/AK85*100,0)</f>
        <v/>
      </c>
      <c r="AN85" s="1327" t="n"/>
      <c r="AO85" s="1327">
        <f>AA85-AN85</f>
        <v/>
      </c>
      <c r="AP85" s="1327">
        <f>IFERROR(AA85/AN85*100,0)</f>
        <v/>
      </c>
      <c r="AQ85" s="1327" t="n"/>
      <c r="AR85" s="1328">
        <f>AA85-AQ85</f>
        <v/>
      </c>
      <c r="AS85" s="1328">
        <f>IFERROR(AA85/AQ85*100,0)</f>
        <v/>
      </c>
    </row>
    <row r="86" ht="14.45" customFormat="1" customHeight="1" s="716">
      <c r="A86" s="716" t="n"/>
      <c r="B86" s="716" t="n"/>
      <c r="C86" s="716" t="n"/>
      <c r="D86" s="716" t="n"/>
      <c r="E86" s="716" t="n"/>
      <c r="F86" s="716" t="n"/>
      <c r="G86" s="716" t="n"/>
      <c r="H86" s="716" t="n"/>
      <c r="I86" s="716" t="n"/>
      <c r="J86" s="716" t="n"/>
      <c r="K86" s="716" t="n"/>
      <c r="L86" s="716" t="n"/>
      <c r="M86" s="716" t="n"/>
      <c r="N86" s="716" t="n"/>
      <c r="O86" s="716" t="n"/>
      <c r="P86" s="716" t="n"/>
      <c r="Q86" s="716" t="n"/>
      <c r="R86" s="716" t="n"/>
      <c r="S86" s="462">
        <f>IF(_epmOfflineCondition_,"管理费用-开办费",EPMMemberDesc(U86))</f>
        <v/>
      </c>
      <c r="T86" s="716" t="n"/>
      <c r="U86" s="716" t="inlineStr">
        <is>
          <t>A6602340000</t>
        </is>
      </c>
      <c r="V86" s="455">
        <f>IF(_epmOfflineCondition_,"A6602340000",EPMOlapMemberO(U86,"[C_ACCOUNT].[PARENTH1].[A6602340000]","A6602340000 - 管理费用-开办费","","000"))</f>
        <v/>
      </c>
      <c r="W86" s="462" t="n"/>
      <c r="X86" s="585" t="inlineStr">
        <is>
          <t>开办费</t>
        </is>
      </c>
      <c r="Y86" s="651" t="inlineStr"/>
      <c r="Z86" s="1324" t="n"/>
      <c r="AA86" s="1324" t="n"/>
      <c r="AB86" s="1325" t="n"/>
      <c r="AC86" s="1324">
        <f>Z86-AB86</f>
        <v/>
      </c>
      <c r="AD86" s="1324">
        <f>IF(AB86=0,0,(Z86-AB86)/AB86*100)</f>
        <v/>
      </c>
      <c r="AE86" s="1324" t="n"/>
      <c r="AF86" s="1324">
        <f>Z86-AE86</f>
        <v/>
      </c>
      <c r="AG86" s="1324">
        <f>IF(AE86=0,0,(Z86-AE86)/AE86*100)</f>
        <v/>
      </c>
      <c r="AH86" s="1324" t="n"/>
      <c r="AI86" s="1324">
        <f>AA86-AH86</f>
        <v/>
      </c>
      <c r="AJ86" s="1324">
        <f>IF(AH86=0,0,(AA86-AH86)/AH86*100)</f>
        <v/>
      </c>
      <c r="AK86" s="1326" t="n"/>
      <c r="AL86" s="1327">
        <f>Z86-AK86</f>
        <v/>
      </c>
      <c r="AM86" s="1327">
        <f>IFERROR(Z86/AK86*100,0)</f>
        <v/>
      </c>
      <c r="AN86" s="1327" t="n"/>
      <c r="AO86" s="1327">
        <f>AA86-AN86</f>
        <v/>
      </c>
      <c r="AP86" s="1327">
        <f>IFERROR(AA86/AN86*100,0)</f>
        <v/>
      </c>
      <c r="AQ86" s="1327" t="n"/>
      <c r="AR86" s="1328">
        <f>AA86-AQ86</f>
        <v/>
      </c>
      <c r="AS86" s="1328">
        <f>IFERROR(AA86/AQ86*100,0)</f>
        <v/>
      </c>
    </row>
    <row r="87" ht="14.45" customFormat="1" customHeight="1" s="716">
      <c r="A87" s="716" t="n"/>
      <c r="B87" s="716" t="n"/>
      <c r="C87" s="716" t="n"/>
      <c r="D87" s="716" t="n"/>
      <c r="E87" s="716" t="n"/>
      <c r="F87" s="716" t="n"/>
      <c r="G87" s="716" t="n"/>
      <c r="H87" s="716" t="n"/>
      <c r="I87" s="716" t="n"/>
      <c r="J87" s="716" t="n"/>
      <c r="K87" s="716" t="n"/>
      <c r="L87" s="716" t="n"/>
      <c r="M87" s="716" t="n"/>
      <c r="N87" s="716" t="n"/>
      <c r="O87" s="716" t="n"/>
      <c r="P87" s="716" t="n"/>
      <c r="Q87" s="716" t="n"/>
      <c r="R87" s="716" t="n"/>
      <c r="S87" s="462">
        <f>IF(_epmOfflineCondition_,"管理费用-企业年金账户管理费",EPMMemberDesc(U87))</f>
        <v/>
      </c>
      <c r="T87" s="716" t="n"/>
      <c r="U87" s="716" t="inlineStr">
        <is>
          <t>A6602350000</t>
        </is>
      </c>
      <c r="V87" s="455">
        <f>IF(_epmOfflineCondition_,"A6602350000",EPMOlapMemberO(U87,"[C_ACCOUNT].[PARENTH1].[A6602350000]","A6602350000 - 管理费用-企业年金账户管理费","","000"))</f>
        <v/>
      </c>
      <c r="W87" s="462" t="n"/>
      <c r="X87" s="585" t="inlineStr">
        <is>
          <t>企业年金账户管理费</t>
        </is>
      </c>
      <c r="Y87" s="651" t="inlineStr"/>
      <c r="Z87" s="1324" t="n"/>
      <c r="AA87" s="1324" t="n"/>
      <c r="AB87" s="1325" t="n"/>
      <c r="AC87" s="1324">
        <f>Z87-AB87</f>
        <v/>
      </c>
      <c r="AD87" s="1324">
        <f>IF(AB87=0,0,(Z87-AB87)/AB87*100)</f>
        <v/>
      </c>
      <c r="AE87" s="1324" t="n"/>
      <c r="AF87" s="1324">
        <f>Z87-AE87</f>
        <v/>
      </c>
      <c r="AG87" s="1324">
        <f>IF(AE87=0,0,(Z87-AE87)/AE87*100)</f>
        <v/>
      </c>
      <c r="AH87" s="1324" t="n"/>
      <c r="AI87" s="1324">
        <f>AA87-AH87</f>
        <v/>
      </c>
      <c r="AJ87" s="1324">
        <f>IF(AH87=0,0,(AA87-AH87)/AH87*100)</f>
        <v/>
      </c>
      <c r="AK87" s="1326" t="n"/>
      <c r="AL87" s="1327">
        <f>Z87-AK87</f>
        <v/>
      </c>
      <c r="AM87" s="1327">
        <f>IFERROR(Z87/AK87*100,0)</f>
        <v/>
      </c>
      <c r="AN87" s="1327" t="n"/>
      <c r="AO87" s="1327">
        <f>AA87-AN87</f>
        <v/>
      </c>
      <c r="AP87" s="1327">
        <f>IFERROR(AA87/AN87*100,0)</f>
        <v/>
      </c>
      <c r="AQ87" s="1327" t="n"/>
      <c r="AR87" s="1328">
        <f>AA87-AQ87</f>
        <v/>
      </c>
      <c r="AS87" s="1328">
        <f>IFERROR(AA87/AQ87*100,0)</f>
        <v/>
      </c>
    </row>
    <row r="88" ht="14.45" customFormat="1" customHeight="1" s="716">
      <c r="A88" s="716" t="n"/>
      <c r="B88" s="716" t="n"/>
      <c r="C88" s="716" t="n"/>
      <c r="D88" s="716" t="n"/>
      <c r="E88" s="716" t="n"/>
      <c r="F88" s="716" t="n"/>
      <c r="G88" s="716" t="n"/>
      <c r="H88" s="716" t="n"/>
      <c r="I88" s="716" t="n"/>
      <c r="J88" s="716" t="n"/>
      <c r="K88" s="716" t="n"/>
      <c r="L88" s="716" t="n"/>
      <c r="M88" s="716" t="n"/>
      <c r="N88" s="716" t="n"/>
      <c r="O88" s="716" t="n"/>
      <c r="P88" s="716" t="n"/>
      <c r="Q88" s="716" t="n"/>
      <c r="R88" s="716" t="n"/>
      <c r="S88" s="462">
        <f>IF(_epmOfflineCondition_,"管理费用-协会会费",EPMMemberDesc(U88))</f>
        <v/>
      </c>
      <c r="T88" s="716" t="n"/>
      <c r="U88" s="716" t="inlineStr">
        <is>
          <t>A6602360000</t>
        </is>
      </c>
      <c r="V88" s="455">
        <f>IF(_epmOfflineCondition_,"A6602360000",EPMOlapMemberO(U88,"[C_ACCOUNT].[PARENTH1].[A6602360000]","A6602360000 - 管理费用-协会会费","","000"))</f>
        <v/>
      </c>
      <c r="W88" s="462" t="n"/>
      <c r="X88" s="585" t="inlineStr">
        <is>
          <t>协会会费</t>
        </is>
      </c>
      <c r="Y88" s="651" t="inlineStr"/>
      <c r="Z88" s="1324" t="n"/>
      <c r="AA88" s="1324" t="n"/>
      <c r="AB88" s="1325" t="n"/>
      <c r="AC88" s="1324">
        <f>Z88-AB88</f>
        <v/>
      </c>
      <c r="AD88" s="1324">
        <f>IF(AB88=0,0,(Z88-AB88)/AB88*100)</f>
        <v/>
      </c>
      <c r="AE88" s="1324" t="n"/>
      <c r="AF88" s="1324">
        <f>Z88-AE88</f>
        <v/>
      </c>
      <c r="AG88" s="1324">
        <f>IF(AE88=0,0,(Z88-AE88)/AE88*100)</f>
        <v/>
      </c>
      <c r="AH88" s="1324" t="n"/>
      <c r="AI88" s="1324">
        <f>AA88-AH88</f>
        <v/>
      </c>
      <c r="AJ88" s="1324">
        <f>IF(AH88=0,0,(AA88-AH88)/AH88*100)</f>
        <v/>
      </c>
      <c r="AK88" s="1326" t="n"/>
      <c r="AL88" s="1327">
        <f>Z88-AK88</f>
        <v/>
      </c>
      <c r="AM88" s="1327">
        <f>IFERROR(Z88/AK88*100,0)</f>
        <v/>
      </c>
      <c r="AN88" s="1327" t="n"/>
      <c r="AO88" s="1327">
        <f>AA88-AN88</f>
        <v/>
      </c>
      <c r="AP88" s="1327">
        <f>IFERROR(AA88/AN88*100,0)</f>
        <v/>
      </c>
      <c r="AQ88" s="1327" t="n"/>
      <c r="AR88" s="1328">
        <f>AA88-AQ88</f>
        <v/>
      </c>
      <c r="AS88" s="1328">
        <f>IFERROR(AA88/AQ88*100,0)</f>
        <v/>
      </c>
    </row>
    <row r="89" ht="14.45" customFormat="1" customHeight="1" s="716">
      <c r="A89" s="716" t="n"/>
      <c r="B89" s="716" t="n"/>
      <c r="C89" s="716" t="n"/>
      <c r="D89" s="716" t="n"/>
      <c r="E89" s="716" t="n"/>
      <c r="F89" s="716" t="n"/>
      <c r="G89" s="716" t="n"/>
      <c r="H89" s="716" t="n"/>
      <c r="I89" s="716" t="n"/>
      <c r="J89" s="716" t="n"/>
      <c r="K89" s="716" t="n"/>
      <c r="L89" s="716" t="n"/>
      <c r="M89" s="716" t="n"/>
      <c r="N89" s="716" t="n"/>
      <c r="O89" s="716" t="n"/>
      <c r="P89" s="716" t="n"/>
      <c r="Q89" s="716" t="n"/>
      <c r="R89" s="716" t="n"/>
      <c r="S89" s="462">
        <f>IF(_epmOfflineCondition_,"管理费用-业务宣传费",EPMMemberDesc(U89))</f>
        <v/>
      </c>
      <c r="T89" s="716" t="n"/>
      <c r="U89" s="716" t="inlineStr">
        <is>
          <t>A6602390000</t>
        </is>
      </c>
      <c r="V89" s="455">
        <f>IF(_epmOfflineCondition_,"A6602390000",EPMOlapMemberO(U89,"[C_ACCOUNT].[PARENTH1].[A6602390000]","A6602390000 - 管理费用-业务宣传费","","000"))</f>
        <v/>
      </c>
      <c r="W89" s="462" t="n"/>
      <c r="X89" s="585" t="inlineStr">
        <is>
          <t>广告宣传费</t>
        </is>
      </c>
      <c r="Y89" s="651" t="inlineStr"/>
      <c r="Z89" s="1324" t="n"/>
      <c r="AA89" s="1324" t="n"/>
      <c r="AB89" s="1325" t="n"/>
      <c r="AC89" s="1324">
        <f>Z89-AB89</f>
        <v/>
      </c>
      <c r="AD89" s="1324">
        <f>IF(AB89=0,0,(Z89-AB89)/AB89*100)</f>
        <v/>
      </c>
      <c r="AE89" s="1324" t="n"/>
      <c r="AF89" s="1324">
        <f>Z89-AE89</f>
        <v/>
      </c>
      <c r="AG89" s="1324">
        <f>IF(AE89=0,0,(Z89-AE89)/AE89*100)</f>
        <v/>
      </c>
      <c r="AH89" s="1324" t="n"/>
      <c r="AI89" s="1324">
        <f>AA89-AH89</f>
        <v/>
      </c>
      <c r="AJ89" s="1324">
        <f>IF(AH89=0,0,(AA89-AH89)/AH89*100)</f>
        <v/>
      </c>
      <c r="AK89" s="1326" t="n"/>
      <c r="AL89" s="1327">
        <f>Z89-AK89</f>
        <v/>
      </c>
      <c r="AM89" s="1327">
        <f>IFERROR(Z89/AK89*100,0)</f>
        <v/>
      </c>
      <c r="AN89" s="1327" t="n"/>
      <c r="AO89" s="1327">
        <f>AA89-AN89</f>
        <v/>
      </c>
      <c r="AP89" s="1327">
        <f>IFERROR(AA89/AN89*100,0)</f>
        <v/>
      </c>
      <c r="AQ89" s="1327" t="n"/>
      <c r="AR89" s="1328">
        <f>AA89-AQ89</f>
        <v/>
      </c>
      <c r="AS89" s="1328">
        <f>IFERROR(AA89/AQ89*100,0)</f>
        <v/>
      </c>
    </row>
    <row r="90" ht="14.45" customFormat="1" customHeight="1" s="716">
      <c r="A90" s="716" t="n"/>
      <c r="B90" s="716" t="n"/>
      <c r="C90" s="716" t="n"/>
      <c r="D90" s="716" t="n"/>
      <c r="E90" s="716" t="n"/>
      <c r="F90" s="716" t="n"/>
      <c r="G90" s="716" t="n"/>
      <c r="H90" s="716" t="n"/>
      <c r="I90" s="716" t="n"/>
      <c r="J90" s="716" t="n"/>
      <c r="K90" s="716" t="n"/>
      <c r="L90" s="716" t="n"/>
      <c r="M90" s="716" t="n"/>
      <c r="N90" s="716" t="n"/>
      <c r="O90" s="716" t="n"/>
      <c r="P90" s="716" t="n"/>
      <c r="Q90" s="716" t="n"/>
      <c r="R90" s="716" t="n"/>
      <c r="S90" s="462">
        <f>IF(_epmOfflineCondition_,"管理费用-党建经费",EPMMemberDesc(U90))</f>
        <v/>
      </c>
      <c r="T90" s="716" t="n"/>
      <c r="U90" s="716" t="inlineStr">
        <is>
          <t>A6602400000</t>
        </is>
      </c>
      <c r="V90" s="455">
        <f>IF(_epmOfflineCondition_,"A6602400000",EPMOlapMemberO(U90,"[C_ACCOUNT].[PARENTH1].[A6602400000]","A6602400000 - 管理费用-党建经费","","000"))</f>
        <v/>
      </c>
      <c r="W90" s="462" t="n"/>
      <c r="X90" s="585" t="inlineStr">
        <is>
          <t>党建经费</t>
        </is>
      </c>
      <c r="Y90" s="651" t="inlineStr"/>
      <c r="Z90" s="1324" t="n"/>
      <c r="AA90" s="1324" t="n"/>
      <c r="AB90" s="1325" t="n"/>
      <c r="AC90" s="1324">
        <f>Z90-AB90</f>
        <v/>
      </c>
      <c r="AD90" s="1324">
        <f>IF(AB90=0,0,(Z90-AB90)/AB90*100)</f>
        <v/>
      </c>
      <c r="AE90" s="1324" t="n"/>
      <c r="AF90" s="1324">
        <f>Z90-AE90</f>
        <v/>
      </c>
      <c r="AG90" s="1324">
        <f>IF(AE90=0,0,(Z90-AE90)/AE90*100)</f>
        <v/>
      </c>
      <c r="AH90" s="1324" t="n"/>
      <c r="AI90" s="1324">
        <f>AA90-AH90</f>
        <v/>
      </c>
      <c r="AJ90" s="1324">
        <f>IF(AH90=0,0,(AA90-AH90)/AH90*100)</f>
        <v/>
      </c>
      <c r="AK90" s="1326" t="n"/>
      <c r="AL90" s="1327">
        <f>Z90-AK90</f>
        <v/>
      </c>
      <c r="AM90" s="1327">
        <f>IFERROR(Z90/AK90*100,0)</f>
        <v/>
      </c>
      <c r="AN90" s="1327" t="n"/>
      <c r="AO90" s="1327">
        <f>AA90-AN90</f>
        <v/>
      </c>
      <c r="AP90" s="1327">
        <f>IFERROR(AA90/AN90*100,0)</f>
        <v/>
      </c>
      <c r="AQ90" s="1327" t="n"/>
      <c r="AR90" s="1328">
        <f>AA90-AQ90</f>
        <v/>
      </c>
      <c r="AS90" s="1328">
        <f>IFERROR(AA90/AQ90*100,0)</f>
        <v/>
      </c>
    </row>
    <row r="91" ht="14.45" customFormat="1" customHeight="1" s="716">
      <c r="A91" s="716" t="n"/>
      <c r="B91" s="716" t="n"/>
      <c r="C91" s="716" t="n"/>
      <c r="D91" s="716" t="n"/>
      <c r="E91" s="716" t="n"/>
      <c r="F91" s="716" t="n"/>
      <c r="G91" s="716" t="n"/>
      <c r="H91" s="716" t="n"/>
      <c r="I91" s="716" t="n"/>
      <c r="J91" s="716" t="n"/>
      <c r="K91" s="716" t="n"/>
      <c r="L91" s="716" t="n"/>
      <c r="M91" s="716" t="n"/>
      <c r="N91" s="716" t="n"/>
      <c r="O91" s="716" t="n"/>
      <c r="P91" s="716" t="n"/>
      <c r="Q91" s="716" t="n"/>
      <c r="R91" s="716" t="n"/>
      <c r="S91" s="462">
        <f>IF(_epmOfflineCondition_,"管理费用-培训费用",EPMMemberDesc(U91))</f>
        <v/>
      </c>
      <c r="T91" s="716" t="n"/>
      <c r="U91" s="716" t="inlineStr">
        <is>
          <t>A6602440000</t>
        </is>
      </c>
      <c r="V91" s="455">
        <f>IF(_epmOfflineCondition_,"A6602440000",EPMOlapMemberO(U91,"[C_ACCOUNT].[PARENTH1].[A6602440000]","A6602440000 - 管理费用-培训费用","","000"))</f>
        <v/>
      </c>
      <c r="W91" s="462" t="n"/>
      <c r="X91" s="585" t="inlineStr">
        <is>
          <t>培训费用</t>
        </is>
      </c>
      <c r="Y91" s="651" t="inlineStr"/>
      <c r="Z91" s="1324" t="n"/>
      <c r="AA91" s="1324" t="n"/>
      <c r="AB91" s="1325" t="n"/>
      <c r="AC91" s="1324">
        <f>Z91-AB91</f>
        <v/>
      </c>
      <c r="AD91" s="1324">
        <f>IF(AB91=0,0,(Z91-AB91)/AB91*100)</f>
        <v/>
      </c>
      <c r="AE91" s="1324" t="n"/>
      <c r="AF91" s="1324">
        <f>Z91-AE91</f>
        <v/>
      </c>
      <c r="AG91" s="1324">
        <f>IF(AE91=0,0,(Z91-AE91)/AE91*100)</f>
        <v/>
      </c>
      <c r="AH91" s="1324" t="n"/>
      <c r="AI91" s="1324">
        <f>AA91-AH91</f>
        <v/>
      </c>
      <c r="AJ91" s="1324">
        <f>IF(AH91=0,0,(AA91-AH91)/AH91*100)</f>
        <v/>
      </c>
      <c r="AK91" s="1326" t="n"/>
      <c r="AL91" s="1327">
        <f>Z91-AK91</f>
        <v/>
      </c>
      <c r="AM91" s="1327">
        <f>IFERROR(Z91/AK91*100,0)</f>
        <v/>
      </c>
      <c r="AN91" s="1327" t="n"/>
      <c r="AO91" s="1327">
        <f>AA91-AN91</f>
        <v/>
      </c>
      <c r="AP91" s="1327">
        <f>IFERROR(AA91/AN91*100,0)</f>
        <v/>
      </c>
      <c r="AQ91" s="1327" t="n"/>
      <c r="AR91" s="1328">
        <f>AA91-AQ91</f>
        <v/>
      </c>
      <c r="AS91" s="1328">
        <f>IFERROR(AA91/AQ91*100,0)</f>
        <v/>
      </c>
    </row>
    <row r="92" ht="14.45" customFormat="1" customHeight="1" s="716">
      <c r="A92" s="716" t="n"/>
      <c r="B92" s="716" t="n"/>
      <c r="C92" s="716" t="n"/>
      <c r="D92" s="716" t="n"/>
      <c r="E92" s="716" t="n"/>
      <c r="F92" s="716" t="n"/>
      <c r="G92" s="716" t="n"/>
      <c r="H92" s="716" t="n"/>
      <c r="I92" s="716" t="n"/>
      <c r="J92" s="716" t="n"/>
      <c r="K92" s="716" t="n"/>
      <c r="L92" s="716" t="n"/>
      <c r="M92" s="716" t="n"/>
      <c r="N92" s="716" t="n"/>
      <c r="O92" s="716" t="n"/>
      <c r="P92" s="716" t="n"/>
      <c r="Q92" s="716" t="n"/>
      <c r="R92" s="716" t="n"/>
      <c r="S92" s="462">
        <f>IF(_epmOfflineCondition_,"管理费用-管理信息系统维护费",EPMMemberDesc(U92))</f>
        <v/>
      </c>
      <c r="T92" s="716" t="n"/>
      <c r="U92" s="716" t="inlineStr">
        <is>
          <t>A6602470000</t>
        </is>
      </c>
      <c r="V92" s="455">
        <f>IF(_epmOfflineCondition_,"A6602470000",EPMOlapMemberO(U92,"[C_ACCOUNT].[PARENTH1].[A6602470000]","A6602470000 - 管理费用-管理信息系统维护费","","000"))</f>
        <v/>
      </c>
      <c r="W92" s="462" t="n"/>
      <c r="X92" s="585" t="inlineStr">
        <is>
          <t>管理信息系统维护费</t>
        </is>
      </c>
      <c r="Y92" s="651" t="inlineStr"/>
      <c r="Z92" s="1324" t="n"/>
      <c r="AA92" s="1324" t="n"/>
      <c r="AB92" s="1325" t="n"/>
      <c r="AC92" s="1324">
        <f>Z92-AB92</f>
        <v/>
      </c>
      <c r="AD92" s="1324">
        <f>IF(AB92=0,0,(Z92-AB92)/AB92*100)</f>
        <v/>
      </c>
      <c r="AE92" s="1324" t="n"/>
      <c r="AF92" s="1324">
        <f>Z92-AE92</f>
        <v/>
      </c>
      <c r="AG92" s="1324">
        <f>IF(AE92=0,0,(Z92-AE92)/AE92*100)</f>
        <v/>
      </c>
      <c r="AH92" s="1324" t="n"/>
      <c r="AI92" s="1324">
        <f>AA92-AH92</f>
        <v/>
      </c>
      <c r="AJ92" s="1324">
        <f>IF(AH92=0,0,(AA92-AH92)/AH92*100)</f>
        <v/>
      </c>
      <c r="AK92" s="1326" t="n"/>
      <c r="AL92" s="1327">
        <f>Z92-AK92</f>
        <v/>
      </c>
      <c r="AM92" s="1327">
        <f>IFERROR(Z92/AK92*100,0)</f>
        <v/>
      </c>
      <c r="AN92" s="1327" t="n"/>
      <c r="AO92" s="1327">
        <f>AA92-AN92</f>
        <v/>
      </c>
      <c r="AP92" s="1327">
        <f>IFERROR(AA92/AN92*100,0)</f>
        <v/>
      </c>
      <c r="AQ92" s="1327" t="n"/>
      <c r="AR92" s="1328">
        <f>AA92-AQ92</f>
        <v/>
      </c>
      <c r="AS92" s="1328">
        <f>IFERROR(AA92/AQ92*100,0)</f>
        <v/>
      </c>
    </row>
    <row r="93" ht="14.45" customFormat="1" customHeight="1" s="716">
      <c r="A93" s="716" t="n"/>
      <c r="B93" s="716" t="n"/>
      <c r="C93" s="716" t="n"/>
      <c r="D93" s="716" t="n"/>
      <c r="E93" s="716" t="n"/>
      <c r="F93" s="716" t="n"/>
      <c r="G93" s="716" t="n"/>
      <c r="H93" s="716" t="n"/>
      <c r="I93" s="716" t="n"/>
      <c r="J93" s="716" t="n"/>
      <c r="K93" s="716" t="n"/>
      <c r="L93" s="716" t="n"/>
      <c r="M93" s="716" t="n"/>
      <c r="N93" s="716" t="n"/>
      <c r="O93" s="716" t="n"/>
      <c r="P93" s="716" t="n"/>
      <c r="Q93" s="716" t="n"/>
      <c r="R93" s="716" t="n"/>
      <c r="S93" s="462">
        <f>IF(_epmOfflineCondition_,"管理费用-综合服务费",EPMMemberDesc(U93))</f>
        <v/>
      </c>
      <c r="T93" s="716" t="n"/>
      <c r="U93" s="716" t="inlineStr">
        <is>
          <t>A6602480000</t>
        </is>
      </c>
      <c r="V93" s="455">
        <f>IF(_epmOfflineCondition_,"A6602480000",EPMOlapMemberO(U93,"[C_ACCOUNT].[PARENTH1].[A6602480000]","A6602480000 - 管理费用-综合服务费","","000"))</f>
        <v/>
      </c>
      <c r="W93" s="462" t="n"/>
      <c r="X93" s="585" t="inlineStr">
        <is>
          <t>综合服务费</t>
        </is>
      </c>
      <c r="Y93" s="651" t="inlineStr"/>
      <c r="Z93" s="1324" t="n"/>
      <c r="AA93" s="1324" t="n"/>
      <c r="AB93" s="1325" t="n"/>
      <c r="AC93" s="1324">
        <f>Z93-AB93</f>
        <v/>
      </c>
      <c r="AD93" s="1324">
        <f>IF(AB93=0,0,(Z93-AB93)/AB93*100)</f>
        <v/>
      </c>
      <c r="AE93" s="1324" t="n"/>
      <c r="AF93" s="1324">
        <f>Z93-AE93</f>
        <v/>
      </c>
      <c r="AG93" s="1324">
        <f>IF(AE93=0,0,(Z93-AE93)/AE93*100)</f>
        <v/>
      </c>
      <c r="AH93" s="1324" t="n"/>
      <c r="AI93" s="1324">
        <f>AA93-AH93</f>
        <v/>
      </c>
      <c r="AJ93" s="1324">
        <f>IF(AH93=0,0,(AA93-AH93)/AH93*100)</f>
        <v/>
      </c>
      <c r="AK93" s="1326" t="n"/>
      <c r="AL93" s="1327">
        <f>Z93-AK93</f>
        <v/>
      </c>
      <c r="AM93" s="1327">
        <f>IFERROR(Z93/AK93*100,0)</f>
        <v/>
      </c>
      <c r="AN93" s="1327" t="n"/>
      <c r="AO93" s="1327">
        <f>AA93-AN93</f>
        <v/>
      </c>
      <c r="AP93" s="1327">
        <f>IFERROR(AA93/AN93*100,0)</f>
        <v/>
      </c>
      <c r="AQ93" s="1327" t="n"/>
      <c r="AR93" s="1328">
        <f>AA93-AQ93</f>
        <v/>
      </c>
      <c r="AS93" s="1328">
        <f>IFERROR(AA93/AQ93*100,0)</f>
        <v/>
      </c>
    </row>
    <row r="94" ht="14.45" customFormat="1" customHeight="1" s="716">
      <c r="A94" s="716" t="n"/>
      <c r="B94" s="716" t="n"/>
      <c r="C94" s="716" t="n"/>
      <c r="D94" s="716" t="n"/>
      <c r="E94" s="716" t="n"/>
      <c r="F94" s="716" t="n"/>
      <c r="G94" s="716" t="n"/>
      <c r="H94" s="716" t="n"/>
      <c r="I94" s="716" t="n"/>
      <c r="J94" s="716" t="n"/>
      <c r="K94" s="716" t="n"/>
      <c r="L94" s="716" t="n"/>
      <c r="M94" s="716" t="n"/>
      <c r="N94" s="716" t="n"/>
      <c r="O94" s="716" t="n"/>
      <c r="P94" s="716" t="n"/>
      <c r="Q94" s="716" t="n"/>
      <c r="R94" s="716" t="n"/>
      <c r="S94" s="462">
        <f>IF(_epmOfflineCondition_,"管理费用-委托管理费",EPMMemberDesc(U94))</f>
        <v/>
      </c>
      <c r="T94" s="716" t="n"/>
      <c r="U94" s="716" t="inlineStr">
        <is>
          <t>A6602490000</t>
        </is>
      </c>
      <c r="V94" s="455">
        <f>IF(_epmOfflineCondition_,"A6602490000",EPMOlapMemberO(U94,"[C_ACCOUNT].[PARENTH1].[A6602490000]","A6602490000 - 管理费用-委托管理费","","000"))</f>
        <v/>
      </c>
      <c r="W94" s="462" t="n"/>
      <c r="X94" s="585" t="inlineStr">
        <is>
          <t>委托管理费</t>
        </is>
      </c>
      <c r="Y94" s="651" t="inlineStr"/>
      <c r="Z94" s="1324" t="n"/>
      <c r="AA94" s="1324" t="n"/>
      <c r="AB94" s="1325" t="n"/>
      <c r="AC94" s="1324">
        <f>Z94-AB94</f>
        <v/>
      </c>
      <c r="AD94" s="1324">
        <f>IF(AB94=0,0,(Z94-AB94)/AB94*100)</f>
        <v/>
      </c>
      <c r="AE94" s="1324" t="n"/>
      <c r="AF94" s="1324">
        <f>Z94-AE94</f>
        <v/>
      </c>
      <c r="AG94" s="1324">
        <f>IF(AE94=0,0,(Z94-AE94)/AE94*100)</f>
        <v/>
      </c>
      <c r="AH94" s="1324" t="n"/>
      <c r="AI94" s="1324">
        <f>AA94-AH94</f>
        <v/>
      </c>
      <c r="AJ94" s="1324">
        <f>IF(AH94=0,0,(AA94-AH94)/AH94*100)</f>
        <v/>
      </c>
      <c r="AK94" s="1326" t="n"/>
      <c r="AL94" s="1327">
        <f>Z94-AK94</f>
        <v/>
      </c>
      <c r="AM94" s="1327">
        <f>IFERROR(Z94/AK94*100,0)</f>
        <v/>
      </c>
      <c r="AN94" s="1327" t="n"/>
      <c r="AO94" s="1327">
        <f>AA94-AN94</f>
        <v/>
      </c>
      <c r="AP94" s="1327">
        <f>IFERROR(AA94/AN94*100,0)</f>
        <v/>
      </c>
      <c r="AQ94" s="1327" t="n"/>
      <c r="AR94" s="1328">
        <f>AA94-AQ94</f>
        <v/>
      </c>
      <c r="AS94" s="1328">
        <f>IFERROR(AA94/AQ94*100,0)</f>
        <v/>
      </c>
    </row>
    <row r="95" ht="14.45" customFormat="1" customHeight="1" s="716">
      <c r="A95" s="716" t="n"/>
      <c r="B95" s="716" t="n"/>
      <c r="C95" s="716" t="n"/>
      <c r="D95" s="716" t="n"/>
      <c r="E95" s="716" t="n"/>
      <c r="F95" s="716" t="n"/>
      <c r="G95" s="716" t="n"/>
      <c r="H95" s="716" t="n"/>
      <c r="I95" s="716" t="n"/>
      <c r="J95" s="716" t="n"/>
      <c r="K95" s="716" t="n"/>
      <c r="L95" s="716" t="n"/>
      <c r="M95" s="716" t="n"/>
      <c r="N95" s="716" t="n"/>
      <c r="O95" s="716" t="n"/>
      <c r="P95" s="716" t="n"/>
      <c r="Q95" s="716" t="n"/>
      <c r="R95" s="716" t="n"/>
      <c r="S95" s="462">
        <f>IF(_epmOfflineCondition_,"管理费用-土地使用费",EPMMemberDesc(U95))</f>
        <v/>
      </c>
      <c r="T95" s="716" t="n"/>
      <c r="U95" s="716" t="inlineStr">
        <is>
          <t>A6602500000</t>
        </is>
      </c>
      <c r="V95" s="455">
        <f>IF(_epmOfflineCondition_,"A6602500000",EPMOlapMemberO(U95,"[C_ACCOUNT].[PARENTH1].[A6602500000]","A6602500000 - 管理费用-土地使用费","","000"))</f>
        <v/>
      </c>
      <c r="W95" s="462" t="n"/>
      <c r="X95" s="585" t="inlineStr">
        <is>
          <t>土地使用费</t>
        </is>
      </c>
      <c r="Y95" s="651" t="inlineStr"/>
      <c r="Z95" s="1324" t="n"/>
      <c r="AA95" s="1324" t="n"/>
      <c r="AB95" s="1325" t="n"/>
      <c r="AC95" s="1324">
        <f>Z95-AB95</f>
        <v/>
      </c>
      <c r="AD95" s="1324">
        <f>IF(AB95=0,0,(Z95-AB95)/AB95*100)</f>
        <v/>
      </c>
      <c r="AE95" s="1324" t="n"/>
      <c r="AF95" s="1324">
        <f>Z95-AE95</f>
        <v/>
      </c>
      <c r="AG95" s="1324">
        <f>IF(AE95=0,0,(Z95-AE95)/AE95*100)</f>
        <v/>
      </c>
      <c r="AH95" s="1324" t="n"/>
      <c r="AI95" s="1324">
        <f>AA95-AH95</f>
        <v/>
      </c>
      <c r="AJ95" s="1324">
        <f>IF(AH95=0,0,(AA95-AH95)/AH95*100)</f>
        <v/>
      </c>
      <c r="AK95" s="1326" t="n"/>
      <c r="AL95" s="1327">
        <f>Z95-AK95</f>
        <v/>
      </c>
      <c r="AM95" s="1327">
        <f>IFERROR(Z95/AK95*100,0)</f>
        <v/>
      </c>
      <c r="AN95" s="1327" t="n"/>
      <c r="AO95" s="1327">
        <f>AA95-AN95</f>
        <v/>
      </c>
      <c r="AP95" s="1327">
        <f>IFERROR(AA95/AN95*100,0)</f>
        <v/>
      </c>
      <c r="AQ95" s="1327" t="n"/>
      <c r="AR95" s="1328">
        <f>AA95-AQ95</f>
        <v/>
      </c>
      <c r="AS95" s="1328">
        <f>IFERROR(AA95/AQ95*100,0)</f>
        <v/>
      </c>
    </row>
    <row r="96" ht="14.45" customFormat="1" customHeight="1" s="716">
      <c r="A96" s="716" t="n"/>
      <c r="B96" s="716" t="n"/>
      <c r="C96" s="716" t="n"/>
      <c r="D96" s="716" t="n"/>
      <c r="E96" s="716" t="n"/>
      <c r="F96" s="716" t="n"/>
      <c r="G96" s="716" t="n"/>
      <c r="H96" s="716" t="n"/>
      <c r="I96" s="716" t="n"/>
      <c r="J96" s="716" t="n"/>
      <c r="K96" s="716" t="n"/>
      <c r="L96" s="716" t="n"/>
      <c r="M96" s="716" t="n"/>
      <c r="N96" s="716" t="n"/>
      <c r="O96" s="716" t="n"/>
      <c r="P96" s="716" t="n"/>
      <c r="Q96" s="716" t="n"/>
      <c r="R96" s="716" t="n"/>
      <c r="S96" s="462">
        <f>IF(_epmOfflineCondition_,"管理费用-土地损失补偿费",EPMMemberDesc(U96))</f>
        <v/>
      </c>
      <c r="T96" s="716" t="n"/>
      <c r="U96" s="716" t="inlineStr">
        <is>
          <t>A6602510000</t>
        </is>
      </c>
      <c r="V96" s="455">
        <f>IF(_epmOfflineCondition_,"A6602510000",EPMOlapMemberO(U96,"[C_ACCOUNT].[PARENTH1].[A6602510000]","A6602510000 - 管理费用-土地损失补偿费","","000"))</f>
        <v/>
      </c>
      <c r="W96" s="462" t="n"/>
      <c r="X96" s="585" t="inlineStr">
        <is>
          <t>土地损失补偿费</t>
        </is>
      </c>
      <c r="Y96" s="651" t="inlineStr"/>
      <c r="Z96" s="1324" t="n"/>
      <c r="AA96" s="1324" t="n"/>
      <c r="AB96" s="1325" t="n"/>
      <c r="AC96" s="1324">
        <f>Z96-AB96</f>
        <v/>
      </c>
      <c r="AD96" s="1324">
        <f>IF(AB96=0,0,(Z96-AB96)/AB96*100)</f>
        <v/>
      </c>
      <c r="AE96" s="1324" t="n"/>
      <c r="AF96" s="1324">
        <f>Z96-AE96</f>
        <v/>
      </c>
      <c r="AG96" s="1324">
        <f>IF(AE96=0,0,(Z96-AE96)/AE96*100)</f>
        <v/>
      </c>
      <c r="AH96" s="1324" t="n"/>
      <c r="AI96" s="1324">
        <f>AA96-AH96</f>
        <v/>
      </c>
      <c r="AJ96" s="1324">
        <f>IF(AH96=0,0,(AA96-AH96)/AH96*100)</f>
        <v/>
      </c>
      <c r="AK96" s="1326" t="n"/>
      <c r="AL96" s="1327">
        <f>Z96-AK96</f>
        <v/>
      </c>
      <c r="AM96" s="1327">
        <f>IFERROR(Z96/AK96*100,0)</f>
        <v/>
      </c>
      <c r="AN96" s="1327" t="n"/>
      <c r="AO96" s="1327">
        <f>AA96-AN96</f>
        <v/>
      </c>
      <c r="AP96" s="1327">
        <f>IFERROR(AA96/AN96*100,0)</f>
        <v/>
      </c>
      <c r="AQ96" s="1327" t="n"/>
      <c r="AR96" s="1328">
        <f>AA96-AQ96</f>
        <v/>
      </c>
      <c r="AS96" s="1328">
        <f>IFERROR(AA96/AQ96*100,0)</f>
        <v/>
      </c>
    </row>
    <row r="97" ht="14.45" customFormat="1" customHeight="1" s="716">
      <c r="A97" s="716" t="n"/>
      <c r="B97" s="716" t="n"/>
      <c r="C97" s="716" t="n"/>
      <c r="D97" s="716" t="n"/>
      <c r="E97" s="716" t="n"/>
      <c r="F97" s="716" t="n"/>
      <c r="G97" s="716" t="n"/>
      <c r="H97" s="716" t="n"/>
      <c r="I97" s="716" t="n"/>
      <c r="J97" s="716" t="n"/>
      <c r="K97" s="716" t="n"/>
      <c r="L97" s="716" t="n"/>
      <c r="M97" s="716" t="n"/>
      <c r="N97" s="716" t="n"/>
      <c r="O97" s="716" t="n"/>
      <c r="P97" s="716" t="n"/>
      <c r="Q97" s="716" t="n"/>
      <c r="R97" s="716" t="n"/>
      <c r="S97" s="462">
        <f>IF(_epmOfflineCondition_,"管理费用-维简费",EPMMemberDesc(U97))</f>
        <v/>
      </c>
      <c r="T97" s="716" t="n"/>
      <c r="U97" s="716" t="inlineStr">
        <is>
          <t>A6602610000</t>
        </is>
      </c>
      <c r="V97" s="455">
        <f>IF(_epmOfflineCondition_,"A6602610000",EPMOlapMemberO(U97,"[C_ACCOUNT].[PARENTH1].[A6602610000]","A6602610000 - 管理费用-维简费","","000"))</f>
        <v/>
      </c>
      <c r="W97" s="462" t="n"/>
      <c r="X97" s="585" t="inlineStr">
        <is>
          <t>维简费</t>
        </is>
      </c>
      <c r="Y97" s="651" t="inlineStr"/>
      <c r="Z97" s="1324" t="n"/>
      <c r="AA97" s="1324" t="n"/>
      <c r="AB97" s="1325" t="n"/>
      <c r="AC97" s="1324">
        <f>Z97-AB97</f>
        <v/>
      </c>
      <c r="AD97" s="1324">
        <f>IF(AB97=0,0,(Z97-AB97)/AB97*100)</f>
        <v/>
      </c>
      <c r="AE97" s="1324" t="n"/>
      <c r="AF97" s="1324">
        <f>Z97-AE97</f>
        <v/>
      </c>
      <c r="AG97" s="1324">
        <f>IF(AE97=0,0,(Z97-AE97)/AE97*100)</f>
        <v/>
      </c>
      <c r="AH97" s="1324" t="n"/>
      <c r="AI97" s="1324">
        <f>AA97-AH97</f>
        <v/>
      </c>
      <c r="AJ97" s="1324">
        <f>IF(AH97=0,0,(AA97-AH97)/AH97*100)</f>
        <v/>
      </c>
      <c r="AK97" s="1326" t="n"/>
      <c r="AL97" s="1327">
        <f>Z97-AK97</f>
        <v/>
      </c>
      <c r="AM97" s="1327">
        <f>IFERROR(Z97/AK97*100,0)</f>
        <v/>
      </c>
      <c r="AN97" s="1327" t="n"/>
      <c r="AO97" s="1327">
        <f>AA97-AN97</f>
        <v/>
      </c>
      <c r="AP97" s="1327">
        <f>IFERROR(AA97/AN97*100,0)</f>
        <v/>
      </c>
      <c r="AQ97" s="1327" t="n"/>
      <c r="AR97" s="1328">
        <f>AA97-AQ97</f>
        <v/>
      </c>
      <c r="AS97" s="1328">
        <f>IFERROR(AA97/AQ97*100,0)</f>
        <v/>
      </c>
    </row>
    <row r="98" ht="14.45" customFormat="1" customHeight="1" s="716">
      <c r="A98" s="716" t="n"/>
      <c r="B98" s="716" t="n"/>
      <c r="C98" s="716" t="n"/>
      <c r="D98" s="716" t="n"/>
      <c r="E98" s="716" t="n"/>
      <c r="F98" s="716" t="n"/>
      <c r="G98" s="716" t="n"/>
      <c r="H98" s="716" t="n"/>
      <c r="I98" s="716" t="n"/>
      <c r="J98" s="716" t="n"/>
      <c r="K98" s="716" t="n"/>
      <c r="L98" s="716" t="n"/>
      <c r="M98" s="716" t="n"/>
      <c r="N98" s="716" t="n"/>
      <c r="O98" s="716" t="n"/>
      <c r="P98" s="716" t="n"/>
      <c r="Q98" s="716" t="n"/>
      <c r="R98" s="716" t="n"/>
      <c r="S98" s="462">
        <f>IF(_epmOfflineCondition_,"管理费用-其他",EPMMemberDesc(U98))</f>
        <v/>
      </c>
      <c r="T98" s="716" t="n"/>
      <c r="U98" s="716" t="inlineStr">
        <is>
          <t>A6602990000</t>
        </is>
      </c>
      <c r="V98" s="455">
        <f>IF(_epmOfflineCondition_,"A6602990000",EPMOlapMemberO(U98,"[C_ACCOUNT].[PARENTH1].[A6602990000]","A6602990000 - 管理费用-其他","","000"))</f>
        <v/>
      </c>
      <c r="W98" s="462" t="n"/>
      <c r="X98" s="585" t="inlineStr">
        <is>
          <t>其他管理费用</t>
        </is>
      </c>
      <c r="Y98" s="651" t="inlineStr"/>
      <c r="Z98" s="1324" t="n"/>
      <c r="AA98" s="1324" t="n"/>
      <c r="AB98" s="1325" t="n"/>
      <c r="AC98" s="1324">
        <f>Z98-AB98</f>
        <v/>
      </c>
      <c r="AD98" s="1324">
        <f>IF(AB98=0,0,(Z98-AB98)/AB98*100)</f>
        <v/>
      </c>
      <c r="AE98" s="1324" t="n"/>
      <c r="AF98" s="1324">
        <f>Z98-AE98</f>
        <v/>
      </c>
      <c r="AG98" s="1324">
        <f>IF(AE98=0,0,(Z98-AE98)/AE98*100)</f>
        <v/>
      </c>
      <c r="AH98" s="1324" t="n"/>
      <c r="AI98" s="1324">
        <f>AA98-AH98</f>
        <v/>
      </c>
      <c r="AJ98" s="1324">
        <f>IF(AH98=0,0,(AA98-AH98)/AH98*100)</f>
        <v/>
      </c>
      <c r="AK98" s="1326" t="n"/>
      <c r="AL98" s="1327">
        <f>Z98-AK98</f>
        <v/>
      </c>
      <c r="AM98" s="1327">
        <f>IFERROR(Z98/AK98*100,0)</f>
        <v/>
      </c>
      <c r="AN98" s="1327" t="n"/>
      <c r="AO98" s="1327">
        <f>AA98-AN98</f>
        <v/>
      </c>
      <c r="AP98" s="1327">
        <f>IFERROR(AA98/AN98*100,0)</f>
        <v/>
      </c>
      <c r="AQ98" s="1327" t="n"/>
      <c r="AR98" s="1328">
        <f>AA98-AQ98</f>
        <v/>
      </c>
      <c r="AS98" s="1328">
        <f>IFERROR(AA98/AQ98*100,0)</f>
        <v/>
      </c>
    </row>
  </sheetData>
  <sheetProtection selectLockedCells="0" selectUnlockedCells="0" algorithmName="SHA-512" sheet="1" objects="0" insertRows="1" insertHyperlinks="1" autoFilter="1" scenarios="1" formatColumns="1" deleteColumns="1" insertColumns="1" pivotTables="1" deleteRows="1" formatCells="1" saltValue="TdhBPorqlK2Y5kZwDVq96A==" formatRows="1" sort="1" spinCount="100000" hashValue="UScKphDZlFJV6LbXHBzF7y0xI+YYOnR8FSkQqOA2Fs/mdDzqGHDuQUKyAUXj5gKsk3oWAbgKJgO6fPYhbP7Klw=="/>
  <mergeCells count="12">
    <mergeCell ref="H2:J2"/>
    <mergeCell ref="D16:E16"/>
    <mergeCell ref="Z35:AC35"/>
    <mergeCell ref="Z38:AA38"/>
    <mergeCell ref="AB38:AD38"/>
    <mergeCell ref="AE38:AG38"/>
    <mergeCell ref="AH38:AJ38"/>
    <mergeCell ref="AK38:AM38"/>
    <mergeCell ref="AN38:AP38"/>
    <mergeCell ref="AQ38:AS38"/>
    <mergeCell ref="X38:X39"/>
    <mergeCell ref="Y38:Y39"/>
  </mergeCells>
  <conditionalFormatting sqref="Z35">
    <cfRule type="cellIs" priority="1" operator="equal" dxfId="0">
      <formula>"集团外公司（合计）"</formula>
    </cfRule>
  </conditionalFormatting>
  <dataValidations count="1">
    <dataValidation sqref="Z37" showErrorMessage="1" showInputMessage="1" allowBlank="1" type="list">
      <formula1>"LC,CNY"</formula1>
    </dataValidation>
  </dataValidations>
  <pageMargins left="0.7" right="0.7" top="0.75" bottom="0.75" header="0.3" footer="0.3"/>
  <pageSetup orientation="portrait" paperSize="9"/>
  <drawing xmlns:r="http://schemas.openxmlformats.org/officeDocument/2006/relationships" r:id="rId1"/>
</worksheet>
</file>

<file path=xl/worksheets/sheet24.xml><?xml version="1.0" encoding="utf-8"?>
<worksheet xmlns="http://schemas.openxmlformats.org/spreadsheetml/2006/main">
  <sheetPr codeName="Sheet14">
    <outlinePr summaryBelow="1" summaryRight="1"/>
    <pageSetUpPr/>
  </sheetPr>
  <dimension ref="A1:AR56"/>
  <sheetViews>
    <sheetView showGridLines="0" topLeftCell="W34" zoomScale="90" zoomScaleNormal="90" workbookViewId="0">
      <pane xSplit="2" ySplit="12" topLeftCell="AM46" activePane="bottomRight" state="frozen"/>
      <selection activeCell="A1" sqref="A1"/>
      <selection pane="topRight" activeCell="A1" sqref="A1"/>
      <selection pane="bottomLeft" activeCell="A1" sqref="A1"/>
      <selection pane="bottomRight" activeCell="AQ69" sqref="AQ69"/>
    </sheetView>
  </sheetViews>
  <sheetFormatPr baseColWidth="8" defaultColWidth="9" defaultRowHeight="16.8"/>
  <cols>
    <col hidden="1" width="8" customWidth="1" style="1181" min="1" max="1"/>
    <col hidden="1" width="15.375" customWidth="1" style="1181" min="2" max="2"/>
    <col hidden="1" width="16.75" customWidth="1" style="1181" min="3" max="3"/>
    <col hidden="1" width="14.75" customWidth="1" style="1181" min="4" max="4"/>
    <col hidden="1" width="13.625" customWidth="1" style="1181" min="5" max="5"/>
    <col hidden="1" width="7.75" customWidth="1" style="1181" min="6" max="7"/>
    <col hidden="1" width="12.125" customWidth="1" style="1181" min="8" max="9"/>
    <col hidden="1" width="14" customWidth="1" style="1181" min="10" max="10"/>
    <col hidden="1" width="7.75" customWidth="1" style="1181" min="11" max="18"/>
    <col hidden="1" width="17.375" customWidth="1" style="32" min="19" max="19"/>
    <col hidden="1" width="2.375" customWidth="1" style="1181" min="20" max="20"/>
    <col hidden="1" width="12.75" customWidth="1" style="1181" min="21" max="21"/>
    <col hidden="1" width="16.125" customWidth="1" style="1181" min="22" max="22"/>
    <col width="1.625" customWidth="1" style="1181" min="23" max="23"/>
    <col width="33.375" customWidth="1" style="38" min="24" max="24"/>
    <col width="24.25" customWidth="1" style="1181" min="25" max="44"/>
    <col width="16.75" customWidth="1" style="1181" min="45" max="46"/>
    <col width="17.375" customWidth="1" style="1181" min="47" max="48"/>
    <col width="16.75" customWidth="1" style="1181" min="49" max="51"/>
    <col width="17.375" customWidth="1" style="1181" min="52" max="53"/>
    <col width="16.75" customWidth="1" style="1181" min="54" max="56"/>
    <col width="17.375" customWidth="1" style="1181" min="57" max="58"/>
    <col width="16.75" customWidth="1" style="1181" min="59" max="59"/>
  </cols>
  <sheetData>
    <row r="1" hidden="1" customFormat="1" s="13">
      <c r="A1" s="172" t="inlineStr">
        <is>
          <t>维度清单</t>
        </is>
      </c>
      <c r="B1" s="462" t="n"/>
      <c r="C1" s="173" t="n"/>
      <c r="D1" s="173" t="n"/>
      <c r="E1" s="716" t="n"/>
      <c r="F1" s="13" t="n"/>
      <c r="G1" s="13" t="n"/>
      <c r="H1" s="13" t="n"/>
      <c r="I1" s="13" t="n"/>
      <c r="J1" s="13" t="n"/>
      <c r="K1" s="13" t="n"/>
      <c r="L1" s="13" t="n"/>
      <c r="M1" s="13" t="n"/>
      <c r="N1" s="13" t="n"/>
      <c r="O1" s="13" t="n"/>
      <c r="P1" s="13" t="n"/>
      <c r="Q1" s="13" t="n"/>
      <c r="R1" s="13" t="n"/>
      <c r="S1" s="1103" t="n"/>
      <c r="T1" s="13" t="n"/>
      <c r="U1" s="13" t="n"/>
      <c r="V1" s="13" t="n"/>
      <c r="W1" s="13" t="n"/>
      <c r="X1" s="171" t="n"/>
      <c r="Y1" s="13" t="n"/>
      <c r="Z1" s="13" t="n"/>
      <c r="AA1" s="13" t="n"/>
      <c r="AB1" s="13" t="n"/>
      <c r="AC1" s="13" t="n"/>
      <c r="AD1" s="13" t="n"/>
      <c r="AE1" s="13" t="n"/>
      <c r="AF1" s="13" t="n"/>
      <c r="AG1" s="13" t="n"/>
      <c r="AH1" s="13" t="n"/>
      <c r="AI1" s="13" t="n"/>
      <c r="AJ1" s="13" t="n"/>
      <c r="AK1" s="13" t="n"/>
      <c r="AL1" s="13" t="n"/>
      <c r="AM1" s="13" t="n"/>
      <c r="AN1" s="13" t="n"/>
      <c r="AO1" s="220" t="n"/>
      <c r="AP1" s="13" t="n"/>
      <c r="AQ1" s="13" t="n"/>
      <c r="AR1" s="13" t="n"/>
    </row>
    <row r="2" hidden="1" customFormat="1" s="13">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103" t="n"/>
      <c r="T2" s="13" t="n"/>
      <c r="U2" s="13" t="n"/>
      <c r="V2" s="13" t="n"/>
      <c r="W2" s="13" t="n"/>
      <c r="X2" s="171" t="n"/>
      <c r="Y2" s="13" t="n"/>
      <c r="Z2" s="13" t="n"/>
      <c r="AA2" s="13" t="n"/>
      <c r="AB2" s="13" t="n"/>
      <c r="AC2" s="13" t="n"/>
      <c r="AD2" s="13" t="n"/>
      <c r="AE2" s="13" t="n"/>
      <c r="AF2" s="13" t="n"/>
      <c r="AG2" s="13" t="n"/>
      <c r="AH2" s="13" t="n"/>
      <c r="AI2" s="13" t="n"/>
      <c r="AJ2" s="13" t="n"/>
      <c r="AK2" s="13" t="n"/>
      <c r="AL2" s="13" t="n"/>
      <c r="AM2" s="13" t="n"/>
      <c r="AN2" s="13" t="n"/>
      <c r="AO2" s="220" t="n"/>
      <c r="AP2" s="13" t="n"/>
      <c r="AQ2" s="13" t="n"/>
      <c r="AR2" s="13" t="n"/>
    </row>
    <row r="3" hidden="1" customFormat="1" s="13">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103" t="n"/>
      <c r="T3" s="13" t="n"/>
      <c r="U3" s="13" t="n"/>
      <c r="V3" s="13" t="n"/>
      <c r="W3" s="13" t="n"/>
      <c r="X3" s="171" t="n"/>
      <c r="Y3" s="13" t="n"/>
      <c r="Z3" s="13" t="n"/>
      <c r="AA3" s="13" t="n"/>
      <c r="AB3" s="13" t="n"/>
      <c r="AC3" s="13" t="n"/>
      <c r="AD3" s="13" t="n"/>
      <c r="AE3" s="13" t="n"/>
      <c r="AF3" s="13" t="n"/>
      <c r="AG3" s="13" t="n"/>
      <c r="AH3" s="13" t="n"/>
      <c r="AI3" s="13" t="n"/>
      <c r="AJ3" s="13" t="n"/>
      <c r="AK3" s="13" t="n"/>
      <c r="AL3" s="13" t="n"/>
      <c r="AM3" s="13" t="n"/>
      <c r="AN3" s="13" t="n"/>
      <c r="AO3" s="220" t="n"/>
      <c r="AP3" s="13" t="n"/>
      <c r="AQ3" s="13" t="n"/>
      <c r="AR3" s="13" t="n"/>
    </row>
    <row r="4" hidden="1" customFormat="1" s="13">
      <c r="A4" s="175" t="inlineStr">
        <is>
          <t>C</t>
        </is>
      </c>
      <c r="B4" s="176">
        <f>IF(_epmOfflineCondition_,"C_CATEGORY",EPMDimensionType(,A4))</f>
        <v/>
      </c>
      <c r="C4" s="176">
        <f>IF(_epmOfflineCondition_,"C1001",IF(B4="","",EPMContextMember(,B4)))</f>
        <v/>
      </c>
      <c r="D4" s="176">
        <f>IF(_epmOfflineCondition_,"实际数/决算数",EPMMemberDesc(C4))</f>
        <v/>
      </c>
      <c r="E4" s="176" t="n"/>
      <c r="F4" s="13" t="n"/>
      <c r="G4" s="13" t="n"/>
      <c r="H4" s="184" t="inlineStr">
        <is>
          <t>预算年</t>
        </is>
      </c>
      <c r="I4" s="184">
        <f>"V_"&amp;$I$3</f>
        <v/>
      </c>
      <c r="J4" s="184">
        <f>$I$3&amp;".TOTAL"</f>
        <v/>
      </c>
      <c r="K4" s="13" t="n"/>
      <c r="L4" s="13" t="n"/>
      <c r="M4" s="13" t="n"/>
      <c r="N4" s="13" t="n"/>
      <c r="O4" s="13" t="n"/>
      <c r="P4" s="13" t="n"/>
      <c r="Q4" s="13" t="n"/>
      <c r="R4" s="13" t="n"/>
      <c r="S4" s="1103" t="n"/>
      <c r="T4" s="13" t="n"/>
      <c r="U4" s="13" t="n"/>
      <c r="V4" s="13" t="n"/>
      <c r="W4" s="13" t="n"/>
      <c r="X4" s="171" t="n"/>
      <c r="Y4" s="13" t="n"/>
      <c r="Z4" s="13" t="n"/>
      <c r="AA4" s="13" t="n"/>
      <c r="AB4" s="13" t="n"/>
      <c r="AC4" s="13" t="n"/>
      <c r="AD4" s="13" t="n"/>
      <c r="AE4" s="13" t="n"/>
      <c r="AF4" s="13" t="n"/>
      <c r="AG4" s="13" t="n"/>
      <c r="AH4" s="13" t="n"/>
      <c r="AI4" s="13" t="n"/>
      <c r="AJ4" s="13" t="n"/>
      <c r="AK4" s="13" t="n"/>
      <c r="AL4" s="13" t="n"/>
      <c r="AM4" s="13" t="n"/>
      <c r="AN4" s="13" t="n"/>
      <c r="AO4" s="220" t="n"/>
      <c r="AP4" s="13" t="n"/>
      <c r="AQ4" s="13" t="n"/>
      <c r="AR4" s="13" t="n"/>
    </row>
    <row r="5" hidden="1" customFormat="1" s="13">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13" t="n"/>
      <c r="V5" s="13" t="n"/>
      <c r="W5" s="13" t="n"/>
      <c r="X5" s="171" t="n"/>
      <c r="Y5" s="13" t="n"/>
      <c r="Z5" s="13" t="n"/>
      <c r="AA5" s="13" t="n"/>
      <c r="AB5" s="13" t="n"/>
      <c r="AC5" s="13" t="n"/>
      <c r="AD5" s="13" t="n"/>
      <c r="AE5" s="13" t="n"/>
      <c r="AF5" s="13" t="n"/>
      <c r="AG5" s="13" t="n"/>
      <c r="AH5" s="13" t="n"/>
      <c r="AI5" s="13" t="n"/>
      <c r="AJ5" s="13" t="n"/>
      <c r="AK5" s="13" t="n"/>
      <c r="AL5" s="13" t="n"/>
      <c r="AM5" s="13" t="n"/>
      <c r="AN5" s="13" t="n"/>
      <c r="AO5" s="220" t="n"/>
      <c r="AP5" s="13" t="n"/>
      <c r="AQ5" s="13" t="n"/>
      <c r="AR5" s="13" t="n"/>
    </row>
    <row r="6" hidden="1" customFormat="1" s="13">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103" t="n"/>
      <c r="T6" s="13" t="n"/>
      <c r="U6" s="13" t="n"/>
      <c r="V6" s="13" t="n"/>
      <c r="W6" s="13" t="n"/>
      <c r="X6" s="171" t="n"/>
      <c r="Y6" s="13" t="n"/>
      <c r="Z6" s="13" t="n"/>
      <c r="AA6" s="13" t="n"/>
      <c r="AB6" s="13" t="n"/>
      <c r="AC6" s="13" t="n"/>
      <c r="AD6" s="13" t="n"/>
      <c r="AE6" s="13" t="n"/>
      <c r="AF6" s="13" t="n"/>
      <c r="AG6" s="13" t="n"/>
      <c r="AH6" s="13" t="n"/>
      <c r="AI6" s="13" t="n"/>
      <c r="AJ6" s="13" t="n"/>
      <c r="AK6" s="13" t="n"/>
      <c r="AL6" s="13" t="n"/>
      <c r="AM6" s="13" t="n"/>
      <c r="AN6" s="13" t="n"/>
      <c r="AO6" s="220" t="n"/>
      <c r="AP6" s="13" t="n"/>
      <c r="AQ6" s="13" t="n"/>
      <c r="AR6" s="13" t="n"/>
    </row>
    <row r="7" hidden="1" customFormat="1" s="13">
      <c r="A7" s="175" t="inlineStr">
        <is>
          <t>R</t>
        </is>
      </c>
      <c r="B7" s="176">
        <f>IF(_epmOfflineCondition_,"C_RPTCURRENCY",EPMDimensionType(,A7))</f>
        <v/>
      </c>
      <c r="C7" s="176">
        <f>IF(_epmOfflineCondition_,"LC",IF(B7="","",EPMContextMember(,B7)))</f>
        <v/>
      </c>
      <c r="D7" s="176">
        <f>IF(_epmOfflineCondition_,"本位币",EPMMemberDesc(C7))</f>
        <v/>
      </c>
      <c r="E7" s="176" t="n"/>
      <c r="F7" s="13" t="n"/>
      <c r="G7" s="13" t="n"/>
      <c r="H7" s="13" t="n"/>
      <c r="I7" s="13" t="n"/>
      <c r="J7" s="13" t="n"/>
      <c r="K7" s="13" t="n"/>
      <c r="L7" s="13" t="n"/>
      <c r="M7" s="13" t="n"/>
      <c r="N7" s="13" t="n"/>
      <c r="O7" s="13" t="n"/>
      <c r="P7" s="13" t="n"/>
      <c r="Q7" s="13" t="n"/>
      <c r="R7" s="13" t="n"/>
      <c r="S7" s="1103" t="n"/>
      <c r="T7" s="13" t="n"/>
      <c r="U7" s="13" t="n"/>
      <c r="V7" s="13" t="n"/>
      <c r="W7" s="13" t="n"/>
      <c r="X7" s="171" t="n"/>
      <c r="Y7" s="13" t="n"/>
      <c r="Z7" s="13" t="n"/>
      <c r="AA7" s="13" t="n"/>
      <c r="AB7" s="13" t="n"/>
      <c r="AC7" s="13" t="n"/>
      <c r="AD7" s="13" t="n"/>
      <c r="AE7" s="13" t="n"/>
      <c r="AF7" s="13" t="n"/>
      <c r="AG7" s="13" t="n"/>
      <c r="AH7" s="13" t="n"/>
      <c r="AI7" s="13" t="n"/>
      <c r="AJ7" s="13" t="n"/>
      <c r="AK7" s="13" t="n"/>
      <c r="AL7" s="13" t="n"/>
      <c r="AM7" s="13" t="n"/>
      <c r="AN7" s="13" t="n"/>
      <c r="AO7" s="220" t="n"/>
      <c r="AP7" s="13" t="n"/>
      <c r="AQ7" s="13" t="n"/>
      <c r="AR7" s="13" t="n"/>
    </row>
    <row r="8" hidden="1" customFormat="1" s="13">
      <c r="A8" s="175" t="inlineStr">
        <is>
          <t>D</t>
        </is>
      </c>
      <c r="B8" s="176">
        <f>IF(_epmOfflineCondition_,"C_AUDITTRAIL",EPMDimensionType(,A8))</f>
        <v/>
      </c>
      <c r="C8" s="176">
        <f>IF(_epmOfflineCondition_,"DTOTAL",IF(B8="","",EPMContextMember(,B8)))</f>
        <v/>
      </c>
      <c r="D8" s="176">
        <f>IF(_epmOfflineCondition_,"全部审计线索",EPMMemberDesc(C8))</f>
        <v/>
      </c>
      <c r="E8" s="176" t="n"/>
      <c r="F8" s="13" t="n"/>
      <c r="G8" s="13" t="n"/>
      <c r="H8" s="184" t="inlineStr">
        <is>
          <t>本月</t>
        </is>
      </c>
      <c r="I8" s="184">
        <f>IF(_epmOfflineCondition_,"03",RIGHT("0"&amp;EPMMemberProperty(,EPMContextMember(,"C_TIME"),"MONTHNUM"),2))</f>
        <v/>
      </c>
      <c r="J8" s="13">
        <f>I3&amp;".12"</f>
        <v/>
      </c>
      <c r="K8" s="13" t="n"/>
      <c r="L8" s="13" t="n"/>
      <c r="M8" s="13" t="n"/>
      <c r="N8" s="13" t="n"/>
      <c r="O8" s="13" t="n"/>
      <c r="P8" s="13" t="n"/>
      <c r="Q8" s="13" t="n"/>
      <c r="R8" s="13" t="n"/>
      <c r="S8" s="1103" t="n"/>
      <c r="T8" s="13" t="n"/>
      <c r="U8" s="13" t="n"/>
      <c r="V8" s="13" t="n"/>
      <c r="W8" s="13" t="n"/>
      <c r="X8" s="171" t="n"/>
      <c r="Y8" s="13" t="n"/>
      <c r="Z8" s="13" t="n"/>
      <c r="AA8" s="13" t="n"/>
      <c r="AB8" s="13" t="n"/>
      <c r="AC8" s="13" t="n"/>
      <c r="AD8" s="13" t="n"/>
      <c r="AE8" s="13" t="n"/>
      <c r="AF8" s="13" t="n"/>
      <c r="AG8" s="13" t="n"/>
      <c r="AH8" s="13" t="n"/>
      <c r="AI8" s="13" t="n"/>
      <c r="AJ8" s="13" t="n"/>
      <c r="AK8" s="13" t="n"/>
      <c r="AL8" s="13" t="n"/>
      <c r="AM8" s="13" t="n"/>
      <c r="AN8" s="13" t="n"/>
      <c r="AO8" s="220" t="n"/>
      <c r="AP8" s="13" t="n"/>
      <c r="AQ8" s="13" t="n"/>
      <c r="AR8" s="13" t="n"/>
    </row>
    <row r="9" hidden="1" customFormat="1" s="13">
      <c r="A9" s="175" t="inlineStr">
        <is>
          <t>S</t>
        </is>
      </c>
      <c r="B9" s="176">
        <f>IF(_epmOfflineCondition_,"C_FLOW",EPMDimensionType(,A9))</f>
        <v/>
      </c>
      <c r="C9" s="176">
        <f>IF(_epmOfflineCondition_,"FTOTAL",IF(B9="","",EPMContextMember(,B9)))</f>
        <v/>
      </c>
      <c r="D9" s="176">
        <f>IF(_epmOfflineCondition_,"全部变动",EPMMemberDesc(C9))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13" t="n"/>
      <c r="V9" s="13" t="n"/>
      <c r="W9" s="13" t="n"/>
      <c r="X9" s="171" t="n"/>
      <c r="Y9" s="13" t="n"/>
      <c r="Z9" s="13" t="n"/>
      <c r="AA9" s="13" t="n"/>
      <c r="AB9" s="13" t="n"/>
      <c r="AC9" s="13" t="n"/>
      <c r="AD9" s="13" t="n"/>
      <c r="AE9" s="13" t="n"/>
      <c r="AF9" s="13" t="n"/>
      <c r="AG9" s="13" t="n"/>
      <c r="AH9" s="13" t="n"/>
      <c r="AI9" s="13" t="n"/>
      <c r="AJ9" s="13" t="n"/>
      <c r="AK9" s="13" t="n"/>
      <c r="AL9" s="13" t="n"/>
      <c r="AM9" s="13" t="n"/>
      <c r="AN9" s="13" t="n"/>
      <c r="AO9" s="220" t="n"/>
      <c r="AP9" s="13" t="n"/>
      <c r="AQ9" s="13" t="n"/>
      <c r="AR9" s="13" t="n"/>
    </row>
    <row r="10" hidden="1" customFormat="1" s="13">
      <c r="A10" s="175" t="inlineStr">
        <is>
          <t>I</t>
        </is>
      </c>
      <c r="B10" s="176">
        <f>IF(_epmOfflineCondition_,"C_INTERCO",EPMDimensionType(,A10))</f>
        <v/>
      </c>
      <c r="C10" s="176">
        <f>IF(_epmOfflineCondition_,"I_ALL",IF(B10="","",EPMContextMember(,B10)))</f>
        <v/>
      </c>
      <c r="D10" s="176">
        <f>IF(_epmOfflineCondition_,"全部贸易伙伴",EPMMemberDesc(C10))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13" t="n"/>
      <c r="V10" s="13" t="n"/>
      <c r="W10" s="13" t="n"/>
      <c r="X10" s="171" t="n"/>
      <c r="Y10" s="13" t="n"/>
      <c r="Z10" s="13" t="n"/>
      <c r="AA10" s="13" t="n"/>
      <c r="AB10" s="13" t="n"/>
      <c r="AC10" s="13" t="n"/>
      <c r="AD10" s="13" t="n"/>
      <c r="AE10" s="13" t="n"/>
      <c r="AF10" s="13" t="n"/>
      <c r="AG10" s="13" t="n"/>
      <c r="AH10" s="13" t="n"/>
      <c r="AI10" s="13" t="n"/>
      <c r="AJ10" s="13" t="n"/>
      <c r="AK10" s="13" t="n"/>
      <c r="AL10" s="13" t="n"/>
      <c r="AM10" s="13" t="n"/>
      <c r="AN10" s="13" t="n"/>
      <c r="AO10" s="220" t="n"/>
      <c r="AP10" s="13" t="n"/>
      <c r="AQ10" s="13" t="n"/>
      <c r="AR10" s="13" t="n"/>
    </row>
    <row r="11" hidden="1" customFormat="1" s="13">
      <c r="A11" s="175" t="inlineStr">
        <is>
          <t>G</t>
        </is>
      </c>
      <c r="B11" s="176">
        <f>IF(_epmOfflineCondition_,"C_SCOPE",EPMDimensionType(,A11))</f>
        <v/>
      </c>
      <c r="C11" s="176">
        <f>IF(_epmOfflineCondition_,"G_DUMMY",IF(B11="","",EPMContextMember(,B11)))</f>
        <v/>
      </c>
      <c r="D11" s="176">
        <f>IF(_epmOfflineCondition_,"合并范围无关",EPMMemberDesc(C11))</f>
        <v/>
      </c>
      <c r="E11" s="176">
        <f>IF(OR(RIGHT(C11,1)="P",RIGHT(C11,1)="S"),LEFT(C11,LEN(C11)-1),C11)</f>
        <v/>
      </c>
      <c r="F11" s="13" t="n"/>
      <c r="G11" s="13" t="n"/>
      <c r="H11" s="184" t="inlineStr">
        <is>
          <t xml:space="preserve">本年月 </t>
        </is>
      </c>
      <c r="I11" s="184">
        <f>I3&amp;"."&amp;I8</f>
        <v/>
      </c>
      <c r="J11" s="13" t="n"/>
      <c r="K11" s="13" t="n"/>
      <c r="L11" s="13" t="n"/>
      <c r="M11" s="13" t="n"/>
      <c r="N11" s="13" t="n"/>
      <c r="O11" s="13" t="n"/>
      <c r="P11" s="13" t="n"/>
      <c r="Q11" s="13" t="n"/>
      <c r="R11" s="13" t="n"/>
      <c r="S11" s="1103" t="n"/>
      <c r="T11" s="13" t="n"/>
      <c r="U11" s="13" t="n"/>
      <c r="V11" s="13" t="n"/>
      <c r="W11" s="13" t="n"/>
      <c r="X11" s="171" t="n"/>
      <c r="Y11" s="13" t="n"/>
      <c r="Z11" s="13" t="n"/>
      <c r="AA11" s="13" t="n"/>
      <c r="AB11" s="13" t="n"/>
      <c r="AC11" s="13" t="n"/>
      <c r="AD11" s="13" t="n"/>
      <c r="AE11" s="13" t="n"/>
      <c r="AF11" s="13" t="n"/>
      <c r="AG11" s="13" t="n"/>
      <c r="AH11" s="13" t="n"/>
      <c r="AI11" s="13" t="n"/>
      <c r="AJ11" s="13" t="n"/>
      <c r="AK11" s="13" t="n"/>
      <c r="AL11" s="13" t="n"/>
      <c r="AM11" s="13" t="n"/>
      <c r="AN11" s="13" t="n"/>
      <c r="AO11" s="220" t="n"/>
      <c r="AP11" s="13" t="n"/>
      <c r="AQ11" s="13" t="n"/>
      <c r="AR11" s="13" t="n"/>
    </row>
    <row r="12" hidden="1" customFormat="1" s="13">
      <c r="A12" s="175" t="inlineStr">
        <is>
          <t>U8</t>
        </is>
      </c>
      <c r="B12" s="176">
        <f>IF(_epmOfflineCondition_,"C_PROJECT",EPMDimensionType(,A12))</f>
        <v/>
      </c>
      <c r="C12" s="176">
        <f>IF(_epmOfflineCondition_,"ZP_ALL",IF(B12="","",EPMContextMember(,B12)))</f>
        <v/>
      </c>
      <c r="D12" s="176">
        <f>IF(_epmOfflineCondition_,"项目合计",EPMMemberDesc(C12))</f>
        <v/>
      </c>
      <c r="E12" s="176" t="n"/>
      <c r="F12" s="13" t="n"/>
      <c r="G12" s="13" t="n"/>
      <c r="H12" s="184" t="inlineStr">
        <is>
          <t>上年月</t>
        </is>
      </c>
      <c r="I12" s="184">
        <f>IF(I8="01",I10&amp;"."&amp;I9,I3&amp;"."&amp;I9)</f>
        <v/>
      </c>
      <c r="J12" s="13" t="n"/>
      <c r="K12" s="13" t="n"/>
      <c r="L12" s="13" t="n"/>
      <c r="M12" s="13" t="n"/>
      <c r="N12" s="13" t="n"/>
      <c r="O12" s="13" t="n"/>
      <c r="P12" s="13" t="n"/>
      <c r="Q12" s="13" t="n"/>
      <c r="R12" s="13" t="n"/>
      <c r="S12" s="1103" t="n"/>
      <c r="T12" s="13" t="n"/>
      <c r="U12" s="13" t="n"/>
      <c r="V12" s="13" t="n"/>
      <c r="W12" s="13" t="n"/>
      <c r="X12" s="171" t="n"/>
      <c r="Y12" s="13" t="n"/>
      <c r="Z12" s="13" t="n"/>
      <c r="AA12" s="13" t="n"/>
      <c r="AB12" s="13" t="n"/>
      <c r="AC12" s="13" t="n"/>
      <c r="AD12" s="13" t="n"/>
      <c r="AE12" s="13" t="n"/>
      <c r="AF12" s="13" t="n"/>
      <c r="AG12" s="13" t="n"/>
      <c r="AH12" s="13" t="n"/>
      <c r="AI12" s="13" t="n"/>
      <c r="AJ12" s="13" t="n"/>
      <c r="AK12" s="13" t="n"/>
      <c r="AL12" s="13" t="n"/>
      <c r="AM12" s="13" t="n"/>
      <c r="AN12" s="13" t="n"/>
      <c r="AO12" s="220" t="n"/>
      <c r="AP12" s="13" t="n"/>
      <c r="AQ12" s="13" t="n"/>
      <c r="AR12" s="13" t="n"/>
    </row>
    <row r="13" hidden="1" customFormat="1" s="13">
      <c r="A13" s="175" t="inlineStr">
        <is>
          <t>U9</t>
        </is>
      </c>
      <c r="B13" s="176">
        <f>IF(_epmOfflineCondition_,"C_ITEM",EPMDimensionType(,A13))</f>
        <v/>
      </c>
      <c r="C13" s="176">
        <f>IF(_epmOfflineCondition_,"ZI_ALL",IF(B13="","",EPMContextMember(,B13)))</f>
        <v/>
      </c>
      <c r="D13" s="176">
        <f>IF(_epmOfflineCondition_,"全部ITEM",EPMMemberDesc(C13))</f>
        <v/>
      </c>
      <c r="E13" s="186" t="n"/>
      <c r="F13" s="13" t="n"/>
      <c r="G13" s="13" t="n"/>
      <c r="H13" s="184" t="inlineStr">
        <is>
          <t xml:space="preserve">上年同期 </t>
        </is>
      </c>
      <c r="I13" s="184">
        <f>I10&amp;"."&amp;I8</f>
        <v/>
      </c>
      <c r="J13" s="13" t="n"/>
      <c r="K13" s="13" t="n"/>
      <c r="L13" s="13" t="n"/>
      <c r="M13" s="13" t="n"/>
      <c r="N13" s="13" t="n"/>
      <c r="O13" s="13" t="n"/>
      <c r="P13" s="13" t="n"/>
      <c r="Q13" s="13" t="n"/>
      <c r="R13" s="13" t="n"/>
      <c r="S13" s="1103" t="n"/>
      <c r="T13" s="13" t="n"/>
      <c r="U13" s="13" t="n"/>
      <c r="V13" s="13" t="n"/>
      <c r="W13" s="13" t="n"/>
      <c r="X13" s="171" t="n"/>
      <c r="Y13" s="13" t="n"/>
      <c r="Z13" s="13" t="n"/>
      <c r="AA13" s="13" t="n"/>
      <c r="AB13" s="13" t="n"/>
      <c r="AC13" s="13" t="n"/>
      <c r="AD13" s="13" t="n"/>
      <c r="AE13" s="13" t="n"/>
      <c r="AF13" s="13" t="n"/>
      <c r="AG13" s="13" t="n"/>
      <c r="AH13" s="13" t="n"/>
      <c r="AI13" s="13" t="n"/>
      <c r="AJ13" s="13" t="n"/>
      <c r="AK13" s="13" t="n"/>
      <c r="AL13" s="13" t="n"/>
      <c r="AM13" s="13" t="n"/>
      <c r="AN13" s="13" t="n"/>
      <c r="AO13" s="220" t="n"/>
      <c r="AP13" s="13" t="n"/>
      <c r="AQ13" s="13" t="n"/>
      <c r="AR13" s="13" t="n"/>
    </row>
    <row r="14" hidden="1" customFormat="1" s="13">
      <c r="A14" s="175" t="inlineStr">
        <is>
          <t>U10</t>
        </is>
      </c>
      <c r="B14" s="176">
        <f>IF(_epmOfflineCondition_,"C_MISK",EPMDimensionType(,A14))</f>
        <v/>
      </c>
      <c r="C14" s="176">
        <f>IF(_epmOfflineCondition_,"ZM_ALL",IF(B14="","",EPMContextMember(,B14)))</f>
        <v/>
      </c>
      <c r="D14" s="176">
        <f>IF(_epmOfflineCondition_,"ALL",EPMMemberDesc(C14))</f>
        <v/>
      </c>
      <c r="E14" s="186" t="n"/>
      <c r="F14" s="13" t="n"/>
      <c r="G14" s="13" t="n"/>
      <c r="H14" s="13" t="n"/>
      <c r="I14" s="13" t="n"/>
      <c r="J14" s="13" t="n"/>
      <c r="K14" s="13" t="n"/>
      <c r="L14" s="13" t="n"/>
      <c r="M14" s="13" t="n"/>
      <c r="N14" s="13" t="n"/>
      <c r="O14" s="13" t="n"/>
      <c r="P14" s="13" t="n"/>
      <c r="Q14" s="13" t="n"/>
      <c r="R14" s="13" t="n"/>
      <c r="S14" s="1103" t="n"/>
      <c r="T14" s="13" t="n"/>
      <c r="U14" s="13" t="n"/>
      <c r="V14" s="13" t="n"/>
      <c r="W14" s="13" t="n"/>
      <c r="X14" s="171" t="n"/>
      <c r="Y14" s="13" t="n"/>
      <c r="Z14" s="13" t="n"/>
      <c r="AA14" s="13" t="n"/>
      <c r="AB14" s="13" t="n"/>
      <c r="AC14" s="13" t="n"/>
      <c r="AD14" s="13" t="n"/>
      <c r="AE14" s="13" t="n"/>
      <c r="AF14" s="13" t="n"/>
      <c r="AG14" s="13" t="n"/>
      <c r="AH14" s="13" t="n"/>
      <c r="AI14" s="13" t="n"/>
      <c r="AJ14" s="13" t="n"/>
      <c r="AK14" s="13" t="n"/>
      <c r="AL14" s="13" t="n"/>
      <c r="AM14" s="13" t="n"/>
      <c r="AN14" s="13" t="n"/>
      <c r="AO14" s="220" t="n"/>
      <c r="AP14" s="13" t="n"/>
      <c r="AQ14" s="13" t="n"/>
      <c r="AR14" s="13" t="n"/>
    </row>
    <row r="15" hidden="1" customFormat="1" s="13">
      <c r="A15" s="13" t="n"/>
      <c r="B15" s="1103" t="n"/>
      <c r="C15" s="1103" t="n"/>
      <c r="D15" s="1103" t="n"/>
      <c r="E15" s="13" t="n"/>
      <c r="F15" s="13" t="n"/>
      <c r="G15" s="13" t="n"/>
      <c r="H15" s="681">
        <f>E11</f>
        <v/>
      </c>
      <c r="I15" s="13" t="n"/>
      <c r="J15" s="13" t="n"/>
      <c r="K15" s="13" t="n"/>
      <c r="L15" s="13" t="n"/>
      <c r="M15" s="13" t="n"/>
      <c r="N15" s="13" t="n"/>
      <c r="O15" s="13" t="n"/>
      <c r="P15" s="13" t="n"/>
      <c r="Q15" s="13" t="n"/>
      <c r="R15" s="13" t="n"/>
      <c r="S15" s="1103" t="n"/>
      <c r="T15" s="13" t="n"/>
      <c r="U15" s="13" t="n"/>
      <c r="V15" s="13" t="n"/>
      <c r="W15" s="13" t="n"/>
      <c r="X15" s="171" t="n"/>
      <c r="Y15" s="13" t="n"/>
      <c r="Z15" s="13" t="n"/>
      <c r="AA15" s="13" t="n"/>
      <c r="AB15" s="13" t="n"/>
      <c r="AC15" s="13" t="n"/>
      <c r="AD15" s="13" t="n"/>
      <c r="AE15" s="13" t="n"/>
      <c r="AF15" s="13" t="n"/>
      <c r="AG15" s="13" t="n"/>
      <c r="AH15" s="13" t="n"/>
      <c r="AI15" s="13" t="n"/>
      <c r="AJ15" s="13" t="n"/>
      <c r="AK15" s="13" t="n"/>
      <c r="AL15" s="13" t="n"/>
      <c r="AM15" s="13" t="n"/>
      <c r="AN15" s="13" t="n"/>
      <c r="AO15" s="220" t="n"/>
      <c r="AP15" s="13" t="n"/>
      <c r="AQ15" s="13" t="n"/>
      <c r="AR15" s="13" t="n"/>
    </row>
    <row r="16" hidden="1" customFormat="1" s="13">
      <c r="A16" s="13" t="n"/>
      <c r="B16" s="13" t="n"/>
      <c r="C16" s="13" t="n"/>
      <c r="D16" s="174" t="inlineStr">
        <is>
          <t>页轴</t>
        </is>
      </c>
      <c r="E16" s="1183" t="n"/>
      <c r="F16" s="13" t="n"/>
      <c r="G16" s="13" t="n"/>
      <c r="H16" s="681">
        <f>IF(_epmOfflineCondition_,"E_DUMMY",EPMMemberProperty(,H15,"GENTITY"))</f>
        <v/>
      </c>
      <c r="I16" s="13" t="n"/>
      <c r="J16" s="13" t="n"/>
      <c r="K16" s="13" t="n"/>
      <c r="L16" s="13" t="n"/>
      <c r="M16" s="13" t="n"/>
      <c r="N16" s="13" t="n"/>
      <c r="O16" s="13" t="n"/>
      <c r="P16" s="13" t="n"/>
      <c r="Q16" s="13" t="n"/>
      <c r="R16" s="13" t="n"/>
      <c r="S16" s="1103" t="n"/>
      <c r="T16" s="13" t="n"/>
      <c r="U16" s="13" t="n"/>
      <c r="V16" s="13" t="n"/>
      <c r="W16" s="13" t="n"/>
      <c r="X16" s="171" t="n"/>
      <c r="Y16" s="13" t="n"/>
      <c r="Z16" s="13" t="n"/>
      <c r="AA16" s="13" t="n"/>
      <c r="AB16" s="13" t="n"/>
      <c r="AC16" s="13" t="n"/>
      <c r="AD16" s="13" t="n"/>
      <c r="AE16" s="13" t="n"/>
      <c r="AF16" s="13" t="n"/>
      <c r="AG16" s="13" t="n"/>
      <c r="AH16" s="13" t="n"/>
      <c r="AI16" s="13" t="n"/>
      <c r="AJ16" s="13" t="n"/>
      <c r="AK16" s="13" t="n"/>
      <c r="AL16" s="13" t="n"/>
      <c r="AM16" s="13" t="n"/>
      <c r="AN16" s="13" t="n"/>
      <c r="AO16" s="220" t="n"/>
      <c r="AP16" s="13" t="n"/>
      <c r="AQ16" s="13" t="n"/>
      <c r="AR16" s="13" t="n"/>
    </row>
    <row r="17" hidden="1" customFormat="1" s="13">
      <c r="A17" s="174" t="inlineStr">
        <is>
          <t>维度类型</t>
        </is>
      </c>
      <c r="B17" s="174" t="inlineStr">
        <is>
          <t>维度</t>
        </is>
      </c>
      <c r="C17" s="178" t="inlineStr">
        <is>
          <t>页轴替换</t>
        </is>
      </c>
      <c r="D17" s="174" t="inlineStr">
        <is>
          <t>报表001</t>
        </is>
      </c>
      <c r="E17" s="174" t="inlineStr">
        <is>
          <t>报表002</t>
        </is>
      </c>
      <c r="F17" s="13" t="n"/>
      <c r="G17" s="13" t="n"/>
      <c r="H17" s="681">
        <f>IF(H15="G_DUMMY",$C$6,$H$16)</f>
        <v/>
      </c>
      <c r="I17" s="13" t="n"/>
      <c r="J17" s="13" t="n"/>
      <c r="K17" s="13" t="n"/>
      <c r="L17" s="13" t="n"/>
      <c r="M17" s="13" t="n"/>
      <c r="N17" s="13" t="n"/>
      <c r="O17" s="13" t="n"/>
      <c r="P17" s="13" t="n"/>
      <c r="Q17" s="13" t="n"/>
      <c r="R17" s="13" t="n"/>
      <c r="S17" s="1103" t="n"/>
      <c r="T17" s="13" t="n"/>
      <c r="U17" s="13" t="n"/>
      <c r="V17" s="13" t="n"/>
      <c r="W17" s="13" t="n"/>
      <c r="X17" s="171" t="n"/>
      <c r="Y17" s="13" t="n"/>
      <c r="Z17" s="13" t="n"/>
      <c r="AA17" s="13" t="n"/>
      <c r="AB17" s="13" t="n"/>
      <c r="AC17" s="13" t="n"/>
      <c r="AD17" s="13" t="n"/>
      <c r="AE17" s="13" t="n"/>
      <c r="AF17" s="13" t="n"/>
      <c r="AG17" s="13" t="n"/>
      <c r="AH17" s="13" t="n"/>
      <c r="AI17" s="13" t="n"/>
      <c r="AJ17" s="13" t="n"/>
      <c r="AK17" s="13" t="n"/>
      <c r="AL17" s="13" t="n"/>
      <c r="AM17" s="13" t="n"/>
      <c r="AN17" s="13" t="n"/>
      <c r="AO17" s="220" t="n"/>
      <c r="AP17" s="13" t="n"/>
      <c r="AQ17" s="13" t="n"/>
      <c r="AR17" s="13" t="n"/>
    </row>
    <row r="18" hidden="1" customFormat="1" s="13">
      <c r="A18" s="175" t="inlineStr">
        <is>
          <t>A</t>
        </is>
      </c>
      <c r="B18" s="176">
        <f>IF(_epmOfflineCondition_,"C_ACCOUNT",EPMDimensionType(,A18))</f>
        <v/>
      </c>
      <c r="C18" s="679" t="inlineStr">
        <is>
          <t>A_NOUSED</t>
        </is>
      </c>
      <c r="D18" s="679" t="n"/>
      <c r="E18" s="180" t="n"/>
      <c r="F18" s="13" t="n"/>
      <c r="G18" s="13" t="n"/>
      <c r="H18" s="13" t="n"/>
      <c r="I18" s="13" t="n"/>
      <c r="J18" s="13" t="n"/>
      <c r="K18" s="13" t="n"/>
      <c r="L18" s="13" t="n"/>
      <c r="M18" s="13" t="n"/>
      <c r="N18" s="13" t="n"/>
      <c r="O18" s="13" t="n"/>
      <c r="P18" s="13" t="n"/>
      <c r="Q18" s="13" t="n"/>
      <c r="R18" s="13" t="n"/>
      <c r="S18" s="1103" t="n"/>
      <c r="T18" s="13" t="n"/>
      <c r="U18" s="13" t="n"/>
      <c r="V18" s="13" t="n"/>
      <c r="W18" s="13" t="n"/>
      <c r="X18" s="171" t="n"/>
      <c r="Y18" s="13" t="n"/>
      <c r="Z18" s="13" t="n"/>
      <c r="AA18" s="13" t="n"/>
      <c r="AB18" s="13" t="n"/>
      <c r="AC18" s="13" t="n"/>
      <c r="AD18" s="13" t="n"/>
      <c r="AE18" s="13" t="n"/>
      <c r="AF18" s="13" t="n"/>
      <c r="AG18" s="13" t="n"/>
      <c r="AH18" s="13" t="n"/>
      <c r="AI18" s="13" t="n"/>
      <c r="AJ18" s="13" t="n"/>
      <c r="AK18" s="13" t="n"/>
      <c r="AL18" s="13" t="n"/>
      <c r="AM18" s="13" t="n"/>
      <c r="AN18" s="13" t="n"/>
      <c r="AO18" s="220" t="n"/>
      <c r="AP18" s="13" t="n"/>
      <c r="AQ18" s="13" t="n"/>
      <c r="AR18" s="13" t="n"/>
    </row>
    <row r="19" hidden="1" customFormat="1" s="13">
      <c r="A19" s="175" t="inlineStr">
        <is>
          <t>C</t>
        </is>
      </c>
      <c r="B19" s="176">
        <f>IF(_epmOfflineCondition_,"C_CATEGORY",EPMDimensionType(,A19))</f>
        <v/>
      </c>
      <c r="C19" s="679" t="inlineStr">
        <is>
          <t>C_DUMMY</t>
        </is>
      </c>
      <c r="D19" s="679" t="n"/>
      <c r="E19" s="180" t="n"/>
      <c r="F19" s="13" t="n"/>
      <c r="G19" s="13" t="n"/>
      <c r="H19" s="13" t="n"/>
      <c r="I19" s="13" t="n"/>
      <c r="J19" s="13" t="n"/>
      <c r="K19" s="13" t="n"/>
      <c r="L19" s="13" t="n"/>
      <c r="M19" s="13" t="n"/>
      <c r="N19" s="13" t="n"/>
      <c r="O19" s="13" t="n"/>
      <c r="P19" s="13" t="n"/>
      <c r="Q19" s="13" t="n"/>
      <c r="R19" s="13" t="n"/>
      <c r="S19" s="1103" t="n"/>
      <c r="T19" s="13" t="n"/>
      <c r="U19" s="13" t="n"/>
      <c r="V19" s="13" t="n"/>
      <c r="W19" s="13" t="n"/>
      <c r="X19" s="171" t="n"/>
      <c r="Y19" s="13" t="n"/>
      <c r="Z19" s="13" t="n"/>
      <c r="AA19" s="13" t="n"/>
      <c r="AB19" s="13" t="n"/>
      <c r="AC19" s="13" t="n"/>
      <c r="AD19" s="13" t="n"/>
      <c r="AE19" s="13" t="n"/>
      <c r="AF19" s="13" t="n"/>
      <c r="AG19" s="13" t="n"/>
      <c r="AH19" s="13" t="n"/>
      <c r="AI19" s="13" t="n"/>
      <c r="AJ19" s="13" t="n"/>
      <c r="AK19" s="13" t="n"/>
      <c r="AL19" s="13" t="n"/>
      <c r="AM19" s="13" t="n"/>
      <c r="AN19" s="13" t="n"/>
      <c r="AO19" s="220" t="n"/>
      <c r="AP19" s="13" t="n"/>
      <c r="AQ19" s="13" t="n"/>
      <c r="AR19" s="13" t="n"/>
    </row>
    <row r="20" hidden="1" customFormat="1" s="13">
      <c r="A20" s="175" t="inlineStr">
        <is>
          <t>T</t>
        </is>
      </c>
      <c r="B20" s="176">
        <f>IF(_epmOfflineCondition_,"C_TIME",EPMDimensionType(,A20))</f>
        <v/>
      </c>
      <c r="C20" s="657" t="inlineStr">
        <is>
          <t>T_DUMMY</t>
        </is>
      </c>
      <c r="D20" s="679" t="n"/>
      <c r="E20" s="180" t="n"/>
      <c r="F20" s="384" t="n"/>
      <c r="G20" s="384" t="n"/>
      <c r="H20" s="13" t="n"/>
      <c r="I20" s="13" t="n"/>
      <c r="J20" s="13" t="n"/>
      <c r="K20" s="13" t="n"/>
      <c r="L20" s="13" t="n"/>
      <c r="M20" s="13" t="n"/>
      <c r="N20" s="13" t="n"/>
      <c r="O20" s="13" t="n"/>
      <c r="P20" s="13" t="n"/>
      <c r="Q20" s="13" t="n"/>
      <c r="R20" s="13" t="n"/>
      <c r="S20" s="1103" t="n"/>
      <c r="T20" s="13" t="n"/>
      <c r="U20" s="13" t="n"/>
      <c r="V20" s="13" t="n"/>
      <c r="W20" s="13" t="n"/>
      <c r="X20" s="171" t="n"/>
      <c r="Y20" s="384" t="n"/>
      <c r="Z20" s="13" t="n"/>
      <c r="AA20" s="13" t="n"/>
      <c r="AB20" s="13" t="n"/>
      <c r="AC20" s="13" t="n"/>
      <c r="AD20" s="13" t="n"/>
      <c r="AE20" s="13" t="n"/>
      <c r="AF20" s="13" t="n"/>
      <c r="AG20" s="13" t="n"/>
      <c r="AH20" s="13" t="n"/>
      <c r="AI20" s="13" t="n"/>
      <c r="AJ20" s="13" t="n"/>
      <c r="AK20" s="13" t="n"/>
      <c r="AL20" s="13" t="n"/>
      <c r="AM20" s="13" t="n"/>
      <c r="AN20" s="13" t="n"/>
      <c r="AO20" s="220" t="n"/>
      <c r="AP20" s="13" t="n"/>
      <c r="AQ20" s="13" t="n"/>
      <c r="AR20" s="13" t="n"/>
    </row>
    <row r="21" hidden="1" customFormat="1" s="13">
      <c r="A21" s="175" t="inlineStr">
        <is>
          <t>E</t>
        </is>
      </c>
      <c r="B21" s="176">
        <f>IF(_epmOfflineCondition_,"C_ENTITY",EPMDimensionType(,A21))</f>
        <v/>
      </c>
      <c r="C21" s="658">
        <f>IF(_epmOfflineCondition_,"E100787",IF(B21="","",EPMContextMember(,B21)))</f>
        <v/>
      </c>
      <c r="D21" s="679">
        <f>IF(_epmOfflineCondition_,"E100787",EPMOlapMemberO(C21,"[C_ENTITY].[PARENTH1].[E100787]","E100787 - 内蒙古京能苏尼特风力发电有限公司（内蒙古分公司）","","000"))</f>
        <v/>
      </c>
      <c r="E21" s="180" t="n"/>
      <c r="F21" s="384" t="n"/>
      <c r="G21" s="13" t="n"/>
      <c r="H21" s="13" t="n"/>
      <c r="I21" s="13" t="n"/>
      <c r="J21" s="13" t="n"/>
      <c r="K21" s="13" t="n"/>
      <c r="L21" s="13" t="n"/>
      <c r="M21" s="13" t="n"/>
      <c r="N21" s="13" t="n"/>
      <c r="O21" s="13" t="n"/>
      <c r="P21" s="13" t="n"/>
      <c r="Q21" s="13" t="n"/>
      <c r="R21" s="13" t="n"/>
      <c r="S21" s="1103" t="n"/>
      <c r="T21" s="13" t="n"/>
      <c r="U21" s="13" t="n"/>
      <c r="V21" s="13" t="n"/>
      <c r="W21" s="13" t="n"/>
      <c r="X21" s="171" t="n"/>
      <c r="Y21" s="384" t="n"/>
      <c r="Z21" s="13" t="n"/>
      <c r="AA21" s="13" t="n"/>
      <c r="AB21" s="13" t="n"/>
      <c r="AC21" s="13" t="n"/>
      <c r="AD21" s="13" t="n"/>
      <c r="AE21" s="13" t="n"/>
      <c r="AF21" s="13" t="n"/>
      <c r="AG21" s="13" t="n"/>
      <c r="AH21" s="13" t="n"/>
      <c r="AI21" s="13" t="n"/>
      <c r="AJ21" s="13" t="n"/>
      <c r="AK21" s="13" t="n"/>
      <c r="AL21" s="13" t="n"/>
      <c r="AM21" s="13" t="n"/>
      <c r="AN21" s="13" t="n"/>
      <c r="AO21" s="220" t="n"/>
      <c r="AP21" s="13" t="n"/>
      <c r="AQ21" s="13" t="n"/>
      <c r="AR21" s="13" t="n"/>
    </row>
    <row r="22" hidden="1" customFormat="1" s="13">
      <c r="A22" s="175" t="inlineStr">
        <is>
          <t>R</t>
        </is>
      </c>
      <c r="B22" s="176">
        <f>IF(_epmOfflineCondition_,"C_RPTCURRENCY",EPMDimensionType(,A22))</f>
        <v/>
      </c>
      <c r="C22" s="182">
        <f>IF(H15="G_DUMMY",Z37,"CNY")</f>
        <v/>
      </c>
      <c r="D22" s="182" t="n"/>
      <c r="E22" s="180" t="n"/>
      <c r="F22" s="384" t="n"/>
      <c r="G22" s="13" t="n"/>
      <c r="H22" s="13" t="n"/>
      <c r="I22" s="13" t="n"/>
      <c r="J22" s="13" t="n"/>
      <c r="K22" s="13" t="n"/>
      <c r="L22" s="13" t="n"/>
      <c r="M22" s="13" t="n"/>
      <c r="N22" s="13" t="n"/>
      <c r="O22" s="13" t="n"/>
      <c r="P22" s="13" t="n"/>
      <c r="Q22" s="13" t="n"/>
      <c r="R22" s="13" t="n"/>
      <c r="S22" s="1103" t="n"/>
      <c r="T22" s="13" t="n"/>
      <c r="U22" s="13" t="n"/>
      <c r="V22" s="13" t="n"/>
      <c r="W22" s="13" t="n"/>
      <c r="X22" s="171" t="n"/>
      <c r="Y22" s="384" t="n"/>
      <c r="Z22" s="13" t="n"/>
      <c r="AA22" s="13" t="n"/>
      <c r="AB22" s="13" t="n"/>
      <c r="AC22" s="13" t="n"/>
      <c r="AD22" s="13" t="n"/>
      <c r="AE22" s="13" t="n"/>
      <c r="AF22" s="13" t="n"/>
      <c r="AG22" s="13" t="n"/>
      <c r="AH22" s="13" t="n"/>
      <c r="AI22" s="13" t="n"/>
      <c r="AJ22" s="13" t="n"/>
      <c r="AK22" s="13" t="n"/>
      <c r="AL22" s="13" t="n"/>
      <c r="AM22" s="13" t="n"/>
      <c r="AN22" s="13" t="n"/>
      <c r="AO22" s="220" t="n"/>
      <c r="AP22" s="13" t="n"/>
      <c r="AQ22" s="13" t="n"/>
      <c r="AR22" s="13" t="n"/>
    </row>
    <row r="23" hidden="1" customFormat="1" s="13">
      <c r="A23" s="175" t="inlineStr">
        <is>
          <t>D</t>
        </is>
      </c>
      <c r="B23" s="176">
        <f>IF(_epmOfflineCondition_,"C_AUDITTRAIL",EPMDimensionType(,A23))</f>
        <v/>
      </c>
      <c r="C23" s="657">
        <f>IF(_epmOfflineCondition_,"DTOTAL",IF(B23="","",EPMContextMember(,B23)))</f>
        <v/>
      </c>
      <c r="D23" s="680" t="n"/>
      <c r="E23" s="180" t="n"/>
      <c r="F23" s="384" t="n"/>
      <c r="G23" s="13" t="n"/>
      <c r="H23" s="13" t="n"/>
      <c r="I23" s="13" t="n"/>
      <c r="J23" s="13" t="n"/>
      <c r="K23" s="13" t="n"/>
      <c r="L23" s="13" t="n"/>
      <c r="M23" s="13" t="n"/>
      <c r="N23" s="13" t="n"/>
      <c r="O23" s="13" t="n"/>
      <c r="P23" s="13" t="n"/>
      <c r="Q23" s="13" t="n"/>
      <c r="R23" s="13" t="n"/>
      <c r="S23" s="1103" t="n"/>
      <c r="T23" s="13" t="n"/>
      <c r="U23" s="13" t="n"/>
      <c r="V23" s="13" t="n"/>
      <c r="W23" s="13" t="n"/>
      <c r="X23" s="171" t="n"/>
      <c r="Y23" s="384" t="n"/>
      <c r="Z23" s="13" t="n"/>
      <c r="AA23" s="13" t="n"/>
      <c r="AB23" s="13" t="n"/>
      <c r="AC23" s="13" t="n"/>
      <c r="AD23" s="13" t="n"/>
      <c r="AE23" s="13" t="n"/>
      <c r="AF23" s="13" t="n"/>
      <c r="AG23" s="13" t="n"/>
      <c r="AH23" s="13" t="n"/>
      <c r="AI23" s="13" t="n"/>
      <c r="AJ23" s="13" t="n"/>
      <c r="AK23" s="13" t="n"/>
      <c r="AL23" s="13" t="n"/>
      <c r="AM23" s="13" t="n"/>
      <c r="AN23" s="13" t="n"/>
      <c r="AO23" s="220" t="n"/>
      <c r="AP23" s="13" t="n"/>
      <c r="AQ23" s="13" t="n"/>
      <c r="AR23" s="13" t="n"/>
    </row>
    <row r="24" hidden="1" customFormat="1" s="13">
      <c r="A24" s="175" t="inlineStr">
        <is>
          <t>S</t>
        </is>
      </c>
      <c r="B24" s="176">
        <f>IF(_epmOfflineCondition_,"C_FLOW",EPMDimensionType(,A24))</f>
        <v/>
      </c>
      <c r="C24" s="657">
        <f>IF(_epmOfflineCondition_,"FTOTAL",IF(B24="","",EPMContextMember(,B24)))</f>
        <v/>
      </c>
      <c r="D24" s="680" t="n"/>
      <c r="E24" s="180" t="n"/>
      <c r="F24" s="384" t="n"/>
      <c r="G24" s="13" t="n"/>
      <c r="H24" s="13" t="n"/>
      <c r="I24" s="13" t="n"/>
      <c r="J24" s="13" t="n"/>
      <c r="K24" s="13" t="n"/>
      <c r="L24" s="13" t="n"/>
      <c r="M24" s="13" t="n"/>
      <c r="N24" s="13" t="n"/>
      <c r="O24" s="13" t="n"/>
      <c r="P24" s="13" t="n"/>
      <c r="Q24" s="13" t="n"/>
      <c r="R24" s="13" t="n"/>
      <c r="S24" s="1103" t="n"/>
      <c r="T24" s="13" t="n"/>
      <c r="U24" s="13" t="n"/>
      <c r="V24" s="13" t="n"/>
      <c r="W24" s="13" t="n"/>
      <c r="X24" s="171" t="n"/>
      <c r="Y24" s="384" t="n"/>
      <c r="Z24" s="13" t="n"/>
      <c r="AA24" s="13" t="n"/>
      <c r="AB24" s="13" t="n"/>
      <c r="AC24" s="13" t="n"/>
      <c r="AD24" s="13" t="n"/>
      <c r="AE24" s="13" t="n"/>
      <c r="AF24" s="13" t="n"/>
      <c r="AG24" s="13" t="n"/>
      <c r="AH24" s="13" t="n"/>
      <c r="AI24" s="13" t="n"/>
      <c r="AJ24" s="13" t="n"/>
      <c r="AK24" s="13" t="n"/>
      <c r="AL24" s="13" t="n"/>
      <c r="AM24" s="13" t="n"/>
      <c r="AN24" s="13" t="n"/>
      <c r="AO24" s="220" t="n"/>
      <c r="AP24" s="13" t="n"/>
      <c r="AQ24" s="13" t="n"/>
      <c r="AR24" s="13" t="n"/>
    </row>
    <row r="25" hidden="1" customFormat="1" s="13">
      <c r="A25" s="175" t="inlineStr">
        <is>
          <t>I</t>
        </is>
      </c>
      <c r="B25" s="176">
        <f>IF(_epmOfflineCondition_,"C_INTERCO",EPMDimensionType(,A25))</f>
        <v/>
      </c>
      <c r="C25" s="657" t="inlineStr">
        <is>
          <t>I_ALL</t>
        </is>
      </c>
      <c r="D25" s="182">
        <f>IF(_epmOfflineCondition_,"I_ALL",EPMOlapMemberO(C25,"[C_INTERCO].[PARENTH1].[I_ALL]","I_ALL - 全部贸易伙伴","","000"))</f>
        <v/>
      </c>
      <c r="E25" s="180" t="n"/>
      <c r="F25" s="384" t="n"/>
      <c r="G25" s="13" t="n"/>
      <c r="H25" s="13" t="n"/>
      <c r="I25" s="13" t="n"/>
      <c r="J25" s="13" t="n"/>
      <c r="K25" s="13" t="n"/>
      <c r="L25" s="13" t="n"/>
      <c r="M25" s="13" t="n"/>
      <c r="N25" s="13" t="n"/>
      <c r="O25" s="13" t="n"/>
      <c r="P25" s="13" t="n"/>
      <c r="Q25" s="13" t="n"/>
      <c r="R25" s="13" t="n"/>
      <c r="S25" s="1103" t="n"/>
      <c r="T25" s="13" t="n"/>
      <c r="U25" s="13" t="n"/>
      <c r="V25" s="13" t="n"/>
      <c r="W25" s="13" t="n"/>
      <c r="X25" s="171" t="n"/>
      <c r="Y25" s="178" t="inlineStr">
        <is>
          <t>CATEGORY</t>
        </is>
      </c>
      <c r="Z25" s="178" t="inlineStr">
        <is>
          <t>C1001</t>
        </is>
      </c>
      <c r="AA25" s="178" t="inlineStr">
        <is>
          <t>C1001</t>
        </is>
      </c>
      <c r="AB25" s="178">
        <f>$C$4</f>
        <v/>
      </c>
      <c r="AC25" s="178">
        <f>$C$4</f>
        <v/>
      </c>
      <c r="AD25" s="178">
        <f>$C$4</f>
        <v/>
      </c>
      <c r="AE25" s="13" t="n"/>
      <c r="AF25" s="384" t="n"/>
      <c r="AG25" s="13" t="n"/>
      <c r="AH25" s="13" t="n"/>
      <c r="AI25" s="13" t="n"/>
      <c r="AJ25" s="13" t="n"/>
      <c r="AK25" s="13" t="n"/>
      <c r="AL25" s="13" t="n"/>
      <c r="AM25" s="220" t="n"/>
      <c r="AN25" s="220" t="n"/>
      <c r="AO25" s="220" t="n"/>
      <c r="AP25" s="220" t="n"/>
      <c r="AQ25" s="220" t="n"/>
      <c r="AR25" s="13" t="n"/>
    </row>
    <row r="26" hidden="1" customFormat="1" s="13">
      <c r="A26" s="175" t="inlineStr">
        <is>
          <t>G</t>
        </is>
      </c>
      <c r="B26" s="176">
        <f>IF(_epmOfflineCondition_,"C_SCOPE",EPMDimensionType(,A26))</f>
        <v/>
      </c>
      <c r="C26" s="658">
        <f>E11</f>
        <v/>
      </c>
      <c r="D26" s="182">
        <f>IF(_epmOfflineCondition_,"G_DUMMY",EPMOlapMemberO(C26,"[C_SCOPE].[PARENTH1].[G_DUMMY]","G_DUMMY - 合并范围无关","","000"))</f>
        <v/>
      </c>
      <c r="E26" s="180" t="n"/>
      <c r="F26" s="384" t="n"/>
      <c r="G26" s="13" t="n"/>
      <c r="H26" s="13" t="n"/>
      <c r="I26" s="13" t="n"/>
      <c r="J26" s="13" t="n"/>
      <c r="K26" s="13" t="n"/>
      <c r="L26" s="13" t="n"/>
      <c r="M26" s="13" t="n"/>
      <c r="N26" s="13" t="n"/>
      <c r="O26" s="13" t="n"/>
      <c r="P26" s="13" t="n"/>
      <c r="Q26" s="13" t="n"/>
      <c r="R26" s="13" t="n"/>
      <c r="S26" s="1103" t="n"/>
      <c r="T26" s="13" t="n"/>
      <c r="U26" s="13" t="n"/>
      <c r="V26" s="13" t="n"/>
      <c r="W26" s="13" t="n"/>
      <c r="X26" s="171" t="n"/>
      <c r="Y26" s="464" t="inlineStr">
        <is>
          <t>TIME</t>
        </is>
      </c>
      <c r="Z26" s="464">
        <f>$I$11</f>
        <v/>
      </c>
      <c r="AA26" s="464">
        <f>$I$11</f>
        <v/>
      </c>
      <c r="AB26" s="464">
        <f>$I$11</f>
        <v/>
      </c>
      <c r="AC26" s="178">
        <f>$J$4</f>
        <v/>
      </c>
      <c r="AD26" s="200">
        <f>$I$13</f>
        <v/>
      </c>
      <c r="AE26" s="13" t="n"/>
      <c r="AF26" s="384" t="n"/>
      <c r="AG26" s="13" t="n"/>
      <c r="AH26" s="13" t="n"/>
      <c r="AI26" s="13" t="n"/>
      <c r="AJ26" s="13" t="n"/>
      <c r="AK26" s="13" t="n"/>
      <c r="AL26" s="13" t="n"/>
      <c r="AM26" s="220" t="n"/>
      <c r="AN26" s="220" t="n"/>
      <c r="AO26" s="220" t="n"/>
      <c r="AP26" s="220" t="n"/>
      <c r="AQ26" s="220" t="n"/>
      <c r="AR26" s="13" t="n"/>
    </row>
    <row r="27" hidden="1" customFormat="1" s="13">
      <c r="A27" s="175" t="inlineStr">
        <is>
          <t>U8</t>
        </is>
      </c>
      <c r="B27" s="176">
        <f>IF(_epmOfflineCondition_,"C_PROJECT",EPMDimensionType(,A27))</f>
        <v/>
      </c>
      <c r="C27" s="679" t="inlineStr">
        <is>
          <t>ZP_ALL</t>
        </is>
      </c>
      <c r="D27" s="182">
        <f>IF(_epmOfflineCondition_,"ZP_ALL",EPMOlapMemberO(C27,"[C_PROJECT].[PARENTH1].[ZP_ALL]","ZP_ALL - 项目合计","","000"))</f>
        <v/>
      </c>
      <c r="E27" s="180" t="n"/>
      <c r="F27" s="384" t="n"/>
      <c r="G27" s="13" t="n"/>
      <c r="H27" s="13" t="n"/>
      <c r="I27" s="13" t="n"/>
      <c r="J27" s="13" t="n"/>
      <c r="K27" s="13" t="n"/>
      <c r="L27" s="13" t="n"/>
      <c r="M27" s="13" t="n"/>
      <c r="N27" s="13" t="n"/>
      <c r="O27" s="13" t="n"/>
      <c r="P27" s="13" t="n"/>
      <c r="Q27" s="13" t="n"/>
      <c r="R27" s="13" t="n"/>
      <c r="S27" s="1103" t="n"/>
      <c r="T27" s="13" t="n"/>
      <c r="U27" s="13" t="n"/>
      <c r="V27" s="13" t="n"/>
      <c r="W27" s="13" t="n"/>
      <c r="X27" s="171" t="n"/>
      <c r="Y27" s="200" t="inlineStr">
        <is>
          <t>MEASURES</t>
        </is>
      </c>
      <c r="Z27" s="200" t="inlineStr">
        <is>
          <t>YTD</t>
        </is>
      </c>
      <c r="AA27" s="200" t="inlineStr">
        <is>
          <t>YTD</t>
        </is>
      </c>
      <c r="AB27" s="200" t="inlineStr">
        <is>
          <t>Periodic</t>
        </is>
      </c>
      <c r="AC27" s="200" t="inlineStr">
        <is>
          <t>Periodic</t>
        </is>
      </c>
      <c r="AD27" s="200" t="inlineStr">
        <is>
          <t>Periodic</t>
        </is>
      </c>
      <c r="AE27" s="200" t="n"/>
      <c r="AF27" s="200" t="n"/>
      <c r="AG27" s="13" t="n"/>
      <c r="AH27" s="13" t="n"/>
      <c r="AI27" s="13" t="n"/>
      <c r="AJ27" s="13" t="inlineStr">
        <is>
          <t>C3003</t>
        </is>
      </c>
      <c r="AK27" s="13" t="n"/>
      <c r="AL27" s="13" t="n"/>
      <c r="AM27" s="220" t="inlineStr">
        <is>
          <t>C3003</t>
        </is>
      </c>
      <c r="AN27" s="220" t="n"/>
      <c r="AO27" s="220" t="n"/>
      <c r="AP27" s="220" t="inlineStr">
        <is>
          <t>C3002</t>
        </is>
      </c>
      <c r="AQ27" s="220" t="n"/>
      <c r="AR27" s="13" t="n"/>
    </row>
    <row r="28" hidden="1" customFormat="1" s="13">
      <c r="A28" s="175" t="inlineStr">
        <is>
          <t>U9</t>
        </is>
      </c>
      <c r="B28" s="176">
        <f>IF(_epmOfflineCondition_,"C_ITEM",EPMDimensionType(,A28))</f>
        <v/>
      </c>
      <c r="C28" s="679" t="inlineStr">
        <is>
          <t>ZI_ALL</t>
        </is>
      </c>
      <c r="D28" s="182">
        <f>IF(_epmOfflineCondition_,"ZI_ALL",EPMOlapMemberO(C28,"[C_ITEM].[PARENTH1].[ZI_ALL]","ZI_ALL - 全部ITEM","","000"))</f>
        <v/>
      </c>
      <c r="E28" s="180" t="n"/>
      <c r="F28" s="384" t="n"/>
      <c r="G28" s="384" t="n"/>
      <c r="H28" s="13" t="n"/>
      <c r="I28" s="13" t="n"/>
      <c r="J28" s="13" t="n"/>
      <c r="K28" s="13" t="n"/>
      <c r="L28" s="13" t="n"/>
      <c r="M28" s="13" t="n"/>
      <c r="N28" s="13" t="n"/>
      <c r="O28" s="13" t="n"/>
      <c r="P28" s="13" t="n"/>
      <c r="Q28" s="13" t="n"/>
      <c r="R28" s="13" t="n"/>
      <c r="S28" s="1103" t="n"/>
      <c r="T28" s="13" t="n"/>
      <c r="U28" s="13" t="n"/>
      <c r="V28" s="13" t="n"/>
      <c r="W28" s="13" t="n"/>
      <c r="X28" s="171" t="n"/>
      <c r="Y28" s="200" t="inlineStr">
        <is>
          <t>FLOW</t>
        </is>
      </c>
      <c r="Z28" s="200" t="inlineStr">
        <is>
          <t>F20</t>
        </is>
      </c>
      <c r="AA28" s="200" t="inlineStr">
        <is>
          <t>F20</t>
        </is>
      </c>
      <c r="AB28" s="200" t="inlineStr">
        <is>
          <t>F20</t>
        </is>
      </c>
      <c r="AC28" s="200" t="inlineStr">
        <is>
          <t>F99</t>
        </is>
      </c>
      <c r="AD28" s="200" t="inlineStr">
        <is>
          <t>FEND</t>
        </is>
      </c>
      <c r="AE28" s="200" t="inlineStr">
        <is>
          <t>FMOV_OP</t>
        </is>
      </c>
      <c r="AF28" s="200" t="inlineStr">
        <is>
          <t>FEND</t>
        </is>
      </c>
      <c r="AG28" s="13" t="n"/>
      <c r="AH28" s="13" t="n"/>
      <c r="AI28" s="13" t="n"/>
      <c r="AJ28" s="13" t="n"/>
      <c r="AK28" s="13" t="n"/>
      <c r="AL28" s="13" t="n"/>
      <c r="AM28" s="13" t="n"/>
      <c r="AN28" s="13" t="n"/>
      <c r="AO28" s="220" t="n"/>
      <c r="AP28" s="220">
        <f>I11</f>
        <v/>
      </c>
      <c r="AQ28" s="13" t="n"/>
      <c r="AR28" s="13" t="n"/>
    </row>
    <row r="29" hidden="1" customFormat="1" s="13">
      <c r="A29" s="175" t="inlineStr">
        <is>
          <t>U10</t>
        </is>
      </c>
      <c r="B29" s="176">
        <f>IF(_epmOfflineCondition_,"C_MISK",EPMDimensionType(,A29))</f>
        <v/>
      </c>
      <c r="C29" s="657" t="inlineStr">
        <is>
          <t>ZM_ALL</t>
        </is>
      </c>
      <c r="D29" s="182">
        <f>IF(_epmOfflineCondition_,"ZM_ALL",EPMOlapMemberO(C29,"[C_MISK].[PARENTH1].[ZM_ALL]","ZM_ALL - ALL","","000"))</f>
        <v/>
      </c>
      <c r="E29" s="180" t="n"/>
      <c r="F29" s="13" t="n"/>
      <c r="G29" s="384" t="n"/>
      <c r="H29" s="13" t="n"/>
      <c r="I29" s="13" t="n"/>
      <c r="J29" s="13" t="n"/>
      <c r="K29" s="13" t="n"/>
      <c r="L29" s="13" t="n"/>
      <c r="M29" s="13" t="n"/>
      <c r="N29" s="13" t="n"/>
      <c r="O29" s="13" t="n"/>
      <c r="P29" s="13" t="n"/>
      <c r="Q29" s="13" t="n"/>
      <c r="R29" s="13" t="n"/>
      <c r="S29" s="1103" t="n"/>
      <c r="T29" s="13" t="n"/>
      <c r="U29" s="13" t="n"/>
      <c r="V29" s="13" t="n"/>
      <c r="W29" s="13" t="n"/>
      <c r="X29" s="171" t="n"/>
      <c r="Y29" s="200" t="inlineStr">
        <is>
          <t>AUDITTRAIL</t>
        </is>
      </c>
      <c r="Z29" s="200" t="inlineStr">
        <is>
          <t>DLC_BK</t>
        </is>
      </c>
      <c r="AA29" s="200" t="inlineStr">
        <is>
          <t>DLC_RC</t>
        </is>
      </c>
      <c r="AB29" s="200" t="inlineStr">
        <is>
          <t>DALL</t>
        </is>
      </c>
      <c r="AC29" s="200" t="inlineStr">
        <is>
          <t>DLC</t>
        </is>
      </c>
      <c r="AD29" s="200" t="inlineStr">
        <is>
          <t>DLC</t>
        </is>
      </c>
      <c r="AE29" s="200" t="inlineStr">
        <is>
          <t>DLC_ADJ</t>
        </is>
      </c>
      <c r="AF29" s="384" t="n"/>
      <c r="AG29" s="13" t="n"/>
      <c r="AH29" s="13" t="n"/>
      <c r="AI29" s="13" t="n"/>
      <c r="AJ29" s="13" t="inlineStr">
        <is>
          <t>periodic</t>
        </is>
      </c>
      <c r="AK29" s="13" t="n"/>
      <c r="AL29" s="13" t="n"/>
      <c r="AM29" s="13" t="inlineStr">
        <is>
          <t>YTD</t>
        </is>
      </c>
      <c r="AN29" s="13" t="n"/>
      <c r="AO29" s="220" t="n"/>
      <c r="AP29" s="13" t="inlineStr">
        <is>
          <t>YTD</t>
        </is>
      </c>
      <c r="AQ29" s="13" t="n"/>
      <c r="AR29" s="13" t="n"/>
    </row>
    <row r="30" hidden="1" customFormat="1" s="13">
      <c r="A30" s="175" t="n"/>
      <c r="B30" s="175">
        <f>IF(_epmOfflineCondition_,"",EPMDimensionType(,A30))</f>
        <v/>
      </c>
      <c r="C30" s="679" t="inlineStr">
        <is>
          <t>PERIODIC</t>
        </is>
      </c>
      <c r="D30" s="680" t="n"/>
      <c r="E30" s="180" t="n"/>
      <c r="F30" s="13" t="n"/>
      <c r="G30" s="384" t="n"/>
      <c r="H30" s="13" t="n"/>
      <c r="I30" s="13" t="n"/>
      <c r="J30" s="13" t="n"/>
      <c r="K30" s="13" t="n"/>
      <c r="L30" s="13" t="n"/>
      <c r="M30" s="13" t="n"/>
      <c r="N30" s="13" t="n"/>
      <c r="O30" s="13" t="n"/>
      <c r="P30" s="13" t="n"/>
      <c r="Q30" s="13" t="n"/>
      <c r="R30" s="13" t="n"/>
      <c r="S30" s="1103" t="n"/>
      <c r="T30" s="13" t="n"/>
      <c r="U30" s="13" t="n"/>
      <c r="V30" s="13" t="n"/>
      <c r="W30" s="13" t="n"/>
      <c r="X30" s="171" t="n"/>
      <c r="Y30" s="13" t="n"/>
      <c r="Z30" s="13">
        <f>IF(_epmOfflineCondition_,"单体账面",EPMMemberDesc(Z29))</f>
        <v/>
      </c>
      <c r="AA30" s="13">
        <f>IF(_epmOfflineCondition_,"单体重分类",EPMMemberDesc(AA29))</f>
        <v/>
      </c>
      <c r="AB30" s="13">
        <f>IF(_epmOfflineCondition_,"合并后",EPMMemberDesc(AB29))</f>
        <v/>
      </c>
      <c r="AC30" s="13">
        <f>IF(_epmOfflineCondition_,"单体报表",EPMMemberDesc(AC29))</f>
        <v/>
      </c>
      <c r="AD30" s="13">
        <f>IF(_epmOfflineCondition_,"单体报表",EPMMemberDesc(AD29))</f>
        <v/>
      </c>
      <c r="AE30" s="13">
        <f>IF(_epmOfflineCondition_,"单体调整",EPMMemberDesc(AE29))</f>
        <v/>
      </c>
      <c r="AF30" s="384" t="n"/>
      <c r="AG30" s="13" t="n"/>
      <c r="AH30" s="13" t="n"/>
      <c r="AI30" s="13" t="n"/>
      <c r="AJ30" s="13" t="inlineStr">
        <is>
          <t>FMOV_OP</t>
        </is>
      </c>
      <c r="AK30" s="13" t="inlineStr">
        <is>
          <t>FMOV_OP</t>
        </is>
      </c>
      <c r="AL30" s="13" t="n"/>
      <c r="AM30" s="13" t="inlineStr">
        <is>
          <t>FMOV</t>
        </is>
      </c>
      <c r="AN30" s="13" t="n"/>
      <c r="AO30" s="220" t="n"/>
      <c r="AP30" s="13" t="inlineStr">
        <is>
          <t>FMOV</t>
        </is>
      </c>
      <c r="AQ30" s="13" t="n"/>
      <c r="AR30" s="13" t="n"/>
    </row>
    <row r="31" hidden="1" customFormat="1" s="13">
      <c r="A31" s="13" t="n"/>
      <c r="B31" s="1103" t="n"/>
      <c r="C31" s="1103" t="n"/>
      <c r="D31" s="1103" t="n"/>
      <c r="E31" s="13" t="n"/>
      <c r="F31" s="13" t="n"/>
      <c r="G31" s="13" t="n"/>
      <c r="H31" s="13" t="n"/>
      <c r="I31" s="13" t="n"/>
      <c r="J31" s="13" t="n"/>
      <c r="K31" s="13" t="n"/>
      <c r="L31" s="13" t="n"/>
      <c r="M31" s="13" t="n"/>
      <c r="N31" s="13" t="n"/>
      <c r="O31" s="13" t="n"/>
      <c r="P31" s="13" t="n"/>
      <c r="Q31" s="13" t="n"/>
      <c r="R31" s="13" t="n"/>
      <c r="S31" s="1103" t="n"/>
      <c r="T31" s="13" t="n"/>
      <c r="U31" s="13" t="n"/>
      <c r="V31" s="13" t="n"/>
      <c r="W31" s="13" t="n"/>
      <c r="X31" s="171" t="n"/>
      <c r="Y31" s="13" t="n"/>
      <c r="Z31" s="13" t="n"/>
      <c r="AA31" s="13" t="n"/>
      <c r="AB31" s="13" t="n"/>
      <c r="AC31" s="13" t="n"/>
      <c r="AD31" s="13" t="n"/>
      <c r="AE31" s="13" t="n"/>
      <c r="AF31" s="13" t="n"/>
      <c r="AG31" s="13" t="n"/>
      <c r="AH31" s="13" t="n"/>
      <c r="AI31" s="13" t="n"/>
      <c r="AJ31" s="13" t="inlineStr">
        <is>
          <t>DALL</t>
        </is>
      </c>
      <c r="AK31" s="13" t="n"/>
      <c r="AL31" s="13" t="n"/>
      <c r="AM31" s="13" t="inlineStr">
        <is>
          <t>DALL</t>
        </is>
      </c>
      <c r="AN31" s="13" t="n"/>
      <c r="AO31" s="220" t="n"/>
      <c r="AP31" s="13" t="inlineStr">
        <is>
          <t>DALL</t>
        </is>
      </c>
      <c r="AQ31" s="13" t="n"/>
      <c r="AR31" s="13" t="n"/>
    </row>
    <row r="32" hidden="1" customFormat="1" s="13">
      <c r="A32" s="13" t="n"/>
      <c r="B32" s="1103" t="n"/>
      <c r="C32" s="1103" t="n"/>
      <c r="D32" s="1103" t="n"/>
      <c r="E32" s="13" t="n"/>
      <c r="F32" s="13" t="n"/>
      <c r="G32" s="13" t="n"/>
      <c r="H32" s="13" t="n"/>
      <c r="I32" s="13" t="n"/>
      <c r="J32" s="13" t="n"/>
      <c r="K32" s="13" t="n"/>
      <c r="L32" s="13" t="n"/>
      <c r="M32" s="13" t="n"/>
      <c r="N32" s="13" t="n"/>
      <c r="O32" s="13" t="n"/>
      <c r="P32" s="13" t="n"/>
      <c r="Q32" s="13" t="n"/>
      <c r="R32" s="13" t="n"/>
      <c r="S32" s="1103" t="n"/>
      <c r="T32" s="13" t="n"/>
      <c r="U32" s="13" t="n"/>
      <c r="V32" s="13" t="n"/>
      <c r="W32" s="13" t="n"/>
      <c r="X32" s="171" t="n"/>
      <c r="Y32" s="13" t="n"/>
      <c r="Z32" s="13" t="n"/>
      <c r="AA32" s="13" t="n"/>
      <c r="AB32" s="13" t="n"/>
      <c r="AC32" s="13" t="n"/>
      <c r="AD32" s="13" t="n"/>
      <c r="AE32" s="13" t="n"/>
      <c r="AF32" s="13" t="n"/>
      <c r="AG32" s="13" t="n"/>
      <c r="AH32" s="13" t="n"/>
      <c r="AI32" s="13" t="n"/>
      <c r="AJ32" s="13" t="inlineStr">
        <is>
          <t>CNY</t>
        </is>
      </c>
      <c r="AK32" s="13" t="n"/>
      <c r="AL32" s="13" t="n"/>
      <c r="AM32" s="13" t="inlineStr">
        <is>
          <t>CNY</t>
        </is>
      </c>
      <c r="AN32" s="13" t="n"/>
      <c r="AO32" s="220" t="n"/>
      <c r="AP32" s="13" t="inlineStr">
        <is>
          <t>CNY</t>
        </is>
      </c>
      <c r="AQ32" s="13" t="n"/>
      <c r="AR32" s="13" t="n"/>
    </row>
    <row r="33" hidden="1" customFormat="1" s="13">
      <c r="A33" s="13" t="n"/>
      <c r="B33" s="1103" t="n"/>
      <c r="C33" s="1103" t="n"/>
      <c r="D33" s="1103" t="n"/>
      <c r="E33" s="13" t="n"/>
      <c r="F33" s="13" t="n"/>
      <c r="G33" s="13" t="n"/>
      <c r="H33" s="13" t="n"/>
      <c r="I33" s="13" t="n"/>
      <c r="J33" s="13" t="n"/>
      <c r="K33" s="13" t="n"/>
      <c r="L33" s="13" t="n"/>
      <c r="M33" s="13" t="n"/>
      <c r="N33" s="13" t="n"/>
      <c r="O33" s="13" t="n"/>
      <c r="P33" s="13" t="n"/>
      <c r="Q33" s="13" t="n"/>
      <c r="R33" s="13" t="n"/>
      <c r="S33" s="1103" t="n"/>
      <c r="T33" s="13" t="n"/>
      <c r="U33" s="13" t="n"/>
      <c r="V33" s="13" t="n"/>
      <c r="W33" s="13" t="n"/>
      <c r="X33" s="171" t="n"/>
      <c r="Y33" s="13" t="n"/>
      <c r="Z33" s="13" t="n"/>
      <c r="AA33" s="13" t="n"/>
      <c r="AB33" s="13" t="n"/>
      <c r="AC33" s="13" t="n"/>
      <c r="AD33" s="13" t="n"/>
      <c r="AE33" s="13" t="n"/>
      <c r="AF33" s="13" t="n"/>
      <c r="AG33" s="13" t="n"/>
      <c r="AH33" s="13" t="n"/>
      <c r="AI33" s="13" t="n"/>
      <c r="AJ33" s="13" t="n"/>
      <c r="AK33" s="13" t="n"/>
      <c r="AL33" s="13" t="n"/>
      <c r="AM33" s="13" t="n"/>
      <c r="AN33" s="13" t="n"/>
      <c r="AO33" s="220" t="n"/>
      <c r="AP33" s="13" t="n"/>
      <c r="AQ33" s="13" t="n"/>
      <c r="AR33" s="13" t="n"/>
    </row>
    <row r="34" ht="10.5" customFormat="1" customHeight="1" s="13">
      <c r="A34" s="13" t="n"/>
      <c r="B34" s="1103" t="n"/>
      <c r="C34" s="1103" t="n"/>
      <c r="D34" s="1103" t="n"/>
      <c r="E34" s="13" t="n"/>
      <c r="F34" s="13" t="n"/>
      <c r="G34" s="13" t="n"/>
      <c r="H34" s="13" t="n"/>
      <c r="I34" s="13" t="n"/>
      <c r="J34" s="13" t="n"/>
      <c r="K34" s="13" t="n"/>
      <c r="L34" s="13" t="n"/>
      <c r="M34" s="13" t="n"/>
      <c r="N34" s="13" t="n"/>
      <c r="O34" s="13" t="n"/>
      <c r="P34" s="13" t="n"/>
      <c r="Q34" s="13" t="n"/>
      <c r="R34" s="13" t="n"/>
      <c r="S34" s="1103" t="n"/>
      <c r="T34" s="13" t="n"/>
      <c r="U34" s="13" t="n"/>
      <c r="V34" s="13" t="n"/>
      <c r="W34" s="13" t="n"/>
      <c r="X34" s="171" t="n"/>
      <c r="Y34" s="13" t="n"/>
      <c r="Z34" s="13" t="n"/>
      <c r="AA34" s="13" t="n"/>
      <c r="AB34" s="13" t="n"/>
      <c r="AC34" s="13" t="n"/>
      <c r="AD34" s="13" t="n"/>
      <c r="AE34" s="13" t="n"/>
      <c r="AF34" s="13" t="n"/>
      <c r="AG34" s="13" t="n"/>
      <c r="AH34" s="13" t="n"/>
      <c r="AI34" s="13" t="n"/>
      <c r="AJ34" s="13" t="n"/>
      <c r="AK34" s="716" t="n"/>
      <c r="AL34" s="13" t="n"/>
      <c r="AM34" s="13" t="n"/>
      <c r="AN34" s="13" t="n"/>
      <c r="AO34" s="220" t="n"/>
      <c r="AP34" s="13" t="n"/>
      <c r="AQ34" s="13" t="n"/>
      <c r="AR34" s="13" t="n"/>
    </row>
    <row r="35" ht="32.25" customHeight="1" s="1181">
      <c r="A35" s="384" t="n"/>
      <c r="B35" s="384" t="n"/>
      <c r="C35" s="384" t="n"/>
      <c r="D35" s="384" t="n"/>
      <c r="E35" s="384" t="n"/>
      <c r="F35" s="384" t="n"/>
      <c r="G35" s="384" t="n"/>
      <c r="H35" s="384" t="n"/>
      <c r="I35" s="384" t="n"/>
      <c r="J35" s="384" t="n"/>
      <c r="K35" s="384" t="n"/>
      <c r="L35" s="384" t="n"/>
      <c r="M35" s="384" t="n"/>
      <c r="N35" s="384" t="n"/>
      <c r="O35" s="384" t="n"/>
      <c r="P35" s="384" t="n"/>
      <c r="Q35" s="384" t="n"/>
      <c r="R35" s="384" t="n"/>
      <c r="S35" s="32" t="n"/>
      <c r="T35" s="384" t="n"/>
      <c r="U35" s="384" t="n"/>
      <c r="V35" s="384" t="n"/>
      <c r="W35" s="384" t="n"/>
      <c r="X35" s="38" t="n"/>
      <c r="Y35" s="13" t="n"/>
      <c r="Z35" s="220" t="n"/>
      <c r="AA35" s="465" t="n"/>
      <c r="AB35" s="384" t="n"/>
      <c r="AC35" s="465" t="n"/>
      <c r="AD35" s="465" t="inlineStr">
        <is>
          <t>财务费用明细表</t>
        </is>
      </c>
      <c r="AE35" s="384" t="n"/>
      <c r="AF35" s="384" t="n"/>
      <c r="AG35" s="384" t="n"/>
      <c r="AH35" s="384" t="n"/>
      <c r="AI35" s="384" t="n"/>
      <c r="AJ35" s="384" t="n"/>
      <c r="AK35" s="384" t="n"/>
      <c r="AL35" s="384" t="n"/>
      <c r="AM35" s="384" t="n"/>
      <c r="AN35" s="384" t="n"/>
      <c r="AO35" s="384" t="n"/>
      <c r="AP35" s="384" t="n"/>
      <c r="AQ35" s="384" t="n"/>
      <c r="AR35" s="384" t="n"/>
    </row>
    <row r="36" ht="15.2" customFormat="1" customHeight="1" s="716">
      <c r="A36" s="716" t="n"/>
      <c r="B36" s="716" t="n"/>
      <c r="C36" s="716" t="n"/>
      <c r="D36" s="716" t="n"/>
      <c r="E36" s="716" t="n"/>
      <c r="F36" s="716" t="n"/>
      <c r="G36" s="716" t="n"/>
      <c r="H36" s="716" t="n"/>
      <c r="I36" s="716" t="n"/>
      <c r="J36" s="716" t="n"/>
      <c r="K36" s="716" t="n"/>
      <c r="L36" s="716" t="n"/>
      <c r="M36" s="716" t="n"/>
      <c r="N36" s="716" t="n"/>
      <c r="O36" s="716" t="n"/>
      <c r="P36" s="716" t="n"/>
      <c r="Q36" s="716" t="n"/>
      <c r="R36" s="716" t="n"/>
      <c r="S36" s="462" t="n"/>
      <c r="T36" s="716" t="n"/>
      <c r="U36" s="716" t="n"/>
      <c r="V36" s="716" t="n"/>
      <c r="W36" s="716" t="n"/>
      <c r="X36" s="190">
        <f>IF(_epmOfflineCondition_,"编制单位：内蒙古京能苏尼特风力发电有限公司（内蒙古分公司）","编制单位："&amp;EPMMemberDesc($D$6))</f>
        <v/>
      </c>
      <c r="Y36" s="716" t="n"/>
      <c r="Z36" s="203" t="n"/>
      <c r="AA36" s="716" t="n"/>
      <c r="AB36" s="716" t="n"/>
      <c r="AC36" s="716" t="n"/>
      <c r="AD36" s="716" t="n"/>
      <c r="AE36" s="716" t="n"/>
      <c r="AF36" s="716" t="n"/>
      <c r="AG36" s="716" t="n"/>
      <c r="AH36" s="716" t="n"/>
      <c r="AI36" s="716" t="n"/>
      <c r="AJ36" s="716" t="n"/>
      <c r="AK36" s="716" t="n"/>
      <c r="AL36" s="716" t="n"/>
      <c r="AM36" s="716" t="n"/>
      <c r="AN36" s="716" t="n"/>
      <c r="AO36" s="716" t="n"/>
      <c r="AP36" s="716" t="n"/>
      <c r="AQ36" s="716" t="n"/>
      <c r="AR36" s="716" t="n"/>
    </row>
    <row r="37" ht="15.2" customFormat="1" customHeight="1" s="716">
      <c r="A37" s="716" t="n"/>
      <c r="B37" s="716" t="n"/>
      <c r="C37" s="716" t="n"/>
      <c r="D37" s="716" t="n"/>
      <c r="E37" s="716" t="n"/>
      <c r="F37" s="716" t="n"/>
      <c r="G37" s="716" t="n"/>
      <c r="H37" s="716" t="n"/>
      <c r="I37" s="716" t="n"/>
      <c r="J37" s="716" t="n"/>
      <c r="K37" s="716" t="n"/>
      <c r="L37" s="716" t="n"/>
      <c r="M37" s="716" t="n"/>
      <c r="N37" s="716" t="n"/>
      <c r="O37" s="716" t="n"/>
      <c r="P37" s="716" t="n"/>
      <c r="Q37" s="716" t="n"/>
      <c r="R37" s="716" t="n"/>
      <c r="S37" s="462" t="n"/>
      <c r="T37" s="716" t="n"/>
      <c r="U37" s="716" t="n"/>
      <c r="V37" s="716" t="n"/>
      <c r="W37" s="716" t="n"/>
      <c r="X37" s="190">
        <f>"编制月份："&amp;$I$3&amp;"年"&amp;$I$8&amp;"月"</f>
        <v/>
      </c>
      <c r="Y37" s="190" t="inlineStr">
        <is>
          <t>币种：</t>
        </is>
      </c>
      <c r="Z37" s="716" t="inlineStr">
        <is>
          <t>LC</t>
        </is>
      </c>
      <c r="AA37" s="716" t="n"/>
      <c r="AB37" s="716" t="n"/>
      <c r="AC37" s="716" t="n"/>
      <c r="AD37" s="716" t="n"/>
      <c r="AE37" s="716" t="n"/>
      <c r="AF37" s="716" t="n"/>
      <c r="AG37" s="716" t="n"/>
      <c r="AH37" s="716" t="n"/>
      <c r="AI37" s="716" t="n"/>
      <c r="AJ37" s="716" t="n"/>
      <c r="AK37" s="716" t="n"/>
      <c r="AL37" s="716" t="n"/>
      <c r="AM37" s="716" t="n"/>
      <c r="AN37" s="716" t="n"/>
      <c r="AO37" s="716" t="n"/>
      <c r="AP37" s="716" t="n"/>
      <c r="AQ37" s="716" t="n"/>
      <c r="AR37" s="190" t="inlineStr">
        <is>
          <t>金额单位：元</t>
        </is>
      </c>
    </row>
    <row r="38" ht="15.2" customFormat="1" customHeight="1" s="716">
      <c r="A38" s="716" t="n"/>
      <c r="B38" s="716" t="n"/>
      <c r="C38" s="716" t="n"/>
      <c r="D38" s="716" t="n"/>
      <c r="E38" s="716" t="n"/>
      <c r="F38" s="716" t="n"/>
      <c r="G38" s="716" t="n"/>
      <c r="H38" s="716" t="n"/>
      <c r="I38" s="716" t="n"/>
      <c r="J38" s="716" t="n"/>
      <c r="K38" s="716" t="n"/>
      <c r="L38" s="716" t="n"/>
      <c r="M38" s="716" t="n"/>
      <c r="N38" s="716" t="n"/>
      <c r="O38" s="716" t="n"/>
      <c r="P38" s="716" t="n"/>
      <c r="Q38" s="716" t="n"/>
      <c r="R38" s="716" t="n"/>
      <c r="S38" s="462" t="n"/>
      <c r="T38" s="716" t="n"/>
      <c r="U38" s="716" t="n"/>
      <c r="V38" s="716" t="n"/>
      <c r="W38" s="716" t="n"/>
      <c r="X38" s="450" t="inlineStr">
        <is>
          <t>项目</t>
        </is>
      </c>
      <c r="Y38" s="1256" t="inlineStr">
        <is>
          <t>本年实际</t>
        </is>
      </c>
      <c r="Z38" s="1183" t="n"/>
      <c r="AA38" s="1256" t="inlineStr">
        <is>
          <t>本月对比上月</t>
        </is>
      </c>
      <c r="AB38" s="1182" t="n"/>
      <c r="AC38" s="1183" t="n"/>
      <c r="AD38" s="1256" t="inlineStr">
        <is>
          <t>本月对比上年同期</t>
        </is>
      </c>
      <c r="AE38" s="1182" t="n"/>
      <c r="AF38" s="1183" t="n"/>
      <c r="AG38" s="1256" t="inlineStr">
        <is>
          <t>本年累计对比上年同期累计</t>
        </is>
      </c>
      <c r="AH38" s="1182" t="n"/>
      <c r="AI38" s="1183" t="n"/>
      <c r="AJ38" s="1256" t="inlineStr">
        <is>
          <t xml:space="preserve"> 本月预算完成情况 </t>
        </is>
      </c>
      <c r="AK38" s="1182" t="n"/>
      <c r="AL38" s="1183" t="n"/>
      <c r="AM38" s="1256" t="inlineStr">
        <is>
          <t xml:space="preserve"> 进度预算完成情况 </t>
        </is>
      </c>
      <c r="AN38" s="1182" t="n"/>
      <c r="AO38" s="1183" t="n"/>
      <c r="AP38" s="1256" t="inlineStr">
        <is>
          <t xml:space="preserve"> 年度预算完成情况 </t>
        </is>
      </c>
      <c r="AQ38" s="1182" t="n"/>
      <c r="AR38" s="1183" t="n"/>
    </row>
    <row r="39" ht="15.2" customFormat="1" customHeight="1" s="716">
      <c r="A39" s="716" t="n"/>
      <c r="B39" s="716" t="n"/>
      <c r="C39" s="716" t="n"/>
      <c r="D39" s="716" t="n"/>
      <c r="E39" s="716" t="n"/>
      <c r="F39" s="716" t="n"/>
      <c r="G39" s="716" t="n"/>
      <c r="H39" s="716" t="n"/>
      <c r="I39" s="716" t="n"/>
      <c r="J39" s="716" t="n"/>
      <c r="K39" s="716" t="n"/>
      <c r="L39" s="716" t="n"/>
      <c r="M39" s="716" t="n"/>
      <c r="N39" s="716" t="n"/>
      <c r="O39" s="716" t="n"/>
      <c r="P39" s="716" t="n"/>
      <c r="Q39" s="716" t="n"/>
      <c r="R39" s="716" t="n"/>
      <c r="S39" s="462" t="n"/>
      <c r="T39" s="716" t="n"/>
      <c r="U39" s="716" t="n"/>
      <c r="V39" s="716" t="n"/>
      <c r="W39" s="716" t="n"/>
      <c r="X39" s="1184" t="n"/>
      <c r="Y39" s="1256" t="inlineStr">
        <is>
          <t>本月数</t>
        </is>
      </c>
      <c r="Z39" s="1256" t="inlineStr">
        <is>
          <t>本年累计</t>
        </is>
      </c>
      <c r="AA39" s="1256" t="inlineStr">
        <is>
          <t>上月数</t>
        </is>
      </c>
      <c r="AB39" s="1256" t="inlineStr">
        <is>
          <t>增减额</t>
        </is>
      </c>
      <c r="AC39" s="1256" t="inlineStr">
        <is>
          <t>增减（%）</t>
        </is>
      </c>
      <c r="AD39" s="1256" t="inlineStr">
        <is>
          <t>上年同期</t>
        </is>
      </c>
      <c r="AE39" s="1256" t="inlineStr">
        <is>
          <t>增减额</t>
        </is>
      </c>
      <c r="AF39" s="1256" t="inlineStr">
        <is>
          <t>增减（%）</t>
        </is>
      </c>
      <c r="AG39" s="1256" t="inlineStr">
        <is>
          <t>上年同期累计</t>
        </is>
      </c>
      <c r="AH39" s="1256" t="inlineStr">
        <is>
          <t>增减额</t>
        </is>
      </c>
      <c r="AI39" s="1256" t="inlineStr">
        <is>
          <t>增减（%）</t>
        </is>
      </c>
      <c r="AJ39" s="1256" t="inlineStr">
        <is>
          <t xml:space="preserve"> 月度预算 </t>
        </is>
      </c>
      <c r="AK39" s="1256" t="inlineStr">
        <is>
          <t xml:space="preserve"> 增减额 </t>
        </is>
      </c>
      <c r="AL39" s="1256" t="inlineStr">
        <is>
          <t xml:space="preserve"> 完成预算% </t>
        </is>
      </c>
      <c r="AM39" s="1256" t="inlineStr">
        <is>
          <t xml:space="preserve"> 进度预算数 </t>
        </is>
      </c>
      <c r="AN39" s="1256" t="inlineStr">
        <is>
          <t xml:space="preserve"> 增减额 </t>
        </is>
      </c>
      <c r="AO39" s="1256" t="inlineStr">
        <is>
          <t xml:space="preserve"> 完成预算% </t>
        </is>
      </c>
      <c r="AP39" s="1256" t="inlineStr">
        <is>
          <t xml:space="preserve"> 本年预算数 </t>
        </is>
      </c>
      <c r="AQ39" s="1256" t="inlineStr">
        <is>
          <t xml:space="preserve"> 增减额 </t>
        </is>
      </c>
      <c r="AR39" s="1256" t="inlineStr">
        <is>
          <t xml:space="preserve"> 完成预算% </t>
        </is>
      </c>
    </row>
    <row r="40" hidden="1" ht="14.25" customFormat="1" customHeight="1" s="716">
      <c r="A40" s="716" t="n"/>
      <c r="B40" s="716" t="n"/>
      <c r="C40" s="716" t="n"/>
      <c r="D40" s="716" t="n"/>
      <c r="E40" s="716" t="n"/>
      <c r="F40" s="716" t="n"/>
      <c r="G40" s="716" t="n"/>
      <c r="H40" s="716" t="n"/>
      <c r="I40" s="716" t="n"/>
      <c r="J40" s="716" t="n"/>
      <c r="K40" s="716" t="n"/>
      <c r="L40" s="716" t="n"/>
      <c r="M40" s="716" t="n"/>
      <c r="N40" s="716" t="n"/>
      <c r="O40" s="716" t="n"/>
      <c r="P40" s="716" t="n"/>
      <c r="Q40" s="716" t="n"/>
      <c r="R40" s="716" t="n"/>
      <c r="S40" s="462" t="n"/>
      <c r="T40" s="716" t="n"/>
      <c r="U40" s="716" t="n"/>
      <c r="V40" s="716" t="n"/>
      <c r="W40" s="716" t="n"/>
      <c r="X40" s="515" t="inlineStr">
        <is>
          <t>time</t>
        </is>
      </c>
      <c r="Y40" s="469">
        <f>IF(_epmOfflineCondition_,"2025.03",EPMOlapMemberO(I11,"[C_TIME].[PARENTH1].[2025.03]","2025.03 - 2025.03","","000"))</f>
        <v/>
      </c>
      <c r="Z40" s="469">
        <f>IF(_epmOfflineCondition_,"2025.03",EPMOlapMemberO(I11,"[C_TIME].[PARENTH1].[2025.03]","2025.03 - 2025.03","","000"))</f>
        <v/>
      </c>
      <c r="AA40" s="469">
        <f>IF(_epmOfflineCondition_,"2025.02",EPMOlapMemberO(I12,"[C_TIME].[PARENTH1].[2025.02]","2025.02 - 2025.02","","000"))</f>
        <v/>
      </c>
      <c r="AB40" s="1329" t="n"/>
      <c r="AC40" s="1329" t="n"/>
      <c r="AD40" s="469">
        <f>IF(_epmOfflineCondition_,"2024.03",EPMOlapMemberO(I13,"[C_TIME].[PARENTH1].[2024.03]","2024.03 - 2024.03","","000"))</f>
        <v/>
      </c>
      <c r="AE40" s="1329" t="n"/>
      <c r="AF40" s="1329" t="n"/>
      <c r="AG40" s="469">
        <f>IF(_epmOfflineCondition_,"2024.03",EPMOlapMemberO($I$13,"[C_TIME].[PARENTH1].[2024.03]","2024.03 - 2024.03","","000"))</f>
        <v/>
      </c>
      <c r="AH40" s="469">
        <f>IF(_epmOfflineCondition_,"2024.03",EPMOlapMemberO($I$13,"[C_TIME].[PARENTH1].[2024.03]","2024.03 - 2024.03","","000"))</f>
        <v/>
      </c>
      <c r="AI40" s="469">
        <f>IF(_epmOfflineCondition_,"2024.03",EPMOlapMemberO($I$13,"[C_TIME].[PARENTH1].[2024.03]","2024.03 - 2024.03","","000"))</f>
        <v/>
      </c>
      <c r="AJ40" s="469">
        <f>IF(_epmOfflineCondition_,"2025.03",EPMOlapMemberO($I$11,"[C_TIME].[PARENTH1].[2025.03]","2025.03 - 2025.03","","000"))</f>
        <v/>
      </c>
      <c r="AK40" s="469" t="n"/>
      <c r="AL40" s="469" t="n"/>
      <c r="AM40" s="469">
        <f>IF(_epmOfflineCondition_,"2025.03",EPMOlapMemberO($I$11,"[C_TIME].[PARENTH1].[2025.03]","2025.03 - 2025.03","","000"))</f>
        <v/>
      </c>
      <c r="AN40" s="469" t="n"/>
      <c r="AO40" s="469" t="n"/>
      <c r="AP40" s="469">
        <f>IF(_epmOfflineCondition_,"2025.03",EPMOlapMemberO($I$11,"[C_TIME].[PARENTH1].[2025.03]","2025.03 - 2025.03","","000"))</f>
        <v/>
      </c>
      <c r="AQ40" s="469" t="n"/>
      <c r="AR40" s="469" t="n"/>
    </row>
    <row r="41" hidden="1" ht="14.25" customFormat="1" customHeight="1" s="716">
      <c r="A41" s="716" t="n"/>
      <c r="B41" s="716" t="n"/>
      <c r="C41" s="716" t="n"/>
      <c r="D41" s="716" t="n"/>
      <c r="E41" s="716" t="n"/>
      <c r="F41" s="716" t="n"/>
      <c r="G41" s="716" t="n"/>
      <c r="H41" s="716" t="n"/>
      <c r="I41" s="716" t="n"/>
      <c r="J41" s="716" t="n"/>
      <c r="K41" s="716" t="n"/>
      <c r="L41" s="716" t="n"/>
      <c r="M41" s="716" t="n"/>
      <c r="N41" s="716" t="n"/>
      <c r="O41" s="716" t="n"/>
      <c r="P41" s="716" t="n"/>
      <c r="Q41" s="716" t="n"/>
      <c r="R41" s="716" t="n"/>
      <c r="S41" s="462" t="n"/>
      <c r="T41" s="716" t="n"/>
      <c r="U41" s="716" t="n"/>
      <c r="V41" s="716" t="n"/>
      <c r="W41" s="716" t="n"/>
      <c r="X41" s="515" t="inlineStr">
        <is>
          <t>category</t>
        </is>
      </c>
      <c r="Y41" s="182">
        <f>IF(_epmOfflineCondition_,"C1001",EPMOlapMemberO($AA$25,"[C_CATEGORY].[PARENTH1].[C1001]","C1001 - 实际数/决算数","","000"))</f>
        <v/>
      </c>
      <c r="Z41" s="182">
        <f>IF(_epmOfflineCondition_,"C1001",EPMOlapMemberO($AA$25,"[C_CATEGORY].[PARENTH1].[C1001]","C1001 - 实际数/决算数","","000"))</f>
        <v/>
      </c>
      <c r="AA41" s="182">
        <f>IF(_epmOfflineCondition_,"C1001",EPMOlapMemberO($AA$25,"[C_CATEGORY].[PARENTH1].[C1001]","C1001 - 实际数/决算数","","000"))</f>
        <v/>
      </c>
      <c r="AB41" s="182" t="n"/>
      <c r="AC41" s="182" t="n"/>
      <c r="AD41" s="182">
        <f>IF(_epmOfflineCondition_,"C1001",EPMOlapMemberO($AA$25,"[C_CATEGORY].[PARENTH1].[C1001]","C1001 - 实际数/决算数","","000"))</f>
        <v/>
      </c>
      <c r="AE41" s="182" t="n"/>
      <c r="AF41" s="182" t="n"/>
      <c r="AG41" s="182">
        <f>IF(_epmOfflineCondition_,"C1001",EPMOlapMemberO($AA$25,"[C_CATEGORY].[PARENTH1].[C1001]","C1001 - 实际数/决算数","","000"))</f>
        <v/>
      </c>
      <c r="AH41" s="182">
        <f>IF(_epmOfflineCondition_,"C1001",EPMOlapMemberO($AA$25,"[C_CATEGORY].[PARENTH1].[C1001]","C1001 - 实际数/决算数","","000"))</f>
        <v/>
      </c>
      <c r="AI41" s="182">
        <f>IF(_epmOfflineCondition_,"C1001",EPMOlapMemberO($AA$25,"[C_CATEGORY].[PARENTH1].[C1001]","C1001 - 实际数/决算数","","000"))</f>
        <v/>
      </c>
      <c r="AJ41" s="182">
        <f>IF(_epmOfflineCondition_,"C3003",EPMOlapMemberO(AJ27,"[C_CATEGORY].[PARENTH1].[C3003]","C3003 - 进度预算（原""预算数（分解版）"")","","000"))</f>
        <v/>
      </c>
      <c r="AK41" s="182" t="n"/>
      <c r="AL41" s="182" t="n"/>
      <c r="AM41" s="182">
        <f>IF(_epmOfflineCondition_,"C3003",EPMOlapMemberO(AM27,"[C_CATEGORY].[PARENTH1].[C3003]","C3003 - 进度预算（原""预算数（分解版）"")","","000"))</f>
        <v/>
      </c>
      <c r="AN41" s="182" t="n"/>
      <c r="AO41" s="182" t="n"/>
      <c r="AP41" s="182">
        <f>IF(_epmOfflineCondition_,"C3002",EPMOlapMemberO(AP27,"[C_CATEGORY].[PARENTH1].[C3002]","C3002 - 月度预算（原""预算数（终稿）"")","","000"))</f>
        <v/>
      </c>
      <c r="AQ41" s="182" t="n"/>
      <c r="AR41" s="182" t="n"/>
    </row>
    <row r="42" hidden="1" ht="13.5" customFormat="1" customHeight="1" s="716">
      <c r="A42" s="716" t="n"/>
      <c r="B42" s="716" t="n"/>
      <c r="C42" s="716" t="n"/>
      <c r="D42" s="716" t="n"/>
      <c r="E42" s="716" t="n"/>
      <c r="F42" s="716" t="n"/>
      <c r="G42" s="716" t="n"/>
      <c r="H42" s="716" t="n"/>
      <c r="I42" s="716" t="n"/>
      <c r="J42" s="716" t="n"/>
      <c r="K42" s="716" t="n"/>
      <c r="L42" s="716" t="n"/>
      <c r="M42" s="716" t="n"/>
      <c r="N42" s="716" t="n"/>
      <c r="O42" s="716" t="n"/>
      <c r="P42" s="716" t="n"/>
      <c r="Q42" s="716" t="n"/>
      <c r="R42" s="716" t="n"/>
      <c r="S42" s="462" t="n"/>
      <c r="T42" s="716" t="n"/>
      <c r="U42" s="716" t="n"/>
      <c r="V42" s="716" t="n"/>
      <c r="W42" s="716" t="n"/>
      <c r="X42" s="515" t="inlineStr">
        <is>
          <t>audittrail</t>
        </is>
      </c>
      <c r="Y42" s="182">
        <f>IF(_epmOfflineCondition_,"DALL",EPMOlapMemberO($AB$29,"[C_AUDITTRAIL].[PARENTH1].[DALL]","DALL - 合并后","","000"))</f>
        <v/>
      </c>
      <c r="Z42" s="182">
        <f>IF(_epmOfflineCondition_,"DALL",EPMOlapMemberO($AB$29,"[C_AUDITTRAIL].[PARENTH1].[DALL]","DALL - 合并后","","000"))</f>
        <v/>
      </c>
      <c r="AA42" s="182">
        <f>IF(_epmOfflineCondition_,"DALL",EPMOlapMemberO($AB$29,"[C_AUDITTRAIL].[PARENTH1].[DALL]","DALL - 合并后","","000"))</f>
        <v/>
      </c>
      <c r="AB42" s="679" t="n"/>
      <c r="AC42" s="679" t="n"/>
      <c r="AD42" s="182">
        <f>IF(_epmOfflineCondition_,"DALL",EPMOlapMemberO($AB$29,"[C_AUDITTRAIL].[PARENTH1].[DALL]","DALL - 合并后","","000"))</f>
        <v/>
      </c>
      <c r="AE42" s="182" t="n"/>
      <c r="AF42" s="182" t="n"/>
      <c r="AG42" s="182">
        <f>IF(_epmOfflineCondition_,"DALL",EPMOlapMemberO($AB$29,"[C_AUDITTRAIL].[PARENTH1].[DALL]","DALL - 合并后","","000"))</f>
        <v/>
      </c>
      <c r="AH42" s="182">
        <f>IF(_epmOfflineCondition_,"DALL",EPMOlapMemberO($AB$29,"[C_AUDITTRAIL].[PARENTH1].[DALL]","DALL - 合并后","","000"))</f>
        <v/>
      </c>
      <c r="AI42" s="182">
        <f>IF(_epmOfflineCondition_,"DALL",EPMOlapMemberO($AB$29,"[C_AUDITTRAIL].[PARENTH1].[DALL]","DALL - 合并后","","000"))</f>
        <v/>
      </c>
      <c r="AJ42" s="182">
        <f>IF(_epmOfflineCondition_,"DALL",EPMOlapMemberO(AJ31,"[C_AUDITTRAIL].[PARENTH1].[DALL]","DALL - 合并后","","000"))</f>
        <v/>
      </c>
      <c r="AK42" s="182" t="n"/>
      <c r="AL42" s="182" t="n"/>
      <c r="AM42" s="182">
        <f>IF(_epmOfflineCondition_,"DALL",EPMOlapMemberO(AM31,"[C_AUDITTRAIL].[PARENTH1].[DALL]","DALL - 合并后","","000"))</f>
        <v/>
      </c>
      <c r="AN42" s="182" t="n"/>
      <c r="AO42" s="182" t="n"/>
      <c r="AP42" s="182">
        <f>IF(_epmOfflineCondition_,"DALL",EPMOlapMemberO(AP31,"[C_AUDITTRAIL].[PARENTH1].[DALL]","DALL - 合并后","","000"))</f>
        <v/>
      </c>
      <c r="AQ42" s="182" t="n"/>
      <c r="AR42" s="182" t="n"/>
    </row>
    <row r="43" hidden="1" ht="13.5" customFormat="1" customHeight="1" s="716">
      <c r="A43" s="716" t="n"/>
      <c r="B43" s="716" t="n"/>
      <c r="C43" s="716" t="n"/>
      <c r="D43" s="716" t="n"/>
      <c r="E43" s="716" t="n"/>
      <c r="F43" s="716" t="n"/>
      <c r="G43" s="716" t="n"/>
      <c r="H43" s="716" t="n"/>
      <c r="I43" s="716" t="n"/>
      <c r="J43" s="716" t="n"/>
      <c r="K43" s="716" t="n"/>
      <c r="L43" s="716" t="n"/>
      <c r="M43" s="716" t="n"/>
      <c r="N43" s="716" t="n"/>
      <c r="O43" s="716" t="n"/>
      <c r="P43" s="716" t="n"/>
      <c r="Q43" s="716" t="n"/>
      <c r="R43" s="716" t="n"/>
      <c r="S43" s="462" t="n"/>
      <c r="T43" s="716" t="n"/>
      <c r="U43" s="716" t="n"/>
      <c r="V43" s="716" t="n"/>
      <c r="W43" s="716" t="n"/>
      <c r="X43" s="515" t="inlineStr">
        <is>
          <t>flow</t>
        </is>
      </c>
      <c r="Y43" s="182">
        <f>IF(_epmOfflineCondition_,"FMOV_OP",EPMOlapMemberO($AE$28,"[C_FLOW].[PARENTH4].[FMOV_OP]","FMOV_OP - 本期变动_经营","","000"))</f>
        <v/>
      </c>
      <c r="Z43" s="182">
        <f>IF(_epmOfflineCondition_,"FMOV_OP",EPMOlapMemberO($AE$28,"[C_FLOW].[PARENTH4].[FMOV_OP]","FMOV_OP - 本期变动_经营","","000"))</f>
        <v/>
      </c>
      <c r="AA43" s="182">
        <f>IF(_epmOfflineCondition_,"FMOV_OP",EPMOlapMemberO($AE$28,"[C_FLOW].[PARENTH4].[FMOV_OP]","FMOV_OP - 本期变动_经营","","000"))</f>
        <v/>
      </c>
      <c r="AB43" s="182" t="n"/>
      <c r="AC43" s="182" t="n"/>
      <c r="AD43" s="182">
        <f>IF(_epmOfflineCondition_,"FMOV_OP",EPMOlapMemberO($AE$28,"[C_FLOW].[PARENTH4].[FMOV_OP]","FMOV_OP - 本期变动_经营","","000"))</f>
        <v/>
      </c>
      <c r="AE43" s="182" t="n"/>
      <c r="AF43" s="182" t="n"/>
      <c r="AG43" s="182">
        <f>IF(_epmOfflineCondition_,"FMOV_OP",EPMOlapMemberO($AE$28,"[C_FLOW].[PARENTH4].[FMOV_OP]","FMOV_OP - 本期变动_经营","","000"))</f>
        <v/>
      </c>
      <c r="AH43" s="182">
        <f>IF(_epmOfflineCondition_,"FMOV_OP",EPMOlapMemberO($AE$28,"[C_FLOW].[PARENTH4].[FMOV_OP]","FMOV_OP - 本期变动_经营","","000"))</f>
        <v/>
      </c>
      <c r="AI43" s="182">
        <f>IF(_epmOfflineCondition_,"FMOV_OP",EPMOlapMemberO($AE$28,"[C_FLOW].[PARENTH4].[FMOV_OP]","FMOV_OP - 本期变动_经营","","000"))</f>
        <v/>
      </c>
      <c r="AJ43" s="182">
        <f>IF(_epmOfflineCondition_,"FMOV_OP",EPMOlapMemberO(AJ30,"[C_FLOW].[PARENTH4].[FMOV_OP]","FMOV_OP - 本期变动_经营","","000"))</f>
        <v/>
      </c>
      <c r="AK43" s="182" t="n"/>
      <c r="AL43" s="182" t="n"/>
      <c r="AM43" s="182">
        <f>IF(_epmOfflineCondition_,"FMOV",EPMOlapMemberO(AM30,"[C_FLOW].[PARENTH1].[FMOV]","FMOV - 本期变动","","000"))</f>
        <v/>
      </c>
      <c r="AN43" s="182" t="n"/>
      <c r="AO43" s="182" t="n"/>
      <c r="AP43" s="182">
        <f>IF(_epmOfflineCondition_,"FMOV",EPMOlapMemberO(AP30,"[C_FLOW].[PARENTH1].[FMOV]","FMOV - 本期变动","","000"))</f>
        <v/>
      </c>
      <c r="AQ43" s="182" t="n"/>
      <c r="AR43" s="182" t="n"/>
    </row>
    <row r="44" hidden="1" ht="13.5" customFormat="1" customHeight="1" s="716">
      <c r="A44" s="716" t="n"/>
      <c r="B44" s="716" t="n"/>
      <c r="C44" s="716" t="n"/>
      <c r="D44" s="716" t="n"/>
      <c r="E44" s="716" t="n"/>
      <c r="F44" s="716" t="n"/>
      <c r="G44" s="716" t="n"/>
      <c r="H44" s="716" t="n"/>
      <c r="I44" s="716" t="n"/>
      <c r="J44" s="716" t="n"/>
      <c r="K44" s="716" t="n"/>
      <c r="L44" s="716" t="n"/>
      <c r="M44" s="716" t="n"/>
      <c r="N44" s="716" t="n"/>
      <c r="O44" s="716" t="n"/>
      <c r="P44" s="716" t="n"/>
      <c r="Q44" s="716" t="n"/>
      <c r="R44" s="716" t="n"/>
      <c r="S44" s="462" t="n"/>
      <c r="T44" s="716" t="n"/>
      <c r="U44" s="716" t="n"/>
      <c r="V44" s="716" t="n"/>
      <c r="W44" s="716" t="n"/>
      <c r="X44" s="515" t="inlineStr">
        <is>
          <t>measures</t>
        </is>
      </c>
      <c r="Y44" s="182">
        <f>IF(_epmOfflineCondition_,"Periodic",EPMOlapMemberO($AB$27,"[MEASURES].[].[PERIODIC]","PERIODIC - Periodic","","000"))</f>
        <v/>
      </c>
      <c r="Z44" s="182">
        <f>IF(_epmOfflineCondition_,"YTD",EPMOlapMemberO($AA$27,"[MEASURES].[].[YTD]","YTD - Year To Date","","000"))</f>
        <v/>
      </c>
      <c r="AA44" s="182">
        <f>IF(_epmOfflineCondition_,"Periodic",EPMOlapMemberO($AB$27,"[MEASURES].[].[PERIODIC]","PERIODIC - Periodic","","000"))</f>
        <v/>
      </c>
      <c r="AB44" s="182" t="n"/>
      <c r="AC44" s="182" t="n"/>
      <c r="AD44" s="182">
        <f>IF(_epmOfflineCondition_,"Periodic",EPMOlapMemberO($AB$27,"[MEASURES].[].[PERIODIC]","PERIODIC - Periodic","","000"))</f>
        <v/>
      </c>
      <c r="AE44" s="182" t="n"/>
      <c r="AF44" s="182" t="n"/>
      <c r="AG44" s="182">
        <f>IF(_epmOfflineCondition_,"YTD",EPMOlapMemberO($Z$27,"[MEASURES].[].[YTD]","YTD - Year To Date","","000"))</f>
        <v/>
      </c>
      <c r="AH44" s="182">
        <f>IF(_epmOfflineCondition_,"YTD",EPMOlapMemberO($Z$27,"[MEASURES].[].[YTD]","YTD - Year To Date","","000"))</f>
        <v/>
      </c>
      <c r="AI44" s="182">
        <f>IF(_epmOfflineCondition_,"YTD",EPMOlapMemberO($Z$27,"[MEASURES].[].[YTD]","YTD - Year To Date","","000"))</f>
        <v/>
      </c>
      <c r="AJ44" s="182">
        <f>IF(_epmOfflineCondition_,"YTD",EPMOlapMemberO($Z$27,"[MEASURES].[].[YTD]","YTD - Year To Date","","000"))</f>
        <v/>
      </c>
      <c r="AK44" s="182" t="n"/>
      <c r="AL44" s="182" t="n"/>
      <c r="AM44" s="182">
        <f>IF(_epmOfflineCondition_,"YTD",EPMOlapMemberO($Z$27,"[MEASURES].[].[YTD]","YTD - Year To Date","","000"))</f>
        <v/>
      </c>
      <c r="AN44" s="182" t="n"/>
      <c r="AO44" s="182" t="n"/>
      <c r="AP44" s="182">
        <f>IF(_epmOfflineCondition_,"YTD",EPMOlapMemberO($Z$27,"[MEASURES].[].[YTD]","YTD - Year To Date","","000"))</f>
        <v/>
      </c>
      <c r="AQ44" s="182" t="n"/>
      <c r="AR44" s="182" t="n"/>
    </row>
    <row r="45" hidden="1" ht="13.5" customFormat="1" customHeight="1" s="716">
      <c r="A45" s="716" t="n"/>
      <c r="B45" s="716" t="n"/>
      <c r="C45" s="716" t="n"/>
      <c r="D45" s="716" t="n"/>
      <c r="E45" s="716" t="n"/>
      <c r="F45" s="716" t="n"/>
      <c r="G45" s="716" t="n"/>
      <c r="H45" s="716" t="n"/>
      <c r="I45" s="716" t="n"/>
      <c r="J45" s="716" t="n"/>
      <c r="K45" s="716" t="n"/>
      <c r="L45" s="716" t="n"/>
      <c r="M45" s="716" t="n"/>
      <c r="N45" s="716" t="n"/>
      <c r="O45" s="716" t="n"/>
      <c r="P45" s="716" t="n"/>
      <c r="Q45" s="716" t="n"/>
      <c r="R45" s="716" t="n"/>
      <c r="S45" s="462" t="n"/>
      <c r="T45" s="716" t="n"/>
      <c r="U45" s="716" t="n"/>
      <c r="V45" s="716" t="n"/>
      <c r="W45" s="716" t="n"/>
      <c r="X45" s="515" t="inlineStr">
        <is>
          <t>币种</t>
        </is>
      </c>
      <c r="Y45" s="182">
        <f>IF(_epmOfflineCondition_,"LC",EPMOlapMemberO($Z$37,"[C_RPTCURRENCY].[].[LC]","LC - 本位币","","000"))</f>
        <v/>
      </c>
      <c r="Z45" s="182">
        <f>IF(_epmOfflineCondition_,"LC",EPMOlapMemberO($Z$37,"[C_RPTCURRENCY].[].[LC]","LC - 本位币","","000"))</f>
        <v/>
      </c>
      <c r="AA45" s="182">
        <f>IF(_epmOfflineCondition_,"LC",EPMOlapMemberO($Z$37,"[C_RPTCURRENCY].[].[LC]","LC - 本位币","","000"))</f>
        <v/>
      </c>
      <c r="AB45" s="182" t="n"/>
      <c r="AC45" s="182" t="n"/>
      <c r="AD45" s="182">
        <f>IF(_epmOfflineCondition_,"LC",EPMOlapMemberO($Z$37,"[C_RPTCURRENCY].[].[LC]","LC - 本位币","","000"))</f>
        <v/>
      </c>
      <c r="AE45" s="182" t="n"/>
      <c r="AF45" s="182" t="n"/>
      <c r="AG45" s="182">
        <f>IF(_epmOfflineCondition_,"LC",EPMOlapMemberO($Z$37,"[C_RPTCURRENCY].[].[LC]","LC - 本位币","","000"))</f>
        <v/>
      </c>
      <c r="AH45" s="182">
        <f>IF(_epmOfflineCondition_,"LC",EPMOlapMemberO($Z$37,"[C_RPTCURRENCY].[].[LC]","LC - 本位币","","000"))</f>
        <v/>
      </c>
      <c r="AI45" s="182">
        <f>IF(_epmOfflineCondition_,"LC",EPMOlapMemberO($Z$37,"[C_RPTCURRENCY].[].[LC]","LC - 本位币","","000"))</f>
        <v/>
      </c>
      <c r="AJ45" s="182">
        <f>IF(_epmOfflineCondition_,"CNY",EPMOlapMemberO(AJ32,"[C_RPTCURRENCY].[].[CNY]","CNY - 人民币","","000"))</f>
        <v/>
      </c>
      <c r="AK45" s="182" t="n"/>
      <c r="AL45" s="182" t="n"/>
      <c r="AM45" s="182">
        <f>IF(_epmOfflineCondition_,"CNY",EPMOlapMemberO(AM32,"[C_RPTCURRENCY].[].[CNY]","CNY - 人民币","","000"))</f>
        <v/>
      </c>
      <c r="AN45" s="182" t="n"/>
      <c r="AO45" s="182" t="n"/>
      <c r="AP45" s="182">
        <f>IF(_epmOfflineCondition_,"CNY",EPMOlapMemberO(AP32,"[C_RPTCURRENCY].[].[CNY]","CNY - 人民币","","000"))</f>
        <v/>
      </c>
      <c r="AQ45" s="182" t="n"/>
      <c r="AR45" s="182" t="n"/>
    </row>
    <row r="46" ht="14.45" customFormat="1" customHeight="1" s="716">
      <c r="A46" s="716" t="n"/>
      <c r="B46" s="716" t="n"/>
      <c r="C46" s="716" t="n"/>
      <c r="D46" s="716" t="n"/>
      <c r="E46" s="716" t="n"/>
      <c r="F46" s="716" t="n"/>
      <c r="G46" s="716" t="n"/>
      <c r="H46" s="716" t="n"/>
      <c r="I46" s="716" t="n"/>
      <c r="J46" s="716" t="n"/>
      <c r="K46" s="716" t="n"/>
      <c r="L46" s="716" t="n"/>
      <c r="M46" s="716" t="n"/>
      <c r="N46" s="716" t="n"/>
      <c r="O46" s="716" t="n"/>
      <c r="P46" s="716" t="n"/>
      <c r="Q46" s="716" t="n"/>
      <c r="R46" s="716" t="n"/>
      <c r="S46" s="462">
        <f>IF(_epmOfflineCondition_,"财务费用-利息支出（父级）",EPMMemberDesc(U46))</f>
        <v/>
      </c>
      <c r="T46" s="716" t="n"/>
      <c r="U46" s="716" t="inlineStr">
        <is>
          <t>A66030200</t>
        </is>
      </c>
      <c r="V46" s="535">
        <f>IF(_epmOfflineCondition_,"A66030200",EPMOlapMemberO(U46,"[C_ACCOUNT].[PARENTH1].[A66030200]","A66030200 - 财务费用-利息支出（父级）","","000"))</f>
        <v/>
      </c>
      <c r="W46" s="462" t="n"/>
      <c r="X46" s="645" t="inlineStr">
        <is>
          <t>利息支出</t>
        </is>
      </c>
      <c r="Y46" s="1330" t="inlineStr"/>
      <c r="Z46" s="1330" t="inlineStr"/>
      <c r="AA46" s="1331" t="inlineStr"/>
      <c r="AB46" s="1330">
        <f>Y46-AA46</f>
        <v/>
      </c>
      <c r="AC46" s="1330">
        <f>IF(AA46=0,0,(Y46-AA46)/AA46*100)</f>
        <v/>
      </c>
      <c r="AD46" s="1330" t="n"/>
      <c r="AE46" s="1330">
        <f>Y46-AD46</f>
        <v/>
      </c>
      <c r="AF46" s="1330">
        <f>IF(AD46=0,0,(Y46-AD46)/AD46*100)</f>
        <v/>
      </c>
      <c r="AG46" s="1330" t="n"/>
      <c r="AH46" s="1330">
        <f>Z46-AG46</f>
        <v/>
      </c>
      <c r="AI46" s="1330">
        <f>IF(AG46=0,0,(Z46-AG46)/AG46*100)</f>
        <v/>
      </c>
      <c r="AJ46" s="1332" t="n"/>
      <c r="AK46" s="1332">
        <f>Y46-AJ46</f>
        <v/>
      </c>
      <c r="AL46" s="1332">
        <f>IFERROR(Y46/AJ46*100,0)</f>
        <v/>
      </c>
      <c r="AM46" s="1332" t="n"/>
      <c r="AN46" s="1332">
        <f>Z46-AM46</f>
        <v/>
      </c>
      <c r="AO46" s="1332">
        <f>IFERROR(Z46/AM46*100,0)</f>
        <v/>
      </c>
      <c r="AP46" s="1332" t="n"/>
      <c r="AQ46" s="1333">
        <f>Z46-AP46</f>
        <v/>
      </c>
      <c r="AR46" s="1333">
        <f>IFERROR(Z46/AP46*100,0)</f>
        <v/>
      </c>
    </row>
    <row r="47" ht="14.45" customFormat="1" customHeight="1" s="716">
      <c r="A47" s="716" t="n"/>
      <c r="B47" s="716" t="n"/>
      <c r="C47" s="716" t="n"/>
      <c r="D47" s="716" t="n"/>
      <c r="E47" s="716" t="n"/>
      <c r="F47" s="716" t="n"/>
      <c r="G47" s="716" t="n"/>
      <c r="H47" s="716" t="n"/>
      <c r="I47" s="716" t="n"/>
      <c r="J47" s="716" t="n"/>
      <c r="K47" s="716" t="n"/>
      <c r="L47" s="716" t="n"/>
      <c r="M47" s="716" t="n"/>
      <c r="N47" s="716" t="n"/>
      <c r="O47" s="716" t="n"/>
      <c r="P47" s="716" t="n"/>
      <c r="Q47" s="716" t="n"/>
      <c r="R47" s="716" t="n"/>
      <c r="S47" s="462">
        <f>IF(_epmOfflineCondition_,"财务费用-汇兑损益",EPMMemberDesc(U47))</f>
        <v/>
      </c>
      <c r="T47" s="716" t="n"/>
      <c r="U47" s="716" t="inlineStr">
        <is>
          <t>A66030300</t>
        </is>
      </c>
      <c r="V47" s="455">
        <f>IF(_epmOfflineCondition_,"A66030300",EPMOlapMemberO(U47,"[C_ACCOUNT].[PARENTH1].[A66030300]","A66030300 - 财务费用-汇兑损益","","000"))</f>
        <v/>
      </c>
      <c r="W47" s="462" t="n"/>
      <c r="X47" s="645" t="inlineStr">
        <is>
          <t>汇兑净损失（收益以“－”号填列）</t>
        </is>
      </c>
      <c r="Y47" s="1330" t="n"/>
      <c r="Z47" s="1330" t="n"/>
      <c r="AA47" s="1331" t="n"/>
      <c r="AB47" s="1330">
        <f>Y47-AA47</f>
        <v/>
      </c>
      <c r="AC47" s="1330">
        <f>IF(AA47=0,0,(Y47-AA47)/AA47*100)</f>
        <v/>
      </c>
      <c r="AD47" s="1330" t="n"/>
      <c r="AE47" s="1330">
        <f>Y47-AD47</f>
        <v/>
      </c>
      <c r="AF47" s="1330">
        <f>IF(AD47=0,0,(Y47-AD47)/AD47*100)</f>
        <v/>
      </c>
      <c r="AG47" s="1330" t="n"/>
      <c r="AH47" s="1330">
        <f>Z47-AG47</f>
        <v/>
      </c>
      <c r="AI47" s="1330">
        <f>IF(AG47=0,0,(Z47-AG47)/AG47*100)</f>
        <v/>
      </c>
      <c r="AJ47" s="1332" t="n"/>
      <c r="AK47" s="1332">
        <f>Y47-AJ47</f>
        <v/>
      </c>
      <c r="AL47" s="1332">
        <f>IFERROR(Y47/AJ47*100,0)</f>
        <v/>
      </c>
      <c r="AM47" s="1332" t="n"/>
      <c r="AN47" s="1332">
        <f>Z47-AM47</f>
        <v/>
      </c>
      <c r="AO47" s="1332">
        <f>IFERROR(Z47/AM47*100,0)</f>
        <v/>
      </c>
      <c r="AP47" s="1332" t="n"/>
      <c r="AQ47" s="1333">
        <f>Z47-AP47</f>
        <v/>
      </c>
      <c r="AR47" s="1333">
        <f>IFERROR(Z47/AP47*100,0)</f>
        <v/>
      </c>
    </row>
    <row r="48" ht="14.45" customFormat="1" customHeight="1" s="716">
      <c r="A48" s="716" t="n"/>
      <c r="B48" s="716" t="n"/>
      <c r="C48" s="716" t="n"/>
      <c r="D48" s="716" t="n"/>
      <c r="E48" s="716" t="n"/>
      <c r="F48" s="716" t="n"/>
      <c r="G48" s="716" t="n"/>
      <c r="H48" s="716" t="n"/>
      <c r="I48" s="716" t="n"/>
      <c r="J48" s="716" t="n"/>
      <c r="K48" s="716" t="n"/>
      <c r="L48" s="716" t="n"/>
      <c r="M48" s="716" t="n"/>
      <c r="N48" s="716" t="n"/>
      <c r="O48" s="716" t="n"/>
      <c r="P48" s="716" t="n"/>
      <c r="Q48" s="716" t="n"/>
      <c r="R48" s="716" t="n"/>
      <c r="S48" s="462">
        <f>IF(_epmOfflineCondition_,"财务费用-手续费",EPMMemberDesc(U48))</f>
        <v/>
      </c>
      <c r="T48" s="716" t="n"/>
      <c r="U48" s="716" t="inlineStr">
        <is>
          <t>A660304</t>
        </is>
      </c>
      <c r="V48" s="455">
        <f>IF(_epmOfflineCondition_,"A660304",EPMOlapMemberO(U48,"[C_ACCOUNT].[PARENTH1].[A660304]","A660304 - 财务费用-手续费","","000"))</f>
        <v/>
      </c>
      <c r="W48" s="462" t="n"/>
      <c r="X48" s="645" t="inlineStr">
        <is>
          <t>金融机构手续费</t>
        </is>
      </c>
      <c r="Y48" s="1330" t="inlineStr"/>
      <c r="Z48" s="1330" t="inlineStr"/>
      <c r="AA48" s="1331" t="inlineStr"/>
      <c r="AB48" s="1330">
        <f>Y48-AA48</f>
        <v/>
      </c>
      <c r="AC48" s="1330">
        <f>IF(AA48=0,0,(Y48-AA48)/AA48*100)</f>
        <v/>
      </c>
      <c r="AD48" s="1330" t="n"/>
      <c r="AE48" s="1330">
        <f>Y48-AD48</f>
        <v/>
      </c>
      <c r="AF48" s="1330">
        <f>IF(AD48=0,0,(Y48-AD48)/AD48*100)</f>
        <v/>
      </c>
      <c r="AG48" s="1330" t="n"/>
      <c r="AH48" s="1330">
        <f>Z48-AG48</f>
        <v/>
      </c>
      <c r="AI48" s="1330">
        <f>IF(AG48=0,0,(Z48-AG48)/AG48*100)</f>
        <v/>
      </c>
      <c r="AJ48" s="1332" t="n"/>
      <c r="AK48" s="1332">
        <f>Y48-AJ48</f>
        <v/>
      </c>
      <c r="AL48" s="1332">
        <f>IFERROR(Y48/AJ48*100,0)</f>
        <v/>
      </c>
      <c r="AM48" s="1332" t="n"/>
      <c r="AN48" s="1332">
        <f>Z48-AM48</f>
        <v/>
      </c>
      <c r="AO48" s="1332">
        <f>IFERROR(Z48/AM48*100,0)</f>
        <v/>
      </c>
      <c r="AP48" s="1332" t="n"/>
      <c r="AQ48" s="1333">
        <f>Z48-AP48</f>
        <v/>
      </c>
      <c r="AR48" s="1333">
        <f>IFERROR(Z48/AP48*100,0)</f>
        <v/>
      </c>
    </row>
    <row r="49" ht="14.45" customFormat="1" customHeight="1" s="716">
      <c r="A49" s="716" t="n"/>
      <c r="B49" s="716" t="n"/>
      <c r="C49" s="716" t="n"/>
      <c r="D49" s="716" t="n"/>
      <c r="E49" s="716" t="n"/>
      <c r="F49" s="716" t="n"/>
      <c r="G49" s="716" t="n"/>
      <c r="H49" s="716" t="n"/>
      <c r="I49" s="716" t="n"/>
      <c r="J49" s="716" t="n"/>
      <c r="K49" s="716" t="n"/>
      <c r="L49" s="716" t="n"/>
      <c r="M49" s="716" t="n"/>
      <c r="N49" s="716" t="n"/>
      <c r="O49" s="716" t="n"/>
      <c r="P49" s="716" t="n"/>
      <c r="Q49" s="716" t="n"/>
      <c r="R49" s="716" t="n"/>
      <c r="S49" s="462">
        <f>IF(_epmOfflineCondition_,"财务费用-未确认融资费用摊销",EPMMemberDesc(U49))</f>
        <v/>
      </c>
      <c r="T49" s="716" t="n"/>
      <c r="U49" s="716" t="inlineStr">
        <is>
          <t>A660305</t>
        </is>
      </c>
      <c r="V49" s="535">
        <f>IF(_epmOfflineCondition_,"A660305",EPMOlapMemberO(U49,"[C_ACCOUNT].[PARENTH1].[A660305]","A660305 - 财务费用-未确认融资费用摊销","","000"))</f>
        <v/>
      </c>
      <c r="W49" s="462" t="n"/>
      <c r="X49" s="645" t="inlineStr">
        <is>
          <t>未确认融资费用摊入</t>
        </is>
      </c>
      <c r="Y49" s="1330" t="n"/>
      <c r="Z49" s="1330" t="n"/>
      <c r="AA49" s="1330" t="n"/>
      <c r="AB49" s="1330">
        <f>Y49-AA49</f>
        <v/>
      </c>
      <c r="AC49" s="1330">
        <f>IF(AA49=0,0,(Y49-AA49)/AA49*100)</f>
        <v/>
      </c>
      <c r="AD49" s="1330" t="n"/>
      <c r="AE49" s="1330">
        <f>Y49-AD49</f>
        <v/>
      </c>
      <c r="AF49" s="1330">
        <f>IF(AD49=0,0,(Y49-AD49)/AD49*100)</f>
        <v/>
      </c>
      <c r="AG49" s="1330" t="n"/>
      <c r="AH49" s="1330">
        <f>Z49-AG49</f>
        <v/>
      </c>
      <c r="AI49" s="1330">
        <f>IF(AG49=0,0,(Z49-AG49)/AG49*100)</f>
        <v/>
      </c>
      <c r="AJ49" s="1332" t="n"/>
      <c r="AK49" s="1332">
        <f>Y49-AJ49</f>
        <v/>
      </c>
      <c r="AL49" s="1332">
        <f>IFERROR(Y49/AJ49*100,0)</f>
        <v/>
      </c>
      <c r="AM49" s="1332" t="n"/>
      <c r="AN49" s="1332">
        <f>Z49-AM49</f>
        <v/>
      </c>
      <c r="AO49" s="1332">
        <f>IFERROR(Z49/AM49*100,0)</f>
        <v/>
      </c>
      <c r="AP49" s="1332" t="n"/>
      <c r="AQ49" s="1333">
        <f>Z49-AP49</f>
        <v/>
      </c>
      <c r="AR49" s="1333">
        <f>IFERROR(Z49/AP49*100,0)</f>
        <v/>
      </c>
    </row>
    <row r="50" ht="14.45" customFormat="1" customHeight="1" s="716">
      <c r="A50" s="716" t="n"/>
      <c r="B50" s="716" t="n"/>
      <c r="C50" s="716" t="n"/>
      <c r="D50" s="716" t="n"/>
      <c r="E50" s="716" t="n"/>
      <c r="F50" s="716" t="n"/>
      <c r="G50" s="716" t="n"/>
      <c r="H50" s="716" t="n"/>
      <c r="I50" s="716" t="n"/>
      <c r="J50" s="716" t="n"/>
      <c r="K50" s="716" t="n"/>
      <c r="L50" s="716" t="n"/>
      <c r="M50" s="716" t="n"/>
      <c r="N50" s="716" t="n"/>
      <c r="O50" s="716" t="n"/>
      <c r="P50" s="716" t="n"/>
      <c r="Q50" s="716" t="n"/>
      <c r="R50" s="716" t="n"/>
      <c r="S50" s="462">
        <f>IF(_epmOfflineCondition_,"财务费用-其他",EPMMemberDesc(U50))</f>
        <v/>
      </c>
      <c r="T50" s="716" t="n"/>
      <c r="U50" s="716" t="inlineStr">
        <is>
          <t>A002020899</t>
        </is>
      </c>
      <c r="V50" s="455">
        <f>IF(_epmOfflineCondition_,"A002020899",EPMOlapMemberO(U50,"[C_ACCOUNT].[PARENTH1].[A002020899]","A002020899 - 财务费用-其他","","000"))</f>
        <v/>
      </c>
      <c r="W50" s="462" t="n"/>
      <c r="X50" s="645" t="inlineStr">
        <is>
          <t>其他</t>
        </is>
      </c>
      <c r="Y50" s="1330" t="n"/>
      <c r="Z50" s="1330" t="n"/>
      <c r="AA50" s="1331" t="n"/>
      <c r="AB50" s="1330">
        <f>Y50-AA50</f>
        <v/>
      </c>
      <c r="AC50" s="1330">
        <f>IF(AA50=0,0,(Y50-AA50)/AA50*100)</f>
        <v/>
      </c>
      <c r="AD50" s="1330" t="n"/>
      <c r="AE50" s="1330">
        <f>Y50-AD50</f>
        <v/>
      </c>
      <c r="AF50" s="1330">
        <f>IF(AD50=0,0,(Y50-AD50)/AD50*100)</f>
        <v/>
      </c>
      <c r="AG50" s="1330" t="n"/>
      <c r="AH50" s="1330">
        <f>Z50-AG50</f>
        <v/>
      </c>
      <c r="AI50" s="1330">
        <f>IF(AG50=0,0,(Z50-AG50)/AG50*100)</f>
        <v/>
      </c>
      <c r="AJ50" s="1332" t="n"/>
      <c r="AK50" s="1332">
        <f>Y50-AJ50</f>
        <v/>
      </c>
      <c r="AL50" s="1332">
        <f>IFERROR(Y50/AJ50*100,0)</f>
        <v/>
      </c>
      <c r="AM50" s="1332" t="n"/>
      <c r="AN50" s="1332">
        <f>Z50-AM50</f>
        <v/>
      </c>
      <c r="AO50" s="1332">
        <f>IFERROR(Z50/AM50*100,0)</f>
        <v/>
      </c>
      <c r="AP50" s="1332" t="n"/>
      <c r="AQ50" s="1333">
        <f>Z50-AP50</f>
        <v/>
      </c>
      <c r="AR50" s="1333">
        <f>IFERROR(Z50/AP50*100,0)</f>
        <v/>
      </c>
    </row>
    <row r="51" ht="14.45" customFormat="1" customHeight="1" s="716">
      <c r="A51" s="716" t="n"/>
      <c r="B51" s="716" t="n"/>
      <c r="C51" s="716" t="n"/>
      <c r="D51" s="716" t="n"/>
      <c r="E51" s="716" t="n"/>
      <c r="F51" s="716" t="n"/>
      <c r="G51" s="716" t="n"/>
      <c r="H51" s="716" t="n"/>
      <c r="I51" s="716" t="n"/>
      <c r="J51" s="716" t="n"/>
      <c r="K51" s="716" t="n"/>
      <c r="L51" s="716" t="n"/>
      <c r="M51" s="716" t="n"/>
      <c r="N51" s="716" t="n"/>
      <c r="O51" s="716" t="n"/>
      <c r="P51" s="716" t="n"/>
      <c r="Q51" s="716" t="n"/>
      <c r="R51" s="716" t="n"/>
      <c r="S51" s="462">
        <f>IF(_epmOfflineCondition_,"财务费用-利息收入",EPMMemberDesc(U51))</f>
        <v/>
      </c>
      <c r="T51" s="716" t="n"/>
      <c r="U51" s="716" t="inlineStr">
        <is>
          <t>A660301</t>
        </is>
      </c>
      <c r="V51" s="455">
        <f>IF(_epmOfflineCondition_,"A660301",EPMOlapMemberO(U51,"[C_ACCOUNT].[PARENTH1].[A660301]","A660301 - 财务费用-利息收入","","000"))</f>
        <v/>
      </c>
      <c r="W51" s="462" t="n"/>
      <c r="X51" s="645" t="inlineStr">
        <is>
          <t>减：利息收入（按正数填列）</t>
        </is>
      </c>
      <c r="Y51" s="1330" t="inlineStr"/>
      <c r="Z51" s="1330" t="inlineStr"/>
      <c r="AA51" s="1331" t="n"/>
      <c r="AB51" s="1330">
        <f>Y51-AA51</f>
        <v/>
      </c>
      <c r="AC51" s="1330">
        <f>IF(AA51=0,0,(Y51-AA51)/AA51*100)</f>
        <v/>
      </c>
      <c r="AD51" s="1330" t="n"/>
      <c r="AE51" s="1330">
        <f>Y51-AD51</f>
        <v/>
      </c>
      <c r="AF51" s="1330">
        <f>IF(AD51=0,0,(Y51-AD51)/AD51*100)</f>
        <v/>
      </c>
      <c r="AG51" s="1330" t="n"/>
      <c r="AH51" s="1330">
        <f>Z51-AG51</f>
        <v/>
      </c>
      <c r="AI51" s="1330">
        <f>IF(AG51=0,0,(Z51-AG51)/AG51*100)</f>
        <v/>
      </c>
      <c r="AJ51" s="1332" t="n"/>
      <c r="AK51" s="1332">
        <f>Y51-AJ51</f>
        <v/>
      </c>
      <c r="AL51" s="1332">
        <f>IFERROR(Y51/AJ51*100,0)</f>
        <v/>
      </c>
      <c r="AM51" s="1332" t="n"/>
      <c r="AN51" s="1332">
        <f>Z51-AM51</f>
        <v/>
      </c>
      <c r="AO51" s="1332">
        <f>IFERROR(Z51/AM51*100,0)</f>
        <v/>
      </c>
      <c r="AP51" s="1332" t="n"/>
      <c r="AQ51" s="1333">
        <f>Z51-AP51</f>
        <v/>
      </c>
      <c r="AR51" s="1333">
        <f>IFERROR(Z51/AP51*100,0)</f>
        <v/>
      </c>
    </row>
    <row r="52">
      <c r="A52" s="384" t="n"/>
      <c r="B52" s="384" t="n"/>
      <c r="C52" s="384" t="n"/>
      <c r="D52" s="384" t="n"/>
      <c r="E52" s="384" t="n"/>
      <c r="F52" s="384" t="n"/>
      <c r="G52" s="384" t="n"/>
      <c r="H52" s="384" t="n"/>
      <c r="I52" s="384" t="n"/>
      <c r="J52" s="384" t="n"/>
      <c r="K52" s="384" t="n"/>
      <c r="L52" s="384" t="n"/>
      <c r="M52" s="384" t="n"/>
      <c r="N52" s="384" t="n"/>
      <c r="O52" s="384" t="n"/>
      <c r="P52" s="384" t="n"/>
      <c r="Q52" s="384" t="n"/>
      <c r="R52" s="384" t="n"/>
      <c r="S52" s="462">
        <f>IF(_epmOfflineCondition_,"　　    财务费用",EPMMemberDesc(U52))</f>
        <v/>
      </c>
      <c r="T52" s="384" t="n"/>
      <c r="U52" s="716" t="inlineStr">
        <is>
          <t>A0020208</t>
        </is>
      </c>
      <c r="V52" s="462">
        <f>IF(_epmOfflineCondition_,"A0020208",EPMOlapMemberO(U52,"[C_ACCOUNT].[PARENTH1].[A0020208]","A0020208 - 　　    财务费用","","000"))</f>
        <v/>
      </c>
      <c r="W52" s="384" t="n"/>
      <c r="X52" s="463" t="inlineStr">
        <is>
          <t>合计</t>
        </is>
      </c>
      <c r="Y52" s="1332">
        <f>SUM(Y46:Y48)+Y49+Y50-Y51</f>
        <v/>
      </c>
      <c r="Z52" s="1332">
        <f>SUM(Z46:Z48)+Z49+Z50-Z51</f>
        <v/>
      </c>
      <c r="AA52" s="1332" t="inlineStr"/>
      <c r="AB52" s="1330">
        <f>Y52-AA52</f>
        <v/>
      </c>
      <c r="AC52" s="1330">
        <f>IF(AA52=0,0,(Y52-AA52)/AA52*100)</f>
        <v/>
      </c>
      <c r="AD52" s="1332" t="n"/>
      <c r="AE52" s="1330">
        <f>Y52-AD52</f>
        <v/>
      </c>
      <c r="AF52" s="1330">
        <f>IF(AD52=0,0,(Y52-AD52)/AD52*100)</f>
        <v/>
      </c>
      <c r="AG52" s="1332" t="n"/>
      <c r="AH52" s="1330">
        <f>Z52-AG52</f>
        <v/>
      </c>
      <c r="AI52" s="1330">
        <f>IF(AG52=0,0,(Z52-AG52)/AG52*100)</f>
        <v/>
      </c>
      <c r="AJ52" s="1332" t="n"/>
      <c r="AK52" s="1332">
        <f>Y52-AJ52</f>
        <v/>
      </c>
      <c r="AL52" s="1332">
        <f>IFERROR(Y52/AJ52*100,0)</f>
        <v/>
      </c>
      <c r="AM52" s="1332" t="n"/>
      <c r="AN52" s="1332">
        <f>Z52-AM52</f>
        <v/>
      </c>
      <c r="AO52" s="1332">
        <f>IFERROR(Z52/AM52*100,0)</f>
        <v/>
      </c>
      <c r="AP52" s="1332" t="n"/>
      <c r="AQ52" s="1333">
        <f>Z52-AP52</f>
        <v/>
      </c>
      <c r="AR52" s="1333">
        <f>IFERROR(Z52/AP52*100,0)</f>
        <v/>
      </c>
    </row>
    <row r="53">
      <c r="A53" s="384" t="n"/>
      <c r="B53" s="384" t="n"/>
      <c r="C53" s="384" t="n"/>
      <c r="D53" s="384" t="n"/>
      <c r="E53" s="384" t="n"/>
      <c r="F53" s="384" t="n"/>
      <c r="G53" s="384" t="n"/>
      <c r="H53" s="384" t="n"/>
      <c r="I53" s="384" t="n"/>
      <c r="J53" s="384" t="n"/>
      <c r="K53" s="384" t="n"/>
      <c r="L53" s="384" t="n"/>
      <c r="M53" s="384" t="n"/>
      <c r="N53" s="384" t="n"/>
      <c r="O53" s="384" t="n"/>
      <c r="P53" s="384" t="n"/>
      <c r="Q53" s="384" t="n"/>
      <c r="R53" s="384" t="n"/>
      <c r="S53" s="32" t="n"/>
      <c r="T53" s="384" t="n"/>
      <c r="U53" s="384" t="n"/>
      <c r="V53" s="385" t="n"/>
      <c r="W53" s="384" t="n"/>
      <c r="X53" s="38" t="n"/>
      <c r="Y53" s="1334" t="n"/>
      <c r="Z53" s="1334" t="n"/>
      <c r="AA53" s="384" t="n"/>
      <c r="AB53" s="384" t="n"/>
      <c r="AC53" s="384" t="n"/>
      <c r="AD53" s="384" t="n"/>
      <c r="AE53" s="384" t="n"/>
      <c r="AF53" s="384" t="n"/>
      <c r="AG53" s="384" t="n"/>
      <c r="AH53" s="384" t="n"/>
      <c r="AI53" s="384" t="n"/>
      <c r="AJ53" s="384" t="n"/>
      <c r="AK53" s="384" t="n"/>
      <c r="AL53" s="384" t="n"/>
      <c r="AM53" s="384" t="n"/>
      <c r="AN53" s="384" t="n"/>
      <c r="AO53" s="384" t="n"/>
      <c r="AP53" s="384" t="n"/>
      <c r="AQ53" s="384" t="n"/>
      <c r="AR53" s="384" t="n"/>
    </row>
    <row r="54">
      <c r="A54" s="384" t="n"/>
      <c r="B54" s="384" t="n"/>
      <c r="C54" s="384" t="n"/>
      <c r="D54" s="384" t="n"/>
      <c r="E54" s="384" t="n"/>
      <c r="F54" s="384" t="n"/>
      <c r="G54" s="384" t="n"/>
      <c r="H54" s="384" t="n"/>
      <c r="I54" s="384" t="n"/>
      <c r="J54" s="384" t="n"/>
      <c r="K54" s="384" t="n"/>
      <c r="L54" s="384" t="n"/>
      <c r="M54" s="384" t="n"/>
      <c r="N54" s="384" t="n"/>
      <c r="O54" s="384" t="n"/>
      <c r="P54" s="384" t="n"/>
      <c r="Q54" s="384" t="n"/>
      <c r="R54" s="384" t="n"/>
      <c r="S54" s="32" t="n"/>
      <c r="T54" s="384" t="n"/>
      <c r="U54" s="384" t="n"/>
      <c r="V54" s="383" t="n"/>
      <c r="W54" s="384" t="n"/>
      <c r="X54" s="38" t="n"/>
      <c r="Y54" s="384" t="n"/>
      <c r="Z54" s="384" t="n"/>
      <c r="AA54" s="384" t="n"/>
      <c r="AB54" s="384" t="n"/>
      <c r="AC54" s="384" t="n"/>
      <c r="AD54" s="384" t="n"/>
      <c r="AE54" s="384" t="n"/>
      <c r="AF54" s="384" t="n"/>
      <c r="AG54" s="384" t="n"/>
      <c r="AH54" s="384" t="n"/>
      <c r="AI54" s="384" t="n"/>
      <c r="AJ54" s="384" t="n"/>
      <c r="AK54" s="384" t="n"/>
      <c r="AL54" s="384" t="n"/>
      <c r="AM54" s="384" t="n"/>
      <c r="AN54" s="384" t="n"/>
      <c r="AO54" s="384" t="n"/>
      <c r="AP54" s="384" t="n"/>
      <c r="AQ54" s="384" t="n"/>
      <c r="AR54" s="384" t="n"/>
    </row>
    <row r="55">
      <c r="A55" s="384" t="n"/>
      <c r="B55" s="384" t="n"/>
      <c r="C55" s="384" t="n"/>
      <c r="D55" s="384" t="n"/>
      <c r="E55" s="384" t="n"/>
      <c r="F55" s="384" t="n"/>
      <c r="G55" s="384" t="n"/>
      <c r="H55" s="384" t="n"/>
      <c r="I55" s="384" t="n"/>
      <c r="J55" s="384" t="n"/>
      <c r="K55" s="384" t="n"/>
      <c r="L55" s="384" t="n"/>
      <c r="M55" s="384" t="n"/>
      <c r="N55" s="384" t="n"/>
      <c r="O55" s="384" t="n"/>
      <c r="P55" s="384" t="n"/>
      <c r="Q55" s="384" t="n"/>
      <c r="R55" s="384" t="n"/>
      <c r="S55" s="32" t="n"/>
      <c r="T55" s="384" t="n"/>
      <c r="U55" s="384" t="n"/>
      <c r="V55" s="383" t="n"/>
      <c r="W55" s="384" t="n"/>
      <c r="X55" s="38" t="n"/>
      <c r="Y55" s="384" t="n"/>
      <c r="Z55" s="384" t="n"/>
      <c r="AA55" s="384" t="n"/>
      <c r="AB55" s="384" t="n"/>
      <c r="AC55" s="384" t="n"/>
      <c r="AD55" s="384" t="n"/>
      <c r="AE55" s="384" t="n"/>
      <c r="AF55" s="384" t="n"/>
      <c r="AG55" s="384" t="n"/>
      <c r="AH55" s="384" t="n"/>
      <c r="AI55" s="384" t="n"/>
      <c r="AJ55" s="384" t="n"/>
      <c r="AK55" s="384" t="n"/>
      <c r="AL55" s="384" t="n"/>
      <c r="AM55" s="384" t="n"/>
      <c r="AN55" s="384" t="n"/>
      <c r="AO55" s="384" t="n"/>
      <c r="AP55" s="384" t="n"/>
      <c r="AQ55" s="384" t="n"/>
      <c r="AR55" s="384" t="n"/>
    </row>
    <row r="56">
      <c r="A56" s="384" t="n"/>
      <c r="B56" s="384" t="n"/>
      <c r="C56" s="384" t="n"/>
      <c r="D56" s="384" t="n"/>
      <c r="E56" s="384" t="n"/>
      <c r="F56" s="384" t="n"/>
      <c r="G56" s="384" t="n"/>
      <c r="H56" s="384" t="n"/>
      <c r="I56" s="384" t="n"/>
      <c r="J56" s="384" t="n"/>
      <c r="K56" s="384" t="n"/>
      <c r="L56" s="384" t="n"/>
      <c r="M56" s="384" t="n"/>
      <c r="N56" s="384" t="n"/>
      <c r="O56" s="384" t="n"/>
      <c r="P56" s="384" t="n"/>
      <c r="Q56" s="384" t="n"/>
      <c r="R56" s="384" t="n"/>
      <c r="S56" s="32" t="n"/>
      <c r="T56" s="384" t="n"/>
      <c r="U56" s="384" t="n"/>
      <c r="V56" s="383" t="n"/>
      <c r="W56" s="384" t="n"/>
      <c r="X56" s="38" t="n"/>
      <c r="Y56" s="384" t="n"/>
      <c r="Z56" s="384" t="n"/>
      <c r="AA56" s="384" t="n"/>
      <c r="AB56" s="384" t="n"/>
      <c r="AC56" s="384" t="n"/>
      <c r="AD56" s="384" t="n"/>
      <c r="AE56" s="384" t="n"/>
      <c r="AF56" s="384" t="n"/>
      <c r="AG56" s="384" t="n"/>
      <c r="AH56" s="384" t="n"/>
      <c r="AI56" s="384" t="n"/>
      <c r="AJ56" s="384" t="n"/>
      <c r="AK56" s="384" t="n"/>
      <c r="AL56" s="384" t="n"/>
      <c r="AM56" s="384" t="n"/>
      <c r="AN56" s="384" t="n"/>
      <c r="AO56" s="384" t="n"/>
      <c r="AP56" s="384" t="n"/>
      <c r="AQ56" s="384" t="n"/>
      <c r="AR56" s="384" t="n"/>
    </row>
  </sheetData>
  <sheetProtection selectLockedCells="0" selectUnlockedCells="0" algorithmName="SHA-512" sheet="1" objects="0" insertRows="1" insertHyperlinks="1" autoFilter="1" scenarios="1" formatColumns="1" deleteColumns="1" insertColumns="1" pivotTables="1" deleteRows="1" formatCells="1" saltValue="npb3OtkBrqYB307lIslXzg==" formatRows="1" sort="1" spinCount="100000" hashValue="r1AnM6fTQg7HAaQlZbaKx2iY1MgsyhLteLNeru+KqnRoXQFEiLCK5Tp86g7j3XPFd+94FzpvFHgLFmgQXY9zEg=="/>
  <mergeCells count="10">
    <mergeCell ref="H2:J2"/>
    <mergeCell ref="D16:E16"/>
    <mergeCell ref="Y38:Z38"/>
    <mergeCell ref="AA38:AC38"/>
    <mergeCell ref="AD38:AF38"/>
    <mergeCell ref="AG38:AI38"/>
    <mergeCell ref="AJ38:AL38"/>
    <mergeCell ref="AM38:AO38"/>
    <mergeCell ref="AP38:AR38"/>
    <mergeCell ref="X38:X39"/>
  </mergeCells>
  <dataValidations count="1">
    <dataValidation sqref="Z37" showErrorMessage="1" showInputMessage="1" allowBlank="1" type="list">
      <formula1>"LC,CNY"</formula1>
    </dataValidation>
  </dataValidations>
  <pageMargins left="0.7086614173228351" right="0.7086614173228351" top="0.748031496062992" bottom="0.748031496062992" header="0.31496062992126" footer="0.31496062992126"/>
  <pageSetup orientation="landscape" paperSize="9" scale="47"/>
  <drawing xmlns:r="http://schemas.openxmlformats.org/officeDocument/2006/relationships" r:id="rId1"/>
</worksheet>
</file>

<file path=xl/worksheets/sheet25.xml><?xml version="1.0" encoding="utf-8"?>
<worksheet xmlns="http://schemas.openxmlformats.org/spreadsheetml/2006/main">
  <sheetPr codeName="Sheet22">
    <outlinePr summaryBelow="1" summaryRight="1"/>
    <pageSetUpPr/>
  </sheetPr>
  <dimension ref="A1:AS69"/>
  <sheetViews>
    <sheetView showGridLines="0" topLeftCell="W34" zoomScale="85" zoomScaleNormal="85" workbookViewId="0">
      <pane xSplit="3" ySplit="11" topLeftCell="Z45" activePane="bottomRight" state="frozen"/>
      <selection activeCell="A1" sqref="A1"/>
      <selection pane="topRight" activeCell="A1" sqref="A1"/>
      <selection pane="bottomLeft" activeCell="A1" sqref="A1"/>
      <selection pane="bottomRight" activeCell="Z45" sqref="Z45"/>
    </sheetView>
  </sheetViews>
  <sheetFormatPr baseColWidth="8" defaultColWidth="9" defaultRowHeight="16.8"/>
  <cols>
    <col hidden="1" width="8" customWidth="1" style="1181" min="1" max="1"/>
    <col hidden="1" width="15.375" customWidth="1" style="1181" min="2" max="2"/>
    <col hidden="1" width="17.25" customWidth="1" style="1181" min="3" max="3"/>
    <col hidden="1" width="16.625" customWidth="1" style="1181" min="4" max="4"/>
    <col hidden="1" width="13.75" customWidth="1" style="1181" min="5" max="5"/>
    <col hidden="1" width="7.75" customWidth="1" style="1181" min="6" max="7"/>
    <col hidden="1" width="8.375" customWidth="1" style="1181" min="8" max="8"/>
    <col hidden="1" width="7.75" customWidth="1" style="1181" min="9" max="9"/>
    <col hidden="1" width="11.125" customWidth="1" style="1181" min="10" max="10"/>
    <col hidden="1" width="7.75" customWidth="1" style="1181" min="11" max="11"/>
    <col hidden="1" width="7.625" customWidth="1" style="1181" min="12" max="12"/>
    <col hidden="1" width="7.75" customWidth="1" style="1181" min="13" max="16"/>
    <col hidden="1" width="3" customWidth="1" style="1181" min="17" max="18"/>
    <col hidden="1" width="30.75" customWidth="1" style="32" min="19" max="19"/>
    <col hidden="1" width="2.375" customWidth="1" style="1181" min="20" max="20"/>
    <col hidden="1" width="19.75" customWidth="1" style="1181" min="21" max="22"/>
    <col width="1.625" customWidth="1" style="1181" min="23" max="23"/>
    <col width="26.625" customWidth="1" style="38" min="24" max="24"/>
    <col width="5.625" customWidth="1" style="38" min="25" max="25"/>
    <col width="23.625" customWidth="1" style="1181" min="26" max="28"/>
    <col width="19.25" customWidth="1" style="1181" min="29" max="29"/>
    <col width="16.625" customWidth="1" style="1181" min="30" max="30"/>
    <col width="23.625" customWidth="1" style="1181" min="31" max="32"/>
    <col width="10.625" customWidth="1" style="1181" min="33" max="33"/>
    <col width="23.625" customWidth="1" style="1181" min="34" max="35"/>
    <col width="10.625" customWidth="1" style="1181" min="36" max="36"/>
    <col width="23.625" customWidth="1" style="1181" min="37" max="38"/>
    <col width="10.625" customWidth="1" style="1181" min="39" max="39"/>
    <col width="23.625" customWidth="1" style="1181" min="40" max="41"/>
    <col width="10.625" customWidth="1" style="1181" min="42" max="42"/>
    <col width="23.625" customWidth="1" style="1181" min="43" max="44"/>
    <col width="13.75" customWidth="1" style="1181" min="45" max="45"/>
    <col width="16.75" customWidth="1" style="1181" min="46" max="47"/>
    <col width="17.375" customWidth="1" style="1181" min="48" max="49"/>
    <col width="16.75" customWidth="1" style="1181" min="50" max="52"/>
    <col width="17.375" customWidth="1" style="1181" min="53" max="54"/>
    <col width="16.75" customWidth="1" style="1181" min="55" max="57"/>
    <col width="17.375" customWidth="1" style="1181" min="58" max="59"/>
    <col width="16.75" customWidth="1" style="1181" min="60" max="60"/>
  </cols>
  <sheetData>
    <row r="1" hidden="1" customFormat="1" s="13">
      <c r="A1" s="172" t="inlineStr">
        <is>
          <t>维度清单</t>
        </is>
      </c>
      <c r="B1" s="462" t="n"/>
      <c r="C1" s="173" t="n"/>
      <c r="D1" s="173" t="n"/>
      <c r="E1" s="716" t="n"/>
      <c r="F1" s="13" t="n"/>
      <c r="G1" s="13" t="n"/>
      <c r="H1" s="13" t="n"/>
      <c r="I1" s="13" t="n"/>
      <c r="J1" s="13" t="n"/>
      <c r="K1" s="13" t="n"/>
      <c r="L1" s="13" t="n"/>
      <c r="M1" s="13" t="n"/>
      <c r="N1" s="13" t="n"/>
      <c r="O1" s="13" t="n"/>
      <c r="P1" s="13" t="n"/>
      <c r="Q1" s="13" t="n"/>
      <c r="R1" s="13" t="n"/>
      <c r="S1" s="1103" t="n"/>
      <c r="T1" s="13" t="n"/>
      <c r="U1" s="13" t="n"/>
      <c r="V1" s="13" t="n"/>
      <c r="W1" s="13" t="n"/>
      <c r="X1" s="171" t="n"/>
      <c r="Y1" s="171" t="n"/>
      <c r="Z1" s="13" t="n"/>
      <c r="AA1" s="13" t="n"/>
      <c r="AB1" s="13" t="n"/>
      <c r="AC1" s="13" t="n"/>
      <c r="AD1" s="13" t="n"/>
      <c r="AE1" s="13" t="n"/>
      <c r="AF1" s="13" t="n"/>
      <c r="AG1" s="13" t="n"/>
      <c r="AH1" s="13" t="n"/>
      <c r="AI1" s="13" t="n"/>
      <c r="AJ1" s="13" t="n"/>
      <c r="AK1" s="13" t="n"/>
      <c r="AL1" s="13" t="n"/>
      <c r="AM1" s="13" t="n"/>
      <c r="AN1" s="13" t="n"/>
      <c r="AO1" s="13" t="n"/>
      <c r="AP1" s="220" t="n"/>
      <c r="AQ1" s="13" t="n"/>
      <c r="AR1" s="13" t="n"/>
      <c r="AS1" s="13" t="n"/>
    </row>
    <row r="2" hidden="1" customFormat="1" s="13">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103" t="n"/>
      <c r="T2" s="13" t="n"/>
      <c r="U2" s="13" t="n"/>
      <c r="V2" s="13" t="n"/>
      <c r="W2" s="13" t="n"/>
      <c r="X2" s="171" t="n"/>
      <c r="Y2" s="171" t="n"/>
      <c r="Z2" s="13" t="n"/>
      <c r="AA2" s="13" t="n"/>
      <c r="AB2" s="13" t="n"/>
      <c r="AC2" s="13" t="n"/>
      <c r="AD2" s="13" t="n"/>
      <c r="AE2" s="13" t="n"/>
      <c r="AF2" s="13" t="n"/>
      <c r="AG2" s="13" t="n"/>
      <c r="AH2" s="13" t="n"/>
      <c r="AI2" s="13" t="n"/>
      <c r="AJ2" s="13" t="n"/>
      <c r="AK2" s="13" t="n"/>
      <c r="AL2" s="13" t="n"/>
      <c r="AM2" s="13" t="n"/>
      <c r="AN2" s="13" t="n"/>
      <c r="AO2" s="13" t="n"/>
      <c r="AP2" s="220" t="n"/>
      <c r="AQ2" s="13" t="n"/>
      <c r="AR2" s="13" t="n"/>
      <c r="AS2" s="13" t="n"/>
    </row>
    <row r="3" hidden="1" customFormat="1" s="13">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103" t="n"/>
      <c r="T3" s="13" t="n"/>
      <c r="U3" s="13" t="n"/>
      <c r="V3" s="13" t="n"/>
      <c r="W3" s="13" t="n"/>
      <c r="X3" s="171" t="n"/>
      <c r="Y3" s="171" t="n"/>
      <c r="Z3" s="13" t="n"/>
      <c r="AA3" s="13" t="n"/>
      <c r="AB3" s="13" t="n"/>
      <c r="AC3" s="13" t="n"/>
      <c r="AD3" s="13" t="n"/>
      <c r="AE3" s="13" t="n"/>
      <c r="AF3" s="13" t="n"/>
      <c r="AG3" s="13" t="n"/>
      <c r="AH3" s="13" t="n"/>
      <c r="AI3" s="13" t="n"/>
      <c r="AJ3" s="13" t="n"/>
      <c r="AK3" s="13" t="n"/>
      <c r="AL3" s="13" t="n"/>
      <c r="AM3" s="13" t="n"/>
      <c r="AN3" s="13" t="n"/>
      <c r="AO3" s="13" t="n"/>
      <c r="AP3" s="220" t="n"/>
      <c r="AQ3" s="13" t="n"/>
      <c r="AR3" s="13" t="n"/>
      <c r="AS3" s="13" t="n"/>
    </row>
    <row r="4" hidden="1" customFormat="1" s="13">
      <c r="A4" s="175" t="inlineStr">
        <is>
          <t>C</t>
        </is>
      </c>
      <c r="B4" s="176">
        <f>IF(_epmOfflineCondition_,"C_CATEGORY",EPMDimensionType(,A4))</f>
        <v/>
      </c>
      <c r="C4" s="176">
        <f>IF(_epmOfflineCondition_,"C1001",IF(B4="","",EPMContextMember(,B4)))</f>
        <v/>
      </c>
      <c r="D4" s="176">
        <f>IF(_epmOfflineCondition_,"实际数/决算数",EPMMemberDesc(C4))</f>
        <v/>
      </c>
      <c r="E4" s="176" t="n"/>
      <c r="F4" s="13" t="n"/>
      <c r="G4" s="13" t="n"/>
      <c r="H4" s="184" t="inlineStr">
        <is>
          <t>预算年</t>
        </is>
      </c>
      <c r="I4" s="184">
        <f>"V_"&amp;$I$3</f>
        <v/>
      </c>
      <c r="J4" s="184">
        <f>$I$3&amp;".TOTAL"</f>
        <v/>
      </c>
      <c r="K4" s="13" t="n"/>
      <c r="L4" s="13" t="n"/>
      <c r="M4" s="13" t="n"/>
      <c r="N4" s="13" t="n"/>
      <c r="O4" s="13" t="n"/>
      <c r="P4" s="13" t="n"/>
      <c r="Q4" s="13" t="n"/>
      <c r="R4" s="13" t="n"/>
      <c r="S4" s="1103" t="n"/>
      <c r="T4" s="13" t="n"/>
      <c r="U4" s="13" t="n"/>
      <c r="V4" s="13" t="n"/>
      <c r="W4" s="13" t="n"/>
      <c r="X4" s="171" t="n"/>
      <c r="Y4" s="171" t="n"/>
      <c r="Z4" s="13" t="n"/>
      <c r="AA4" s="13" t="n"/>
      <c r="AB4" s="13" t="n"/>
      <c r="AC4" s="13" t="n"/>
      <c r="AD4" s="13" t="n"/>
      <c r="AE4" s="13" t="n"/>
      <c r="AF4" s="13" t="n"/>
      <c r="AG4" s="13" t="n"/>
      <c r="AH4" s="13" t="n"/>
      <c r="AI4" s="13" t="n"/>
      <c r="AJ4" s="13" t="n"/>
      <c r="AK4" s="13" t="n"/>
      <c r="AL4" s="13" t="n"/>
      <c r="AM4" s="13" t="n"/>
      <c r="AN4" s="13" t="n"/>
      <c r="AO4" s="13" t="n"/>
      <c r="AP4" s="220" t="n"/>
      <c r="AQ4" s="13" t="n"/>
      <c r="AR4" s="13" t="n"/>
      <c r="AS4" s="13" t="n"/>
    </row>
    <row r="5" hidden="1" customFormat="1" s="13">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13" t="n"/>
      <c r="V5" s="13" t="n"/>
      <c r="W5" s="13" t="n"/>
      <c r="X5" s="171" t="n"/>
      <c r="Y5" s="171" t="n"/>
      <c r="Z5" s="13" t="n"/>
      <c r="AA5" s="13" t="n"/>
      <c r="AB5" s="13" t="n"/>
      <c r="AC5" s="13" t="n"/>
      <c r="AD5" s="13" t="n"/>
      <c r="AE5" s="13" t="n"/>
      <c r="AF5" s="13" t="n"/>
      <c r="AG5" s="13" t="n"/>
      <c r="AH5" s="13" t="n"/>
      <c r="AI5" s="13" t="n"/>
      <c r="AJ5" s="13" t="n"/>
      <c r="AK5" s="13" t="n"/>
      <c r="AL5" s="13" t="n"/>
      <c r="AM5" s="13" t="n"/>
      <c r="AN5" s="13" t="n"/>
      <c r="AO5" s="13" t="n"/>
      <c r="AP5" s="220" t="n"/>
      <c r="AQ5" s="13" t="n"/>
      <c r="AR5" s="13" t="n"/>
      <c r="AS5" s="13" t="n"/>
    </row>
    <row r="6" hidden="1" customFormat="1" s="13">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103" t="n"/>
      <c r="T6" s="13" t="n"/>
      <c r="U6" s="13" t="n"/>
      <c r="V6" s="13" t="n"/>
      <c r="W6" s="13" t="n"/>
      <c r="X6" s="171" t="n"/>
      <c r="Y6" s="171" t="n"/>
      <c r="Z6" s="13" t="n"/>
      <c r="AA6" s="13" t="n"/>
      <c r="AB6" s="13" t="n"/>
      <c r="AC6" s="13" t="n"/>
      <c r="AD6" s="13" t="n"/>
      <c r="AE6" s="13" t="n"/>
      <c r="AF6" s="13" t="n"/>
      <c r="AG6" s="13" t="n"/>
      <c r="AH6" s="13" t="n"/>
      <c r="AI6" s="13" t="n"/>
      <c r="AJ6" s="13" t="n"/>
      <c r="AK6" s="13" t="n"/>
      <c r="AL6" s="13" t="n"/>
      <c r="AM6" s="13" t="n"/>
      <c r="AN6" s="13" t="n"/>
      <c r="AO6" s="13" t="n"/>
      <c r="AP6" s="220" t="n"/>
      <c r="AQ6" s="13" t="n"/>
      <c r="AR6" s="13" t="n"/>
      <c r="AS6" s="13" t="n"/>
    </row>
    <row r="7" hidden="1" customFormat="1" s="13">
      <c r="A7" s="175" t="inlineStr">
        <is>
          <t>R</t>
        </is>
      </c>
      <c r="B7" s="176">
        <f>IF(_epmOfflineCondition_,"C_RPTCURRENCY",EPMDimensionType(,A7))</f>
        <v/>
      </c>
      <c r="C7" s="176">
        <f>IF(_epmOfflineCondition_,"LC",IF(B7="","",EPMContextMember(,B7)))</f>
        <v/>
      </c>
      <c r="D7" s="176">
        <f>IF(_epmOfflineCondition_,"本位币",EPMMemberDesc(C7))</f>
        <v/>
      </c>
      <c r="E7" s="176" t="n"/>
      <c r="F7" s="13" t="n"/>
      <c r="G7" s="13" t="n"/>
      <c r="H7" s="13" t="n"/>
      <c r="I7" s="13" t="n"/>
      <c r="J7" s="13" t="n"/>
      <c r="K7" s="13" t="n"/>
      <c r="L7" s="13" t="n"/>
      <c r="M7" s="13" t="n"/>
      <c r="N7" s="13" t="n"/>
      <c r="O7" s="13" t="n"/>
      <c r="P7" s="13" t="n"/>
      <c r="Q7" s="13" t="n"/>
      <c r="R7" s="13" t="n"/>
      <c r="S7" s="1103" t="n"/>
      <c r="T7" s="13" t="n"/>
      <c r="U7" s="13" t="n"/>
      <c r="V7" s="13" t="n"/>
      <c r="W7" s="13" t="n"/>
      <c r="X7" s="171" t="n"/>
      <c r="Y7" s="171" t="n"/>
      <c r="Z7" s="13" t="n"/>
      <c r="AA7" s="13" t="n"/>
      <c r="AB7" s="13" t="n"/>
      <c r="AC7" s="13" t="n"/>
      <c r="AD7" s="13" t="n"/>
      <c r="AE7" s="13" t="n"/>
      <c r="AF7" s="13" t="n"/>
      <c r="AG7" s="13" t="n"/>
      <c r="AH7" s="13" t="n"/>
      <c r="AI7" s="13" t="n"/>
      <c r="AJ7" s="13" t="n"/>
      <c r="AK7" s="13" t="n"/>
      <c r="AL7" s="13" t="n"/>
      <c r="AM7" s="13" t="n"/>
      <c r="AN7" s="13" t="n"/>
      <c r="AO7" s="13" t="n"/>
      <c r="AP7" s="220" t="n"/>
      <c r="AQ7" s="13" t="n"/>
      <c r="AR7" s="13" t="n"/>
      <c r="AS7" s="13" t="n"/>
    </row>
    <row r="8" hidden="1" customFormat="1" s="13">
      <c r="A8" s="175" t="inlineStr">
        <is>
          <t>D</t>
        </is>
      </c>
      <c r="B8" s="176">
        <f>IF(_epmOfflineCondition_,"C_AUDITTRAIL",EPMDimensionType(,A8))</f>
        <v/>
      </c>
      <c r="C8" s="176">
        <f>IF(_epmOfflineCondition_,"DALL",IF(B8="","",EPMContextMember(,B8)))</f>
        <v/>
      </c>
      <c r="D8" s="176">
        <f>IF(_epmOfflineCondition_,"合并后",EPMMemberDesc(C8))</f>
        <v/>
      </c>
      <c r="E8" s="176" t="n"/>
      <c r="F8" s="13" t="n"/>
      <c r="G8" s="13" t="n"/>
      <c r="H8" s="184" t="inlineStr">
        <is>
          <t>本月</t>
        </is>
      </c>
      <c r="I8" s="184">
        <f>IF(_epmOfflineCondition_,"03",RIGHT("0"&amp;EPMMemberProperty(,EPMContextMember(,"C_TIME"),"MONTHNUM"),2))</f>
        <v/>
      </c>
      <c r="J8" s="13">
        <f>I3&amp;".12"</f>
        <v/>
      </c>
      <c r="K8" s="13" t="n"/>
      <c r="L8" s="13" t="n"/>
      <c r="M8" s="13" t="n"/>
      <c r="N8" s="13" t="n"/>
      <c r="O8" s="13" t="n"/>
      <c r="P8" s="13" t="n"/>
      <c r="Q8" s="13" t="n"/>
      <c r="R8" s="13" t="n"/>
      <c r="S8" s="1103" t="n"/>
      <c r="T8" s="13" t="n"/>
      <c r="U8" s="13" t="n"/>
      <c r="V8" s="13" t="n"/>
      <c r="W8" s="13" t="n"/>
      <c r="X8" s="171" t="n"/>
      <c r="Y8" s="171" t="n"/>
      <c r="Z8" s="13" t="n"/>
      <c r="AA8" s="13" t="n"/>
      <c r="AB8" s="13" t="n"/>
      <c r="AC8" s="13" t="n"/>
      <c r="AD8" s="13" t="n"/>
      <c r="AE8" s="13" t="n"/>
      <c r="AF8" s="13" t="n"/>
      <c r="AG8" s="13" t="n"/>
      <c r="AH8" s="13" t="n"/>
      <c r="AI8" s="13" t="n"/>
      <c r="AJ8" s="13" t="n"/>
      <c r="AK8" s="13" t="n"/>
      <c r="AL8" s="13" t="n"/>
      <c r="AM8" s="13" t="n"/>
      <c r="AN8" s="13" t="n"/>
      <c r="AO8" s="13" t="n"/>
      <c r="AP8" s="220" t="n"/>
      <c r="AQ8" s="13" t="n"/>
      <c r="AR8" s="13" t="n"/>
      <c r="AS8" s="13" t="n"/>
    </row>
    <row r="9" hidden="1" customFormat="1" s="13">
      <c r="A9" s="175" t="inlineStr">
        <is>
          <t>S</t>
        </is>
      </c>
      <c r="B9" s="176">
        <f>IF(_epmOfflineCondition_,"C_FLOW",EPMDimensionType(,A9))</f>
        <v/>
      </c>
      <c r="C9" s="176">
        <f>IF(_epmOfflineCondition_,"F20",IF(B9="","",EPMContextMember(,B9)))</f>
        <v/>
      </c>
      <c r="D9" s="176">
        <f>IF(_epmOfflineCondition_,"本期增加",EPMMemberDesc(C9))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13" t="n"/>
      <c r="V9" s="13" t="n"/>
      <c r="W9" s="13" t="n"/>
      <c r="X9" s="171" t="n"/>
      <c r="Y9" s="171" t="n"/>
      <c r="Z9" s="13" t="n"/>
      <c r="AA9" s="13" t="n"/>
      <c r="AB9" s="13" t="n"/>
      <c r="AC9" s="13" t="n"/>
      <c r="AD9" s="13" t="n"/>
      <c r="AE9" s="13" t="n"/>
      <c r="AF9" s="13" t="n"/>
      <c r="AG9" s="13" t="n"/>
      <c r="AH9" s="13" t="n"/>
      <c r="AI9" s="13" t="n"/>
      <c r="AJ9" s="13" t="n"/>
      <c r="AK9" s="13" t="n"/>
      <c r="AL9" s="13" t="n"/>
      <c r="AM9" s="13" t="n"/>
      <c r="AN9" s="13" t="n"/>
      <c r="AO9" s="13" t="n"/>
      <c r="AP9" s="220" t="n"/>
      <c r="AQ9" s="13" t="n"/>
      <c r="AR9" s="13" t="n"/>
      <c r="AS9" s="13" t="n"/>
    </row>
    <row r="10" hidden="1" customFormat="1" s="13">
      <c r="A10" s="175" t="inlineStr">
        <is>
          <t>I</t>
        </is>
      </c>
      <c r="B10" s="176">
        <f>IF(_epmOfflineCondition_,"C_INTERCO",EPMDimensionType(,A10))</f>
        <v/>
      </c>
      <c r="C10" s="176">
        <f>IF(_epmOfflineCondition_,"I_ALL",IF(B10="","",EPMContextMember(,B10)))</f>
        <v/>
      </c>
      <c r="D10" s="176">
        <f>IF(_epmOfflineCondition_,"全部贸易伙伴",EPMMemberDesc(C10))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13" t="n"/>
      <c r="V10" s="13" t="n"/>
      <c r="W10" s="13" t="n"/>
      <c r="X10" s="171" t="n"/>
      <c r="Y10" s="171" t="n"/>
      <c r="Z10" s="13" t="n"/>
      <c r="AA10" s="13" t="n"/>
      <c r="AB10" s="13" t="n"/>
      <c r="AC10" s="13" t="n"/>
      <c r="AD10" s="13" t="n"/>
      <c r="AE10" s="13" t="n"/>
      <c r="AF10" s="13" t="n"/>
      <c r="AG10" s="13" t="n"/>
      <c r="AH10" s="13" t="n"/>
      <c r="AI10" s="13" t="n"/>
      <c r="AJ10" s="13" t="n"/>
      <c r="AK10" s="13" t="n"/>
      <c r="AL10" s="13" t="n"/>
      <c r="AM10" s="13" t="n"/>
      <c r="AN10" s="13" t="n"/>
      <c r="AO10" s="13" t="n"/>
      <c r="AP10" s="220" t="n"/>
      <c r="AQ10" s="13" t="n"/>
      <c r="AR10" s="13" t="n"/>
      <c r="AS10" s="13" t="n"/>
    </row>
    <row r="11" hidden="1" customFormat="1" s="13">
      <c r="A11" s="175" t="inlineStr">
        <is>
          <t>G</t>
        </is>
      </c>
      <c r="B11" s="176">
        <f>IF(_epmOfflineCondition_,"C_SCOPE",EPMDimensionType(,A11))</f>
        <v/>
      </c>
      <c r="C11" s="176">
        <f>IF(_epmOfflineCondition_,"G_DUMMY",IF(B11="","",EPMContextMember(,B11)))</f>
        <v/>
      </c>
      <c r="D11" s="176">
        <f>IF(_epmOfflineCondition_,"合并范围无关",EPMMemberDesc(C11))</f>
        <v/>
      </c>
      <c r="E11" s="27">
        <f>IF(OR(RIGHT(C11,1)="P",RIGHT(C11,1)="S"),LEFT(C11,LEN(C11)-1),C11)</f>
        <v/>
      </c>
      <c r="F11" s="185" t="inlineStr">
        <is>
          <t>判断属性</t>
        </is>
      </c>
      <c r="G11" s="13" t="n"/>
      <c r="H11" s="184" t="inlineStr">
        <is>
          <t xml:space="preserve">本年月 </t>
        </is>
      </c>
      <c r="I11" s="184">
        <f>I3&amp;"."&amp;I8</f>
        <v/>
      </c>
      <c r="J11" s="13" t="n"/>
      <c r="K11" s="13" t="n"/>
      <c r="L11" s="13" t="n"/>
      <c r="M11" s="13" t="n"/>
      <c r="N11" s="13" t="n"/>
      <c r="O11" s="13" t="n"/>
      <c r="P11" s="13" t="n"/>
      <c r="Q11" s="13" t="n"/>
      <c r="R11" s="13" t="n"/>
      <c r="S11" s="1103" t="n"/>
      <c r="T11" s="13" t="n"/>
      <c r="U11" s="13" t="n"/>
      <c r="V11" s="13" t="n"/>
      <c r="W11" s="13" t="n"/>
      <c r="X11" s="171" t="n"/>
      <c r="Y11" s="171" t="n"/>
      <c r="Z11" s="13" t="n"/>
      <c r="AA11" s="13" t="n"/>
      <c r="AB11" s="13" t="n"/>
      <c r="AC11" s="13" t="n"/>
      <c r="AD11" s="13" t="n"/>
      <c r="AE11" s="13" t="n"/>
      <c r="AF11" s="13" t="n"/>
      <c r="AG11" s="13" t="n"/>
      <c r="AH11" s="13" t="n"/>
      <c r="AI11" s="13" t="n"/>
      <c r="AJ11" s="13" t="n"/>
      <c r="AK11" s="13" t="n"/>
      <c r="AL11" s="13" t="n"/>
      <c r="AM11" s="13" t="n"/>
      <c r="AN11" s="13" t="n"/>
      <c r="AO11" s="13" t="n"/>
      <c r="AP11" s="220" t="n"/>
      <c r="AQ11" s="13" t="n"/>
      <c r="AR11" s="13" t="n"/>
      <c r="AS11" s="13" t="n"/>
    </row>
    <row r="12" hidden="1" customFormat="1" s="13">
      <c r="A12" s="175" t="inlineStr">
        <is>
          <t>U8</t>
        </is>
      </c>
      <c r="B12" s="176">
        <f>IF(_epmOfflineCondition_,"C_PROJECT",EPMDimensionType(,A12))</f>
        <v/>
      </c>
      <c r="C12" s="176">
        <f>IF(_epmOfflineCondition_,"ZP_ALL",IF(B12="","",EPMContextMember(,B12)))</f>
        <v/>
      </c>
      <c r="D12" s="176">
        <f>IF(_epmOfflineCondition_,"项目合计",EPMMemberDesc(C12))</f>
        <v/>
      </c>
      <c r="E12" s="176" t="n"/>
      <c r="F12" s="185">
        <f>E11</f>
        <v/>
      </c>
      <c r="G12" s="13" t="n"/>
      <c r="H12" s="184" t="inlineStr">
        <is>
          <t>上年月</t>
        </is>
      </c>
      <c r="I12" s="184">
        <f>IF(I8="01",I10&amp;"."&amp;I9,I3&amp;"."&amp;I9)</f>
        <v/>
      </c>
      <c r="J12" s="13" t="n"/>
      <c r="K12" s="13" t="n"/>
      <c r="L12" s="13" t="n"/>
      <c r="M12" s="13" t="n"/>
      <c r="N12" s="13" t="n"/>
      <c r="O12" s="13" t="n"/>
      <c r="P12" s="13" t="n"/>
      <c r="Q12" s="13" t="n"/>
      <c r="R12" s="13" t="n"/>
      <c r="S12" s="1103" t="n"/>
      <c r="T12" s="13" t="n"/>
      <c r="U12" s="13" t="n"/>
      <c r="V12" s="13" t="n"/>
      <c r="W12" s="13" t="n"/>
      <c r="X12" s="171" t="n"/>
      <c r="Y12" s="171" t="n"/>
      <c r="Z12" s="13" t="n"/>
      <c r="AA12" s="13" t="n"/>
      <c r="AB12" s="13" t="n"/>
      <c r="AC12" s="13" t="n"/>
      <c r="AD12" s="13" t="n"/>
      <c r="AE12" s="13" t="n"/>
      <c r="AF12" s="13" t="n"/>
      <c r="AG12" s="13" t="n"/>
      <c r="AH12" s="13" t="n"/>
      <c r="AI12" s="13" t="n"/>
      <c r="AJ12" s="13" t="n"/>
      <c r="AK12" s="13" t="n"/>
      <c r="AL12" s="13" t="n"/>
      <c r="AM12" s="13" t="n"/>
      <c r="AN12" s="13" t="n"/>
      <c r="AO12" s="13" t="n"/>
      <c r="AP12" s="220" t="n"/>
      <c r="AQ12" s="13" t="n"/>
      <c r="AR12" s="13" t="n"/>
      <c r="AS12" s="13" t="n"/>
    </row>
    <row r="13" hidden="1" customFormat="1" s="13">
      <c r="A13" s="175" t="inlineStr">
        <is>
          <t>U9</t>
        </is>
      </c>
      <c r="B13" s="176">
        <f>IF(_epmOfflineCondition_,"C_ITEM",EPMDimensionType(,A13))</f>
        <v/>
      </c>
      <c r="C13" s="176">
        <f>IF(_epmOfflineCondition_,"ZI_ALL",IF(B13="","",EPMContextMember(,B13)))</f>
        <v/>
      </c>
      <c r="D13" s="176">
        <f>IF(_epmOfflineCondition_,"全部ITEM",EPMMemberDesc(C13))</f>
        <v/>
      </c>
      <c r="E13" s="186" t="n"/>
      <c r="F13" s="185">
        <f>IF(_epmOfflineCondition_,"E_DUMMY",EPMMemberProperty(,F12,"GENTITY"))</f>
        <v/>
      </c>
      <c r="G13" s="13" t="n"/>
      <c r="H13" s="184" t="inlineStr">
        <is>
          <t xml:space="preserve">上年同期 </t>
        </is>
      </c>
      <c r="I13" s="184">
        <f>I10&amp;"."&amp;I8</f>
        <v/>
      </c>
      <c r="J13" s="13" t="n"/>
      <c r="K13" s="13" t="n"/>
      <c r="L13" s="13" t="n"/>
      <c r="M13" s="13" t="n"/>
      <c r="N13" s="13" t="n"/>
      <c r="O13" s="13" t="n"/>
      <c r="P13" s="13" t="n"/>
      <c r="Q13" s="13" t="n"/>
      <c r="R13" s="13" t="n"/>
      <c r="S13" s="1103" t="n"/>
      <c r="T13" s="13" t="n"/>
      <c r="U13" s="13" t="n"/>
      <c r="V13" s="13" t="n"/>
      <c r="W13" s="13" t="n"/>
      <c r="X13" s="171" t="n"/>
      <c r="Y13" s="171" t="n"/>
      <c r="Z13" s="13" t="n"/>
      <c r="AA13" s="13" t="n"/>
      <c r="AB13" s="13" t="n"/>
      <c r="AC13" s="13" t="n"/>
      <c r="AD13" s="13" t="n"/>
      <c r="AE13" s="13" t="n"/>
      <c r="AF13" s="13" t="n"/>
      <c r="AG13" s="13" t="n"/>
      <c r="AH13" s="13" t="n"/>
      <c r="AI13" s="13" t="n"/>
      <c r="AJ13" s="13" t="n"/>
      <c r="AK13" s="13" t="n"/>
      <c r="AL13" s="13" t="n"/>
      <c r="AM13" s="13" t="n"/>
      <c r="AN13" s="13" t="n"/>
      <c r="AO13" s="13" t="n"/>
      <c r="AP13" s="220" t="n"/>
      <c r="AQ13" s="13" t="n"/>
      <c r="AR13" s="13" t="n"/>
      <c r="AS13" s="13" t="n"/>
    </row>
    <row r="14" hidden="1" customFormat="1" s="13">
      <c r="A14" s="175" t="inlineStr">
        <is>
          <t>U10</t>
        </is>
      </c>
      <c r="B14" s="176">
        <f>IF(_epmOfflineCondition_,"C_MISK",EPMDimensionType(,A14))</f>
        <v/>
      </c>
      <c r="C14" s="176">
        <f>IF(_epmOfflineCondition_,"ZM_ALL",IF(B14="","",EPMContextMember(,B14)))</f>
        <v/>
      </c>
      <c r="D14" s="176">
        <f>IF(_epmOfflineCondition_,"ALL",EPMMemberDesc(C14))</f>
        <v/>
      </c>
      <c r="E14" s="186" t="n"/>
      <c r="F14" s="185">
        <f>IF(F12="G_DUMMY",C5,F13)</f>
        <v/>
      </c>
      <c r="G14" s="13" t="n"/>
      <c r="H14" s="13" t="n"/>
      <c r="I14" s="13" t="n"/>
      <c r="J14" s="13" t="n"/>
      <c r="K14" s="13" t="n"/>
      <c r="L14" s="13" t="n"/>
      <c r="M14" s="13" t="n"/>
      <c r="N14" s="13" t="n"/>
      <c r="O14" s="13" t="n"/>
      <c r="P14" s="13" t="n"/>
      <c r="Q14" s="13" t="n"/>
      <c r="R14" s="13" t="n"/>
      <c r="S14" s="1103" t="n"/>
      <c r="T14" s="13" t="n"/>
      <c r="U14" s="13" t="n"/>
      <c r="V14" s="13" t="n"/>
      <c r="W14" s="13" t="n"/>
      <c r="X14" s="171" t="n"/>
      <c r="Y14" s="171" t="n"/>
      <c r="Z14" s="13" t="n"/>
      <c r="AA14" s="13" t="n"/>
      <c r="AB14" s="13" t="n"/>
      <c r="AC14" s="13" t="n"/>
      <c r="AD14" s="13" t="n"/>
      <c r="AE14" s="13" t="n"/>
      <c r="AF14" s="13" t="n"/>
      <c r="AG14" s="13" t="n"/>
      <c r="AH14" s="13" t="n"/>
      <c r="AI14" s="13" t="n"/>
      <c r="AJ14" s="13" t="n"/>
      <c r="AK14" s="13" t="n"/>
      <c r="AL14" s="13" t="n"/>
      <c r="AM14" s="13" t="n"/>
      <c r="AN14" s="13" t="n"/>
      <c r="AO14" s="13" t="n"/>
      <c r="AP14" s="220" t="n"/>
      <c r="AQ14" s="13" t="n"/>
      <c r="AR14" s="13" t="n"/>
      <c r="AS14" s="13" t="n"/>
    </row>
    <row r="15" hidden="1" customFormat="1" s="13">
      <c r="A15" s="13" t="n"/>
      <c r="B15" s="1103" t="n"/>
      <c r="C15" s="1103" t="n"/>
      <c r="D15" s="1103" t="n"/>
      <c r="E15" s="13" t="n"/>
      <c r="F15" s="13" t="n"/>
      <c r="G15" s="13" t="n"/>
      <c r="H15" s="13" t="n"/>
      <c r="I15" s="13" t="n"/>
      <c r="J15" s="13" t="n"/>
      <c r="K15" s="13" t="n"/>
      <c r="L15" s="13" t="n"/>
      <c r="M15" s="13" t="n"/>
      <c r="N15" s="13" t="n"/>
      <c r="O15" s="13" t="n"/>
      <c r="P15" s="13" t="n"/>
      <c r="Q15" s="13" t="n"/>
      <c r="R15" s="13" t="n"/>
      <c r="S15" s="1103" t="n"/>
      <c r="T15" s="13" t="n"/>
      <c r="U15" s="13" t="n"/>
      <c r="V15" s="13" t="n"/>
      <c r="W15" s="13" t="n"/>
      <c r="X15" s="171" t="n"/>
      <c r="Y15" s="171" t="n"/>
      <c r="Z15" s="13" t="n"/>
      <c r="AA15" s="13" t="n"/>
      <c r="AB15" s="13" t="n"/>
      <c r="AC15" s="13" t="n"/>
      <c r="AD15" s="13" t="n"/>
      <c r="AE15" s="13" t="n"/>
      <c r="AF15" s="13" t="n"/>
      <c r="AG15" s="13" t="n"/>
      <c r="AH15" s="13" t="n"/>
      <c r="AI15" s="13" t="n"/>
      <c r="AJ15" s="13" t="n"/>
      <c r="AK15" s="13" t="n"/>
      <c r="AL15" s="13" t="n"/>
      <c r="AM15" s="13" t="n"/>
      <c r="AN15" s="13" t="n"/>
      <c r="AO15" s="13" t="n"/>
      <c r="AP15" s="220" t="n"/>
      <c r="AQ15" s="13" t="n"/>
      <c r="AR15" s="13" t="n"/>
      <c r="AS15" s="13" t="n"/>
    </row>
    <row r="16" hidden="1" customFormat="1" s="13">
      <c r="A16" s="13" t="n"/>
      <c r="B16" s="13" t="n"/>
      <c r="C16" s="13" t="n"/>
      <c r="D16" s="174" t="inlineStr">
        <is>
          <t>页轴</t>
        </is>
      </c>
      <c r="E16" s="1183" t="n"/>
      <c r="F16" s="13" t="n"/>
      <c r="G16" s="13" t="n"/>
      <c r="H16" s="13" t="n"/>
      <c r="I16" s="13" t="n"/>
      <c r="J16" s="13" t="n"/>
      <c r="K16" s="13" t="n"/>
      <c r="L16" s="13" t="n"/>
      <c r="M16" s="13" t="n"/>
      <c r="N16" s="13" t="n"/>
      <c r="O16" s="13" t="n"/>
      <c r="P16" s="13" t="n"/>
      <c r="Q16" s="13" t="n"/>
      <c r="R16" s="13" t="n"/>
      <c r="S16" s="1103" t="n"/>
      <c r="T16" s="13" t="n"/>
      <c r="U16" s="13" t="n"/>
      <c r="V16" s="13" t="n"/>
      <c r="W16" s="13" t="n"/>
      <c r="X16" s="171" t="n"/>
      <c r="Y16" s="171" t="n"/>
      <c r="Z16" s="13" t="n"/>
      <c r="AA16" s="13" t="n"/>
      <c r="AB16" s="13" t="n"/>
      <c r="AC16" s="13" t="n"/>
      <c r="AD16" s="13" t="n"/>
      <c r="AE16" s="13" t="n"/>
      <c r="AF16" s="13" t="n"/>
      <c r="AG16" s="13" t="n"/>
      <c r="AH16" s="13" t="n"/>
      <c r="AI16" s="13" t="n"/>
      <c r="AJ16" s="13" t="n"/>
      <c r="AK16" s="13" t="n"/>
      <c r="AL16" s="13" t="n"/>
      <c r="AM16" s="13" t="n"/>
      <c r="AN16" s="13" t="n"/>
      <c r="AO16" s="13" t="n"/>
      <c r="AP16" s="220" t="n"/>
      <c r="AQ16" s="13" t="n"/>
      <c r="AR16" s="13" t="n"/>
      <c r="AS16" s="13" t="n"/>
    </row>
    <row r="17" hidden="1" customFormat="1" s="13">
      <c r="A17" s="174" t="inlineStr">
        <is>
          <t>维度类型</t>
        </is>
      </c>
      <c r="B17" s="174" t="inlineStr">
        <is>
          <t>维度</t>
        </is>
      </c>
      <c r="C17" s="178" t="inlineStr">
        <is>
          <t>页轴替换</t>
        </is>
      </c>
      <c r="D17" s="174" t="inlineStr">
        <is>
          <t>报表001</t>
        </is>
      </c>
      <c r="E17" s="174" t="inlineStr">
        <is>
          <t>报表002</t>
        </is>
      </c>
      <c r="F17" s="13" t="n"/>
      <c r="G17" s="13" t="n"/>
      <c r="H17" s="13" t="n"/>
      <c r="I17" s="13" t="n"/>
      <c r="J17" s="13" t="n"/>
      <c r="K17" s="13" t="n"/>
      <c r="L17" s="13" t="n"/>
      <c r="M17" s="13" t="n"/>
      <c r="N17" s="13" t="n"/>
      <c r="O17" s="13" t="n"/>
      <c r="P17" s="13" t="n"/>
      <c r="Q17" s="13" t="n"/>
      <c r="R17" s="13" t="n"/>
      <c r="S17" s="1103" t="n"/>
      <c r="T17" s="13" t="n"/>
      <c r="U17" s="13" t="n"/>
      <c r="V17" s="13" t="n"/>
      <c r="W17" s="13" t="n"/>
      <c r="X17" s="171" t="n"/>
      <c r="Y17" s="171" t="n"/>
      <c r="Z17" s="13" t="n"/>
      <c r="AA17" s="13" t="n"/>
      <c r="AB17" s="13" t="n"/>
      <c r="AC17" s="13" t="n"/>
      <c r="AD17" s="13" t="n"/>
      <c r="AE17" s="13" t="n"/>
      <c r="AF17" s="13" t="n"/>
      <c r="AG17" s="13" t="n"/>
      <c r="AH17" s="13" t="n"/>
      <c r="AI17" s="13" t="n"/>
      <c r="AJ17" s="13" t="n"/>
      <c r="AK17" s="13" t="n"/>
      <c r="AL17" s="13" t="n"/>
      <c r="AM17" s="13" t="n"/>
      <c r="AN17" s="13" t="n"/>
      <c r="AO17" s="13" t="n"/>
      <c r="AP17" s="220" t="n"/>
      <c r="AQ17" s="13" t="n"/>
      <c r="AR17" s="13" t="n"/>
      <c r="AS17" s="13" t="n"/>
    </row>
    <row r="18" hidden="1" customFormat="1" s="13">
      <c r="A18" s="175" t="inlineStr">
        <is>
          <t>A</t>
        </is>
      </c>
      <c r="B18" s="176">
        <f>IF(_epmOfflineCondition_,"C_ACCOUNT",EPMDimensionType(,A18))</f>
        <v/>
      </c>
      <c r="C18" s="679" t="inlineStr">
        <is>
          <t>A_NOUSED</t>
        </is>
      </c>
      <c r="D18" s="656" t="n"/>
      <c r="E18" s="13" t="n"/>
      <c r="F18" s="13" t="n"/>
      <c r="G18" s="13" t="n"/>
      <c r="H18" s="13" t="n"/>
      <c r="I18" s="13" t="n"/>
      <c r="J18" s="13" t="n"/>
      <c r="K18" s="13" t="n"/>
      <c r="L18" s="13" t="n"/>
      <c r="M18" s="13" t="n"/>
      <c r="N18" s="13" t="n"/>
      <c r="O18" s="13" t="n"/>
      <c r="P18" s="13" t="n"/>
      <c r="Q18" s="13" t="n"/>
      <c r="R18" s="13" t="n"/>
      <c r="S18" s="1103" t="n"/>
      <c r="T18" s="13" t="n"/>
      <c r="U18" s="13" t="n"/>
      <c r="V18" s="13" t="n"/>
      <c r="W18" s="13" t="n"/>
      <c r="X18" s="171" t="n"/>
      <c r="Y18" s="171" t="n"/>
      <c r="Z18" s="13" t="n"/>
      <c r="AA18" s="13" t="n"/>
      <c r="AB18" s="13" t="n"/>
      <c r="AC18" s="13" t="n"/>
      <c r="AD18" s="13" t="n"/>
      <c r="AE18" s="13" t="n"/>
      <c r="AF18" s="13" t="n"/>
      <c r="AG18" s="13" t="n"/>
      <c r="AH18" s="13" t="n"/>
      <c r="AI18" s="13" t="n"/>
      <c r="AJ18" s="13" t="n"/>
      <c r="AK18" s="13" t="n"/>
      <c r="AL18" s="13" t="n"/>
      <c r="AM18" s="13" t="n"/>
      <c r="AN18" s="13" t="n"/>
      <c r="AO18" s="13" t="n"/>
      <c r="AP18" s="220" t="n"/>
      <c r="AQ18" s="13" t="n"/>
      <c r="AR18" s="13" t="n"/>
      <c r="AS18" s="13" t="n"/>
    </row>
    <row r="19" hidden="1" customFormat="1" s="13">
      <c r="A19" s="175" t="inlineStr">
        <is>
          <t>C</t>
        </is>
      </c>
      <c r="B19" s="176">
        <f>IF(_epmOfflineCondition_,"C_CATEGORY",EPMDimensionType(,A19))</f>
        <v/>
      </c>
      <c r="C19" s="679" t="inlineStr">
        <is>
          <t>C_DUMMY</t>
        </is>
      </c>
      <c r="D19" s="656" t="n"/>
      <c r="E19" s="13" t="n"/>
      <c r="F19" s="13" t="n"/>
      <c r="G19" s="13" t="n"/>
      <c r="H19" s="13" t="n"/>
      <c r="I19" s="13" t="n"/>
      <c r="J19" s="13" t="n"/>
      <c r="K19" s="13" t="n"/>
      <c r="L19" s="13" t="n"/>
      <c r="M19" s="13" t="n"/>
      <c r="N19" s="13" t="n"/>
      <c r="O19" s="13" t="n"/>
      <c r="P19" s="13" t="n"/>
      <c r="Q19" s="13" t="n"/>
      <c r="R19" s="13" t="n"/>
      <c r="S19" s="1103" t="n"/>
      <c r="T19" s="13" t="n"/>
      <c r="U19" s="13" t="n"/>
      <c r="V19" s="13" t="n"/>
      <c r="W19" s="13" t="n"/>
      <c r="X19" s="171" t="n"/>
      <c r="Y19" s="171" t="n"/>
      <c r="Z19" s="13" t="n"/>
      <c r="AA19" s="13" t="n"/>
      <c r="AB19" s="13" t="n"/>
      <c r="AC19" s="13" t="n"/>
      <c r="AD19" s="13" t="n"/>
      <c r="AE19" s="13" t="n"/>
      <c r="AF19" s="13" t="n"/>
      <c r="AG19" s="13" t="n"/>
      <c r="AH19" s="13" t="n"/>
      <c r="AI19" s="13" t="n"/>
      <c r="AJ19" s="13" t="n"/>
      <c r="AK19" s="13" t="n"/>
      <c r="AL19" s="13" t="n"/>
      <c r="AM19" s="13" t="n"/>
      <c r="AN19" s="13" t="n"/>
      <c r="AO19" s="13" t="n"/>
      <c r="AP19" s="220" t="n"/>
      <c r="AQ19" s="13" t="n"/>
      <c r="AR19" s="13" t="n"/>
      <c r="AS19" s="13" t="n"/>
    </row>
    <row r="20" hidden="1" customFormat="1" s="13">
      <c r="A20" s="175" t="inlineStr">
        <is>
          <t>T</t>
        </is>
      </c>
      <c r="B20" s="176">
        <f>IF(_epmOfflineCondition_,"C_TIME",EPMDimensionType(,A20))</f>
        <v/>
      </c>
      <c r="C20" s="657" t="inlineStr">
        <is>
          <t>T_DUMMY</t>
        </is>
      </c>
      <c r="D20" s="656" t="n"/>
      <c r="E20" s="13" t="n"/>
      <c r="F20" s="384" t="n"/>
      <c r="G20" s="384" t="n"/>
      <c r="H20" s="13" t="n"/>
      <c r="I20" s="13" t="n"/>
      <c r="J20" s="13" t="n"/>
      <c r="K20" s="13" t="n"/>
      <c r="L20" s="13" t="n"/>
      <c r="M20" s="13" t="n"/>
      <c r="N20" s="13" t="n"/>
      <c r="O20" s="13" t="n"/>
      <c r="P20" s="13" t="n"/>
      <c r="Q20" s="13" t="n"/>
      <c r="R20" s="13" t="n"/>
      <c r="S20" s="1103" t="n"/>
      <c r="T20" s="13" t="n"/>
      <c r="U20" s="13" t="n"/>
      <c r="V20" s="13" t="n"/>
      <c r="W20" s="13" t="n"/>
      <c r="X20" s="171" t="n"/>
      <c r="Y20" s="171" t="n"/>
      <c r="Z20" s="384" t="n"/>
      <c r="AA20" s="13" t="n"/>
      <c r="AB20" s="13" t="n"/>
      <c r="AC20" s="13" t="n"/>
      <c r="AD20" s="13" t="n"/>
      <c r="AE20" s="13" t="n"/>
      <c r="AF20" s="13" t="n"/>
      <c r="AG20" s="13" t="n"/>
      <c r="AH20" s="13" t="n"/>
      <c r="AI20" s="13" t="n"/>
      <c r="AJ20" s="13" t="n"/>
      <c r="AK20" s="13" t="n"/>
      <c r="AL20" s="13" t="n"/>
      <c r="AM20" s="13" t="n"/>
      <c r="AN20" s="13" t="n"/>
      <c r="AO20" s="13" t="n"/>
      <c r="AP20" s="220" t="n"/>
      <c r="AQ20" s="13" t="n"/>
      <c r="AR20" s="13" t="n"/>
      <c r="AS20" s="13" t="n"/>
    </row>
    <row r="21" hidden="1" customFormat="1" s="13">
      <c r="A21" s="175" t="inlineStr">
        <is>
          <t>E</t>
        </is>
      </c>
      <c r="B21" s="176">
        <f>IF(_epmOfflineCondition_,"C_ENTITY",EPMDimensionType(,A21))</f>
        <v/>
      </c>
      <c r="C21" s="658">
        <f>IF(_epmOfflineCondition_,"E100787",IF(B21="","",EPMContextMember(,B21)))</f>
        <v/>
      </c>
      <c r="D21" s="659">
        <f>IF(_epmOfflineCondition_,"E100787",EPMOlapMemberO(C6,"[C_ENTITY].[PARENTH1].[E100787]","E100787 - 内蒙古京能苏尼特风力发电有限公司（内蒙古分公司）","","000"))</f>
        <v/>
      </c>
      <c r="E21" s="13" t="n"/>
      <c r="F21" s="384" t="n"/>
      <c r="G21" s="384" t="n"/>
      <c r="H21" s="13" t="n"/>
      <c r="I21" s="13" t="n"/>
      <c r="J21" s="13" t="n"/>
      <c r="K21" s="13" t="n"/>
      <c r="L21" s="13" t="n"/>
      <c r="M21" s="13" t="n"/>
      <c r="N21" s="13" t="n"/>
      <c r="O21" s="13" t="n"/>
      <c r="P21" s="13" t="n"/>
      <c r="Q21" s="13" t="n"/>
      <c r="R21" s="13" t="n"/>
      <c r="S21" s="1103" t="n"/>
      <c r="T21" s="13" t="n"/>
      <c r="U21" s="13" t="n"/>
      <c r="V21" s="13" t="n"/>
      <c r="W21" s="13" t="n"/>
      <c r="X21" s="171" t="n"/>
      <c r="Y21" s="171" t="n"/>
      <c r="Z21" s="384" t="n"/>
      <c r="AA21" s="13" t="n"/>
      <c r="AB21" s="13" t="n"/>
      <c r="AC21" s="13" t="n"/>
      <c r="AD21" s="13" t="n"/>
      <c r="AE21" s="13" t="n"/>
      <c r="AF21" s="13" t="n"/>
      <c r="AG21" s="13" t="n"/>
      <c r="AH21" s="13" t="n"/>
      <c r="AI21" s="13" t="n"/>
      <c r="AJ21" s="13" t="n"/>
      <c r="AK21" s="13" t="n"/>
      <c r="AL21" s="13" t="n"/>
      <c r="AM21" s="13" t="n"/>
      <c r="AN21" s="13" t="n"/>
      <c r="AO21" s="13" t="n"/>
      <c r="AP21" s="220" t="n"/>
      <c r="AQ21" s="13" t="n"/>
      <c r="AR21" s="13" t="n"/>
      <c r="AS21" s="13" t="n"/>
    </row>
    <row r="22" hidden="1" customFormat="1" s="13">
      <c r="A22" s="175" t="inlineStr">
        <is>
          <t>R</t>
        </is>
      </c>
      <c r="B22" s="176">
        <f>IF(_epmOfflineCondition_,"C_RPTCURRENCY",EPMDimensionType(,A22))</f>
        <v/>
      </c>
      <c r="C22" s="660">
        <f>AA37</f>
        <v/>
      </c>
      <c r="D22" s="659">
        <f>IF(_epmOfflineCondition_,"LC",EPMOlapMemberO(C22,"[C_RPTCURRENCY].[].[LC]","LC - 本位币","","000"))</f>
        <v/>
      </c>
      <c r="E22" s="13" t="n"/>
      <c r="F22" s="384" t="n"/>
      <c r="G22" s="384" t="n"/>
      <c r="H22" s="13" t="n"/>
      <c r="I22" s="13" t="n"/>
      <c r="J22" s="13" t="n"/>
      <c r="K22" s="13" t="n"/>
      <c r="L22" s="13" t="n"/>
      <c r="M22" s="13" t="n"/>
      <c r="N22" s="13" t="n"/>
      <c r="O22" s="13" t="n"/>
      <c r="P22" s="13" t="n"/>
      <c r="Q22" s="13" t="n"/>
      <c r="R22" s="13" t="n"/>
      <c r="S22" s="1103" t="n"/>
      <c r="T22" s="13" t="n"/>
      <c r="U22" s="13" t="n"/>
      <c r="V22" s="13" t="n"/>
      <c r="W22" s="13" t="n"/>
      <c r="X22" s="171" t="n"/>
      <c r="Y22" s="171" t="n"/>
      <c r="Z22" s="384" t="n"/>
      <c r="AA22" s="13" t="n"/>
      <c r="AB22" s="13" t="n"/>
      <c r="AC22" s="13" t="n"/>
      <c r="AD22" s="13" t="n"/>
      <c r="AE22" s="13" t="n"/>
      <c r="AF22" s="13" t="n"/>
      <c r="AG22" s="13" t="n"/>
      <c r="AH22" s="13" t="n"/>
      <c r="AI22" s="13" t="n"/>
      <c r="AJ22" s="13" t="n"/>
      <c r="AK22" s="13" t="n"/>
      <c r="AL22" s="13" t="n"/>
      <c r="AM22" s="13" t="n"/>
      <c r="AN22" s="13" t="n"/>
      <c r="AO22" s="13" t="n"/>
      <c r="AP22" s="220" t="n"/>
      <c r="AQ22" s="13" t="n"/>
      <c r="AR22" s="13" t="n"/>
      <c r="AS22" s="13" t="n"/>
    </row>
    <row r="23" hidden="1" customFormat="1" s="13">
      <c r="A23" s="175" t="inlineStr">
        <is>
          <t>D</t>
        </is>
      </c>
      <c r="B23" s="176">
        <f>IF(_epmOfflineCondition_,"C_AUDITTRAIL",EPMDimensionType(,A23))</f>
        <v/>
      </c>
      <c r="C23" s="657">
        <f>IF(_epmOfflineCondition_,"DALL",IF(B23="","",EPMContextMember(,B23)))</f>
        <v/>
      </c>
      <c r="D23" s="1044" t="n"/>
      <c r="E23" s="13" t="n"/>
      <c r="F23" s="384" t="n"/>
      <c r="G23" s="384" t="n"/>
      <c r="H23" s="13" t="n"/>
      <c r="I23" s="13" t="n"/>
      <c r="J23" s="13" t="n"/>
      <c r="K23" s="13" t="n"/>
      <c r="L23" s="13" t="n"/>
      <c r="M23" s="13" t="n"/>
      <c r="N23" s="13" t="n"/>
      <c r="O23" s="13" t="n"/>
      <c r="P23" s="13" t="n"/>
      <c r="Q23" s="13" t="n"/>
      <c r="R23" s="13" t="n"/>
      <c r="S23" s="1103" t="n"/>
      <c r="T23" s="13" t="n"/>
      <c r="U23" s="13" t="n"/>
      <c r="V23" s="13" t="n"/>
      <c r="W23" s="13" t="n"/>
      <c r="X23" s="171" t="n"/>
      <c r="Y23" s="171" t="n"/>
      <c r="Z23" s="384" t="n"/>
      <c r="AA23" s="13" t="n"/>
      <c r="AB23" s="13" t="n"/>
      <c r="AC23" s="13" t="n"/>
      <c r="AD23" s="13" t="n"/>
      <c r="AE23" s="13" t="n"/>
      <c r="AF23" s="13" t="n"/>
      <c r="AG23" s="13" t="n"/>
      <c r="AH23" s="13" t="n"/>
      <c r="AI23" s="13" t="n"/>
      <c r="AJ23" s="13" t="n"/>
      <c r="AK23" s="13" t="n"/>
      <c r="AL23" s="13" t="n"/>
      <c r="AM23" s="13" t="n"/>
      <c r="AN23" s="13" t="n"/>
      <c r="AO23" s="13" t="n"/>
      <c r="AP23" s="220" t="n"/>
      <c r="AQ23" s="13" t="n"/>
      <c r="AR23" s="13" t="n"/>
      <c r="AS23" s="13" t="n"/>
    </row>
    <row r="24" hidden="1" customFormat="1" s="13">
      <c r="A24" s="175" t="inlineStr">
        <is>
          <t>S</t>
        </is>
      </c>
      <c r="B24" s="176">
        <f>IF(_epmOfflineCondition_,"C_FLOW",EPMDimensionType(,A24))</f>
        <v/>
      </c>
      <c r="C24" s="657">
        <f>IF(_epmOfflineCondition_,"F20",IF(B24="","",EPMContextMember(,B24)))</f>
        <v/>
      </c>
      <c r="D24" s="1044" t="n"/>
      <c r="E24" s="13" t="n"/>
      <c r="F24" s="384" t="n"/>
      <c r="G24" s="384" t="n"/>
      <c r="H24" s="13" t="n"/>
      <c r="I24" s="13" t="n"/>
      <c r="J24" s="13" t="n"/>
      <c r="K24" s="13" t="n"/>
      <c r="L24" s="13" t="n"/>
      <c r="M24" s="13" t="n"/>
      <c r="N24" s="13" t="n"/>
      <c r="O24" s="13" t="n"/>
      <c r="P24" s="13" t="n"/>
      <c r="Q24" s="13" t="n"/>
      <c r="R24" s="13" t="n"/>
      <c r="S24" s="1103" t="n"/>
      <c r="T24" s="13" t="n"/>
      <c r="U24" s="13" t="n"/>
      <c r="V24" s="13" t="n"/>
      <c r="W24" s="13" t="n"/>
      <c r="X24" s="171" t="n"/>
      <c r="Y24" s="171" t="n"/>
      <c r="Z24" s="384" t="n"/>
      <c r="AA24" s="13" t="n"/>
      <c r="AB24" s="13" t="n"/>
      <c r="AC24" s="13" t="n"/>
      <c r="AD24" s="13" t="n"/>
      <c r="AE24" s="13" t="n"/>
      <c r="AF24" s="13" t="n"/>
      <c r="AG24" s="13" t="n"/>
      <c r="AH24" s="13" t="n"/>
      <c r="AI24" s="13" t="n"/>
      <c r="AJ24" s="13" t="n"/>
      <c r="AK24" s="13" t="n"/>
      <c r="AL24" s="13" t="n"/>
      <c r="AM24" s="13" t="n"/>
      <c r="AN24" s="13" t="n"/>
      <c r="AO24" s="13" t="n"/>
      <c r="AP24" s="220" t="n"/>
      <c r="AQ24" s="13" t="n"/>
      <c r="AR24" s="13" t="n"/>
      <c r="AS24" s="13" t="n"/>
    </row>
    <row r="25" hidden="1" customFormat="1" s="13">
      <c r="A25" s="175" t="inlineStr">
        <is>
          <t>I</t>
        </is>
      </c>
      <c r="B25" s="176">
        <f>IF(_epmOfflineCondition_,"C_INTERCO",EPMDimensionType(,A25))</f>
        <v/>
      </c>
      <c r="C25" s="657" t="inlineStr">
        <is>
          <t>I_ALL</t>
        </is>
      </c>
      <c r="D25" s="1044">
        <f>IF(_epmOfflineCondition_,"I_ALL",EPMOlapMemberO(C25,"[C_INTERCO].[PARENTH1].[I_ALL]","I_ALL - 全部贸易伙伴","","000"))</f>
        <v/>
      </c>
      <c r="E25" s="13" t="n"/>
      <c r="F25" s="384" t="n"/>
      <c r="G25" s="384" t="n"/>
      <c r="H25" s="13" t="n"/>
      <c r="I25" s="13" t="n"/>
      <c r="J25" s="13" t="n"/>
      <c r="K25" s="13" t="n"/>
      <c r="L25" s="13" t="n"/>
      <c r="M25" s="13" t="n"/>
      <c r="N25" s="13" t="n"/>
      <c r="O25" s="13" t="n"/>
      <c r="P25" s="13" t="n"/>
      <c r="Q25" s="13" t="n"/>
      <c r="R25" s="13" t="n"/>
      <c r="S25" s="1103" t="n"/>
      <c r="T25" s="13" t="n"/>
      <c r="U25" s="13" t="n"/>
      <c r="V25" s="13" t="n"/>
      <c r="W25" s="13" t="n"/>
      <c r="X25" s="171" t="n"/>
      <c r="Y25" s="171" t="n"/>
      <c r="Z25" s="178" t="inlineStr">
        <is>
          <t>CATEGORY</t>
        </is>
      </c>
      <c r="AA25" s="178" t="inlineStr">
        <is>
          <t>C1001</t>
        </is>
      </c>
      <c r="AB25" s="178" t="inlineStr">
        <is>
          <t>C1001</t>
        </is>
      </c>
      <c r="AC25" s="178">
        <f>$C$4</f>
        <v/>
      </c>
      <c r="AD25" s="178">
        <f>$C$4</f>
        <v/>
      </c>
      <c r="AE25" s="178">
        <f>$C$4</f>
        <v/>
      </c>
      <c r="AF25" s="13" t="n"/>
      <c r="AG25" s="384" t="n"/>
      <c r="AH25" s="13" t="n"/>
      <c r="AI25" s="13" t="n"/>
      <c r="AJ25" s="13" t="n"/>
      <c r="AK25" s="13" t="n"/>
      <c r="AL25" s="13" t="n"/>
      <c r="AM25" s="13" t="n"/>
      <c r="AN25" s="220" t="n"/>
      <c r="AO25" s="220" t="n"/>
      <c r="AP25" s="220" t="n"/>
      <c r="AQ25" s="220" t="n"/>
      <c r="AR25" s="220" t="n"/>
      <c r="AS25" s="13" t="n"/>
    </row>
    <row r="26" hidden="1" customFormat="1" s="13">
      <c r="A26" s="175" t="inlineStr">
        <is>
          <t>G</t>
        </is>
      </c>
      <c r="B26" s="176">
        <f>IF(_epmOfflineCondition_,"C_SCOPE",EPMDimensionType(,A26))</f>
        <v/>
      </c>
      <c r="C26" s="660">
        <f>E11</f>
        <v/>
      </c>
      <c r="D26" s="659">
        <f>IF(_epmOfflineCondition_,"G_DUMMY",EPMOlapMemberO(C26,"[C_SCOPE].[PARENTH1].[G_DUMMY]","G_DUMMY - 合并范围无关","","000"))</f>
        <v/>
      </c>
      <c r="E26" s="13" t="n"/>
      <c r="F26" s="384" t="n"/>
      <c r="G26" s="384" t="n"/>
      <c r="H26" s="13" t="n"/>
      <c r="I26" s="13" t="n"/>
      <c r="J26" s="13" t="n"/>
      <c r="K26" s="13" t="n"/>
      <c r="L26" s="13" t="n"/>
      <c r="M26" s="13" t="n"/>
      <c r="N26" s="13" t="n"/>
      <c r="O26" s="13" t="n"/>
      <c r="P26" s="13" t="n"/>
      <c r="Q26" s="13" t="n"/>
      <c r="R26" s="13" t="n"/>
      <c r="S26" s="1103" t="n"/>
      <c r="T26" s="13" t="n"/>
      <c r="U26" s="13" t="n"/>
      <c r="V26" s="13" t="n"/>
      <c r="W26" s="13" t="n"/>
      <c r="X26" s="171" t="n"/>
      <c r="Y26" s="171" t="n"/>
      <c r="Z26" s="464" t="inlineStr">
        <is>
          <t>TIME</t>
        </is>
      </c>
      <c r="AA26" s="464" t="n"/>
      <c r="AB26" s="464">
        <f>$I$11</f>
        <v/>
      </c>
      <c r="AC26" s="464">
        <f>$I$12</f>
        <v/>
      </c>
      <c r="AD26" s="178">
        <f>$J$4</f>
        <v/>
      </c>
      <c r="AE26" s="200">
        <f>$I$13</f>
        <v/>
      </c>
      <c r="AF26" s="13" t="n"/>
      <c r="AG26" s="384" t="n"/>
      <c r="AH26" s="13" t="n"/>
      <c r="AI26" s="13" t="n"/>
      <c r="AJ26" s="13" t="n"/>
      <c r="AK26" s="13" t="n"/>
      <c r="AL26" s="13" t="n"/>
      <c r="AM26" s="13" t="n"/>
      <c r="AN26" s="220" t="n"/>
      <c r="AO26" s="220" t="n"/>
      <c r="AP26" s="220" t="n"/>
      <c r="AQ26" s="220" t="n"/>
      <c r="AR26" s="220" t="n"/>
      <c r="AS26" s="13" t="n"/>
    </row>
    <row r="27" hidden="1" customFormat="1" s="13">
      <c r="A27" s="175" t="inlineStr">
        <is>
          <t>U8</t>
        </is>
      </c>
      <c r="B27" s="176">
        <f>IF(_epmOfflineCondition_,"C_PROJECT",EPMDimensionType(,A27))</f>
        <v/>
      </c>
      <c r="C27" s="656" t="inlineStr">
        <is>
          <t>ZP_ALL</t>
        </is>
      </c>
      <c r="D27" s="1044">
        <f>IF(_epmOfflineCondition_,"ZP_ALL",EPMOlapMemberO(C27,"[C_PROJECT].[PARENTH1].[ZP_ALL]","ZP_ALL - 项目合计","","000"))</f>
        <v/>
      </c>
      <c r="E27" s="13" t="n"/>
      <c r="F27" s="384" t="n"/>
      <c r="G27" s="384" t="n"/>
      <c r="H27" s="13" t="n"/>
      <c r="I27" s="13" t="n"/>
      <c r="J27" s="13" t="n"/>
      <c r="K27" s="13" t="n"/>
      <c r="L27" s="13" t="n"/>
      <c r="M27" s="13" t="n"/>
      <c r="N27" s="13" t="n"/>
      <c r="O27" s="13" t="n"/>
      <c r="P27" s="13" t="n"/>
      <c r="Q27" s="13" t="n"/>
      <c r="R27" s="13" t="n"/>
      <c r="S27" s="1103" t="n"/>
      <c r="T27" s="13" t="n"/>
      <c r="U27" s="13" t="n"/>
      <c r="V27" s="13" t="n"/>
      <c r="W27" s="13" t="n"/>
      <c r="X27" s="171" t="n"/>
      <c r="Y27" s="171" t="n"/>
      <c r="Z27" s="200" t="inlineStr">
        <is>
          <t>MEASURES</t>
        </is>
      </c>
      <c r="AA27" s="200" t="inlineStr">
        <is>
          <t>YTD</t>
        </is>
      </c>
      <c r="AB27" s="200" t="inlineStr">
        <is>
          <t>YTD</t>
        </is>
      </c>
      <c r="AC27" s="200" t="inlineStr">
        <is>
          <t>Periodic</t>
        </is>
      </c>
      <c r="AD27" s="200" t="inlineStr">
        <is>
          <t>Periodic</t>
        </is>
      </c>
      <c r="AE27" s="200" t="inlineStr">
        <is>
          <t>Periodic</t>
        </is>
      </c>
      <c r="AF27" s="200" t="n"/>
      <c r="AG27" s="200" t="n"/>
      <c r="AH27" s="13" t="n"/>
      <c r="AI27" s="13" t="n"/>
      <c r="AJ27" s="13" t="n"/>
      <c r="AK27" s="13" t="n"/>
      <c r="AL27" s="13" t="n"/>
      <c r="AM27" s="13" t="n"/>
      <c r="AN27" s="220" t="n"/>
      <c r="AO27" s="220" t="n"/>
      <c r="AP27" s="220" t="n"/>
      <c r="AQ27" s="220" t="n"/>
      <c r="AR27" s="220" t="n"/>
      <c r="AS27" s="13" t="n"/>
    </row>
    <row r="28" hidden="1" customFormat="1" s="13">
      <c r="A28" s="175" t="inlineStr">
        <is>
          <t>U9</t>
        </is>
      </c>
      <c r="B28" s="176">
        <f>IF(_epmOfflineCondition_,"C_ITEM",EPMDimensionType(,A28))</f>
        <v/>
      </c>
      <c r="C28" s="656" t="inlineStr">
        <is>
          <t>ZI_ALL</t>
        </is>
      </c>
      <c r="D28" s="1044">
        <f>IF(_epmOfflineCondition_,"ZI_ALL",EPMOlapMemberO(C28,"[C_ITEM].[PARENTH1].[ZI_ALL]","ZI_ALL - 全部ITEM","","000"))</f>
        <v/>
      </c>
      <c r="E28" s="13" t="n"/>
      <c r="F28" s="384" t="n"/>
      <c r="G28" s="384" t="n"/>
      <c r="H28" s="13" t="n"/>
      <c r="I28" s="13" t="n"/>
      <c r="J28" s="13" t="n"/>
      <c r="K28" s="13" t="n"/>
      <c r="L28" s="13" t="n"/>
      <c r="M28" s="13" t="n"/>
      <c r="N28" s="13" t="n"/>
      <c r="O28" s="13" t="n"/>
      <c r="P28" s="13" t="n"/>
      <c r="Q28" s="13" t="n"/>
      <c r="R28" s="13" t="n"/>
      <c r="S28" s="1103" t="n"/>
      <c r="T28" s="13" t="n"/>
      <c r="U28" s="13" t="n"/>
      <c r="V28" s="13" t="n"/>
      <c r="W28" s="13" t="n"/>
      <c r="X28" s="171" t="n"/>
      <c r="Y28" s="171" t="n"/>
      <c r="Z28" s="200" t="inlineStr">
        <is>
          <t>FLOW</t>
        </is>
      </c>
      <c r="AA28" s="200" t="inlineStr">
        <is>
          <t>F20</t>
        </is>
      </c>
      <c r="AB28" s="200" t="inlineStr">
        <is>
          <t>F20</t>
        </is>
      </c>
      <c r="AC28" s="200" t="inlineStr">
        <is>
          <t>F20</t>
        </is>
      </c>
      <c r="AD28" s="200" t="inlineStr">
        <is>
          <t>F99</t>
        </is>
      </c>
      <c r="AE28" s="200" t="inlineStr">
        <is>
          <t>FEND</t>
        </is>
      </c>
      <c r="AF28" s="200" t="inlineStr">
        <is>
          <t>FMOV_OP</t>
        </is>
      </c>
      <c r="AG28" s="200" t="inlineStr">
        <is>
          <t>FEND</t>
        </is>
      </c>
      <c r="AH28" s="13" t="n"/>
      <c r="AI28" s="13" t="n"/>
      <c r="AJ28" s="13" t="n"/>
      <c r="AK28" s="13" t="inlineStr">
        <is>
          <t>C3003</t>
        </is>
      </c>
      <c r="AL28" s="13" t="inlineStr">
        <is>
          <t>C3003</t>
        </is>
      </c>
      <c r="AM28" s="13" t="inlineStr">
        <is>
          <t>C3003</t>
        </is>
      </c>
      <c r="AN28" s="13" t="inlineStr">
        <is>
          <t>C3003</t>
        </is>
      </c>
      <c r="AO28" s="13" t="inlineStr">
        <is>
          <t>C3003</t>
        </is>
      </c>
      <c r="AP28" s="13" t="inlineStr">
        <is>
          <t>C3003</t>
        </is>
      </c>
      <c r="AQ28" s="13" t="inlineStr">
        <is>
          <t>C3002</t>
        </is>
      </c>
      <c r="AR28" s="13" t="inlineStr">
        <is>
          <t>C3003</t>
        </is>
      </c>
      <c r="AS28" s="13" t="inlineStr">
        <is>
          <t>C3003</t>
        </is>
      </c>
    </row>
    <row r="29" hidden="1" customFormat="1" s="13">
      <c r="A29" s="175" t="inlineStr">
        <is>
          <t>U10</t>
        </is>
      </c>
      <c r="B29" s="176">
        <f>IF(_epmOfflineCondition_,"C_MISK",EPMDimensionType(,A29))</f>
        <v/>
      </c>
      <c r="C29" s="663" t="inlineStr">
        <is>
          <t>ZM_ALL</t>
        </is>
      </c>
      <c r="D29" s="1044">
        <f>IF(_epmOfflineCondition_,"ZM_ALL",EPMOlapMemberO(C29,"[C_MISK].[PARENTH1].[ZM_ALL]","ZM_ALL - ALL","","000"))</f>
        <v/>
      </c>
      <c r="E29" s="13" t="n"/>
      <c r="F29" s="384" t="n"/>
      <c r="G29" s="384" t="n"/>
      <c r="H29" s="13" t="n"/>
      <c r="I29" s="13" t="n"/>
      <c r="J29" s="13" t="n"/>
      <c r="K29" s="13" t="n"/>
      <c r="L29" s="13" t="n"/>
      <c r="M29" s="13" t="n"/>
      <c r="N29" s="13" t="n"/>
      <c r="O29" s="13" t="n"/>
      <c r="P29" s="13" t="n"/>
      <c r="Q29" s="13" t="n"/>
      <c r="R29" s="13" t="n"/>
      <c r="S29" s="1103" t="n"/>
      <c r="T29" s="13" t="n"/>
      <c r="U29" s="13" t="n"/>
      <c r="V29" s="13" t="n"/>
      <c r="W29" s="13" t="n"/>
      <c r="X29" s="171" t="n"/>
      <c r="Y29" s="171" t="n"/>
      <c r="Z29" s="200" t="inlineStr">
        <is>
          <t>AUDITTRAIL</t>
        </is>
      </c>
      <c r="AA29" s="200" t="inlineStr">
        <is>
          <t>DLC_BK</t>
        </is>
      </c>
      <c r="AB29" s="200" t="inlineStr">
        <is>
          <t>DLC_RC</t>
        </is>
      </c>
      <c r="AC29" s="200" t="inlineStr">
        <is>
          <t>DALL</t>
        </is>
      </c>
      <c r="AD29" s="200" t="inlineStr">
        <is>
          <t>DLC</t>
        </is>
      </c>
      <c r="AE29" s="200" t="inlineStr">
        <is>
          <t>DLC</t>
        </is>
      </c>
      <c r="AF29" s="200" t="inlineStr">
        <is>
          <t>DLC_ADJ</t>
        </is>
      </c>
      <c r="AG29" s="384" t="n"/>
      <c r="AH29" s="13" t="n"/>
      <c r="AI29" s="13" t="n"/>
      <c r="AJ29" s="13" t="n"/>
      <c r="AK29" s="13" t="n"/>
      <c r="AL29" s="13" t="n"/>
      <c r="AM29" s="13" t="n"/>
      <c r="AN29" s="13" t="inlineStr">
        <is>
          <t>YTD</t>
        </is>
      </c>
      <c r="AO29" s="13" t="n"/>
      <c r="AP29" s="220" t="n"/>
      <c r="AQ29" s="13" t="n"/>
      <c r="AR29" s="13" t="n"/>
      <c r="AS29" s="13" t="n"/>
    </row>
    <row r="30" hidden="1" customFormat="1" s="13">
      <c r="A30" s="175" t="n"/>
      <c r="B30" s="175">
        <f>IF(_epmOfflineCondition_,"",EPMDimensionType(,A30))</f>
        <v/>
      </c>
      <c r="C30" s="679" t="inlineStr">
        <is>
          <t>PERIODIC</t>
        </is>
      </c>
      <c r="D30" s="1044" t="n"/>
      <c r="E30" s="13" t="n"/>
      <c r="F30" s="384" t="n"/>
      <c r="G30" s="384" t="n"/>
      <c r="H30" s="13" t="n"/>
      <c r="I30" s="13" t="n"/>
      <c r="J30" s="13" t="n"/>
      <c r="K30" s="13" t="n"/>
      <c r="L30" s="13" t="n"/>
      <c r="M30" s="13" t="n"/>
      <c r="N30" s="13" t="n"/>
      <c r="O30" s="13" t="n"/>
      <c r="P30" s="13" t="n"/>
      <c r="Q30" s="13" t="n"/>
      <c r="R30" s="13" t="n"/>
      <c r="S30" s="1103" t="n"/>
      <c r="T30" s="13" t="n"/>
      <c r="U30" s="13" t="n"/>
      <c r="V30" s="13" t="n"/>
      <c r="W30" s="13" t="n"/>
      <c r="X30" s="171" t="n"/>
      <c r="Y30" s="171" t="n"/>
      <c r="Z30" s="13" t="n"/>
      <c r="AA30" s="13">
        <f>IF(_epmOfflineCondition_,"单体账面",EPMMemberDesc(AA29))</f>
        <v/>
      </c>
      <c r="AB30" s="13">
        <f>IF(_epmOfflineCondition_,"单体重分类",EPMMemberDesc(AB29))</f>
        <v/>
      </c>
      <c r="AC30" s="13">
        <f>IF(_epmOfflineCondition_,"合并后",EPMMemberDesc(AC29))</f>
        <v/>
      </c>
      <c r="AD30" s="13">
        <f>IF(_epmOfflineCondition_,"单体报表",EPMMemberDesc(AD29))</f>
        <v/>
      </c>
      <c r="AE30" s="13">
        <f>IF(_epmOfflineCondition_,"单体报表",EPMMemberDesc(AE29))</f>
        <v/>
      </c>
      <c r="AF30" s="13">
        <f>IF(_epmOfflineCondition_,"单体调整",EPMMemberDesc(AF29))</f>
        <v/>
      </c>
      <c r="AG30" s="384" t="n"/>
      <c r="AH30" s="13" t="inlineStr"/>
      <c r="AI30" s="13" t="n"/>
      <c r="AJ30" s="13" t="n"/>
      <c r="AK30" s="13" t="n"/>
      <c r="AL30" s="13" t="n"/>
      <c r="AM30" s="13" t="n"/>
      <c r="AN30" s="13" t="n"/>
      <c r="AO30" s="13" t="n"/>
      <c r="AP30" s="220" t="n"/>
      <c r="AQ30" s="13" t="n"/>
      <c r="AR30" s="13" t="n"/>
      <c r="AS30" s="13" t="n"/>
    </row>
    <row r="31" hidden="1" customFormat="1" s="13">
      <c r="A31" s="13" t="n"/>
      <c r="B31" s="1103" t="n"/>
      <c r="C31" s="1103" t="n"/>
      <c r="D31" s="1103" t="n"/>
      <c r="E31" s="13" t="n"/>
      <c r="F31" s="13" t="n"/>
      <c r="G31" s="13" t="n"/>
      <c r="H31" s="13" t="n"/>
      <c r="I31" s="13" t="n"/>
      <c r="J31" s="13" t="n"/>
      <c r="K31" s="13" t="n"/>
      <c r="L31" s="13" t="n"/>
      <c r="M31" s="13" t="n"/>
      <c r="N31" s="13" t="n"/>
      <c r="O31" s="13" t="n"/>
      <c r="P31" s="13" t="n"/>
      <c r="Q31" s="13" t="n"/>
      <c r="R31" s="13" t="n"/>
      <c r="S31" s="1103" t="n"/>
      <c r="T31" s="13" t="n"/>
      <c r="U31" s="13" t="n"/>
      <c r="V31" s="13" t="n"/>
      <c r="W31" s="13" t="n"/>
      <c r="X31" s="171" t="n"/>
      <c r="Y31" s="171" t="n"/>
      <c r="Z31" s="13" t="n"/>
      <c r="AA31" s="13" t="n"/>
      <c r="AB31" s="13" t="n"/>
      <c r="AC31" s="13" t="n"/>
      <c r="AD31" s="13" t="n"/>
      <c r="AE31" s="13" t="n"/>
      <c r="AF31" s="13" t="n"/>
      <c r="AG31" s="13" t="n"/>
      <c r="AH31" s="13" t="inlineStr">
        <is>
          <t>YTD</t>
        </is>
      </c>
      <c r="AI31" s="13" t="n"/>
      <c r="AJ31" s="13" t="n"/>
      <c r="AK31" s="13" t="n"/>
      <c r="AL31" s="13" t="n"/>
      <c r="AM31" s="13" t="n"/>
      <c r="AN31" s="13" t="n"/>
      <c r="AO31" s="13" t="n"/>
      <c r="AP31" s="220" t="n"/>
      <c r="AQ31" s="13" t="n"/>
      <c r="AR31" s="13" t="n"/>
      <c r="AS31" s="13" t="n"/>
    </row>
    <row r="32" hidden="1" ht="15" customFormat="1" customHeight="1" s="13">
      <c r="A32" s="13" t="n"/>
      <c r="B32" s="1103" t="n"/>
      <c r="C32" s="1103" t="n"/>
      <c r="D32" s="1103" t="n"/>
      <c r="E32" s="13" t="n"/>
      <c r="F32" s="13" t="n"/>
      <c r="G32" s="13" t="n"/>
      <c r="H32" s="13" t="n"/>
      <c r="I32" s="13" t="n"/>
      <c r="J32" s="13" t="n"/>
      <c r="K32" s="13" t="n"/>
      <c r="L32" s="13" t="n"/>
      <c r="M32" s="13" t="n"/>
      <c r="N32" s="13" t="n"/>
      <c r="O32" s="13" t="n"/>
      <c r="P32" s="13" t="n"/>
      <c r="Q32" s="13" t="n"/>
      <c r="R32" s="13" t="n"/>
      <c r="S32" s="1103" t="n"/>
      <c r="T32" s="13" t="n"/>
      <c r="U32" s="13" t="n"/>
      <c r="V32" s="13" t="n"/>
      <c r="W32" s="13" t="n"/>
      <c r="X32" s="171" t="n"/>
      <c r="Y32" s="171" t="n"/>
      <c r="Z32" s="13" t="n"/>
      <c r="AA32" s="13" t="n"/>
      <c r="AB32" s="13" t="n"/>
      <c r="AC32" s="13" t="n"/>
      <c r="AD32" s="13" t="n"/>
      <c r="AE32" s="13" t="n"/>
      <c r="AF32" s="13" t="n"/>
      <c r="AG32" s="13" t="n"/>
      <c r="AH32" s="13" t="n"/>
      <c r="AI32" s="13" t="n"/>
      <c r="AJ32" s="13" t="n"/>
      <c r="AK32" s="13" t="n"/>
      <c r="AL32" s="13" t="n"/>
      <c r="AM32" s="13" t="n"/>
      <c r="AN32" s="13" t="n"/>
      <c r="AO32" s="13" t="n"/>
      <c r="AP32" s="220" t="n"/>
      <c r="AQ32" s="13" t="n"/>
      <c r="AR32" s="13" t="n"/>
      <c r="AS32" s="13" t="n"/>
    </row>
    <row r="33" hidden="1" customFormat="1" s="13">
      <c r="A33" s="13" t="n"/>
      <c r="B33" s="1103" t="n"/>
      <c r="C33" s="1103" t="n"/>
      <c r="D33" s="1103" t="n"/>
      <c r="E33" s="13" t="n"/>
      <c r="F33" s="13" t="n"/>
      <c r="G33" s="13" t="n"/>
      <c r="H33" s="13" t="n"/>
      <c r="I33" s="13" t="n"/>
      <c r="J33" s="13" t="n"/>
      <c r="K33" s="13" t="n"/>
      <c r="L33" s="13" t="n"/>
      <c r="M33" s="13" t="n"/>
      <c r="N33" s="13" t="n"/>
      <c r="O33" s="13" t="n"/>
      <c r="P33" s="13" t="n"/>
      <c r="Q33" s="13" t="n"/>
      <c r="R33" s="13" t="n"/>
      <c r="S33" s="1103" t="n"/>
      <c r="T33" s="13" t="n"/>
      <c r="U33" s="13" t="n"/>
      <c r="V33" s="13" t="n"/>
      <c r="W33" s="13" t="n"/>
      <c r="X33" s="171" t="n"/>
      <c r="Y33" s="171" t="n"/>
      <c r="Z33" s="13" t="n"/>
      <c r="AA33" s="13" t="n"/>
      <c r="AB33" s="13" t="n"/>
      <c r="AC33" s="13" t="n"/>
      <c r="AD33" s="13" t="n"/>
      <c r="AE33" s="13" t="n"/>
      <c r="AF33" s="13" t="n"/>
      <c r="AG33" s="13" t="n"/>
      <c r="AH33" s="13" t="n"/>
      <c r="AI33" s="13" t="n"/>
      <c r="AJ33" s="13" t="n"/>
      <c r="AK33" s="13" t="n"/>
      <c r="AL33" s="13" t="n"/>
      <c r="AM33" s="13" t="n"/>
      <c r="AN33" s="13" t="n"/>
      <c r="AO33" s="384" t="n"/>
      <c r="AP33" s="220" t="n"/>
      <c r="AQ33" s="13" t="inlineStr"/>
      <c r="AR33" s="13" t="n"/>
      <c r="AS33" s="13" t="n"/>
    </row>
    <row r="34" ht="10.35" customFormat="1" customHeight="1" s="13">
      <c r="A34" s="13" t="n"/>
      <c r="B34" s="1103" t="n"/>
      <c r="C34" s="1103" t="n"/>
      <c r="D34" s="1103" t="n"/>
      <c r="E34" s="13" t="n"/>
      <c r="F34" s="13" t="n"/>
      <c r="G34" s="13" t="n"/>
      <c r="H34" s="13" t="n"/>
      <c r="I34" s="13" t="n"/>
      <c r="J34" s="13" t="n"/>
      <c r="K34" s="13" t="n"/>
      <c r="L34" s="13" t="n"/>
      <c r="M34" s="13" t="n"/>
      <c r="N34" s="13" t="n"/>
      <c r="O34" s="13" t="n"/>
      <c r="P34" s="13" t="n"/>
      <c r="Q34" s="13" t="n"/>
      <c r="R34" s="13" t="n"/>
      <c r="S34" s="1103" t="n"/>
      <c r="T34" s="13" t="n"/>
      <c r="U34" s="13" t="n"/>
      <c r="V34" s="13" t="n"/>
      <c r="W34" s="13" t="n"/>
      <c r="X34" s="171" t="n"/>
      <c r="Y34" s="171" t="n"/>
      <c r="Z34" s="13" t="n"/>
      <c r="AA34" s="13" t="n"/>
      <c r="AB34" s="13" t="n"/>
      <c r="AC34" s="13" t="n"/>
      <c r="AD34" s="13" t="n"/>
      <c r="AE34" s="13" t="n"/>
      <c r="AF34" s="13" t="n"/>
      <c r="AG34" s="13" t="n"/>
      <c r="AH34" s="13" t="n"/>
      <c r="AI34" s="13" t="n"/>
      <c r="AJ34" s="13" t="n"/>
      <c r="AK34" s="13" t="n"/>
      <c r="AL34" s="716" t="n"/>
      <c r="AM34" s="13" t="n"/>
      <c r="AN34" s="13" t="n"/>
      <c r="AO34" s="384" t="n"/>
      <c r="AP34" s="220" t="n"/>
      <c r="AQ34" s="13" t="n"/>
      <c r="AR34" s="13" t="n"/>
      <c r="AS34" s="13" t="n"/>
    </row>
    <row r="35" ht="32.1" customHeight="1" s="1181">
      <c r="A35" s="384" t="n"/>
      <c r="B35" s="384" t="n"/>
      <c r="C35" s="384" t="n"/>
      <c r="D35" s="384" t="n"/>
      <c r="E35" s="384" t="n"/>
      <c r="F35" s="384" t="n"/>
      <c r="G35" s="384" t="n"/>
      <c r="H35" s="384" t="n"/>
      <c r="I35" s="384" t="n"/>
      <c r="J35" s="384" t="n"/>
      <c r="K35" s="384" t="n"/>
      <c r="L35" s="384" t="n"/>
      <c r="M35" s="384" t="n"/>
      <c r="N35" s="384" t="n"/>
      <c r="O35" s="384" t="n"/>
      <c r="P35" s="384" t="n"/>
      <c r="Q35" s="384" t="n"/>
      <c r="R35" s="384" t="n"/>
      <c r="S35" s="32" t="n"/>
      <c r="T35" s="384" t="n"/>
      <c r="U35" s="384" t="n"/>
      <c r="V35" s="384" t="n"/>
      <c r="W35" s="384" t="n"/>
      <c r="X35" s="38" t="n"/>
      <c r="Y35" s="38" t="n"/>
      <c r="Z35" s="760" t="inlineStr">
        <is>
          <t>单体：上下文Entity选择本单体，Scope选择G_DUMMY，币种选LC，查看预算数据币种需要选择CNY</t>
        </is>
      </c>
      <c r="AA35" s="220" t="n"/>
      <c r="AB35" s="465" t="n"/>
      <c r="AC35" s="384" t="n"/>
      <c r="AD35" s="465" t="inlineStr">
        <is>
          <t>投资收益明细比较表</t>
        </is>
      </c>
      <c r="AE35" s="384" t="n"/>
      <c r="AF35" s="384" t="n"/>
      <c r="AG35" s="384" t="n"/>
      <c r="AH35" s="384" t="n"/>
      <c r="AI35" s="384" t="n"/>
      <c r="AJ35" s="384" t="n"/>
      <c r="AK35" s="384" t="n"/>
      <c r="AL35" s="384" t="n"/>
      <c r="AM35" s="384" t="n"/>
      <c r="AN35" s="384" t="n"/>
      <c r="AO35" s="384" t="n"/>
      <c r="AP35" s="384" t="n"/>
      <c r="AQ35" s="384" t="n"/>
      <c r="AR35" s="384" t="n"/>
      <c r="AS35" s="384" t="n"/>
    </row>
    <row r="36" ht="15.2" customFormat="1" customHeight="1" s="716">
      <c r="A36" s="716" t="n"/>
      <c r="B36" s="716" t="n"/>
      <c r="C36" s="716" t="n"/>
      <c r="D36" s="716" t="n"/>
      <c r="E36" s="716" t="n"/>
      <c r="F36" s="716" t="n"/>
      <c r="G36" s="716" t="n"/>
      <c r="H36" s="716" t="n"/>
      <c r="I36" s="716" t="n"/>
      <c r="J36" s="716" t="n"/>
      <c r="K36" s="716" t="n"/>
      <c r="L36" s="716" t="n"/>
      <c r="M36" s="716" t="n"/>
      <c r="N36" s="716" t="n"/>
      <c r="O36" s="716" t="n"/>
      <c r="P36" s="716" t="n"/>
      <c r="Q36" s="716" t="n"/>
      <c r="R36" s="716" t="n"/>
      <c r="S36" s="462" t="n"/>
      <c r="T36" s="716" t="n"/>
      <c r="U36" s="716" t="n"/>
      <c r="V36" s="716" t="n"/>
      <c r="W36" s="716" t="n"/>
      <c r="X36" s="190">
        <f>"编制单位："&amp;(IF(C6="E_ALL",D11,D6))</f>
        <v/>
      </c>
      <c r="Y36" s="190" t="n"/>
      <c r="Z36" s="760" t="inlineStr">
        <is>
          <t>合并层：上下文C_Scope选择对应的合并范围，C_Entity选择E_ALL，币种选CNY</t>
        </is>
      </c>
      <c r="AA36" s="203" t="n"/>
      <c r="AB36" s="716" t="n"/>
      <c r="AC36" s="716" t="n"/>
      <c r="AD36" s="716" t="n"/>
      <c r="AE36" s="716" t="n"/>
      <c r="AF36" s="716" t="n"/>
      <c r="AG36" s="716" t="n"/>
      <c r="AH36" s="716" t="n"/>
      <c r="AI36" s="716" t="n"/>
      <c r="AJ36" s="716" t="n"/>
      <c r="AK36" s="716" t="n"/>
      <c r="AL36" s="716" t="n"/>
      <c r="AM36" s="716" t="n"/>
      <c r="AN36" s="716" t="n"/>
      <c r="AO36" s="716" t="n"/>
      <c r="AP36" s="716" t="n"/>
      <c r="AQ36" s="716" t="n"/>
      <c r="AR36" s="716" t="n"/>
      <c r="AS36" s="716" t="n"/>
    </row>
    <row r="37" ht="15.2" customFormat="1" customHeight="1" s="716">
      <c r="A37" s="716" t="n"/>
      <c r="B37" s="716" t="n"/>
      <c r="C37" s="716" t="n"/>
      <c r="D37" s="716" t="n"/>
      <c r="E37" s="716" t="n"/>
      <c r="F37" s="716" t="n"/>
      <c r="G37" s="716" t="n"/>
      <c r="H37" s="716" t="n"/>
      <c r="I37" s="716" t="n"/>
      <c r="J37" s="716" t="n"/>
      <c r="K37" s="716" t="n"/>
      <c r="L37" s="716" t="n"/>
      <c r="M37" s="716" t="n"/>
      <c r="N37" s="716" t="n"/>
      <c r="O37" s="716" t="n"/>
      <c r="P37" s="716" t="n"/>
      <c r="Q37" s="716" t="n"/>
      <c r="R37" s="716" t="n"/>
      <c r="S37" s="462" t="n"/>
      <c r="T37" s="716" t="n"/>
      <c r="U37" s="716" t="n"/>
      <c r="V37" s="716" t="n"/>
      <c r="W37" s="716" t="n"/>
      <c r="X37" s="190">
        <f>"编制月份："&amp;$I$3&amp;"年"&amp;$I$8&amp;"月"</f>
        <v/>
      </c>
      <c r="Y37" s="190" t="n"/>
      <c r="Z37" s="190" t="inlineStr">
        <is>
          <t>币种：</t>
        </is>
      </c>
      <c r="AA37" s="716" t="inlineStr">
        <is>
          <t>LC</t>
        </is>
      </c>
      <c r="AB37" s="716" t="inlineStr">
        <is>
          <t>操作提示：表单默认币种LC（本位币），外币记账单位，可点击左侧，更换币种，更换后点击EPM选项卡中的“刷新”按钮</t>
        </is>
      </c>
      <c r="AC37" s="716" t="n"/>
      <c r="AD37" s="716" t="n"/>
      <c r="AE37" s="716" t="n"/>
      <c r="AF37" s="716" t="n"/>
      <c r="AG37" s="716" t="n"/>
      <c r="AH37" s="716" t="n"/>
      <c r="AI37" s="716" t="n"/>
      <c r="AJ37" s="716" t="n"/>
      <c r="AK37" s="716" t="n"/>
      <c r="AL37" s="716" t="n"/>
      <c r="AM37" s="716" t="n"/>
      <c r="AN37" s="716" t="n"/>
      <c r="AO37" s="716" t="n"/>
      <c r="AP37" s="716" t="n"/>
      <c r="AQ37" s="716" t="n"/>
      <c r="AR37" s="716" t="n"/>
      <c r="AS37" s="190" t="inlineStr">
        <is>
          <t>金额单位：元</t>
        </is>
      </c>
    </row>
    <row r="38" ht="15.2" customFormat="1" customHeight="1" s="716">
      <c r="A38" s="716" t="n"/>
      <c r="B38" s="716" t="n"/>
      <c r="C38" s="716" t="n"/>
      <c r="D38" s="716" t="n"/>
      <c r="E38" s="716" t="n"/>
      <c r="F38" s="716" t="n"/>
      <c r="G38" s="716" t="n"/>
      <c r="H38" s="716" t="n"/>
      <c r="I38" s="716" t="n"/>
      <c r="J38" s="716" t="n"/>
      <c r="K38" s="716" t="n"/>
      <c r="L38" s="716" t="n"/>
      <c r="M38" s="716" t="n"/>
      <c r="N38" s="716" t="n"/>
      <c r="O38" s="716" t="n"/>
      <c r="P38" s="716" t="n"/>
      <c r="Q38" s="716" t="n"/>
      <c r="R38" s="716" t="n"/>
      <c r="S38" s="462" t="n"/>
      <c r="T38" s="716" t="n"/>
      <c r="U38" s="716" t="n"/>
      <c r="V38" s="716" t="n"/>
      <c r="W38" s="716" t="n"/>
      <c r="X38" s="450" t="inlineStr">
        <is>
          <t>项目</t>
        </is>
      </c>
      <c r="Y38" s="450" t="inlineStr">
        <is>
          <t>行次</t>
        </is>
      </c>
      <c r="Z38" s="1256" t="inlineStr">
        <is>
          <t>本年实际</t>
        </is>
      </c>
      <c r="AA38" s="1183" t="n"/>
      <c r="AB38" s="1256" t="inlineStr">
        <is>
          <t>本月对比上月</t>
        </is>
      </c>
      <c r="AC38" s="1182" t="n"/>
      <c r="AD38" s="1183" t="n"/>
      <c r="AE38" s="1256" t="inlineStr">
        <is>
          <t>本月对比上年同期</t>
        </is>
      </c>
      <c r="AF38" s="1182" t="n"/>
      <c r="AG38" s="1183" t="n"/>
      <c r="AH38" s="1256" t="inlineStr">
        <is>
          <t>本年累计对比上年同期累计</t>
        </is>
      </c>
      <c r="AI38" s="1182" t="n"/>
      <c r="AJ38" s="1183" t="n"/>
      <c r="AK38" s="1256" t="inlineStr">
        <is>
          <t xml:space="preserve"> 本月预算完成情况 </t>
        </is>
      </c>
      <c r="AL38" s="1182" t="n"/>
      <c r="AM38" s="1183" t="n"/>
      <c r="AN38" s="1256" t="inlineStr">
        <is>
          <t xml:space="preserve"> 进度预算完成情况 </t>
        </is>
      </c>
      <c r="AO38" s="1182" t="n"/>
      <c r="AP38" s="1183" t="n"/>
      <c r="AQ38" s="1256" t="inlineStr">
        <is>
          <t xml:space="preserve"> 年度预算完成情况 </t>
        </is>
      </c>
      <c r="AR38" s="1182" t="n"/>
      <c r="AS38" s="1183" t="n"/>
    </row>
    <row r="39" ht="15.2" customFormat="1" customHeight="1" s="716">
      <c r="A39" s="716" t="n"/>
      <c r="B39" s="716" t="n"/>
      <c r="C39" s="716" t="n"/>
      <c r="D39" s="716" t="n"/>
      <c r="E39" s="716" t="n"/>
      <c r="F39" s="716" t="n"/>
      <c r="G39" s="716" t="n"/>
      <c r="H39" s="716" t="n"/>
      <c r="I39" s="716" t="n"/>
      <c r="J39" s="716" t="n"/>
      <c r="K39" s="716" t="n"/>
      <c r="L39" s="716" t="n"/>
      <c r="M39" s="716" t="n"/>
      <c r="N39" s="716" t="n"/>
      <c r="O39" s="716" t="n"/>
      <c r="P39" s="716" t="n"/>
      <c r="Q39" s="716" t="n"/>
      <c r="R39" s="716" t="n"/>
      <c r="S39" s="462" t="n"/>
      <c r="T39" s="716" t="n"/>
      <c r="U39" s="716" t="n"/>
      <c r="V39" s="716" t="n"/>
      <c r="W39" s="716" t="n"/>
      <c r="X39" s="1184" t="n"/>
      <c r="Y39" s="1184" t="n"/>
      <c r="Z39" s="1256" t="inlineStr">
        <is>
          <t>本月数</t>
        </is>
      </c>
      <c r="AA39" s="1256" t="inlineStr">
        <is>
          <t>本年累计</t>
        </is>
      </c>
      <c r="AB39" s="1256" t="inlineStr">
        <is>
          <t>上月数</t>
        </is>
      </c>
      <c r="AC39" s="1256" t="inlineStr">
        <is>
          <t>增减额</t>
        </is>
      </c>
      <c r="AD39" s="1256" t="inlineStr">
        <is>
          <t>增减（%）</t>
        </is>
      </c>
      <c r="AE39" s="1256" t="inlineStr">
        <is>
          <t>上年同期</t>
        </is>
      </c>
      <c r="AF39" s="1256" t="inlineStr">
        <is>
          <t>增减额</t>
        </is>
      </c>
      <c r="AG39" s="1256" t="inlineStr">
        <is>
          <t>增减（%）</t>
        </is>
      </c>
      <c r="AH39" s="1256" t="inlineStr">
        <is>
          <t>上年同期累计</t>
        </is>
      </c>
      <c r="AI39" s="1256" t="inlineStr">
        <is>
          <t>增减额</t>
        </is>
      </c>
      <c r="AJ39" s="1256" t="inlineStr">
        <is>
          <t>增减（%）</t>
        </is>
      </c>
      <c r="AK39" s="1256" t="inlineStr">
        <is>
          <t xml:space="preserve"> 月度预算 </t>
        </is>
      </c>
      <c r="AL39" s="1256" t="inlineStr">
        <is>
          <t xml:space="preserve"> 增减额 </t>
        </is>
      </c>
      <c r="AM39" s="1256" t="inlineStr">
        <is>
          <t xml:space="preserve"> 完成预算% </t>
        </is>
      </c>
      <c r="AN39" s="1256" t="inlineStr">
        <is>
          <t xml:space="preserve"> 进度预算 </t>
        </is>
      </c>
      <c r="AO39" s="1256" t="inlineStr">
        <is>
          <t xml:space="preserve"> 增减额 </t>
        </is>
      </c>
      <c r="AP39" s="1256" t="inlineStr">
        <is>
          <t xml:space="preserve"> 完成预算% </t>
        </is>
      </c>
      <c r="AQ39" s="1256" t="inlineStr">
        <is>
          <t xml:space="preserve"> 本年预算数 </t>
        </is>
      </c>
      <c r="AR39" s="1256" t="inlineStr">
        <is>
          <t xml:space="preserve"> 增减额 </t>
        </is>
      </c>
      <c r="AS39" s="1256" t="inlineStr">
        <is>
          <t xml:space="preserve"> 完成预算% </t>
        </is>
      </c>
    </row>
    <row r="40" hidden="1" ht="13.35" customFormat="1" customHeight="1" s="716">
      <c r="A40" s="716" t="n"/>
      <c r="B40" s="716" t="n"/>
      <c r="C40" s="716" t="n"/>
      <c r="D40" s="716" t="n"/>
      <c r="E40" s="716" t="n"/>
      <c r="F40" s="716" t="n"/>
      <c r="G40" s="716" t="n"/>
      <c r="H40" s="716" t="n"/>
      <c r="I40" s="716" t="n"/>
      <c r="J40" s="716" t="n"/>
      <c r="K40" s="716" t="n"/>
      <c r="L40" s="716" t="n"/>
      <c r="M40" s="716" t="n"/>
      <c r="N40" s="716" t="n"/>
      <c r="O40" s="716" t="n"/>
      <c r="P40" s="716" t="n"/>
      <c r="Q40" s="716" t="n"/>
      <c r="R40" s="716" t="n"/>
      <c r="S40" s="462" t="n"/>
      <c r="T40" s="716" t="n"/>
      <c r="U40" s="716" t="n"/>
      <c r="V40" s="716" t="n"/>
      <c r="W40" s="716" t="n"/>
      <c r="X40" s="515" t="inlineStr">
        <is>
          <t>time</t>
        </is>
      </c>
      <c r="Y40" s="515" t="n"/>
      <c r="Z40" s="469">
        <f>IF(_epmOfflineCondition_,"2025.03",EPMOlapMemberO(I11,"[C_TIME].[PARENTH1].[2025.03]","2025.03 - 2025.03","","000"))</f>
        <v/>
      </c>
      <c r="AA40" s="469">
        <f>IF(_epmOfflineCondition_,"2025.03",EPMOlapMemberO(I11,"[C_TIME].[PARENTH1].[2025.03]","2025.03 - 2025.03","","000"))</f>
        <v/>
      </c>
      <c r="AB40" s="469">
        <f>IF(_epmOfflineCondition_,"2025.02",EPMOlapMemberO($I$12,"[C_TIME].[PARENTH1].[2025.02]","2025.02 - 2025.02","","000"))</f>
        <v/>
      </c>
      <c r="AC40" s="1329" t="n"/>
      <c r="AD40" s="1329" t="n"/>
      <c r="AE40" s="469">
        <f>IF(_epmOfflineCondition_,"2024.03",EPMOlapMemberO($I$13,"[C_TIME].[PARENTH1].[2024.03]","2024.03 - 2024.03","","000"))</f>
        <v/>
      </c>
      <c r="AF40" s="1267" t="n"/>
      <c r="AG40" s="1267" t="n"/>
      <c r="AH40" s="469">
        <f>IF(_epmOfflineCondition_,"2024.03",EPMOlapMemberO($I$13,"[C_TIME].[PARENTH1].[2024.03]","2024.03 - 2024.03","","000"))</f>
        <v/>
      </c>
      <c r="AI40" s="469" t="n"/>
      <c r="AJ40" s="469" t="n"/>
      <c r="AK40" s="469">
        <f>IF(_epmOfflineCondition_,"2025.03",EPMOlapMemberO($AB$26,"[C_TIME].[PARENTH1].[2025.03]","2025.03 - 2025.03","","000"))</f>
        <v/>
      </c>
      <c r="AL40" s="469" t="n"/>
      <c r="AM40" s="469" t="n"/>
      <c r="AN40" s="469">
        <f>IF(_epmOfflineCondition_,"2025.03",EPMOlapMemberO($AB$26,"[C_TIME].[PARENTH1].[2025.03]","2025.03 - 2025.03","","000"))</f>
        <v/>
      </c>
      <c r="AO40" s="469" t="n"/>
      <c r="AP40" s="469" t="n"/>
      <c r="AQ40" s="469">
        <f>IF(_epmOfflineCondition_,"2024.02",EPMOlapMemberO(AQ33,"[C_TIME].[PARENTH1].[2024.02]","2024.02 - 2024.02","","000"))</f>
        <v/>
      </c>
      <c r="AR40" s="469" t="n"/>
      <c r="AS40" s="469" t="n"/>
    </row>
    <row r="41" hidden="1" ht="19.35" customFormat="1" customHeight="1" s="716">
      <c r="A41" s="716" t="n"/>
      <c r="B41" s="716" t="n"/>
      <c r="C41" s="716" t="n"/>
      <c r="D41" s="716" t="n"/>
      <c r="E41" s="716" t="n"/>
      <c r="F41" s="716" t="n"/>
      <c r="G41" s="716" t="n"/>
      <c r="H41" s="716" t="n"/>
      <c r="I41" s="716" t="n"/>
      <c r="J41" s="716" t="n"/>
      <c r="K41" s="716" t="n"/>
      <c r="L41" s="716" t="n"/>
      <c r="M41" s="716" t="n"/>
      <c r="N41" s="716" t="n"/>
      <c r="O41" s="716" t="n"/>
      <c r="P41" s="716" t="n"/>
      <c r="Q41" s="716" t="n"/>
      <c r="R41" s="716" t="n"/>
      <c r="S41" s="462" t="n"/>
      <c r="T41" s="716" t="n"/>
      <c r="U41" s="716" t="n"/>
      <c r="V41" s="716" t="n"/>
      <c r="W41" s="716" t="n"/>
      <c r="X41" s="515" t="inlineStr">
        <is>
          <t>category</t>
        </is>
      </c>
      <c r="Y41" s="515" t="n"/>
      <c r="Z41" s="672">
        <f>IF(_epmOfflineCondition_,"C1001",EPMOlapMemberO($AB$25,"[C_CATEGORY].[PARENTH1].[C1001]","C1001 - 实际数/决算数","","000"))</f>
        <v/>
      </c>
      <c r="AA41" s="672">
        <f>IF(_epmOfflineCondition_,"C1001",EPMOlapMemberO($AB$25,"[C_CATEGORY].[PARENTH1].[C1001]","C1001 - 实际数/决算数","","000"))</f>
        <v/>
      </c>
      <c r="AB41" s="672">
        <f>IF(_epmOfflineCondition_,"C1001",EPMOlapMemberO($AB$25,"[C_CATEGORY].[PARENTH1].[C1001]","C1001 - 实际数/决算数","","000"))</f>
        <v/>
      </c>
      <c r="AC41" s="672" t="n"/>
      <c r="AD41" s="672" t="n"/>
      <c r="AE41" s="672">
        <f>IF(_epmOfflineCondition_,"C1001",EPMOlapMemberO($AB$25,"[C_CATEGORY].[PARENTH1].[C1001]","C1001 - 实际数/决算数","","000"))</f>
        <v/>
      </c>
      <c r="AF41" s="182" t="n"/>
      <c r="AG41" s="182" t="n"/>
      <c r="AH41" s="182">
        <f>IF(_epmOfflineCondition_,"C1001",EPMOlapMemberO($AB$25,"[C_CATEGORY].[PARENTH1].[C1001]","C1001 - 实际数/决算数","","000"))</f>
        <v/>
      </c>
      <c r="AI41" s="182" t="n"/>
      <c r="AJ41" s="182" t="n"/>
      <c r="AK41" s="182">
        <f>IF(_epmOfflineCondition_,"C3003",EPMOlapMemberO(AK28,"[C_CATEGORY].[PARENTH1].[C3003]","C3003 - 进度预算（原""预算数（分解版）"")","","000"))</f>
        <v/>
      </c>
      <c r="AL41" s="182" t="n"/>
      <c r="AM41" s="182" t="n"/>
      <c r="AN41" s="182">
        <f>IF(_epmOfflineCondition_,"C3003",EPMOlapMemberO(AN28,"[C_CATEGORY].[PARENTH1].[C3003]","C3003 - 进度预算（原""预算数（分解版）"")","","000"))</f>
        <v/>
      </c>
      <c r="AO41" s="182" t="n"/>
      <c r="AP41" s="182" t="n"/>
      <c r="AQ41" s="182">
        <f>IF(_epmOfflineCondition_,"C3002",EPMOlapMemberO(AQ28,"[C_CATEGORY].[PARENTH1].[C3002]","C3002 - 月度预算（原""预算数（终稿）"")","","000"))</f>
        <v/>
      </c>
      <c r="AR41" s="182" t="n"/>
      <c r="AS41" s="182" t="n"/>
    </row>
    <row r="42" hidden="1" ht="12" customFormat="1" customHeight="1" s="716">
      <c r="A42" s="716" t="n"/>
      <c r="B42" s="716" t="n"/>
      <c r="C42" s="716" t="n"/>
      <c r="D42" s="716" t="n"/>
      <c r="E42" s="716" t="n"/>
      <c r="F42" s="716" t="n"/>
      <c r="G42" s="716" t="n"/>
      <c r="H42" s="716" t="n"/>
      <c r="I42" s="716" t="n"/>
      <c r="J42" s="716" t="n"/>
      <c r="K42" s="716" t="n"/>
      <c r="L42" s="716" t="n"/>
      <c r="M42" s="716" t="n"/>
      <c r="N42" s="716" t="n"/>
      <c r="O42" s="716" t="n"/>
      <c r="P42" s="716" t="n"/>
      <c r="Q42" s="716" t="n"/>
      <c r="R42" s="716" t="n"/>
      <c r="S42" s="462" t="n"/>
      <c r="T42" s="716" t="n"/>
      <c r="U42" s="716" t="n"/>
      <c r="V42" s="716" t="n"/>
      <c r="W42" s="716" t="n"/>
      <c r="X42" s="515" t="inlineStr">
        <is>
          <t>audittrail</t>
        </is>
      </c>
      <c r="Y42" s="515" t="n"/>
      <c r="Z42" s="672">
        <f>IF(_epmOfflineCondition_,"DALL",EPMOlapMemberO($AC$29,"[C_AUDITTRAIL].[PARENTH1].[DALL]","DALL - 合并后","","000"))</f>
        <v/>
      </c>
      <c r="AA42" s="672">
        <f>IF(_epmOfflineCondition_,"DALL",EPMOlapMemberO($AC$29,"[C_AUDITTRAIL].[PARENTH1].[DALL]","DALL - 合并后","","000"))</f>
        <v/>
      </c>
      <c r="AB42" s="672">
        <f>IF(_epmOfflineCondition_,"DALL",EPMOlapMemberO($AC$29,"[C_AUDITTRAIL].[PARENTH1].[DALL]","DALL - 合并后","","000"))</f>
        <v/>
      </c>
      <c r="AC42" s="657" t="n"/>
      <c r="AD42" s="657" t="n"/>
      <c r="AE42" s="672">
        <f>IF(_epmOfflineCondition_,"DALL",EPMOlapMemberO($AC$29,"[C_AUDITTRAIL].[PARENTH1].[DALL]","DALL - 合并后","","000"))</f>
        <v/>
      </c>
      <c r="AF42" s="182" t="n"/>
      <c r="AG42" s="182" t="n"/>
      <c r="AH42" s="182">
        <f>IF(_epmOfflineCondition_,"DALL",EPMOlapMemberO($AC$29,"[C_AUDITTRAIL].[PARENTH1].[DALL]","DALL - 合并后","","000"))</f>
        <v/>
      </c>
      <c r="AI42" s="182" t="n"/>
      <c r="AJ42" s="182" t="n"/>
      <c r="AK42" s="182">
        <f>IF(_epmOfflineCondition_,"DALL",EPMOlapMemberO($AC$29,"[C_AUDITTRAIL].[PARENTH1].[DALL]","DALL - 合并后","","000"))</f>
        <v/>
      </c>
      <c r="AL42" s="182" t="n"/>
      <c r="AM42" s="182" t="n"/>
      <c r="AN42" s="182">
        <f>IF(_epmOfflineCondition_,"DALL",EPMOlapMemberO($AC$29,"[C_AUDITTRAIL].[PARENTH1].[DALL]","DALL - 合并后","","000"))</f>
        <v/>
      </c>
      <c r="AO42" s="182" t="n"/>
      <c r="AP42" s="182" t="n"/>
      <c r="AQ42" s="182">
        <f>IF(_epmOfflineCondition_,"DALL",EPMOlapMemberO($AC$29,"[C_AUDITTRAIL].[PARENTH1].[DALL]","DALL - 合并后","","000"))</f>
        <v/>
      </c>
      <c r="AR42" s="182" t="n"/>
      <c r="AS42" s="182" t="n"/>
    </row>
    <row r="43" hidden="1" ht="9.6" customFormat="1" customHeight="1" s="716">
      <c r="A43" s="716" t="n"/>
      <c r="B43" s="716" t="n"/>
      <c r="C43" s="716" t="n"/>
      <c r="D43" s="716" t="n"/>
      <c r="E43" s="716" t="n"/>
      <c r="F43" s="716" t="n"/>
      <c r="G43" s="716" t="n"/>
      <c r="H43" s="716" t="n"/>
      <c r="I43" s="716" t="n"/>
      <c r="J43" s="716" t="n"/>
      <c r="K43" s="716" t="n"/>
      <c r="L43" s="716" t="n"/>
      <c r="M43" s="716" t="n"/>
      <c r="N43" s="716" t="n"/>
      <c r="O43" s="716" t="n"/>
      <c r="P43" s="716" t="n"/>
      <c r="Q43" s="716" t="n"/>
      <c r="R43" s="716" t="n"/>
      <c r="S43" s="462" t="n"/>
      <c r="T43" s="716" t="n"/>
      <c r="U43" s="716" t="n"/>
      <c r="V43" s="716" t="n"/>
      <c r="W43" s="716" t="n"/>
      <c r="X43" s="515" t="inlineStr">
        <is>
          <t>flow</t>
        </is>
      </c>
      <c r="Y43" s="515" t="n"/>
      <c r="Z43" s="672">
        <f>IF(_epmOfflineCondition_,"FMOV_OP",EPMOlapMemberO($AF$28,"[C_FLOW].[PARENTH4].[FMOV_OP]","FMOV_OP - 本期变动_经营","","000"))</f>
        <v/>
      </c>
      <c r="AA43" s="672">
        <f>IF(_epmOfflineCondition_,"FMOV_OP",EPMOlapMemberO($AF$28,"[C_FLOW].[PARENTH4].[FMOV_OP]","FMOV_OP - 本期变动_经营","","000"))</f>
        <v/>
      </c>
      <c r="AB43" s="672">
        <f>IF(_epmOfflineCondition_,"FMOV_OP",EPMOlapMemberO($AF$28,"[C_FLOW].[PARENTH4].[FMOV_OP]","FMOV_OP - 本期变动_经营","","000"))</f>
        <v/>
      </c>
      <c r="AC43" s="672" t="n"/>
      <c r="AD43" s="672" t="n"/>
      <c r="AE43" s="672">
        <f>IF(_epmOfflineCondition_,"FMOV_OP",EPMOlapMemberO($AF$28,"[C_FLOW].[PARENTH4].[FMOV_OP]","FMOV_OP - 本期变动_经营","","000"))</f>
        <v/>
      </c>
      <c r="AF43" s="182" t="n"/>
      <c r="AG43" s="182" t="n"/>
      <c r="AH43" s="182">
        <f>IF(_epmOfflineCondition_,"FMOV_OP",EPMOlapMemberO($AF$28,"[C_FLOW].[PARENTH4].[FMOV_OP]","FMOV_OP - 本期变动_经营","","000"))</f>
        <v/>
      </c>
      <c r="AI43" s="182" t="n"/>
      <c r="AJ43" s="182" t="n"/>
      <c r="AK43" s="182">
        <f>IF(_epmOfflineCondition_,"FMOV_OP",EPMOlapMemberO($AF$28,"[C_FLOW].[PARENTH4].[FMOV_OP]","FMOV_OP - 本期变动_经营","","000"))</f>
        <v/>
      </c>
      <c r="AL43" s="182" t="n"/>
      <c r="AM43" s="182" t="n"/>
      <c r="AN43" s="182">
        <f>IF(_epmOfflineCondition_,"FMOV_OP",EPMOlapMemberO($AF$28,"[C_FLOW].[PARENTH4].[FMOV_OP]","FMOV_OP - 本期变动_经营","","000"))</f>
        <v/>
      </c>
      <c r="AO43" s="182" t="n"/>
      <c r="AP43" s="182" t="n"/>
      <c r="AQ43" s="182">
        <f>IF(_epmOfflineCondition_,"FMOV_OP",EPMOlapMemberO($AF$28,"[C_FLOW].[PARENTH4].[FMOV_OP]","FMOV_OP - 本期变动_经营","","000"))</f>
        <v/>
      </c>
      <c r="AR43" s="182" t="n"/>
      <c r="AS43" s="182" t="n"/>
    </row>
    <row r="44" hidden="1" ht="23.45" customFormat="1" customHeight="1" s="716">
      <c r="A44" s="716" t="n"/>
      <c r="B44" s="716" t="n"/>
      <c r="C44" s="716" t="n"/>
      <c r="D44" s="716" t="n"/>
      <c r="E44" s="716" t="n"/>
      <c r="F44" s="716" t="n"/>
      <c r="G44" s="716" t="n"/>
      <c r="H44" s="716" t="n"/>
      <c r="I44" s="716" t="n"/>
      <c r="J44" s="716" t="n"/>
      <c r="K44" s="716" t="n"/>
      <c r="L44" s="716" t="n"/>
      <c r="M44" s="716" t="n"/>
      <c r="N44" s="716" t="n"/>
      <c r="O44" s="716" t="n"/>
      <c r="P44" s="716" t="n"/>
      <c r="Q44" s="716" t="n"/>
      <c r="R44" s="716" t="n"/>
      <c r="S44" s="462" t="n"/>
      <c r="T44" s="716" t="n"/>
      <c r="U44" s="716" t="n"/>
      <c r="V44" s="716" t="n"/>
      <c r="W44" s="716" t="n"/>
      <c r="X44" s="515" t="inlineStr">
        <is>
          <t>measures</t>
        </is>
      </c>
      <c r="Y44" s="515" t="n"/>
      <c r="Z44" s="672">
        <f>IF(_epmOfflineCondition_,"Periodic",EPMOlapMemberO($AC$27,"[MEASURES].[].[PERIODIC]","PERIODIC - Periodic","","000"))</f>
        <v/>
      </c>
      <c r="AA44" s="672">
        <f>IF(_epmOfflineCondition_,"YTD",EPMOlapMemberO($AB$27,"[MEASURES].[].[YTD]","YTD - Year To Date","","000"))</f>
        <v/>
      </c>
      <c r="AB44" s="672">
        <f>IF(_epmOfflineCondition_,"Periodic",EPMOlapMemberO($AC$27,"[MEASURES].[].[PERIODIC]","PERIODIC - Periodic","","000"))</f>
        <v/>
      </c>
      <c r="AC44" s="672" t="n"/>
      <c r="AD44" s="672" t="n"/>
      <c r="AE44" s="672">
        <f>IF(_epmOfflineCondition_,"Periodic",EPMOlapMemberO($AC$27,"[MEASURES].[].[PERIODIC]","PERIODIC - Periodic","","000"))</f>
        <v/>
      </c>
      <c r="AF44" s="182" t="n"/>
      <c r="AG44" s="182" t="n"/>
      <c r="AH44" s="182">
        <f>IF(_epmOfflineCondition_,"YTD",EPMOlapMemberO($AH$31,"[MEASURES].[].[YTD]","YTD - Year To Date","","000"))</f>
        <v/>
      </c>
      <c r="AI44" s="182" t="n"/>
      <c r="AJ44" s="182" t="n"/>
      <c r="AK44" s="182">
        <f>IF(_epmOfflineCondition_,"Periodic",EPMOlapMemberO($AC$27,"[MEASURES].[].[PERIODIC]","PERIODIC - Periodic","","000"))</f>
        <v/>
      </c>
      <c r="AL44" s="182" t="n"/>
      <c r="AM44" s="182" t="n"/>
      <c r="AN44" s="182">
        <f>IF(_epmOfflineCondition_,"YTD",EPMOlapMemberO($AN$29,"[MEASURES].[].[YTD]","YTD - Year To Date","","000"))</f>
        <v/>
      </c>
      <c r="AO44" s="182" t="n"/>
      <c r="AP44" s="182" t="n"/>
      <c r="AQ44" s="182">
        <f>IF(_epmOfflineCondition_,"YTD",EPMOlapMemberO($AN$29,"[MEASURES].[].[YTD]","YTD - Year To Date","","000"))</f>
        <v/>
      </c>
      <c r="AR44" s="182" t="n"/>
      <c r="AS44" s="182" t="n"/>
    </row>
    <row r="45" ht="14.45" customFormat="1" customHeight="1" s="716">
      <c r="A45" s="716" t="n"/>
      <c r="B45" s="716" t="n"/>
      <c r="C45" s="716" t="n"/>
      <c r="D45" s="716" t="n"/>
      <c r="E45" s="716" t="n"/>
      <c r="F45" s="716" t="n"/>
      <c r="G45" s="716" t="n"/>
      <c r="H45" s="716" t="n"/>
      <c r="I45" s="716" t="n"/>
      <c r="J45" s="716" t="n"/>
      <c r="K45" s="716" t="n"/>
      <c r="L45" s="716" t="n"/>
      <c r="M45" s="716" t="n"/>
      <c r="N45" s="716" t="n"/>
      <c r="O45" s="384" t="n"/>
      <c r="P45" s="716" t="n"/>
      <c r="Q45" s="716" t="n"/>
      <c r="R45" s="716" t="n"/>
      <c r="S45" s="462" t="n"/>
      <c r="T45" s="716" t="n"/>
      <c r="U45" s="462" t="inlineStr">
        <is>
          <t>A0020212</t>
        </is>
      </c>
      <c r="V45" s="462">
        <f>IF(_epmOfflineCondition_,"A0020212",EPMOlapMemberO(U45,"[C_ACCOUNT].[PARENTH1].[A0020212]","A0020212 - 　      投资收益（损失以“-""号填列）","","000"))</f>
        <v/>
      </c>
      <c r="W45" s="462" t="n"/>
      <c r="X45" s="1335" t="inlineStr">
        <is>
          <t>合计</t>
        </is>
      </c>
      <c r="Y45" s="673" t="inlineStr"/>
      <c r="Z45" s="1307" t="n"/>
      <c r="AA45" s="1307" t="n"/>
      <c r="AB45" s="1336" t="n"/>
      <c r="AC45" s="1307">
        <f>Z45-AB45</f>
        <v/>
      </c>
      <c r="AD45" s="1307">
        <f>IF(AB45=0,0,(Z45-AB45)/AB45*100)</f>
        <v/>
      </c>
      <c r="AE45" s="1307" t="n"/>
      <c r="AF45" s="1307">
        <f>Z45-AE45</f>
        <v/>
      </c>
      <c r="AG45" s="1307">
        <f>IF(AE45=0,0,(Z45-AE45)/AE45*100)</f>
        <v/>
      </c>
      <c r="AH45" s="1307" t="n"/>
      <c r="AI45" s="1307">
        <f>AA45-AH45</f>
        <v/>
      </c>
      <c r="AJ45" s="1307">
        <f>IF(AH45=0,0,(AA45-AH45)/AH45*100)</f>
        <v/>
      </c>
      <c r="AK45" s="1337" t="n"/>
      <c r="AL45" s="1337">
        <f>Z45-AK45</f>
        <v/>
      </c>
      <c r="AM45" s="1337">
        <f>IFERROR(Z45/AK45,0)</f>
        <v/>
      </c>
      <c r="AN45" s="1337" t="n"/>
      <c r="AO45" s="1337">
        <f>AA45-AN45</f>
        <v/>
      </c>
      <c r="AP45" s="1337">
        <f>IFERROR(AA45/AN45,0)</f>
        <v/>
      </c>
      <c r="AQ45" s="1337" t="n"/>
      <c r="AR45" s="1338">
        <f>AA45-AQ45</f>
        <v/>
      </c>
      <c r="AS45" s="1338">
        <f>IFERROR(AA45/AQ45,0)</f>
        <v/>
      </c>
    </row>
    <row r="46" ht="14.45" customFormat="1" customHeight="1" s="716">
      <c r="A46" s="716" t="n"/>
      <c r="B46" s="716" t="n"/>
      <c r="C46" s="716" t="n"/>
      <c r="D46" s="716" t="n"/>
      <c r="E46" s="716" t="n"/>
      <c r="F46" s="716" t="n"/>
      <c r="G46" s="716" t="n"/>
      <c r="H46" s="716" t="n"/>
      <c r="I46" s="716" t="n"/>
      <c r="J46" s="716" t="n"/>
      <c r="K46" s="716" t="n"/>
      <c r="L46" s="716" t="n"/>
      <c r="M46" s="716" t="n"/>
      <c r="N46" s="716" t="n"/>
      <c r="O46" s="384" t="n"/>
      <c r="P46" s="716" t="n"/>
      <c r="Q46" s="716" t="n"/>
      <c r="R46" s="716" t="n"/>
      <c r="S46" s="462" t="n"/>
      <c r="T46" s="716" t="n"/>
      <c r="U46" s="455" t="inlineStr">
        <is>
          <t>A611101</t>
        </is>
      </c>
      <c r="V46" s="455">
        <f>IF(_epmOfflineCondition_,"A611101",EPMOlapMemberO(U46,"[C_ACCOUNT].[PARENTH1].[A611101]","A611101 - 投资收益-交易性金融资产","","000"))</f>
        <v/>
      </c>
      <c r="W46" s="462" t="n"/>
      <c r="X46" s="1339" t="inlineStr">
        <is>
          <t>交易性金融资产收益</t>
        </is>
      </c>
      <c r="Y46" s="673" t="inlineStr"/>
      <c r="Z46" s="1307" t="n"/>
      <c r="AA46" s="1307" t="n"/>
      <c r="AB46" s="1336" t="n"/>
      <c r="AC46" s="1307">
        <f>Z46-AB46</f>
        <v/>
      </c>
      <c r="AD46" s="1307">
        <f>IF(AB46=0,0,(Z46-AB46)/AB46*100)</f>
        <v/>
      </c>
      <c r="AE46" s="1307" t="n"/>
      <c r="AF46" s="1307">
        <f>Z46-AE46</f>
        <v/>
      </c>
      <c r="AG46" s="1307">
        <f>IF(AE46=0,0,(Z46-AE46)/AE46*100)</f>
        <v/>
      </c>
      <c r="AH46" s="1307" t="n"/>
      <c r="AI46" s="1307">
        <f>AA46-AH46</f>
        <v/>
      </c>
      <c r="AJ46" s="1307">
        <f>IF(AH46=0,0,(AA46-AH46)/AH46*100)</f>
        <v/>
      </c>
      <c r="AK46" s="1337" t="n"/>
      <c r="AL46" s="1337">
        <f>Z46-AK46</f>
        <v/>
      </c>
      <c r="AM46" s="1337">
        <f>IFERROR(Z46/AK46,0)</f>
        <v/>
      </c>
      <c r="AN46" s="1337" t="n"/>
      <c r="AO46" s="1337">
        <f>AA46-AN46</f>
        <v/>
      </c>
      <c r="AP46" s="1337">
        <f>IFERROR(AA46/AN46,0)</f>
        <v/>
      </c>
      <c r="AQ46" s="1337" t="n"/>
      <c r="AR46" s="1338">
        <f>AA46-AQ46</f>
        <v/>
      </c>
      <c r="AS46" s="1338">
        <f>IFERROR(AA46/AQ46,0)</f>
        <v/>
      </c>
    </row>
    <row r="47" ht="14.45" customFormat="1" customHeight="1" s="716">
      <c r="A47" s="716" t="n"/>
      <c r="B47" s="716" t="n"/>
      <c r="C47" s="716" t="n"/>
      <c r="D47" s="716" t="n"/>
      <c r="E47" s="716" t="n"/>
      <c r="F47" s="716" t="n"/>
      <c r="G47" s="716" t="n"/>
      <c r="H47" s="716" t="n"/>
      <c r="I47" s="716" t="n"/>
      <c r="J47" s="716" t="n"/>
      <c r="K47" s="716" t="n"/>
      <c r="L47" s="716" t="n"/>
      <c r="M47" s="716" t="n"/>
      <c r="N47" s="716" t="n"/>
      <c r="O47" s="384" t="n"/>
      <c r="P47" s="716" t="n"/>
      <c r="Q47" s="716" t="n"/>
      <c r="R47" s="716" t="n"/>
      <c r="S47" s="462" t="n"/>
      <c r="T47" s="716" t="n"/>
      <c r="U47" s="535" t="inlineStr">
        <is>
          <t>A6111010100</t>
        </is>
      </c>
      <c r="V47" s="535">
        <f>IF(_epmOfflineCondition_,"A6111010100",EPMOlapMemberO(U47,"[C_ACCOUNT].[PARENTH1].[A6111010100]","A6111010100 - 投资收益-交易性金融资产-持有期间收益","","000"))</f>
        <v/>
      </c>
      <c r="W47" s="462" t="n"/>
      <c r="X47" s="1340" t="inlineStr">
        <is>
          <t>持有期间收益</t>
        </is>
      </c>
      <c r="Y47" s="673" t="inlineStr"/>
      <c r="Z47" s="1307" t="n"/>
      <c r="AA47" s="1307" t="n"/>
      <c r="AB47" s="1336" t="n"/>
      <c r="AC47" s="1307">
        <f>Z47-AB47</f>
        <v/>
      </c>
      <c r="AD47" s="1307">
        <f>IF(AB47=0,0,(Z47-AB47)/AB47*100)</f>
        <v/>
      </c>
      <c r="AE47" s="1307" t="n"/>
      <c r="AF47" s="1307">
        <f>Z47-AE47</f>
        <v/>
      </c>
      <c r="AG47" s="1307">
        <f>IF(AE47=0,0,(Z47-AE47)/AE47*100)</f>
        <v/>
      </c>
      <c r="AH47" s="1307" t="n"/>
      <c r="AI47" s="1307">
        <f>AA47-AH47</f>
        <v/>
      </c>
      <c r="AJ47" s="1307">
        <f>IF(AH47=0,0,(AA47-AH47)/AH47*100)</f>
        <v/>
      </c>
      <c r="AK47" s="1337" t="n"/>
      <c r="AL47" s="1337">
        <f>Z47-AK47</f>
        <v/>
      </c>
      <c r="AM47" s="1337">
        <f>IFERROR(Z47/AK47,0)</f>
        <v/>
      </c>
      <c r="AN47" s="1337" t="n"/>
      <c r="AO47" s="1337">
        <f>AA47-AN47</f>
        <v/>
      </c>
      <c r="AP47" s="1337">
        <f>IFERROR(AA47/AN47,0)</f>
        <v/>
      </c>
      <c r="AQ47" s="1337" t="n"/>
      <c r="AR47" s="1338">
        <f>AA47-AQ47</f>
        <v/>
      </c>
      <c r="AS47" s="1338">
        <f>IFERROR(AA47/AQ47,0)</f>
        <v/>
      </c>
    </row>
    <row r="48" ht="14.45" customFormat="1" customHeight="1" s="716">
      <c r="A48" s="716" t="n"/>
      <c r="B48" s="716" t="n"/>
      <c r="C48" s="716" t="n"/>
      <c r="D48" s="716" t="n"/>
      <c r="E48" s="716" t="n"/>
      <c r="F48" s="716" t="n"/>
      <c r="G48" s="716" t="n"/>
      <c r="H48" s="716" t="n"/>
      <c r="I48" s="716" t="n"/>
      <c r="J48" s="716" t="n"/>
      <c r="K48" s="716" t="n"/>
      <c r="L48" s="716" t="n"/>
      <c r="M48" s="716" t="n"/>
      <c r="N48" s="716" t="n"/>
      <c r="O48" s="384" t="n"/>
      <c r="P48" s="716" t="n"/>
      <c r="Q48" s="716" t="n"/>
      <c r="R48" s="716" t="n"/>
      <c r="S48" s="462" t="n"/>
      <c r="T48" s="716" t="n"/>
      <c r="U48" s="535" t="inlineStr">
        <is>
          <t>A6111010200</t>
        </is>
      </c>
      <c r="V48" s="535">
        <f>IF(_epmOfflineCondition_,"A6111010200",EPMOlapMemberO(U48,"[C_ACCOUNT].[PARENTH1].[A6111010200]","A6111010200 - 投资收益-交易性金融资产-处置投资收益","","000"))</f>
        <v/>
      </c>
      <c r="W48" s="462" t="n"/>
      <c r="X48" s="1340" t="inlineStr">
        <is>
          <t>处置投资收益</t>
        </is>
      </c>
      <c r="Y48" s="673" t="inlineStr"/>
      <c r="Z48" s="1307" t="n"/>
      <c r="AA48" s="1307" t="n"/>
      <c r="AB48" s="1336" t="n"/>
      <c r="AC48" s="1307">
        <f>Z48-AB48</f>
        <v/>
      </c>
      <c r="AD48" s="1307">
        <f>IF(AB48=0,0,(Z48-AB48)/AB48*100)</f>
        <v/>
      </c>
      <c r="AE48" s="1307" t="n"/>
      <c r="AF48" s="1307">
        <f>Z48-AE48</f>
        <v/>
      </c>
      <c r="AG48" s="1307">
        <f>IF(AE48=0,0,(Z48-AE48)/AE48*100)</f>
        <v/>
      </c>
      <c r="AH48" s="1307" t="n"/>
      <c r="AI48" s="1307">
        <f>AA48-AH48</f>
        <v/>
      </c>
      <c r="AJ48" s="1307">
        <f>IF(AH48=0,0,(AA48-AH48)/AH48*100)</f>
        <v/>
      </c>
      <c r="AK48" s="1337" t="n"/>
      <c r="AL48" s="1337">
        <f>Z48-AK48</f>
        <v/>
      </c>
      <c r="AM48" s="1337">
        <f>IFERROR(Z48/AK48,0)</f>
        <v/>
      </c>
      <c r="AN48" s="1337" t="n"/>
      <c r="AO48" s="1337">
        <f>AA48-AN48</f>
        <v/>
      </c>
      <c r="AP48" s="1337">
        <f>IFERROR(AA48/AN48,0)</f>
        <v/>
      </c>
      <c r="AQ48" s="1337" t="n"/>
      <c r="AR48" s="1338">
        <f>AA48-AQ48</f>
        <v/>
      </c>
      <c r="AS48" s="1338">
        <f>IFERROR(AA48/AQ48,0)</f>
        <v/>
      </c>
    </row>
    <row r="49" ht="14.45" customFormat="1" customHeight="1" s="716">
      <c r="A49" s="716" t="n"/>
      <c r="B49" s="716" t="n"/>
      <c r="C49" s="716" t="n"/>
      <c r="D49" s="716" t="n"/>
      <c r="E49" s="716" t="n"/>
      <c r="F49" s="716" t="n"/>
      <c r="G49" s="716" t="n"/>
      <c r="H49" s="716" t="n"/>
      <c r="I49" s="716" t="n"/>
      <c r="J49" s="716" t="n"/>
      <c r="K49" s="716" t="n"/>
      <c r="L49" s="716" t="n"/>
      <c r="M49" s="716" t="n"/>
      <c r="N49" s="716" t="n"/>
      <c r="O49" s="384" t="n"/>
      <c r="P49" s="716" t="n"/>
      <c r="Q49" s="716" t="n"/>
      <c r="R49" s="716" t="n"/>
      <c r="S49" s="462" t="n"/>
      <c r="T49" s="716" t="n"/>
      <c r="U49" s="455" t="inlineStr">
        <is>
          <t>A6111090002</t>
        </is>
      </c>
      <c r="V49" s="455">
        <f>IF(_epmOfflineCondition_,"A6111090002",EPMOlapMemberO(U49,"[C_ACCOUNT].[PARENTH1].[A6111090002]","A6111090002 - 投资收益-其他权益工具投资","","000"))</f>
        <v/>
      </c>
      <c r="W49" s="462" t="n"/>
      <c r="X49" s="1341" t="inlineStr">
        <is>
          <t>其他权益工具投资收益</t>
        </is>
      </c>
      <c r="Y49" s="673" t="inlineStr"/>
      <c r="Z49" s="1307" t="n"/>
      <c r="AA49" s="1307" t="n"/>
      <c r="AB49" s="1336" t="n"/>
      <c r="AC49" s="1307">
        <f>Z49-AB49</f>
        <v/>
      </c>
      <c r="AD49" s="1307">
        <f>IF(AB49=0,0,(Z49-AB49)/AB49*100)</f>
        <v/>
      </c>
      <c r="AE49" s="1307" t="n"/>
      <c r="AF49" s="1307">
        <f>Z49-AE49</f>
        <v/>
      </c>
      <c r="AG49" s="1307">
        <f>IF(AE49=0,0,(Z49-AE49)/AE49*100)</f>
        <v/>
      </c>
      <c r="AH49" s="1307" t="n"/>
      <c r="AI49" s="1307">
        <f>AA49-AH49</f>
        <v/>
      </c>
      <c r="AJ49" s="1307">
        <f>IF(AH49=0,0,(AA49-AH49)/AH49*100)</f>
        <v/>
      </c>
      <c r="AK49" s="1337" t="n"/>
      <c r="AL49" s="1337">
        <f>Z49-AK49</f>
        <v/>
      </c>
      <c r="AM49" s="1337">
        <f>IFERROR(Z49/AK49,0)</f>
        <v/>
      </c>
      <c r="AN49" s="1337" t="n"/>
      <c r="AO49" s="1337">
        <f>AA49-AN49</f>
        <v/>
      </c>
      <c r="AP49" s="1337">
        <f>IFERROR(AA49/AN49,0)</f>
        <v/>
      </c>
      <c r="AQ49" s="1337" t="n"/>
      <c r="AR49" s="1338">
        <f>AA49-AQ49</f>
        <v/>
      </c>
      <c r="AS49" s="1338">
        <f>IFERROR(AA49/AQ49,0)</f>
        <v/>
      </c>
    </row>
    <row r="50">
      <c r="A50" s="384" t="n"/>
      <c r="B50" s="384" t="n"/>
      <c r="C50" s="384" t="n"/>
      <c r="D50" s="384" t="n"/>
      <c r="E50" s="384" t="n"/>
      <c r="F50" s="384" t="n"/>
      <c r="G50" s="384" t="n"/>
      <c r="H50" s="384" t="n"/>
      <c r="I50" s="384" t="n"/>
      <c r="J50" s="384" t="n"/>
      <c r="K50" s="384" t="n"/>
      <c r="L50" s="384" t="n"/>
      <c r="M50" s="384" t="n"/>
      <c r="N50" s="384" t="n"/>
      <c r="O50" s="384" t="n"/>
      <c r="P50" s="384" t="n"/>
      <c r="Q50" s="384" t="n"/>
      <c r="R50" s="384" t="n"/>
      <c r="S50" s="462" t="n"/>
      <c r="T50" s="384" t="n"/>
      <c r="U50" s="455" t="inlineStr">
        <is>
          <t>A611113</t>
        </is>
      </c>
      <c r="V50" s="455">
        <f>IF(_epmOfflineCondition_,"A611113",EPMOlapMemberO(U50,"[C_ACCOUNT].[PARENTH1].[A611113]","A611113 - 投资收益-债权投资","","000"))</f>
        <v/>
      </c>
      <c r="W50" s="384" t="n"/>
      <c r="X50" s="1339" t="inlineStr">
        <is>
          <t>债权投资收益</t>
        </is>
      </c>
      <c r="Y50" s="673" t="inlineStr"/>
      <c r="Z50" s="1307" t="n"/>
      <c r="AA50" s="1307" t="n"/>
      <c r="AB50" s="1336" t="n"/>
      <c r="AC50" s="1307">
        <f>Z50-AB50</f>
        <v/>
      </c>
      <c r="AD50" s="1307">
        <f>IF(AB50=0,0,(Z50-AB50)/AB50*100)</f>
        <v/>
      </c>
      <c r="AE50" s="1307" t="n"/>
      <c r="AF50" s="1307">
        <f>Z50-AE50</f>
        <v/>
      </c>
      <c r="AG50" s="1307">
        <f>IF(AE50=0,0,(Z50-AE50)/AE50*100)</f>
        <v/>
      </c>
      <c r="AH50" s="1307" t="n"/>
      <c r="AI50" s="1307">
        <f>AA50-AH50</f>
        <v/>
      </c>
      <c r="AJ50" s="1307">
        <f>IF(AH50=0,0,(AA50-AH50)/AH50*100)</f>
        <v/>
      </c>
      <c r="AK50" s="1337" t="n"/>
      <c r="AL50" s="1337">
        <f>Z50-AK50</f>
        <v/>
      </c>
      <c r="AM50" s="1337">
        <f>IFERROR(Z50/AK50,0)</f>
        <v/>
      </c>
      <c r="AN50" s="1337" t="n"/>
      <c r="AO50" s="1337">
        <f>AA50-AN50</f>
        <v/>
      </c>
      <c r="AP50" s="1337">
        <f>IFERROR(AA50/AN50,0)</f>
        <v/>
      </c>
      <c r="AQ50" s="1337" t="n"/>
      <c r="AR50" s="1338">
        <f>AA50-AQ50</f>
        <v/>
      </c>
      <c r="AS50" s="1338">
        <f>IFERROR(AA50/AQ50,0)</f>
        <v/>
      </c>
    </row>
    <row r="51">
      <c r="A51" s="384" t="n"/>
      <c r="B51" s="384" t="n"/>
      <c r="C51" s="384" t="n"/>
      <c r="D51" s="384" t="n"/>
      <c r="E51" s="384" t="n"/>
      <c r="F51" s="384" t="n"/>
      <c r="G51" s="384" t="n"/>
      <c r="H51" s="384" t="n"/>
      <c r="I51" s="384" t="n"/>
      <c r="J51" s="384" t="n"/>
      <c r="K51" s="384" t="n"/>
      <c r="L51" s="384" t="n"/>
      <c r="M51" s="384" t="n"/>
      <c r="N51" s="384" t="n"/>
      <c r="O51" s="384" t="n"/>
      <c r="P51" s="384" t="n"/>
      <c r="Q51" s="384" t="n"/>
      <c r="R51" s="384" t="n"/>
      <c r="S51" s="462" t="n"/>
      <c r="T51" s="384" t="n"/>
      <c r="U51" s="535" t="inlineStr">
        <is>
          <t>A6111130100</t>
        </is>
      </c>
      <c r="V51" s="535">
        <f>IF(_epmOfflineCondition_,"A6111130100",EPMOlapMemberO(U51,"[C_ACCOUNT].[PARENTH1].[A6111130100]","A6111130100 - 投资收益-债权投资-持有期间收益","","000"))</f>
        <v/>
      </c>
      <c r="W51" s="384" t="n"/>
      <c r="X51" s="1340" t="inlineStr">
        <is>
          <t>持有期间收益</t>
        </is>
      </c>
      <c r="Y51" s="673" t="inlineStr"/>
      <c r="Z51" s="1307" t="n"/>
      <c r="AA51" s="1307" t="n"/>
      <c r="AB51" s="1336" t="n"/>
      <c r="AC51" s="1307">
        <f>Z51-AB51</f>
        <v/>
      </c>
      <c r="AD51" s="1307">
        <f>IF(AB51=0,0,(Z51-AB51)/AB51*100)</f>
        <v/>
      </c>
      <c r="AE51" s="1307" t="n"/>
      <c r="AF51" s="1307">
        <f>Z51-AE51</f>
        <v/>
      </c>
      <c r="AG51" s="1307">
        <f>IF(AE51=0,0,(Z51-AE51)/AE51*100)</f>
        <v/>
      </c>
      <c r="AH51" s="1307" t="n"/>
      <c r="AI51" s="1307">
        <f>AA51-AH51</f>
        <v/>
      </c>
      <c r="AJ51" s="1307">
        <f>IF(AH51=0,0,(AA51-AH51)/AH51*100)</f>
        <v/>
      </c>
      <c r="AK51" s="1337" t="n"/>
      <c r="AL51" s="1337">
        <f>Z51-AK51</f>
        <v/>
      </c>
      <c r="AM51" s="1337">
        <f>IFERROR(Z51/AK51,0)</f>
        <v/>
      </c>
      <c r="AN51" s="1337" t="n"/>
      <c r="AO51" s="1337">
        <f>AA51-AN51</f>
        <v/>
      </c>
      <c r="AP51" s="1337">
        <f>IFERROR(AA51/AN51,0)</f>
        <v/>
      </c>
      <c r="AQ51" s="1337" t="n"/>
      <c r="AR51" s="1338">
        <f>AA51-AQ51</f>
        <v/>
      </c>
      <c r="AS51" s="1338">
        <f>IFERROR(AA51/AQ51,0)</f>
        <v/>
      </c>
    </row>
    <row r="52">
      <c r="A52" s="384" t="n"/>
      <c r="B52" s="384" t="n"/>
      <c r="C52" s="384" t="n"/>
      <c r="D52" s="384" t="n"/>
      <c r="E52" s="384" t="n"/>
      <c r="F52" s="384" t="n"/>
      <c r="G52" s="384" t="n"/>
      <c r="H52" s="384" t="n"/>
      <c r="I52" s="384" t="n"/>
      <c r="J52" s="384" t="n"/>
      <c r="K52" s="384" t="n"/>
      <c r="L52" s="384" t="n"/>
      <c r="M52" s="384" t="n"/>
      <c r="N52" s="384" t="n"/>
      <c r="O52" s="384" t="n"/>
      <c r="P52" s="384" t="n"/>
      <c r="Q52" s="384" t="n"/>
      <c r="R52" s="384" t="n"/>
      <c r="S52" s="462" t="n"/>
      <c r="T52" s="384" t="n"/>
      <c r="U52" s="535" t="inlineStr">
        <is>
          <t>A6111130200</t>
        </is>
      </c>
      <c r="V52" s="535">
        <f>IF(_epmOfflineCondition_,"A6111130200",EPMOlapMemberO(U52,"[C_ACCOUNT].[PARENTH1].[A6111130200]","A6111130200 - 投资收益-债权投资-处置投资收益","","000"))</f>
        <v/>
      </c>
      <c r="W52" s="384" t="n"/>
      <c r="X52" s="1340" t="inlineStr">
        <is>
          <t>处置投资收益</t>
        </is>
      </c>
      <c r="Y52" s="673" t="inlineStr"/>
      <c r="Z52" s="1307" t="n"/>
      <c r="AA52" s="1307" t="n"/>
      <c r="AB52" s="1336" t="n"/>
      <c r="AC52" s="1307">
        <f>Z52-AB52</f>
        <v/>
      </c>
      <c r="AD52" s="1307">
        <f>IF(AB52=0,0,(Z52-AB52)/AB52*100)</f>
        <v/>
      </c>
      <c r="AE52" s="1307" t="n"/>
      <c r="AF52" s="1307">
        <f>Z52-AE52</f>
        <v/>
      </c>
      <c r="AG52" s="1307">
        <f>IF(AE52=0,0,(Z52-AE52)/AE52*100)</f>
        <v/>
      </c>
      <c r="AH52" s="1307" t="n"/>
      <c r="AI52" s="1307">
        <f>AA52-AH52</f>
        <v/>
      </c>
      <c r="AJ52" s="1307">
        <f>IF(AH52=0,0,(AA52-AH52)/AH52*100)</f>
        <v/>
      </c>
      <c r="AK52" s="1337" t="n"/>
      <c r="AL52" s="1337">
        <f>Z52-AK52</f>
        <v/>
      </c>
      <c r="AM52" s="1337">
        <f>IFERROR(Z52/AK52,0)</f>
        <v/>
      </c>
      <c r="AN52" s="1337" t="n"/>
      <c r="AO52" s="1337">
        <f>AA52-AN52</f>
        <v/>
      </c>
      <c r="AP52" s="1337">
        <f>IFERROR(AA52/AN52,0)</f>
        <v/>
      </c>
      <c r="AQ52" s="1337" t="n"/>
      <c r="AR52" s="1338">
        <f>AA52-AQ52</f>
        <v/>
      </c>
      <c r="AS52" s="1338">
        <f>IFERROR(AA52/AQ52,0)</f>
        <v/>
      </c>
    </row>
    <row r="53">
      <c r="A53" s="384" t="n"/>
      <c r="B53" s="384" t="n"/>
      <c r="C53" s="384" t="n"/>
      <c r="D53" s="384" t="n"/>
      <c r="E53" s="384" t="n"/>
      <c r="F53" s="384" t="n"/>
      <c r="G53" s="384" t="n"/>
      <c r="H53" s="384" t="n"/>
      <c r="I53" s="384" t="n"/>
      <c r="J53" s="384" t="n"/>
      <c r="K53" s="384" t="n"/>
      <c r="L53" s="384" t="n"/>
      <c r="M53" s="384" t="n"/>
      <c r="N53" s="384" t="n"/>
      <c r="O53" s="384" t="n"/>
      <c r="P53" s="384" t="n"/>
      <c r="Q53" s="384" t="n"/>
      <c r="R53" s="384" t="n"/>
      <c r="S53" s="462" t="n"/>
      <c r="T53" s="384" t="n"/>
      <c r="U53" s="455" t="inlineStr">
        <is>
          <t>A611111</t>
        </is>
      </c>
      <c r="V53" s="455">
        <f>IF(_epmOfflineCondition_,"A611111",EPMOlapMemberO(U53,"[C_ACCOUNT].[PARENTH1].[A611111]","A611111 - 投资收益-其他债权投资","","000"))</f>
        <v/>
      </c>
      <c r="W53" s="384" t="n"/>
      <c r="X53" s="1339" t="inlineStr">
        <is>
          <t>其他债权投资收益</t>
        </is>
      </c>
      <c r="Y53" s="673" t="inlineStr"/>
      <c r="Z53" s="1307" t="n"/>
      <c r="AA53" s="1307" t="n"/>
      <c r="AB53" s="1336" t="n"/>
      <c r="AC53" s="1307">
        <f>Z53-AB53</f>
        <v/>
      </c>
      <c r="AD53" s="1307">
        <f>IF(AB53=0,0,(Z53-AB53)/AB53*100)</f>
        <v/>
      </c>
      <c r="AE53" s="1307" t="n"/>
      <c r="AF53" s="1307">
        <f>Z53-AE53</f>
        <v/>
      </c>
      <c r="AG53" s="1307">
        <f>IF(AE53=0,0,(Z53-AE53)/AE53*100)</f>
        <v/>
      </c>
      <c r="AH53" s="1307" t="n"/>
      <c r="AI53" s="1307">
        <f>AA53-AH53</f>
        <v/>
      </c>
      <c r="AJ53" s="1307">
        <f>IF(AH53=0,0,(AA53-AH53)/AH53*100)</f>
        <v/>
      </c>
      <c r="AK53" s="1337" t="n"/>
      <c r="AL53" s="1337">
        <f>Z53-AK53</f>
        <v/>
      </c>
      <c r="AM53" s="1337">
        <f>IFERROR(Z53/AK53,0)</f>
        <v/>
      </c>
      <c r="AN53" s="1337" t="n"/>
      <c r="AO53" s="1337">
        <f>AA53-AN53</f>
        <v/>
      </c>
      <c r="AP53" s="1337">
        <f>IFERROR(AA53/AN53,0)</f>
        <v/>
      </c>
      <c r="AQ53" s="1337" t="n"/>
      <c r="AR53" s="1338">
        <f>AA53-AQ53</f>
        <v/>
      </c>
      <c r="AS53" s="1338">
        <f>IFERROR(AA53/AQ53,0)</f>
        <v/>
      </c>
    </row>
    <row r="54">
      <c r="A54" s="384" t="n"/>
      <c r="B54" s="384" t="n"/>
      <c r="C54" s="384" t="n"/>
      <c r="D54" s="384" t="n"/>
      <c r="E54" s="384" t="n"/>
      <c r="F54" s="384" t="n"/>
      <c r="G54" s="384" t="n"/>
      <c r="H54" s="384" t="n"/>
      <c r="I54" s="384" t="n"/>
      <c r="J54" s="384" t="n"/>
      <c r="K54" s="384" t="n"/>
      <c r="L54" s="384" t="n"/>
      <c r="M54" s="384" t="n"/>
      <c r="N54" s="384" t="n"/>
      <c r="O54" s="384" t="n"/>
      <c r="P54" s="384" t="n"/>
      <c r="Q54" s="384" t="n"/>
      <c r="R54" s="384" t="n"/>
      <c r="S54" s="462" t="n"/>
      <c r="T54" s="384" t="n"/>
      <c r="U54" s="535" t="inlineStr">
        <is>
          <t>A6111110100</t>
        </is>
      </c>
      <c r="V54" s="535">
        <f>IF(_epmOfflineCondition_,"A6111110100",EPMOlapMemberO(U54,"[C_ACCOUNT].[PARENTH1].[A6111110100]","A6111110100 - 投资收益-其他债权投资-持有期间收益","","000"))</f>
        <v/>
      </c>
      <c r="W54" s="384" t="n"/>
      <c r="X54" s="1340" t="inlineStr">
        <is>
          <t>持有期间收益</t>
        </is>
      </c>
      <c r="Y54" s="673" t="inlineStr"/>
      <c r="Z54" s="1307" t="n"/>
      <c r="AA54" s="1307" t="n"/>
      <c r="AB54" s="1336" t="n"/>
      <c r="AC54" s="1307">
        <f>Z54-AB54</f>
        <v/>
      </c>
      <c r="AD54" s="1307">
        <f>IF(AB54=0,0,(Z54-AB54)/AB54*100)</f>
        <v/>
      </c>
      <c r="AE54" s="1307" t="n"/>
      <c r="AF54" s="1307">
        <f>Z54-AE54</f>
        <v/>
      </c>
      <c r="AG54" s="1307">
        <f>IF(AE54=0,0,(Z54-AE54)/AE54*100)</f>
        <v/>
      </c>
      <c r="AH54" s="1307" t="n"/>
      <c r="AI54" s="1307">
        <f>AA54-AH54</f>
        <v/>
      </c>
      <c r="AJ54" s="1307">
        <f>IF(AH54=0,0,(AA54-AH54)/AH54*100)</f>
        <v/>
      </c>
      <c r="AK54" s="1337" t="n"/>
      <c r="AL54" s="1337">
        <f>Z54-AK54</f>
        <v/>
      </c>
      <c r="AM54" s="1337">
        <f>IFERROR(Z54/AK54,0)</f>
        <v/>
      </c>
      <c r="AN54" s="1337" t="n"/>
      <c r="AO54" s="1337">
        <f>AA54-AN54</f>
        <v/>
      </c>
      <c r="AP54" s="1337">
        <f>IFERROR(AA54/AN54,0)</f>
        <v/>
      </c>
      <c r="AQ54" s="1337" t="n"/>
      <c r="AR54" s="1338">
        <f>AA54-AQ54</f>
        <v/>
      </c>
      <c r="AS54" s="1338">
        <f>IFERROR(AA54/AQ54,0)</f>
        <v/>
      </c>
    </row>
    <row r="55">
      <c r="A55" s="384" t="n"/>
      <c r="B55" s="384" t="n"/>
      <c r="C55" s="384" t="n"/>
      <c r="D55" s="384" t="n"/>
      <c r="E55" s="384" t="n"/>
      <c r="F55" s="384" t="n"/>
      <c r="G55" s="384" t="n"/>
      <c r="H55" s="384" t="n"/>
      <c r="I55" s="384" t="n"/>
      <c r="J55" s="384" t="n"/>
      <c r="K55" s="384" t="n"/>
      <c r="L55" s="384" t="n"/>
      <c r="M55" s="384" t="n"/>
      <c r="N55" s="384" t="n"/>
      <c r="O55" s="384" t="n"/>
      <c r="P55" s="384" t="n"/>
      <c r="Q55" s="384" t="n"/>
      <c r="R55" s="384" t="n"/>
      <c r="S55" s="462" t="n"/>
      <c r="T55" s="384" t="n"/>
      <c r="U55" s="535" t="inlineStr">
        <is>
          <t>A6111110200</t>
        </is>
      </c>
      <c r="V55" s="535">
        <f>IF(_epmOfflineCondition_,"A6111110200",EPMOlapMemberO(U55,"[C_ACCOUNT].[PARENTH1].[A6111110200]","A6111110200 - 投资收益-其他债权投资-处置投资收益","","000"))</f>
        <v/>
      </c>
      <c r="W55" s="384" t="n"/>
      <c r="X55" s="1340" t="inlineStr">
        <is>
          <t>处置投资收益</t>
        </is>
      </c>
      <c r="Y55" s="673" t="inlineStr"/>
      <c r="Z55" s="1307" t="n"/>
      <c r="AA55" s="1307" t="n"/>
      <c r="AB55" s="1336" t="n"/>
      <c r="AC55" s="1307">
        <f>Z55-AB55</f>
        <v/>
      </c>
      <c r="AD55" s="1307">
        <f>IF(AB55=0,0,(Z55-AB55)/AB55*100)</f>
        <v/>
      </c>
      <c r="AE55" s="1307" t="n"/>
      <c r="AF55" s="1307">
        <f>Z55-AE55</f>
        <v/>
      </c>
      <c r="AG55" s="1307">
        <f>IF(AE55=0,0,(Z55-AE55)/AE55*100)</f>
        <v/>
      </c>
      <c r="AH55" s="1307" t="n"/>
      <c r="AI55" s="1307">
        <f>AA55-AH55</f>
        <v/>
      </c>
      <c r="AJ55" s="1307">
        <f>IF(AH55=0,0,(AA55-AH55)/AH55*100)</f>
        <v/>
      </c>
      <c r="AK55" s="1337" t="n"/>
      <c r="AL55" s="1337">
        <f>Z55-AK55</f>
        <v/>
      </c>
      <c r="AM55" s="1337">
        <f>IFERROR(Z55/AK55,0)</f>
        <v/>
      </c>
      <c r="AN55" s="1337" t="n"/>
      <c r="AO55" s="1337">
        <f>AA55-AN55</f>
        <v/>
      </c>
      <c r="AP55" s="1337">
        <f>IFERROR(AA55/AN55,0)</f>
        <v/>
      </c>
      <c r="AQ55" s="1337" t="n"/>
      <c r="AR55" s="1338">
        <f>AA55-AQ55</f>
        <v/>
      </c>
      <c r="AS55" s="1338">
        <f>IFERROR(AA55/AQ55,0)</f>
        <v/>
      </c>
    </row>
    <row r="56">
      <c r="A56" s="384" t="n"/>
      <c r="B56" s="384" t="n"/>
      <c r="C56" s="384" t="n"/>
      <c r="D56" s="384" t="n"/>
      <c r="E56" s="384" t="n"/>
      <c r="F56" s="384" t="n"/>
      <c r="G56" s="384" t="n"/>
      <c r="H56" s="384" t="n"/>
      <c r="I56" s="384" t="n"/>
      <c r="J56" s="384" t="n"/>
      <c r="K56" s="384" t="n"/>
      <c r="L56" s="384" t="n"/>
      <c r="M56" s="384" t="n"/>
      <c r="N56" s="384" t="n"/>
      <c r="O56" s="384" t="n"/>
      <c r="P56" s="384" t="n"/>
      <c r="Q56" s="384" t="n"/>
      <c r="R56" s="384" t="n"/>
      <c r="S56" s="462" t="n"/>
      <c r="T56" s="384" t="n"/>
      <c r="U56" s="455" t="inlineStr">
        <is>
          <t>A611104</t>
        </is>
      </c>
      <c r="V56" s="455">
        <f>IF(_epmOfflineCondition_,"A611104",EPMOlapMemberO(U56,"[C_ACCOUNT].[PARENTH1].[A611104]","A611104 - 投资收益-长期股权投资收益","","000"))</f>
        <v/>
      </c>
      <c r="W56" s="384" t="n"/>
      <c r="X56" s="1342" t="inlineStr">
        <is>
          <t>长期股权投资收益</t>
        </is>
      </c>
      <c r="Y56" s="673" t="inlineStr"/>
      <c r="Z56" s="1307" t="n"/>
      <c r="AA56" s="1307" t="n"/>
      <c r="AB56" s="1336" t="n"/>
      <c r="AC56" s="1307">
        <f>Z56-AB56</f>
        <v/>
      </c>
      <c r="AD56" s="1307">
        <f>IF(AB56=0,0,(Z56-AB56)/AB56*100)</f>
        <v/>
      </c>
      <c r="AE56" s="1307" t="n"/>
      <c r="AF56" s="1307">
        <f>Z56-AE56</f>
        <v/>
      </c>
      <c r="AG56" s="1307">
        <f>IF(AE56=0,0,(Z56-AE56)/AE56*100)</f>
        <v/>
      </c>
      <c r="AH56" s="1307" t="n"/>
      <c r="AI56" s="1307">
        <f>AA56-AH56</f>
        <v/>
      </c>
      <c r="AJ56" s="1307">
        <f>IF(AH56=0,0,(AA56-AH56)/AH56*100)</f>
        <v/>
      </c>
      <c r="AK56" s="1337" t="n"/>
      <c r="AL56" s="1337">
        <f>Z56-AK56</f>
        <v/>
      </c>
      <c r="AM56" s="1337">
        <f>IFERROR(Z56/AK56,0)</f>
        <v/>
      </c>
      <c r="AN56" s="1337" t="n"/>
      <c r="AO56" s="1337">
        <f>AA56-AN56</f>
        <v/>
      </c>
      <c r="AP56" s="1337">
        <f>IFERROR(AA56/AN56,0)</f>
        <v/>
      </c>
      <c r="AQ56" s="1337" t="n"/>
      <c r="AR56" s="1338">
        <f>AA56-AQ56</f>
        <v/>
      </c>
      <c r="AS56" s="1338">
        <f>IFERROR(AA56/AQ56,0)</f>
        <v/>
      </c>
    </row>
    <row r="57">
      <c r="A57" s="384" t="n"/>
      <c r="B57" s="384" t="n"/>
      <c r="C57" s="384" t="n"/>
      <c r="D57" s="384" t="n"/>
      <c r="E57" s="384" t="n"/>
      <c r="F57" s="384" t="n"/>
      <c r="G57" s="384" t="n"/>
      <c r="H57" s="384" t="n"/>
      <c r="I57" s="384" t="n"/>
      <c r="J57" s="384" t="n"/>
      <c r="K57" s="384" t="n"/>
      <c r="L57" s="384" t="n"/>
      <c r="M57" s="384" t="n"/>
      <c r="N57" s="384" t="n"/>
      <c r="O57" s="384" t="n"/>
      <c r="P57" s="384" t="n"/>
      <c r="Q57" s="384" t="n"/>
      <c r="R57" s="384" t="n"/>
      <c r="S57" s="462" t="n"/>
      <c r="T57" s="384" t="n"/>
      <c r="U57" s="459" t="inlineStr">
        <is>
          <t>A6111040102</t>
        </is>
      </c>
      <c r="V57" s="535">
        <f>IF(_epmOfflineCondition_,"A6111040102",EPMOlapMemberO(U57,"[C_ACCOUNT].[PARENTH1].[A6111040102]","A6111040102 - 投资收益-长期股权投资收益-子公司股利","","000"))</f>
        <v/>
      </c>
      <c r="W57" s="384" t="n"/>
      <c r="X57" s="1340" t="inlineStr">
        <is>
          <t>子公司股利</t>
        </is>
      </c>
      <c r="Y57" s="673" t="inlineStr"/>
      <c r="Z57" s="1307" t="n"/>
      <c r="AA57" s="1307" t="n"/>
      <c r="AB57" s="1336" t="n"/>
      <c r="AC57" s="1307">
        <f>Z57-AB57</f>
        <v/>
      </c>
      <c r="AD57" s="1307">
        <f>IF(AB57=0,0,(Z57-AB57)/AB57*100)</f>
        <v/>
      </c>
      <c r="AE57" s="1307" t="n"/>
      <c r="AF57" s="1307">
        <f>Z57-AE57</f>
        <v/>
      </c>
      <c r="AG57" s="1307">
        <f>IF(AE57=0,0,(Z57-AE57)/AE57*100)</f>
        <v/>
      </c>
      <c r="AH57" s="1307" t="n"/>
      <c r="AI57" s="1307">
        <f>AA57-AH57</f>
        <v/>
      </c>
      <c r="AJ57" s="1307">
        <f>IF(AH57=0,0,(AA57-AH57)/AH57*100)</f>
        <v/>
      </c>
      <c r="AK57" s="1337" t="n"/>
      <c r="AL57" s="1337">
        <f>Z57-AK57</f>
        <v/>
      </c>
      <c r="AM57" s="1337">
        <f>IFERROR(Z57/AK57,0)</f>
        <v/>
      </c>
      <c r="AN57" s="1337" t="n"/>
      <c r="AO57" s="1337">
        <f>AA57-AN57</f>
        <v/>
      </c>
      <c r="AP57" s="1337">
        <f>IFERROR(AA57/AN57,0)</f>
        <v/>
      </c>
      <c r="AQ57" s="1337" t="n"/>
      <c r="AR57" s="1338">
        <f>AA57-AQ57</f>
        <v/>
      </c>
      <c r="AS57" s="1338">
        <f>IFERROR(AA57/AQ57,0)</f>
        <v/>
      </c>
    </row>
    <row r="58">
      <c r="A58" s="384" t="n"/>
      <c r="B58" s="384" t="n"/>
      <c r="C58" s="384" t="n"/>
      <c r="D58" s="384" t="n"/>
      <c r="E58" s="384" t="n"/>
      <c r="F58" s="384" t="n"/>
      <c r="G58" s="384" t="n"/>
      <c r="H58" s="384" t="n"/>
      <c r="I58" s="384" t="n"/>
      <c r="J58" s="384" t="n"/>
      <c r="K58" s="384" t="n"/>
      <c r="L58" s="384" t="n"/>
      <c r="M58" s="384" t="n"/>
      <c r="N58" s="384" t="n"/>
      <c r="O58" s="716" t="n"/>
      <c r="P58" s="384" t="n"/>
      <c r="Q58" s="384" t="n"/>
      <c r="R58" s="384" t="n"/>
      <c r="S58" s="462" t="n"/>
      <c r="T58" s="384" t="n"/>
      <c r="U58" s="459" t="inlineStr">
        <is>
          <t>A6111040200</t>
        </is>
      </c>
      <c r="V58" s="459">
        <f>IF(_epmOfflineCondition_,"A6111040200",EPMOlapMemberO(U58,"[C_ACCOUNT].[PARENTH1].[A6111040200]","A6111040200 - 投资收益-长期股权投资收益-合营企业权益法收益","","000"))</f>
        <v/>
      </c>
      <c r="W58" s="384" t="n"/>
      <c r="X58" s="1340" t="inlineStr">
        <is>
          <t>合营企业权益法收益</t>
        </is>
      </c>
      <c r="Y58" s="673" t="inlineStr"/>
      <c r="Z58" s="1307" t="n"/>
      <c r="AA58" s="1307" t="n"/>
      <c r="AB58" s="1336" t="n"/>
      <c r="AC58" s="1307">
        <f>Z58-AB58</f>
        <v/>
      </c>
      <c r="AD58" s="1307">
        <f>IF(AB58=0,0,(Z58-AB58)/AB58*100)</f>
        <v/>
      </c>
      <c r="AE58" s="1307" t="n"/>
      <c r="AF58" s="1307">
        <f>Z58-AE58</f>
        <v/>
      </c>
      <c r="AG58" s="1307">
        <f>IF(AE58=0,0,(Z58-AE58)/AE58*100)</f>
        <v/>
      </c>
      <c r="AH58" s="1307" t="n"/>
      <c r="AI58" s="1307">
        <f>AA58-AH58</f>
        <v/>
      </c>
      <c r="AJ58" s="1307">
        <f>IF(AH58=0,0,(AA58-AH58)/AH58*100)</f>
        <v/>
      </c>
      <c r="AK58" s="1337" t="n"/>
      <c r="AL58" s="1337">
        <f>Z58-AK58</f>
        <v/>
      </c>
      <c r="AM58" s="1337">
        <f>IFERROR(Z58/AK58,0)</f>
        <v/>
      </c>
      <c r="AN58" s="1337" t="n"/>
      <c r="AO58" s="1337">
        <f>AA58-AN58</f>
        <v/>
      </c>
      <c r="AP58" s="1337">
        <f>IFERROR(AA58/AN58,0)</f>
        <v/>
      </c>
      <c r="AQ58" s="1337" t="n"/>
      <c r="AR58" s="1338">
        <f>AA58-AQ58</f>
        <v/>
      </c>
      <c r="AS58" s="1338">
        <f>IFERROR(AA58/AQ58,0)</f>
        <v/>
      </c>
    </row>
    <row r="59">
      <c r="A59" s="384" t="n"/>
      <c r="B59" s="384" t="n"/>
      <c r="C59" s="384" t="n"/>
      <c r="D59" s="384" t="n"/>
      <c r="E59" s="384" t="n"/>
      <c r="F59" s="384" t="n"/>
      <c r="G59" s="384" t="n"/>
      <c r="H59" s="384" t="n"/>
      <c r="I59" s="384" t="n"/>
      <c r="J59" s="384" t="n"/>
      <c r="K59" s="384" t="n"/>
      <c r="L59" s="384" t="n"/>
      <c r="M59" s="384" t="n"/>
      <c r="N59" s="384" t="n"/>
      <c r="O59" s="716" t="n"/>
      <c r="P59" s="384" t="n"/>
      <c r="Q59" s="384" t="n"/>
      <c r="R59" s="384" t="n"/>
      <c r="S59" s="462" t="n"/>
      <c r="T59" s="384" t="n"/>
      <c r="U59" s="459" t="inlineStr">
        <is>
          <t>A6111040300</t>
        </is>
      </c>
      <c r="V59" s="459">
        <f>IF(_epmOfflineCondition_,"A6111040300",EPMOlapMemberO(U59,"[C_ACCOUNT].[PARENTH1].[A6111040300]","A6111040300 - 投资收益-长期股权投资收益-联营企业权益法收益","","000"))</f>
        <v/>
      </c>
      <c r="W59" s="384" t="n"/>
      <c r="X59" s="1340" t="inlineStr">
        <is>
          <t>联营企业权益法收益</t>
        </is>
      </c>
      <c r="Y59" s="673" t="inlineStr"/>
      <c r="Z59" s="1307" t="n"/>
      <c r="AA59" s="1307" t="n"/>
      <c r="AB59" s="1336" t="n"/>
      <c r="AC59" s="1307">
        <f>Z59-AB59</f>
        <v/>
      </c>
      <c r="AD59" s="1307">
        <f>IF(AB59=0,0,(Z59-AB59)/AB59*100)</f>
        <v/>
      </c>
      <c r="AE59" s="1307" t="n"/>
      <c r="AF59" s="1307">
        <f>Z59-AE59</f>
        <v/>
      </c>
      <c r="AG59" s="1307">
        <f>IF(AE59=0,0,(Z59-AE59)/AE59*100)</f>
        <v/>
      </c>
      <c r="AH59" s="1307" t="n"/>
      <c r="AI59" s="1307">
        <f>AA59-AH59</f>
        <v/>
      </c>
      <c r="AJ59" s="1307">
        <f>IF(AH59=0,0,(AA59-AH59)/AH59*100)</f>
        <v/>
      </c>
      <c r="AK59" s="1337" t="n"/>
      <c r="AL59" s="1337">
        <f>Z59-AK59</f>
        <v/>
      </c>
      <c r="AM59" s="1337">
        <f>IFERROR(Z59/AK59,0)</f>
        <v/>
      </c>
      <c r="AN59" s="1337" t="n"/>
      <c r="AO59" s="1337">
        <f>AA59-AN59</f>
        <v/>
      </c>
      <c r="AP59" s="1337">
        <f>IFERROR(AA59/AN59,0)</f>
        <v/>
      </c>
      <c r="AQ59" s="1337" t="n"/>
      <c r="AR59" s="1338">
        <f>AA59-AQ59</f>
        <v/>
      </c>
      <c r="AS59" s="1338">
        <f>IFERROR(AA59/AQ59,0)</f>
        <v/>
      </c>
    </row>
    <row r="60">
      <c r="A60" s="384" t="n"/>
      <c r="B60" s="384" t="n"/>
      <c r="C60" s="384" t="n"/>
      <c r="D60" s="384" t="n"/>
      <c r="E60" s="384" t="n"/>
      <c r="F60" s="384" t="n"/>
      <c r="G60" s="384" t="n"/>
      <c r="H60" s="384" t="n"/>
      <c r="I60" s="384" t="n"/>
      <c r="J60" s="384" t="n"/>
      <c r="K60" s="384" t="n"/>
      <c r="L60" s="384" t="n"/>
      <c r="M60" s="384" t="n"/>
      <c r="N60" s="384" t="n"/>
      <c r="O60" s="716" t="n"/>
      <c r="P60" s="384" t="n"/>
      <c r="Q60" s="384" t="n"/>
      <c r="R60" s="384" t="n"/>
      <c r="S60" s="462" t="n"/>
      <c r="T60" s="384" t="n"/>
      <c r="U60" s="535" t="n"/>
      <c r="V60" s="535" t="n"/>
      <c r="W60" s="384" t="n"/>
      <c r="X60" s="1340" t="inlineStr">
        <is>
          <t xml:space="preserve"> 股权投资处置收益 </t>
        </is>
      </c>
      <c r="Y60" s="673" t="inlineStr"/>
      <c r="Z60" s="1307">
        <f>Z68+Z69</f>
        <v/>
      </c>
      <c r="AA60" s="1307">
        <f>AA68+AA69</f>
        <v/>
      </c>
      <c r="AB60" s="1307">
        <f>AB68+AB69</f>
        <v/>
      </c>
      <c r="AC60" s="1307">
        <f>Z60-AB60</f>
        <v/>
      </c>
      <c r="AD60" s="1307">
        <f>IF(AB60=0,0,(Z60-AB60)/AB60*100)</f>
        <v/>
      </c>
      <c r="AE60" s="1307">
        <f>AE68+AE69</f>
        <v/>
      </c>
      <c r="AF60" s="1307">
        <f>Z60-AE60</f>
        <v/>
      </c>
      <c r="AG60" s="1307">
        <f>IF(AE60=0,0,(Z60-AE60)/AE60*100)</f>
        <v/>
      </c>
      <c r="AH60" s="1307">
        <f>AH68+AH69</f>
        <v/>
      </c>
      <c r="AI60" s="1307">
        <f>AA60-AH60</f>
        <v/>
      </c>
      <c r="AJ60" s="1307">
        <f>IF(AH60=0,0,(AA60-AH60)/AH60*100)</f>
        <v/>
      </c>
      <c r="AK60" s="1307">
        <f>AK68+AK69</f>
        <v/>
      </c>
      <c r="AL60" s="1337">
        <f>Z60-AK60</f>
        <v/>
      </c>
      <c r="AM60" s="1337">
        <f>IFERROR(Z60/AK60,0)</f>
        <v/>
      </c>
      <c r="AN60" s="1307">
        <f>AN68+AN69</f>
        <v/>
      </c>
      <c r="AO60" s="1337">
        <f>AA60-AN60</f>
        <v/>
      </c>
      <c r="AP60" s="1337">
        <f>IFERROR(AA60/AN60,0)</f>
        <v/>
      </c>
      <c r="AQ60" s="1307">
        <f>AQ68+AQ69</f>
        <v/>
      </c>
      <c r="AR60" s="1338">
        <f>AA60-AQ60</f>
        <v/>
      </c>
      <c r="AS60" s="1338">
        <f>IFERROR(AA60/AQ60,0)</f>
        <v/>
      </c>
    </row>
    <row r="61">
      <c r="A61" s="384" t="n"/>
      <c r="B61" s="384" t="n"/>
      <c r="C61" s="384" t="n"/>
      <c r="D61" s="384" t="n"/>
      <c r="E61" s="384" t="n"/>
      <c r="F61" s="384" t="n"/>
      <c r="G61" s="384" t="n"/>
      <c r="H61" s="384" t="n"/>
      <c r="I61" s="384" t="n"/>
      <c r="J61" s="384" t="n"/>
      <c r="K61" s="384" t="n"/>
      <c r="L61" s="384" t="n"/>
      <c r="M61" s="384" t="n"/>
      <c r="N61" s="384" t="n"/>
      <c r="O61" s="716" t="n"/>
      <c r="P61" s="384" t="n"/>
      <c r="Q61" s="384" t="n"/>
      <c r="R61" s="384" t="n"/>
      <c r="S61" s="462" t="n"/>
      <c r="T61" s="384" t="n"/>
      <c r="U61" s="535" t="inlineStr">
        <is>
          <t>A6111049900</t>
        </is>
      </c>
      <c r="V61" s="535">
        <f>IF(_epmOfflineCondition_,"A6111049900",EPMOlapMemberO(U61,"[C_ACCOUNT].[PARENTH1].[A6111049900]","A6111049900 - 投资收益-长期股权投资收益-其他股权投资收益","","000"))</f>
        <v/>
      </c>
      <c r="W61" s="384" t="n"/>
      <c r="X61" s="1340" t="inlineStr">
        <is>
          <t>其他股权投资股利</t>
        </is>
      </c>
      <c r="Y61" s="673" t="inlineStr"/>
      <c r="Z61" s="1307" t="n"/>
      <c r="AA61" s="1307" t="n"/>
      <c r="AB61" s="1336" t="n"/>
      <c r="AC61" s="1307">
        <f>Z61-AB61</f>
        <v/>
      </c>
      <c r="AD61" s="1307">
        <f>IF(AB61=0,0,(Z61-AB61)/AB61*100)</f>
        <v/>
      </c>
      <c r="AE61" s="1307" t="n"/>
      <c r="AF61" s="1307">
        <f>Z61-AE61</f>
        <v/>
      </c>
      <c r="AG61" s="1307">
        <f>IF(AE61=0,0,(Z61-AE61)/AE61*100)</f>
        <v/>
      </c>
      <c r="AH61" s="1307" t="n"/>
      <c r="AI61" s="1307">
        <f>AA61-AH61</f>
        <v/>
      </c>
      <c r="AJ61" s="1307">
        <f>IF(AH61=0,0,(AA61-AH61)/AH61*100)</f>
        <v/>
      </c>
      <c r="AK61" s="1337" t="n"/>
      <c r="AL61" s="1337">
        <f>Z61-AK61</f>
        <v/>
      </c>
      <c r="AM61" s="1337">
        <f>IFERROR(Z61/AK61,0)</f>
        <v/>
      </c>
      <c r="AN61" s="1337" t="n"/>
      <c r="AO61" s="1337">
        <f>AA61-AN61</f>
        <v/>
      </c>
      <c r="AP61" s="1337">
        <f>IFERROR(AA61/AN61,0)</f>
        <v/>
      </c>
      <c r="AQ61" s="1337" t="n"/>
      <c r="AR61" s="1338">
        <f>AA61-AQ61</f>
        <v/>
      </c>
      <c r="AS61" s="1338">
        <f>IFERROR(AA61/AQ61,0)</f>
        <v/>
      </c>
    </row>
    <row r="62">
      <c r="A62" s="384" t="n"/>
      <c r="B62" s="384" t="n"/>
      <c r="C62" s="384" t="n"/>
      <c r="D62" s="384" t="n"/>
      <c r="E62" s="384" t="n"/>
      <c r="F62" s="384" t="n"/>
      <c r="G62" s="384" t="n"/>
      <c r="H62" s="384" t="n"/>
      <c r="I62" s="384" t="n"/>
      <c r="J62" s="384" t="n"/>
      <c r="K62" s="384" t="n"/>
      <c r="L62" s="384" t="n"/>
      <c r="M62" s="384" t="n"/>
      <c r="N62" s="384" t="n"/>
      <c r="O62" s="384" t="n"/>
      <c r="P62" s="384" t="n"/>
      <c r="Q62" s="384" t="n"/>
      <c r="R62" s="384" t="n"/>
      <c r="S62" s="462" t="n"/>
      <c r="T62" s="384" t="n"/>
      <c r="U62" s="455" t="inlineStr">
        <is>
          <t>A611105</t>
        </is>
      </c>
      <c r="V62" s="455">
        <f>IF(_epmOfflineCondition_,"A611105",EPMOlapMemberO(U62,"[C_ACCOUNT].[PARENTH1].[A611105]","A611105 - 投资收益-委托贷款收益","","000"))</f>
        <v/>
      </c>
      <c r="W62" s="384" t="n"/>
      <c r="X62" s="1339" t="inlineStr">
        <is>
          <t>借款（含委托贷款）收益</t>
        </is>
      </c>
      <c r="Y62" s="673" t="inlineStr"/>
      <c r="Z62" s="1307" t="n"/>
      <c r="AA62" s="1307" t="n"/>
      <c r="AB62" s="1336" t="n"/>
      <c r="AC62" s="1307">
        <f>Z62-AB62</f>
        <v/>
      </c>
      <c r="AD62" s="1307">
        <f>IF(AB62=0,0,(Z62-AB62)/AB62*100)</f>
        <v/>
      </c>
      <c r="AE62" s="1307" t="n"/>
      <c r="AF62" s="1307">
        <f>Z62-AE62</f>
        <v/>
      </c>
      <c r="AG62" s="1307">
        <f>IF(AE62=0,0,(Z62-AE62)/AE62*100)</f>
        <v/>
      </c>
      <c r="AH62" s="1307" t="n"/>
      <c r="AI62" s="1307">
        <f>AA62-AH62</f>
        <v/>
      </c>
      <c r="AJ62" s="1307">
        <f>IF(AH62=0,0,(AA62-AH62)/AH62*100)</f>
        <v/>
      </c>
      <c r="AK62" s="1337" t="n"/>
      <c r="AL62" s="1337">
        <f>Z62-AK62</f>
        <v/>
      </c>
      <c r="AM62" s="1337">
        <f>IFERROR(Z62/AK62,0)</f>
        <v/>
      </c>
      <c r="AN62" s="1337" t="n"/>
      <c r="AO62" s="1337">
        <f>AA62-AN62</f>
        <v/>
      </c>
      <c r="AP62" s="1337">
        <f>IFERROR(AA62/AN62,0)</f>
        <v/>
      </c>
      <c r="AQ62" s="1337" t="n"/>
      <c r="AR62" s="1338">
        <f>AA62-AQ62</f>
        <v/>
      </c>
      <c r="AS62" s="1338">
        <f>IFERROR(AA62/AQ62,0)</f>
        <v/>
      </c>
    </row>
    <row r="63">
      <c r="A63" s="384" t="n"/>
      <c r="B63" s="384" t="n"/>
      <c r="C63" s="384" t="n"/>
      <c r="D63" s="384" t="n"/>
      <c r="E63" s="384" t="n"/>
      <c r="F63" s="384" t="n"/>
      <c r="G63" s="384" t="n"/>
      <c r="H63" s="384" t="n"/>
      <c r="I63" s="384" t="n"/>
      <c r="J63" s="384" t="n"/>
      <c r="K63" s="384" t="n"/>
      <c r="L63" s="384" t="n"/>
      <c r="M63" s="384" t="n"/>
      <c r="N63" s="384" t="n"/>
      <c r="O63" s="384" t="n"/>
      <c r="P63" s="384" t="n"/>
      <c r="Q63" s="384" t="n"/>
      <c r="R63" s="384" t="n"/>
      <c r="S63" s="462" t="n"/>
      <c r="T63" s="384" t="n"/>
      <c r="U63" s="535" t="inlineStr">
        <is>
          <t>A6111050200</t>
        </is>
      </c>
      <c r="V63" s="535">
        <f>IF(_epmOfflineCondition_,"A6111050200",EPMOlapMemberO(U63,"[C_ACCOUNT].[PARENTH1].[A6111050200]","A6111050200 - 投资收益-委托贷款收益-非统贷统还","","000"))</f>
        <v/>
      </c>
      <c r="W63" s="384" t="n"/>
      <c r="X63" s="1343" t="inlineStr">
        <is>
          <t>非统贷统还</t>
        </is>
      </c>
      <c r="Y63" s="673" t="inlineStr"/>
      <c r="Z63" s="1307" t="n"/>
      <c r="AA63" s="1307" t="n"/>
      <c r="AB63" s="1336" t="n"/>
      <c r="AC63" s="1307">
        <f>Z63-AB63</f>
        <v/>
      </c>
      <c r="AD63" s="1307">
        <f>IF(AB63=0,0,(Z63-AB63)/AB63*100)</f>
        <v/>
      </c>
      <c r="AE63" s="1307" t="n"/>
      <c r="AF63" s="1307">
        <f>Z63-AE63</f>
        <v/>
      </c>
      <c r="AG63" s="1307">
        <f>IF(AE63=0,0,(Z63-AE63)/AE63*100)</f>
        <v/>
      </c>
      <c r="AH63" s="1307" t="n"/>
      <c r="AI63" s="1307">
        <f>AA63-AH63</f>
        <v/>
      </c>
      <c r="AJ63" s="1307">
        <f>IF(AH63=0,0,(AA63-AH63)/AH63*100)</f>
        <v/>
      </c>
      <c r="AK63" s="1337" t="n"/>
      <c r="AL63" s="1337">
        <f>Z63-AK63</f>
        <v/>
      </c>
      <c r="AM63" s="1337">
        <f>IFERROR(Z63/AK63,0)</f>
        <v/>
      </c>
      <c r="AN63" s="1337" t="n"/>
      <c r="AO63" s="1337">
        <f>AA63-AN63</f>
        <v/>
      </c>
      <c r="AP63" s="1337">
        <f>IFERROR(AA63/AN63,0)</f>
        <v/>
      </c>
      <c r="AQ63" s="1337" t="n"/>
      <c r="AR63" s="1338">
        <f>AA63-AQ63</f>
        <v/>
      </c>
      <c r="AS63" s="1338">
        <f>IFERROR(AA63/AQ63,0)</f>
        <v/>
      </c>
    </row>
    <row r="64">
      <c r="A64" s="384" t="n"/>
      <c r="B64" s="384" t="n"/>
      <c r="C64" s="384" t="n"/>
      <c r="D64" s="384" t="n"/>
      <c r="E64" s="384" t="n"/>
      <c r="F64" s="384" t="n"/>
      <c r="G64" s="384" t="n"/>
      <c r="H64" s="384" t="n"/>
      <c r="I64" s="384" t="n"/>
      <c r="J64" s="384" t="n"/>
      <c r="K64" s="384" t="n"/>
      <c r="L64" s="384" t="n"/>
      <c r="M64" s="384" t="n"/>
      <c r="N64" s="384" t="n"/>
      <c r="O64" s="384" t="n"/>
      <c r="P64" s="384" t="n"/>
      <c r="Q64" s="384" t="n"/>
      <c r="R64" s="384" t="n"/>
      <c r="S64" s="462" t="n"/>
      <c r="T64" s="384" t="n"/>
      <c r="U64" s="535" t="inlineStr">
        <is>
          <t>A6111050100</t>
        </is>
      </c>
      <c r="V64" s="535">
        <f>IF(_epmOfflineCondition_,"A6111050100",EPMOlapMemberO(U64,"[C_ACCOUNT].[PARENTH1].[A6111050100]","A6111050100 - 投资收益-委托贷款收益-统贷统还","","000"))</f>
        <v/>
      </c>
      <c r="W64" s="384" t="n"/>
      <c r="X64" s="1340" t="inlineStr">
        <is>
          <t>统贷统还</t>
        </is>
      </c>
      <c r="Y64" s="673" t="inlineStr"/>
      <c r="Z64" s="1307" t="n"/>
      <c r="AA64" s="1307" t="n"/>
      <c r="AB64" s="1336" t="n"/>
      <c r="AC64" s="1307">
        <f>Z64-AB64</f>
        <v/>
      </c>
      <c r="AD64" s="1307">
        <f>IF(AB64=0,0,(Z64-AB64)/AB64*100)</f>
        <v/>
      </c>
      <c r="AE64" s="1307" t="n"/>
      <c r="AF64" s="1307">
        <f>Z64-AE64</f>
        <v/>
      </c>
      <c r="AG64" s="1307">
        <f>IF(AE64=0,0,(Z64-AE64)/AE64*100)</f>
        <v/>
      </c>
      <c r="AH64" s="1307" t="n"/>
      <c r="AI64" s="1307">
        <f>AA64-AH64</f>
        <v/>
      </c>
      <c r="AJ64" s="1307">
        <f>IF(AH64=0,0,(AA64-AH64)/AH64*100)</f>
        <v/>
      </c>
      <c r="AK64" s="1337" t="n"/>
      <c r="AL64" s="1337">
        <f>Z64-AK64</f>
        <v/>
      </c>
      <c r="AM64" s="1337">
        <f>IFERROR(Z64/AK64,0)</f>
        <v/>
      </c>
      <c r="AN64" s="1337" t="n"/>
      <c r="AO64" s="1337">
        <f>AA64-AN64</f>
        <v/>
      </c>
      <c r="AP64" s="1337">
        <f>IFERROR(AA64/AN64,0)</f>
        <v/>
      </c>
      <c r="AQ64" s="1337" t="n"/>
      <c r="AR64" s="1338">
        <f>AA64-AQ64</f>
        <v/>
      </c>
      <c r="AS64" s="1338">
        <f>IFERROR(AA64/AQ64,0)</f>
        <v/>
      </c>
    </row>
    <row r="65">
      <c r="A65" s="384" t="n"/>
      <c r="B65" s="384" t="n"/>
      <c r="C65" s="384" t="n"/>
      <c r="D65" s="384" t="n"/>
      <c r="E65" s="384" t="n"/>
      <c r="F65" s="384" t="n"/>
      <c r="G65" s="384" t="n"/>
      <c r="H65" s="384" t="n"/>
      <c r="I65" s="384" t="n"/>
      <c r="J65" s="384" t="n"/>
      <c r="K65" s="384" t="n"/>
      <c r="L65" s="384" t="n"/>
      <c r="M65" s="384" t="n"/>
      <c r="N65" s="384" t="n"/>
      <c r="O65" s="384" t="n"/>
      <c r="P65" s="384" t="n"/>
      <c r="Q65" s="384" t="n"/>
      <c r="R65" s="384" t="n"/>
      <c r="S65" s="462" t="n"/>
      <c r="T65" s="384" t="n"/>
      <c r="U65" s="455" t="inlineStr">
        <is>
          <t>A6111120000</t>
        </is>
      </c>
      <c r="V65" s="455">
        <f>IF(_epmOfflineCondition_,"A6111120000",EPMOlapMemberO(U65,"[C_ACCOUNT].[PARENTH1].[A6111120000]","A6111120000 - 投资收益-保理收益","","000"))</f>
        <v/>
      </c>
      <c r="W65" s="384" t="n"/>
      <c r="X65" s="1339" t="inlineStr">
        <is>
          <t xml:space="preserve"> 保理收益 </t>
        </is>
      </c>
      <c r="Y65" s="673" t="inlineStr"/>
      <c r="Z65" s="1307" t="n"/>
      <c r="AA65" s="1307" t="n"/>
      <c r="AB65" s="1336" t="n"/>
      <c r="AC65" s="1307">
        <f>Z65-AB65</f>
        <v/>
      </c>
      <c r="AD65" s="1307">
        <f>IF(AB65=0,0,(Z65-AB65)/AB65*100)</f>
        <v/>
      </c>
      <c r="AE65" s="1307" t="n"/>
      <c r="AF65" s="1307">
        <f>Z65-AE65</f>
        <v/>
      </c>
      <c r="AG65" s="1307">
        <f>IF(AE65=0,0,(Z65-AE65)/AE65*100)</f>
        <v/>
      </c>
      <c r="AH65" s="1307" t="n"/>
      <c r="AI65" s="1307">
        <f>AA65-AH65</f>
        <v/>
      </c>
      <c r="AJ65" s="1307">
        <f>IF(AH65=0,0,(AA65-AH65)/AH65*100)</f>
        <v/>
      </c>
      <c r="AK65" s="1337" t="n"/>
      <c r="AL65" s="1337">
        <f>Z65-AK65</f>
        <v/>
      </c>
      <c r="AM65" s="1337">
        <f>IFERROR(Z65/AK65,0)</f>
        <v/>
      </c>
      <c r="AN65" s="1337" t="n"/>
      <c r="AO65" s="1337">
        <f>AA65-AN65</f>
        <v/>
      </c>
      <c r="AP65" s="1337">
        <f>IFERROR(AA65/AN65,0)</f>
        <v/>
      </c>
      <c r="AQ65" s="1337" t="n"/>
      <c r="AR65" s="1338">
        <f>AA65-AQ65</f>
        <v/>
      </c>
      <c r="AS65" s="1338">
        <f>IFERROR(AA65/AQ65,0)</f>
        <v/>
      </c>
    </row>
    <row r="66">
      <c r="A66" s="384" t="n"/>
      <c r="B66" s="384" t="n"/>
      <c r="C66" s="384" t="n"/>
      <c r="D66" s="384" t="n"/>
      <c r="E66" s="384" t="n"/>
      <c r="F66" s="384" t="n"/>
      <c r="G66" s="384" t="n"/>
      <c r="H66" s="384" t="n"/>
      <c r="I66" s="384" t="n"/>
      <c r="J66" s="384" t="n"/>
      <c r="K66" s="384" t="n"/>
      <c r="L66" s="384" t="n"/>
      <c r="M66" s="384" t="n"/>
      <c r="N66" s="384" t="n"/>
      <c r="O66" s="384" t="n"/>
      <c r="P66" s="384" t="n"/>
      <c r="Q66" s="384" t="n"/>
      <c r="R66" s="384" t="n"/>
      <c r="S66" s="462" t="n"/>
      <c r="T66" s="384" t="n"/>
      <c r="U66" s="455" t="inlineStr">
        <is>
          <t>倒算</t>
        </is>
      </c>
      <c r="V66" s="455" t="n"/>
      <c r="W66" s="384" t="n"/>
      <c r="X66" s="1339" t="inlineStr">
        <is>
          <t xml:space="preserve"> 其他收益 </t>
        </is>
      </c>
      <c r="Y66" s="673" t="inlineStr"/>
      <c r="Z66" s="1307">
        <f>Z45-Z46-Z49-Z50-Z53-Z56-Z62-Z65</f>
        <v/>
      </c>
      <c r="AA66" s="1307">
        <f>AA45-AA46-AA49-AA50-AA53-AA56-AA62-AA65</f>
        <v/>
      </c>
      <c r="AB66" s="1307">
        <f>AB45-AB46-AB49-AB50-AB53-AB56-AB62-AB65</f>
        <v/>
      </c>
      <c r="AC66" s="1307">
        <f>Z66-AB66</f>
        <v/>
      </c>
      <c r="AD66" s="1307">
        <f>IF(AB66=0,0,(Z66-AB66)/AB66*100)</f>
        <v/>
      </c>
      <c r="AE66" s="1307">
        <f>AE45-AE46-AE49-AE50-AE53-AE56-AE62-AE65</f>
        <v/>
      </c>
      <c r="AF66" s="1307">
        <f>Z66-AE66</f>
        <v/>
      </c>
      <c r="AG66" s="1307">
        <f>IF(AE66=0,0,(Z66-AE66)/AE66*100)</f>
        <v/>
      </c>
      <c r="AH66" s="1307">
        <f>AH45-AH46-AH49-AH50-AH53-AH56-AH62-AH65</f>
        <v/>
      </c>
      <c r="AI66" s="1307">
        <f>AA66-AH66</f>
        <v/>
      </c>
      <c r="AJ66" s="1307">
        <f>IF(AH66=0,0,(AA66-AH66)/AH66*100)</f>
        <v/>
      </c>
      <c r="AK66" s="1307">
        <f>AK45-AK46-AK49-AK50-AK53-AK56-AK62-AK65</f>
        <v/>
      </c>
      <c r="AL66" s="1337">
        <f>Z66-AK66</f>
        <v/>
      </c>
      <c r="AM66" s="1337">
        <f>IFERROR(Z66/AK66,0)</f>
        <v/>
      </c>
      <c r="AN66" s="1307">
        <f>AN45-AN46-AN49-AN50-AN53-AN56-AN62-AN65</f>
        <v/>
      </c>
      <c r="AO66" s="1337">
        <f>AA66-AN66</f>
        <v/>
      </c>
      <c r="AP66" s="1337">
        <f>IFERROR(AA66/AN66,0)</f>
        <v/>
      </c>
      <c r="AQ66" s="1307">
        <f>AQ45-AQ46-AQ49-AQ50-AQ53-AQ56-AQ62-AQ65</f>
        <v/>
      </c>
      <c r="AR66" s="1338">
        <f>AA66-AQ66</f>
        <v/>
      </c>
      <c r="AS66" s="1338">
        <f>IFERROR(AA66/AQ66,0)</f>
        <v/>
      </c>
    </row>
    <row r="67">
      <c r="A67" s="384" t="n"/>
      <c r="B67" s="384" t="n"/>
      <c r="C67" s="384" t="n"/>
      <c r="D67" s="384" t="n"/>
      <c r="E67" s="384" t="n"/>
      <c r="F67" s="384" t="n"/>
      <c r="G67" s="384" t="n"/>
      <c r="H67" s="384" t="n"/>
      <c r="I67" s="384" t="n"/>
      <c r="J67" s="384" t="n"/>
      <c r="K67" s="384" t="n"/>
      <c r="L67" s="384" t="n"/>
      <c r="M67" s="384" t="n"/>
      <c r="N67" s="384" t="n"/>
      <c r="O67" s="384" t="n"/>
      <c r="P67" s="384" t="n"/>
      <c r="Q67" s="384" t="n"/>
      <c r="R67" s="384" t="n"/>
      <c r="S67" s="32" t="n"/>
      <c r="T67" s="384" t="n"/>
      <c r="U67" s="384" t="n"/>
      <c r="V67" s="384" t="n"/>
      <c r="W67" s="384" t="n"/>
      <c r="X67" s="38" t="n"/>
      <c r="Y67" s="38" t="n"/>
      <c r="Z67" s="155" t="n"/>
      <c r="AA67" s="155" t="n"/>
      <c r="AB67" s="155" t="n"/>
      <c r="AC67" s="155" t="n"/>
      <c r="AD67" s="155" t="n"/>
      <c r="AE67" s="155" t="n"/>
      <c r="AF67" s="155" t="n"/>
      <c r="AG67" s="155" t="n"/>
      <c r="AH67" s="155" t="n"/>
      <c r="AI67" s="155" t="n"/>
      <c r="AJ67" s="155" t="n"/>
      <c r="AK67" s="155" t="n"/>
      <c r="AL67" s="155" t="n"/>
      <c r="AM67" s="155" t="n"/>
      <c r="AN67" s="155" t="n"/>
      <c r="AO67" s="155" t="n"/>
      <c r="AP67" s="155" t="n"/>
      <c r="AQ67" s="155" t="n"/>
      <c r="AR67" s="384" t="n"/>
      <c r="AS67" s="384" t="n"/>
    </row>
    <row r="68" hidden="1" s="1181">
      <c r="A68" s="384" t="n"/>
      <c r="B68" s="384" t="n"/>
      <c r="C68" s="384" t="n"/>
      <c r="D68" s="384" t="n"/>
      <c r="E68" s="384" t="n"/>
      <c r="F68" s="384" t="n"/>
      <c r="G68" s="384" t="n"/>
      <c r="H68" s="384" t="n"/>
      <c r="I68" s="384" t="n"/>
      <c r="J68" s="384" t="n"/>
      <c r="K68" s="384" t="n"/>
      <c r="L68" s="384" t="n"/>
      <c r="M68" s="384" t="n"/>
      <c r="N68" s="384" t="n"/>
      <c r="O68" s="716" t="n"/>
      <c r="P68" s="384" t="n"/>
      <c r="Q68" s="384" t="n"/>
      <c r="R68" s="384" t="n"/>
      <c r="S68" s="462" t="inlineStr">
        <is>
          <t>新增历史科目，但没有增加父级，所以公式相加。</t>
        </is>
      </c>
      <c r="T68" s="384" t="n"/>
      <c r="U68" s="535" t="inlineStr">
        <is>
          <t>A6111040500</t>
        </is>
      </c>
      <c r="V68" s="535">
        <f>IF(_epmOfflineCondition_,"A6111040500",EPMOlapMemberO(U68,"[C_ACCOUNT].[PARENTH1].[A6111040500]","A6111040500 - 投资收益-长期股权投资收益-股权投资处置收益","","000"))</f>
        <v/>
      </c>
      <c r="W68" s="384" t="n"/>
      <c r="X68" s="1340">
        <f>IF(_epmOfflineCondition_,"投资收益-长期股权投资收益-股权投资处置收益",EPMMemberDesc(V68))</f>
        <v/>
      </c>
      <c r="Y68" s="673" t="n"/>
      <c r="Z68" s="1307" t="n"/>
      <c r="AA68" s="1307" t="n"/>
      <c r="AB68" s="1336" t="n"/>
      <c r="AC68" s="1307" t="n"/>
      <c r="AD68" s="1307" t="n"/>
      <c r="AE68" s="1307" t="n"/>
      <c r="AF68" s="1307">
        <f>Z68-AE68</f>
        <v/>
      </c>
      <c r="AG68" s="1307">
        <f>IF(AE68=0,0,(Z68-AE68)/AE68*100)</f>
        <v/>
      </c>
      <c r="AH68" s="1307" t="n"/>
      <c r="AI68" s="1307" t="n"/>
      <c r="AJ68" s="1307" t="n"/>
      <c r="AK68" s="1337" t="n"/>
      <c r="AL68" s="1337" t="n"/>
      <c r="AM68" s="1337" t="n"/>
      <c r="AN68" s="1337" t="n"/>
      <c r="AO68" s="1337" t="n"/>
      <c r="AP68" s="1337" t="n"/>
      <c r="AQ68" s="1337" t="n"/>
      <c r="AR68" s="1338" t="n"/>
      <c r="AS68" s="1338" t="n"/>
    </row>
    <row r="69" hidden="1" s="1181">
      <c r="A69" s="384" t="n"/>
      <c r="B69" s="384" t="n"/>
      <c r="C69" s="384" t="n"/>
      <c r="D69" s="384" t="n"/>
      <c r="E69" s="384" t="n"/>
      <c r="F69" s="384" t="n"/>
      <c r="G69" s="384" t="n"/>
      <c r="H69" s="384" t="n"/>
      <c r="I69" s="384" t="n"/>
      <c r="J69" s="384" t="n"/>
      <c r="K69" s="384" t="n"/>
      <c r="L69" s="384" t="n"/>
      <c r="M69" s="384" t="n"/>
      <c r="N69" s="384" t="n"/>
      <c r="O69" s="716" t="n"/>
      <c r="P69" s="384" t="n"/>
      <c r="Q69" s="384" t="n"/>
      <c r="R69" s="384" t="n"/>
      <c r="S69" s="462" t="n"/>
      <c r="T69" s="384" t="n"/>
      <c r="U69" s="535" t="inlineStr">
        <is>
          <t>A6111040510</t>
        </is>
      </c>
      <c r="V69" s="535">
        <f>IF(_epmOfflineCondition_,"A6111040510",EPMOlapMemberO(U69,"[C_ACCOUNT].[PARENTH1].[A6111040510]","A6111040510 - 投资收益-长期股权投资收益-股权投资处置收益（历史汇率）","","000"))</f>
        <v/>
      </c>
      <c r="W69" s="384" t="n"/>
      <c r="X69" s="1340">
        <f>IF(_epmOfflineCondition_,"投资收益-长期股权投资收益-股权投资处置收益（历史汇率）",EPMMemberDesc(V69))</f>
        <v/>
      </c>
      <c r="Y69" s="673" t="n"/>
      <c r="Z69" s="1307" t="n"/>
      <c r="AA69" s="1307" t="n"/>
      <c r="AB69" s="1336" t="n"/>
      <c r="AC69" s="1307" t="n"/>
      <c r="AD69" s="1307" t="n"/>
      <c r="AE69" s="1307" t="n"/>
      <c r="AF69" s="1307">
        <f>Z69-AE69</f>
        <v/>
      </c>
      <c r="AG69" s="1307">
        <f>IF(AE69=0,0,(Z69-AE69)/AE69*100)</f>
        <v/>
      </c>
      <c r="AH69" s="1307" t="n"/>
      <c r="AI69" s="1307" t="n"/>
      <c r="AJ69" s="1307" t="n"/>
      <c r="AK69" s="1337" t="n"/>
      <c r="AL69" s="1337" t="n"/>
      <c r="AM69" s="1337" t="n"/>
      <c r="AN69" s="1337" t="n"/>
      <c r="AO69" s="1337" t="n"/>
      <c r="AP69" s="1337" t="n"/>
      <c r="AQ69" s="1337" t="n"/>
      <c r="AR69" s="1338" t="n"/>
      <c r="AS69" s="1338" t="n"/>
    </row>
  </sheetData>
  <sheetProtection selectLockedCells="0" selectUnlockedCells="0" algorithmName="SHA-512" sheet="1" objects="0" insertRows="1" insertHyperlinks="1" autoFilter="1" scenarios="1" formatColumns="1" deleteColumns="1" insertColumns="1" pivotTables="1" deleteRows="1" formatCells="1" saltValue="G7jJCE/a0A+//AytKIXsxA==" formatRows="1" sort="1" spinCount="100000" hashValue="nJ+y+pNJ+6xUl+HRoO6p3OUVXks3Om5WU0oiAPSaB/HThVfNeHoFGgXoCMIkf5BpOyrUPPT0EPcFE8Pi6VmojA=="/>
  <mergeCells count="11">
    <mergeCell ref="H2:J2"/>
    <mergeCell ref="D16:E16"/>
    <mergeCell ref="Z38:AA38"/>
    <mergeCell ref="AB38:AD38"/>
    <mergeCell ref="AE38:AG38"/>
    <mergeCell ref="AH38:AJ38"/>
    <mergeCell ref="AK38:AM38"/>
    <mergeCell ref="AN38:AP38"/>
    <mergeCell ref="AQ38:AS38"/>
    <mergeCell ref="X38:X39"/>
    <mergeCell ref="Y38:Y39"/>
  </mergeCells>
  <conditionalFormatting sqref="Z35">
    <cfRule type="cellIs" priority="1" operator="equal" dxfId="0">
      <formula>"集团外公司（合计）"</formula>
    </cfRule>
  </conditionalFormatting>
  <dataValidations count="1">
    <dataValidation sqref="AA37" showErrorMessage="1" showInputMessage="1" allowBlank="1" type="list">
      <formula1>"LC,CNY"</formula1>
    </dataValidation>
  </dataValidations>
  <pageMargins left="0.7" right="0.7" top="0.75" bottom="0.75" header="0.3" footer="0.3"/>
  <pageSetup orientation="portrait" paperSize="9"/>
  <drawing xmlns:r="http://schemas.openxmlformats.org/officeDocument/2006/relationships" r:id="rId1"/>
</worksheet>
</file>

<file path=xl/worksheets/sheet26.xml><?xml version="1.0" encoding="utf-8"?>
<worksheet xmlns="http://schemas.openxmlformats.org/spreadsheetml/2006/main">
  <sheetPr codeName="Sheet23">
    <outlinePr summaryBelow="1" summaryRight="1"/>
    <pageSetUpPr fitToPage="1"/>
  </sheetPr>
  <dimension ref="A1:AB62"/>
  <sheetViews>
    <sheetView showGridLines="0" topLeftCell="W34" zoomScale="90" zoomScaleNormal="90" workbookViewId="0">
      <selection activeCell="AA37" sqref="AA37"/>
    </sheetView>
  </sheetViews>
  <sheetFormatPr baseColWidth="8" defaultColWidth="9" defaultRowHeight="16.8"/>
  <cols>
    <col hidden="1" width="8" customWidth="1" style="1181" min="1" max="1"/>
    <col hidden="1" width="15.375" customWidth="1" style="1181" min="2" max="2"/>
    <col hidden="1" width="11.375" customWidth="1" style="1181" min="3" max="3"/>
    <col hidden="1" width="12.25" customWidth="1" style="1181" min="4" max="4"/>
    <col hidden="1" width="7.625" customWidth="1" style="1181" min="5" max="5"/>
    <col hidden="1" width="7.75" customWidth="1" style="1181" min="6" max="7"/>
    <col hidden="1" width="8.375" customWidth="1" style="1181" min="8" max="8"/>
    <col hidden="1" width="7.75" customWidth="1" style="1181" min="9" max="9"/>
    <col hidden="1" width="11.125" customWidth="1" style="1181" min="10" max="10"/>
    <col hidden="1" width="7.75" customWidth="1" style="1181" min="11" max="18"/>
    <col hidden="1" width="38.75" customWidth="1" style="32" min="19" max="19"/>
    <col hidden="1" width="2.375" customWidth="1" style="1181" min="20" max="20"/>
    <col hidden="1" width="14.375" customWidth="1" style="1181" min="21" max="21"/>
    <col hidden="1" width="16.125" customWidth="1" style="1181" min="22" max="22"/>
    <col width="1.625" customWidth="1" style="1181" min="23" max="23"/>
    <col width="32.375" customWidth="1" style="38" min="24" max="24"/>
    <col width="14.375" customWidth="1" style="38" min="25" max="25"/>
    <col width="41" customWidth="1" style="1181" min="26" max="26"/>
    <col width="49.125" customWidth="1" style="1181" min="27" max="27"/>
    <col width="38.375" customWidth="1" style="1181" min="28" max="28"/>
    <col width="17.375" customWidth="1" style="1181" min="29" max="30"/>
    <col width="16.75" customWidth="1" style="1181" min="31" max="33"/>
    <col width="17.375" customWidth="1" style="1181" min="34" max="35"/>
    <col width="16.75" customWidth="1" style="1181" min="36" max="36"/>
  </cols>
  <sheetData>
    <row r="1" hidden="1" customFormat="1" s="644">
      <c r="A1" s="172" t="inlineStr">
        <is>
          <t>维度清单</t>
        </is>
      </c>
      <c r="B1" s="462" t="n"/>
      <c r="C1" s="173" t="n"/>
      <c r="D1" s="173" t="n"/>
      <c r="E1" s="716" t="n"/>
      <c r="F1" s="13" t="n"/>
      <c r="G1" s="13" t="n"/>
      <c r="H1" s="13" t="n"/>
      <c r="I1" s="13" t="n"/>
      <c r="J1" s="13" t="n"/>
      <c r="K1" s="13" t="n"/>
      <c r="L1" s="13" t="n"/>
      <c r="M1" s="13" t="n"/>
      <c r="N1" s="13" t="n"/>
      <c r="O1" s="13" t="n"/>
      <c r="P1" s="13" t="n"/>
      <c r="Q1" s="13" t="n"/>
      <c r="R1" s="13" t="n"/>
      <c r="S1" s="1103" t="n"/>
      <c r="T1" s="13" t="n"/>
      <c r="U1" s="13" t="n"/>
      <c r="V1" s="13" t="n"/>
      <c r="W1" s="13" t="n"/>
      <c r="X1" s="171" t="n"/>
      <c r="Y1" s="171" t="n"/>
      <c r="Z1" s="13" t="n"/>
      <c r="AA1" s="13" t="n"/>
      <c r="AB1" s="13" t="n"/>
    </row>
    <row r="2" hidden="1" customFormat="1" s="644">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103" t="n"/>
      <c r="T2" s="13" t="n"/>
      <c r="U2" s="13" t="n"/>
      <c r="V2" s="13" t="n"/>
      <c r="W2" s="13" t="n"/>
      <c r="X2" s="171" t="n"/>
      <c r="Y2" s="171" t="n"/>
      <c r="Z2" s="13" t="n"/>
      <c r="AA2" s="13" t="n"/>
      <c r="AB2" s="13" t="n"/>
    </row>
    <row r="3" hidden="1" customFormat="1" s="644">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103" t="n"/>
      <c r="T3" s="13" t="n"/>
      <c r="U3" s="13" t="n"/>
      <c r="V3" s="13" t="n"/>
      <c r="W3" s="13" t="n"/>
      <c r="X3" s="171" t="n"/>
      <c r="Y3" s="171" t="n"/>
      <c r="Z3" s="13" t="n"/>
      <c r="AA3" s="13" t="n"/>
      <c r="AB3" s="13" t="n"/>
    </row>
    <row r="4" hidden="1" customFormat="1" s="644">
      <c r="A4" s="175" t="inlineStr">
        <is>
          <t>C</t>
        </is>
      </c>
      <c r="B4" s="176">
        <f>IF(_epmOfflineCondition_,"C_CATEGORY",EPMDimensionType(,A4))</f>
        <v/>
      </c>
      <c r="C4" s="176">
        <f>IF(_epmOfflineCondition_,"C_ALL",IF(B4="","",EPMContextMember(,B4)))</f>
        <v/>
      </c>
      <c r="D4" s="176">
        <f>IF(_epmOfflineCondition_,"全部类别",EPMMemberDesc(C4))</f>
        <v/>
      </c>
      <c r="E4" s="176" t="n"/>
      <c r="F4" s="13" t="n"/>
      <c r="G4" s="13" t="n"/>
      <c r="H4" s="184" t="inlineStr">
        <is>
          <t>预算年</t>
        </is>
      </c>
      <c r="I4" s="184">
        <f>"V_"&amp;$I$3</f>
        <v/>
      </c>
      <c r="J4" s="184">
        <f>$I$3&amp;".TOTAL"</f>
        <v/>
      </c>
      <c r="K4" s="13" t="n"/>
      <c r="L4" s="13" t="n"/>
      <c r="M4" s="13" t="n"/>
      <c r="N4" s="13" t="n"/>
      <c r="O4" s="13" t="n"/>
      <c r="P4" s="13" t="n"/>
      <c r="Q4" s="13" t="n"/>
      <c r="R4" s="13" t="n"/>
      <c r="S4" s="1103" t="n"/>
      <c r="T4" s="13" t="n"/>
      <c r="U4" s="13" t="n"/>
      <c r="V4" s="13" t="n"/>
      <c r="W4" s="13" t="n"/>
      <c r="X4" s="171" t="n"/>
      <c r="Y4" s="171" t="n"/>
      <c r="Z4" s="13" t="n"/>
      <c r="AA4" s="13" t="n"/>
      <c r="AB4" s="13" t="n"/>
    </row>
    <row r="5" hidden="1" customFormat="1" s="644">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13" t="n"/>
      <c r="V5" s="13" t="n"/>
      <c r="W5" s="13" t="n"/>
      <c r="X5" s="171" t="n"/>
      <c r="Y5" s="171" t="n"/>
      <c r="Z5" s="13" t="n"/>
      <c r="AA5" s="13" t="n"/>
      <c r="AB5" s="13" t="n"/>
    </row>
    <row r="6" hidden="1" customFormat="1" s="644">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103" t="n"/>
      <c r="T6" s="13" t="n"/>
      <c r="U6" s="13" t="n"/>
      <c r="V6" s="13" t="n"/>
      <c r="W6" s="13" t="n"/>
      <c r="X6" s="171" t="n"/>
      <c r="Y6" s="171" t="n"/>
      <c r="Z6" s="13" t="n"/>
      <c r="AA6" s="13" t="n"/>
      <c r="AB6" s="13" t="n"/>
    </row>
    <row r="7" hidden="1" customFormat="1" s="644">
      <c r="A7" s="175" t="inlineStr">
        <is>
          <t>R</t>
        </is>
      </c>
      <c r="B7" s="176">
        <f>IF(_epmOfflineCondition_,"C_RPTCURRENCY",EPMDimensionType(,A7))</f>
        <v/>
      </c>
      <c r="C7" s="176">
        <f>IF(_epmOfflineCondition_,"AUD",IF(B7="","",EPMContextMember(,B7)))</f>
        <v/>
      </c>
      <c r="D7" s="176">
        <f>IF(_epmOfflineCondition_,"澳元",EPMMemberDesc(C7))</f>
        <v/>
      </c>
      <c r="E7" s="176" t="n"/>
      <c r="F7" s="13" t="n"/>
      <c r="G7" s="13" t="n"/>
      <c r="H7" s="13" t="n"/>
      <c r="I7" s="13" t="n"/>
      <c r="J7" s="13" t="n"/>
      <c r="K7" s="13" t="n"/>
      <c r="L7" s="13" t="n"/>
      <c r="M7" s="13" t="n"/>
      <c r="N7" s="13" t="n"/>
      <c r="O7" s="13" t="n"/>
      <c r="P7" s="13" t="n"/>
      <c r="Q7" s="13" t="n"/>
      <c r="R7" s="13" t="n"/>
      <c r="S7" s="1103" t="n"/>
      <c r="T7" s="13" t="n"/>
      <c r="U7" s="13" t="n"/>
      <c r="V7" s="13" t="n"/>
      <c r="W7" s="13" t="n"/>
      <c r="X7" s="171" t="n"/>
      <c r="Y7" s="171" t="n"/>
      <c r="Z7" s="13" t="n"/>
      <c r="AA7" s="13" t="n"/>
      <c r="AB7" s="13" t="n"/>
    </row>
    <row r="8" hidden="1" customFormat="1" s="644">
      <c r="A8" s="175" t="inlineStr">
        <is>
          <t>D</t>
        </is>
      </c>
      <c r="B8" s="176">
        <f>IF(_epmOfflineCondition_,"C_AUDITTRAIL",EPMDimensionType(,A8))</f>
        <v/>
      </c>
      <c r="C8" s="176">
        <f>IF(_epmOfflineCondition_,"DTOTAL",IF(B8="","",EPMContextMember(,B8)))</f>
        <v/>
      </c>
      <c r="D8" s="176">
        <f>IF(_epmOfflineCondition_,"全部审计线索",EPMMemberDesc(C8))</f>
        <v/>
      </c>
      <c r="E8" s="176" t="n"/>
      <c r="F8" s="13" t="n"/>
      <c r="G8" s="13" t="n"/>
      <c r="H8" s="184" t="inlineStr">
        <is>
          <t>本月</t>
        </is>
      </c>
      <c r="I8" s="184">
        <f>IF(_epmOfflineCondition_,"03",RIGHT("0"&amp;EPMMemberProperty(,EPMContextMember(,"C_TIME"),"MONTHNUM"),2))</f>
        <v/>
      </c>
      <c r="J8" s="13" t="n"/>
      <c r="K8" s="13" t="n"/>
      <c r="L8" s="13" t="n"/>
      <c r="M8" s="13" t="n"/>
      <c r="N8" s="13" t="n"/>
      <c r="O8" s="13" t="n"/>
      <c r="P8" s="13" t="n"/>
      <c r="Q8" s="13" t="n"/>
      <c r="R8" s="13" t="n"/>
      <c r="S8" s="1103" t="n"/>
      <c r="T8" s="13" t="n"/>
      <c r="U8" s="13" t="n"/>
      <c r="V8" s="13" t="n"/>
      <c r="W8" s="13" t="n"/>
      <c r="X8" s="171" t="n"/>
      <c r="Y8" s="171" t="n"/>
      <c r="Z8" s="13" t="n"/>
      <c r="AA8" s="13" t="n"/>
      <c r="AB8" s="13" t="n"/>
    </row>
    <row r="9" hidden="1" customFormat="1" s="644">
      <c r="A9" s="175" t="inlineStr">
        <is>
          <t>S</t>
        </is>
      </c>
      <c r="B9" s="176">
        <f>IF(_epmOfflineCondition_,"C_FLOW",EPMDimensionType(,A9))</f>
        <v/>
      </c>
      <c r="C9" s="176">
        <f>IF(_epmOfflineCondition_,"FTOTAL",IF(B9="","",EPMContextMember(,B9)))</f>
        <v/>
      </c>
      <c r="D9" s="176">
        <f>IF(_epmOfflineCondition_,"全部变动",EPMMemberDesc(C9))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13" t="n"/>
      <c r="V9" s="13" t="n"/>
      <c r="W9" s="13" t="n"/>
      <c r="X9" s="171" t="n"/>
      <c r="Y9" s="171" t="n"/>
      <c r="Z9" s="13" t="n"/>
      <c r="AA9" s="13" t="n"/>
      <c r="AB9" s="13" t="n"/>
    </row>
    <row r="10" hidden="1" customFormat="1" s="644">
      <c r="A10" s="175" t="inlineStr">
        <is>
          <t>I</t>
        </is>
      </c>
      <c r="B10" s="176">
        <f>IF(_epmOfflineCondition_,"C_INTERCO",EPMDimensionType(,A10))</f>
        <v/>
      </c>
      <c r="C10" s="176">
        <f>IF(_epmOfflineCondition_,"I_ALL",IF(B10="","",EPMContextMember(,B10)))</f>
        <v/>
      </c>
      <c r="D10" s="176">
        <f>IF(_epmOfflineCondition_,"全部贸易伙伴",EPMMemberDesc(C10))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13" t="n"/>
      <c r="V10" s="13" t="n"/>
      <c r="W10" s="13" t="n"/>
      <c r="X10" s="171" t="n"/>
      <c r="Y10" s="171" t="n"/>
      <c r="Z10" s="13" t="n"/>
      <c r="AA10" s="13" t="n"/>
      <c r="AB10" s="13" t="n"/>
    </row>
    <row r="11" hidden="1" customFormat="1" s="644">
      <c r="A11" s="175" t="inlineStr">
        <is>
          <t>G</t>
        </is>
      </c>
      <c r="B11" s="176">
        <f>IF(_epmOfflineCondition_,"C_SCOPE",EPMDimensionType(,A11))</f>
        <v/>
      </c>
      <c r="C11" s="176">
        <f>IF(_epmOfflineCondition_,"G_DUMMY",IF(B11="","",EPMContextMember(,B11)))</f>
        <v/>
      </c>
      <c r="D11" s="176">
        <f>IF(_epmOfflineCondition_,"合并范围无关",EPMMemberDesc(C11))</f>
        <v/>
      </c>
      <c r="E11" s="176" t="n"/>
      <c r="F11" s="13" t="n"/>
      <c r="G11" s="13" t="n"/>
      <c r="H11" s="184" t="inlineStr">
        <is>
          <t xml:space="preserve">本年月 </t>
        </is>
      </c>
      <c r="I11" s="184">
        <f>I3&amp;"."&amp;I8</f>
        <v/>
      </c>
      <c r="J11" s="13" t="n"/>
      <c r="K11" s="13" t="n"/>
      <c r="L11" s="13" t="n"/>
      <c r="M11" s="13" t="n"/>
      <c r="N11" s="13" t="n"/>
      <c r="O11" s="13" t="n"/>
      <c r="P11" s="13" t="n"/>
      <c r="Q11" s="13" t="n"/>
      <c r="R11" s="13" t="n"/>
      <c r="S11" s="1103" t="n"/>
      <c r="T11" s="13" t="n"/>
      <c r="U11" s="13" t="n"/>
      <c r="V11" s="13" t="n"/>
      <c r="W11" s="13" t="n"/>
      <c r="X11" s="171" t="n"/>
      <c r="Y11" s="171" t="n"/>
      <c r="Z11" s="13" t="n"/>
      <c r="AA11" s="13" t="n"/>
      <c r="AB11" s="13" t="n"/>
    </row>
    <row r="12" hidden="1" customFormat="1" s="644">
      <c r="A12" s="175" t="inlineStr">
        <is>
          <t>U8</t>
        </is>
      </c>
      <c r="B12" s="176">
        <f>IF(_epmOfflineCondition_,"C_PROJECT",EPMDimensionType(,A12))</f>
        <v/>
      </c>
      <c r="C12" s="176">
        <f>IF(_epmOfflineCondition_,"ZP_ALL",IF(B12="","",EPMContextMember(,B12)))</f>
        <v/>
      </c>
      <c r="D12" s="176">
        <f>IF(_epmOfflineCondition_,"项目合计",EPMMemberDesc(C12))</f>
        <v/>
      </c>
      <c r="E12" s="176" t="n"/>
      <c r="F12" s="13" t="n"/>
      <c r="G12" s="13" t="n"/>
      <c r="H12" s="184" t="inlineStr">
        <is>
          <t>上年月</t>
        </is>
      </c>
      <c r="I12" s="184">
        <f>IF(I8="01",I10&amp;"."&amp;I9,I3&amp;"."&amp;I9)</f>
        <v/>
      </c>
      <c r="J12" s="13" t="n"/>
      <c r="K12" s="13" t="n"/>
      <c r="L12" s="13" t="n"/>
      <c r="M12" s="13" t="n"/>
      <c r="N12" s="13" t="n"/>
      <c r="O12" s="13" t="n"/>
      <c r="P12" s="13" t="n"/>
      <c r="Q12" s="13" t="n"/>
      <c r="R12" s="13" t="n"/>
      <c r="S12" s="1103" t="n"/>
      <c r="T12" s="13" t="n"/>
      <c r="U12" s="13" t="n"/>
      <c r="V12" s="13" t="n"/>
      <c r="W12" s="13" t="n"/>
      <c r="X12" s="171" t="n"/>
      <c r="Y12" s="171" t="n"/>
      <c r="Z12" s="13" t="n"/>
      <c r="AA12" s="13" t="n"/>
      <c r="AB12" s="13" t="n"/>
    </row>
    <row r="13" hidden="1" customFormat="1" s="644">
      <c r="A13" s="175" t="inlineStr">
        <is>
          <t>U9</t>
        </is>
      </c>
      <c r="B13" s="176">
        <f>IF(_epmOfflineCondition_,"C_ITEM",EPMDimensionType(,A13))</f>
        <v/>
      </c>
      <c r="C13" s="176">
        <f>IF(_epmOfflineCondition_,"ZI_ALL",IF(B13="","",EPMContextMember(,B13)))</f>
        <v/>
      </c>
      <c r="D13" s="176">
        <f>IF(_epmOfflineCondition_,"全部ITEM",EPMMemberDesc(C13))</f>
        <v/>
      </c>
      <c r="E13" s="176" t="n"/>
      <c r="F13" s="13" t="n"/>
      <c r="G13" s="13" t="n"/>
      <c r="H13" s="184" t="inlineStr">
        <is>
          <t xml:space="preserve">上年同期 </t>
        </is>
      </c>
      <c r="I13" s="184">
        <f>I10&amp;"."&amp;I8</f>
        <v/>
      </c>
      <c r="J13" s="13" t="n"/>
      <c r="K13" s="13" t="n"/>
      <c r="L13" s="13" t="n"/>
      <c r="M13" s="13" t="n"/>
      <c r="N13" s="13" t="n"/>
      <c r="O13" s="13" t="n"/>
      <c r="P13" s="13" t="n"/>
      <c r="Q13" s="13" t="n"/>
      <c r="R13" s="13" t="n"/>
      <c r="S13" s="1103" t="n"/>
      <c r="T13" s="13" t="n"/>
      <c r="U13" s="13" t="n"/>
      <c r="V13" s="13" t="n"/>
      <c r="W13" s="13" t="n"/>
      <c r="X13" s="171" t="n"/>
      <c r="Y13" s="171" t="n"/>
      <c r="Z13" s="13" t="n"/>
      <c r="AA13" s="13" t="n"/>
      <c r="AB13" s="13" t="n"/>
    </row>
    <row r="14" hidden="1" customFormat="1" s="644">
      <c r="A14" s="175" t="inlineStr">
        <is>
          <t>U10</t>
        </is>
      </c>
      <c r="B14" s="176">
        <f>IF(_epmOfflineCondition_,"C_MISK",EPMDimensionType(,A14))</f>
        <v/>
      </c>
      <c r="C14" s="176">
        <f>IF(_epmOfflineCondition_,"ZM_ALL",IF(B14="","",EPMContextMember(,B14)))</f>
        <v/>
      </c>
      <c r="D14" s="176">
        <f>IF(_epmOfflineCondition_,"ALL",EPMMemberDesc(C14))</f>
        <v/>
      </c>
      <c r="E14" s="176" t="n"/>
      <c r="F14" s="13" t="n"/>
      <c r="G14" s="13" t="n"/>
      <c r="H14" s="13" t="n"/>
      <c r="I14" s="13" t="n"/>
      <c r="J14" s="13" t="n"/>
      <c r="K14" s="13" t="n"/>
      <c r="L14" s="13" t="n"/>
      <c r="M14" s="13" t="n"/>
      <c r="N14" s="13" t="n"/>
      <c r="O14" s="13" t="n"/>
      <c r="P14" s="13" t="n"/>
      <c r="Q14" s="13" t="n"/>
      <c r="R14" s="13" t="n"/>
      <c r="S14" s="1103" t="n"/>
      <c r="T14" s="13" t="n"/>
      <c r="U14" s="13" t="n"/>
      <c r="V14" s="13" t="n"/>
      <c r="W14" s="13" t="n"/>
      <c r="X14" s="171" t="n"/>
      <c r="Y14" s="171" t="n"/>
      <c r="Z14" s="13" t="n"/>
      <c r="AA14" s="13" t="n"/>
      <c r="AB14" s="13" t="n"/>
    </row>
    <row r="15" hidden="1" customFormat="1" s="644">
      <c r="A15" s="13" t="n"/>
      <c r="B15" s="1103" t="n"/>
      <c r="C15" s="1103" t="n"/>
      <c r="D15" s="1103" t="n"/>
      <c r="E15" s="13" t="n"/>
      <c r="F15" s="13" t="n"/>
      <c r="G15" s="13" t="n"/>
      <c r="H15" s="13" t="n"/>
      <c r="I15" s="13" t="n"/>
      <c r="J15" s="13" t="n"/>
      <c r="K15" s="13" t="n"/>
      <c r="L15" s="13" t="n"/>
      <c r="M15" s="13" t="n"/>
      <c r="N15" s="13" t="n"/>
      <c r="O15" s="13" t="n"/>
      <c r="P15" s="13" t="n"/>
      <c r="Q15" s="13" t="n"/>
      <c r="R15" s="13" t="n"/>
      <c r="S15" s="1103" t="n"/>
      <c r="T15" s="13" t="n"/>
      <c r="U15" s="13" t="n"/>
      <c r="V15" s="13" t="n"/>
      <c r="W15" s="13" t="n"/>
      <c r="X15" s="171" t="n"/>
      <c r="Y15" s="171" t="n"/>
      <c r="Z15" s="13" t="n"/>
      <c r="AA15" s="13" t="n"/>
      <c r="AB15" s="13" t="n"/>
    </row>
    <row r="16" hidden="1" customFormat="1" s="644">
      <c r="A16" s="13" t="n"/>
      <c r="B16" s="13" t="n"/>
      <c r="C16" s="13" t="n"/>
      <c r="D16" s="174" t="inlineStr">
        <is>
          <t>页轴</t>
        </is>
      </c>
      <c r="E16" s="1183" t="n"/>
      <c r="F16" s="13" t="n"/>
      <c r="G16" s="13" t="n"/>
      <c r="H16" s="13" t="n"/>
      <c r="I16" s="13" t="n"/>
      <c r="J16" s="13" t="n"/>
      <c r="K16" s="13" t="n"/>
      <c r="L16" s="13" t="n"/>
      <c r="M16" s="13" t="n"/>
      <c r="N16" s="13" t="n"/>
      <c r="O16" s="13" t="n"/>
      <c r="P16" s="13" t="n"/>
      <c r="Q16" s="13" t="n"/>
      <c r="R16" s="13" t="n"/>
      <c r="S16" s="1103" t="n"/>
      <c r="T16" s="13" t="n"/>
      <c r="U16" s="13" t="n"/>
      <c r="V16" s="13" t="n"/>
      <c r="W16" s="13" t="n"/>
      <c r="X16" s="171" t="n"/>
      <c r="Y16" s="171" t="n"/>
      <c r="Z16" s="13" t="n"/>
      <c r="AA16" s="13" t="n"/>
      <c r="AB16" s="13" t="n"/>
    </row>
    <row r="17" hidden="1" customFormat="1" s="644">
      <c r="A17" s="174" t="inlineStr">
        <is>
          <t>维度类型</t>
        </is>
      </c>
      <c r="B17" s="174" t="inlineStr">
        <is>
          <t>维度</t>
        </is>
      </c>
      <c r="C17" s="178" t="inlineStr">
        <is>
          <t>页轴替换</t>
        </is>
      </c>
      <c r="D17" s="174" t="inlineStr">
        <is>
          <t>报表001</t>
        </is>
      </c>
      <c r="E17" s="174" t="inlineStr">
        <is>
          <t>报表002</t>
        </is>
      </c>
      <c r="F17" s="13" t="n"/>
      <c r="G17" s="13" t="n"/>
      <c r="H17" s="13" t="n"/>
      <c r="I17" s="13" t="n"/>
      <c r="J17" s="13" t="n"/>
      <c r="K17" s="13" t="n"/>
      <c r="L17" s="13" t="n"/>
      <c r="M17" s="13" t="n"/>
      <c r="N17" s="13" t="n"/>
      <c r="O17" s="13" t="n"/>
      <c r="P17" s="13" t="n"/>
      <c r="Q17" s="13" t="n"/>
      <c r="R17" s="13" t="n"/>
      <c r="S17" s="1103" t="n"/>
      <c r="T17" s="13" t="n"/>
      <c r="U17" s="13" t="n"/>
      <c r="V17" s="13" t="n"/>
      <c r="W17" s="13" t="n"/>
      <c r="X17" s="171" t="n"/>
      <c r="Y17" s="171" t="n"/>
      <c r="Z17" s="13" t="n"/>
      <c r="AA17" s="13" t="n"/>
      <c r="AB17" s="13" t="n"/>
    </row>
    <row r="18" hidden="1" customFormat="1" s="644">
      <c r="A18" s="175" t="inlineStr">
        <is>
          <t>A</t>
        </is>
      </c>
      <c r="B18" s="176">
        <f>IF(_epmOfflineCondition_,"C_ACCOUNT",EPMDimensionType(,A18))</f>
        <v/>
      </c>
      <c r="C18" s="182" t="inlineStr">
        <is>
          <t>A_NOUSED</t>
        </is>
      </c>
      <c r="D18" s="180" t="n"/>
      <c r="E18" s="13" t="n"/>
      <c r="F18" s="13" t="n"/>
      <c r="G18" s="13" t="n"/>
      <c r="H18" s="13" t="n"/>
      <c r="I18" s="13" t="n"/>
      <c r="J18" s="13" t="n"/>
      <c r="K18" s="13" t="n"/>
      <c r="L18" s="13" t="n"/>
      <c r="M18" s="13" t="n"/>
      <c r="N18" s="13" t="n"/>
      <c r="O18" s="13" t="n"/>
      <c r="P18" s="13" t="n"/>
      <c r="Q18" s="13" t="n"/>
      <c r="R18" s="13" t="n"/>
      <c r="S18" s="1103" t="n"/>
      <c r="T18" s="13" t="n"/>
      <c r="U18" s="13" t="n"/>
      <c r="V18" s="13" t="n"/>
      <c r="W18" s="13" t="n"/>
      <c r="X18" s="171" t="n"/>
      <c r="Y18" s="171" t="n"/>
      <c r="Z18" s="13" t="n"/>
      <c r="AA18" s="13" t="n"/>
      <c r="AB18" s="13" t="n"/>
    </row>
    <row r="19" hidden="1" customFormat="1" s="644">
      <c r="A19" s="175" t="inlineStr">
        <is>
          <t>C</t>
        </is>
      </c>
      <c r="B19" s="176">
        <f>IF(_epmOfflineCondition_,"C_CATEGORY",EPMDimensionType(,A19))</f>
        <v/>
      </c>
      <c r="C19" s="182" t="inlineStr">
        <is>
          <t>C_DUMMY</t>
        </is>
      </c>
      <c r="D19" s="180" t="n"/>
      <c r="E19" s="13" t="n"/>
      <c r="F19" s="13" t="n"/>
      <c r="G19" s="13" t="n"/>
      <c r="H19" s="13" t="n"/>
      <c r="I19" s="13" t="n"/>
      <c r="J19" s="13" t="n"/>
      <c r="K19" s="13" t="n"/>
      <c r="L19" s="13" t="n"/>
      <c r="M19" s="13" t="n"/>
      <c r="N19" s="13" t="n"/>
      <c r="O19" s="13" t="n"/>
      <c r="P19" s="13" t="n"/>
      <c r="Q19" s="13" t="n"/>
      <c r="R19" s="13" t="n"/>
      <c r="S19" s="1103" t="n"/>
      <c r="T19" s="13" t="n"/>
      <c r="U19" s="13" t="n"/>
      <c r="V19" s="13" t="n"/>
      <c r="W19" s="13" t="n"/>
      <c r="X19" s="171" t="n"/>
      <c r="Y19" s="171" t="n"/>
      <c r="Z19" s="13" t="n"/>
      <c r="AA19" s="13" t="n"/>
      <c r="AB19" s="13" t="n"/>
    </row>
    <row r="20" hidden="1" customFormat="1" s="644">
      <c r="A20" s="175" t="inlineStr">
        <is>
          <t>T</t>
        </is>
      </c>
      <c r="B20" s="176">
        <f>IF(_epmOfflineCondition_,"C_TIME",EPMDimensionType(,A20))</f>
        <v/>
      </c>
      <c r="C20" s="672" t="inlineStr">
        <is>
          <t>T_DUMMY</t>
        </is>
      </c>
      <c r="D20" s="180" t="n"/>
      <c r="E20" s="13" t="n"/>
      <c r="F20" s="384" t="n"/>
      <c r="G20" s="384" t="n"/>
      <c r="H20" s="13" t="n"/>
      <c r="I20" s="13" t="n"/>
      <c r="J20" s="13" t="n"/>
      <c r="K20" s="13" t="n"/>
      <c r="L20" s="13" t="n"/>
      <c r="M20" s="13" t="n"/>
      <c r="N20" s="13" t="n"/>
      <c r="O20" s="13" t="n"/>
      <c r="P20" s="13" t="n"/>
      <c r="Q20" s="13" t="n"/>
      <c r="R20" s="13" t="n"/>
      <c r="S20" s="1103" t="n"/>
      <c r="T20" s="13" t="n"/>
      <c r="U20" s="13" t="n"/>
      <c r="V20" s="13" t="n"/>
      <c r="W20" s="13" t="n"/>
      <c r="X20" s="171" t="n"/>
      <c r="Y20" s="171" t="n"/>
      <c r="Z20" s="384" t="n"/>
      <c r="AA20" s="13" t="n"/>
      <c r="AB20" s="13" t="n"/>
    </row>
    <row r="21" hidden="1" customFormat="1" s="644">
      <c r="A21" s="175" t="inlineStr">
        <is>
          <t>E</t>
        </is>
      </c>
      <c r="B21" s="176">
        <f>IF(_epmOfflineCondition_,"C_ENTITY",EPMDimensionType(,A21))</f>
        <v/>
      </c>
      <c r="C21" s="447">
        <f>IF(_epmOfflineCondition_,"E100787",IF(B21="","",EPMContextMember(,B21)))</f>
        <v/>
      </c>
      <c r="D21" s="390">
        <f>IF(_epmOfflineCondition_,"内蒙古京能苏尼特风力发电有限公司（内蒙古分公司）",EPMOlapMemberO(D6,"[C_ENTITY].[PARENTH1].[E100787]","E100787 - 内蒙古京能苏尼特风力发电有限公司（内蒙古分公司）","","000"))</f>
        <v/>
      </c>
      <c r="E21" s="13" t="n"/>
      <c r="F21" s="384" t="n"/>
      <c r="G21" s="384" t="n"/>
      <c r="H21" s="13" t="n"/>
      <c r="I21" s="13" t="n"/>
      <c r="J21" s="13" t="n"/>
      <c r="K21" s="13" t="n"/>
      <c r="L21" s="13" t="n"/>
      <c r="M21" s="13" t="n"/>
      <c r="N21" s="13" t="n"/>
      <c r="O21" s="13" t="n"/>
      <c r="P21" s="13" t="n"/>
      <c r="Q21" s="13" t="n"/>
      <c r="R21" s="13" t="n"/>
      <c r="S21" s="1103" t="n"/>
      <c r="T21" s="13" t="n"/>
      <c r="U21" s="13" t="n"/>
      <c r="V21" s="13" t="n"/>
      <c r="W21" s="13" t="n"/>
      <c r="X21" s="171" t="n"/>
      <c r="Y21" s="171" t="n"/>
      <c r="Z21" s="384" t="n"/>
      <c r="AA21" s="13" t="n"/>
      <c r="AB21" s="13" t="n"/>
    </row>
    <row r="22" hidden="1" customFormat="1" s="644">
      <c r="A22" s="175" t="inlineStr">
        <is>
          <t>R</t>
        </is>
      </c>
      <c r="B22" s="176">
        <f>IF(_epmOfflineCondition_,"C_RPTCURRENCY",EPMDimensionType(,A22))</f>
        <v/>
      </c>
      <c r="C22" s="182">
        <f>Z37</f>
        <v/>
      </c>
      <c r="D22" s="390">
        <f>IF(_epmOfflineCondition_,"LC",EPMOlapMemberO(Z37,"[C_RPTCURRENCY].[].[LC]","LC - 本位币","","000"))</f>
        <v/>
      </c>
      <c r="E22" s="13" t="n"/>
      <c r="F22" s="384" t="n"/>
      <c r="G22" s="384" t="n"/>
      <c r="H22" s="13" t="n"/>
      <c r="I22" s="13" t="n"/>
      <c r="J22" s="13" t="n"/>
      <c r="K22" s="13" t="n"/>
      <c r="L22" s="13" t="n"/>
      <c r="M22" s="13" t="n"/>
      <c r="N22" s="13" t="n"/>
      <c r="O22" s="13" t="n"/>
      <c r="P22" s="13" t="n"/>
      <c r="Q22" s="13" t="n"/>
      <c r="R22" s="13" t="n"/>
      <c r="S22" s="1103" t="n"/>
      <c r="T22" s="13" t="n"/>
      <c r="U22" s="13" t="n"/>
      <c r="V22" s="13" t="n"/>
      <c r="W22" s="13" t="n"/>
      <c r="X22" s="171" t="n"/>
      <c r="Y22" s="171" t="n"/>
      <c r="Z22" s="384" t="n"/>
      <c r="AA22" s="13" t="n"/>
      <c r="AB22" s="13" t="n"/>
    </row>
    <row r="23" hidden="1" customFormat="1" s="644">
      <c r="A23" s="175" t="inlineStr">
        <is>
          <t>D</t>
        </is>
      </c>
      <c r="B23" s="176">
        <f>IF(_epmOfflineCondition_,"C_AUDITTRAIL",EPMDimensionType(,A23))</f>
        <v/>
      </c>
      <c r="C23" s="447">
        <f>IF(_epmOfflineCondition_,"DTOTAL",IF(B23="","",EPMContextMember(,B23)))</f>
        <v/>
      </c>
      <c r="D23" s="390" t="n"/>
      <c r="E23" s="13" t="n"/>
      <c r="F23" s="384" t="n"/>
      <c r="G23" s="384" t="n"/>
      <c r="H23" s="13" t="n"/>
      <c r="I23" s="13" t="n"/>
      <c r="J23" s="13" t="n"/>
      <c r="K23" s="13" t="n"/>
      <c r="L23" s="13" t="n"/>
      <c r="M23" s="13" t="n"/>
      <c r="N23" s="13" t="n"/>
      <c r="O23" s="13" t="n"/>
      <c r="P23" s="13" t="n"/>
      <c r="Q23" s="13" t="n"/>
      <c r="R23" s="13" t="n"/>
      <c r="S23" s="1103" t="n"/>
      <c r="T23" s="13" t="n"/>
      <c r="U23" s="13" t="n"/>
      <c r="V23" s="13" t="n"/>
      <c r="W23" s="13" t="n"/>
      <c r="X23" s="171" t="n"/>
      <c r="Y23" s="171" t="n"/>
      <c r="Z23" s="384" t="n"/>
      <c r="AA23" s="13" t="n"/>
      <c r="AB23" s="13" t="n"/>
    </row>
    <row r="24" hidden="1" customFormat="1" s="644">
      <c r="A24" s="175" t="inlineStr">
        <is>
          <t>S</t>
        </is>
      </c>
      <c r="B24" s="176">
        <f>IF(_epmOfflineCondition_,"C_FLOW",EPMDimensionType(,A24))</f>
        <v/>
      </c>
      <c r="C24" s="176">
        <f>IF(_epmOfflineCondition_,"FTOTAL",IF(B24="","",EPMContextMember(,B24)))</f>
        <v/>
      </c>
      <c r="D24" s="390" t="n"/>
      <c r="E24" s="13" t="n"/>
      <c r="F24" s="384" t="n"/>
      <c r="G24" s="384" t="n"/>
      <c r="H24" s="13" t="n"/>
      <c r="I24" s="13" t="n"/>
      <c r="J24" s="13" t="n"/>
      <c r="K24" s="13" t="n"/>
      <c r="L24" s="13" t="n"/>
      <c r="M24" s="13" t="n"/>
      <c r="N24" s="13" t="n"/>
      <c r="O24" s="13" t="n"/>
      <c r="P24" s="13" t="n"/>
      <c r="Q24" s="13" t="n"/>
      <c r="R24" s="13" t="n"/>
      <c r="S24" s="1103" t="n"/>
      <c r="T24" s="13" t="n"/>
      <c r="U24" s="13" t="n"/>
      <c r="V24" s="13" t="n"/>
      <c r="W24" s="13" t="n"/>
      <c r="X24" s="171" t="n"/>
      <c r="Y24" s="171" t="n"/>
      <c r="Z24" s="384" t="n"/>
      <c r="AA24" s="13" t="n"/>
      <c r="AB24" s="13" t="n"/>
    </row>
    <row r="25" hidden="1" customFormat="1" s="644">
      <c r="A25" s="175" t="inlineStr">
        <is>
          <t>I</t>
        </is>
      </c>
      <c r="B25" s="176">
        <f>IF(_epmOfflineCondition_,"C_INTERCO",EPMDimensionType(,A25))</f>
        <v/>
      </c>
      <c r="C25" s="176">
        <f>IF(_epmOfflineCondition_,"I_ALL",IF(B25="","",EPMContextMember(,B25)))</f>
        <v/>
      </c>
      <c r="D25" s="390">
        <f>IF(_epmOfflineCondition_,"I_ALL",EPMOlapMemberO(C25,"[C_INTERCO].[PARENTH1].[I_ALL]","I_ALL - 全部贸易伙伴","","000"))</f>
        <v/>
      </c>
      <c r="E25" s="13" t="n"/>
      <c r="F25" s="384" t="n"/>
      <c r="G25" s="384" t="n"/>
      <c r="H25" s="13" t="n"/>
      <c r="I25" s="13" t="n"/>
      <c r="J25" s="13" t="n"/>
      <c r="K25" s="13" t="n"/>
      <c r="L25" s="13" t="n"/>
      <c r="M25" s="13" t="n"/>
      <c r="N25" s="13" t="n"/>
      <c r="O25" s="13" t="n"/>
      <c r="P25" s="13" t="n"/>
      <c r="Q25" s="13" t="n"/>
      <c r="R25" s="13" t="n"/>
      <c r="S25" s="1103" t="n"/>
      <c r="T25" s="13" t="n"/>
      <c r="U25" s="13" t="n"/>
      <c r="V25" s="13" t="n"/>
      <c r="W25" s="13" t="n"/>
      <c r="X25" s="171" t="n"/>
      <c r="Y25" s="178" t="inlineStr">
        <is>
          <t>CATEGORY</t>
        </is>
      </c>
      <c r="Z25" s="178" t="inlineStr">
        <is>
          <t>C1001</t>
        </is>
      </c>
      <c r="AA25" s="178" t="n"/>
      <c r="AB25" s="178" t="n"/>
    </row>
    <row r="26" hidden="1" customFormat="1" s="644">
      <c r="A26" s="175" t="inlineStr">
        <is>
          <t>G</t>
        </is>
      </c>
      <c r="B26" s="176">
        <f>IF(_epmOfflineCondition_,"C_SCOPE",EPMDimensionType(,A26))</f>
        <v/>
      </c>
      <c r="C26" s="182" t="inlineStr">
        <is>
          <t>G_DUMMY</t>
        </is>
      </c>
      <c r="D26" s="390">
        <f>IF(_epmOfflineCondition_,"合并范围无关",EPMOlapMemberO(D11,"[C_SCOPE].[PARENTH1].[G_DUMMY]","G_DUMMY - 合并范围无关","","000"))</f>
        <v/>
      </c>
      <c r="E26" s="13" t="n"/>
      <c r="F26" s="384" t="n"/>
      <c r="G26" s="384" t="n"/>
      <c r="H26" s="13" t="n"/>
      <c r="I26" s="13" t="n"/>
      <c r="J26" s="13" t="n"/>
      <c r="K26" s="13" t="n"/>
      <c r="L26" s="13" t="n"/>
      <c r="M26" s="13" t="n"/>
      <c r="N26" s="13" t="n"/>
      <c r="O26" s="13" t="n"/>
      <c r="P26" s="13" t="n"/>
      <c r="Q26" s="13" t="n"/>
      <c r="R26" s="13" t="n"/>
      <c r="S26" s="1103" t="n"/>
      <c r="T26" s="13" t="n"/>
      <c r="U26" s="13" t="n"/>
      <c r="V26" s="13" t="n"/>
      <c r="W26" s="13" t="n"/>
      <c r="X26" s="171" t="n"/>
      <c r="Y26" s="464" t="inlineStr">
        <is>
          <t>TIME</t>
        </is>
      </c>
      <c r="Z26" s="464">
        <f>$I$11</f>
        <v/>
      </c>
      <c r="AA26" s="200">
        <f>$I$13</f>
        <v/>
      </c>
      <c r="AB26" s="178">
        <f>$J$4</f>
        <v/>
      </c>
    </row>
    <row r="27" hidden="1" customFormat="1" s="644">
      <c r="A27" s="175" t="inlineStr">
        <is>
          <t>U8</t>
        </is>
      </c>
      <c r="B27" s="176">
        <f>IF(_epmOfflineCondition_,"C_PROJECT",EPMDimensionType(,A27))</f>
        <v/>
      </c>
      <c r="C27" s="180" t="inlineStr">
        <is>
          <t>ZP_ALL</t>
        </is>
      </c>
      <c r="D27" s="390">
        <f>IF(_epmOfflineCondition_,"ZP_ALL",EPMOlapMemberO(C27,"[C_PROJECT].[PARENTH1].[ZP_ALL]","ZP_ALL - 项目合计","","000"))</f>
        <v/>
      </c>
      <c r="E27" s="13" t="n"/>
      <c r="F27" s="384" t="n"/>
      <c r="G27" s="384" t="n"/>
      <c r="H27" s="13" t="n"/>
      <c r="I27" s="13" t="n"/>
      <c r="J27" s="13" t="n"/>
      <c r="K27" s="13" t="n"/>
      <c r="L27" s="13" t="n"/>
      <c r="M27" s="13" t="n"/>
      <c r="N27" s="13" t="n"/>
      <c r="O27" s="13" t="n"/>
      <c r="P27" s="13" t="n"/>
      <c r="Q27" s="13" t="n"/>
      <c r="R27" s="13" t="n"/>
      <c r="S27" s="1103" t="n"/>
      <c r="T27" s="13" t="n"/>
      <c r="U27" s="13" t="n"/>
      <c r="V27" s="13" t="n"/>
      <c r="W27" s="13" t="n"/>
      <c r="X27" s="171" t="n"/>
      <c r="Y27" s="200" t="inlineStr">
        <is>
          <t>MEASURES</t>
        </is>
      </c>
      <c r="Z27" s="200" t="inlineStr">
        <is>
          <t>YTD</t>
        </is>
      </c>
      <c r="AA27" s="200" t="inlineStr">
        <is>
          <t>Periodic</t>
        </is>
      </c>
      <c r="AB27" s="13" t="n"/>
    </row>
    <row r="28" hidden="1" customFormat="1" s="644">
      <c r="A28" s="175" t="inlineStr">
        <is>
          <t>U9</t>
        </is>
      </c>
      <c r="B28" s="176">
        <f>IF(_epmOfflineCondition_,"C_ITEM",EPMDimensionType(,A28))</f>
        <v/>
      </c>
      <c r="C28" s="180" t="inlineStr">
        <is>
          <t>ZI_ALL</t>
        </is>
      </c>
      <c r="D28" s="390">
        <f>IF(_epmOfflineCondition_,"ZI_ALL",EPMOlapMemberO(C28,"[C_ITEM].[PARENTH1].[ZI_ALL]","ZI_ALL - 全部ITEM","","000"))</f>
        <v/>
      </c>
      <c r="E28" s="13" t="n"/>
      <c r="F28" s="384" t="n"/>
      <c r="G28" s="384" t="n"/>
      <c r="H28" s="13" t="n"/>
      <c r="I28" s="13" t="n"/>
      <c r="J28" s="13" t="n"/>
      <c r="K28" s="13" t="n"/>
      <c r="L28" s="13" t="n"/>
      <c r="M28" s="13" t="n"/>
      <c r="N28" s="13" t="n"/>
      <c r="O28" s="13" t="n"/>
      <c r="P28" s="13" t="n"/>
      <c r="Q28" s="13" t="n"/>
      <c r="R28" s="13" t="n"/>
      <c r="S28" s="1103" t="n"/>
      <c r="T28" s="13" t="n"/>
      <c r="U28" s="13" t="n"/>
      <c r="V28" s="13" t="n"/>
      <c r="W28" s="13" t="n"/>
      <c r="X28" s="171" t="n"/>
      <c r="Y28" s="200" t="inlineStr">
        <is>
          <t>FLOW</t>
        </is>
      </c>
      <c r="Z28" s="200" t="inlineStr">
        <is>
          <t>FMOV</t>
        </is>
      </c>
      <c r="AA28" s="200" t="inlineStr">
        <is>
          <t>F99</t>
        </is>
      </c>
      <c r="AB28" s="200" t="inlineStr">
        <is>
          <t>FEND</t>
        </is>
      </c>
    </row>
    <row r="29" hidden="1" customFormat="1" s="644">
      <c r="A29" s="175" t="inlineStr">
        <is>
          <t>U10</t>
        </is>
      </c>
      <c r="B29" s="176">
        <f>IF(_epmOfflineCondition_,"C_MISK",EPMDimensionType(,A29))</f>
        <v/>
      </c>
      <c r="C29" s="449" t="inlineStr">
        <is>
          <t>ZM_ALL</t>
        </is>
      </c>
      <c r="D29" s="390">
        <f>IF(_epmOfflineCondition_,"ZM_ALL",EPMOlapMemberO(C29,"[C_MISK].[PARENTH1].[ZM_ALL]","ZM_ALL - ALL","","000"))</f>
        <v/>
      </c>
      <c r="E29" s="13" t="n"/>
      <c r="F29" s="384" t="n"/>
      <c r="G29" s="384" t="n"/>
      <c r="H29" s="13" t="n"/>
      <c r="I29" s="13" t="n"/>
      <c r="J29" s="13" t="n"/>
      <c r="K29" s="13" t="n"/>
      <c r="L29" s="13" t="n"/>
      <c r="M29" s="13" t="n"/>
      <c r="N29" s="13" t="n"/>
      <c r="O29" s="13" t="n"/>
      <c r="P29" s="13" t="n"/>
      <c r="Q29" s="13" t="n"/>
      <c r="R29" s="13" t="n"/>
      <c r="S29" s="1103" t="n"/>
      <c r="T29" s="13" t="n"/>
      <c r="U29" s="13" t="n"/>
      <c r="V29" s="13" t="n"/>
      <c r="W29" s="13" t="n"/>
      <c r="X29" s="171" t="n"/>
      <c r="Y29" s="200" t="inlineStr">
        <is>
          <t>AUDITTRAIL</t>
        </is>
      </c>
      <c r="Z29" s="200" t="inlineStr">
        <is>
          <t>D1003</t>
        </is>
      </c>
      <c r="AA29" s="200" t="inlineStr">
        <is>
          <t>DALL</t>
        </is>
      </c>
      <c r="AB29" s="13" t="n"/>
    </row>
    <row r="30" hidden="1" customFormat="1" s="644">
      <c r="A30" s="175" t="n"/>
      <c r="B30" s="175">
        <f>IF(_epmOfflineCondition_,"",EPMDimensionType(,A30))</f>
        <v/>
      </c>
      <c r="C30" s="182" t="inlineStr">
        <is>
          <t>PERIODIC</t>
        </is>
      </c>
      <c r="D30" s="390" t="n"/>
      <c r="E30" s="13" t="n"/>
      <c r="F30" s="384" t="n"/>
      <c r="G30" s="384" t="n"/>
      <c r="H30" s="13" t="n"/>
      <c r="I30" s="13" t="n"/>
      <c r="J30" s="13" t="n"/>
      <c r="K30" s="13" t="n"/>
      <c r="L30" s="13" t="n"/>
      <c r="M30" s="13" t="n"/>
      <c r="N30" s="13" t="n"/>
      <c r="O30" s="13" t="n"/>
      <c r="P30" s="13" t="n"/>
      <c r="Q30" s="13" t="n"/>
      <c r="R30" s="13" t="n"/>
      <c r="S30" s="1103" t="n"/>
      <c r="T30" s="13" t="n"/>
      <c r="U30" s="13" t="n"/>
      <c r="V30" s="13" t="n"/>
      <c r="W30" s="13" t="n"/>
      <c r="X30" s="171" t="n"/>
      <c r="Y30" s="171" t="n"/>
      <c r="Z30" s="13" t="n"/>
      <c r="AA30" s="13">
        <f>IF(_epmOfflineCondition_,"合并后",EPMMemberDesc(AA29))</f>
        <v/>
      </c>
      <c r="AB30" s="13" t="n"/>
    </row>
    <row r="31" hidden="1" customFormat="1" s="644">
      <c r="A31" s="13" t="n"/>
      <c r="B31" s="1103" t="n"/>
      <c r="C31" s="1103" t="n"/>
      <c r="D31" s="1103" t="n"/>
      <c r="E31" s="13" t="n"/>
      <c r="F31" s="13" t="n"/>
      <c r="G31" s="13" t="n"/>
      <c r="H31" s="13" t="n"/>
      <c r="I31" s="13" t="n"/>
      <c r="J31" s="13" t="n"/>
      <c r="K31" s="13" t="n"/>
      <c r="L31" s="13" t="n"/>
      <c r="M31" s="13" t="n"/>
      <c r="N31" s="13" t="n"/>
      <c r="O31" s="13" t="n"/>
      <c r="P31" s="13" t="n"/>
      <c r="Q31" s="13" t="n"/>
      <c r="R31" s="13" t="n"/>
      <c r="S31" s="1103" t="n"/>
      <c r="T31" s="13" t="n"/>
      <c r="U31" s="13" t="n"/>
      <c r="V31" s="13" t="n"/>
      <c r="W31" s="13" t="n"/>
      <c r="X31" s="171" t="n"/>
      <c r="Y31" s="171" t="n"/>
      <c r="Z31" s="13" t="n"/>
      <c r="AA31" s="13" t="n"/>
      <c r="AB31" s="13" t="n"/>
    </row>
    <row r="32" hidden="1" customFormat="1" s="644">
      <c r="A32" s="13" t="n"/>
      <c r="B32" s="1103" t="n"/>
      <c r="C32" s="1103" t="n"/>
      <c r="D32" s="1103" t="n"/>
      <c r="E32" s="13" t="n"/>
      <c r="F32" s="13" t="n"/>
      <c r="G32" s="13" t="n"/>
      <c r="H32" s="13" t="n"/>
      <c r="I32" s="13" t="n"/>
      <c r="J32" s="13" t="n"/>
      <c r="K32" s="13" t="n"/>
      <c r="L32" s="13" t="n"/>
      <c r="M32" s="13" t="n"/>
      <c r="N32" s="13" t="n"/>
      <c r="O32" s="13" t="n"/>
      <c r="P32" s="13" t="n"/>
      <c r="Q32" s="13" t="n"/>
      <c r="R32" s="13" t="n"/>
      <c r="S32" s="1103" t="n"/>
      <c r="T32" s="13" t="n"/>
      <c r="U32" s="13" t="n"/>
      <c r="V32" s="13" t="n"/>
      <c r="W32" s="13" t="n"/>
      <c r="X32" s="171" t="n"/>
      <c r="Y32" s="171" t="n"/>
      <c r="Z32" s="13" t="n"/>
      <c r="AA32" s="13" t="n"/>
      <c r="AB32" s="13" t="n"/>
    </row>
    <row r="33" hidden="1" customFormat="1" s="644">
      <c r="A33" s="13" t="n"/>
      <c r="B33" s="1103" t="n"/>
      <c r="C33" s="1103" t="n"/>
      <c r="D33" s="1103" t="n"/>
      <c r="E33" s="13" t="n"/>
      <c r="F33" s="13" t="n"/>
      <c r="G33" s="13" t="n"/>
      <c r="H33" s="13" t="n"/>
      <c r="I33" s="13" t="n"/>
      <c r="J33" s="13" t="n"/>
      <c r="K33" s="13" t="n"/>
      <c r="L33" s="13" t="n"/>
      <c r="M33" s="13" t="n"/>
      <c r="N33" s="13" t="n"/>
      <c r="O33" s="13" t="n"/>
      <c r="P33" s="13" t="n"/>
      <c r="Q33" s="13" t="n"/>
      <c r="R33" s="13" t="n"/>
      <c r="S33" s="1103" t="n"/>
      <c r="T33" s="13" t="n"/>
      <c r="U33" s="13" t="n"/>
      <c r="V33" s="13" t="n"/>
      <c r="W33" s="13" t="n"/>
      <c r="X33" s="171" t="n"/>
      <c r="Y33" s="171" t="n"/>
      <c r="Z33" s="13" t="n"/>
      <c r="AA33" s="13" t="n"/>
      <c r="AB33" s="13" t="n"/>
    </row>
    <row r="34" ht="10.5" customFormat="1" customHeight="1" s="644">
      <c r="A34" s="13" t="n"/>
      <c r="B34" s="1103" t="n"/>
      <c r="C34" s="1103" t="n"/>
      <c r="D34" s="1103" t="n"/>
      <c r="E34" s="13" t="n"/>
      <c r="F34" s="13" t="n"/>
      <c r="G34" s="13" t="n"/>
      <c r="H34" s="13" t="n"/>
      <c r="I34" s="13" t="n"/>
      <c r="J34" s="13" t="n"/>
      <c r="K34" s="13" t="n"/>
      <c r="L34" s="13" t="n"/>
      <c r="M34" s="13" t="n"/>
      <c r="N34" s="13" t="n"/>
      <c r="O34" s="13" t="n"/>
      <c r="P34" s="13" t="n"/>
      <c r="Q34" s="13" t="n"/>
      <c r="R34" s="13" t="n"/>
      <c r="S34" s="1103" t="n"/>
      <c r="T34" s="13" t="n"/>
      <c r="U34" s="13" t="n"/>
      <c r="V34" s="13" t="n"/>
      <c r="W34" s="13" t="n"/>
      <c r="X34" s="171" t="n"/>
      <c r="Y34" s="171" t="n"/>
      <c r="Z34" s="13" t="n"/>
      <c r="AA34" s="13" t="n"/>
      <c r="AB34" s="13" t="n"/>
    </row>
    <row r="35" ht="32.25" customFormat="1" customHeight="1" s="155">
      <c r="A35" s="384" t="n"/>
      <c r="B35" s="384" t="n"/>
      <c r="C35" s="384" t="n"/>
      <c r="D35" s="384" t="n"/>
      <c r="E35" s="384" t="n"/>
      <c r="F35" s="384" t="n"/>
      <c r="G35" s="384" t="n"/>
      <c r="H35" s="384" t="n"/>
      <c r="I35" s="384" t="n"/>
      <c r="J35" s="384" t="n"/>
      <c r="K35" s="384" t="n"/>
      <c r="L35" s="384" t="n"/>
      <c r="M35" s="384" t="n"/>
      <c r="N35" s="384" t="n"/>
      <c r="O35" s="384" t="n"/>
      <c r="P35" s="384" t="n"/>
      <c r="Q35" s="384" t="n"/>
      <c r="R35" s="384" t="n"/>
      <c r="S35" s="32" t="n"/>
      <c r="T35" s="384" t="n"/>
      <c r="U35" s="384" t="n"/>
      <c r="V35" s="384" t="n"/>
      <c r="W35" s="384" t="n"/>
      <c r="X35" s="38" t="n"/>
      <c r="Y35" s="190" t="n"/>
      <c r="Z35" s="646" t="n"/>
      <c r="AA35" s="646" t="inlineStr">
        <is>
          <t>营业外收支明细表-查询</t>
        </is>
      </c>
      <c r="AB35" s="465" t="n"/>
    </row>
    <row r="36" ht="15.2" customFormat="1" customHeight="1" s="489">
      <c r="A36" s="716" t="n"/>
      <c r="B36" s="716" t="n"/>
      <c r="C36" s="716" t="n"/>
      <c r="D36" s="716" t="n"/>
      <c r="E36" s="716" t="n"/>
      <c r="F36" s="716" t="n"/>
      <c r="G36" s="716" t="n"/>
      <c r="H36" s="716" t="n"/>
      <c r="I36" s="716" t="n"/>
      <c r="J36" s="716" t="n"/>
      <c r="K36" s="716" t="n"/>
      <c r="L36" s="716" t="n"/>
      <c r="M36" s="716" t="n"/>
      <c r="N36" s="716" t="n"/>
      <c r="O36" s="716" t="n"/>
      <c r="P36" s="716" t="n"/>
      <c r="Q36" s="716" t="n"/>
      <c r="R36" s="716" t="n"/>
      <c r="S36" s="462">
        <f>IF(D21="全部实体",D26,D21)</f>
        <v/>
      </c>
      <c r="T36" s="716" t="n"/>
      <c r="U36" s="716" t="n"/>
      <c r="V36" s="716" t="n"/>
      <c r="W36" s="716" t="n"/>
      <c r="X36" s="190">
        <f>IF(_epmOfflineCondition_,"编制单位：内蒙古京能苏尼特风力发电有限公司（内蒙古分公司）","编制单位："&amp;EPMMemberDesc($S$36))</f>
        <v/>
      </c>
      <c r="Y36" s="190" t="n"/>
      <c r="Z36" s="716" t="n"/>
      <c r="AA36" s="203" t="n"/>
      <c r="AB36" s="716" t="n"/>
    </row>
    <row r="37" ht="15.2" customFormat="1" customHeight="1" s="489">
      <c r="A37" s="716" t="n"/>
      <c r="B37" s="716" t="n"/>
      <c r="C37" s="716" t="n"/>
      <c r="D37" s="716" t="n"/>
      <c r="E37" s="716" t="n"/>
      <c r="F37" s="716" t="n"/>
      <c r="G37" s="716" t="n"/>
      <c r="H37" s="716" t="n"/>
      <c r="I37" s="716" t="n"/>
      <c r="J37" s="716" t="n"/>
      <c r="K37" s="716" t="n"/>
      <c r="L37" s="716" t="n"/>
      <c r="M37" s="716" t="n"/>
      <c r="N37" s="716" t="n"/>
      <c r="O37" s="716" t="n"/>
      <c r="P37" s="716" t="n"/>
      <c r="Q37" s="716" t="n"/>
      <c r="R37" s="716" t="n"/>
      <c r="S37" s="462" t="n"/>
      <c r="T37" s="716" t="n"/>
      <c r="U37" s="716" t="n"/>
      <c r="V37" s="716" t="n"/>
      <c r="W37" s="716" t="n"/>
      <c r="X37" s="190">
        <f>"编制月份："&amp;$I$3&amp;"年"&amp;$I$8&amp;"月"</f>
        <v/>
      </c>
      <c r="Y37" s="190" t="inlineStr">
        <is>
          <t>币种：</t>
        </is>
      </c>
      <c r="Z37" s="716" t="inlineStr">
        <is>
          <t>LC</t>
        </is>
      </c>
      <c r="AA37" s="636" t="n"/>
      <c r="AB37" s="223" t="inlineStr">
        <is>
          <t>金额单位：元</t>
        </is>
      </c>
    </row>
    <row r="38" ht="15.2" customFormat="1" customHeight="1" s="716">
      <c r="A38" s="716" t="n"/>
      <c r="B38" s="716" t="n"/>
      <c r="C38" s="716" t="n"/>
      <c r="D38" s="716" t="n"/>
      <c r="E38" s="716" t="n"/>
      <c r="F38" s="716" t="n"/>
      <c r="G38" s="716" t="n"/>
      <c r="H38" s="716" t="n"/>
      <c r="I38" s="716" t="n"/>
      <c r="J38" s="716" t="n"/>
      <c r="K38" s="716" t="n"/>
      <c r="L38" s="716" t="n"/>
      <c r="M38" s="716" t="n"/>
      <c r="N38" s="716" t="n"/>
      <c r="O38" s="716" t="n"/>
      <c r="P38" s="716" t="n"/>
      <c r="Q38" s="716" t="n"/>
      <c r="R38" s="716" t="n"/>
      <c r="S38" s="462" t="n"/>
      <c r="T38" s="716" t="n"/>
      <c r="U38" s="716" t="n"/>
      <c r="V38" s="716" t="n"/>
      <c r="W38" s="716" t="n"/>
      <c r="X38" s="450" t="inlineStr">
        <is>
          <t>项目</t>
        </is>
      </c>
      <c r="Y38" s="450" t="inlineStr">
        <is>
          <t>行次</t>
        </is>
      </c>
      <c r="Z38" s="1256" t="inlineStr">
        <is>
          <t>本月数</t>
        </is>
      </c>
      <c r="AA38" s="1256" t="inlineStr">
        <is>
          <t>本年累计</t>
        </is>
      </c>
      <c r="AB38" s="1256" t="inlineStr">
        <is>
          <t>上年同期累计</t>
        </is>
      </c>
    </row>
    <row r="39" hidden="1" ht="14.25" customFormat="1" customHeight="1" s="716">
      <c r="A39" s="716" t="n"/>
      <c r="B39" s="716" t="n"/>
      <c r="C39" s="716" t="n"/>
      <c r="D39" s="716" t="n"/>
      <c r="E39" s="716" t="n"/>
      <c r="F39" s="716" t="n"/>
      <c r="G39" s="716" t="n"/>
      <c r="H39" s="716" t="n"/>
      <c r="I39" s="716" t="n"/>
      <c r="J39" s="716" t="n"/>
      <c r="K39" s="716" t="n"/>
      <c r="L39" s="716" t="n"/>
      <c r="M39" s="716" t="n"/>
      <c r="N39" s="716" t="n"/>
      <c r="O39" s="716" t="n"/>
      <c r="P39" s="716" t="n"/>
      <c r="Q39" s="716" t="n"/>
      <c r="R39" s="716" t="n"/>
      <c r="S39" s="462" t="n"/>
      <c r="T39" s="716" t="n"/>
      <c r="U39" s="716" t="n"/>
      <c r="V39" s="716" t="n"/>
      <c r="W39" s="716" t="n"/>
      <c r="X39" s="451" t="inlineStr">
        <is>
          <t>time</t>
        </is>
      </c>
      <c r="Y39" s="451" t="n"/>
      <c r="Z39" s="648">
        <f>IF(_epmOfflineCondition_,"2025.03",EPMOlapMemberO(I11,"[C_TIME].[PARENTH1].[2025.03]","2025.03 - 2025.03","","000"))</f>
        <v/>
      </c>
      <c r="AA39" s="648">
        <f>IF(_epmOfflineCondition_,"2025.03",EPMOlapMemberO(I11,"[C_TIME].[PARENTH1].[2025.03]","2025.03 - 2025.03","","000"))</f>
        <v/>
      </c>
      <c r="AB39" s="648">
        <f>IF(_epmOfflineCondition_,"2024.03",EPMOlapMemberO(AA26,"[C_TIME].[PARENTH1].[2024.03]","2024.03 - 2024.03","","000"))</f>
        <v/>
      </c>
    </row>
    <row r="40" hidden="1" ht="14.25" customFormat="1" customHeight="1" s="716">
      <c r="A40" s="716" t="n"/>
      <c r="B40" s="716" t="n"/>
      <c r="C40" s="716" t="n"/>
      <c r="D40" s="716" t="n"/>
      <c r="E40" s="716" t="n"/>
      <c r="F40" s="716" t="n"/>
      <c r="G40" s="716" t="n"/>
      <c r="H40" s="716" t="n"/>
      <c r="I40" s="716" t="n"/>
      <c r="J40" s="716" t="n"/>
      <c r="K40" s="716" t="n"/>
      <c r="L40" s="716" t="n"/>
      <c r="M40" s="716" t="n"/>
      <c r="N40" s="716" t="n"/>
      <c r="O40" s="716" t="n"/>
      <c r="P40" s="716" t="n"/>
      <c r="Q40" s="716" t="n"/>
      <c r="R40" s="716" t="n"/>
      <c r="S40" s="462" t="n"/>
      <c r="T40" s="716" t="n"/>
      <c r="U40" s="716" t="n"/>
      <c r="V40" s="716" t="n"/>
      <c r="W40" s="716" t="n"/>
      <c r="X40" s="451" t="inlineStr">
        <is>
          <t>category</t>
        </is>
      </c>
      <c r="Y40" s="451" t="n"/>
      <c r="Z40" s="182">
        <f>IF(_epmOfflineCondition_,"C1001",EPMOlapMemberO($Z$25,"[C_CATEGORY].[PARENTH1].[C1001]","C1001 - 实际数/决算数","","000"))</f>
        <v/>
      </c>
      <c r="AA40" s="182">
        <f>IF(_epmOfflineCondition_,"C1001",EPMOlapMemberO($Z$25,"[C_CATEGORY].[PARENTH1].[C1001]","C1001 - 实际数/决算数","","000"))</f>
        <v/>
      </c>
      <c r="AB40" s="182">
        <f>IF(_epmOfflineCondition_,"C1001",EPMOlapMemberO($Z$25,"[C_CATEGORY].[PARENTH1].[C1001]","C1001 - 实际数/决算数","","000"))</f>
        <v/>
      </c>
    </row>
    <row r="41" hidden="1" ht="13.5" customFormat="1" customHeight="1" s="716">
      <c r="A41" s="716" t="n"/>
      <c r="B41" s="716" t="n"/>
      <c r="C41" s="716" t="n"/>
      <c r="D41" s="716" t="n"/>
      <c r="E41" s="716" t="n"/>
      <c r="F41" s="716" t="n"/>
      <c r="G41" s="716" t="n"/>
      <c r="H41" s="716" t="n"/>
      <c r="I41" s="716" t="n"/>
      <c r="J41" s="716" t="n"/>
      <c r="K41" s="716" t="n"/>
      <c r="L41" s="716" t="n"/>
      <c r="M41" s="716" t="n"/>
      <c r="N41" s="716" t="n"/>
      <c r="O41" s="716" t="n"/>
      <c r="P41" s="716" t="n"/>
      <c r="Q41" s="716" t="n"/>
      <c r="R41" s="716" t="n"/>
      <c r="S41" s="462" t="n"/>
      <c r="T41" s="716" t="n"/>
      <c r="U41" s="716" t="n"/>
      <c r="V41" s="716" t="n"/>
      <c r="W41" s="716" t="n"/>
      <c r="X41" s="451" t="inlineStr">
        <is>
          <t>AUDITTRAIL</t>
        </is>
      </c>
      <c r="Y41" s="451" t="n"/>
      <c r="Z41" s="182">
        <f>IF(_epmOfflineCondition_,"DALL",EPMOlapMemberO($AA$29,"[C_AUDITTRAIL].[PARENTH1].[DALL]","DALL - 合并后","","000"))</f>
        <v/>
      </c>
      <c r="AA41" s="182">
        <f>IF(_epmOfflineCondition_,"DALL",EPMOlapMemberO($AA$29,"[C_AUDITTRAIL].[PARENTH1].[DALL]","DALL - 合并后","","000"))</f>
        <v/>
      </c>
      <c r="AB41" s="182">
        <f>IF(_epmOfflineCondition_,"DALL",EPMOlapMemberO($AA$29,"[C_AUDITTRAIL].[PARENTH1].[DALL]","DALL - 合并后","","000"))</f>
        <v/>
      </c>
    </row>
    <row r="42" hidden="1" ht="13.5" customFormat="1" customHeight="1" s="716">
      <c r="A42" s="716" t="n"/>
      <c r="B42" s="716" t="n"/>
      <c r="C42" s="716" t="n"/>
      <c r="D42" s="716" t="n"/>
      <c r="E42" s="716" t="n"/>
      <c r="F42" s="716" t="n"/>
      <c r="G42" s="716" t="n"/>
      <c r="H42" s="716" t="n"/>
      <c r="I42" s="716" t="n"/>
      <c r="J42" s="716" t="n"/>
      <c r="K42" s="716" t="n"/>
      <c r="L42" s="716" t="n"/>
      <c r="M42" s="716" t="n"/>
      <c r="N42" s="716" t="n"/>
      <c r="O42" s="716" t="n"/>
      <c r="P42" s="716" t="n"/>
      <c r="Q42" s="716" t="n"/>
      <c r="R42" s="716" t="n"/>
      <c r="S42" s="462" t="n"/>
      <c r="T42" s="716" t="n"/>
      <c r="U42" s="716" t="n"/>
      <c r="V42" s="716" t="n"/>
      <c r="W42" s="716" t="n"/>
      <c r="X42" s="451" t="inlineStr">
        <is>
          <t>flow</t>
        </is>
      </c>
      <c r="Y42" s="451" t="n"/>
      <c r="Z42" s="182">
        <f>IF(_epmOfflineCondition_,"FMOV",EPMOlapMemberO(Z28,"[C_FLOW].[PARENTH1].[FMOV]","FMOV - 本期变动","","000"))</f>
        <v/>
      </c>
      <c r="AA42" s="182">
        <f>IF(_epmOfflineCondition_,"FMOV",EPMOlapMemberO(Z28,"[C_FLOW].[PARENTH1].[FMOV]","FMOV - 本期变动","","000"))</f>
        <v/>
      </c>
      <c r="AB42" s="182">
        <f>IF(_epmOfflineCondition_,"FEND",EPMOlapMemberO(AB28,"[C_FLOW].[PARENTH1].[FEND]","FEND - 期末金额","","000"))</f>
        <v/>
      </c>
    </row>
    <row r="43" hidden="1" ht="13.5" customFormat="1" customHeight="1" s="716">
      <c r="A43" s="716" t="n"/>
      <c r="B43" s="716" t="n"/>
      <c r="C43" s="716" t="n"/>
      <c r="D43" s="716" t="n"/>
      <c r="E43" s="716" t="n"/>
      <c r="F43" s="716" t="n"/>
      <c r="G43" s="716" t="n"/>
      <c r="H43" s="716" t="n"/>
      <c r="I43" s="716" t="n"/>
      <c r="J43" s="716" t="n"/>
      <c r="K43" s="716" t="n"/>
      <c r="L43" s="716" t="n"/>
      <c r="M43" s="716" t="n"/>
      <c r="N43" s="716" t="n"/>
      <c r="O43" s="716" t="n"/>
      <c r="P43" s="716" t="n"/>
      <c r="Q43" s="716" t="n"/>
      <c r="R43" s="716" t="n"/>
      <c r="S43" s="462" t="n"/>
      <c r="T43" s="716" t="n"/>
      <c r="U43" s="716" t="n"/>
      <c r="V43" s="716" t="n"/>
      <c r="W43" s="716" t="n"/>
      <c r="X43" s="451" t="inlineStr">
        <is>
          <t>measures</t>
        </is>
      </c>
      <c r="Y43" s="451" t="n"/>
      <c r="Z43" s="182">
        <f>IF(_epmOfflineCondition_,"Periodic",EPMOlapMemberO($AA$27,"[MEASURES].[].[PERIODIC]","PERIODIC - Periodic","","000"))</f>
        <v/>
      </c>
      <c r="AA43" s="182">
        <f>IF(_epmOfflineCondition_,"YTD",EPMOlapMemberO($Z$27,"[MEASURES].[].[YTD]","YTD - Year To Date","","000"))</f>
        <v/>
      </c>
      <c r="AB43" s="182">
        <f>IF(_epmOfflineCondition_,"YTD",EPMOlapMemberO($Z$27,"[MEASURES].[].[YTD]","YTD - Year To Date","","000"))</f>
        <v/>
      </c>
    </row>
    <row r="44" ht="14.85" customFormat="1" customHeight="1" s="716">
      <c r="A44" s="716" t="n"/>
      <c r="B44" s="716" t="n"/>
      <c r="C44" s="716" t="n"/>
      <c r="D44" s="716" t="n"/>
      <c r="E44" s="716" t="n"/>
      <c r="F44" s="716" t="n"/>
      <c r="G44" s="716" t="n"/>
      <c r="H44" s="716" t="n"/>
      <c r="I44" s="716" t="n"/>
      <c r="J44" s="716" t="n"/>
      <c r="K44" s="716" t="n"/>
      <c r="L44" s="716" t="n"/>
      <c r="M44" s="716" t="n"/>
      <c r="N44" s="716" t="n"/>
      <c r="O44" s="716" t="n"/>
      <c r="P44" s="716" t="n"/>
      <c r="Q44" s="716" t="n"/>
      <c r="R44" s="716" t="n"/>
      <c r="S44" s="462">
        <f>IF(_epmOfflineCondition_,"    加：营业外收入",EPMMemberDesc(U44))</f>
        <v/>
      </c>
      <c r="T44" s="716" t="n"/>
      <c r="U44" s="716" t="inlineStr">
        <is>
          <t>A0020301</t>
        </is>
      </c>
      <c r="V44" s="462">
        <f>IF(_epmOfflineCondition_,"A0020301",EPMOlapMemberO(U44,"[C_ACCOUNT].[PARENTH1].[A0020301]","A0020301 -     加：营业外收入","","000"))</f>
        <v/>
      </c>
      <c r="W44" s="462" t="n"/>
      <c r="X44" s="463" t="inlineStr">
        <is>
          <t>营业外收入</t>
        </is>
      </c>
      <c r="Y44" s="649" t="inlineStr"/>
      <c r="Z44" s="1344" t="n"/>
      <c r="AA44" s="1336" t="n"/>
      <c r="AB44" s="1336" t="n"/>
    </row>
    <row r="45" ht="14.85" customFormat="1" customHeight="1" s="716">
      <c r="A45" s="716" t="n"/>
      <c r="B45" s="716" t="n"/>
      <c r="C45" s="716" t="n"/>
      <c r="D45" s="716" t="n"/>
      <c r="E45" s="716" t="n"/>
      <c r="F45" s="716" t="n"/>
      <c r="G45" s="716" t="n"/>
      <c r="H45" s="716" t="n"/>
      <c r="I45" s="716" t="n"/>
      <c r="J45" s="716" t="n"/>
      <c r="K45" s="716" t="n"/>
      <c r="L45" s="716" t="n"/>
      <c r="M45" s="716" t="n"/>
      <c r="N45" s="716" t="n"/>
      <c r="O45" s="716" t="n"/>
      <c r="P45" s="716" t="n"/>
      <c r="Q45" s="716" t="n"/>
      <c r="R45" s="716" t="n"/>
      <c r="S45" s="462">
        <f>IF(_epmOfflineCondition_,"营业外收入-非流动资产报废损毁利得",EPMMemberDesc(U45))</f>
        <v/>
      </c>
      <c r="T45" s="716" t="n"/>
      <c r="U45" s="716" t="inlineStr">
        <is>
          <t>A630101</t>
        </is>
      </c>
      <c r="V45" s="455">
        <f>IF(_epmOfflineCondition_,"A630101",EPMOlapMemberO(U45,"[C_ACCOUNT].[PARENTH1].[A630101]","A630101 - 营业外收入-非流动资产报废损毁利得","","000"))</f>
        <v/>
      </c>
      <c r="W45" s="462" t="n"/>
      <c r="X45" s="645" t="inlineStr">
        <is>
          <t>非流动资产报废损毁利得</t>
        </is>
      </c>
      <c r="Y45" s="649" t="inlineStr"/>
      <c r="Z45" s="1344" t="n"/>
      <c r="AA45" s="1336" t="n"/>
      <c r="AB45" s="1336" t="n"/>
    </row>
    <row r="46" ht="14.85" customFormat="1" customHeight="1" s="716">
      <c r="A46" s="716" t="n"/>
      <c r="B46" s="716" t="n"/>
      <c r="C46" s="716" t="n"/>
      <c r="D46" s="716" t="n"/>
      <c r="E46" s="716" t="n"/>
      <c r="F46" s="716" t="n"/>
      <c r="G46" s="716" t="n"/>
      <c r="H46" s="716" t="n"/>
      <c r="I46" s="716" t="n"/>
      <c r="J46" s="716" t="n"/>
      <c r="K46" s="716" t="n"/>
      <c r="L46" s="716" t="n"/>
      <c r="M46" s="716" t="n"/>
      <c r="N46" s="716" t="n"/>
      <c r="O46" s="716" t="n"/>
      <c r="P46" s="716" t="n"/>
      <c r="Q46" s="716" t="n"/>
      <c r="R46" s="716" t="n"/>
      <c r="S46" s="462">
        <f>IF(_epmOfflineCondition_,"营业外收入-政府补助",EPMMemberDesc(U46))</f>
        <v/>
      </c>
      <c r="T46" s="716" t="n"/>
      <c r="U46" s="716" t="inlineStr">
        <is>
          <t>A6301040000</t>
        </is>
      </c>
      <c r="V46" s="455">
        <f>IF(_epmOfflineCondition_,"A6301040000",EPMOlapMemberO(U46,"[C_ACCOUNT].[PARENTH1].[A6301040000]","A6301040000 - 营业外收入-政府补助","","000"))</f>
        <v/>
      </c>
      <c r="W46" s="462" t="n"/>
      <c r="X46" s="645" t="inlineStr">
        <is>
          <t>与日常经营活动无关的政府补助</t>
        </is>
      </c>
      <c r="Y46" s="649" t="inlineStr"/>
      <c r="Z46" s="1344" t="n"/>
      <c r="AA46" s="1336" t="n"/>
      <c r="AB46" s="1336" t="n"/>
    </row>
    <row r="47" ht="14.85" customFormat="1" customHeight="1" s="716">
      <c r="A47" s="716" t="n"/>
      <c r="B47" s="716" t="n"/>
      <c r="C47" s="716" t="n"/>
      <c r="D47" s="716" t="n"/>
      <c r="E47" s="716" t="n"/>
      <c r="F47" s="716" t="n"/>
      <c r="G47" s="716" t="n"/>
      <c r="H47" s="716" t="n"/>
      <c r="I47" s="716" t="n"/>
      <c r="J47" s="716" t="n"/>
      <c r="K47" s="716" t="n"/>
      <c r="L47" s="716" t="n"/>
      <c r="M47" s="716" t="n"/>
      <c r="N47" s="716" t="n"/>
      <c r="O47" s="716" t="n"/>
      <c r="P47" s="716" t="n"/>
      <c r="Q47" s="716" t="n"/>
      <c r="R47" s="716" t="n"/>
      <c r="S47" s="462">
        <f>IF(_epmOfflineCondition_,"营业外收入-盘盈利得",EPMMemberDesc(U47))</f>
        <v/>
      </c>
      <c r="T47" s="716" t="n"/>
      <c r="U47" s="716" t="inlineStr">
        <is>
          <t>A6301050000</t>
        </is>
      </c>
      <c r="V47" s="455">
        <f>IF(_epmOfflineCondition_,"A6301050000",EPMOlapMemberO(U47,"[C_ACCOUNT].[PARENTH1].[A6301050000]","A6301050000 - 营业外收入-盘盈利得","","000"))</f>
        <v/>
      </c>
      <c r="W47" s="462" t="n"/>
      <c r="X47" s="645" t="inlineStr">
        <is>
          <t>盘盈利得</t>
        </is>
      </c>
      <c r="Y47" s="649" t="inlineStr"/>
      <c r="Z47" s="1344" t="n"/>
      <c r="AA47" s="1336" t="n"/>
      <c r="AB47" s="1336" t="n"/>
    </row>
    <row r="48" ht="14.85" customFormat="1" customHeight="1" s="716">
      <c r="A48" s="716" t="n"/>
      <c r="B48" s="716" t="n"/>
      <c r="C48" s="716" t="n"/>
      <c r="D48" s="716" t="n"/>
      <c r="E48" s="716" t="n"/>
      <c r="F48" s="716" t="n"/>
      <c r="G48" s="716" t="n"/>
      <c r="H48" s="716" t="n"/>
      <c r="I48" s="716" t="n"/>
      <c r="J48" s="716" t="n"/>
      <c r="K48" s="716" t="n"/>
      <c r="L48" s="716" t="n"/>
      <c r="M48" s="716" t="n"/>
      <c r="N48" s="716" t="n"/>
      <c r="O48" s="716" t="n"/>
      <c r="P48" s="716" t="n"/>
      <c r="Q48" s="716" t="n"/>
      <c r="R48" s="716" t="n"/>
      <c r="S48" s="462">
        <f>IF(_epmOfflineCondition_,"营业外收入-捐赠利得",EPMMemberDesc(U48))</f>
        <v/>
      </c>
      <c r="T48" s="716" t="n"/>
      <c r="U48" s="716" t="inlineStr">
        <is>
          <t>A6301060000</t>
        </is>
      </c>
      <c r="V48" s="455">
        <f>IF(_epmOfflineCondition_,"A6301060000",EPMOlapMemberO(U48,"[C_ACCOUNT].[PARENTH1].[A6301060000]","A6301060000 - 营业外收入-捐赠利得","","000"))</f>
        <v/>
      </c>
      <c r="W48" s="462" t="n"/>
      <c r="X48" s="645" t="inlineStr">
        <is>
          <t>捐赠利得</t>
        </is>
      </c>
      <c r="Y48" s="649" t="inlineStr"/>
      <c r="Z48" s="1344" t="n"/>
      <c r="AA48" s="1336" t="n"/>
      <c r="AB48" s="1336" t="n"/>
    </row>
    <row r="49" ht="14.85" customFormat="1" customHeight="1" s="716">
      <c r="A49" s="716" t="n"/>
      <c r="B49" s="716" t="n"/>
      <c r="C49" s="716" t="n"/>
      <c r="D49" s="716" t="n"/>
      <c r="E49" s="716" t="n"/>
      <c r="F49" s="716" t="n"/>
      <c r="G49" s="716" t="n"/>
      <c r="H49" s="716" t="n"/>
      <c r="I49" s="716" t="n"/>
      <c r="J49" s="716" t="n"/>
      <c r="K49" s="716" t="n"/>
      <c r="L49" s="716" t="n"/>
      <c r="M49" s="716" t="n"/>
      <c r="N49" s="716" t="n"/>
      <c r="O49" s="716" t="n"/>
      <c r="P49" s="716" t="n"/>
      <c r="Q49" s="716" t="n"/>
      <c r="R49" s="716" t="n"/>
      <c r="S49" s="462">
        <f>IF(_epmOfflineCondition_,"营业外收入-违约金、滞纳金及罚款收入",EPMMemberDesc(U49))</f>
        <v/>
      </c>
      <c r="T49" s="716" t="n"/>
      <c r="U49" s="716" t="inlineStr">
        <is>
          <t>A6301070000</t>
        </is>
      </c>
      <c r="V49" s="455">
        <f>IF(_epmOfflineCondition_,"A6301070000",EPMOlapMemberO(U49,"[C_ACCOUNT].[PARENTH1].[A6301070000]","A6301070000 - 营业外收入-违约金、滞纳金及罚款收入","","000"))</f>
        <v/>
      </c>
      <c r="W49" s="462" t="n"/>
      <c r="X49" s="645" t="inlineStr">
        <is>
          <t>违约金、滞纳金及罚款收入</t>
        </is>
      </c>
      <c r="Y49" s="649" t="inlineStr"/>
      <c r="Z49" s="1344" t="n"/>
      <c r="AA49" s="1336" t="n"/>
      <c r="AB49" s="1336" t="n"/>
    </row>
    <row r="50">
      <c r="A50" s="384" t="n"/>
      <c r="B50" s="384" t="n"/>
      <c r="C50" s="384" t="n"/>
      <c r="D50" s="384" t="n"/>
      <c r="E50" s="384" t="n"/>
      <c r="F50" s="384" t="n"/>
      <c r="G50" s="384" t="n"/>
      <c r="H50" s="384" t="n"/>
      <c r="I50" s="384" t="n"/>
      <c r="J50" s="384" t="n"/>
      <c r="K50" s="384" t="n"/>
      <c r="L50" s="384" t="n"/>
      <c r="M50" s="384" t="n"/>
      <c r="N50" s="384" t="n"/>
      <c r="O50" s="384" t="n"/>
      <c r="P50" s="384" t="n"/>
      <c r="Q50" s="384" t="n"/>
      <c r="R50" s="384" t="n"/>
      <c r="S50" s="462">
        <f>IF(_epmOfflineCondition_,"营业外收入-补偿款及赔款收入",EPMMemberDesc(U50))</f>
        <v/>
      </c>
      <c r="T50" s="384" t="n"/>
      <c r="U50" s="716" t="inlineStr">
        <is>
          <t>A6301100000</t>
        </is>
      </c>
      <c r="V50" s="455">
        <f>IF(_epmOfflineCondition_,"A6301100000",EPMOlapMemberO(U50,"[C_ACCOUNT].[PARENTH1].[A6301100000]","A6301100000 - 营业外收入-补偿款及赔款收入","","000"))</f>
        <v/>
      </c>
      <c r="W50" s="384" t="n"/>
      <c r="X50" s="645" t="inlineStr">
        <is>
          <t>补偿款及赔款收入</t>
        </is>
      </c>
      <c r="Y50" s="651" t="inlineStr"/>
      <c r="Z50" s="1345" t="n"/>
      <c r="AA50" s="1336" t="n"/>
      <c r="AB50" s="1346" t="n"/>
    </row>
    <row r="51">
      <c r="A51" s="384" t="n"/>
      <c r="B51" s="384" t="n"/>
      <c r="C51" s="384" t="n"/>
      <c r="D51" s="384" t="n"/>
      <c r="E51" s="384" t="n"/>
      <c r="F51" s="384" t="n"/>
      <c r="G51" s="384" t="n"/>
      <c r="H51" s="384" t="n"/>
      <c r="I51" s="384" t="n"/>
      <c r="J51" s="384" t="n"/>
      <c r="K51" s="384" t="n"/>
      <c r="L51" s="384" t="n"/>
      <c r="M51" s="384" t="n"/>
      <c r="N51" s="384" t="n"/>
      <c r="O51" s="384" t="n"/>
      <c r="P51" s="384" t="n"/>
      <c r="Q51" s="384" t="n"/>
      <c r="R51" s="384" t="n"/>
      <c r="S51" s="462">
        <f>IF(_epmOfflineCondition_,"营业外收入-股权收购",EPMMemberDesc(U51))</f>
        <v/>
      </c>
      <c r="T51" s="384" t="n"/>
      <c r="U51" s="716" t="inlineStr">
        <is>
          <t>A6301140000</t>
        </is>
      </c>
      <c r="V51" s="455">
        <f>IF(_epmOfflineCondition_,"A6301140000",EPMOlapMemberO(U51,"[C_ACCOUNT].[PARENTH1].[A6301140000]","A6301140000 - 营业外收入-股权收购","","000"))</f>
        <v/>
      </c>
      <c r="W51" s="384" t="n"/>
      <c r="X51" s="645" t="inlineStr">
        <is>
          <t>股权收购</t>
        </is>
      </c>
      <c r="Y51" s="654" t="inlineStr"/>
      <c r="Z51" s="1345" t="n"/>
      <c r="AA51" s="1336" t="n"/>
      <c r="AB51" s="1346" t="n"/>
    </row>
    <row r="52">
      <c r="A52" s="384" t="n"/>
      <c r="B52" s="384" t="n"/>
      <c r="C52" s="384" t="n"/>
      <c r="D52" s="384" t="n"/>
      <c r="E52" s="384" t="n"/>
      <c r="F52" s="384" t="n"/>
      <c r="G52" s="384" t="n"/>
      <c r="H52" s="384" t="n"/>
      <c r="I52" s="384" t="n"/>
      <c r="J52" s="384" t="n"/>
      <c r="K52" s="384" t="n"/>
      <c r="L52" s="384" t="n"/>
      <c r="M52" s="384" t="n"/>
      <c r="N52" s="384" t="n"/>
      <c r="O52" s="384" t="n"/>
      <c r="P52" s="384" t="n"/>
      <c r="Q52" s="384" t="n"/>
      <c r="R52" s="384" t="n"/>
      <c r="S52" s="462">
        <f>IF(_epmOfflineCondition_,"营业外收入-碳排放权资产使用",EPMMemberDesc(U52))</f>
        <v/>
      </c>
      <c r="T52" s="384" t="n"/>
      <c r="U52" s="716" t="inlineStr">
        <is>
          <t>A6301150000</t>
        </is>
      </c>
      <c r="V52" s="455">
        <f>IF(_epmOfflineCondition_,"A6301150000",EPMOlapMemberO(U52,"[C_ACCOUNT].[PARENTH1].[A6301150000]","A6301150000 - 营业外收入-碳排放权资产使用","","000"))</f>
        <v/>
      </c>
      <c r="W52" s="384" t="n"/>
      <c r="X52" s="645" t="inlineStr">
        <is>
          <t>碳排放权</t>
        </is>
      </c>
      <c r="Y52" s="654" t="inlineStr"/>
      <c r="Z52" s="1345" t="n"/>
      <c r="AA52" s="1336" t="n"/>
      <c r="AB52" s="1346" t="n"/>
    </row>
    <row r="53">
      <c r="A53" s="384" t="n"/>
      <c r="B53" s="384" t="n"/>
      <c r="C53" s="384" t="n"/>
      <c r="D53" s="384" t="n"/>
      <c r="E53" s="384" t="n"/>
      <c r="F53" s="384" t="n"/>
      <c r="G53" s="384" t="n"/>
      <c r="H53" s="384" t="n"/>
      <c r="I53" s="384" t="n"/>
      <c r="J53" s="384" t="n"/>
      <c r="K53" s="384" t="n"/>
      <c r="L53" s="384" t="n"/>
      <c r="M53" s="384" t="n"/>
      <c r="N53" s="384" t="n"/>
      <c r="O53" s="384" t="n"/>
      <c r="P53" s="384" t="n"/>
      <c r="Q53" s="384" t="n"/>
      <c r="R53" s="384" t="n"/>
      <c r="S53" s="462">
        <f>IF(_epmOfflineCondition_,"营业外收入-其他",EPMMemberDesc(U53))</f>
        <v/>
      </c>
      <c r="T53" s="384" t="n"/>
      <c r="U53" s="716" t="inlineStr">
        <is>
          <t>A6301990000</t>
        </is>
      </c>
      <c r="V53" s="455">
        <f>IF(_epmOfflineCondition_,"A6301990000",EPMOlapMemberO(U53,"[C_ACCOUNT].[PARENTH1].[A6301990000]","A6301990000 - 营业外收入-其他","","000"))</f>
        <v/>
      </c>
      <c r="W53" s="384" t="n"/>
      <c r="X53" s="645" t="inlineStr">
        <is>
          <t>其他</t>
        </is>
      </c>
      <c r="Y53" s="654" t="inlineStr"/>
      <c r="Z53" s="1345" t="n"/>
      <c r="AA53" s="1345" t="n"/>
      <c r="AB53" s="1345" t="n"/>
    </row>
    <row r="54">
      <c r="A54" s="384" t="n"/>
      <c r="B54" s="384" t="n"/>
      <c r="C54" s="384" t="n"/>
      <c r="D54" s="384" t="n"/>
      <c r="E54" s="384" t="n"/>
      <c r="F54" s="384" t="n"/>
      <c r="G54" s="384" t="n"/>
      <c r="H54" s="384" t="n"/>
      <c r="I54" s="384" t="n"/>
      <c r="J54" s="384" t="n"/>
      <c r="K54" s="384" t="n"/>
      <c r="L54" s="384" t="n"/>
      <c r="M54" s="384" t="n"/>
      <c r="N54" s="384" t="n"/>
      <c r="O54" s="384" t="n"/>
      <c r="P54" s="384" t="n"/>
      <c r="Q54" s="384" t="n"/>
      <c r="R54" s="384" t="n"/>
      <c r="S54" s="462">
        <f>IF(_epmOfflineCondition_,"　　减：营业外支出",EPMMemberDesc(U54))</f>
        <v/>
      </c>
      <c r="T54" s="384" t="n"/>
      <c r="U54" s="716" t="inlineStr">
        <is>
          <t>A0020302</t>
        </is>
      </c>
      <c r="V54" s="462">
        <f>IF(_epmOfflineCondition_,"A0020302",EPMOlapMemberO(U54,"[C_ACCOUNT].[PARENTH1].[A0020302]","A0020302 - 　　减：营业外支出","","000"))</f>
        <v/>
      </c>
      <c r="W54" s="384" t="n"/>
      <c r="X54" s="463" t="inlineStr">
        <is>
          <t>营业外支出</t>
        </is>
      </c>
      <c r="Y54" s="654" t="inlineStr"/>
      <c r="Z54" s="1345" t="n"/>
      <c r="AA54" s="1336" t="n"/>
      <c r="AB54" s="1346" t="n"/>
    </row>
    <row r="55">
      <c r="A55" s="384" t="n"/>
      <c r="B55" s="384" t="n"/>
      <c r="C55" s="384" t="n"/>
      <c r="D55" s="384" t="n"/>
      <c r="E55" s="384" t="n"/>
      <c r="F55" s="384" t="n"/>
      <c r="G55" s="384" t="n"/>
      <c r="H55" s="384" t="n"/>
      <c r="I55" s="384" t="n"/>
      <c r="J55" s="384" t="n"/>
      <c r="K55" s="384" t="n"/>
      <c r="L55" s="384" t="n"/>
      <c r="M55" s="384" t="n"/>
      <c r="N55" s="384" t="n"/>
      <c r="O55" s="384" t="n"/>
      <c r="P55" s="384" t="n"/>
      <c r="Q55" s="384" t="n"/>
      <c r="R55" s="384" t="n"/>
      <c r="S55" s="462">
        <f>IF(_epmOfflineCondition_,"营业外支出-非流动资产报废损毁损失",EPMMemberDesc(U55))</f>
        <v/>
      </c>
      <c r="T55" s="384" t="n"/>
      <c r="U55" s="716" t="inlineStr">
        <is>
          <t>A671101</t>
        </is>
      </c>
      <c r="V55" s="455">
        <f>IF(_epmOfflineCondition_,"A671101",EPMOlapMemberO(U55,"[C_ACCOUNT].[PARENTH1].[A671101]","A671101 - 营业外支出-非流动资产报废损毁损失","","000"))</f>
        <v/>
      </c>
      <c r="W55" s="384" t="n"/>
      <c r="X55" s="645" t="inlineStr">
        <is>
          <t>非流动资产报废损毁损失</t>
        </is>
      </c>
      <c r="Y55" s="654" t="inlineStr"/>
      <c r="Z55" s="1345" t="n"/>
      <c r="AA55" s="1336" t="n"/>
      <c r="AB55" s="1346" t="n"/>
    </row>
    <row r="56">
      <c r="A56" s="384" t="n"/>
      <c r="B56" s="384" t="n"/>
      <c r="C56" s="384" t="n"/>
      <c r="D56" s="384" t="n"/>
      <c r="E56" s="384" t="n"/>
      <c r="F56" s="384" t="n"/>
      <c r="G56" s="384" t="n"/>
      <c r="H56" s="384" t="n"/>
      <c r="I56" s="384" t="n"/>
      <c r="J56" s="384" t="n"/>
      <c r="K56" s="384" t="n"/>
      <c r="L56" s="384" t="n"/>
      <c r="M56" s="384" t="n"/>
      <c r="N56" s="384" t="n"/>
      <c r="O56" s="384" t="n"/>
      <c r="P56" s="384" t="n"/>
      <c r="Q56" s="384" t="n"/>
      <c r="R56" s="384" t="n"/>
      <c r="S56" s="462">
        <f>IF(_epmOfflineCondition_,"营业外支出-捐赠支出",EPMMemberDesc(U56))</f>
        <v/>
      </c>
      <c r="T56" s="384" t="n"/>
      <c r="U56" s="716" t="inlineStr">
        <is>
          <t>A671104</t>
        </is>
      </c>
      <c r="V56" s="455">
        <f>IF(_epmOfflineCondition_,"A671104",EPMOlapMemberO(U56,"[C_ACCOUNT].[PARENTH1].[A671104]","A671104 - 营业外支出-捐赠支出","","000"))</f>
        <v/>
      </c>
      <c r="W56" s="384" t="n"/>
      <c r="X56" s="645" t="inlineStr">
        <is>
          <t>捐赠支出</t>
        </is>
      </c>
      <c r="Y56" s="654" t="inlineStr"/>
      <c r="Z56" s="1345" t="n"/>
      <c r="AA56" s="1336" t="n"/>
      <c r="AB56" s="1346" t="n"/>
    </row>
    <row r="57">
      <c r="A57" s="384" t="n"/>
      <c r="B57" s="384" t="n"/>
      <c r="C57" s="384" t="n"/>
      <c r="D57" s="384" t="n"/>
      <c r="E57" s="384" t="n"/>
      <c r="F57" s="384" t="n"/>
      <c r="G57" s="384" t="n"/>
      <c r="H57" s="384" t="n"/>
      <c r="I57" s="384" t="n"/>
      <c r="J57" s="384" t="n"/>
      <c r="K57" s="384" t="n"/>
      <c r="L57" s="384" t="n"/>
      <c r="M57" s="384" t="n"/>
      <c r="N57" s="384" t="n"/>
      <c r="O57" s="384" t="n"/>
      <c r="P57" s="384" t="n"/>
      <c r="Q57" s="384" t="n"/>
      <c r="R57" s="384" t="n"/>
      <c r="S57" s="462">
        <f>IF(_epmOfflineCondition_,"营业外支出-非常损失",EPMMemberDesc(U57))</f>
        <v/>
      </c>
      <c r="T57" s="384" t="n"/>
      <c r="U57" s="716" t="inlineStr">
        <is>
          <t>A6711050000</t>
        </is>
      </c>
      <c r="V57" s="455">
        <f>IF(_epmOfflineCondition_,"A6711050000",EPMOlapMemberO(U57,"[C_ACCOUNT].[PARENTH1].[A6711050000]","A6711050000 - 营业外支出-非常损失","","000"))</f>
        <v/>
      </c>
      <c r="W57" s="384" t="n"/>
      <c r="X57" s="645" t="inlineStr">
        <is>
          <t>非常损失</t>
        </is>
      </c>
      <c r="Y57" s="654" t="inlineStr"/>
      <c r="Z57" s="1345" t="n"/>
      <c r="AA57" s="1336" t="n"/>
      <c r="AB57" s="1346" t="n"/>
    </row>
    <row r="58">
      <c r="A58" s="384" t="n"/>
      <c r="B58" s="384" t="n"/>
      <c r="C58" s="384" t="n"/>
      <c r="D58" s="384" t="n"/>
      <c r="E58" s="384" t="n"/>
      <c r="F58" s="384" t="n"/>
      <c r="G58" s="384" t="n"/>
      <c r="H58" s="384" t="n"/>
      <c r="I58" s="384" t="n"/>
      <c r="J58" s="384" t="n"/>
      <c r="K58" s="384" t="n"/>
      <c r="L58" s="384" t="n"/>
      <c r="M58" s="384" t="n"/>
      <c r="N58" s="384" t="n"/>
      <c r="O58" s="384" t="n"/>
      <c r="P58" s="384" t="n"/>
      <c r="Q58" s="384" t="n"/>
      <c r="R58" s="384" t="n"/>
      <c r="S58" s="462">
        <f>IF(_epmOfflineCondition_,"营业外支出-盘亏损失",EPMMemberDesc(U58))</f>
        <v/>
      </c>
      <c r="T58" s="384" t="n"/>
      <c r="U58" s="384" t="inlineStr">
        <is>
          <t>A6711060000</t>
        </is>
      </c>
      <c r="V58" s="455">
        <f>IF(_epmOfflineCondition_,"A6711060000",EPMOlapMemberO(U58,"[C_ACCOUNT].[PARENTH1].[A6711060000]","A6711060000 - 营业外支出-盘亏损失","","000"))</f>
        <v/>
      </c>
      <c r="W58" s="384" t="n"/>
      <c r="X58" s="645" t="inlineStr">
        <is>
          <t>盘亏损失</t>
        </is>
      </c>
      <c r="Y58" s="654" t="inlineStr"/>
      <c r="Z58" s="1345" t="n"/>
      <c r="AA58" s="1336" t="n"/>
      <c r="AB58" s="1346" t="n"/>
    </row>
    <row r="59">
      <c r="A59" s="384" t="n"/>
      <c r="B59" s="384" t="n"/>
      <c r="C59" s="384" t="n"/>
      <c r="D59" s="384" t="n"/>
      <c r="E59" s="384" t="n"/>
      <c r="F59" s="384" t="n"/>
      <c r="G59" s="384" t="n"/>
      <c r="H59" s="384" t="n"/>
      <c r="I59" s="384" t="n"/>
      <c r="J59" s="384" t="n"/>
      <c r="K59" s="384" t="n"/>
      <c r="L59" s="384" t="n"/>
      <c r="M59" s="384" t="n"/>
      <c r="N59" s="384" t="n"/>
      <c r="O59" s="384" t="n"/>
      <c r="P59" s="384" t="n"/>
      <c r="Q59" s="384" t="n"/>
      <c r="R59" s="384" t="n"/>
      <c r="S59" s="462">
        <f>IF(_epmOfflineCondition_,"营业外支出-罚金支出",EPMMemberDesc(U59))</f>
        <v/>
      </c>
      <c r="T59" s="384" t="n"/>
      <c r="U59" s="384" t="inlineStr">
        <is>
          <t>A671107</t>
        </is>
      </c>
      <c r="V59" s="455">
        <f>IF(_epmOfflineCondition_,"A671107",EPMOlapMemberO(U59,"[C_ACCOUNT].[PARENTH1].[A671107]","A671107 - 营业外支出-罚金支出","","000"))</f>
        <v/>
      </c>
      <c r="W59" s="384" t="n"/>
      <c r="X59" s="645" t="inlineStr">
        <is>
          <t>罚金支出</t>
        </is>
      </c>
      <c r="Y59" s="654" t="inlineStr"/>
      <c r="Z59" s="1345" t="n"/>
      <c r="AA59" s="1336" t="n"/>
      <c r="AB59" s="1346" t="n"/>
    </row>
    <row r="60">
      <c r="A60" s="384" t="n"/>
      <c r="B60" s="384" t="n"/>
      <c r="C60" s="384" t="n"/>
      <c r="D60" s="384" t="n"/>
      <c r="E60" s="384" t="n"/>
      <c r="F60" s="384" t="n"/>
      <c r="G60" s="384" t="n"/>
      <c r="H60" s="384" t="n"/>
      <c r="I60" s="384" t="n"/>
      <c r="J60" s="384" t="n"/>
      <c r="K60" s="384" t="n"/>
      <c r="L60" s="384" t="n"/>
      <c r="M60" s="384" t="n"/>
      <c r="N60" s="384" t="n"/>
      <c r="O60" s="384" t="n"/>
      <c r="P60" s="384" t="n"/>
      <c r="Q60" s="384" t="n"/>
      <c r="R60" s="384" t="n"/>
      <c r="S60" s="462">
        <f>IF(_epmOfflineCondition_,"营业外支出-违约金、滞纳金及赔偿金支出",EPMMemberDesc(U60))</f>
        <v/>
      </c>
      <c r="T60" s="384" t="n"/>
      <c r="U60" s="384" t="inlineStr">
        <is>
          <t>A6711120000</t>
        </is>
      </c>
      <c r="V60" s="455">
        <f>IF(_epmOfflineCondition_,"A6711120000",EPMOlapMemberO(U60,"[C_ACCOUNT].[PARENTH1].[A6711120000]","A6711120000 - 营业外支出-违约金、滞纳金及赔偿金支出","","000"))</f>
        <v/>
      </c>
      <c r="W60" s="384" t="n"/>
      <c r="X60" s="645" t="inlineStr">
        <is>
          <t>违约金、滞纳金及赔偿金支出</t>
        </is>
      </c>
      <c r="Y60" s="654" t="inlineStr"/>
      <c r="Z60" s="1345" t="n"/>
      <c r="AA60" s="1336" t="n"/>
      <c r="AB60" s="1346" t="n"/>
    </row>
    <row r="61">
      <c r="A61" s="384" t="n"/>
      <c r="B61" s="384" t="n"/>
      <c r="C61" s="384" t="n"/>
      <c r="D61" s="384" t="n"/>
      <c r="E61" s="384" t="n"/>
      <c r="F61" s="384" t="n"/>
      <c r="G61" s="384" t="n"/>
      <c r="H61" s="384" t="n"/>
      <c r="I61" s="384" t="n"/>
      <c r="J61" s="384" t="n"/>
      <c r="K61" s="384" t="n"/>
      <c r="L61" s="384" t="n"/>
      <c r="M61" s="384" t="n"/>
      <c r="N61" s="384" t="n"/>
      <c r="O61" s="384" t="n"/>
      <c r="P61" s="384" t="n"/>
      <c r="Q61" s="384" t="n"/>
      <c r="R61" s="384" t="n"/>
      <c r="S61" s="462">
        <f>IF(_epmOfflineCondition_,"营业外支出-碳排放权资产",EPMMemberDesc(U61))</f>
        <v/>
      </c>
      <c r="T61" s="384" t="n"/>
      <c r="U61" s="384" t="inlineStr">
        <is>
          <t>A6711140000</t>
        </is>
      </c>
      <c r="V61" s="455">
        <f>IF(_epmOfflineCondition_,"A6711140000",EPMOlapMemberO(U61,"[C_ACCOUNT].[PARENTH1].[A6711140000]","A6711140000 - 营业外支出-碳排放权资产","","000"))</f>
        <v/>
      </c>
      <c r="W61" s="384" t="n"/>
      <c r="X61" s="645" t="inlineStr">
        <is>
          <t>碳排放权</t>
        </is>
      </c>
      <c r="Y61" s="654" t="inlineStr"/>
      <c r="Z61" s="1345" t="n"/>
      <c r="AA61" s="1336" t="n"/>
      <c r="AB61" s="1346" t="n"/>
    </row>
    <row r="62">
      <c r="A62" s="384" t="n"/>
      <c r="B62" s="384" t="n"/>
      <c r="C62" s="384" t="n"/>
      <c r="D62" s="384" t="n"/>
      <c r="E62" s="384" t="n"/>
      <c r="F62" s="384" t="n"/>
      <c r="G62" s="384" t="n"/>
      <c r="H62" s="384" t="n"/>
      <c r="I62" s="384" t="n"/>
      <c r="J62" s="384" t="n"/>
      <c r="K62" s="384" t="n"/>
      <c r="L62" s="384" t="n"/>
      <c r="M62" s="384" t="n"/>
      <c r="N62" s="384" t="n"/>
      <c r="O62" s="384" t="n"/>
      <c r="P62" s="384" t="n"/>
      <c r="Q62" s="384" t="n"/>
      <c r="R62" s="384" t="n"/>
      <c r="S62" s="462">
        <f>IF(_epmOfflineCondition_,"营业外支出-其他",EPMMemberDesc(U62))</f>
        <v/>
      </c>
      <c r="T62" s="384" t="n"/>
      <c r="U62" s="384" t="inlineStr">
        <is>
          <t>A6711990000</t>
        </is>
      </c>
      <c r="V62" s="455">
        <f>IF(_epmOfflineCondition_,"A6711990000",EPMOlapMemberO(U62,"[C_ACCOUNT].[PARENTH1].[A6711990000]","A6711990000 - 营业外支出-其他","","000"))</f>
        <v/>
      </c>
      <c r="W62" s="384" t="n"/>
      <c r="X62" s="645" t="inlineStr">
        <is>
          <t>其他</t>
        </is>
      </c>
      <c r="Y62" s="654" t="inlineStr"/>
      <c r="Z62" s="1345" t="n"/>
      <c r="AA62" s="1345" t="n"/>
      <c r="AB62" s="1345" t="n"/>
    </row>
  </sheetData>
  <sheetProtection selectLockedCells="0" selectUnlockedCells="0" algorithmName="SHA-512" sheet="1" objects="0" insertRows="1" insertHyperlinks="1" autoFilter="1" scenarios="1" formatColumns="1" deleteColumns="1" insertColumns="1" pivotTables="1" deleteRows="1" formatCells="1" saltValue="iDHjN15LKExrvRbmGFyAZg==" formatRows="1" sort="1" spinCount="100000" hashValue="DWrHWZy3B9OG1xP8aBNyQdqhYqCuxWExoj6MFD/qt1Rz++/N9jC4yQ85VUDojQF0OZGtwnX4EyzS3v4RWV8PzQ=="/>
  <mergeCells count="2">
    <mergeCell ref="H2:J2"/>
    <mergeCell ref="D16:E16"/>
  </mergeCells>
  <conditionalFormatting sqref="AB37">
    <cfRule type="cellIs" priority="1" operator="equal" dxfId="0">
      <formula>"集团外公司（合计）"</formula>
    </cfRule>
  </conditionalFormatting>
  <dataValidations count="1">
    <dataValidation sqref="Z37" showErrorMessage="1" showInputMessage="1" allowBlank="1" type="list">
      <formula1>"LC,CNY"</formula1>
    </dataValidation>
  </dataValidations>
  <pageMargins left="0.7086614173228351" right="0.7086614173228351" top="0.748031496062992" bottom="0.748031496062992" header="0.31496062992126" footer="0.31496062992126"/>
  <pageSetup orientation="landscape" paperSize="9" scale="72"/>
  <drawing xmlns:r="http://schemas.openxmlformats.org/officeDocument/2006/relationships" r:id="rId1"/>
</worksheet>
</file>

<file path=xl/worksheets/sheet27.xml><?xml version="1.0" encoding="utf-8"?>
<worksheet xmlns="http://schemas.openxmlformats.org/spreadsheetml/2006/main">
  <sheetPr codeName="Sheet16">
    <outlinePr showOutlineSymbols="0"/>
    <pageSetUpPr/>
  </sheetPr>
  <dimension ref="A1:AO134"/>
  <sheetViews>
    <sheetView showOutlineSymbols="0" topLeftCell="W34" zoomScale="85" zoomScaleNormal="85" workbookViewId="0">
      <pane xSplit="3" ySplit="12" topLeftCell="Z64" activePane="bottomRight" state="frozen"/>
      <selection activeCell="A1" sqref="A1"/>
      <selection pane="topRight" activeCell="A1" sqref="A1"/>
      <selection pane="bottomLeft" activeCell="A1" sqref="A1"/>
      <selection pane="bottomRight" activeCell="AB74" sqref="AB74"/>
    </sheetView>
  </sheetViews>
  <sheetFormatPr baseColWidth="8" defaultColWidth="8.625" defaultRowHeight="16.8"/>
  <cols>
    <col hidden="1" outlineLevel="1" width="8" customWidth="1" style="1181" min="1" max="1"/>
    <col hidden="1" outlineLevel="1" width="15.375" customWidth="1" style="1181" min="2" max="2"/>
    <col hidden="1" outlineLevel="1" width="11.375" customWidth="1" style="1181" min="3" max="3"/>
    <col hidden="1" outlineLevel="1" width="12.25" customWidth="1" style="1181" min="4" max="4"/>
    <col hidden="1" outlineLevel="1" width="12.75" customWidth="1" style="1181" min="5" max="5"/>
    <col hidden="1" outlineLevel="1" width="7.75" customWidth="1" style="1181" min="6" max="7"/>
    <col hidden="1" outlineLevel="1" width="11.875" customWidth="1" style="1181" min="8" max="8"/>
    <col hidden="1" outlineLevel="1" width="7.75" customWidth="1" style="1181" min="9" max="9"/>
    <col hidden="1" outlineLevel="1" width="11.125" customWidth="1" style="1181" min="10" max="10"/>
    <col hidden="1" outlineLevel="1" width="19.875" customWidth="1" style="1181" min="11" max="11"/>
    <col hidden="1" outlineLevel="1" width="16.75" customWidth="1" style="1181" min="12" max="13"/>
    <col hidden="1" outlineLevel="1" width="18.5" customWidth="1" style="1181" min="14" max="14"/>
    <col hidden="1" outlineLevel="1" width="19.75" customWidth="1" style="1181" min="15" max="15"/>
    <col hidden="1" outlineLevel="1" width="19.625" customWidth="1" style="1181" min="16" max="16"/>
    <col hidden="1" outlineLevel="1" width="11.75" customWidth="1" style="1181" min="17" max="17"/>
    <col hidden="1" outlineLevel="1" width="40.375" customWidth="1" style="1181" min="18" max="18"/>
    <col hidden="1" outlineLevel="1" width="49.375" customWidth="1" style="32" min="19" max="19"/>
    <col hidden="1" outlineLevel="1" width="2.375" customWidth="1" style="1181" min="20" max="20"/>
    <col hidden="1" outlineLevel="1" width="14.875" customWidth="1" style="1181" min="21" max="21"/>
    <col hidden="1" outlineLevel="1" width="15.875" customWidth="1" style="1181" min="22" max="22"/>
    <col collapsed="1" width="1.5" customWidth="1" style="1181" min="23" max="23"/>
    <col width="43.625" customWidth="1" style="38" min="24" max="24"/>
    <col width="5.875" customWidth="1" style="38" min="25" max="25"/>
    <col width="31.875" customWidth="1" style="1181" min="26" max="28"/>
    <col hidden="1" width="20.5" customWidth="1" style="1181" min="29" max="31"/>
    <col width="20.5" customWidth="1" style="1181" min="32" max="33"/>
    <col width="16.75" customWidth="1" style="1181" min="34" max="34"/>
    <col width="17.375" customWidth="1" style="1181" min="35" max="36"/>
    <col width="16.75" customWidth="1" style="1181" min="37" max="39"/>
    <col width="17.375" customWidth="1" style="1181" min="40" max="41"/>
    <col width="16.75" customWidth="1" style="1181" min="42" max="44"/>
    <col width="17.375" customWidth="1" style="1181" min="45" max="46"/>
    <col width="16.75" customWidth="1" style="1181" min="47" max="49"/>
    <col width="17.375" customWidth="1" style="1181" min="50" max="51"/>
    <col width="16.75" customWidth="1" style="1181" min="52" max="54"/>
    <col width="17.375" customWidth="1" style="1181" min="55" max="56"/>
    <col width="16.75" customWidth="1" style="1181" min="57" max="57"/>
  </cols>
  <sheetData>
    <row r="1" hidden="1" outlineLevel="1" customFormat="1" s="13">
      <c r="A1" s="172" t="inlineStr">
        <is>
          <t>维度清单</t>
        </is>
      </c>
      <c r="B1" s="462" t="n"/>
      <c r="C1" s="173" t="n"/>
      <c r="D1" s="173" t="n"/>
      <c r="E1" s="716" t="n"/>
      <c r="F1" s="13" t="n"/>
      <c r="G1" s="13" t="n"/>
      <c r="H1" s="13" t="n"/>
      <c r="I1" s="13" t="n"/>
      <c r="J1" s="13" t="n"/>
      <c r="K1" s="13" t="n"/>
      <c r="L1" s="13" t="n"/>
      <c r="M1" s="13" t="n"/>
      <c r="N1" s="13" t="n"/>
      <c r="O1" s="13" t="n"/>
      <c r="P1" s="13" t="n"/>
      <c r="Q1" s="13" t="n"/>
      <c r="R1" s="13" t="n"/>
      <c r="S1" s="1103" t="n"/>
      <c r="T1" s="13" t="n"/>
      <c r="U1" s="13" t="n"/>
      <c r="V1" s="13" t="n"/>
      <c r="W1" s="13" t="n"/>
      <c r="X1" s="171" t="n"/>
      <c r="Y1" s="171" t="n"/>
      <c r="Z1" s="13" t="n"/>
      <c r="AA1" s="13" t="n"/>
      <c r="AB1" s="13" t="n"/>
      <c r="AC1" s="13" t="n"/>
      <c r="AD1" s="13" t="n"/>
      <c r="AE1" s="13" t="n"/>
      <c r="AF1" s="13" t="n"/>
      <c r="AG1" s="13" t="n"/>
      <c r="AH1" s="13" t="n"/>
      <c r="AI1" s="13" t="n"/>
      <c r="AJ1" s="13" t="n"/>
      <c r="AK1" s="13" t="n"/>
      <c r="AL1" s="13" t="n"/>
      <c r="AM1" s="220" t="n"/>
      <c r="AN1" s="13" t="n"/>
      <c r="AO1" s="13" t="n"/>
    </row>
    <row r="2" hidden="1" outlineLevel="1" customFormat="1" s="13">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103" t="n"/>
      <c r="T2" s="13" t="n"/>
      <c r="U2" s="13" t="n"/>
      <c r="V2" s="13" t="n"/>
      <c r="W2" s="13" t="n"/>
      <c r="X2" s="171" t="n"/>
      <c r="Y2" s="171" t="n"/>
      <c r="Z2" s="13" t="n"/>
      <c r="AA2" s="13" t="n"/>
      <c r="AB2" s="13" t="n"/>
      <c r="AC2" s="13" t="n"/>
      <c r="AD2" s="13" t="n"/>
      <c r="AE2" s="13" t="n"/>
      <c r="AF2" s="13" t="n"/>
      <c r="AG2" s="13" t="n"/>
      <c r="AH2" s="13" t="n"/>
      <c r="AI2" s="13" t="n"/>
      <c r="AJ2" s="13" t="n"/>
      <c r="AK2" s="13" t="n"/>
      <c r="AL2" s="13" t="n"/>
      <c r="AM2" s="220" t="n"/>
      <c r="AN2" s="13" t="n"/>
      <c r="AO2" s="13" t="n"/>
    </row>
    <row r="3" hidden="1" outlineLevel="1" customFormat="1" s="13">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103" t="n"/>
      <c r="T3" s="13" t="n"/>
      <c r="U3" s="13" t="n"/>
      <c r="V3" s="13" t="n"/>
      <c r="W3" s="13" t="n"/>
      <c r="X3" s="171" t="n"/>
      <c r="Y3" s="171" t="n"/>
      <c r="Z3" s="13" t="n"/>
      <c r="AA3" s="13" t="n"/>
      <c r="AB3" s="13" t="n"/>
      <c r="AC3" s="13" t="n"/>
      <c r="AD3" s="13" t="n"/>
      <c r="AE3" s="13" t="n"/>
      <c r="AF3" s="13" t="n"/>
      <c r="AG3" s="13" t="n"/>
      <c r="AH3" s="13" t="n"/>
      <c r="AI3" s="13" t="n"/>
      <c r="AJ3" s="13" t="n"/>
      <c r="AK3" s="13" t="n"/>
      <c r="AL3" s="13" t="n"/>
      <c r="AM3" s="220" t="n"/>
      <c r="AN3" s="13" t="n"/>
      <c r="AO3" s="13" t="n"/>
    </row>
    <row r="4" hidden="1" outlineLevel="1" customFormat="1" s="13">
      <c r="A4" s="175" t="inlineStr">
        <is>
          <t>C</t>
        </is>
      </c>
      <c r="B4" s="176">
        <f>IF(_epmOfflineCondition_,"C_CATEGORY",EPMDimensionType(,A4))</f>
        <v/>
      </c>
      <c r="C4" s="176">
        <f>IF(_epmOfflineCondition_,"C1001",IF(B4="","",EPMContextMember(,B4)))</f>
        <v/>
      </c>
      <c r="D4" s="176">
        <f>IF(_epmOfflineCondition_,"实际数/决算数",EPMMemberDesc(C4))</f>
        <v/>
      </c>
      <c r="E4" s="176" t="n"/>
      <c r="F4" s="13" t="n"/>
      <c r="G4" s="13" t="n"/>
      <c r="H4" s="184" t="inlineStr">
        <is>
          <t>预算年</t>
        </is>
      </c>
      <c r="I4" s="184">
        <f>"V_"&amp;$I$3</f>
        <v/>
      </c>
      <c r="J4" s="184">
        <f>$I$3&amp;".TOTAL"</f>
        <v/>
      </c>
      <c r="K4" s="13" t="n"/>
      <c r="L4" s="13" t="n"/>
      <c r="M4" s="13" t="n"/>
      <c r="N4" s="13" t="n"/>
      <c r="O4" s="13" t="n"/>
      <c r="P4" s="13" t="n"/>
      <c r="Q4" s="13" t="n"/>
      <c r="R4" s="13" t="n"/>
      <c r="S4" s="1103" t="n"/>
      <c r="T4" s="13" t="n"/>
      <c r="U4" s="13" t="n"/>
      <c r="V4" s="13" t="n"/>
      <c r="W4" s="13" t="n"/>
      <c r="X4" s="171" t="n"/>
      <c r="Y4" s="171" t="n"/>
      <c r="Z4" s="13" t="n"/>
      <c r="AA4" s="13" t="n"/>
      <c r="AB4" s="13" t="n"/>
      <c r="AC4" s="13" t="n"/>
      <c r="AD4" s="13" t="n"/>
      <c r="AE4" s="13" t="n"/>
      <c r="AF4" s="13" t="n"/>
      <c r="AG4" s="13" t="n"/>
      <c r="AH4" s="13" t="n"/>
      <c r="AI4" s="13" t="n"/>
      <c r="AJ4" s="13" t="n"/>
      <c r="AK4" s="13" t="n"/>
      <c r="AL4" s="13" t="n"/>
      <c r="AM4" s="220" t="n"/>
      <c r="AN4" s="13" t="n"/>
      <c r="AO4" s="13" t="n"/>
    </row>
    <row r="5" hidden="1" outlineLevel="1" customFormat="1" s="13">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13" t="n"/>
      <c r="V5" s="13" t="n"/>
      <c r="W5" s="13" t="n"/>
      <c r="X5" s="171" t="n"/>
      <c r="Y5" s="171" t="n"/>
      <c r="Z5" s="13" t="n"/>
      <c r="AA5" s="13" t="n"/>
      <c r="AB5" s="13" t="n"/>
      <c r="AC5" s="13" t="n"/>
      <c r="AD5" s="13" t="n"/>
      <c r="AE5" s="13" t="n"/>
      <c r="AF5" s="13" t="n"/>
      <c r="AG5" s="13" t="n"/>
      <c r="AH5" s="13" t="n"/>
      <c r="AI5" s="13" t="n"/>
      <c r="AJ5" s="13" t="n"/>
      <c r="AK5" s="13" t="n"/>
      <c r="AL5" s="13" t="n"/>
      <c r="AM5" s="220" t="n"/>
      <c r="AN5" s="13" t="n"/>
      <c r="AO5" s="13" t="n"/>
    </row>
    <row r="6" hidden="1" outlineLevel="1" customFormat="1" s="13">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103" t="n"/>
      <c r="T6" s="13" t="n"/>
      <c r="U6" s="13" t="n"/>
      <c r="V6" s="13" t="n"/>
      <c r="W6" s="13" t="n"/>
      <c r="X6" s="171" t="n"/>
      <c r="Y6" s="171" t="n"/>
      <c r="Z6" s="13" t="n"/>
      <c r="AA6" s="13" t="n"/>
      <c r="AB6" s="13" t="n"/>
      <c r="AC6" s="13" t="n"/>
      <c r="AD6" s="13" t="n"/>
      <c r="AE6" s="13" t="n"/>
      <c r="AF6" s="13" t="n"/>
      <c r="AG6" s="13" t="n"/>
      <c r="AH6" s="13" t="n"/>
      <c r="AI6" s="13" t="n"/>
      <c r="AJ6" s="13" t="n"/>
      <c r="AK6" s="13" t="n"/>
      <c r="AL6" s="13" t="n"/>
      <c r="AM6" s="220" t="n"/>
      <c r="AN6" s="13" t="n"/>
      <c r="AO6" s="13" t="n"/>
    </row>
    <row r="7" hidden="1" outlineLevel="1" customFormat="1" s="13">
      <c r="A7" s="175" t="inlineStr">
        <is>
          <t>R</t>
        </is>
      </c>
      <c r="B7" s="176">
        <f>IF(_epmOfflineCondition_,"C_RPTCURRENCY",EPMDimensionType(,A7))</f>
        <v/>
      </c>
      <c r="C7" s="176">
        <f>IF(_epmOfflineCondition_,"AUD",IF(B7="","",EPMContextMember(,B7)))</f>
        <v/>
      </c>
      <c r="D7" s="176">
        <f>IF(_epmOfflineCondition_,"澳元",EPMMemberDesc(C7))</f>
        <v/>
      </c>
      <c r="E7" s="176" t="n"/>
      <c r="F7" s="13" t="n"/>
      <c r="G7" s="13" t="n"/>
      <c r="H7" s="13" t="n"/>
      <c r="I7" s="13" t="n"/>
      <c r="J7" s="13" t="n"/>
      <c r="K7" s="13" t="n"/>
      <c r="L7" s="13" t="n"/>
      <c r="M7" s="13" t="n"/>
      <c r="N7" s="13" t="n"/>
      <c r="O7" s="13" t="n"/>
      <c r="P7" s="13" t="n"/>
      <c r="Q7" s="13" t="n"/>
      <c r="R7" s="13" t="n"/>
      <c r="S7" s="1103" t="n"/>
      <c r="T7" s="13" t="n"/>
      <c r="U7" s="13" t="n"/>
      <c r="V7" s="13" t="n"/>
      <c r="W7" s="13" t="n"/>
      <c r="X7" s="171" t="n"/>
      <c r="Y7" s="171" t="n"/>
      <c r="Z7" s="13" t="n"/>
      <c r="AA7" s="13" t="n"/>
      <c r="AB7" s="13" t="n"/>
      <c r="AC7" s="13" t="n"/>
      <c r="AD7" s="13" t="n"/>
      <c r="AE7" s="13" t="n"/>
      <c r="AF7" s="13" t="n"/>
      <c r="AG7" s="13" t="n"/>
      <c r="AH7" s="13" t="n"/>
      <c r="AI7" s="13" t="n"/>
      <c r="AJ7" s="13" t="n"/>
      <c r="AK7" s="13" t="n"/>
      <c r="AL7" s="13" t="n"/>
      <c r="AM7" s="220" t="n"/>
      <c r="AN7" s="13" t="n"/>
      <c r="AO7" s="13" t="n"/>
    </row>
    <row r="8" hidden="1" outlineLevel="1" customFormat="1" s="13">
      <c r="A8" s="175" t="inlineStr">
        <is>
          <t>D</t>
        </is>
      </c>
      <c r="B8" s="176">
        <f>IF(_epmOfflineCondition_,"C_AUDITTRAIL",EPMDimensionType(,A8))</f>
        <v/>
      </c>
      <c r="C8" s="176">
        <f>IF(_epmOfflineCondition_,"DTOTAL",IF(B8="","",EPMContextMember(,B8)))</f>
        <v/>
      </c>
      <c r="D8" s="176">
        <f>IF(_epmOfflineCondition_,"全部审计线索",EPMMemberDesc(C8))</f>
        <v/>
      </c>
      <c r="E8" s="176" t="n"/>
      <c r="F8" s="13" t="n"/>
      <c r="G8" s="13" t="n"/>
      <c r="H8" s="184" t="inlineStr">
        <is>
          <t>本月</t>
        </is>
      </c>
      <c r="I8" s="184">
        <f>IF(_epmOfflineCondition_,"03",RIGHT("0"&amp;EPMMemberProperty(,EPMContextMember(,"C_TIME"),"MONTHNUM"),2))</f>
        <v/>
      </c>
      <c r="J8" s="13" t="n"/>
      <c r="K8" s="13" t="n"/>
      <c r="L8" s="13" t="n"/>
      <c r="M8" s="13" t="n"/>
      <c r="N8" s="13" t="n"/>
      <c r="O8" s="13" t="n"/>
      <c r="P8" s="13" t="n"/>
      <c r="Q8" s="13" t="n"/>
      <c r="R8" s="13" t="n"/>
      <c r="S8" s="1103" t="n"/>
      <c r="T8" s="13" t="n"/>
      <c r="U8" s="13" t="n"/>
      <c r="V8" s="13" t="n"/>
      <c r="W8" s="13" t="n"/>
      <c r="X8" s="171" t="n"/>
      <c r="Y8" s="171" t="n"/>
      <c r="Z8" s="13" t="n"/>
      <c r="AA8" s="13" t="n"/>
      <c r="AB8" s="13" t="n"/>
      <c r="AC8" s="13" t="n"/>
      <c r="AD8" s="13" t="n"/>
      <c r="AE8" s="13" t="n"/>
      <c r="AF8" s="13" t="n"/>
      <c r="AG8" s="13" t="n"/>
      <c r="AH8" s="13" t="n"/>
      <c r="AI8" s="13" t="n"/>
      <c r="AJ8" s="13" t="n"/>
      <c r="AK8" s="13" t="n"/>
      <c r="AL8" s="13" t="n"/>
      <c r="AM8" s="220" t="n"/>
      <c r="AN8" s="13" t="n"/>
      <c r="AO8" s="13" t="n"/>
    </row>
    <row r="9" hidden="1" outlineLevel="1" customFormat="1" s="13">
      <c r="A9" s="175" t="inlineStr">
        <is>
          <t>S</t>
        </is>
      </c>
      <c r="B9" s="176">
        <f>IF(_epmOfflineCondition_,"C_FLOW",EPMDimensionType(,A9))</f>
        <v/>
      </c>
      <c r="C9" s="176">
        <f>IF(_epmOfflineCondition_,"FTOTAL",IF(B9="","",EPMContextMember(,B9)))</f>
        <v/>
      </c>
      <c r="D9" s="176">
        <f>IF(_epmOfflineCondition_,"全部变动",EPMMemberDesc(C9))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13" t="n"/>
      <c r="V9" s="13" t="n"/>
      <c r="W9" s="13" t="n"/>
      <c r="X9" s="171" t="n"/>
      <c r="Y9" s="171" t="n"/>
      <c r="Z9" s="13" t="n"/>
      <c r="AA9" s="13" t="n"/>
      <c r="AB9" s="13" t="n"/>
      <c r="AC9" s="13" t="n"/>
      <c r="AD9" s="13" t="n"/>
      <c r="AE9" s="13" t="n"/>
      <c r="AF9" s="13" t="n"/>
      <c r="AG9" s="13" t="n"/>
      <c r="AH9" s="13" t="n"/>
      <c r="AI9" s="13" t="n"/>
      <c r="AJ9" s="13" t="n"/>
      <c r="AK9" s="13" t="n"/>
      <c r="AL9" s="13" t="n"/>
      <c r="AM9" s="220" t="n"/>
      <c r="AN9" s="13" t="n"/>
      <c r="AO9" s="13" t="n"/>
    </row>
    <row r="10" hidden="1" outlineLevel="1" customFormat="1" s="13">
      <c r="A10" s="175" t="inlineStr">
        <is>
          <t>I</t>
        </is>
      </c>
      <c r="B10" s="176">
        <f>IF(_epmOfflineCondition_,"C_INTERCO",EPMDimensionType(,A10))</f>
        <v/>
      </c>
      <c r="C10" s="176">
        <f>IF(_epmOfflineCondition_,"I_ALL",IF(B10="","",EPMContextMember(,B10)))</f>
        <v/>
      </c>
      <c r="D10" s="176">
        <f>IF(_epmOfflineCondition_,"全部贸易伙伴",EPMMemberDesc(C10))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13" t="n"/>
      <c r="V10" s="13" t="n"/>
      <c r="W10" s="13" t="n"/>
      <c r="X10" s="171" t="n"/>
      <c r="Y10" s="171" t="n"/>
      <c r="Z10" s="13" t="n"/>
      <c r="AA10" s="13" t="n"/>
      <c r="AB10" s="13" t="n"/>
      <c r="AC10" s="13" t="n"/>
      <c r="AD10" s="13" t="n"/>
      <c r="AE10" s="13" t="n"/>
      <c r="AF10" s="13" t="n"/>
      <c r="AG10" s="13" t="n"/>
      <c r="AH10" s="13" t="n"/>
      <c r="AI10" s="13" t="n"/>
      <c r="AJ10" s="13" t="n"/>
      <c r="AK10" s="13" t="n"/>
      <c r="AL10" s="13" t="n"/>
      <c r="AM10" s="220" t="n"/>
      <c r="AN10" s="13" t="n"/>
      <c r="AO10" s="13" t="n"/>
    </row>
    <row r="11" hidden="1" outlineLevel="1" customFormat="1" s="13">
      <c r="A11" s="175" t="inlineStr">
        <is>
          <t>G</t>
        </is>
      </c>
      <c r="B11" s="176">
        <f>IF(_epmOfflineCondition_,"C_SCOPE",EPMDimensionType(,A11))</f>
        <v/>
      </c>
      <c r="C11" s="176">
        <f>IF(_epmOfflineCondition_,"G_DUMMY",IF(B11="","",EPMContextMember(,B11)))</f>
        <v/>
      </c>
      <c r="D11" s="176">
        <f>IF(_epmOfflineCondition_,"合并范围无关",EPMMemberDesc(C11))</f>
        <v/>
      </c>
      <c r="E11" s="176">
        <f>IF(OR(RIGHT(C11,1)="P",RIGHT(C11,1)="S"),LEFT(C11,LEN(C11)-1),C11)</f>
        <v/>
      </c>
      <c r="F11" s="13" t="n"/>
      <c r="G11" s="13" t="n"/>
      <c r="H11" s="184" t="inlineStr">
        <is>
          <t xml:space="preserve">本年月 </t>
        </is>
      </c>
      <c r="I11" s="184">
        <f>I3&amp;"."&amp;I8</f>
        <v/>
      </c>
      <c r="J11" s="13" t="n"/>
      <c r="K11" s="13" t="n"/>
      <c r="L11" s="13" t="n"/>
      <c r="M11" s="13" t="n"/>
      <c r="N11" s="13" t="n"/>
      <c r="O11" s="13" t="n"/>
      <c r="P11" s="13" t="n"/>
      <c r="Q11" s="13" t="n"/>
      <c r="R11" s="13" t="n"/>
      <c r="S11" s="1103" t="n"/>
      <c r="T11" s="13" t="n"/>
      <c r="U11" s="13" t="n"/>
      <c r="V11" s="13" t="n"/>
      <c r="W11" s="13" t="n"/>
      <c r="X11" s="171" t="n"/>
      <c r="Y11" s="171" t="n"/>
      <c r="Z11" s="13" t="n"/>
      <c r="AA11" s="13" t="n"/>
      <c r="AB11" s="13" t="n"/>
      <c r="AC11" s="13" t="n"/>
      <c r="AD11" s="13" t="n"/>
      <c r="AE11" s="13" t="n"/>
      <c r="AF11" s="13" t="n"/>
      <c r="AG11" s="13" t="n"/>
      <c r="AH11" s="13" t="n"/>
      <c r="AI11" s="13" t="n"/>
      <c r="AJ11" s="13" t="n"/>
      <c r="AK11" s="13" t="n"/>
      <c r="AL11" s="13" t="n"/>
      <c r="AM11" s="220" t="n"/>
      <c r="AN11" s="13" t="n"/>
      <c r="AO11" s="13" t="n"/>
    </row>
    <row r="12" hidden="1" outlineLevel="1" customFormat="1" s="13">
      <c r="A12" s="175" t="inlineStr">
        <is>
          <t>U8</t>
        </is>
      </c>
      <c r="B12" s="176">
        <f>IF(_epmOfflineCondition_,"C_PROJECT",EPMDimensionType(,A12))</f>
        <v/>
      </c>
      <c r="C12" s="176">
        <f>IF(_epmOfflineCondition_,"ZP_ALL",IF(B12="","",EPMContextMember(,B12)))</f>
        <v/>
      </c>
      <c r="D12" s="176">
        <f>IF(_epmOfflineCondition_,"项目合计",EPMMemberDesc(C12))</f>
        <v/>
      </c>
      <c r="E12" s="176" t="n"/>
      <c r="F12" s="13" t="n"/>
      <c r="G12" s="13" t="n"/>
      <c r="H12" s="184" t="inlineStr">
        <is>
          <t>上年月</t>
        </is>
      </c>
      <c r="I12" s="184">
        <f>IF(I8="01",I10&amp;"."&amp;I9,I3&amp;"."&amp;I9)</f>
        <v/>
      </c>
      <c r="J12" s="13" t="n"/>
      <c r="K12" s="13" t="n"/>
      <c r="L12" s="13" t="n"/>
      <c r="M12" s="13" t="n"/>
      <c r="N12" s="13" t="n"/>
      <c r="O12" s="13" t="n"/>
      <c r="P12" s="13" t="n"/>
      <c r="Q12" s="13" t="n"/>
      <c r="R12" s="13" t="n"/>
      <c r="S12" s="1103" t="n"/>
      <c r="T12" s="13" t="n"/>
      <c r="U12" s="13" t="n"/>
      <c r="V12" s="13" t="n"/>
      <c r="W12" s="13" t="n"/>
      <c r="X12" s="171" t="n"/>
      <c r="Y12" s="171" t="n"/>
      <c r="Z12" s="13" t="n"/>
      <c r="AA12" s="13" t="n"/>
      <c r="AB12" s="13" t="n"/>
      <c r="AC12" s="13" t="n"/>
      <c r="AD12" s="13" t="n"/>
      <c r="AE12" s="13" t="n"/>
      <c r="AF12" s="13" t="n"/>
      <c r="AG12" s="13" t="n"/>
      <c r="AH12" s="13" t="n"/>
      <c r="AI12" s="13" t="n"/>
      <c r="AJ12" s="13" t="n"/>
      <c r="AK12" s="13" t="n"/>
      <c r="AL12" s="13" t="n"/>
      <c r="AM12" s="220" t="n"/>
      <c r="AN12" s="13" t="n"/>
      <c r="AO12" s="13" t="n"/>
    </row>
    <row r="13" hidden="1" outlineLevel="1" customFormat="1" s="13">
      <c r="A13" s="175" t="inlineStr">
        <is>
          <t>U9</t>
        </is>
      </c>
      <c r="B13" s="176">
        <f>IF(_epmOfflineCondition_,"C_ITEM",EPMDimensionType(,A13))</f>
        <v/>
      </c>
      <c r="C13" s="176">
        <f>IF(_epmOfflineCondition_,"ZI_ALL",IF(B13="","",EPMContextMember(,B13)))</f>
        <v/>
      </c>
      <c r="D13" s="176">
        <f>IF(_epmOfflineCondition_,"全部ITEM",EPMMemberDesc(C13))</f>
        <v/>
      </c>
      <c r="E13" s="176" t="n"/>
      <c r="F13" s="13" t="n"/>
      <c r="G13" s="13" t="n"/>
      <c r="H13" s="184" t="inlineStr">
        <is>
          <t xml:space="preserve">上年同期 </t>
        </is>
      </c>
      <c r="I13" s="184">
        <f>I10&amp;"."&amp;I8</f>
        <v/>
      </c>
      <c r="J13" s="13" t="n"/>
      <c r="K13" s="13" t="n"/>
      <c r="L13" s="13" t="n"/>
      <c r="M13" s="13" t="n"/>
      <c r="N13" s="13" t="n"/>
      <c r="O13" s="13" t="n"/>
      <c r="P13" s="13" t="n"/>
      <c r="Q13" s="13" t="n"/>
      <c r="R13" s="13" t="n"/>
      <c r="S13" s="1103" t="n"/>
      <c r="T13" s="13" t="n"/>
      <c r="U13" s="13" t="n"/>
      <c r="V13" s="13" t="n"/>
      <c r="W13" s="13" t="n"/>
      <c r="X13" s="171" t="n"/>
      <c r="Y13" s="171" t="n"/>
      <c r="Z13" s="13" t="n"/>
      <c r="AA13" s="13" t="n"/>
      <c r="AB13" s="13" t="n"/>
      <c r="AC13" s="13" t="n"/>
      <c r="AD13" s="13" t="n"/>
      <c r="AE13" s="13" t="n"/>
      <c r="AF13" s="13" t="n"/>
      <c r="AG13" s="13" t="n"/>
      <c r="AH13" s="13" t="n"/>
      <c r="AI13" s="13" t="n"/>
      <c r="AJ13" s="13" t="n"/>
      <c r="AK13" s="13" t="n"/>
      <c r="AL13" s="13" t="n"/>
      <c r="AM13" s="220" t="n"/>
      <c r="AN13" s="13" t="n"/>
      <c r="AO13" s="13" t="n"/>
    </row>
    <row r="14" hidden="1" outlineLevel="1" customFormat="1" s="13">
      <c r="A14" s="175" t="inlineStr">
        <is>
          <t>U10</t>
        </is>
      </c>
      <c r="B14" s="176">
        <f>IF(_epmOfflineCondition_,"C_MISK",EPMDimensionType(,A14))</f>
        <v/>
      </c>
      <c r="C14" s="176">
        <f>IF(_epmOfflineCondition_,"ZM_ALL",IF(B14="","",EPMContextMember(,B14)))</f>
        <v/>
      </c>
      <c r="D14" s="176">
        <f>IF(_epmOfflineCondition_,"ALL",EPMMemberDesc(C14))</f>
        <v/>
      </c>
      <c r="E14" s="176" t="n"/>
      <c r="F14" s="13" t="n"/>
      <c r="G14" s="13" t="n"/>
      <c r="H14" s="13" t="n"/>
      <c r="I14" s="13" t="n"/>
      <c r="J14" s="13" t="n"/>
      <c r="K14" s="13" t="n"/>
      <c r="L14" s="13" t="n"/>
      <c r="M14" s="13" t="n"/>
      <c r="N14" s="13" t="n"/>
      <c r="O14" s="13" t="n"/>
      <c r="P14" s="13" t="n"/>
      <c r="Q14" s="13" t="n"/>
      <c r="R14" s="13" t="n"/>
      <c r="S14" s="1103" t="n"/>
      <c r="T14" s="13" t="n"/>
      <c r="U14" s="13" t="n"/>
      <c r="V14" s="13" t="n"/>
      <c r="W14" s="13" t="n"/>
      <c r="X14" s="171" t="n"/>
      <c r="Y14" s="171" t="n"/>
      <c r="Z14" s="13" t="n"/>
      <c r="AA14" s="13" t="n"/>
      <c r="AB14" s="13" t="n"/>
      <c r="AC14" s="13" t="n"/>
      <c r="AD14" s="13" t="n"/>
      <c r="AE14" s="13" t="n"/>
      <c r="AF14" s="13" t="n"/>
      <c r="AG14" s="13" t="n"/>
      <c r="AH14" s="13" t="n"/>
      <c r="AI14" s="13" t="n"/>
      <c r="AJ14" s="13" t="n"/>
      <c r="AK14" s="13" t="n"/>
      <c r="AL14" s="13" t="n"/>
      <c r="AM14" s="220" t="n"/>
      <c r="AN14" s="13" t="n"/>
      <c r="AO14" s="13" t="n"/>
    </row>
    <row r="15" hidden="1" outlineLevel="1" customFormat="1" s="13">
      <c r="A15" s="13" t="n"/>
      <c r="B15" s="1103" t="n"/>
      <c r="C15" s="1103" t="n"/>
      <c r="D15" s="1103" t="n"/>
      <c r="E15" s="13" t="n"/>
      <c r="F15" s="13" t="n"/>
      <c r="G15" s="13" t="n"/>
      <c r="H15" s="13">
        <f>E11</f>
        <v/>
      </c>
      <c r="I15" s="13" t="n"/>
      <c r="J15" s="13" t="n"/>
      <c r="K15" s="13" t="n"/>
      <c r="L15" s="13" t="n"/>
      <c r="M15" s="13" t="n"/>
      <c r="N15" s="13" t="n"/>
      <c r="O15" s="13" t="n"/>
      <c r="P15" s="13" t="n"/>
      <c r="Q15" s="13" t="n"/>
      <c r="R15" s="13" t="n"/>
      <c r="S15" s="1103" t="n"/>
      <c r="T15" s="13" t="n"/>
      <c r="U15" s="13" t="n"/>
      <c r="V15" s="13" t="n"/>
      <c r="W15" s="13" t="n"/>
      <c r="X15" s="171" t="n"/>
      <c r="Y15" s="171" t="n"/>
      <c r="Z15" s="13" t="n"/>
      <c r="AA15" s="13" t="n"/>
      <c r="AB15" s="13" t="n"/>
      <c r="AC15" s="13" t="n"/>
      <c r="AD15" s="13" t="n"/>
      <c r="AE15" s="13" t="n"/>
      <c r="AF15" s="13" t="n"/>
      <c r="AG15" s="13" t="n"/>
      <c r="AH15" s="13" t="n"/>
      <c r="AI15" s="13" t="n"/>
      <c r="AJ15" s="13" t="n"/>
      <c r="AK15" s="13" t="n"/>
      <c r="AL15" s="13" t="n"/>
      <c r="AM15" s="220" t="n"/>
      <c r="AN15" s="13" t="n"/>
      <c r="AO15" s="13" t="n"/>
    </row>
    <row r="16" hidden="1" outlineLevel="1" customFormat="1" s="13">
      <c r="A16" s="13" t="n"/>
      <c r="B16" s="13" t="n"/>
      <c r="C16" s="13" t="n"/>
      <c r="D16" s="174" t="inlineStr">
        <is>
          <t>页轴</t>
        </is>
      </c>
      <c r="E16" s="1183" t="n"/>
      <c r="F16" s="13" t="n"/>
      <c r="G16" s="13" t="n"/>
      <c r="H16" s="13">
        <f>IF(_epmOfflineCondition_,"E_DUMMY",EPMMemberProperty(,H15,"GENTITY"))</f>
        <v/>
      </c>
      <c r="I16" s="13" t="n"/>
      <c r="J16" s="13" t="n"/>
      <c r="K16" s="13" t="n"/>
      <c r="L16" s="13" t="n"/>
      <c r="M16" s="13" t="n"/>
      <c r="N16" s="13" t="n"/>
      <c r="O16" s="13" t="n"/>
      <c r="P16" s="13" t="n"/>
      <c r="Q16" s="13" t="n"/>
      <c r="R16" s="13" t="n"/>
      <c r="S16" s="1103" t="n"/>
      <c r="T16" s="13" t="n"/>
      <c r="U16" s="13" t="n"/>
      <c r="V16" s="13" t="n"/>
      <c r="W16" s="13" t="n"/>
      <c r="X16" s="171" t="n"/>
      <c r="Y16" s="171" t="n"/>
      <c r="Z16" s="13" t="n"/>
      <c r="AA16" s="13" t="n"/>
      <c r="AB16" s="13" t="n"/>
      <c r="AC16" s="13" t="n"/>
      <c r="AD16" s="13" t="n"/>
      <c r="AE16" s="13" t="n"/>
      <c r="AF16" s="13" t="n"/>
      <c r="AG16" s="13" t="n"/>
      <c r="AH16" s="13" t="n"/>
      <c r="AI16" s="13" t="n"/>
      <c r="AJ16" s="13" t="n"/>
      <c r="AK16" s="13" t="n"/>
      <c r="AL16" s="13" t="n"/>
      <c r="AM16" s="220" t="n"/>
      <c r="AN16" s="13" t="n"/>
      <c r="AO16" s="13" t="n"/>
    </row>
    <row r="17" hidden="1" outlineLevel="1" customFormat="1" s="13">
      <c r="A17" s="174" t="inlineStr">
        <is>
          <t>维度类型</t>
        </is>
      </c>
      <c r="B17" s="174" t="inlineStr">
        <is>
          <t>维度</t>
        </is>
      </c>
      <c r="C17" s="178" t="inlineStr">
        <is>
          <t>页轴替换</t>
        </is>
      </c>
      <c r="D17" s="174" t="inlineStr">
        <is>
          <t>报表001</t>
        </is>
      </c>
      <c r="E17" s="174" t="inlineStr">
        <is>
          <t>报表002</t>
        </is>
      </c>
      <c r="F17" s="13" t="n"/>
      <c r="G17" s="13" t="n"/>
      <c r="H17" s="13">
        <f>IF(H15="G_DUMMY",C6,IF(H15="G100405","E100405G","E_ALL"))</f>
        <v/>
      </c>
      <c r="I17" s="13" t="n"/>
      <c r="J17" s="13" t="n"/>
      <c r="K17" s="13" t="n"/>
      <c r="L17" s="13" t="n"/>
      <c r="M17" s="13" t="n"/>
      <c r="N17" s="13" t="n"/>
      <c r="O17" s="13" t="n"/>
      <c r="P17" s="13" t="n"/>
      <c r="Q17" s="13" t="n"/>
      <c r="R17" s="13" t="n"/>
      <c r="S17" s="1103" t="n"/>
      <c r="T17" s="13" t="n"/>
      <c r="U17" s="13" t="n"/>
      <c r="V17" s="13" t="n"/>
      <c r="W17" s="13" t="n"/>
      <c r="X17" s="171" t="n"/>
      <c r="Y17" s="171" t="n"/>
      <c r="Z17" s="13" t="n"/>
      <c r="AA17" s="13" t="n"/>
      <c r="AB17" s="13" t="n"/>
      <c r="AC17" s="13" t="n"/>
      <c r="AD17" s="13" t="n"/>
      <c r="AE17" s="13" t="n"/>
      <c r="AF17" s="13" t="n"/>
      <c r="AG17" s="13" t="n"/>
      <c r="AH17" s="13" t="n"/>
      <c r="AI17" s="13" t="n"/>
      <c r="AJ17" s="13" t="n"/>
      <c r="AK17" s="13" t="n"/>
      <c r="AL17" s="13" t="n"/>
      <c r="AM17" s="220" t="n"/>
      <c r="AN17" s="13" t="n"/>
      <c r="AO17" s="13" t="n"/>
    </row>
    <row r="18" hidden="1" outlineLevel="1" customFormat="1" s="13">
      <c r="A18" s="175" t="inlineStr">
        <is>
          <t>A</t>
        </is>
      </c>
      <c r="B18" s="176">
        <f>IF(_epmOfflineCondition_,"C_ACCOUNT",EPMDimensionType(,A18))</f>
        <v/>
      </c>
      <c r="C18" s="182" t="inlineStr">
        <is>
          <t>A_ALL</t>
        </is>
      </c>
      <c r="D18" s="180" t="n"/>
      <c r="E18" s="13" t="n"/>
      <c r="F18" s="13" t="n"/>
      <c r="G18" s="13" t="n"/>
      <c r="H18" s="13" t="n"/>
      <c r="I18" s="13" t="n"/>
      <c r="J18" s="13" t="n"/>
      <c r="K18" s="13" t="n"/>
      <c r="L18" s="13" t="n"/>
      <c r="M18" s="13" t="n"/>
      <c r="N18" s="13" t="n"/>
      <c r="O18" s="13" t="n"/>
      <c r="P18" s="13" t="n"/>
      <c r="Q18" s="13" t="n"/>
      <c r="R18" s="13" t="n"/>
      <c r="S18" s="1103" t="n"/>
      <c r="T18" s="13" t="n"/>
      <c r="U18" s="13" t="n"/>
      <c r="V18" s="13" t="n"/>
      <c r="W18" s="13" t="n"/>
      <c r="X18" s="171" t="n"/>
      <c r="Y18" s="171" t="n"/>
      <c r="Z18" s="13" t="n"/>
      <c r="AA18" s="13" t="n"/>
      <c r="AB18" s="13" t="n"/>
      <c r="AC18" s="13" t="n"/>
      <c r="AD18" s="13" t="n"/>
      <c r="AE18" s="13" t="n"/>
      <c r="AF18" s="13" t="n"/>
      <c r="AG18" s="13" t="n"/>
      <c r="AH18" s="13" t="n"/>
      <c r="AI18" s="13" t="n"/>
      <c r="AJ18" s="13" t="n"/>
      <c r="AK18" s="13" t="n"/>
      <c r="AL18" s="13" t="n"/>
      <c r="AM18" s="220" t="n"/>
      <c r="AN18" s="13" t="n"/>
      <c r="AO18" s="13" t="n"/>
    </row>
    <row r="19" hidden="1" outlineLevel="1" customFormat="1" s="13">
      <c r="A19" s="175" t="inlineStr">
        <is>
          <t>C</t>
        </is>
      </c>
      <c r="B19" s="176">
        <f>IF(_epmOfflineCondition_,"C_CATEGORY",EPMDimensionType(,A19))</f>
        <v/>
      </c>
      <c r="C19" s="182" t="inlineStr">
        <is>
          <t>C_DUMMY</t>
        </is>
      </c>
      <c r="D19" s="180" t="n"/>
      <c r="E19" s="13" t="n"/>
      <c r="F19" s="13" t="n"/>
      <c r="G19" s="13" t="n"/>
      <c r="H19" s="13" t="n"/>
      <c r="I19" s="13" t="n"/>
      <c r="J19" s="13" t="n"/>
      <c r="K19" s="13" t="n"/>
      <c r="L19" s="13" t="n"/>
      <c r="M19" s="13" t="n"/>
      <c r="N19" s="13" t="n"/>
      <c r="O19" s="13" t="n"/>
      <c r="P19" s="13" t="n"/>
      <c r="Q19" s="13" t="n"/>
      <c r="R19" s="13" t="n"/>
      <c r="S19" s="1103" t="n"/>
      <c r="T19" s="13" t="n"/>
      <c r="U19" s="13" t="n"/>
      <c r="V19" s="13" t="n"/>
      <c r="W19" s="13" t="n"/>
      <c r="X19" s="171" t="n"/>
      <c r="Y19" s="171" t="n"/>
      <c r="Z19" s="13" t="n"/>
      <c r="AA19" s="13" t="n"/>
      <c r="AB19" s="13" t="n"/>
      <c r="AC19" s="13" t="n"/>
      <c r="AD19" s="13" t="n"/>
      <c r="AE19" s="13" t="n"/>
      <c r="AF19" s="13" t="n"/>
      <c r="AG19" s="13" t="n"/>
      <c r="AH19" s="13" t="n"/>
      <c r="AI19" s="13" t="n"/>
      <c r="AJ19" s="13" t="n"/>
      <c r="AK19" s="13" t="n"/>
      <c r="AL19" s="13" t="n"/>
      <c r="AM19" s="220" t="n"/>
      <c r="AN19" s="13" t="n"/>
      <c r="AO19" s="13" t="n"/>
    </row>
    <row r="20" hidden="1" outlineLevel="1" customFormat="1" s="13">
      <c r="A20" s="175" t="inlineStr">
        <is>
          <t>T</t>
        </is>
      </c>
      <c r="B20" s="176">
        <f>IF(_epmOfflineCondition_,"C_TIME",EPMDimensionType(,A20))</f>
        <v/>
      </c>
      <c r="C20" s="672" t="inlineStr">
        <is>
          <t>T_DUMMY</t>
        </is>
      </c>
      <c r="D20" s="180" t="n"/>
      <c r="E20" s="13" t="n"/>
      <c r="F20" s="384" t="n"/>
      <c r="G20" s="384" t="n"/>
      <c r="H20" s="13" t="n"/>
      <c r="I20" s="13" t="n"/>
      <c r="J20" s="13" t="n"/>
      <c r="K20" s="13" t="n"/>
      <c r="L20" s="13" t="n"/>
      <c r="M20" s="13" t="n"/>
      <c r="N20" s="13" t="n"/>
      <c r="O20" s="13" t="n"/>
      <c r="P20" s="13" t="n"/>
      <c r="Q20" s="13" t="n"/>
      <c r="R20" s="13" t="n"/>
      <c r="S20" s="1103" t="n"/>
      <c r="T20" s="13" t="n"/>
      <c r="U20" s="13" t="n"/>
      <c r="V20" s="13" t="n"/>
      <c r="W20" s="13" t="n"/>
      <c r="X20" s="171" t="n"/>
      <c r="Y20" s="171" t="n"/>
      <c r="Z20" s="384" t="n"/>
      <c r="AA20" s="384" t="n"/>
      <c r="AB20" s="13" t="n"/>
      <c r="AC20" s="13" t="n"/>
      <c r="AD20" s="13" t="n"/>
      <c r="AE20" s="13" t="n"/>
      <c r="AF20" s="13" t="n"/>
      <c r="AG20" s="13" t="n"/>
      <c r="AH20" s="13" t="n"/>
      <c r="AI20" s="13" t="n"/>
      <c r="AJ20" s="13" t="n"/>
      <c r="AK20" s="13" t="n"/>
      <c r="AL20" s="13" t="n"/>
      <c r="AM20" s="220" t="n"/>
      <c r="AN20" s="13" t="n"/>
      <c r="AO20" s="13" t="n"/>
    </row>
    <row r="21" hidden="1" outlineLevel="1" customFormat="1" s="13">
      <c r="A21" s="175" t="inlineStr">
        <is>
          <t>E</t>
        </is>
      </c>
      <c r="B21" s="176">
        <f>IF(_epmOfflineCondition_,"C_ENTITY",EPMDimensionType(,A21))</f>
        <v/>
      </c>
      <c r="C21" s="447">
        <f>H17</f>
        <v/>
      </c>
      <c r="D21" s="390">
        <f>IF(_epmOfflineCondition_,"E100787",EPMOlapMemberO(C21,"[C_ENTITY].[PARENTH1].[E100787]","E100787 - 内蒙古京能苏尼特风力发电有限公司（内蒙古分公司）","","000"))</f>
        <v/>
      </c>
      <c r="E21" s="13" t="n"/>
      <c r="F21" s="384" t="n"/>
      <c r="G21" s="384" t="n"/>
      <c r="H21" s="13" t="n"/>
      <c r="I21" s="13" t="n"/>
      <c r="J21" s="13" t="n"/>
      <c r="K21" s="13" t="n"/>
      <c r="L21" s="13" t="n"/>
      <c r="M21" s="13" t="n"/>
      <c r="N21" s="13" t="n"/>
      <c r="O21" s="13" t="n"/>
      <c r="P21" s="13" t="n"/>
      <c r="Q21" s="13" t="n"/>
      <c r="R21" s="13" t="n"/>
      <c r="S21" s="1103" t="n"/>
      <c r="T21" s="13" t="n"/>
      <c r="U21" s="13" t="n"/>
      <c r="V21" s="13" t="n"/>
      <c r="W21" s="13" t="n"/>
      <c r="X21" s="171" t="n"/>
      <c r="Y21" s="171" t="n"/>
      <c r="Z21" s="384" t="n"/>
      <c r="AA21" s="384" t="n"/>
      <c r="AB21" s="13" t="n"/>
      <c r="AC21" s="13" t="n"/>
      <c r="AD21" s="13" t="n"/>
      <c r="AE21" s="13" t="n"/>
      <c r="AF21" s="13" t="n"/>
      <c r="AG21" s="13" t="n"/>
      <c r="AH21" s="13" t="n"/>
      <c r="AI21" s="13" t="n"/>
      <c r="AJ21" s="13" t="n"/>
      <c r="AK21" s="13" t="n"/>
      <c r="AL21" s="13" t="n"/>
      <c r="AM21" s="220" t="n"/>
      <c r="AN21" s="13" t="n"/>
      <c r="AO21" s="13" t="n"/>
    </row>
    <row r="22" hidden="1" outlineLevel="1" customFormat="1" s="13">
      <c r="A22" s="175" t="inlineStr">
        <is>
          <t>R</t>
        </is>
      </c>
      <c r="B22" s="176">
        <f>IF(_epmOfflineCondition_,"C_RPTCURRENCY",EPMDimensionType(,A22))</f>
        <v/>
      </c>
      <c r="C22" s="176">
        <f>IF(E11="G_DUMMY",Z37,"CNY")</f>
        <v/>
      </c>
      <c r="D22" s="390">
        <f>IF(_epmOfflineCondition_,"LC",EPMOlapMemberO(C22,"[C_RPTCURRENCY].[].[LC]","LC - 本位币","","000"))</f>
        <v/>
      </c>
      <c r="E22" s="13" t="inlineStr">
        <is>
          <t>LC</t>
        </is>
      </c>
      <c r="F22" s="384" t="n"/>
      <c r="G22" s="384" t="n"/>
      <c r="H22" s="13" t="n"/>
      <c r="I22" s="13" t="n"/>
      <c r="J22" s="13" t="n"/>
      <c r="K22" s="13" t="n"/>
      <c r="L22" s="13" t="n"/>
      <c r="M22" s="13" t="n"/>
      <c r="N22" s="13" t="n"/>
      <c r="O22" s="13" t="n"/>
      <c r="P22" s="13" t="n"/>
      <c r="Q22" s="13" t="n"/>
      <c r="R22" s="13" t="n"/>
      <c r="S22" s="1103" t="n"/>
      <c r="T22" s="13" t="n"/>
      <c r="U22" s="13" t="n"/>
      <c r="V22" s="13" t="n"/>
      <c r="W22" s="13" t="n"/>
      <c r="X22" s="171" t="n"/>
      <c r="Y22" s="171" t="n"/>
      <c r="Z22" s="384" t="n"/>
      <c r="AA22" s="384" t="n"/>
      <c r="AB22" s="13" t="n"/>
      <c r="AC22" s="13" t="n"/>
      <c r="AD22" s="13" t="n"/>
      <c r="AE22" s="13" t="n"/>
      <c r="AF22" s="13" t="n"/>
      <c r="AG22" s="13" t="n"/>
      <c r="AH22" s="13" t="n"/>
      <c r="AI22" s="13" t="n"/>
      <c r="AJ22" s="13" t="n"/>
      <c r="AK22" s="13" t="n"/>
      <c r="AL22" s="13" t="n"/>
      <c r="AM22" s="220" t="n"/>
      <c r="AN22" s="13" t="n"/>
      <c r="AO22" s="13" t="n"/>
    </row>
    <row r="23" hidden="1" outlineLevel="1" customFormat="1" s="13">
      <c r="A23" s="175" t="inlineStr">
        <is>
          <t>D</t>
        </is>
      </c>
      <c r="B23" s="176">
        <f>IF(_epmOfflineCondition_,"C_AUDITTRAIL",EPMDimensionType(,A23))</f>
        <v/>
      </c>
      <c r="C23" s="447">
        <f>IF(_epmOfflineCondition_,"DTOTAL",IF(B23="","",EPMContextMember(,B23)))</f>
        <v/>
      </c>
      <c r="D23" s="390" t="n"/>
      <c r="E23" s="13" t="n"/>
      <c r="F23" s="384" t="n"/>
      <c r="G23" s="384" t="n"/>
      <c r="H23" s="13" t="n"/>
      <c r="I23" s="13" t="n"/>
      <c r="J23" s="13" t="n"/>
      <c r="K23" s="13" t="n"/>
      <c r="L23" s="13" t="n"/>
      <c r="M23" s="13" t="n"/>
      <c r="N23" s="13" t="n"/>
      <c r="O23" s="13" t="n"/>
      <c r="P23" s="13" t="n"/>
      <c r="Q23" s="13" t="n"/>
      <c r="R23" s="13" t="n"/>
      <c r="S23" s="1103" t="n"/>
      <c r="T23" s="13" t="n"/>
      <c r="U23" s="13" t="n"/>
      <c r="V23" s="13" t="n"/>
      <c r="W23" s="13" t="n"/>
      <c r="X23" s="171" t="n"/>
      <c r="Y23" s="171" t="n"/>
      <c r="Z23" s="384" t="n"/>
      <c r="AA23" s="384" t="n"/>
      <c r="AB23" s="13" t="n"/>
      <c r="AC23" s="13" t="n"/>
      <c r="AD23" s="13" t="n"/>
      <c r="AE23" s="13" t="n"/>
      <c r="AF23" s="13" t="n"/>
      <c r="AG23" s="13" t="n"/>
      <c r="AH23" s="13" t="n"/>
      <c r="AI23" s="13" t="n"/>
      <c r="AJ23" s="13" t="n"/>
      <c r="AK23" s="13" t="n"/>
      <c r="AL23" s="13" t="n"/>
      <c r="AM23" s="220" t="n"/>
      <c r="AN23" s="13" t="n"/>
      <c r="AO23" s="13" t="n"/>
    </row>
    <row r="24" hidden="1" outlineLevel="1" customFormat="1" s="13">
      <c r="A24" s="175" t="inlineStr">
        <is>
          <t>S</t>
        </is>
      </c>
      <c r="B24" s="176">
        <f>IF(_epmOfflineCondition_,"C_FLOW",EPMDimensionType(,A24))</f>
        <v/>
      </c>
      <c r="C24" s="176">
        <f>IF(_epmOfflineCondition_,"FTOTAL",IF(B24="","",EPMContextMember(,B24)))</f>
        <v/>
      </c>
      <c r="D24" s="390" t="n"/>
      <c r="E24" s="13" t="inlineStr">
        <is>
          <t>FMOV_OP</t>
        </is>
      </c>
      <c r="F24" s="384" t="n"/>
      <c r="G24" s="384" t="n"/>
      <c r="H24" s="13" t="n"/>
      <c r="I24" s="13" t="n"/>
      <c r="J24" s="13" t="n"/>
      <c r="K24" s="13" t="n"/>
      <c r="L24" s="13" t="n"/>
      <c r="M24" s="13" t="n"/>
      <c r="N24" s="13" t="n"/>
      <c r="O24" s="13" t="n"/>
      <c r="P24" s="13" t="n"/>
      <c r="Q24" s="13" t="n"/>
      <c r="R24" s="13" t="n"/>
      <c r="S24" s="1103" t="n"/>
      <c r="T24" s="13" t="n"/>
      <c r="U24" s="13" t="n"/>
      <c r="V24" s="13" t="n"/>
      <c r="W24" s="13" t="n"/>
      <c r="X24" s="171" t="n"/>
      <c r="Y24" s="171" t="n"/>
      <c r="Z24" s="384" t="n"/>
      <c r="AA24" s="384" t="n"/>
      <c r="AB24" s="13" t="n"/>
      <c r="AC24" s="13" t="n"/>
      <c r="AD24" s="13" t="n"/>
      <c r="AE24" s="13" t="n"/>
      <c r="AF24" s="13" t="n"/>
      <c r="AG24" s="13" t="n"/>
      <c r="AH24" s="13" t="n"/>
      <c r="AI24" s="13" t="n"/>
      <c r="AJ24" s="13" t="n"/>
      <c r="AK24" s="13" t="n"/>
      <c r="AL24" s="13" t="n"/>
      <c r="AM24" s="220" t="n"/>
      <c r="AN24" s="13" t="n"/>
      <c r="AO24" s="13" t="n"/>
    </row>
    <row r="25" hidden="1" outlineLevel="1" customFormat="1" s="13">
      <c r="A25" s="175" t="inlineStr">
        <is>
          <t>I</t>
        </is>
      </c>
      <c r="B25" s="176">
        <f>IF(_epmOfflineCondition_,"C_INTERCO",EPMDimensionType(,A25))</f>
        <v/>
      </c>
      <c r="C25" s="672" t="inlineStr">
        <is>
          <t>I_ALL</t>
        </is>
      </c>
      <c r="D25" s="390">
        <f>IF(_epmOfflineCondition_,"I_ALL",EPMOlapMemberO(C25,"[C_INTERCO].[PARENTH1].[I_ALL]","I_ALL - 全部贸易伙伴","","000"))</f>
        <v/>
      </c>
      <c r="E25" s="13" t="inlineStr">
        <is>
          <t>I_DUMMY</t>
        </is>
      </c>
      <c r="F25" s="384" t="n"/>
      <c r="G25" s="384" t="n"/>
      <c r="H25" s="13" t="n"/>
      <c r="I25" s="13" t="n"/>
      <c r="J25" s="13" t="n"/>
      <c r="K25" s="13" t="n"/>
      <c r="L25" s="13" t="n"/>
      <c r="M25" s="13" t="n"/>
      <c r="N25" s="13" t="n"/>
      <c r="O25" s="13" t="n"/>
      <c r="P25" s="13" t="n"/>
      <c r="Q25" s="13" t="n"/>
      <c r="R25" s="13" t="n"/>
      <c r="S25" s="1103" t="n"/>
      <c r="T25" s="13" t="n"/>
      <c r="U25" s="13" t="n"/>
      <c r="V25" s="13" t="n"/>
      <c r="W25" s="13" t="n"/>
      <c r="X25" s="178" t="inlineStr">
        <is>
          <t>CATEGORY</t>
        </is>
      </c>
      <c r="Y25" s="13" t="n"/>
      <c r="Z25" s="178" t="inlineStr">
        <is>
          <t>C1001</t>
        </is>
      </c>
      <c r="AA25" s="178" t="inlineStr">
        <is>
          <t>C1001</t>
        </is>
      </c>
      <c r="AB25" s="178">
        <f>$C$4</f>
        <v/>
      </c>
      <c r="AC25" s="178">
        <f>$C$4</f>
        <v/>
      </c>
      <c r="AD25" s="514" t="inlineStr">
        <is>
          <t>C1001</t>
        </is>
      </c>
      <c r="AE25" s="13" t="n"/>
      <c r="AF25" s="13" t="n"/>
      <c r="AG25" s="13" t="n"/>
      <c r="AH25" s="13" t="n"/>
      <c r="AI25" s="13" t="n"/>
      <c r="AJ25" s="13" t="n"/>
      <c r="AK25" s="220" t="n"/>
      <c r="AL25" s="220" t="n"/>
      <c r="AM25" s="220" t="n"/>
      <c r="AN25" s="220" t="n"/>
      <c r="AO25" s="220" t="n"/>
    </row>
    <row r="26" hidden="1" outlineLevel="1" customFormat="1" s="13">
      <c r="A26" s="175" t="inlineStr">
        <is>
          <t>G</t>
        </is>
      </c>
      <c r="B26" s="176">
        <f>IF(_epmOfflineCondition_,"C_SCOPE",EPMDimensionType(,A26))</f>
        <v/>
      </c>
      <c r="C26" s="176">
        <f>E11</f>
        <v/>
      </c>
      <c r="D26" s="390">
        <f>IF(_epmOfflineCondition_,"G_DUMMY",EPMOlapMemberO(C26,"[C_SCOPE].[PARENTH1].[G_DUMMY]","G_DUMMY - 合并范围无关","","000"))</f>
        <v/>
      </c>
      <c r="E26" s="182" t="inlineStr">
        <is>
          <t>G_DUMMY</t>
        </is>
      </c>
      <c r="F26" s="384" t="n"/>
      <c r="G26" s="384" t="n"/>
      <c r="H26" s="13" t="n"/>
      <c r="I26" s="13" t="n"/>
      <c r="J26" s="13" t="n"/>
      <c r="K26" s="13" t="n"/>
      <c r="L26" s="13" t="n"/>
      <c r="M26" s="13" t="n"/>
      <c r="N26" s="13" t="n"/>
      <c r="O26" s="13" t="n"/>
      <c r="P26" s="13" t="n"/>
      <c r="Q26" s="13" t="n"/>
      <c r="R26" s="13" t="n"/>
      <c r="S26" s="1103" t="n"/>
      <c r="T26" s="13" t="n"/>
      <c r="U26" s="13" t="n"/>
      <c r="V26" s="13" t="n"/>
      <c r="W26" s="13" t="n"/>
      <c r="X26" s="464" t="inlineStr">
        <is>
          <t>TIME</t>
        </is>
      </c>
      <c r="Y26" s="13" t="n"/>
      <c r="Z26" s="464">
        <f>$I$11</f>
        <v/>
      </c>
      <c r="AA26" s="464">
        <f>$I$11</f>
        <v/>
      </c>
      <c r="AB26" s="464">
        <f>$I$13</f>
        <v/>
      </c>
      <c r="AC26" s="178">
        <f>$J$4</f>
        <v/>
      </c>
      <c r="AD26" s="514" t="inlineStr">
        <is>
          <t>2022.09</t>
        </is>
      </c>
      <c r="AE26" s="13" t="n"/>
      <c r="AF26" s="13" t="n"/>
      <c r="AG26" s="13" t="n"/>
      <c r="AH26" s="13" t="n"/>
      <c r="AI26" s="13" t="n"/>
      <c r="AJ26" s="13" t="n"/>
      <c r="AK26" s="220" t="n"/>
      <c r="AL26" s="220" t="n"/>
      <c r="AM26" s="220" t="n"/>
      <c r="AN26" s="220" t="n"/>
      <c r="AO26" s="220" t="n"/>
    </row>
    <row r="27" hidden="1" outlineLevel="1" customFormat="1" s="13">
      <c r="A27" s="175" t="inlineStr">
        <is>
          <t>U8</t>
        </is>
      </c>
      <c r="B27" s="176">
        <f>IF(_epmOfflineCondition_,"C_PROJECT",EPMDimensionType(,A27))</f>
        <v/>
      </c>
      <c r="C27" s="180" t="inlineStr">
        <is>
          <t>ZP_ALL</t>
        </is>
      </c>
      <c r="D27" s="390">
        <f>IF(_epmOfflineCondition_,"ZP_ALL",EPMOlapMemberO(C27,"[C_PROJECT].[PARENTH1].[ZP_ALL]","ZP_ALL - 项目合计","","000"))</f>
        <v/>
      </c>
      <c r="E27" s="13" t="inlineStr">
        <is>
          <t>ZP_DUMMY</t>
        </is>
      </c>
      <c r="F27" s="384" t="n"/>
      <c r="G27" s="384" t="n"/>
      <c r="H27" s="13" t="n"/>
      <c r="I27" s="13" t="n"/>
      <c r="J27" s="13" t="n"/>
      <c r="K27" s="13" t="n"/>
      <c r="L27" s="13" t="n"/>
      <c r="M27" s="13" t="n"/>
      <c r="N27" s="13" t="n"/>
      <c r="O27" s="13" t="n"/>
      <c r="P27" s="13" t="n"/>
      <c r="Q27" s="13" t="n"/>
      <c r="R27" s="13" t="n"/>
      <c r="S27" s="1103" t="n"/>
      <c r="T27" s="13" t="n"/>
      <c r="U27" s="13" t="n"/>
      <c r="V27" s="13" t="n"/>
      <c r="W27" s="13" t="n"/>
      <c r="X27" s="200" t="inlineStr">
        <is>
          <t>MEASURES</t>
        </is>
      </c>
      <c r="Y27" s="13" t="n"/>
      <c r="Z27" s="200" t="inlineStr">
        <is>
          <t>YTD</t>
        </is>
      </c>
      <c r="AA27" s="200" t="inlineStr">
        <is>
          <t>YTD</t>
        </is>
      </c>
      <c r="AB27" s="200" t="inlineStr">
        <is>
          <t>Periodic</t>
        </is>
      </c>
      <c r="AC27" s="200" t="inlineStr">
        <is>
          <t>Periodic</t>
        </is>
      </c>
      <c r="AD27" s="185" t="inlineStr">
        <is>
          <t>Periodic</t>
        </is>
      </c>
      <c r="AE27" s="13" t="n"/>
      <c r="AF27" s="13" t="n"/>
      <c r="AG27" s="13" t="n"/>
      <c r="AH27" s="13" t="n"/>
      <c r="AI27" s="13" t="n"/>
      <c r="AJ27" s="13" t="n"/>
      <c r="AK27" s="220" t="n"/>
      <c r="AL27" s="220" t="n"/>
      <c r="AM27" s="220" t="n"/>
      <c r="AN27" s="220" t="n"/>
      <c r="AO27" s="220" t="n"/>
    </row>
    <row r="28" hidden="1" outlineLevel="1" customFormat="1" s="13">
      <c r="A28" s="175" t="inlineStr">
        <is>
          <t>U9</t>
        </is>
      </c>
      <c r="B28" s="176">
        <f>IF(_epmOfflineCondition_,"C_ITEM",EPMDimensionType(,A28))</f>
        <v/>
      </c>
      <c r="C28" s="180" t="inlineStr">
        <is>
          <t>ZI_ALL</t>
        </is>
      </c>
      <c r="D28" s="390">
        <f>IF(_epmOfflineCondition_,"ZI_ALL",EPMOlapMemberO(C28,"[C_ITEM].[PARENTH1].[ZI_ALL]","ZI_ALL - 全部ITEM","","000"))</f>
        <v/>
      </c>
      <c r="E28" s="13" t="inlineStr">
        <is>
          <t>ZI_DUMMY</t>
        </is>
      </c>
      <c r="F28" s="384" t="n"/>
      <c r="G28" s="384" t="n"/>
      <c r="H28" s="13" t="n"/>
      <c r="I28" s="13" t="n"/>
      <c r="J28" s="13" t="n"/>
      <c r="K28" s="13" t="n"/>
      <c r="L28" s="13" t="n"/>
      <c r="M28" s="13" t="n"/>
      <c r="N28" s="13" t="n"/>
      <c r="O28" s="13" t="n"/>
      <c r="P28" s="13" t="n"/>
      <c r="Q28" s="13" t="n"/>
      <c r="R28" s="13" t="n"/>
      <c r="S28" s="1103" t="n"/>
      <c r="T28" s="13" t="n"/>
      <c r="U28" s="13" t="n"/>
      <c r="V28" s="13" t="n"/>
      <c r="W28" s="13" t="n"/>
      <c r="X28" s="200" t="inlineStr">
        <is>
          <t>FLOW</t>
        </is>
      </c>
      <c r="Y28" s="13" t="n"/>
      <c r="Z28" s="200" t="inlineStr">
        <is>
          <t>F20</t>
        </is>
      </c>
      <c r="AA28" s="200" t="inlineStr">
        <is>
          <t>F30</t>
        </is>
      </c>
      <c r="AB28" s="200" t="inlineStr">
        <is>
          <t>F20</t>
        </is>
      </c>
      <c r="AC28" s="200" t="inlineStr">
        <is>
          <t>FEND</t>
        </is>
      </c>
      <c r="AD28" s="185" t="inlineStr">
        <is>
          <t>FEND</t>
        </is>
      </c>
      <c r="AE28" s="13" t="inlineStr">
        <is>
          <t>FMOV</t>
        </is>
      </c>
      <c r="AF28" s="13" t="inlineStr">
        <is>
          <t>FEND</t>
        </is>
      </c>
      <c r="AG28" s="13" t="n"/>
      <c r="AH28" s="13" t="n"/>
      <c r="AI28" s="13" t="n"/>
      <c r="AJ28" s="13" t="n"/>
      <c r="AK28" s="13" t="n"/>
      <c r="AL28" s="13" t="n"/>
      <c r="AM28" s="220" t="n"/>
      <c r="AN28" s="220" t="n"/>
      <c r="AO28" s="13" t="n"/>
    </row>
    <row r="29" hidden="1" outlineLevel="1" customFormat="1" s="13">
      <c r="A29" s="175" t="inlineStr">
        <is>
          <t>U10</t>
        </is>
      </c>
      <c r="B29" s="176">
        <f>IF(_epmOfflineCondition_,"C_MISK",EPMDimensionType(,A29))</f>
        <v/>
      </c>
      <c r="C29" s="449" t="inlineStr">
        <is>
          <t>ZM_ALL</t>
        </is>
      </c>
      <c r="D29" s="390">
        <f>IF(_epmOfflineCondition_,"ZM_ALL",EPMOlapMemberO(C29,"[C_MISK].[PARENTH1].[ZM_ALL]","ZM_ALL - ALL","","000"))</f>
        <v/>
      </c>
      <c r="E29" s="13" t="inlineStr">
        <is>
          <t>ZM_DUMMY</t>
        </is>
      </c>
      <c r="F29" s="384" t="n"/>
      <c r="G29" s="384" t="n"/>
      <c r="H29" s="13" t="n"/>
      <c r="I29" s="13" t="n"/>
      <c r="J29" s="13" t="n"/>
      <c r="K29" s="13" t="n"/>
      <c r="L29" s="13" t="n"/>
      <c r="M29" s="13" t="n"/>
      <c r="N29" s="13" t="n"/>
      <c r="O29" s="13" t="n"/>
      <c r="P29" s="13" t="n"/>
      <c r="Q29" s="13" t="n"/>
      <c r="R29" s="13" t="n"/>
      <c r="S29" s="1103" t="n"/>
      <c r="T29" s="13" t="n"/>
      <c r="U29" s="13" t="n"/>
      <c r="V29" s="13" t="n"/>
      <c r="W29" s="13" t="n"/>
      <c r="X29" s="200" t="inlineStr">
        <is>
          <t>AUDITTRAIL</t>
        </is>
      </c>
      <c r="Y29" s="13" t="n"/>
      <c r="Z29" s="200" t="inlineStr">
        <is>
          <t>D1110</t>
        </is>
      </c>
      <c r="AA29" s="200" t="inlineStr">
        <is>
          <t>DALL</t>
        </is>
      </c>
      <c r="AB29" s="200" t="inlineStr">
        <is>
          <t>DLC</t>
        </is>
      </c>
      <c r="AC29" s="200" t="inlineStr">
        <is>
          <t>DLC</t>
        </is>
      </c>
      <c r="AD29" s="185" t="inlineStr">
        <is>
          <t>DLC</t>
        </is>
      </c>
      <c r="AE29" s="13" t="inlineStr">
        <is>
          <t>DLC_ADJ</t>
        </is>
      </c>
      <c r="AF29" s="13" t="inlineStr">
        <is>
          <t>D_DUMMY</t>
        </is>
      </c>
      <c r="AG29" s="13" t="n"/>
      <c r="AH29" s="13" t="n"/>
      <c r="AI29" s="13" t="n"/>
      <c r="AJ29" s="13" t="n"/>
      <c r="AK29" s="13" t="n"/>
      <c r="AL29" s="13" t="n"/>
      <c r="AM29" s="220" t="n"/>
      <c r="AN29" s="13" t="n"/>
      <c r="AO29" s="13" t="n"/>
    </row>
    <row r="30" hidden="1" outlineLevel="1" customFormat="1" s="13">
      <c r="A30" s="175" t="n"/>
      <c r="B30" s="175">
        <f>IF(_epmOfflineCondition_,"",EPMDimensionType(,A30))</f>
        <v/>
      </c>
      <c r="C30" s="182" t="inlineStr">
        <is>
          <t>PERIODIC</t>
        </is>
      </c>
      <c r="D30" s="390" t="n"/>
      <c r="E30" s="13" t="n"/>
      <c r="F30" s="384" t="n"/>
      <c r="G30" s="384" t="n"/>
      <c r="H30" s="13" t="n"/>
      <c r="I30" s="13" t="n"/>
      <c r="J30" s="13" t="n"/>
      <c r="K30" s="13" t="n"/>
      <c r="L30" s="13" t="n"/>
      <c r="M30" s="13" t="n"/>
      <c r="N30" s="13" t="n"/>
      <c r="O30" s="13" t="n"/>
      <c r="P30" s="13" t="n"/>
      <c r="Q30" s="13" t="n"/>
      <c r="R30" s="13" t="n"/>
      <c r="S30" s="1103" t="n"/>
      <c r="T30" s="13" t="n"/>
      <c r="U30" s="13" t="n"/>
      <c r="V30" s="13" t="n"/>
      <c r="W30" s="13" t="n"/>
      <c r="X30" s="13" t="n"/>
      <c r="Y30" s="13" t="n"/>
      <c r="Z30" s="13">
        <f>IF(_epmOfflineCondition_,"平台表单手工输入",EPMMemberDesc(Z29))</f>
        <v/>
      </c>
      <c r="AA30" s="13">
        <f>IF(_epmOfflineCondition_,"合并后",EPMMemberDesc(AA29))</f>
        <v/>
      </c>
      <c r="AB30" s="13">
        <f>IF(_epmOfflineCondition_,"单体报表",EPMMemberDesc(AB29))</f>
        <v/>
      </c>
      <c r="AC30" s="13">
        <f>IF(_epmOfflineCondition_,"单体报表",EPMMemberDesc(AC29))</f>
        <v/>
      </c>
      <c r="AD30" s="13" t="inlineStr">
        <is>
          <t>单体报表</t>
        </is>
      </c>
      <c r="AE30" s="13" t="inlineStr">
        <is>
          <t>单体调整</t>
        </is>
      </c>
      <c r="AF30" s="13" t="n"/>
      <c r="AG30" s="13" t="n"/>
      <c r="AH30" s="13" t="n"/>
      <c r="AI30" s="13" t="n"/>
      <c r="AJ30" s="13" t="n"/>
      <c r="AK30" s="13" t="n"/>
      <c r="AL30" s="13" t="n"/>
      <c r="AM30" s="220" t="n"/>
      <c r="AN30" s="13" t="n"/>
      <c r="AO30" s="13" t="n"/>
    </row>
    <row r="31" hidden="1" outlineLevel="1" customFormat="1" s="13">
      <c r="A31" s="13" t="n"/>
      <c r="B31" s="1103" t="n"/>
      <c r="C31" s="1103" t="n"/>
      <c r="D31" s="1103" t="n"/>
      <c r="E31" s="13" t="n"/>
      <c r="F31" s="13" t="n"/>
      <c r="G31" s="13" t="n"/>
      <c r="H31" s="13" t="n"/>
      <c r="I31" s="13" t="n"/>
      <c r="J31" s="13" t="n"/>
      <c r="K31" s="13" t="n"/>
      <c r="L31" s="13" t="n"/>
      <c r="M31" s="13" t="n"/>
      <c r="N31" s="13" t="n"/>
      <c r="O31" s="13" t="n"/>
      <c r="P31" s="13" t="n"/>
      <c r="Q31" s="13" t="n"/>
      <c r="R31" s="13" t="n"/>
      <c r="S31" s="1103" t="n"/>
      <c r="T31" s="13" t="n"/>
      <c r="U31" s="13" t="n"/>
      <c r="V31" s="13" t="n"/>
      <c r="W31" s="13" t="n"/>
      <c r="X31" s="171" t="n"/>
      <c r="Y31" s="171" t="n"/>
      <c r="Z31" s="384">
        <f>IF(Z37="LC","DLC","DALL")</f>
        <v/>
      </c>
      <c r="AA31" s="384" t="n"/>
      <c r="AB31" s="13" t="n"/>
      <c r="AC31" s="13" t="n"/>
      <c r="AD31" s="13" t="n"/>
      <c r="AE31" s="13" t="n"/>
      <c r="AF31" s="13" t="n"/>
      <c r="AG31" s="13" t="n"/>
      <c r="AH31" s="13" t="n"/>
      <c r="AI31" s="13" t="n"/>
      <c r="AJ31" s="13" t="n"/>
      <c r="AK31" s="13" t="n"/>
      <c r="AL31" s="13" t="n"/>
      <c r="AM31" s="220" t="n"/>
      <c r="AN31" s="13" t="n"/>
      <c r="AO31" s="13" t="n"/>
    </row>
    <row r="32" hidden="1" outlineLevel="1" customFormat="1" s="13">
      <c r="A32" s="13" t="n"/>
      <c r="B32" s="1103" t="n"/>
      <c r="C32" s="1103" t="n"/>
      <c r="D32" s="1103" t="n"/>
      <c r="E32" s="13" t="n"/>
      <c r="F32" s="13" t="n"/>
      <c r="G32" s="13" t="n"/>
      <c r="H32" s="13" t="n"/>
      <c r="I32" s="13" t="n"/>
      <c r="J32" s="13" t="n"/>
      <c r="K32" s="13" t="n"/>
      <c r="L32" s="13" t="n"/>
      <c r="M32" s="13" t="n"/>
      <c r="N32" s="13" t="n"/>
      <c r="O32" s="13" t="n"/>
      <c r="P32" s="13" t="n"/>
      <c r="Q32" s="13" t="n"/>
      <c r="R32" s="13" t="n"/>
      <c r="S32" s="1103" t="n"/>
      <c r="T32" s="13" t="n"/>
      <c r="U32" s="13" t="n"/>
      <c r="V32" s="13" t="n"/>
      <c r="W32" s="13" t="n"/>
      <c r="X32" s="171" t="n"/>
      <c r="Y32" s="171" t="n"/>
      <c r="Z32" s="13" t="n"/>
      <c r="AA32" s="13" t="n"/>
      <c r="AB32" s="13" t="n"/>
      <c r="AC32" s="13" t="n"/>
      <c r="AD32" s="13" t="n"/>
      <c r="AE32" s="13" t="n"/>
      <c r="AF32" s="13" t="n"/>
      <c r="AG32" s="13" t="n"/>
      <c r="AH32" s="13" t="n"/>
      <c r="AI32" s="13" t="n"/>
      <c r="AJ32" s="13" t="n"/>
      <c r="AK32" s="13" t="n"/>
      <c r="AL32" s="13" t="n"/>
      <c r="AM32" s="220" t="n"/>
      <c r="AN32" s="13" t="n"/>
      <c r="AO32" s="13" t="n"/>
    </row>
    <row r="33" hidden="1" outlineLevel="1" customFormat="1" s="13">
      <c r="A33" s="13" t="n"/>
      <c r="B33" s="1103" t="n"/>
      <c r="C33" s="1103" t="n"/>
      <c r="D33" s="1103" t="n"/>
      <c r="E33" s="13" t="n"/>
      <c r="F33" s="13" t="n"/>
      <c r="G33" s="13" t="n"/>
      <c r="H33" s="13" t="n"/>
      <c r="I33" s="13" t="n"/>
      <c r="J33" s="13" t="n"/>
      <c r="K33" s="13" t="n"/>
      <c r="L33" s="13" t="n"/>
      <c r="M33" s="13" t="n"/>
      <c r="N33" s="13" t="n"/>
      <c r="O33" s="13" t="n"/>
      <c r="P33" s="13" t="n"/>
      <c r="Q33" s="13" t="n"/>
      <c r="R33" s="13" t="n"/>
      <c r="S33" s="1103" t="n"/>
      <c r="T33" s="13" t="n"/>
      <c r="U33" s="13" t="n"/>
      <c r="V33" s="13" t="n"/>
      <c r="W33" s="13" t="n"/>
      <c r="X33" s="171" t="n"/>
      <c r="Y33" s="171" t="n"/>
      <c r="Z33" s="13" t="n"/>
      <c r="AA33" s="13" t="n"/>
      <c r="AB33" s="13" t="n"/>
      <c r="AC33" s="13" t="n"/>
      <c r="AD33" s="13" t="n"/>
      <c r="AE33" s="13" t="n"/>
      <c r="AF33" s="13" t="n"/>
      <c r="AG33" s="13" t="n"/>
      <c r="AH33" s="13" t="n"/>
      <c r="AI33" s="13" t="n"/>
      <c r="AJ33" s="13" t="n"/>
      <c r="AK33" s="13" t="n"/>
      <c r="AL33" s="13" t="n"/>
      <c r="AM33" s="220" t="n"/>
      <c r="AN33" s="13" t="n"/>
      <c r="AO33" s="13" t="n"/>
    </row>
    <row r="34" collapsed="1" ht="10.5" customFormat="1" customHeight="1" s="13">
      <c r="A34" s="13" t="n"/>
      <c r="B34" s="1103" t="n"/>
      <c r="C34" s="1103" t="n"/>
      <c r="D34" s="1103" t="n"/>
      <c r="E34" s="13" t="n"/>
      <c r="F34" s="13" t="n"/>
      <c r="G34" s="13" t="n"/>
      <c r="H34" s="13" t="n"/>
      <c r="I34" s="13" t="n"/>
      <c r="J34" s="13" t="n"/>
      <c r="K34" s="13" t="n"/>
      <c r="L34" s="13" t="n"/>
      <c r="M34" s="13" t="n"/>
      <c r="N34" s="13" t="n"/>
      <c r="O34" s="13" t="n"/>
      <c r="P34" s="13" t="n"/>
      <c r="Q34" s="13" t="n"/>
      <c r="R34" s="13" t="n"/>
      <c r="S34" s="1103" t="n"/>
      <c r="T34" s="13" t="n"/>
      <c r="U34" s="13" t="n"/>
      <c r="V34" s="13" t="n"/>
      <c r="W34" s="13" t="n"/>
      <c r="X34" s="171" t="n"/>
      <c r="Y34" s="171" t="n"/>
      <c r="Z34" s="13" t="n"/>
      <c r="AA34" s="13" t="n"/>
      <c r="AB34" s="13" t="n"/>
      <c r="AC34" s="13" t="n"/>
      <c r="AD34" s="13" t="n"/>
      <c r="AE34" s="13" t="n"/>
      <c r="AF34" s="13" t="n"/>
      <c r="AG34" s="13" t="n"/>
      <c r="AH34" s="13" t="n"/>
      <c r="AI34" s="716" t="n"/>
      <c r="AJ34" s="13" t="n"/>
      <c r="AK34" s="13" t="n"/>
      <c r="AL34" s="13" t="n"/>
      <c r="AM34" s="220" t="n"/>
      <c r="AN34" s="13" t="n"/>
      <c r="AO34" s="13" t="n"/>
    </row>
    <row r="35" ht="32.25" customHeight="1" s="1181">
      <c r="A35" s="384" t="n"/>
      <c r="B35" s="384" t="n"/>
      <c r="C35" s="384" t="n"/>
      <c r="D35" s="384" t="n"/>
      <c r="E35" s="384" t="n"/>
      <c r="F35" s="384" t="n"/>
      <c r="G35" s="384" t="n"/>
      <c r="H35" s="384" t="n"/>
      <c r="I35" s="384" t="n"/>
      <c r="J35" s="384" t="n"/>
      <c r="K35" s="384" t="n"/>
      <c r="L35" s="384" t="n"/>
      <c r="M35" s="384" t="n"/>
      <c r="N35" s="384" t="n"/>
      <c r="O35" s="384" t="n"/>
      <c r="P35" s="384" t="n"/>
      <c r="Q35" s="384" t="n"/>
      <c r="R35" s="384" t="n"/>
      <c r="S35" s="32" t="n"/>
      <c r="T35" s="384" t="n"/>
      <c r="U35" s="384" t="n"/>
      <c r="V35" s="384" t="n"/>
      <c r="W35" s="384" t="n"/>
      <c r="X35" s="38" t="n"/>
      <c r="Y35" s="38" t="n"/>
      <c r="Z35" s="520" t="inlineStr">
        <is>
          <t>企业财务快报（国资委）</t>
        </is>
      </c>
      <c r="AC35" s="384" t="n"/>
      <c r="AD35" s="384" t="n"/>
      <c r="AE35" s="384" t="n"/>
      <c r="AF35" s="384" t="n"/>
      <c r="AG35" s="384" t="n"/>
      <c r="AH35" s="384" t="n"/>
      <c r="AI35" s="384" t="n"/>
      <c r="AJ35" s="384" t="n"/>
      <c r="AK35" s="384" t="n"/>
      <c r="AL35" s="384" t="n"/>
      <c r="AM35" s="384" t="n"/>
      <c r="AN35" s="384" t="n"/>
      <c r="AO35" s="384" t="n"/>
    </row>
    <row r="36" ht="15.2" customFormat="1" customHeight="1" s="716">
      <c r="A36" s="716" t="n"/>
      <c r="B36" s="716" t="n"/>
      <c r="C36" s="716" t="n"/>
      <c r="D36" s="716" t="n"/>
      <c r="E36" s="716" t="n"/>
      <c r="F36" s="716" t="n"/>
      <c r="G36" s="716" t="n"/>
      <c r="H36" s="716" t="n"/>
      <c r="I36" s="716" t="n"/>
      <c r="J36" s="716" t="n"/>
      <c r="K36" s="716" t="n"/>
      <c r="L36" s="716" t="n"/>
      <c r="M36" s="716" t="n"/>
      <c r="N36" s="716" t="n"/>
      <c r="O36" s="716" t="n"/>
      <c r="P36" s="716">
        <f>IF(_epmOfflineCondition_,"        # 利息支出",EPMMemberDesc(Q47))</f>
        <v/>
      </c>
      <c r="Q36" s="716" t="n"/>
      <c r="R36" s="716" t="n"/>
      <c r="S36" s="462" t="n"/>
      <c r="T36" s="716" t="n"/>
      <c r="U36" s="716" t="n"/>
      <c r="V36" s="716" t="n"/>
      <c r="W36" s="716" t="n"/>
      <c r="X36" s="190">
        <f>IF(_epmOfflineCondition_,"编制单位：内蒙古京能苏尼特风力发电有限公司（内蒙古分公司）","编制单位："&amp;EPMMemberDesc($C$6))</f>
        <v/>
      </c>
      <c r="Y36" s="116" t="inlineStr">
        <is>
          <t>操作提示：表单默认币种LC（本位币），外币记账单位，可点击左侧币种切换，点击EPM选项卡中的“刷新”按钮</t>
        </is>
      </c>
      <c r="Z36" s="116" t="n"/>
      <c r="AA36" s="716" t="n"/>
      <c r="AB36" s="203" t="n"/>
      <c r="AC36" s="716" t="n"/>
      <c r="AD36" s="716" t="n"/>
      <c r="AE36" s="716" t="n"/>
      <c r="AF36" s="716" t="n"/>
      <c r="AG36" s="716" t="n"/>
      <c r="AH36" s="716" t="n"/>
      <c r="AI36" s="716" t="n"/>
      <c r="AJ36" s="716" t="n"/>
      <c r="AK36" s="716" t="n"/>
      <c r="AL36" s="716" t="n"/>
      <c r="AM36" s="716" t="n"/>
      <c r="AN36" s="716" t="n"/>
      <c r="AO36" s="716" t="n"/>
    </row>
    <row r="37" ht="15.2" customFormat="1" customHeight="1" s="716">
      <c r="A37" s="716" t="n"/>
      <c r="B37" s="716" t="n"/>
      <c r="C37" s="716" t="n"/>
      <c r="D37" s="716" t="n"/>
      <c r="E37" s="716" t="n"/>
      <c r="F37" s="716" t="n"/>
      <c r="G37" s="716" t="n"/>
      <c r="H37" s="716" t="n"/>
      <c r="I37" s="716" t="n"/>
      <c r="J37" s="716" t="n"/>
      <c r="K37" s="716" t="n"/>
      <c r="L37" s="716" t="n"/>
      <c r="M37" s="716" t="n"/>
      <c r="N37" s="716" t="n"/>
      <c r="O37" s="716" t="n"/>
      <c r="P37" s="716">
        <f>IF(_epmOfflineCondition_,"        # 手续费及佣金支出",EPMMemberDesc(Q48))</f>
        <v/>
      </c>
      <c r="Q37" s="716" t="n"/>
      <c r="R37" s="716" t="n"/>
      <c r="S37" s="462" t="n"/>
      <c r="T37" s="716" t="n"/>
      <c r="U37" s="716" t="n"/>
      <c r="V37" s="716" t="n"/>
      <c r="W37" s="716" t="n"/>
      <c r="X37" s="190">
        <f>"编制月份："&amp;$I$3&amp;"年"&amp;$I$8&amp;"月"</f>
        <v/>
      </c>
      <c r="Y37" s="521" t="inlineStr">
        <is>
          <t>币种：</t>
        </is>
      </c>
      <c r="Z37" s="521" t="inlineStr">
        <is>
          <t>LC</t>
        </is>
      </c>
      <c r="AA37" s="716" t="n"/>
      <c r="AB37" s="223" t="inlineStr">
        <is>
          <t>金额单位：元</t>
        </is>
      </c>
      <c r="AC37" s="716" t="n"/>
      <c r="AD37" s="716" t="n"/>
      <c r="AE37" s="716" t="n"/>
      <c r="AF37" s="716" t="n"/>
      <c r="AG37" s="716" t="n"/>
      <c r="AH37" s="716" t="n"/>
      <c r="AI37" s="716" t="n"/>
      <c r="AJ37" s="716" t="n"/>
      <c r="AK37" s="716" t="n"/>
      <c r="AL37" s="716" t="n"/>
      <c r="AM37" s="716" t="n"/>
      <c r="AN37" s="716" t="n"/>
      <c r="AO37" s="716" t="n"/>
    </row>
    <row r="38" ht="10.15" customFormat="1" customHeight="1" s="716">
      <c r="A38" s="716" t="n"/>
      <c r="B38" s="716" t="n"/>
      <c r="C38" s="716" t="n"/>
      <c r="D38" s="716" t="n"/>
      <c r="E38" s="716" t="n"/>
      <c r="F38" s="716" t="n"/>
      <c r="G38" s="716" t="n"/>
      <c r="H38" s="716" t="n"/>
      <c r="I38" s="716" t="n"/>
      <c r="J38" s="716" t="n"/>
      <c r="K38" s="716" t="n"/>
      <c r="L38" s="716" t="n"/>
      <c r="M38" s="716" t="n"/>
      <c r="N38" s="716" t="n"/>
      <c r="O38" s="716" t="n"/>
      <c r="P38" s="716">
        <f>IF(_epmOfflineCondition_,"　      # 汇兑收益（损失以“-”号填列）",EPMMemberDesc(Q46))</f>
        <v/>
      </c>
      <c r="Q38" s="716" t="n"/>
      <c r="R38" s="716" t="n"/>
      <c r="S38" s="462" t="n"/>
      <c r="T38" s="716" t="n"/>
      <c r="U38" s="716" t="n"/>
      <c r="V38" s="716" t="n"/>
      <c r="W38" s="716" t="n"/>
      <c r="X38" s="190" t="n"/>
      <c r="Y38" s="190" t="n"/>
      <c r="Z38" s="716" t="n"/>
      <c r="AA38" s="716" t="n"/>
      <c r="AB38" s="203" t="n"/>
      <c r="AC38" s="716" t="n"/>
      <c r="AD38" s="716" t="n"/>
      <c r="AE38" s="716" t="n"/>
      <c r="AF38" s="716" t="n"/>
      <c r="AG38" s="716" t="n"/>
      <c r="AH38" s="716" t="n"/>
      <c r="AI38" s="716" t="n"/>
      <c r="AJ38" s="716" t="n"/>
      <c r="AK38" s="716" t="n"/>
      <c r="AL38" s="716" t="n"/>
      <c r="AM38" s="716" t="n"/>
      <c r="AN38" s="716" t="n"/>
      <c r="AO38" s="716" t="n"/>
    </row>
    <row r="39" ht="8.65" customFormat="1" customHeight="1" s="716">
      <c r="A39" s="716" t="n"/>
      <c r="B39" s="716" t="n"/>
      <c r="C39" s="716" t="n"/>
      <c r="D39" s="716" t="n"/>
      <c r="E39" s="716" t="n"/>
      <c r="F39" s="716" t="n"/>
      <c r="G39" s="716" t="n"/>
      <c r="H39" s="716" t="n"/>
      <c r="I39" s="716" t="n"/>
      <c r="J39" s="716" t="n"/>
      <c r="K39" s="716" t="n"/>
      <c r="L39" s="716" t="n"/>
      <c r="M39" s="716" t="n"/>
      <c r="N39" s="716" t="n"/>
      <c r="O39" s="716" t="n"/>
      <c r="P39" s="716" t="n"/>
      <c r="Q39" s="716" t="n"/>
      <c r="R39" s="716" t="n"/>
      <c r="S39" s="462" t="n"/>
      <c r="T39" s="716" t="n"/>
      <c r="U39" s="716" t="n"/>
      <c r="V39" s="716" t="n"/>
      <c r="W39" s="716" t="n"/>
      <c r="X39" s="450" t="inlineStr">
        <is>
          <t>项        目</t>
        </is>
      </c>
      <c r="Y39" s="450" t="inlineStr">
        <is>
          <t>行次</t>
        </is>
      </c>
      <c r="Z39" s="466" t="inlineStr">
        <is>
          <t>本月数</t>
        </is>
      </c>
      <c r="AA39" s="466" t="inlineStr">
        <is>
          <t>本年累计数</t>
        </is>
      </c>
      <c r="AB39" s="466" t="inlineStr">
        <is>
          <t>上年同期数</t>
        </is>
      </c>
      <c r="AC39" s="553" t="inlineStr">
        <is>
          <t>本年累计(存数）</t>
        </is>
      </c>
      <c r="AD39" s="552" t="n"/>
      <c r="AE39" s="716" t="n"/>
      <c r="AF39" s="716" t="n"/>
      <c r="AG39" s="716" t="n"/>
      <c r="AH39" s="716" t="n"/>
      <c r="AI39" s="716" t="n"/>
      <c r="AJ39" s="716" t="n"/>
      <c r="AK39" s="716" t="n"/>
      <c r="AL39" s="716" t="n"/>
      <c r="AM39" s="716" t="n"/>
      <c r="AN39" s="716" t="n"/>
      <c r="AO39" s="716" t="n"/>
    </row>
    <row r="40" ht="10.9" customFormat="1" customHeight="1" s="716">
      <c r="A40" s="716" t="n"/>
      <c r="B40" s="716" t="n"/>
      <c r="C40" s="716" t="n"/>
      <c r="D40" s="716" t="n"/>
      <c r="E40" s="716" t="n"/>
      <c r="F40" s="716" t="n"/>
      <c r="G40" s="716" t="n"/>
      <c r="H40" s="716" t="n"/>
      <c r="I40" s="716" t="n"/>
      <c r="J40" s="716" t="n"/>
      <c r="K40" s="716" t="n"/>
      <c r="L40" s="716" t="n"/>
      <c r="M40" s="716" t="n"/>
      <c r="N40" s="716" t="n"/>
      <c r="O40" s="716" t="n"/>
      <c r="P40" s="716" t="n"/>
      <c r="Q40" s="716" t="n"/>
      <c r="R40" s="716" t="n"/>
      <c r="S40" s="462" t="n"/>
      <c r="T40" s="716" t="n"/>
      <c r="U40" s="716" t="n"/>
      <c r="V40" s="716" t="n"/>
      <c r="W40" s="716" t="n"/>
      <c r="X40" s="1184" t="n"/>
      <c r="Y40" s="1184" t="n"/>
      <c r="Z40" s="1211" t="n"/>
      <c r="AA40" s="1211" t="n"/>
      <c r="AB40" s="1211" t="n"/>
      <c r="AC40" s="1210" t="n"/>
      <c r="AD40" s="552" t="n"/>
      <c r="AE40" s="716" t="n"/>
      <c r="AF40" s="716" t="n"/>
      <c r="AG40" s="716" t="n"/>
      <c r="AH40" s="716" t="n"/>
      <c r="AI40" s="716" t="n"/>
      <c r="AJ40" s="716" t="n"/>
      <c r="AK40" s="716" t="n"/>
      <c r="AL40" s="716" t="n"/>
      <c r="AM40" s="716" t="n"/>
      <c r="AN40" s="716" t="n"/>
      <c r="AO40" s="716" t="n"/>
    </row>
    <row r="41" hidden="1" ht="13.5" customFormat="1" customHeight="1" s="24">
      <c r="A41" s="24" t="n"/>
      <c r="B41" s="24" t="n"/>
      <c r="C41" s="24" t="n"/>
      <c r="D41" s="24" t="n"/>
      <c r="E41" s="24" t="n"/>
      <c r="F41" s="24" t="n"/>
      <c r="G41" s="24" t="n"/>
      <c r="H41" s="24" t="n"/>
      <c r="I41" s="24" t="n"/>
      <c r="J41" s="24" t="n"/>
      <c r="K41" s="24" t="n"/>
      <c r="L41" s="24" t="n"/>
      <c r="M41" s="24" t="n"/>
      <c r="N41" s="24" t="n"/>
      <c r="O41" s="24" t="n"/>
      <c r="P41" s="24" t="n"/>
      <c r="Q41" s="24" t="n"/>
      <c r="R41" s="24" t="n"/>
      <c r="S41" s="24" t="n"/>
      <c r="T41" s="24" t="n"/>
      <c r="U41" s="24" t="n"/>
      <c r="V41" s="24" t="n"/>
      <c r="W41" s="24" t="n"/>
      <c r="X41" s="451" t="inlineStr">
        <is>
          <t>time</t>
        </is>
      </c>
      <c r="Y41" s="726" t="n"/>
      <c r="Z41" s="469">
        <f>IF(_epmOfflineCondition_,"2025.03",EPMOlapMemberO($I$11,"[C_TIME].[PARENTH1].[2025.03]","2025.03 - 2025.03","","000"))</f>
        <v/>
      </c>
      <c r="AA41" s="469">
        <f>IF(_epmOfflineCondition_,"2025.03",EPMOlapMemberO($I$11,"[C_TIME].[PARENTH1].[2025.03]","2025.03 - 2025.03","","000"))</f>
        <v/>
      </c>
      <c r="AB41" s="469">
        <f>IF(_epmOfflineCondition_,"2024.03",EPMOlapMemberO(AB26,"[C_TIME].[PARENTH1].[2024.03]","2024.03 - 2024.03","","000"))</f>
        <v/>
      </c>
      <c r="AC41" s="13" t="n"/>
      <c r="AD41" s="13" t="n"/>
      <c r="AE41" s="462" t="n"/>
      <c r="AF41" s="462" t="n"/>
      <c r="AG41" s="462" t="n"/>
      <c r="AH41" s="462" t="n"/>
      <c r="AI41" s="462" t="n"/>
      <c r="AJ41" s="24" t="n"/>
      <c r="AK41" s="24" t="n"/>
      <c r="AL41" s="24" t="n"/>
      <c r="AM41" s="24" t="n"/>
      <c r="AN41" s="24" t="n"/>
      <c r="AO41" s="24" t="n"/>
    </row>
    <row r="42" hidden="1" ht="14.25" customFormat="1" customHeight="1" s="716">
      <c r="A42" s="716" t="n"/>
      <c r="B42" s="716" t="n"/>
      <c r="C42" s="716" t="n"/>
      <c r="D42" s="716" t="n"/>
      <c r="E42" s="716" t="n"/>
      <c r="F42" s="716" t="n"/>
      <c r="G42" s="716" t="n"/>
      <c r="H42" s="716" t="n"/>
      <c r="I42" s="716" t="n"/>
      <c r="J42" s="716" t="n"/>
      <c r="K42" s="716" t="n"/>
      <c r="L42" s="716" t="n"/>
      <c r="M42" s="716" t="n"/>
      <c r="N42" s="716" t="n"/>
      <c r="O42" s="716" t="n"/>
      <c r="P42" s="716" t="n"/>
      <c r="Q42" s="716" t="n"/>
      <c r="R42" s="716" t="n"/>
      <c r="S42" s="462" t="n"/>
      <c r="T42" s="716" t="n"/>
      <c r="U42" s="716" t="n"/>
      <c r="V42" s="716" t="n"/>
      <c r="W42" s="716" t="n"/>
      <c r="X42" s="451" t="inlineStr">
        <is>
          <t>category</t>
        </is>
      </c>
      <c r="Y42" s="451" t="n"/>
      <c r="Z42" s="182">
        <f>IF(_epmOfflineCondition_,"C1001",EPMOlapMemberO($Z$25,"[C_CATEGORY].[PARENTH1].[C1001]","C1001 - 实际数/决算数","","000"))</f>
        <v/>
      </c>
      <c r="AA42" s="182">
        <f>IF(_epmOfflineCondition_,"C1001",EPMOlapMemberO($Z$25,"[C_CATEGORY].[PARENTH1].[C1001]","C1001 - 实际数/决算数","","000"))</f>
        <v/>
      </c>
      <c r="AB42" s="182">
        <f>IF(_epmOfflineCondition_,"C1001",EPMOlapMemberO($Z$25,"[C_CATEGORY].[PARENTH1].[C1001]","C1001 - 实际数/决算数","","000"))</f>
        <v/>
      </c>
      <c r="AC42" s="13" t="n"/>
      <c r="AD42" s="13" t="n"/>
      <c r="AE42" s="716" t="n"/>
      <c r="AF42" s="716" t="n"/>
      <c r="AG42" s="716" t="n"/>
      <c r="AH42" s="716" t="n"/>
      <c r="AI42" s="716" t="n"/>
      <c r="AJ42" s="716" t="n"/>
      <c r="AK42" s="716" t="n"/>
      <c r="AL42" s="716" t="n"/>
      <c r="AM42" s="716" t="n"/>
      <c r="AN42" s="716" t="n"/>
      <c r="AO42" s="716" t="n"/>
    </row>
    <row r="43" hidden="1" ht="13.5" customFormat="1" customHeight="1" s="716">
      <c r="A43" s="716" t="n"/>
      <c r="B43" s="716" t="n"/>
      <c r="C43" s="716" t="n"/>
      <c r="D43" s="716" t="n"/>
      <c r="E43" s="716" t="n"/>
      <c r="F43" s="716" t="n"/>
      <c r="G43" s="716" t="n"/>
      <c r="H43" s="716" t="n"/>
      <c r="I43" s="716" t="n"/>
      <c r="J43" s="716" t="n"/>
      <c r="K43" s="716" t="n"/>
      <c r="L43" s="716" t="n"/>
      <c r="M43" s="716" t="n"/>
      <c r="N43" s="716" t="n"/>
      <c r="O43" s="716" t="n"/>
      <c r="P43" s="716" t="n"/>
      <c r="Q43" s="716" t="n"/>
      <c r="R43" s="716" t="n"/>
      <c r="S43" s="462" t="n"/>
      <c r="T43" s="716" t="n"/>
      <c r="U43" s="716" t="n"/>
      <c r="V43" s="716" t="n"/>
      <c r="W43" s="716" t="n"/>
      <c r="X43" s="451" t="inlineStr">
        <is>
          <t>audittrail</t>
        </is>
      </c>
      <c r="Y43" s="451" t="n"/>
      <c r="Z43" s="182">
        <f>IF(_epmOfflineCondition_,"DLC",EPMOlapMemberO($Z$31,"[C_AUDITTRAIL].[PARENTH1].[DLC]","DLC - 单体报表","","000"))</f>
        <v/>
      </c>
      <c r="AA43" s="182">
        <f>IF(_epmOfflineCondition_,"DLC",EPMOlapMemberO($Z$31,"[C_AUDITTRAIL].[PARENTH1].[DLC]","DLC - 单体报表","","000"))</f>
        <v/>
      </c>
      <c r="AB43" s="182">
        <f>IF(_epmOfflineCondition_,"DLC",EPMOlapMemberO($Z$31,"[C_AUDITTRAIL].[PARENTH1].[DLC]","DLC - 单体报表","","000"))</f>
        <v/>
      </c>
      <c r="AC43" s="13" t="n"/>
      <c r="AD43" s="13" t="n"/>
      <c r="AE43" s="716" t="n"/>
      <c r="AF43" s="716" t="n"/>
      <c r="AG43" s="716" t="n"/>
      <c r="AH43" s="716" t="n"/>
      <c r="AI43" s="716" t="n"/>
      <c r="AJ43" s="716" t="n"/>
      <c r="AK43" s="716" t="n"/>
      <c r="AL43" s="716" t="n"/>
      <c r="AM43" s="716" t="n"/>
      <c r="AN43" s="716" t="n"/>
      <c r="AO43" s="716" t="n"/>
    </row>
    <row r="44" hidden="1" outlineLevel="1" ht="13.5" customFormat="1" customHeight="1" s="716">
      <c r="A44" s="716" t="n"/>
      <c r="B44" s="716" t="n"/>
      <c r="C44" s="716" t="n"/>
      <c r="D44" s="716" t="n"/>
      <c r="E44" s="716" t="n"/>
      <c r="F44" s="716" t="n"/>
      <c r="G44" s="716" t="n"/>
      <c r="H44" s="716" t="n"/>
      <c r="I44" s="716" t="n"/>
      <c r="J44" s="716" t="n"/>
      <c r="K44" s="716" t="n"/>
      <c r="L44" s="716" t="n"/>
      <c r="M44" s="716" t="n"/>
      <c r="N44" s="716" t="n"/>
      <c r="O44" s="716" t="n"/>
      <c r="P44" s="716" t="n"/>
      <c r="Q44" s="716" t="n"/>
      <c r="R44" s="716" t="n"/>
      <c r="S44" s="462" t="n"/>
      <c r="T44" s="716" t="n"/>
      <c r="U44" s="716" t="n"/>
      <c r="V44" s="452" t="n"/>
      <c r="W44" s="716" t="n"/>
      <c r="X44" s="451" t="inlineStr">
        <is>
          <t>flow</t>
        </is>
      </c>
      <c r="Y44" s="451" t="n"/>
      <c r="Z44" s="182">
        <f>IF(_epmOfflineCondition_,"FMOV",EPMOlapMemberO($AE$28,"[C_FLOW].[PARENTH1].[FMOV]","FMOV - 本期变动","","000"))</f>
        <v/>
      </c>
      <c r="AA44" s="182">
        <f>IF(_epmOfflineCondition_,"FEND",EPMOlapMemberO($AC$28,"[C_FLOW].[PARENTH1].[FEND]","FEND - 期末金额","","000"))</f>
        <v/>
      </c>
      <c r="AB44" s="182">
        <f>IF(_epmOfflineCondition_,"FEND",EPMOlapMemberO($AC$28,"[C_FLOW].[PARENTH1].[FEND]","FEND - 期末金额","","000"))</f>
        <v/>
      </c>
      <c r="AC44" s="13" t="n"/>
      <c r="AD44" s="13" t="n"/>
      <c r="AE44" s="716" t="n"/>
      <c r="AF44" s="716" t="n"/>
      <c r="AG44" s="716" t="n"/>
      <c r="AH44" s="716" t="n"/>
      <c r="AI44" s="716" t="n"/>
      <c r="AJ44" s="716" t="n"/>
      <c r="AK44" s="716" t="n"/>
      <c r="AL44" s="716" t="n"/>
      <c r="AM44" s="716" t="n"/>
      <c r="AN44" s="716" t="n"/>
      <c r="AO44" s="716" t="n"/>
    </row>
    <row r="45" hidden="1" outlineLevel="1" ht="13.5" customFormat="1" customHeight="1" s="716">
      <c r="A45" s="716" t="n"/>
      <c r="B45" s="716" t="n"/>
      <c r="C45" s="716" t="n"/>
      <c r="D45" s="716" t="n"/>
      <c r="E45" s="716" t="n"/>
      <c r="F45" s="716" t="n"/>
      <c r="G45" s="716" t="n"/>
      <c r="H45" s="716" t="n"/>
      <c r="I45" s="716" t="n"/>
      <c r="J45" s="716" t="n"/>
      <c r="K45" s="716" t="n"/>
      <c r="L45" s="716" t="n"/>
      <c r="M45" s="716" t="n"/>
      <c r="N45" s="716" t="n"/>
      <c r="O45" s="716" t="n"/>
      <c r="P45" s="716" t="n"/>
      <c r="Q45" s="716" t="n"/>
      <c r="R45" s="716" t="n"/>
      <c r="S45" s="462" t="n"/>
      <c r="T45" s="716" t="n"/>
      <c r="U45" s="716" t="n"/>
      <c r="V45" s="716" t="n"/>
      <c r="W45" s="716" t="n"/>
      <c r="X45" s="451" t="inlineStr">
        <is>
          <t>measures</t>
        </is>
      </c>
      <c r="Y45" s="451" t="n"/>
      <c r="Z45" s="182">
        <f>IF(_epmOfflineCondition_,"Periodic",EPMOlapMemberO($AB$27,"[MEASURES].[].[PERIODIC]","PERIODIC - Periodic","","000"))</f>
        <v/>
      </c>
      <c r="AA45" s="182">
        <f>IF(_epmOfflineCondition_,"YTD",EPMOlapMemberO($AA$27,"[MEASURES].[].[YTD]","YTD - Year To Date","","000"))</f>
        <v/>
      </c>
      <c r="AB45" s="182">
        <f>IF(_epmOfflineCondition_,"YTD",EPMOlapMemberO($AA$27,"[MEASURES].[].[YTD]","YTD - Year To Date","","000"))</f>
        <v/>
      </c>
      <c r="AC45" s="13" t="n"/>
      <c r="AD45" s="13" t="n"/>
      <c r="AE45" s="716" t="n"/>
      <c r="AF45" s="716" t="n"/>
      <c r="AG45" s="716" t="n"/>
      <c r="AH45" s="716" t="n"/>
      <c r="AI45" s="716" t="n"/>
      <c r="AJ45" s="716" t="n"/>
      <c r="AK45" s="716" t="n"/>
      <c r="AL45" s="716" t="n"/>
      <c r="AM45" s="716" t="n"/>
      <c r="AN45" s="716" t="n"/>
      <c r="AO45" s="716" t="n"/>
    </row>
    <row r="46" collapsed="1" ht="16.15" customFormat="1" customHeight="1" s="716">
      <c r="A46" s="716" t="n"/>
      <c r="B46" s="716" t="n"/>
      <c r="C46" s="716" t="n"/>
      <c r="D46" s="716" t="n"/>
      <c r="E46" s="716" t="n"/>
      <c r="F46" s="716" t="n"/>
      <c r="G46" s="716" t="n"/>
      <c r="H46" s="716" t="n"/>
      <c r="I46" s="716" t="n"/>
      <c r="J46" s="716" t="n"/>
      <c r="K46" s="716" t="n"/>
      <c r="L46" s="1192">
        <f>IF(_epmOfflineCondition_,0,EPMRetrieveData(,,$D$21,$D$22,$D$25,$D$26,$D$27,$D$28,$D$29,$AB$41,$AB$42,$AB$43,"FMOV_OP",$AB$45,Q46))</f>
        <v/>
      </c>
      <c r="M46" s="716" t="inlineStr">
        <is>
          <t>上年同期</t>
        </is>
      </c>
      <c r="N46" s="1192">
        <f>IF(_epmOfflineCondition_,0,EPMRetrieveData(,,$D$21,$D$22,$D$25,$D$26,$D$27,$D$28,$D$29,$Z$41,$Z$42,$Z$43,"FMOV_OP",$Z$45,Q46))</f>
        <v/>
      </c>
      <c r="O46" s="716" t="inlineStr">
        <is>
          <t>本月</t>
        </is>
      </c>
      <c r="P46" s="716">
        <f>IF(_epmOfflineCondition_,0,EPMRetrieveData(,,$D$21,$D$22,$D$25,$D$26,$D$27,$D$28,$D$29,$AA$41,$AA$42,$AA$43,"FMOV_OP",$AA$45,Q46))</f>
        <v/>
      </c>
      <c r="Q46" s="716" t="inlineStr">
        <is>
          <t>A0020213</t>
        </is>
      </c>
      <c r="R46" s="716" t="inlineStr">
        <is>
          <t>本年</t>
        </is>
      </c>
      <c r="S46" s="462">
        <f>IF(_epmOfflineCondition_,"一、营业总收入",EPMMemberDesc(U46))</f>
        <v/>
      </c>
      <c r="T46" s="716" t="n"/>
      <c r="U46" s="716" t="inlineStr">
        <is>
          <t>A00201</t>
        </is>
      </c>
      <c r="V46" s="699">
        <f>IF(_epmOfflineCondition_,"A00201",EPMOlapMemberO(U46,"[C_ACCOUNT].[PARENTH1].[A00201]","A00201 - 一、营业总收入","","000"))</f>
        <v/>
      </c>
      <c r="W46" s="462" t="n"/>
      <c r="X46" s="585" t="inlineStr">
        <is>
          <t>1. 营业总收入</t>
        </is>
      </c>
      <c r="Y46" s="1185">
        <f>ROW()-45</f>
        <v/>
      </c>
      <c r="Z46" s="1298">
        <f>IF(_epmOfflineCondition_,34684648.3,EPMRetrieveData(,$V46,Z$41,Z$42,Z$43,Z$45,$D$22,$D$21,$E$24,$D$25,$D$26,$D$27,$D$28,$D$29))</f>
        <v/>
      </c>
      <c r="AA46" s="1298">
        <f>IF(_epmOfflineCondition_,94272738.5,EPMRetrieveData(,$V46,AA$41,AA$42,AA$43,AA$45,$D$22,$D$21,$E$24,$D$25,$D$26,$D$27,$D$28,$D$29))</f>
        <v/>
      </c>
      <c r="AB46" s="1298">
        <f>IF(_epmOfflineCondition_,23180467.01,EPMRetrieveData(,$V46,AB$41,AB$42,AB$43,AB$45,$D$22,$D$21,$E$24,$D$25,$D$26,$D$27,$D$28,$D$29))</f>
        <v/>
      </c>
      <c r="AC46" s="1192" t="n"/>
      <c r="AD46" s="1192" t="n"/>
      <c r="AE46" s="716" t="n"/>
      <c r="AF46" s="116" t="inlineStr">
        <is>
          <t>操作注意事项：</t>
        </is>
      </c>
      <c r="AG46" s="716" t="n"/>
      <c r="AH46" s="716" t="n"/>
      <c r="AI46" s="716" t="n"/>
      <c r="AJ46" s="716" t="n"/>
      <c r="AK46" s="716" t="n"/>
      <c r="AL46" s="716" t="n"/>
      <c r="AM46" s="716" t="n"/>
      <c r="AN46" s="716" t="n"/>
      <c r="AO46" s="716" t="n"/>
    </row>
    <row r="47" ht="16.15" customFormat="1" customHeight="1" s="716">
      <c r="A47" s="716" t="n"/>
      <c r="B47" s="716" t="n"/>
      <c r="C47" s="716" t="n"/>
      <c r="D47" s="716" t="n"/>
      <c r="E47" s="716" t="n"/>
      <c r="F47" s="716" t="n"/>
      <c r="G47" s="716" t="n"/>
      <c r="H47" s="716" t="n"/>
      <c r="I47" s="716" t="n"/>
      <c r="J47" s="716" t="n"/>
      <c r="K47" s="716" t="n"/>
      <c r="L47" s="1192">
        <f>IF(_epmOfflineCondition_,0,EPMRetrieveData(,,$D$21,$D$22,$D$25,$D$26,$D$27,$D$28,$D$29,$AB$41,$AB$42,$AB$43,"FMOV_OP",$AB$45,Q47))</f>
        <v/>
      </c>
      <c r="M47" s="1192">
        <f>L49+L47+L48-L46</f>
        <v/>
      </c>
      <c r="N47" s="1192">
        <f>IF(_epmOfflineCondition_,0,EPMRetrieveData(,,$D$21,$D$22,$D$25,$D$26,$D$27,$D$28,$D$29,$Z$41,$Z$42,$Z$43,"FMOV_OP",$Z$45,Q47))</f>
        <v/>
      </c>
      <c r="O47" s="1192">
        <f>N49+N47+N48-N46</f>
        <v/>
      </c>
      <c r="P47" s="716">
        <f>IF(_epmOfflineCondition_,0,EPMRetrieveData(,,$D$21,$D$22,$D$25,$D$26,$D$27,$D$28,$D$29,$AA$41,$AA$42,$AA$43,"FMOV_OP",$AA$45,Q47))</f>
        <v/>
      </c>
      <c r="Q47" s="514" t="inlineStr">
        <is>
          <t>A0020202</t>
        </is>
      </c>
      <c r="R47" s="716">
        <f>P49+P47+P48-P46</f>
        <v/>
      </c>
      <c r="S47" s="462">
        <f>IF(_epmOfflineCondition_,"   其中：营业成本",EPMMemberDesc(U47))</f>
        <v/>
      </c>
      <c r="T47" s="716" t="n"/>
      <c r="U47" s="716" t="inlineStr">
        <is>
          <t>A0020201</t>
        </is>
      </c>
      <c r="V47" s="701">
        <f>IF(_epmOfflineCondition_,"A0020201",EPMOlapMemberO(U47,"[C_ACCOUNT].[PARENTH1].[A0020201]","A0020201 -    其中：营业成本","","000"))</f>
        <v/>
      </c>
      <c r="W47" s="462" t="n"/>
      <c r="X47" s="585" t="inlineStr">
        <is>
          <t>2. 营业成本</t>
        </is>
      </c>
      <c r="Y47" s="1185">
        <f>ROW()-45</f>
        <v/>
      </c>
      <c r="Z47" s="1298">
        <f>O47</f>
        <v/>
      </c>
      <c r="AA47" s="1298">
        <f>R47</f>
        <v/>
      </c>
      <c r="AB47" s="1298">
        <f>M47</f>
        <v/>
      </c>
      <c r="AC47" s="1192" t="n"/>
      <c r="AD47" s="1192" t="n"/>
      <c r="AE47" s="716" t="n"/>
      <c r="AF47" s="116" t="inlineStr">
        <is>
          <t>🔺单体：上下文Scope选择G_DUMMY，Entity选择本单体，外币单位切换币种；币种选LC</t>
        </is>
      </c>
      <c r="AG47" s="716" t="n"/>
      <c r="AH47" s="716" t="n"/>
      <c r="AI47" s="716" t="n"/>
      <c r="AJ47" s="716" t="n"/>
      <c r="AK47" s="716" t="n"/>
      <c r="AL47" s="716" t="n"/>
      <c r="AM47" s="716" t="n"/>
      <c r="AN47" s="716" t="n"/>
      <c r="AO47" s="716" t="n"/>
    </row>
    <row r="48" ht="16.15" customFormat="1" customHeight="1" s="716">
      <c r="A48" s="716" t="n"/>
      <c r="B48" s="716" t="n"/>
      <c r="C48" s="716" t="n"/>
      <c r="D48" s="716" t="n"/>
      <c r="E48" s="716" t="n"/>
      <c r="F48" s="716" t="n"/>
      <c r="G48" s="716" t="n"/>
      <c r="H48" s="716" t="n"/>
      <c r="I48" s="716" t="n"/>
      <c r="J48" s="716" t="n"/>
      <c r="K48" s="716" t="n"/>
      <c r="L48" s="1192">
        <f>IF(_epmOfflineCondition_,0,EPMRetrieveData(,,$D$21,$D$22,$D$25,$D$26,$D$27,$D$28,$D$29,$AB$41,$AB$42,$AB$43,"FMOV_OP",$AB$45,Q48))</f>
        <v/>
      </c>
      <c r="M48" s="1192">
        <f>L49</f>
        <v/>
      </c>
      <c r="N48" s="1192">
        <f>IF(_epmOfflineCondition_,0,EPMRetrieveData(,,$D$21,$D$22,$D$25,$D$26,$D$27,$D$28,$D$29,$Z$41,$Z$42,$Z$43,"FMOV_OP",$Z$45,Q48))</f>
        <v/>
      </c>
      <c r="O48" s="1192">
        <f>N49</f>
        <v/>
      </c>
      <c r="P48" s="716">
        <f>IF(_epmOfflineCondition_,0,EPMRetrieveData(,,$D$21,$D$22,$D$25,$D$26,$D$27,$D$28,$D$29,$AA$41,$AA$42,$AA$43,"FMOV_OP",$AA$45,Q48))</f>
        <v/>
      </c>
      <c r="Q48" s="514" t="inlineStr">
        <is>
          <t>A0020203</t>
        </is>
      </c>
      <c r="R48" s="716" t="n"/>
      <c r="S48" s="462">
        <f>IF(_epmOfflineCondition_,"　　    税金及附加",EPMMemberDesc(U48))</f>
        <v/>
      </c>
      <c r="T48" s="716" t="n"/>
      <c r="U48" s="716" t="inlineStr">
        <is>
          <t>A0020204</t>
        </is>
      </c>
      <c r="V48" s="701">
        <f>IF(_epmOfflineCondition_,"A0020204",EPMOlapMemberO(U48,"[C_ACCOUNT].[PARENTH1].[A0020204]","A0020204 - 　　    税金及附加","","000"))</f>
        <v/>
      </c>
      <c r="W48" s="462" t="n"/>
      <c r="X48" s="585" t="inlineStr">
        <is>
          <t>3. 税金及附加</t>
        </is>
      </c>
      <c r="Y48" s="1185">
        <f>ROW()-45</f>
        <v/>
      </c>
      <c r="Z48" s="1298">
        <f>IF(_epmOfflineCondition_,1797689.16,EPMRetrieveData(,$V48,Z$41,Z$42,Z$43,Z$45,$D$22,$D$21,$E$24,$D$25,$D$26,$D$27,$D$28,$D$29))</f>
        <v/>
      </c>
      <c r="AA48" s="1298">
        <f>IF(_epmOfflineCondition_,1815565.59,EPMRetrieveData(,$V48,AA$41,AA$42,AA$43,AA$45,$D$22,$D$21,$E$24,$D$25,$D$26,$D$27,$D$28,$D$29))</f>
        <v/>
      </c>
      <c r="AB48" s="1298">
        <f>IF(_epmOfflineCondition_,6954.13,EPMRetrieveData(,$V48,AB$41,AB$42,AB$43,AB$45,$D$22,$D$21,$E$24,$D$25,$D$26,$D$27,$D$28,$D$29))</f>
        <v/>
      </c>
      <c r="AC48" s="1192" t="n"/>
      <c r="AD48" s="1192" t="n"/>
      <c r="AE48" s="716" t="n"/>
      <c r="AF48" s="116" t="inlineStr">
        <is>
          <t>🔺合并层：上下文Scope选择对应的合并范围Gxxxxxx,币种选CNY</t>
        </is>
      </c>
      <c r="AG48" s="716" t="n"/>
      <c r="AH48" s="716" t="n"/>
      <c r="AI48" s="716" t="n"/>
      <c r="AJ48" s="716" t="n"/>
      <c r="AK48" s="716" t="n"/>
      <c r="AL48" s="716" t="n"/>
      <c r="AM48" s="716" t="n"/>
      <c r="AN48" s="716" t="n"/>
      <c r="AO48" s="716" t="n"/>
    </row>
    <row r="49" ht="16.15" customFormat="1" customHeight="1" s="716">
      <c r="A49" s="716" t="n"/>
      <c r="B49" s="716" t="n"/>
      <c r="C49" s="716" t="n"/>
      <c r="D49" s="716" t="n"/>
      <c r="E49" s="716" t="n"/>
      <c r="F49" s="716" t="n"/>
      <c r="G49" s="716" t="n"/>
      <c r="H49" s="716" t="n"/>
      <c r="I49" s="716" t="n"/>
      <c r="J49" s="716" t="n"/>
      <c r="K49" s="716" t="n"/>
      <c r="L49" s="1192">
        <f>IF(_epmOfflineCondition_,0,EPMRetrieveData(,,$D$21,$D$22,$D$25,$D$26,$D$27,$D$28,$D$29,$AB$41,$AB$42,$AB$43,"FMOV_OP",$AB$45,Q49))</f>
        <v/>
      </c>
      <c r="M49" s="716" t="n"/>
      <c r="N49" s="1192">
        <f>IF(_epmOfflineCondition_,10784449.51,EPMRetrieveData(,,$D$21,$D$22,$D$25,$D$26,$D$27,$D$28,$D$29,$Z$41,$Z$42,$Z$43,"FMOV_OP",$Z$45,Q49))</f>
        <v/>
      </c>
      <c r="O49" s="716" t="n"/>
      <c r="P49" s="716">
        <f>IF(_epmOfflineCondition_,27496863.46,EPMRetrieveData(,,$D$21,$D$22,$D$25,$D$26,$D$27,$D$28,$D$29,$AA$41,$AA$42,$AA$43,"FMOV_OP",$AA$45,Q49))</f>
        <v/>
      </c>
      <c r="Q49" s="716" t="inlineStr">
        <is>
          <t>A0020201</t>
        </is>
      </c>
      <c r="R49" s="716" t="n"/>
      <c r="S49" s="462">
        <f>IF(_epmOfflineCondition_,"           销售费用",EPMMemberDesc(U49))</f>
        <v/>
      </c>
      <c r="T49" s="716" t="n"/>
      <c r="U49" s="716" t="inlineStr">
        <is>
          <t>A0020205</t>
        </is>
      </c>
      <c r="V49" s="701">
        <f>IF(_epmOfflineCondition_,"A0020205",EPMOlapMemberO(U49,"[C_ACCOUNT].[PARENTH1].[A0020205]","A0020205 -            销售费用","","000"))</f>
        <v/>
      </c>
      <c r="W49" s="462" t="n"/>
      <c r="X49" s="585" t="inlineStr">
        <is>
          <t>4. 销售费用</t>
        </is>
      </c>
      <c r="Y49" s="1185">
        <f>ROW()-45</f>
        <v/>
      </c>
      <c r="Z49" s="1298">
        <f>IF(_epmOfflineCondition_,0,EPMRetrieveData(,$V49,Z$41,Z$42,Z$43,Z$45,$D$22,$D$21,$E$24,$D$25,$D$26,$D$27,$D$28,$D$29))</f>
        <v/>
      </c>
      <c r="AA49" s="1298">
        <f>IF(_epmOfflineCondition_,0,EPMRetrieveData(,$V49,AA$41,AA$42,AA$43,AA$45,$D$22,$D$21,$E$24,$D$25,$D$26,$D$27,$D$28,$D$29))</f>
        <v/>
      </c>
      <c r="AB49" s="1298">
        <f>IF(_epmOfflineCondition_,0,EPMRetrieveData(,$V49,AB$41,AB$42,AB$43,AB$45,$D$22,$D$21,$E$24,$D$25,$D$26,$D$27,$D$28,$D$29))</f>
        <v/>
      </c>
      <c r="AC49" s="1192" t="n"/>
      <c r="AD49" s="1192" t="n"/>
      <c r="AE49" s="716" t="n"/>
      <c r="AF49" s="716" t="n"/>
      <c r="AG49" s="716" t="n"/>
      <c r="AH49" s="716" t="n"/>
      <c r="AI49" s="716" t="n"/>
      <c r="AJ49" s="716" t="n"/>
      <c r="AK49" s="716" t="n"/>
      <c r="AL49" s="716" t="n"/>
      <c r="AM49" s="716" t="n"/>
      <c r="AN49" s="716" t="n"/>
      <c r="AO49" s="716" t="n"/>
    </row>
    <row r="50" ht="16.15" customFormat="1" customHeight="1" s="716">
      <c r="A50" s="716" t="n"/>
      <c r="B50" s="716" t="n"/>
      <c r="C50" s="716" t="n"/>
      <c r="D50" s="716" t="n"/>
      <c r="E50" s="716" t="n"/>
      <c r="F50" s="716" t="n"/>
      <c r="G50" s="716" t="n"/>
      <c r="H50" s="716" t="n"/>
      <c r="I50" s="716" t="n"/>
      <c r="J50" s="716" t="n"/>
      <c r="K50" s="716" t="n"/>
      <c r="L50" s="716" t="n"/>
      <c r="M50" s="716" t="n"/>
      <c r="N50" s="716" t="n"/>
      <c r="O50" s="716" t="n"/>
      <c r="P50" s="716" t="n"/>
      <c r="Q50" s="716" t="n"/>
      <c r="R50" s="716" t="n"/>
      <c r="S50" s="462">
        <f>IF(_epmOfflineCondition_,"　　    管理费用",EPMMemberDesc(U50))</f>
        <v/>
      </c>
      <c r="T50" s="716" t="n"/>
      <c r="U50" s="716" t="inlineStr">
        <is>
          <t>A0020206</t>
        </is>
      </c>
      <c r="V50" s="701">
        <f>IF(_epmOfflineCondition_,"A0020206",EPMOlapMemberO(U50,"[C_ACCOUNT].[PARENTH1].[A0020206]","A0020206 - 　　    管理费用","","000"))</f>
        <v/>
      </c>
      <c r="W50" s="462" t="n"/>
      <c r="X50" s="585" t="inlineStr">
        <is>
          <t>5. 管理费用</t>
        </is>
      </c>
      <c r="Y50" s="1185">
        <f>ROW()-45</f>
        <v/>
      </c>
      <c r="Z50" s="1298">
        <f>IF(_epmOfflineCondition_,0,EPMRetrieveData(,$V50,Z$41,Z$42,Z$43,Z$45,$D$22,$D$21,$E$24,$D$25,$D$26,$D$27,$D$28,$D$29))</f>
        <v/>
      </c>
      <c r="AA50" s="1298">
        <f>IF(_epmOfflineCondition_,0,EPMRetrieveData(,$V50,AA$41,AA$42,AA$43,AA$45,$D$22,$D$21,$E$24,$D$25,$D$26,$D$27,$D$28,$D$29))</f>
        <v/>
      </c>
      <c r="AB50" s="1298">
        <f>IF(_epmOfflineCondition_,0,EPMRetrieveData(,$V50,AB$41,AB$42,AB$43,AB$45,$D$22,$D$21,$E$24,$D$25,$D$26,$D$27,$D$28,$D$29))</f>
        <v/>
      </c>
      <c r="AC50" s="1192" t="n"/>
      <c r="AD50" s="1192" t="n"/>
      <c r="AE50" s="716" t="n"/>
      <c r="AF50" s="716" t="n"/>
      <c r="AG50" s="716" t="n"/>
      <c r="AH50" s="716" t="n"/>
      <c r="AI50" s="716" t="n"/>
      <c r="AJ50" s="716" t="n"/>
      <c r="AK50" s="716" t="n"/>
      <c r="AL50" s="716" t="n"/>
      <c r="AM50" s="716" t="n"/>
      <c r="AN50" s="716" t="n"/>
      <c r="AO50" s="716" t="n"/>
    </row>
    <row r="51" ht="16.15" customFormat="1" customHeight="1" s="716">
      <c r="A51" s="716" t="n"/>
      <c r="B51" s="716" t="n"/>
      <c r="C51" s="716" t="n"/>
      <c r="D51" s="716" t="n"/>
      <c r="E51" s="716" t="n"/>
      <c r="F51" s="716" t="n"/>
      <c r="G51" s="716" t="n"/>
      <c r="H51" s="716" t="n"/>
      <c r="I51" s="716" t="n"/>
      <c r="J51" s="716" t="n"/>
      <c r="K51" s="716" t="n"/>
      <c r="L51" s="716" t="n"/>
      <c r="M51" s="716" t="n"/>
      <c r="N51" s="716" t="n"/>
      <c r="O51" s="716" t="n"/>
      <c r="P51" s="716" t="n"/>
      <c r="Q51" s="716" t="n"/>
      <c r="R51" s="716" t="n"/>
      <c r="S51" s="462">
        <f>IF(_epmOfflineCondition_,"           研发费用",EPMMemberDesc(U51))</f>
        <v/>
      </c>
      <c r="T51" s="716" t="n"/>
      <c r="U51" s="716" t="inlineStr">
        <is>
          <t>A0020207</t>
        </is>
      </c>
      <c r="V51" s="701">
        <f>IF(_epmOfflineCondition_,"A0020207",EPMOlapMemberO(U51,"[C_ACCOUNT].[PARENTH1].[A0020207]","A0020207 -            研发费用","","000"))</f>
        <v/>
      </c>
      <c r="W51" s="462" t="n"/>
      <c r="X51" s="585" t="inlineStr">
        <is>
          <t>6. 研发费用</t>
        </is>
      </c>
      <c r="Y51" s="1185">
        <f>ROW()-45</f>
        <v/>
      </c>
      <c r="Z51" s="1298">
        <f>IF(_epmOfflineCondition_,0,EPMRetrieveData(,$V51,Z$41,Z$42,Z$43,Z$45,$D$22,$D$21,$E$24,$D$25,$D$26,$D$27,$D$28,$D$29))</f>
        <v/>
      </c>
      <c r="AA51" s="1298">
        <f>IF(_epmOfflineCondition_,0,EPMRetrieveData(,$V51,AA$41,AA$42,AA$43,AA$45,$D$22,$D$21,$E$24,$D$25,$D$26,$D$27,$D$28,$D$29))</f>
        <v/>
      </c>
      <c r="AB51" s="1298">
        <f>IF(_epmOfflineCondition_,0,EPMRetrieveData(,$V51,AB$41,AB$42,AB$43,AB$45,$D$22,$D$21,$E$24,$D$25,$D$26,$D$27,$D$28,$D$29))</f>
        <v/>
      </c>
      <c r="AC51" s="1192" t="n"/>
      <c r="AD51" s="1192" t="n"/>
      <c r="AE51" s="716" t="n"/>
      <c r="AF51" s="716" t="n"/>
      <c r="AG51" s="716" t="n"/>
      <c r="AH51" s="716" t="n"/>
      <c r="AI51" s="716" t="n"/>
      <c r="AJ51" s="716" t="n"/>
      <c r="AK51" s="716" t="n"/>
      <c r="AL51" s="716" t="n"/>
      <c r="AM51" s="716" t="n"/>
      <c r="AN51" s="716" t="n"/>
      <c r="AO51" s="716" t="n"/>
    </row>
    <row r="52" ht="16.15" customFormat="1" customHeight="1" s="716">
      <c r="A52" s="716" t="n"/>
      <c r="B52" s="716" t="n"/>
      <c r="C52" s="716" t="n"/>
      <c r="D52" s="716" t="n"/>
      <c r="E52" s="716" t="n"/>
      <c r="F52" s="716" t="n"/>
      <c r="G52" s="716" t="n"/>
      <c r="H52" s="716" t="n"/>
      <c r="I52" s="716" t="n"/>
      <c r="J52" s="716" t="n"/>
      <c r="K52" s="716" t="n"/>
      <c r="L52" s="716" t="n"/>
      <c r="M52" s="716" t="n"/>
      <c r="N52" s="716" t="n"/>
      <c r="O52" s="716" t="n"/>
      <c r="P52" s="716" t="n"/>
      <c r="Q52" s="716" t="n"/>
      <c r="R52" s="716" t="n"/>
      <c r="S52" s="462">
        <f>IF(_epmOfflineCondition_,"　　    财务费用",EPMMemberDesc(U52))</f>
        <v/>
      </c>
      <c r="T52" s="716" t="n"/>
      <c r="U52" s="716" t="inlineStr">
        <is>
          <t>A0020208</t>
        </is>
      </c>
      <c r="V52" s="701">
        <f>IF(_epmOfflineCondition_,"A0020208",EPMOlapMemberO(U52,"[C_ACCOUNT].[PARENTH1].[A0020208]","A0020208 - 　　    财务费用","","000"))</f>
        <v/>
      </c>
      <c r="W52" s="462" t="n"/>
      <c r="X52" s="585" t="inlineStr">
        <is>
          <t>7. 财务费用</t>
        </is>
      </c>
      <c r="Y52" s="1185">
        <f>ROW()-45</f>
        <v/>
      </c>
      <c r="Z52" s="1298">
        <f>IF(_epmOfflineCondition_,2263016.19,EPMRetrieveData(,$V52,Z$41,Z$42,Z$43,Z$45,$D$22,$D$21,$E$24,$D$25,$D$26,$D$27,$D$28,$D$29))</f>
        <v/>
      </c>
      <c r="AA52" s="1298">
        <f>IF(_epmOfflineCondition_,6988516.48,EPMRetrieveData(,$V52,AA$41,AA$42,AA$43,AA$45,$D$22,$D$21,$E$24,$D$25,$D$26,$D$27,$D$28,$D$29))</f>
        <v/>
      </c>
      <c r="AB52" s="1298">
        <f>IF(_epmOfflineCondition_,0,EPMRetrieveData(,$V52,AB$41,AB$42,AB$43,AB$45,$D$22,$D$21,$E$24,$D$25,$D$26,$D$27,$D$28,$D$29))</f>
        <v/>
      </c>
      <c r="AC52" s="1192" t="n"/>
      <c r="AD52" s="1192" t="n"/>
      <c r="AE52" s="716" t="n"/>
      <c r="AF52" s="716" t="n"/>
      <c r="AG52" s="716" t="n"/>
      <c r="AH52" s="716" t="n"/>
      <c r="AI52" s="716" t="n"/>
      <c r="AJ52" s="716" t="n"/>
      <c r="AK52" s="716" t="n"/>
      <c r="AL52" s="716" t="n"/>
      <c r="AM52" s="716" t="n"/>
      <c r="AN52" s="716" t="n"/>
      <c r="AO52" s="716" t="n"/>
    </row>
    <row r="53" ht="16.15" customFormat="1" customHeight="1" s="716">
      <c r="A53" s="716" t="n"/>
      <c r="B53" s="716" t="n"/>
      <c r="C53" s="716" t="n"/>
      <c r="D53" s="716" t="n"/>
      <c r="E53" s="716" t="n"/>
      <c r="F53" s="716" t="n"/>
      <c r="G53" s="716" t="n"/>
      <c r="H53" s="716" t="n"/>
      <c r="I53" s="716" t="n"/>
      <c r="J53" s="716" t="n"/>
      <c r="K53" s="716" t="n"/>
      <c r="L53" s="716" t="n"/>
      <c r="M53" s="716" t="n"/>
      <c r="N53" s="716" t="n"/>
      <c r="O53" s="716" t="n"/>
      <c r="P53" s="716" t="n"/>
      <c r="Q53" s="716" t="n"/>
      <c r="R53" s="716" t="n"/>
      <c r="S53" s="462">
        <f>IF(_epmOfflineCondition_,"财务费用-利息费用",EPMMemberDesc(U53))</f>
        <v/>
      </c>
      <c r="T53" s="716" t="n"/>
      <c r="U53" s="716" t="inlineStr">
        <is>
          <t>A660302</t>
        </is>
      </c>
      <c r="V53" s="703">
        <f>IF(_epmOfflineCondition_,"A660302",EPMOlapMemberO(U53,"[C_ACCOUNT].[PARENTH1].[A660302]","A660302 - 财务费用-利息费用","","000"))</f>
        <v/>
      </c>
      <c r="W53" s="462" t="n"/>
      <c r="X53" s="588" t="inlineStr">
        <is>
          <t xml:space="preserve">    其中：利息费用</t>
        </is>
      </c>
      <c r="Y53" s="1185">
        <f>ROW()-45</f>
        <v/>
      </c>
      <c r="Z53" s="1298">
        <f>IF(_epmOfflineCondition_,2290986.12,EPMRetrieveData(,$V53,Z$41,Z$42,Z$43,Z$45,$D$22,$D$21,$E$24,$D$25,$D$26,$D$27,$D$28,$D$29))</f>
        <v/>
      </c>
      <c r="AA53" s="1298">
        <f>IF(_epmOfflineCondition_,7012916.67,EPMRetrieveData(,$V53,AA$41,AA$42,AA$43,AA$45,$D$22,$D$21,$E$24,$D$25,$D$26,$D$27,$D$28,$D$29))</f>
        <v/>
      </c>
      <c r="AB53" s="1298">
        <f>IF(_epmOfflineCondition_,0,EPMRetrieveData(,$V53,AB$41,AB$42,AB$43,AB$45,$D$22,$D$21,$E$24,$D$25,$D$26,$D$27,$D$28,$D$29))</f>
        <v/>
      </c>
      <c r="AC53" s="1192" t="n"/>
      <c r="AD53" s="1192" t="n"/>
      <c r="AE53" s="716" t="n"/>
      <c r="AF53" s="716" t="n"/>
      <c r="AG53" s="716" t="n"/>
      <c r="AH53" s="716" t="n"/>
      <c r="AI53" s="716" t="n"/>
      <c r="AJ53" s="716" t="n"/>
      <c r="AK53" s="716" t="n"/>
      <c r="AL53" s="716" t="n"/>
      <c r="AM53" s="716" t="n"/>
      <c r="AN53" s="716" t="n"/>
      <c r="AO53" s="716" t="n"/>
    </row>
    <row r="54" ht="16.15" customFormat="1" customHeight="1" s="716">
      <c r="A54" s="716" t="n"/>
      <c r="B54" s="716" t="n"/>
      <c r="C54" s="716" t="n"/>
      <c r="D54" s="716" t="n"/>
      <c r="E54" s="716" t="n"/>
      <c r="F54" s="716" t="n"/>
      <c r="G54" s="716" t="n"/>
      <c r="H54" s="716" t="n"/>
      <c r="I54" s="716" t="n"/>
      <c r="J54" s="716" t="n"/>
      <c r="K54" s="716" t="n"/>
      <c r="L54" s="716" t="n"/>
      <c r="M54" s="716" t="n"/>
      <c r="N54" s="716" t="n"/>
      <c r="O54" s="716" t="n"/>
      <c r="P54" s="716" t="n"/>
      <c r="Q54" s="716" t="n"/>
      <c r="R54" s="716" t="n"/>
      <c r="S54" s="462">
        <f>IF(_epmOfflineCondition_,"财务费用-汇兑损益",EPMMemberDesc(U54))</f>
        <v/>
      </c>
      <c r="T54" s="716" t="n"/>
      <c r="U54" s="716" t="inlineStr">
        <is>
          <t>A6603030000</t>
        </is>
      </c>
      <c r="V54" s="629">
        <f>IF(_epmOfflineCondition_,"A6603030000",EPMOlapMemberO(U54,"[C_ACCOUNT].[PARENTH1].[A6603030000]","A6603030000 - 财务费用-汇兑损益","","000"))</f>
        <v/>
      </c>
      <c r="W54" s="462" t="n"/>
      <c r="X54" s="457" t="inlineStr">
        <is>
          <t xml:space="preserve">            汇兑净损失（净收益以“-”号填列）</t>
        </is>
      </c>
      <c r="Y54" s="1185">
        <f>ROW()-45</f>
        <v/>
      </c>
      <c r="Z54" s="1298">
        <f>IF(_epmOfflineCondition_,0,EPMRetrieveData(,$V54,Z$41,Z$42,Z$43,Z$45,$D$22,$D$21,$E$24,$D$25,$D$26,$D$27,$D$28,$D$29))</f>
        <v/>
      </c>
      <c r="AA54" s="1298">
        <f>IF(_epmOfflineCondition_,0,EPMRetrieveData(,$V54,AA$41,AA$42,AA$43,AA$45,$D$22,$D$21,$E$24,$D$25,$D$26,$D$27,$D$28,$D$29))</f>
        <v/>
      </c>
      <c r="AB54" s="1298">
        <f>IF(_epmOfflineCondition_,0,EPMRetrieveData(,$V54,AB$41,AB$42,AB$43,AB$45,$D$22,$D$21,$E$24,$D$25,$D$26,$D$27,$D$28,$D$29))</f>
        <v/>
      </c>
      <c r="AC54" s="1192" t="n"/>
      <c r="AD54" s="1192" t="n"/>
      <c r="AE54" s="716" t="n"/>
      <c r="AF54" s="716" t="n"/>
      <c r="AG54" s="716" t="n"/>
      <c r="AH54" s="716" t="n"/>
      <c r="AI54" s="716" t="n"/>
      <c r="AJ54" s="716" t="n"/>
      <c r="AK54" s="716" t="n"/>
      <c r="AL54" s="716" t="n"/>
      <c r="AM54" s="716" t="n"/>
      <c r="AN54" s="716" t="n"/>
      <c r="AO54" s="716" t="n"/>
    </row>
    <row r="55" ht="16.15" customFormat="1" customHeight="1" s="716">
      <c r="A55" s="716" t="n"/>
      <c r="B55" s="716" t="n"/>
      <c r="C55" s="716" t="n"/>
      <c r="D55" s="716" t="n"/>
      <c r="E55" s="716" t="n"/>
      <c r="F55" s="716" t="n"/>
      <c r="G55" s="716" t="n"/>
      <c r="H55" s="716" t="n"/>
      <c r="I55" s="716" t="n"/>
      <c r="J55" s="716" t="n"/>
      <c r="K55" s="716" t="n"/>
      <c r="L55" s="716" t="n"/>
      <c r="M55" s="716" t="n"/>
      <c r="N55" s="716" t="n"/>
      <c r="O55" s="716" t="n"/>
      <c r="P55" s="716" t="n"/>
      <c r="Q55" s="716" t="n"/>
      <c r="R55" s="716" t="n"/>
      <c r="S55" s="462">
        <f>IF(_epmOfflineCondition_,"        资产减值损失（损失以“-”号填列）",EPMMemberDesc(U55))</f>
        <v/>
      </c>
      <c r="T55" s="716" t="n"/>
      <c r="U55" s="716" t="inlineStr">
        <is>
          <t>A0020209</t>
        </is>
      </c>
      <c r="V55" s="699">
        <f>IF(_epmOfflineCondition_,"A0020209",EPMOlapMemberO(U55,"[C_ACCOUNT].[PARENTH1].[A0020209]","A0020209 -         资产减值损失（损失以“-""号填列）","","000"))</f>
        <v/>
      </c>
      <c r="W55" s="462" t="n"/>
      <c r="X55" s="585" t="inlineStr">
        <is>
          <t>8. 资产减值损失（损失以“-”号填列）</t>
        </is>
      </c>
      <c r="Y55" s="1185">
        <f>ROW()-45</f>
        <v/>
      </c>
      <c r="Z55" s="1298">
        <f>IF(_epmOfflineCondition_,0,EPMRetrieveData(,$V55,Z$41,Z$42,Z$43,Z$45,$D$22,$D$21,$E$24,$D$25,$D$26,$D$27,$D$28,$D$29))</f>
        <v/>
      </c>
      <c r="AA55" s="1298">
        <f>IF(_epmOfflineCondition_,0,EPMRetrieveData(,$V55,AA$41,AA$42,AA$43,AA$45,$D$22,$D$21,$E$24,$D$25,$D$26,$D$27,$D$28,$D$29))</f>
        <v/>
      </c>
      <c r="AB55" s="1298">
        <f>IF(_epmOfflineCondition_,0,EPMRetrieveData(,$V55,AB$41,AB$42,AB$43,AB$45,$D$22,$D$21,$E$24,$D$25,$D$26,$D$27,$D$28,$D$29))</f>
        <v/>
      </c>
      <c r="AC55" s="1192" t="n"/>
      <c r="AD55" s="1192" t="n"/>
      <c r="AE55" s="716" t="n"/>
      <c r="AF55" s="716" t="n"/>
      <c r="AG55" s="716" t="n"/>
      <c r="AH55" s="716" t="n"/>
      <c r="AI55" s="716" t="n"/>
      <c r="AJ55" s="716" t="n"/>
      <c r="AK55" s="716" t="n"/>
      <c r="AL55" s="716" t="n"/>
      <c r="AM55" s="716" t="n"/>
      <c r="AN55" s="716" t="n"/>
      <c r="AO55" s="716" t="n"/>
    </row>
    <row r="56" ht="16.15" customFormat="1" customHeight="1" s="716">
      <c r="A56" s="716" t="n"/>
      <c r="B56" s="716" t="n"/>
      <c r="C56" s="716" t="n"/>
      <c r="D56" s="716" t="n"/>
      <c r="E56" s="716" t="n"/>
      <c r="F56" s="716" t="n"/>
      <c r="G56" s="716" t="n"/>
      <c r="H56" s="716" t="n"/>
      <c r="I56" s="716" t="n"/>
      <c r="J56" s="716" t="n"/>
      <c r="K56" s="716" t="n"/>
      <c r="L56" s="716" t="n"/>
      <c r="M56" s="716" t="n"/>
      <c r="N56" s="716" t="n"/>
      <c r="O56" s="716" t="n"/>
      <c r="P56" s="716" t="n"/>
      <c r="Q56" s="716" t="n"/>
      <c r="R56" s="716" t="n"/>
      <c r="S56" s="462">
        <f>IF(_epmOfflineCondition_,"        信用减值损失（损失以“-”号填列）",EPMMemberDesc(U56))</f>
        <v/>
      </c>
      <c r="T56" s="716" t="n"/>
      <c r="U56" s="716" t="inlineStr">
        <is>
          <t>A0020210</t>
        </is>
      </c>
      <c r="V56" s="699">
        <f>IF(_epmOfflineCondition_,"A0020210",EPMOlapMemberO(U56,"[C_ACCOUNT].[PARENTH1].[A0020210]","A0020210 -         信用减值损失（损失以“-""号填列）","","000"))</f>
        <v/>
      </c>
      <c r="W56" s="462" t="n"/>
      <c r="X56" s="585" t="inlineStr">
        <is>
          <t>9. 信用减值损失（损失以“-”号填列）</t>
        </is>
      </c>
      <c r="Y56" s="1185">
        <f>ROW()-45</f>
        <v/>
      </c>
      <c r="Z56" s="1298">
        <f>IF(_epmOfflineCondition_,0,EPMRetrieveData(,$V56,Z$41,Z$42,Z$43,Z$45,$D$22,$D$21,$E$24,$D$25,$D$26,$D$27,$D$28,$D$29))</f>
        <v/>
      </c>
      <c r="AA56" s="1298">
        <f>IF(_epmOfflineCondition_,0,EPMRetrieveData(,$V56,AA$41,AA$42,AA$43,AA$45,$D$22,$D$21,$E$24,$D$25,$D$26,$D$27,$D$28,$D$29))</f>
        <v/>
      </c>
      <c r="AB56" s="1298">
        <f>IF(_epmOfflineCondition_,0,EPMRetrieveData(,$V56,AB$41,AB$42,AB$43,AB$45,$D$22,$D$21,$E$24,$D$25,$D$26,$D$27,$D$28,$D$29))</f>
        <v/>
      </c>
      <c r="AC56" s="1192" t="n"/>
      <c r="AD56" s="1192" t="n"/>
      <c r="AE56" s="716" t="n"/>
      <c r="AF56" s="716" t="n"/>
      <c r="AG56" s="716" t="n"/>
      <c r="AH56" s="716" t="n"/>
      <c r="AI56" s="716" t="n"/>
      <c r="AJ56" s="716" t="n"/>
      <c r="AK56" s="716" t="n"/>
      <c r="AL56" s="716" t="n"/>
      <c r="AM56" s="716" t="n"/>
      <c r="AN56" s="716" t="n"/>
      <c r="AO56" s="716" t="n"/>
    </row>
    <row r="57" ht="16.15" customFormat="1" customHeight="1" s="716">
      <c r="A57" s="716" t="n"/>
      <c r="B57" s="716" t="n"/>
      <c r="C57" s="716" t="n"/>
      <c r="D57" s="716" t="n"/>
      <c r="E57" s="716" t="n"/>
      <c r="F57" s="716" t="n"/>
      <c r="G57" s="716" t="n"/>
      <c r="H57" s="716" t="n"/>
      <c r="I57" s="716" t="n"/>
      <c r="J57" s="716" t="n"/>
      <c r="K57" s="716" t="n"/>
      <c r="L57" s="716" t="n"/>
      <c r="M57" s="716" t="n"/>
      <c r="N57" s="716" t="n"/>
      <c r="O57" s="716" t="n"/>
      <c r="P57" s="716" t="n"/>
      <c r="Q57" s="716" t="n"/>
      <c r="R57" s="716" t="n"/>
      <c r="S57" s="462">
        <f>IF(_epmOfflineCondition_,"    加：其他收益",EPMMemberDesc(U57))</f>
        <v/>
      </c>
      <c r="T57" s="716" t="n"/>
      <c r="U57" s="716" t="inlineStr">
        <is>
          <t>A0020211</t>
        </is>
      </c>
      <c r="V57" s="699">
        <f>IF(_epmOfflineCondition_,"A0020211",EPMOlapMemberO(U57,"[C_ACCOUNT].[PARENTH1].[A0020211]","A0020211 -     加：其他收益","","000"))</f>
        <v/>
      </c>
      <c r="W57" s="462" t="n"/>
      <c r="X57" s="585" t="inlineStr">
        <is>
          <t>10. 其他收益</t>
        </is>
      </c>
      <c r="Y57" s="1185">
        <f>ROW()-45</f>
        <v/>
      </c>
      <c r="Z57" s="1298">
        <f>IF(_epmOfflineCondition_,0,EPMRetrieveData(,$V57,Z$41,Z$42,Z$43,Z$45,$D$22,$D$21,$E$24,$D$25,$D$26,$D$27,$D$28,$D$29))</f>
        <v/>
      </c>
      <c r="AA57" s="1298">
        <f>IF(_epmOfflineCondition_,0,EPMRetrieveData(,$V57,AA$41,AA$42,AA$43,AA$45,$D$22,$D$21,$E$24,$D$25,$D$26,$D$27,$D$28,$D$29))</f>
        <v/>
      </c>
      <c r="AB57" s="1298">
        <f>IF(_epmOfflineCondition_,0,EPMRetrieveData(,$V57,AB$41,AB$42,AB$43,AB$45,$D$22,$D$21,$E$24,$D$25,$D$26,$D$27,$D$28,$D$29))</f>
        <v/>
      </c>
      <c r="AC57" s="1192" t="n"/>
      <c r="AD57" s="1192" t="n"/>
      <c r="AE57" s="716" t="n"/>
      <c r="AF57" s="716" t="n"/>
      <c r="AG57" s="716" t="n"/>
      <c r="AH57" s="716" t="n"/>
      <c r="AI57" s="716" t="n"/>
      <c r="AJ57" s="716" t="n"/>
      <c r="AK57" s="716" t="n"/>
      <c r="AL57" s="716" t="n"/>
      <c r="AM57" s="716" t="n"/>
      <c r="AN57" s="716" t="n"/>
      <c r="AO57" s="716" t="n"/>
    </row>
    <row r="58" ht="16.15" customFormat="1" customHeight="1" s="716">
      <c r="A58" s="716" t="n"/>
      <c r="B58" s="716" t="n"/>
      <c r="C58" s="716" t="n"/>
      <c r="D58" s="716" t="n"/>
      <c r="E58" s="716" t="n"/>
      <c r="F58" s="716" t="n"/>
      <c r="G58" s="716" t="n"/>
      <c r="H58" s="716" t="n"/>
      <c r="I58" s="716" t="n"/>
      <c r="J58" s="716" t="n"/>
      <c r="K58" s="716" t="n"/>
      <c r="L58" s="716" t="n"/>
      <c r="M58" s="716" t="n"/>
      <c r="N58" s="716" t="n"/>
      <c r="O58" s="716" t="n"/>
      <c r="P58" s="716" t="n"/>
      <c r="Q58" s="716" t="n"/>
      <c r="R58" s="716" t="n"/>
      <c r="S58" s="462">
        <f>IF(_epmOfflineCondition_,"　      投资收益（损失以“-”号填列）",EPMMemberDesc(U58))</f>
        <v/>
      </c>
      <c r="T58" s="716" t="n"/>
      <c r="U58" s="716" t="inlineStr">
        <is>
          <t>A0020212</t>
        </is>
      </c>
      <c r="V58" s="699">
        <f>IF(_epmOfflineCondition_,"A0020212",EPMOlapMemberO(U58,"[C_ACCOUNT].[PARENTH1].[A0020212]","A0020212 - 　      投资收益（损失以“-""号填列）","","000"))</f>
        <v/>
      </c>
      <c r="W58" s="462" t="n"/>
      <c r="X58" s="585" t="inlineStr">
        <is>
          <t>11. 投资收益（损失以“-”号填列）</t>
        </is>
      </c>
      <c r="Y58" s="1185">
        <f>ROW()-45</f>
        <v/>
      </c>
      <c r="Z58" s="1298">
        <f>IF(_epmOfflineCondition_,0,EPMRetrieveData(,$V58,Z$41,Z$42,Z$43,Z$45,$D$22,$D$21,$E$24,$D$25,$D$26,$D$27,$D$28,$D$29))</f>
        <v/>
      </c>
      <c r="AA58" s="1298">
        <f>IF(_epmOfflineCondition_,0,EPMRetrieveData(,$V58,AA$41,AA$42,AA$43,AA$45,$D$22,$D$21,$E$24,$D$25,$D$26,$D$27,$D$28,$D$29))</f>
        <v/>
      </c>
      <c r="AB58" s="1298">
        <f>IF(_epmOfflineCondition_,0,EPMRetrieveData(,$V58,AB$41,AB$42,AB$43,AB$45,$D$22,$D$21,$E$24,$D$25,$D$26,$D$27,$D$28,$D$29))</f>
        <v/>
      </c>
      <c r="AC58" s="1192" t="n"/>
      <c r="AD58" s="1192" t="n"/>
      <c r="AE58" s="716" t="n"/>
      <c r="AF58" s="716" t="n"/>
      <c r="AG58" s="716" t="n"/>
      <c r="AH58" s="716" t="n"/>
      <c r="AI58" s="716" t="n"/>
      <c r="AJ58" s="716" t="n"/>
      <c r="AK58" s="716" t="n"/>
      <c r="AL58" s="716" t="n"/>
      <c r="AM58" s="716" t="n"/>
      <c r="AN58" s="716" t="n"/>
      <c r="AO58" s="716" t="n"/>
    </row>
    <row r="59" ht="16.15" customFormat="1" customHeight="1" s="716">
      <c r="A59" s="716" t="n"/>
      <c r="B59" s="716" t="n"/>
      <c r="C59" s="716" t="n"/>
      <c r="D59" s="716" t="n"/>
      <c r="E59" s="716" t="n"/>
      <c r="F59" s="716" t="n"/>
      <c r="G59" s="716" t="n"/>
      <c r="H59" s="716" t="n"/>
      <c r="I59" s="716" t="n"/>
      <c r="J59" s="716" t="n"/>
      <c r="K59" s="716" t="n"/>
      <c r="L59" s="716" t="n"/>
      <c r="M59" s="716" t="n"/>
      <c r="N59" s="716" t="n"/>
      <c r="O59" s="716" t="n"/>
      <c r="P59" s="716" t="n"/>
      <c r="Q59" s="716" t="n"/>
      <c r="R59" s="716" t="n"/>
      <c r="S59" s="462">
        <f>IF(_epmOfflineCondition_,"          其中：对联营企业和合营企业的投资收益",EPMMemberDesc(U59))</f>
        <v/>
      </c>
      <c r="T59" s="716" t="n"/>
      <c r="U59" s="716" t="inlineStr">
        <is>
          <t>A002021201</t>
        </is>
      </c>
      <c r="V59" s="703">
        <f>IF(_epmOfflineCondition_,"A002021201",EPMOlapMemberO(U59,"[C_ACCOUNT].[PARENTH1].[A002021201]","A002021201 -           其中：对联营企业和合营企业的投资收益","","000"))</f>
        <v/>
      </c>
      <c r="W59" s="462" t="n"/>
      <c r="X59" s="614" t="inlineStr">
        <is>
          <t>其中：对联营企业和合营企业的投资收益</t>
        </is>
      </c>
      <c r="Y59" s="1185">
        <f>ROW()-45</f>
        <v/>
      </c>
      <c r="Z59" s="1298">
        <f>IF(_epmOfflineCondition_,0,EPMRetrieveData(,$V59,Z$41,Z$42,Z$43,Z$45,$D$22,$D$21,$E$24,$D$25,$D$26,$D$27,$D$28,$D$29))</f>
        <v/>
      </c>
      <c r="AA59" s="1298">
        <f>IF(_epmOfflineCondition_,0,EPMRetrieveData(,$V59,AA$41,AA$42,AA$43,AA$45,$D$22,$D$21,$E$24,$D$25,$D$26,$D$27,$D$28,$D$29))</f>
        <v/>
      </c>
      <c r="AB59" s="1298">
        <f>IF(_epmOfflineCondition_,0,EPMRetrieveData(,$V59,AB$41,AB$42,AB$43,AB$45,$D$22,$D$21,$E$24,$D$25,$D$26,$D$27,$D$28,$D$29))</f>
        <v/>
      </c>
      <c r="AC59" s="1192" t="n"/>
      <c r="AD59" s="1192" t="n"/>
      <c r="AE59" s="716" t="n"/>
      <c r="AF59" s="716" t="n"/>
      <c r="AG59" s="716" t="n"/>
      <c r="AH59" s="716" t="n"/>
      <c r="AI59" s="716" t="n"/>
      <c r="AJ59" s="716" t="n"/>
      <c r="AK59" s="716" t="n"/>
      <c r="AL59" s="716" t="n"/>
      <c r="AM59" s="716" t="n"/>
      <c r="AN59" s="716" t="n"/>
      <c r="AO59" s="716" t="n"/>
    </row>
    <row r="60" ht="16.15" customFormat="1" customHeight="1" s="716">
      <c r="A60" s="716" t="n"/>
      <c r="B60" s="716" t="n"/>
      <c r="C60" s="716" t="n"/>
      <c r="D60" s="716" t="n"/>
      <c r="E60" s="716" t="n"/>
      <c r="F60" s="716" t="n"/>
      <c r="G60" s="716" t="n"/>
      <c r="H60" s="716" t="n"/>
      <c r="I60" s="716" t="n"/>
      <c r="J60" s="716" t="n"/>
      <c r="K60" s="716" t="n"/>
      <c r="L60" s="716" t="n"/>
      <c r="M60" s="716" t="n"/>
      <c r="N60" s="716" t="n"/>
      <c r="O60" s="716" t="n"/>
      <c r="P60" s="716" t="n"/>
      <c r="Q60" s="716" t="n"/>
      <c r="R60" s="716" t="n"/>
      <c r="S60" s="462">
        <f>IF(_epmOfflineCondition_,"        公允价值变动收益（损失以“-”号填列）",EPMMemberDesc(U60))</f>
        <v/>
      </c>
      <c r="T60" s="716" t="n"/>
      <c r="U60" s="716" t="inlineStr">
        <is>
          <t>A0020215</t>
        </is>
      </c>
      <c r="V60" s="699">
        <f>IF(_epmOfflineCondition_,"A0020215",EPMOlapMemberO(U60,"[C_ACCOUNT].[PARENTH1].[A0020215]","A0020215 -         公允价值变动收益（损失以“-""号填列）","","000"))</f>
        <v/>
      </c>
      <c r="W60" s="462" t="n"/>
      <c r="X60" s="585" t="inlineStr">
        <is>
          <t>12. 公允价值变动收益（损失以“-”号填列）</t>
        </is>
      </c>
      <c r="Y60" s="1185">
        <f>ROW()-45</f>
        <v/>
      </c>
      <c r="Z60" s="1298">
        <f>IF(_epmOfflineCondition_,0,EPMRetrieveData(,$V60,Z$41,Z$42,Z$43,Z$45,$D$22,$D$21,$E$24,$D$25,$D$26,$D$27,$D$28,$D$29))</f>
        <v/>
      </c>
      <c r="AA60" s="1298">
        <f>IF(_epmOfflineCondition_,0,EPMRetrieveData(,$V60,AA$41,AA$42,AA$43,AA$45,$D$22,$D$21,$E$24,$D$25,$D$26,$D$27,$D$28,$D$29))</f>
        <v/>
      </c>
      <c r="AB60" s="1298">
        <f>IF(_epmOfflineCondition_,0,EPMRetrieveData(,$V60,AB$41,AB$42,AB$43,AB$45,$D$22,$D$21,$E$24,$D$25,$D$26,$D$27,$D$28,$D$29))</f>
        <v/>
      </c>
      <c r="AC60" s="1192" t="n"/>
      <c r="AD60" s="1192" t="n"/>
      <c r="AE60" s="716" t="n"/>
      <c r="AF60" s="716" t="n"/>
      <c r="AG60" s="716" t="n"/>
      <c r="AH60" s="716" t="n"/>
      <c r="AI60" s="716" t="n"/>
      <c r="AJ60" s="716" t="n"/>
      <c r="AK60" s="716" t="n"/>
      <c r="AL60" s="716" t="n"/>
      <c r="AM60" s="716" t="n"/>
      <c r="AN60" s="716" t="n"/>
      <c r="AO60" s="716" t="n"/>
    </row>
    <row r="61" ht="16.15" customFormat="1" customHeight="1" s="716">
      <c r="A61" s="716" t="n"/>
      <c r="B61" s="716" t="n"/>
      <c r="C61" s="716" t="n"/>
      <c r="D61" s="716" t="n"/>
      <c r="E61" s="716" t="n"/>
      <c r="F61" s="716" t="n"/>
      <c r="G61" s="716" t="n"/>
      <c r="H61" s="716" t="n"/>
      <c r="I61" s="716" t="n"/>
      <c r="J61" s="716" t="n"/>
      <c r="K61" s="716" t="n"/>
      <c r="L61" s="716" t="n"/>
      <c r="M61" s="716" t="n"/>
      <c r="N61" s="716" t="n"/>
      <c r="O61" s="716" t="n"/>
      <c r="P61" s="716" t="n"/>
      <c r="Q61" s="716" t="n"/>
      <c r="R61" s="716" t="n"/>
      <c r="S61" s="462">
        <f>IF(_epmOfflineCondition_,"        资产处置收益（损失以“-”号填列）",EPMMemberDesc(U61))</f>
        <v/>
      </c>
      <c r="T61" s="716" t="n"/>
      <c r="U61" s="716" t="inlineStr">
        <is>
          <t>A0020216</t>
        </is>
      </c>
      <c r="V61" s="699">
        <f>IF(_epmOfflineCondition_,"A0020216",EPMOlapMemberO(U61,"[C_ACCOUNT].[PARENTH1].[A0020216]","A0020216 -         资产处置收益（损失以“-""号填列）","","000"))</f>
        <v/>
      </c>
      <c r="W61" s="462" t="n"/>
      <c r="X61" s="585" t="inlineStr">
        <is>
          <t>13. 资产处置收益（损失以“-”号填列）</t>
        </is>
      </c>
      <c r="Y61" s="1185">
        <f>ROW()-45</f>
        <v/>
      </c>
      <c r="Z61" s="1298">
        <f>IF(_epmOfflineCondition_,0,EPMRetrieveData(,$V61,Z$41,Z$42,Z$43,Z$45,$D$22,$D$21,$E$24,$D$25,$D$26,$D$27,$D$28,$D$29))</f>
        <v/>
      </c>
      <c r="AA61" s="1298">
        <f>IF(_epmOfflineCondition_,0,EPMRetrieveData(,$V61,AA$41,AA$42,AA$43,AA$45,$D$22,$D$21,$E$24,$D$25,$D$26,$D$27,$D$28,$D$29))</f>
        <v/>
      </c>
      <c r="AB61" s="1298">
        <f>IF(_epmOfflineCondition_,0,EPMRetrieveData(,$V61,AB$41,AB$42,AB$43,AB$45,$D$22,$D$21,$E$24,$D$25,$D$26,$D$27,$D$28,$D$29))</f>
        <v/>
      </c>
      <c r="AC61" s="1192" t="n"/>
      <c r="AD61" s="1192" t="n"/>
      <c r="AE61" s="716" t="n"/>
      <c r="AF61" s="716" t="n"/>
      <c r="AG61" s="716" t="n"/>
      <c r="AH61" s="716" t="n"/>
      <c r="AI61" s="716" t="n"/>
      <c r="AJ61" s="716" t="n"/>
      <c r="AK61" s="716" t="n"/>
      <c r="AL61" s="716" t="n"/>
      <c r="AM61" s="716" t="n"/>
      <c r="AN61" s="716" t="n"/>
      <c r="AO61" s="716" t="n"/>
    </row>
    <row r="62" ht="16.15" customFormat="1" customHeight="1" s="716">
      <c r="A62" s="716" t="n"/>
      <c r="B62" s="716" t="n"/>
      <c r="C62" s="716" t="n"/>
      <c r="D62" s="716" t="n"/>
      <c r="E62" s="716" t="n"/>
      <c r="F62" s="716" t="n"/>
      <c r="G62" s="716" t="n"/>
      <c r="H62" s="716" t="n"/>
      <c r="I62" s="716" t="n"/>
      <c r="J62" s="716" t="n"/>
      <c r="K62" s="716" t="n"/>
      <c r="L62" s="716" t="n"/>
      <c r="M62" s="716" t="n"/>
      <c r="N62" s="716" t="n"/>
      <c r="O62" s="716" t="n"/>
      <c r="P62" s="716" t="n"/>
      <c r="Q62" s="716" t="n"/>
      <c r="R62" s="462" t="n"/>
      <c r="S62" s="462">
        <f>IF(_epmOfflineCondition_,"三、营业利润（亏损以“-”号填列）",EPMMemberDesc(U62))</f>
        <v/>
      </c>
      <c r="T62" s="716" t="n"/>
      <c r="U62" s="716" t="inlineStr">
        <is>
          <t>A00203</t>
        </is>
      </c>
      <c r="V62" s="1018">
        <f>IF(_epmOfflineCondition_,"A00203",EPMOlapMemberO(U62,"[C_ACCOUNT].[PARENTH1].[A00203]","A00203 - 三、营业利润（亏损以“-""号填列）","","000"))</f>
        <v/>
      </c>
      <c r="W62" s="462" t="n"/>
      <c r="X62" s="585" t="inlineStr">
        <is>
          <t>14. 营业利润（亏损以“－”号填列）</t>
        </is>
      </c>
      <c r="Y62" s="1185">
        <f>ROW()-45</f>
        <v/>
      </c>
      <c r="Z62" s="1298">
        <f>IF(_epmOfflineCondition_,19839493.44,EPMRetrieveData(,$V62,Z$41,Z$42,Z$43,Z$45,$D$22,$D$21,$E$24,$D$25,$D$26,$D$27,$D$28,$D$29))</f>
        <v/>
      </c>
      <c r="AA62" s="1298">
        <f>IF(_epmOfflineCondition_,57971792.97,EPMRetrieveData(,$V62,AA$41,AA$42,AA$43,AA$45,$D$22,$D$21,$E$24,$D$25,$D$26,$D$27,$D$28,$D$29))</f>
        <v/>
      </c>
      <c r="AB62" s="1298">
        <f>IF(_epmOfflineCondition_,23173512.88,EPMRetrieveData(,$V62,AB$41,AB$42,AB$43,AB$45,$D$22,$D$21,$E$24,$D$25,$D$26,$D$27,$D$28,$D$29))</f>
        <v/>
      </c>
      <c r="AC62" s="1192" t="n"/>
      <c r="AD62" s="1192" t="n"/>
      <c r="AE62" s="716" t="n"/>
      <c r="AF62" s="716" t="n"/>
      <c r="AG62" s="716" t="n"/>
      <c r="AH62" s="716" t="n"/>
      <c r="AI62" s="716" t="n"/>
      <c r="AJ62" s="716" t="n"/>
      <c r="AK62" s="716" t="n"/>
      <c r="AL62" s="716" t="n"/>
      <c r="AM62" s="716" t="n"/>
      <c r="AN62" s="716" t="n"/>
      <c r="AO62" s="716" t="n"/>
    </row>
    <row r="63" ht="16.15" customFormat="1" customHeight="1" s="716">
      <c r="A63" s="716" t="n"/>
      <c r="B63" s="716" t="n"/>
      <c r="C63" s="716" t="n"/>
      <c r="D63" s="716" t="n"/>
      <c r="E63" s="716" t="n"/>
      <c r="F63" s="716" t="n"/>
      <c r="G63" s="716" t="n"/>
      <c r="H63" s="716" t="n"/>
      <c r="I63" s="716" t="n"/>
      <c r="J63" s="716" t="n"/>
      <c r="K63" s="716" t="n"/>
      <c r="L63" s="716" t="n"/>
      <c r="M63" s="716" t="n"/>
      <c r="N63" s="716" t="n"/>
      <c r="O63" s="716" t="n"/>
      <c r="P63" s="716" t="n"/>
      <c r="Q63" s="716" t="n"/>
      <c r="R63" s="716" t="inlineStr">
        <is>
          <t>A0020301</t>
        </is>
      </c>
      <c r="S63" s="462">
        <f>IF(_epmOfflineCondition_,"15.营业外收支净额",EPMMemberDesc(U63))</f>
        <v/>
      </c>
      <c r="T63" s="716" t="n"/>
      <c r="U63" s="35" t="inlineStr">
        <is>
          <t>A07812</t>
        </is>
      </c>
      <c r="V63" s="535">
        <f>IF(_epmOfflineCondition_,"A07812",EPMOlapMemberO(U63,"[C_ACCOUNT].[PARENTH1].[A07812]","A07812 - 15.营业外收支净额","","000"))</f>
        <v/>
      </c>
      <c r="W63" s="462" t="n"/>
      <c r="X63" s="585" t="inlineStr">
        <is>
          <t>15. 营业外收支净额</t>
        </is>
      </c>
      <c r="Y63" s="1185">
        <f>ROW()-45</f>
        <v/>
      </c>
      <c r="Z63" s="1298">
        <f>IF(_epmOfflineCondition_,0,EPMRetrieveData("",$D$21,$D$22,$D$25,$D$26,$D$27,$D$28,$D$29,$Z$41,$Z$42,$Z$43,"FMOV_OP",$Z$45,R63)-EPMRetrieveData("",$D$21,$D$22,$D$25,$D$26,$D$27,$D$28,$D$29,$Z$41,$Z$42,$Z$43,"FMOV_OP",$Z$45,R64))</f>
        <v/>
      </c>
      <c r="AA63" s="1298">
        <f>IF(_epmOfflineCondition_,0,EPMRetrieveData("",$D$21,$D$22,$D$25,$D$26,$D$27,$D$28,$D$29,$AA$41,$AA$42,$AA$43,"FMOV_OP",$AA$45,R63)-EPMRetrieveData("",$D$21,$D$22,$D$25,$D$26,$D$27,$D$28,$D$29,"FMOV_OP",$AA$42,$AA$43,$AA$44,$AA$45,R64))</f>
        <v/>
      </c>
      <c r="AB63" s="1298">
        <f>IF(_epmOfflineCondition_,0,EPMRetrieveData("",$D$21,$D$22,$D$25,$D$26,$D$27,$D$28,$D$29,$AB$41,$AB$42,$AB$43,"FMOV_OP",$AB$45,R63)-EPMRetrieveData("",$D$21,$D$22,$D$25,$D$26,$D$27,$D$28,$D$29,$AB$41,$AB$42,$AB$43,"FMOV_OP",$AB$45,R64))</f>
        <v/>
      </c>
      <c r="AC63" s="1192" t="n"/>
      <c r="AD63" s="1192" t="n"/>
      <c r="AE63" s="716" t="n"/>
      <c r="AF63" s="716" t="n"/>
      <c r="AG63" s="716" t="n"/>
      <c r="AH63" s="716" t="n"/>
      <c r="AI63" s="716" t="n"/>
      <c r="AJ63" s="716" t="n"/>
      <c r="AK63" s="716" t="n"/>
      <c r="AL63" s="716" t="n"/>
      <c r="AM63" s="716" t="n"/>
      <c r="AN63" s="716" t="n"/>
      <c r="AO63" s="716" t="n"/>
    </row>
    <row r="64" ht="16.15" customFormat="1" customHeight="1" s="716">
      <c r="A64" s="716" t="n"/>
      <c r="B64" s="716" t="n"/>
      <c r="C64" s="716" t="n"/>
      <c r="D64" s="716" t="n"/>
      <c r="E64" s="716" t="n"/>
      <c r="F64" s="716" t="n"/>
      <c r="G64" s="716" t="n"/>
      <c r="H64" s="716" t="n"/>
      <c r="I64" s="716" t="n"/>
      <c r="J64" s="716" t="n"/>
      <c r="K64" s="716" t="n"/>
      <c r="L64" s="716" t="n"/>
      <c r="M64" s="716" t="n"/>
      <c r="N64" s="716" t="n"/>
      <c r="O64" s="716" t="n"/>
      <c r="P64" s="716" t="n"/>
      <c r="Q64" s="716" t="n"/>
      <c r="R64" s="716" t="inlineStr">
        <is>
          <t>A0020302</t>
        </is>
      </c>
      <c r="S64" s="462">
        <f>IF(_epmOfflineCondition_,"营业外收入-政府补助",EPMMemberDesc(U64))</f>
        <v/>
      </c>
      <c r="T64" s="716" t="n"/>
      <c r="U64" s="716" t="inlineStr">
        <is>
          <t>A6301040000</t>
        </is>
      </c>
      <c r="V64" s="699">
        <f>IF(_epmOfflineCondition_,"A6301040000",EPMOlapMemberO(U64,"[C_ACCOUNT].[PARENTH1].[A6301040000]","A6301040000 - 营业外收入-政府补助","","000"))</f>
        <v/>
      </c>
      <c r="W64" s="462" t="n"/>
      <c r="X64" s="457" t="inlineStr">
        <is>
          <t xml:space="preserve">   其中：政府补助</t>
        </is>
      </c>
      <c r="Y64" s="1185">
        <f>ROW()-45</f>
        <v/>
      </c>
      <c r="Z64" s="1298">
        <f>IF(_epmOfflineCondition_,0,EPMRetrieveData(,$V64,Z$41,Z$42,Z$43,Z$45,$D$22,$D$21,$E$24,$D$25,$D$26,$D$27,$D$28,$D$29))</f>
        <v/>
      </c>
      <c r="AA64" s="1298">
        <f>IF(_epmOfflineCondition_,0,EPMRetrieveData(,$V64,AA$41,AA$42,AA$43,AA$45,$D$22,$D$21,$E$24,$D$25,$D$26,$D$27,$D$28,$D$29))</f>
        <v/>
      </c>
      <c r="AB64" s="1298">
        <f>IF(_epmOfflineCondition_,0,EPMRetrieveData(,$V64,AB$41,AB$42,AB$43,AB$45,$D$22,$D$21,$E$24,$D$25,$D$26,$D$27,$D$28,$D$29))</f>
        <v/>
      </c>
      <c r="AC64" s="1192" t="n"/>
      <c r="AD64" s="1192" t="n"/>
      <c r="AE64" s="716" t="n"/>
      <c r="AF64" s="716" t="n"/>
      <c r="AG64" s="716" t="n"/>
      <c r="AH64" s="716" t="n"/>
      <c r="AI64" s="716" t="n"/>
      <c r="AJ64" s="716" t="n"/>
      <c r="AK64" s="716" t="n"/>
      <c r="AL64" s="716" t="n"/>
      <c r="AM64" s="716" t="n"/>
      <c r="AN64" s="716" t="n"/>
      <c r="AO64" s="716" t="n"/>
    </row>
    <row r="65" ht="16.15" customFormat="1" customHeight="1" s="716">
      <c r="A65" s="716" t="n"/>
      <c r="B65" s="716" t="n"/>
      <c r="C65" s="716" t="n"/>
      <c r="D65" s="716" t="n"/>
      <c r="E65" s="716" t="n"/>
      <c r="F65" s="716" t="n"/>
      <c r="G65" s="716" t="n"/>
      <c r="H65" s="716" t="n"/>
      <c r="I65" s="716" t="n"/>
      <c r="J65" s="716" t="n"/>
      <c r="K65" s="716" t="n"/>
      <c r="L65" s="716" t="n"/>
      <c r="M65" s="716" t="n"/>
      <c r="N65" s="716" t="n"/>
      <c r="O65" s="716" t="n"/>
      <c r="P65" s="716" t="n"/>
      <c r="Q65" s="716" t="n"/>
      <c r="R65" s="716" t="n"/>
      <c r="S65" s="462">
        <f>IF(_epmOfflineCondition_,"四、利润总额（亏损总额以“-”号填列）",EPMMemberDesc(U65))</f>
        <v/>
      </c>
      <c r="T65" s="716" t="n"/>
      <c r="U65" s="716" t="inlineStr">
        <is>
          <t>A00204</t>
        </is>
      </c>
      <c r="V65" s="637">
        <f>IF(_epmOfflineCondition_,"A00204",EPMOlapMemberO(U65,"[C_ACCOUNT].[PARENTH1].[A00204]","A00204 - 四、利润总额（亏损总额以“-""号填列）","","000"))</f>
        <v/>
      </c>
      <c r="W65" s="462" t="n"/>
      <c r="X65" s="585" t="inlineStr">
        <is>
          <t>16. 利润总额（亏损以“－”号填列）</t>
        </is>
      </c>
      <c r="Y65" s="1185">
        <f>ROW()-45</f>
        <v/>
      </c>
      <c r="Z65" s="1298">
        <f>IF(_epmOfflineCondition_,19839493.44,EPMRetrieveData(,$V65,Z$41,Z$42,Z$43,Z$45,$D$22,$D$21,$E$24,$D$25,$D$26,$D$27,$D$28,$D$29))</f>
        <v/>
      </c>
      <c r="AA65" s="1298">
        <f>IF(_epmOfflineCondition_,57971792.97,EPMRetrieveData(,$V65,AA$41,AA$42,AA$43,AA$45,$D$22,$D$21,$E$24,$D$25,$D$26,$D$27,$D$28,$D$29))</f>
        <v/>
      </c>
      <c r="AB65" s="1298">
        <f>IF(_epmOfflineCondition_,23173512.88,EPMRetrieveData(,$V65,AB$41,AB$42,AB$43,AB$45,$D$22,$D$21,$E$24,$D$25,$D$26,$D$27,$D$28,$D$29))</f>
        <v/>
      </c>
      <c r="AC65" s="1192" t="n"/>
      <c r="AD65" s="1192" t="n"/>
      <c r="AE65" s="716" t="n"/>
      <c r="AF65" s="1192" t="n"/>
      <c r="AG65" s="716" t="n"/>
      <c r="AH65" s="716" t="n"/>
      <c r="AI65" s="716" t="n"/>
      <c r="AJ65" s="716" t="n"/>
      <c r="AK65" s="716" t="n"/>
      <c r="AL65" s="716" t="n"/>
      <c r="AM65" s="716" t="n"/>
      <c r="AN65" s="716" t="n"/>
      <c r="AO65" s="716" t="n"/>
    </row>
    <row r="66" ht="16.15" customFormat="1" customHeight="1" s="716">
      <c r="A66" s="716" t="n"/>
      <c r="B66" s="716" t="n"/>
      <c r="C66" s="716" t="n"/>
      <c r="D66" s="716" t="n"/>
      <c r="E66" s="716" t="n"/>
      <c r="F66" s="716" t="n"/>
      <c r="G66" s="716" t="n"/>
      <c r="H66" s="716" t="n"/>
      <c r="I66" s="716" t="n"/>
      <c r="J66" s="716" t="n"/>
      <c r="K66" s="716" t="n"/>
      <c r="L66" s="716" t="n"/>
      <c r="M66" s="716" t="n"/>
      <c r="N66" s="716" t="n"/>
      <c r="O66" s="716" t="n"/>
      <c r="P66" s="716" t="n"/>
      <c r="Q66" s="716" t="n"/>
      <c r="R66" s="716" t="n"/>
      <c r="S66" s="462">
        <f>IF(_epmOfflineCondition_,"五、净利润（净亏损以“-”号填列）",EPMMemberDesc(U66))</f>
        <v/>
      </c>
      <c r="T66" s="716" t="n"/>
      <c r="U66" s="716" t="inlineStr">
        <is>
          <t>A00205</t>
        </is>
      </c>
      <c r="V66" s="635">
        <f>IF(_epmOfflineCondition_,"A00205",EPMOlapMemberO(U66,"[C_ACCOUNT].[PARENTH1].[A00205]","A00205 - 五、净利润（净亏损以“-""号填列）","","000"))</f>
        <v/>
      </c>
      <c r="W66" s="462" t="n"/>
      <c r="X66" s="585" t="inlineStr">
        <is>
          <t>17. 净利润（亏损以“－”号填列）</t>
        </is>
      </c>
      <c r="Y66" s="1185">
        <f>ROW()-45</f>
        <v/>
      </c>
      <c r="Z66" s="1298">
        <f>IF(_epmOfflineCondition_,19839493.44,EPMRetrieveData(,$V66,Z$41,Z$42,Z$43,Z$45,$D$22,$D$21,$E$24,$D$25,$D$26,$D$27,$D$28,$D$29))</f>
        <v/>
      </c>
      <c r="AA66" s="1298">
        <f>IF(_epmOfflineCondition_,57971792.97,EPMRetrieveData(,$V66,AA$41,AA$42,AA$43,AA$45,$D$22,$D$21,$E$24,$D$25,$D$26,$D$27,$D$28,$D$29))</f>
        <v/>
      </c>
      <c r="AB66" s="1298">
        <f>IF(_epmOfflineCondition_,23173512.88,EPMRetrieveData(,$V66,AB$41,AB$42,AB$43,AB$45,$D$22,$D$21,$E$24,$D$25,$D$26,$D$27,$D$28,$D$29))</f>
        <v/>
      </c>
      <c r="AC66" s="1192" t="n"/>
      <c r="AD66" s="1192" t="n"/>
      <c r="AE66" s="716" t="n"/>
      <c r="AF66" s="716" t="n"/>
      <c r="AG66" s="716" t="n"/>
      <c r="AH66" s="716" t="n"/>
      <c r="AI66" s="716" t="n"/>
      <c r="AJ66" s="716" t="n"/>
      <c r="AK66" s="716" t="n"/>
      <c r="AL66" s="716" t="n"/>
      <c r="AM66" s="716" t="n"/>
      <c r="AN66" s="716" t="n"/>
      <c r="AO66" s="716" t="n"/>
    </row>
    <row r="67" ht="16.15" customFormat="1" customHeight="1" s="716">
      <c r="A67" s="716" t="n"/>
      <c r="B67" s="716" t="n"/>
      <c r="C67" s="716" t="n"/>
      <c r="D67" s="716" t="n"/>
      <c r="E67" s="716" t="n"/>
      <c r="F67" s="716" t="n"/>
      <c r="G67" s="716" t="n"/>
      <c r="H67" s="716" t="n"/>
      <c r="I67" s="716" t="n"/>
      <c r="J67" s="716" t="n"/>
      <c r="K67" s="716" t="n"/>
      <c r="L67" s="716" t="n"/>
      <c r="M67" s="716" t="n"/>
      <c r="N67" s="716" t="n"/>
      <c r="O67" s="716" t="n"/>
      <c r="P67" s="716" t="n"/>
      <c r="Q67" s="716" t="n"/>
      <c r="R67" s="716" t="n"/>
      <c r="S67" s="462">
        <f>IF(_epmOfflineCondition_,"　　归属于母公司所有者的净利润",EPMMemberDesc(U67))</f>
        <v/>
      </c>
      <c r="T67" s="716" t="n"/>
      <c r="U67" s="716" t="inlineStr">
        <is>
          <t>A0020504</t>
        </is>
      </c>
      <c r="V67" s="459">
        <f>IF(_epmOfflineCondition_,"A0020504",EPMOlapMemberO(U67,"[C_ACCOUNT].[PARENTH1].[A0020504]","A0020504 - 　　归属于母公司所有者的净利润","","000"))</f>
        <v/>
      </c>
      <c r="W67" s="462" t="n"/>
      <c r="X67" s="457" t="inlineStr">
        <is>
          <t xml:space="preserve">   其中：归属于母公司所有者的净利润</t>
        </is>
      </c>
      <c r="Y67" s="1185">
        <f>ROW()-45</f>
        <v/>
      </c>
      <c r="Z67" s="1298">
        <f>IF(_epmOfflineCondition_,19839493.44,EPMRetrieveData(,$V67,Z$41,Z$42,Z$43,Z$45,$D$22,$D$21,$E$24,$D$25,$D$26,$D$27,$D$28,$D$29))</f>
        <v/>
      </c>
      <c r="AA67" s="1298">
        <f>IF(_epmOfflineCondition_,57971792.97,EPMRetrieveData(,$V67,AA$41,AA$42,AA$43,AA$45,$D$22,$D$21,$E$24,$D$25,$D$26,$D$27,$D$28,$D$29))</f>
        <v/>
      </c>
      <c r="AB67" s="1298">
        <f>IF(_epmOfflineCondition_,23173512.88,EPMRetrieveData(,$V67,AB$41,AB$42,AB$43,AB$45,$D$22,$D$21,$E$24,$D$25,$D$26,$D$27,$D$28,$D$29))</f>
        <v/>
      </c>
      <c r="AC67" s="1192" t="n"/>
      <c r="AD67" s="1192" t="n"/>
      <c r="AE67" s="716" t="n"/>
      <c r="AF67" s="716" t="n"/>
      <c r="AG67" s="716" t="n"/>
      <c r="AH67" s="716" t="n"/>
      <c r="AI67" s="716" t="n"/>
      <c r="AJ67" s="716" t="n"/>
      <c r="AK67" s="716" t="n"/>
      <c r="AL67" s="716" t="n"/>
      <c r="AM67" s="716" t="n"/>
      <c r="AN67" s="716" t="n"/>
      <c r="AO67" s="716" t="n"/>
    </row>
    <row r="68" ht="16.15" customFormat="1" customHeight="1" s="716">
      <c r="A68" s="716" t="n"/>
      <c r="B68" s="716" t="n"/>
      <c r="C68" s="716" t="n"/>
      <c r="D68" s="716" t="n"/>
      <c r="E68" s="716" t="n"/>
      <c r="F68" s="716" t="n"/>
      <c r="G68" s="716" t="n"/>
      <c r="H68" s="716" t="n"/>
      <c r="I68" s="716" t="n"/>
      <c r="J68" s="716" t="n"/>
      <c r="K68" s="716" t="n"/>
      <c r="L68" s="716" t="n"/>
      <c r="M68" s="716" t="n"/>
      <c r="N68" s="716" t="n"/>
      <c r="O68" s="716" t="n"/>
      <c r="P68" s="716" t="n"/>
      <c r="Q68" s="716" t="n"/>
      <c r="R68" s="716" t="n"/>
      <c r="S68" s="462">
        <f>IF(_epmOfflineCondition_,"　        资产总计",EPMMemberDesc(U68))</f>
        <v/>
      </c>
      <c r="T68" s="716" t="n"/>
      <c r="U68" s="716" t="inlineStr">
        <is>
          <t>A00101</t>
        </is>
      </c>
      <c r="V68" s="535">
        <f>IF(_epmOfflineCondition_,"A00101",EPMOlapMemberO(U68,"[C_ACCOUNT].[PARENTH1].[A00101]","A00101 - 　        资产总计","","000"))</f>
        <v/>
      </c>
      <c r="W68" s="462" t="n"/>
      <c r="X68" s="585" t="inlineStr">
        <is>
          <t>18. 资产总额</t>
        </is>
      </c>
      <c r="Y68" s="1185">
        <f>ROW()-45</f>
        <v/>
      </c>
      <c r="Z68" s="1347">
        <f>"— —"</f>
        <v/>
      </c>
      <c r="AA68" s="1298" t="inlineStr"/>
      <c r="AB68" s="1298" t="inlineStr"/>
      <c r="AC68" s="1192" t="n"/>
      <c r="AD68" s="1192" t="n"/>
      <c r="AE68" s="716" t="n"/>
      <c r="AF68" s="716" t="n"/>
      <c r="AG68" s="716" t="n"/>
      <c r="AH68" s="716" t="n"/>
      <c r="AI68" s="716" t="n"/>
      <c r="AJ68" s="716" t="n"/>
      <c r="AK68" s="716" t="n"/>
      <c r="AL68" s="716" t="n"/>
      <c r="AM68" s="716" t="n"/>
      <c r="AN68" s="716" t="n"/>
      <c r="AO68" s="716" t="n"/>
    </row>
    <row r="69" ht="16.15" customFormat="1" customHeight="1" s="716">
      <c r="A69" s="716" t="n"/>
      <c r="B69" s="716" t="n"/>
      <c r="C69" s="716" t="n"/>
      <c r="D69" s="716" t="n"/>
      <c r="E69" s="716" t="n"/>
      <c r="F69" s="716" t="n"/>
      <c r="G69" s="716" t="n"/>
      <c r="H69" s="716" t="n"/>
      <c r="I69" s="716" t="n"/>
      <c r="J69" s="716" t="n"/>
      <c r="K69" s="716" t="n"/>
      <c r="L69" s="716" t="n"/>
      <c r="M69" s="716" t="n"/>
      <c r="N69" s="716" t="n"/>
      <c r="O69" s="716" t="n"/>
      <c r="P69" s="716" t="n"/>
      <c r="Q69" s="716" t="n"/>
      <c r="R69" s="716" t="n"/>
      <c r="S69" s="462">
        <f>IF(_epmOfflineCondition_,"　       流动资产合计",EPMMemberDesc(U69))</f>
        <v/>
      </c>
      <c r="T69" s="716" t="n"/>
      <c r="U69" s="716" t="inlineStr">
        <is>
          <t>A0010101</t>
        </is>
      </c>
      <c r="V69" s="459">
        <f>IF(_epmOfflineCondition_,"A0010101",EPMOlapMemberO(U69,"[C_ACCOUNT].[PARENTH1].[A0010101]","A0010101 - 　       流动资产合计","","000"))</f>
        <v/>
      </c>
      <c r="W69" s="462" t="n"/>
      <c r="X69" s="585" t="inlineStr">
        <is>
          <t>19. 流动资产</t>
        </is>
      </c>
      <c r="Y69" s="1185">
        <f>ROW()-45</f>
        <v/>
      </c>
      <c r="Z69" s="1347">
        <f>"— —"</f>
        <v/>
      </c>
      <c r="AA69" s="1298" t="inlineStr"/>
      <c r="AB69" s="1298" t="inlineStr"/>
      <c r="AC69" s="1192" t="n"/>
      <c r="AD69" s="1192" t="n"/>
      <c r="AE69" s="716" t="n"/>
      <c r="AF69" s="716" t="n"/>
      <c r="AG69" s="716" t="n"/>
      <c r="AH69" s="716" t="n"/>
      <c r="AI69" s="716" t="n"/>
      <c r="AJ69" s="716" t="n"/>
      <c r="AK69" s="716" t="n"/>
      <c r="AL69" s="716" t="n"/>
      <c r="AM69" s="716" t="n"/>
      <c r="AN69" s="716" t="n"/>
      <c r="AO69" s="716" t="n"/>
    </row>
    <row r="70" ht="16.15" customFormat="1" customHeight="1" s="716">
      <c r="A70" s="716" t="n"/>
      <c r="B70" s="716" t="n"/>
      <c r="C70" s="716" t="n"/>
      <c r="D70" s="716" t="n"/>
      <c r="E70" s="716" t="n"/>
      <c r="F70" s="716" t="n"/>
      <c r="G70" s="716" t="n"/>
      <c r="H70" s="716" t="n"/>
      <c r="I70" s="716" t="n"/>
      <c r="J70" s="716" t="n"/>
      <c r="K70" s="716" t="n"/>
      <c r="L70" s="716" t="n"/>
      <c r="M70" s="716" t="n"/>
      <c r="N70" s="716" t="n"/>
      <c r="O70" s="716" t="n"/>
      <c r="P70" s="716" t="n"/>
      <c r="Q70" s="716" t="n"/>
      <c r="R70" s="716" t="n"/>
      <c r="S70" s="462">
        <f>IF(_epmOfflineCondition_,"  货币资金",EPMMemberDesc(U70))</f>
        <v/>
      </c>
      <c r="T70" s="716" t="n"/>
      <c r="U70" s="716" t="inlineStr">
        <is>
          <t>A001010101</t>
        </is>
      </c>
      <c r="V70" s="635">
        <f>IF(_epmOfflineCondition_,"A001010101",EPMOlapMemberO(U70,"[C_ACCOUNT].[PARENTH1].[A001010101]","A001010101 -   货币资金","","000"))</f>
        <v/>
      </c>
      <c r="W70" s="462" t="n"/>
      <c r="X70" s="457" t="inlineStr">
        <is>
          <t xml:space="preserve">   其中：货币资金</t>
        </is>
      </c>
      <c r="Y70" s="1185">
        <f>ROW()-45</f>
        <v/>
      </c>
      <c r="Z70" s="1347">
        <f>"— —"</f>
        <v/>
      </c>
      <c r="AA70" s="1298" t="inlineStr"/>
      <c r="AB70" s="1298" t="inlineStr"/>
      <c r="AC70" s="1192" t="n"/>
      <c r="AD70" s="1192" t="n"/>
      <c r="AE70" s="716" t="n"/>
      <c r="AF70" s="716" t="n"/>
      <c r="AG70" s="716" t="n"/>
      <c r="AH70" s="716" t="n"/>
      <c r="AI70" s="716" t="n"/>
      <c r="AJ70" s="716" t="n"/>
      <c r="AK70" s="716" t="n"/>
      <c r="AL70" s="716" t="n"/>
      <c r="AM70" s="716" t="n"/>
      <c r="AN70" s="716" t="n"/>
      <c r="AO70" s="716" t="n"/>
    </row>
    <row r="71" ht="16.15" customFormat="1" customHeight="1" s="716">
      <c r="A71" s="716" t="n"/>
      <c r="B71" s="716" t="n"/>
      <c r="C71" s="716" t="n"/>
      <c r="D71" s="716" t="n"/>
      <c r="E71" s="716" t="n"/>
      <c r="F71" s="716" t="n"/>
      <c r="G71" s="716" t="n"/>
      <c r="H71" s="716" t="n"/>
      <c r="I71" s="716" t="n"/>
      <c r="J71" s="716" t="n"/>
      <c r="K71" s="716" t="n"/>
      <c r="L71" s="716" t="n"/>
      <c r="M71" s="716" t="n"/>
      <c r="N71" s="716" t="n"/>
      <c r="O71" s="716" t="n"/>
      <c r="P71" s="716" t="n"/>
      <c r="Q71" s="716" t="n"/>
      <c r="R71" s="716" t="n"/>
      <c r="S71" s="462">
        <f>IF(_epmOfflineCondition_,"  应收票据",EPMMemberDesc(U71))</f>
        <v/>
      </c>
      <c r="T71" s="716" t="n"/>
      <c r="U71" s="716" t="inlineStr">
        <is>
          <t>A001010106</t>
        </is>
      </c>
      <c r="V71" s="635">
        <f>IF(_epmOfflineCondition_,"A001010106",EPMOlapMemberO(U71,"[C_ACCOUNT].[PARENTH1].[A001010106]","A001010106 -   应收票据","","000"))</f>
        <v/>
      </c>
      <c r="W71" s="462" t="n"/>
      <c r="X71" s="614" t="inlineStr">
        <is>
          <t xml:space="preserve">           应收票据</t>
        </is>
      </c>
      <c r="Y71" s="1185">
        <f>ROW()-45</f>
        <v/>
      </c>
      <c r="Z71" s="1347">
        <f>"— —"</f>
        <v/>
      </c>
      <c r="AA71" s="1298" t="n"/>
      <c r="AB71" s="1298" t="n"/>
      <c r="AC71" s="1192" t="n"/>
      <c r="AD71" s="1192" t="n"/>
      <c r="AE71" s="716" t="n"/>
      <c r="AF71" s="716" t="n"/>
      <c r="AG71" s="716" t="n"/>
      <c r="AH71" s="716" t="n"/>
      <c r="AI71" s="716" t="n"/>
      <c r="AJ71" s="716" t="n"/>
      <c r="AK71" s="716" t="n"/>
      <c r="AL71" s="716" t="n"/>
      <c r="AM71" s="716" t="n"/>
      <c r="AN71" s="716" t="n"/>
      <c r="AO71" s="716" t="n"/>
    </row>
    <row r="72" ht="16.15" customFormat="1" customHeight="1" s="716">
      <c r="A72" s="716" t="n"/>
      <c r="B72" s="716" t="n"/>
      <c r="C72" s="716" t="n"/>
      <c r="D72" s="716" t="n"/>
      <c r="E72" s="716" t="n"/>
      <c r="F72" s="716" t="n"/>
      <c r="G72" s="716" t="n"/>
      <c r="H72" s="716" t="n"/>
      <c r="I72" s="716" t="n"/>
      <c r="J72" s="716" t="n"/>
      <c r="K72" s="716" t="n"/>
      <c r="L72" s="716" t="n"/>
      <c r="M72" s="716" t="n"/>
      <c r="N72" s="716" t="n"/>
      <c r="O72" s="716" t="n"/>
      <c r="P72" s="716" t="n"/>
      <c r="Q72" s="716" t="n"/>
      <c r="R72" s="716" t="n"/>
      <c r="S72" s="462">
        <f>IF(_epmOfflineCondition_,"  应收账款",EPMMemberDesc(U72))</f>
        <v/>
      </c>
      <c r="T72" s="716" t="n"/>
      <c r="U72" s="716" t="inlineStr">
        <is>
          <t>A001010107</t>
        </is>
      </c>
      <c r="V72" s="635">
        <f>IF(_epmOfflineCondition_,"A001010107",EPMOlapMemberO(U72,"[C_ACCOUNT].[PARENTH1].[A001010107]","A001010107 -   应收账款","","000"))</f>
        <v/>
      </c>
      <c r="W72" s="462" t="n"/>
      <c r="X72" s="614" t="inlineStr">
        <is>
          <t xml:space="preserve">           应收账款</t>
        </is>
      </c>
      <c r="Y72" s="1185">
        <f>ROW()-45</f>
        <v/>
      </c>
      <c r="Z72" s="1347">
        <f>"— —"</f>
        <v/>
      </c>
      <c r="AA72" s="1298" t="inlineStr"/>
      <c r="AB72" s="1298" t="inlineStr"/>
      <c r="AC72" s="1192" t="n"/>
      <c r="AD72" s="1192" t="n"/>
      <c r="AE72" s="716" t="n"/>
      <c r="AF72" s="716" t="n"/>
      <c r="AG72" s="716" t="n"/>
      <c r="AH72" s="716" t="n"/>
      <c r="AI72" s="716" t="n"/>
      <c r="AJ72" s="716" t="n"/>
      <c r="AK72" s="716" t="n"/>
      <c r="AL72" s="716" t="n"/>
      <c r="AM72" s="716" t="n"/>
      <c r="AN72" s="716" t="n"/>
      <c r="AO72" s="716" t="n"/>
    </row>
    <row r="73" ht="16.15" customFormat="1" customHeight="1" s="716">
      <c r="A73" s="716" t="n"/>
      <c r="B73" s="716" t="n"/>
      <c r="C73" s="716" t="n"/>
      <c r="D73" s="716" t="n"/>
      <c r="E73" s="716" t="n"/>
      <c r="F73" s="716" t="n"/>
      <c r="G73" s="716" t="n"/>
      <c r="H73" s="716" t="n"/>
      <c r="I73" s="716" t="n"/>
      <c r="J73" s="716" t="n"/>
      <c r="K73" s="716" t="n"/>
      <c r="L73" s="716" t="n"/>
      <c r="M73" s="716" t="n"/>
      <c r="N73" s="716" t="n"/>
      <c r="O73" s="716" t="n"/>
      <c r="P73" s="716" t="n"/>
      <c r="Q73" s="716" t="n"/>
      <c r="R73" s="716" t="n"/>
      <c r="S73" s="462">
        <f>IF(_epmOfflineCondition_,"  存货",EPMMemberDesc(U73))</f>
        <v/>
      </c>
      <c r="T73" s="716" t="n"/>
      <c r="U73" s="716" t="inlineStr">
        <is>
          <t>A001010113</t>
        </is>
      </c>
      <c r="V73" s="635">
        <f>IF(_epmOfflineCondition_,"A001010113",EPMOlapMemberO(U73,"[C_ACCOUNT].[PARENTH1].[A001010113]","A001010113 -   存货","","000"))</f>
        <v/>
      </c>
      <c r="W73" s="462" t="n"/>
      <c r="X73" s="614" t="inlineStr">
        <is>
          <t xml:space="preserve">           存货</t>
        </is>
      </c>
      <c r="Y73" s="1185">
        <f>ROW()-45</f>
        <v/>
      </c>
      <c r="Z73" s="1347">
        <f>"— —"</f>
        <v/>
      </c>
      <c r="AA73" s="1298" t="n"/>
      <c r="AB73" s="1298" t="n"/>
      <c r="AC73" s="1192" t="n"/>
      <c r="AD73" s="1192" t="n"/>
      <c r="AE73" s="716" t="n"/>
      <c r="AF73" s="716" t="n"/>
      <c r="AG73" s="716" t="n"/>
      <c r="AH73" s="716" t="n"/>
      <c r="AI73" s="716" t="n"/>
      <c r="AJ73" s="716" t="n"/>
      <c r="AK73" s="716" t="n"/>
      <c r="AL73" s="716" t="n"/>
      <c r="AM73" s="716" t="n"/>
      <c r="AN73" s="716" t="n"/>
      <c r="AO73" s="716" t="n"/>
    </row>
    <row r="74" ht="16.15" customFormat="1" customHeight="1" s="716">
      <c r="A74" s="716" t="n"/>
      <c r="B74" s="716" t="n"/>
      <c r="C74" s="716" t="n"/>
      <c r="D74" s="716" t="n"/>
      <c r="E74" s="716" t="n"/>
      <c r="F74" s="716" t="n"/>
      <c r="G74" s="716" t="n"/>
      <c r="H74" s="716" t="n"/>
      <c r="I74" s="716" t="n"/>
      <c r="J74" s="716" t="n"/>
      <c r="K74" s="716" t="n"/>
      <c r="L74" s="716" t="n"/>
      <c r="M74" s="716" t="n"/>
      <c r="N74" s="716" t="n"/>
      <c r="O74" s="716" t="n"/>
      <c r="P74" s="716" t="n"/>
      <c r="Q74" s="716" t="n"/>
      <c r="R74" s="716" t="n"/>
      <c r="S74" s="462">
        <f>IF(_epmOfflineCondition_,"     其中：原材料",EPMMemberDesc(U74))</f>
        <v/>
      </c>
      <c r="T74" s="716" t="n"/>
      <c r="U74" s="716" t="inlineStr">
        <is>
          <t>A00101011301</t>
        </is>
      </c>
      <c r="V74" s="637">
        <f>IF(_epmOfflineCondition_,"A00101011301",EPMOlapMemberO(U74,"[C_ACCOUNT].[PARENTH1].[A00101011301]","A00101011301 -      其中：原材料","","000"))</f>
        <v/>
      </c>
      <c r="W74" s="462" t="n"/>
      <c r="X74" s="458" t="inlineStr">
        <is>
          <t xml:space="preserve">         其中：原材料</t>
        </is>
      </c>
      <c r="Y74" s="1185">
        <f>ROW()-45</f>
        <v/>
      </c>
      <c r="Z74" s="1347">
        <f>"— —"</f>
        <v/>
      </c>
      <c r="AA74" s="1298" t="n"/>
      <c r="AB74" s="1298" t="n"/>
      <c r="AC74" s="1192" t="n"/>
      <c r="AD74" s="1192" t="n"/>
      <c r="AE74" s="716" t="n"/>
      <c r="AF74" s="716" t="n"/>
      <c r="AG74" s="716" t="n"/>
      <c r="AH74" s="716" t="n"/>
      <c r="AI74" s="716" t="n"/>
      <c r="AJ74" s="716" t="n"/>
      <c r="AK74" s="716" t="n"/>
      <c r="AL74" s="716" t="n"/>
      <c r="AM74" s="716" t="n"/>
      <c r="AN74" s="716" t="n"/>
      <c r="AO74" s="716" t="n"/>
    </row>
    <row r="75" ht="16.15" customFormat="1" customHeight="1" s="716">
      <c r="A75" s="716" t="n"/>
      <c r="B75" s="716" t="n"/>
      <c r="C75" s="716" t="n"/>
      <c r="D75" s="716" t="n"/>
      <c r="E75" s="716" t="n"/>
      <c r="F75" s="716" t="n"/>
      <c r="G75" s="716" t="n"/>
      <c r="H75" s="716" t="n"/>
      <c r="I75" s="716" t="n"/>
      <c r="J75" s="716" t="n"/>
      <c r="K75" s="716" t="n"/>
      <c r="L75" s="716" t="n"/>
      <c r="M75" s="716" t="n"/>
      <c r="N75" s="716" t="n"/>
      <c r="O75" s="716" t="n"/>
      <c r="P75" s="716" t="n"/>
      <c r="Q75" s="716" t="n"/>
      <c r="R75" s="716" t="n"/>
      <c r="S75" s="462">
        <f>IF(_epmOfflineCondition_,"               库存商品（产成品）",EPMMemberDesc(U75))</f>
        <v/>
      </c>
      <c r="T75" s="716" t="n"/>
      <c r="U75" s="716" t="inlineStr">
        <is>
          <t>A00101011303</t>
        </is>
      </c>
      <c r="V75" s="637">
        <f>IF(_epmOfflineCondition_,"A00101011303",EPMOlapMemberO(U75,"[C_ACCOUNT].[PARENTH1].[A00101011303]","A00101011303 -                库存商品（产成品）","","000"))</f>
        <v/>
      </c>
      <c r="W75" s="462" t="n"/>
      <c r="X75" s="458" t="inlineStr">
        <is>
          <t xml:space="preserve">                    库存商品(产成品)</t>
        </is>
      </c>
      <c r="Y75" s="1185">
        <f>ROW()-45</f>
        <v/>
      </c>
      <c r="Z75" s="1347">
        <f>"— —"</f>
        <v/>
      </c>
      <c r="AA75" s="1298" t="n"/>
      <c r="AB75" s="1298" t="n"/>
      <c r="AC75" s="1192" t="n"/>
      <c r="AD75" s="1192" t="n"/>
      <c r="AE75" s="716" t="n"/>
      <c r="AF75" s="716" t="n"/>
      <c r="AG75" s="716" t="n"/>
      <c r="AH75" s="716" t="n"/>
      <c r="AI75" s="716" t="n"/>
      <c r="AJ75" s="716" t="n"/>
      <c r="AK75" s="716" t="n"/>
      <c r="AL75" s="716" t="n"/>
      <c r="AM75" s="716" t="n"/>
      <c r="AN75" s="716" t="n"/>
      <c r="AO75" s="716" t="n"/>
    </row>
    <row r="76" ht="16.15" customFormat="1" customHeight="1" s="716">
      <c r="A76" s="716" t="n"/>
      <c r="B76" s="716" t="n"/>
      <c r="C76" s="716" t="n"/>
      <c r="D76" s="716" t="n"/>
      <c r="E76" s="716" t="n"/>
      <c r="F76" s="716" t="n"/>
      <c r="G76" s="716" t="n"/>
      <c r="H76" s="716" t="n"/>
      <c r="I76" s="716" t="n"/>
      <c r="J76" s="716" t="n"/>
      <c r="K76" s="716" t="n"/>
      <c r="L76" s="716" t="n"/>
      <c r="M76" s="716" t="n"/>
      <c r="N76" s="716" t="n"/>
      <c r="O76" s="716" t="n"/>
      <c r="P76" s="716" t="n"/>
      <c r="Q76" s="716" t="n"/>
      <c r="R76" s="716" t="n"/>
      <c r="S76" s="462">
        <f>IF(_epmOfflineCondition_,"  合同资产",EPMMemberDesc(U76))</f>
        <v/>
      </c>
      <c r="T76" s="716" t="n"/>
      <c r="U76" s="716" t="inlineStr">
        <is>
          <t>A001010114</t>
        </is>
      </c>
      <c r="V76" s="635">
        <f>IF(_epmOfflineCondition_,"A001010114",EPMOlapMemberO(U76,"[C_ACCOUNT].[PARENTH1].[A001010114]","A001010114 -   合同资产","","000"))</f>
        <v/>
      </c>
      <c r="W76" s="462" t="n"/>
      <c r="X76" s="614" t="inlineStr">
        <is>
          <t xml:space="preserve">           合同资产</t>
        </is>
      </c>
      <c r="Y76" s="1185">
        <f>ROW()-45</f>
        <v/>
      </c>
      <c r="Z76" s="1347">
        <f>"— —"</f>
        <v/>
      </c>
      <c r="AA76" s="1298" t="n"/>
      <c r="AB76" s="1298" t="n"/>
      <c r="AC76" s="1192" t="n"/>
      <c r="AD76" s="1192" t="n"/>
      <c r="AE76" s="716" t="n"/>
      <c r="AF76" s="716" t="n"/>
      <c r="AG76" s="716" t="n"/>
      <c r="AH76" s="716" t="n"/>
      <c r="AI76" s="716" t="n"/>
      <c r="AJ76" s="716" t="n"/>
      <c r="AK76" s="716" t="n"/>
      <c r="AL76" s="716" t="n"/>
      <c r="AM76" s="716" t="n"/>
      <c r="AN76" s="716" t="n"/>
      <c r="AO76" s="716" t="n"/>
    </row>
    <row r="77" ht="16.15" customFormat="1" customHeight="1" s="716">
      <c r="A77" s="716" t="n"/>
      <c r="B77" s="716" t="n"/>
      <c r="C77" s="716" t="n"/>
      <c r="D77" s="716" t="n"/>
      <c r="E77" s="716" t="n"/>
      <c r="F77" s="716" t="n"/>
      <c r="G77" s="716" t="n"/>
      <c r="H77" s="716" t="n"/>
      <c r="I77" s="716" t="n"/>
      <c r="J77" s="716" t="n"/>
      <c r="K77" s="716" t="n"/>
      <c r="L77" s="716" t="n"/>
      <c r="M77" s="716" t="n"/>
      <c r="N77" s="716" t="n"/>
      <c r="O77" s="716" t="n"/>
      <c r="P77" s="716" t="n"/>
      <c r="Q77" s="716" t="n"/>
      <c r="R77" s="716" t="n"/>
      <c r="S77" s="462">
        <f>IF(_epmOfflineCondition_,"　       负债合计",EPMMemberDesc(U77))</f>
        <v/>
      </c>
      <c r="T77" s="716" t="n"/>
      <c r="U77" s="716" t="inlineStr">
        <is>
          <t>A00102</t>
        </is>
      </c>
      <c r="V77" s="459">
        <f>IF(_epmOfflineCondition_,"A00102",EPMOlapMemberO(U77,"[C_ACCOUNT].[PARENTH1].[A00102]","A00102 - 　       负债合计","","000"))</f>
        <v/>
      </c>
      <c r="W77" s="462" t="n"/>
      <c r="X77" s="585" t="inlineStr">
        <is>
          <t>20. 负债总额</t>
        </is>
      </c>
      <c r="Y77" s="1185">
        <f>ROW()-45</f>
        <v/>
      </c>
      <c r="Z77" s="1347">
        <f>"— —"</f>
        <v/>
      </c>
      <c r="AA77" s="1298" t="inlineStr"/>
      <c r="AB77" s="1298" t="inlineStr"/>
      <c r="AC77" s="1192" t="n"/>
      <c r="AD77" s="1192" t="n"/>
      <c r="AE77" s="716" t="n"/>
      <c r="AF77" s="716" t="n"/>
      <c r="AG77" s="716" t="n"/>
      <c r="AH77" s="716" t="n"/>
      <c r="AI77" s="716" t="n"/>
      <c r="AJ77" s="716" t="n"/>
      <c r="AK77" s="716" t="n"/>
      <c r="AL77" s="716" t="n"/>
      <c r="AM77" s="716" t="n"/>
      <c r="AN77" s="716" t="n"/>
      <c r="AO77" s="716" t="n"/>
    </row>
    <row r="78" ht="16.15" customFormat="1" customHeight="1" s="716">
      <c r="A78" s="716" t="n"/>
      <c r="B78" s="716" t="n"/>
      <c r="C78" s="716" t="n"/>
      <c r="D78" s="716" t="n"/>
      <c r="E78" s="716" t="n"/>
      <c r="F78" s="716" t="n"/>
      <c r="G78" s="716" t="n"/>
      <c r="H78" s="716" t="n"/>
      <c r="I78" s="716" t="n"/>
      <c r="J78" s="716" t="n"/>
      <c r="K78" s="716" t="n"/>
      <c r="L78" s="716" t="n"/>
      <c r="M78" s="716" t="n"/>
      <c r="N78" s="716" t="n"/>
      <c r="O78" s="716" t="n"/>
      <c r="P78" s="716" t="n"/>
      <c r="Q78" s="716" t="n"/>
      <c r="R78" s="716" t="n"/>
      <c r="S78" s="462">
        <f>IF(_epmOfflineCondition_,"　       流动负债合计",EPMMemberDesc(U78))</f>
        <v/>
      </c>
      <c r="T78" s="716" t="n"/>
      <c r="U78" s="716" t="inlineStr">
        <is>
          <t>A0010201</t>
        </is>
      </c>
      <c r="V78" s="635">
        <f>IF(_epmOfflineCondition_,"A0010201",EPMOlapMemberO(U78,"[C_ACCOUNT].[PARENTH1].[A0010201]","A0010201 - 　       流动负债合计","","000"))</f>
        <v/>
      </c>
      <c r="W78" s="462" t="n"/>
      <c r="X78" s="585" t="inlineStr">
        <is>
          <t>21. 流动负债</t>
        </is>
      </c>
      <c r="Y78" s="1185">
        <f>ROW()-45</f>
        <v/>
      </c>
      <c r="Z78" s="1347">
        <f>"— —"</f>
        <v/>
      </c>
      <c r="AA78" s="1298" t="inlineStr"/>
      <c r="AB78" s="1298" t="inlineStr"/>
      <c r="AC78" s="1192" t="n"/>
      <c r="AD78" s="1192" t="n"/>
      <c r="AE78" s="716" t="n"/>
      <c r="AF78" s="716" t="n"/>
      <c r="AG78" s="716" t="n"/>
      <c r="AH78" s="716" t="n"/>
      <c r="AI78" s="716" t="n"/>
      <c r="AJ78" s="716" t="n"/>
      <c r="AK78" s="716" t="n"/>
      <c r="AL78" s="716" t="n"/>
      <c r="AM78" s="716" t="n"/>
      <c r="AN78" s="716" t="n"/>
      <c r="AO78" s="716" t="n"/>
    </row>
    <row r="79" ht="16.15" customFormat="1" customHeight="1" s="716">
      <c r="A79" s="716" t="n"/>
      <c r="B79" s="716" t="n"/>
      <c r="C79" s="716" t="n"/>
      <c r="D79" s="716" t="n"/>
      <c r="E79" s="716" t="n"/>
      <c r="F79" s="716" t="n"/>
      <c r="G79" s="716" t="n"/>
      <c r="H79" s="716" t="n"/>
      <c r="I79" s="716" t="n"/>
      <c r="J79" s="716" t="n"/>
      <c r="K79" s="716" t="n"/>
      <c r="L79" s="716" t="n"/>
      <c r="M79" s="716" t="n"/>
      <c r="N79" s="716" t="n"/>
      <c r="O79" s="716" t="n"/>
      <c r="P79" s="716" t="n"/>
      <c r="Q79" s="716" t="n"/>
      <c r="R79" s="716" t="n"/>
      <c r="S79" s="462">
        <f>IF(_epmOfflineCondition_,"   应付票据",EPMMemberDesc(U79))</f>
        <v/>
      </c>
      <c r="T79" s="716" t="n"/>
      <c r="U79" s="716" t="inlineStr">
        <is>
          <t>A001020107</t>
        </is>
      </c>
      <c r="V79" s="637">
        <f>IF(_epmOfflineCondition_,"A001020107",EPMOlapMemberO(U79,"[C_ACCOUNT].[PARENTH1].[A001020107]","A001020107 -    应付票据","","000"))</f>
        <v/>
      </c>
      <c r="W79" s="462" t="n"/>
      <c r="X79" s="457" t="inlineStr">
        <is>
          <t xml:space="preserve">   其中：应付票据</t>
        </is>
      </c>
      <c r="Y79" s="1185">
        <f>ROW()-45</f>
        <v/>
      </c>
      <c r="Z79" s="1347">
        <f>"— —"</f>
        <v/>
      </c>
      <c r="AA79" s="1298" t="n"/>
      <c r="AB79" s="1298" t="n"/>
      <c r="AC79" s="1192" t="n"/>
      <c r="AD79" s="1192" t="n"/>
      <c r="AE79" s="716" t="n"/>
      <c r="AF79" s="716" t="n"/>
      <c r="AG79" s="716" t="n"/>
      <c r="AH79" s="716" t="n"/>
      <c r="AI79" s="716" t="n"/>
      <c r="AJ79" s="716" t="n"/>
      <c r="AK79" s="716" t="n"/>
      <c r="AL79" s="716" t="n"/>
      <c r="AM79" s="716" t="n"/>
      <c r="AN79" s="716" t="n"/>
      <c r="AO79" s="716" t="n"/>
    </row>
    <row r="80" ht="16.15" customFormat="1" customHeight="1" s="716">
      <c r="A80" s="716" t="n"/>
      <c r="B80" s="716" t="n"/>
      <c r="C80" s="716" t="n"/>
      <c r="D80" s="716" t="n"/>
      <c r="E80" s="716" t="n"/>
      <c r="F80" s="716" t="n"/>
      <c r="G80" s="716" t="n"/>
      <c r="H80" s="716" t="n"/>
      <c r="I80" s="716" t="n"/>
      <c r="J80" s="716" t="n"/>
      <c r="K80" s="716" t="n"/>
      <c r="L80" s="716" t="n"/>
      <c r="M80" s="716" t="n"/>
      <c r="N80" s="602" t="inlineStr">
        <is>
          <t>22. 带息负债总额</t>
        </is>
      </c>
      <c r="R80" s="575" t="n"/>
      <c r="S80" s="462">
        <f>IF(_epmOfflineCondition_,"   应付账款",EPMMemberDesc(U80))</f>
        <v/>
      </c>
      <c r="T80" s="716" t="n"/>
      <c r="U80" s="716" t="inlineStr">
        <is>
          <t>A001020108</t>
        </is>
      </c>
      <c r="V80" s="637">
        <f>IF(_epmOfflineCondition_,"A001020108",EPMOlapMemberO(U80,"[C_ACCOUNT].[PARENTH1].[A001020108]","A001020108 -    应付账款","","000"))</f>
        <v/>
      </c>
      <c r="W80" s="462" t="n"/>
      <c r="X80" s="614" t="inlineStr">
        <is>
          <t xml:space="preserve">           应付账款</t>
        </is>
      </c>
      <c r="Y80" s="1185">
        <f>ROW()-45</f>
        <v/>
      </c>
      <c r="Z80" s="1347">
        <f>"— —"</f>
        <v/>
      </c>
      <c r="AA80" s="1298" t="inlineStr"/>
      <c r="AB80" s="1298" t="inlineStr"/>
      <c r="AC80" s="1192" t="n"/>
      <c r="AD80" s="1192" t="n"/>
      <c r="AE80" s="716" t="n"/>
      <c r="AF80" s="716" t="n"/>
      <c r="AG80" s="716" t="n"/>
      <c r="AH80" s="716" t="n"/>
      <c r="AI80" s="716" t="n"/>
      <c r="AJ80" s="716" t="n"/>
      <c r="AK80" s="716" t="n"/>
      <c r="AL80" s="716" t="n"/>
      <c r="AM80" s="716" t="n"/>
      <c r="AN80" s="716" t="n"/>
      <c r="AO80" s="716" t="n"/>
    </row>
    <row r="81" ht="16.15" customFormat="1" customHeight="1" s="716">
      <c r="A81" s="716" t="n"/>
      <c r="B81" s="716" t="n"/>
      <c r="C81" s="716" t="n"/>
      <c r="D81" s="716" t="n"/>
      <c r="E81" s="716" t="n"/>
      <c r="F81" s="716" t="n"/>
      <c r="G81" s="716" t="n"/>
      <c r="H81" s="716" t="n"/>
      <c r="I81" s="716" t="n"/>
      <c r="J81" s="716" t="n"/>
      <c r="K81" s="716" t="n"/>
      <c r="L81" s="716" t="n"/>
      <c r="M81" s="716" t="n"/>
      <c r="N81" s="434" t="inlineStr">
        <is>
          <t>上年同期</t>
        </is>
      </c>
      <c r="O81" s="603" t="inlineStr">
        <is>
          <t>本年累计</t>
        </is>
      </c>
      <c r="P81" s="603" t="inlineStr">
        <is>
          <t>本月</t>
        </is>
      </c>
      <c r="Q81" s="434" t="inlineStr">
        <is>
          <t>科目</t>
        </is>
      </c>
      <c r="R81" s="575" t="n"/>
      <c r="S81" s="462">
        <f>IF(_epmOfflineCondition_,"带息负债总额",EPMMemberDesc(U81))</f>
        <v/>
      </c>
      <c r="T81" s="716" t="n"/>
      <c r="U81" s="716" t="inlineStr">
        <is>
          <t>A09603</t>
        </is>
      </c>
      <c r="V81" s="462">
        <f>IF(_epmOfflineCondition_,"A09603",EPMOlapMemberO(U81,"[C_ACCOUNT].[PARENTH1].[A09603]","A09603 - 带息负债总额","","000"))</f>
        <v/>
      </c>
      <c r="W81" s="462" t="n"/>
      <c r="X81" s="585" t="inlineStr">
        <is>
          <t>22. 带息负债总额</t>
        </is>
      </c>
      <c r="Y81" s="1185">
        <f>ROW()-45</f>
        <v/>
      </c>
      <c r="Z81" s="1347">
        <f>"— —"</f>
        <v/>
      </c>
      <c r="AA81" s="1298" t="inlineStr"/>
      <c r="AB81" s="1298" t="inlineStr"/>
      <c r="AC81" s="1192" t="n"/>
      <c r="AD81" s="1192" t="n"/>
      <c r="AE81" s="716" t="n"/>
      <c r="AF81" s="716" t="n"/>
      <c r="AG81" s="716" t="n"/>
      <c r="AH81" s="716" t="n"/>
      <c r="AI81" s="716" t="n"/>
      <c r="AJ81" s="716" t="n"/>
      <c r="AK81" s="716" t="n"/>
      <c r="AL81" s="716" t="n"/>
      <c r="AM81" s="716" t="n"/>
      <c r="AN81" s="716" t="n"/>
      <c r="AO81" s="716" t="n"/>
    </row>
    <row r="82" ht="16.15" customFormat="1" customHeight="1" s="716">
      <c r="A82" s="716" t="n"/>
      <c r="B82" s="716" t="n"/>
      <c r="C82" s="716" t="n"/>
      <c r="D82" s="716" t="n"/>
      <c r="E82" s="716" t="n"/>
      <c r="F82" s="716" t="n"/>
      <c r="G82" s="716" t="n"/>
      <c r="H82" s="716" t="n"/>
      <c r="I82" s="716" t="n"/>
      <c r="J82" s="716" t="n"/>
      <c r="K82" s="716" t="n"/>
      <c r="L82" s="716" t="n"/>
      <c r="M82" s="716" t="n"/>
      <c r="N82" s="1348">
        <f>IF(_epmOfflineCondition_,0,EPMRetrieveData(,,$D$21,$D$22,$D$25,$D$26,$D$27,$D$28,$D$29,$AB$41,$AB$42,$AB$43,$Z$28,$AB$45,Q82))</f>
        <v/>
      </c>
      <c r="O82" s="1348">
        <f>IF(_epmOfflineCondition_,190000000,EPMRetrieveData(,,$D$21,$D$22,$D$25,$D$26,$D$27,$D$28,$D$29,$AA$41,$AA$42,$AA$43,$AA$44,$AA$45,Q82))</f>
        <v/>
      </c>
      <c r="P82" s="1348">
        <f>IF(_epmOfflineCondition_,0,EPMRetrieveData(,,$D$21,$D$22,$D$25,$D$26,$D$27,$D$28,$D$29,$Z$41,$Z$42,$Z$43,$Z$28,$Z$45,Q82))</f>
        <v/>
      </c>
      <c r="Q82" s="575" t="inlineStr">
        <is>
          <t>A01201</t>
        </is>
      </c>
      <c r="R82" s="575" t="inlineStr">
        <is>
          <t>带息负债总额</t>
        </is>
      </c>
      <c r="S82" s="462">
        <f>IF(_epmOfflineCondition_,"   其中：银行借款",EPMMemberDesc(U82))</f>
        <v/>
      </c>
      <c r="T82" s="716" t="n"/>
      <c r="U82" s="636" t="inlineStr">
        <is>
          <t>A07811</t>
        </is>
      </c>
      <c r="V82" s="459">
        <f>IF(_epmOfflineCondition_,"A07811",EPMOlapMemberO(U82,"[C_ACCOUNT].[PARENTH1].[A07811]","A07811 -    其中：银行借款","","000"))</f>
        <v/>
      </c>
      <c r="W82" s="462" t="n"/>
      <c r="X82" s="457" t="inlineStr">
        <is>
          <t xml:space="preserve">   其中：银行借款</t>
        </is>
      </c>
      <c r="Y82" s="1185">
        <f>ROW()-45</f>
        <v/>
      </c>
      <c r="Z82" s="1347">
        <f>"— —"</f>
        <v/>
      </c>
      <c r="AA82" s="1298" t="inlineStr"/>
      <c r="AB82" s="1298" t="inlineStr"/>
      <c r="AC82" s="1192" t="n"/>
      <c r="AD82" s="1192" t="n"/>
      <c r="AE82" s="716" t="n"/>
      <c r="AF82" s="716" t="n"/>
      <c r="AG82" s="716" t="n"/>
      <c r="AH82" s="716" t="n"/>
      <c r="AI82" s="716" t="n"/>
      <c r="AJ82" s="716" t="n"/>
      <c r="AK82" s="716" t="n"/>
      <c r="AL82" s="716" t="n"/>
      <c r="AM82" s="716" t="n"/>
      <c r="AN82" s="716" t="n"/>
      <c r="AO82" s="716" t="n"/>
    </row>
    <row r="83" ht="16.15" customFormat="1" customHeight="1" s="716">
      <c r="A83" s="716" t="n"/>
      <c r="B83" s="716" t="n"/>
      <c r="C83" s="716" t="n"/>
      <c r="D83" s="716" t="n"/>
      <c r="E83" s="716" t="n"/>
      <c r="F83" s="716" t="n"/>
      <c r="G83" s="716" t="n"/>
      <c r="H83" s="716" t="n"/>
      <c r="I83" s="716" t="n"/>
      <c r="J83" s="716" t="n"/>
      <c r="K83" s="716" t="n"/>
      <c r="L83" s="716" t="n"/>
      <c r="M83" s="716" t="n"/>
      <c r="N83" s="1348">
        <f>IF(_epmOfflineCondition_,0,EPMRetrieveData(,,$D$21,$D$22,$D$25,$D$26,$D$27,$D$28,$D$29,$AB$41,$AB$42,$AB$43,$Z$28,$AB$45,Q83))</f>
        <v/>
      </c>
      <c r="O83" s="1348">
        <f>IF(_epmOfflineCondition_,0,EPMRetrieveData(,,$D$21,$D$22,$D$25,$D$26,$D$27,$D$28,$D$29,$AA$41,$AA$42,$AA$43,$AA$44,$AA$45,Q83))</f>
        <v/>
      </c>
      <c r="P83" s="1348">
        <f>IF(_epmOfflineCondition_,0,EPMRetrieveData(,,$D$21,$D$22,$D$25,$D$26,$D$27,$D$28,$D$29,$Z$41,$Z$42,$Z$43,$Z$28,$Z$45,Q83))</f>
        <v/>
      </c>
      <c r="Q83" s="575" t="inlineStr">
        <is>
          <t>A01202</t>
        </is>
      </c>
      <c r="R83" s="607" t="inlineStr">
        <is>
          <t>带息负债总额</t>
        </is>
      </c>
      <c r="S83" s="462">
        <f>IF(_epmOfflineCondition_,"  应付债券",EPMMemberDesc(U83))</f>
        <v/>
      </c>
      <c r="T83" s="716" t="n"/>
      <c r="U83" s="716" t="inlineStr">
        <is>
          <t>A001020202</t>
        </is>
      </c>
      <c r="V83" s="637">
        <f>IF(_epmOfflineCondition_,"A001020202",EPMOlapMemberO(U83,"[C_ACCOUNT].[PARENTH1].[A001020202]","A001020202 -   应付债券","","000"))</f>
        <v/>
      </c>
      <c r="W83" s="462" t="n"/>
      <c r="X83" s="614" t="inlineStr">
        <is>
          <t xml:space="preserve">           应付债券</t>
        </is>
      </c>
      <c r="Y83" s="1185">
        <f>ROW()-45</f>
        <v/>
      </c>
      <c r="Z83" s="1347">
        <f>"— —"</f>
        <v/>
      </c>
      <c r="AA83" s="1298" t="n"/>
      <c r="AB83" s="1298" t="n"/>
      <c r="AC83" s="1192" t="n"/>
      <c r="AD83" s="1192" t="n"/>
      <c r="AE83" s="716" t="n"/>
      <c r="AF83" s="716" t="n"/>
      <c r="AG83" s="716" t="n"/>
      <c r="AH83" s="716" t="n"/>
      <c r="AI83" s="716" t="n"/>
      <c r="AJ83" s="716" t="n"/>
      <c r="AK83" s="716" t="n"/>
      <c r="AL83" s="716" t="n"/>
      <c r="AM83" s="716" t="n"/>
      <c r="AN83" s="716" t="n"/>
      <c r="AO83" s="716" t="n"/>
    </row>
    <row r="84" ht="16.15" customFormat="1" customHeight="1" s="716">
      <c r="A84" s="716" t="n"/>
      <c r="B84" s="716" t="n"/>
      <c r="C84" s="716" t="n"/>
      <c r="D84" s="716" t="n"/>
      <c r="E84" s="716" t="n"/>
      <c r="F84" s="716" t="n"/>
      <c r="G84" s="716" t="n"/>
      <c r="H84" s="716" t="n"/>
      <c r="I84" s="716" t="n"/>
      <c r="J84" s="716" t="n"/>
      <c r="K84" s="716" t="n"/>
      <c r="L84" s="716" t="n"/>
      <c r="M84" s="716" t="n"/>
      <c r="N84" s="1348">
        <f>IF(_epmOfflineCondition_,0,EPMRetrieveData(,,$D$21,$D$22,$D$25,$D$26,$D$27,$D$28,$D$29,$AB$41,$AB$42,$AB$43,$Z$28,$AB$45,Q84))</f>
        <v/>
      </c>
      <c r="O84" s="1348">
        <f>IF(_epmOfflineCondition_,0,EPMRetrieveData(,,$D$21,$D$22,$D$25,$D$26,$D$27,$D$28,$D$29,$AA$41,$AA$42,$AA$43,$AA$44,$AA$45,Q84))</f>
        <v/>
      </c>
      <c r="P84" s="1348">
        <f>IF(_epmOfflineCondition_,0,EPMRetrieveData(,,$D$21,$D$22,$D$25,$D$26,$D$27,$D$28,$D$29,$Z$41,$Z$42,$Z$43,$Z$28,$Z$45,Q84))</f>
        <v/>
      </c>
      <c r="Q84" s="575" t="inlineStr">
        <is>
          <t>A012010101</t>
        </is>
      </c>
      <c r="R84" s="726" t="inlineStr">
        <is>
          <t>其中：银行借款</t>
        </is>
      </c>
      <c r="S84" s="462">
        <f>IF(_epmOfflineCondition_,"        所有者权益合计",EPMMemberDesc(U84))</f>
        <v/>
      </c>
      <c r="T84" s="716" t="n"/>
      <c r="U84" s="716" t="inlineStr">
        <is>
          <t>A00103</t>
        </is>
      </c>
      <c r="V84" s="459">
        <f>IF(_epmOfflineCondition_,"A00103",EPMOlapMemberO(U84,"[C_ACCOUNT].[PARENTH1].[A00103]","A00103 -         所有者权益合计","","000"))</f>
        <v/>
      </c>
      <c r="W84" s="462" t="n"/>
      <c r="X84" s="585" t="inlineStr">
        <is>
          <t>23. 所有者权益总额</t>
        </is>
      </c>
      <c r="Y84" s="1185">
        <f>ROW()-45</f>
        <v/>
      </c>
      <c r="Z84" s="1347">
        <f>"— —"</f>
        <v/>
      </c>
      <c r="AA84" s="1298" t="inlineStr"/>
      <c r="AB84" s="1298" t="inlineStr"/>
      <c r="AC84" s="1192" t="n"/>
      <c r="AD84" s="1192" t="n"/>
      <c r="AE84" s="716" t="n"/>
      <c r="AF84" s="716" t="n"/>
      <c r="AG84" s="716" t="n"/>
      <c r="AH84" s="716" t="n"/>
      <c r="AI84" s="716" t="n"/>
      <c r="AJ84" s="716" t="n"/>
      <c r="AK84" s="716" t="n"/>
      <c r="AL84" s="716" t="n"/>
      <c r="AM84" s="716" t="n"/>
      <c r="AN84" s="716" t="n"/>
      <c r="AO84" s="716" t="n"/>
    </row>
    <row r="85" ht="16.15" customFormat="1" customHeight="1" s="716">
      <c r="A85" s="716" t="n"/>
      <c r="B85" s="716" t="n"/>
      <c r="C85" s="716" t="n"/>
      <c r="D85" s="716" t="n"/>
      <c r="E85" s="716" t="n"/>
      <c r="F85" s="716" t="n"/>
      <c r="G85" s="716" t="n"/>
      <c r="H85" s="716" t="n"/>
      <c r="I85" s="716" t="n"/>
      <c r="J85" s="716" t="n"/>
      <c r="K85" s="716" t="n"/>
      <c r="L85" s="716" t="n"/>
      <c r="M85" s="716" t="n"/>
      <c r="N85" s="1348">
        <f>IF(_epmOfflineCondition_,0,EPMRetrieveData(,,$D$21,$D$22,$D$25,$D$26,$D$27,$D$28,$D$29,$AB$41,$AB$42,$AB$43,$Z$28,$AB$45,Q85))</f>
        <v/>
      </c>
      <c r="O85" s="1348">
        <f>IF(_epmOfflineCondition_,310000000,EPMRetrieveData(,,$D$21,$D$22,$D$25,$D$26,$D$27,$D$28,$D$29,$AA$41,$AA$42,$AA$43,$AA$44,$AA$45,Q85))</f>
        <v/>
      </c>
      <c r="P85" s="1348">
        <f>IF(_epmOfflineCondition_,0,EPMRetrieveData(,,$D$21,$D$22,$D$25,$D$26,$D$27,$D$28,$D$29,$Z$41,$Z$42,$Z$43,$Z$28,$Z$45,Q85))</f>
        <v/>
      </c>
      <c r="Q85" s="575" t="inlineStr">
        <is>
          <t>A012020101</t>
        </is>
      </c>
      <c r="R85" s="726" t="inlineStr">
        <is>
          <t>其中：银行借款</t>
        </is>
      </c>
      <c r="S85" s="462">
        <f>IF(_epmOfflineCondition_,"　归属于母公司所有者权益合计",EPMMemberDesc(U85))</f>
        <v/>
      </c>
      <c r="T85" s="716" t="n"/>
      <c r="U85" s="716" t="inlineStr">
        <is>
          <t>A0010310</t>
        </is>
      </c>
      <c r="V85" s="635">
        <f>IF(_epmOfflineCondition_,"A0010310",EPMOlapMemberO(U85,"[C_ACCOUNT].[PARENTH1].[A0010310]","A0010310 - 　归属于母公司所有者权益合计","","000"))</f>
        <v/>
      </c>
      <c r="W85" s="462" t="n"/>
      <c r="X85" s="457" t="inlineStr">
        <is>
          <t xml:space="preserve">   其中：归属于母公司的所有者权益总额</t>
        </is>
      </c>
      <c r="Y85" s="1185">
        <f>ROW()-45</f>
        <v/>
      </c>
      <c r="Z85" s="1347">
        <f>"— —"</f>
        <v/>
      </c>
      <c r="AA85" s="1298" t="inlineStr"/>
      <c r="AB85" s="1298" t="inlineStr"/>
      <c r="AC85" s="1192" t="n"/>
      <c r="AD85" s="1192" t="n"/>
      <c r="AE85" s="716" t="n"/>
      <c r="AF85" s="716" t="n"/>
      <c r="AG85" s="716" t="n"/>
      <c r="AH85" s="716" t="n"/>
      <c r="AI85" s="716" t="n"/>
      <c r="AJ85" s="716" t="n"/>
      <c r="AK85" s="716" t="n"/>
      <c r="AL85" s="716" t="n"/>
      <c r="AM85" s="716" t="n"/>
      <c r="AN85" s="716" t="n"/>
      <c r="AO85" s="716" t="n"/>
    </row>
    <row r="86" ht="16.15" customFormat="1" customHeight="1" s="716">
      <c r="A86" s="716" t="n"/>
      <c r="B86" s="716" t="n"/>
      <c r="C86" s="716" t="n"/>
      <c r="D86" s="716" t="n"/>
      <c r="E86" s="716" t="n"/>
      <c r="F86" s="716" t="n"/>
      <c r="G86" s="716" t="n"/>
      <c r="H86" s="716" t="n"/>
      <c r="I86" s="716" t="n"/>
      <c r="J86" s="716" t="n"/>
      <c r="K86" s="716" t="n"/>
      <c r="L86" s="716" t="n"/>
      <c r="M86" s="716" t="n"/>
      <c r="N86" s="716" t="n"/>
      <c r="O86" s="716" t="n"/>
      <c r="P86" s="716" t="n"/>
      <c r="Q86" s="716" t="n"/>
      <c r="R86" s="716" t="n"/>
      <c r="S86" s="462">
        <f>IF(_epmOfflineCondition_,"              经营活动产生的现金流量净额",EPMMemberDesc(U86))</f>
        <v/>
      </c>
      <c r="T86" s="716" t="n"/>
      <c r="U86" s="716" t="inlineStr">
        <is>
          <t>A0030120</t>
        </is>
      </c>
      <c r="V86" s="635">
        <f>IF(_epmOfflineCondition_,"A0030120",EPMOlapMemberO(U86,"[C_ACCOUNT].[PARENTH1].[A0030120]","A0030120 -               经营活动产生的现金流量净额","","000"))</f>
        <v/>
      </c>
      <c r="W86" s="462" t="n"/>
      <c r="X86" s="585" t="inlineStr">
        <is>
          <t>24. 经营活动产生的现金流量净额</t>
        </is>
      </c>
      <c r="Y86" s="1185">
        <f>ROW()-45</f>
        <v/>
      </c>
      <c r="Z86" s="1298" t="inlineStr"/>
      <c r="AA86" s="1298" t="inlineStr"/>
      <c r="AB86" s="1298" t="n"/>
      <c r="AC86" s="1192" t="n"/>
      <c r="AD86" s="1192" t="n"/>
      <c r="AE86" s="716" t="n"/>
      <c r="AF86" s="716" t="n"/>
      <c r="AG86" s="716" t="n"/>
      <c r="AH86" s="716" t="n"/>
      <c r="AI86" s="716" t="n"/>
      <c r="AJ86" s="716" t="n"/>
      <c r="AK86" s="716" t="n"/>
      <c r="AL86" s="716" t="n"/>
      <c r="AM86" s="716" t="n"/>
      <c r="AN86" s="716" t="n"/>
      <c r="AO86" s="716" t="n"/>
    </row>
    <row r="87" ht="16.15" customFormat="1" customHeight="1" s="716">
      <c r="A87" s="716" t="n"/>
      <c r="B87" s="716" t="n"/>
      <c r="C87" s="716" t="n"/>
      <c r="D87" s="716" t="n"/>
      <c r="E87" s="716" t="n"/>
      <c r="F87" s="716" t="n"/>
      <c r="G87" s="716" t="n"/>
      <c r="H87" s="716" t="n"/>
      <c r="I87" s="716" t="n"/>
      <c r="J87" s="716" t="n"/>
      <c r="K87" s="716" t="n"/>
      <c r="L87" s="716" t="n"/>
      <c r="M87" s="716" t="n"/>
      <c r="N87" s="716" t="n"/>
      <c r="O87" s="716" t="n"/>
      <c r="P87" s="716" t="n"/>
      <c r="Q87" s="716" t="n"/>
      <c r="R87" s="716" t="n"/>
      <c r="S87" s="462">
        <f>IF(_epmOfflineCondition_,"       经营活动现金流入小计",EPMMemberDesc(U87))</f>
        <v/>
      </c>
      <c r="T87" s="716" t="n"/>
      <c r="U87" s="716" t="inlineStr">
        <is>
          <t>A0030111</t>
        </is>
      </c>
      <c r="V87" s="637">
        <f>IF(_epmOfflineCondition_,"A0030111",EPMOlapMemberO(U87,"[C_ACCOUNT].[PARENTH1].[A0030111]","A0030111 -        经营活动现金流入小计","","000"))</f>
        <v/>
      </c>
      <c r="W87" s="462" t="n"/>
      <c r="X87" s="585" t="inlineStr">
        <is>
          <t xml:space="preserve">   其中：经营活动现金流入</t>
        </is>
      </c>
      <c r="Y87" s="1185">
        <f>ROW()-45</f>
        <v/>
      </c>
      <c r="Z87" s="1298" t="inlineStr"/>
      <c r="AA87" s="1298" t="inlineStr"/>
      <c r="AB87" s="1298" t="n"/>
      <c r="AC87" s="1192" t="n"/>
      <c r="AD87" s="1192" t="n"/>
      <c r="AE87" s="716" t="n"/>
      <c r="AF87" s="716" t="n"/>
      <c r="AG87" s="716" t="n"/>
      <c r="AH87" s="716" t="n"/>
      <c r="AI87" s="716" t="n"/>
      <c r="AJ87" s="716" t="n"/>
      <c r="AK87" s="716" t="n"/>
      <c r="AL87" s="716" t="n"/>
      <c r="AM87" s="716" t="n"/>
      <c r="AN87" s="716" t="n"/>
      <c r="AO87" s="716" t="n"/>
    </row>
    <row r="88" ht="16.15" customFormat="1" customHeight="1" s="716">
      <c r="A88" s="716" t="n"/>
      <c r="B88" s="716" t="n"/>
      <c r="C88" s="716" t="n"/>
      <c r="D88" s="716" t="n"/>
      <c r="E88" s="716" t="n"/>
      <c r="F88" s="716" t="n"/>
      <c r="G88" s="716" t="n"/>
      <c r="H88" s="716" t="n"/>
      <c r="I88" s="716" t="n"/>
      <c r="J88" s="716" t="n"/>
      <c r="K88" s="716" t="n"/>
      <c r="L88" s="716" t="n"/>
      <c r="M88" s="716" t="n"/>
      <c r="N88" s="716" t="n"/>
      <c r="O88" s="716" t="n"/>
      <c r="P88" s="716" t="n"/>
      <c r="Q88" s="716" t="n"/>
      <c r="R88" s="716" t="n"/>
      <c r="S88" s="462">
        <f>IF(_epmOfflineCondition_,"25. 资本化利息支出",EPMMemberDesc(U88))</f>
        <v/>
      </c>
      <c r="T88" s="716" t="n"/>
      <c r="U88" s="716" t="inlineStr">
        <is>
          <t>A07818</t>
        </is>
      </c>
      <c r="V88" s="535">
        <f>IF(_epmOfflineCondition_,"A07818",EPMOlapMemberO(U88,"[C_ACCOUNT].[PARENTH1].[A07818]","A07818 - 25. 资本化利息支出","","000"))</f>
        <v/>
      </c>
      <c r="W88" s="462" t="n"/>
      <c r="X88" s="585" t="inlineStr">
        <is>
          <t>25. 资本化利息支出</t>
        </is>
      </c>
      <c r="Y88" s="1185">
        <f>ROW()-45</f>
        <v/>
      </c>
      <c r="Z88" s="1298" t="n"/>
      <c r="AA88" s="1298" t="n"/>
      <c r="AB88" s="1298" t="inlineStr"/>
      <c r="AC88" s="1192" t="n"/>
      <c r="AD88" s="1192" t="n"/>
      <c r="AE88" s="716" t="n"/>
      <c r="AF88" s="716" t="n"/>
      <c r="AG88" s="716" t="n"/>
      <c r="AH88" s="716" t="n"/>
      <c r="AI88" s="716" t="n"/>
      <c r="AJ88" s="716" t="n"/>
      <c r="AK88" s="716" t="n"/>
      <c r="AL88" s="716" t="n"/>
      <c r="AM88" s="716" t="n"/>
      <c r="AN88" s="716" t="n"/>
      <c r="AO88" s="716" t="n"/>
    </row>
    <row r="89" ht="16.15" customFormat="1" customHeight="1" s="716">
      <c r="A89" s="716" t="n"/>
      <c r="B89" s="716" t="n"/>
      <c r="C89" s="716" t="n"/>
      <c r="D89" s="716" t="n"/>
      <c r="E89" s="716" t="n"/>
      <c r="F89" s="716" t="n"/>
      <c r="G89" s="716" t="n"/>
      <c r="H89" s="716" t="n"/>
      <c r="I89" s="716" t="n"/>
      <c r="J89" s="716" t="n"/>
      <c r="K89" s="716" t="n"/>
      <c r="L89" s="716" t="n"/>
      <c r="M89" s="716" t="n"/>
      <c r="N89" s="716" t="n"/>
      <c r="O89" s="716" t="n"/>
      <c r="P89" s="716" t="n"/>
      <c r="Q89" s="716" t="n"/>
      <c r="R89" s="716" t="n"/>
      <c r="S89" s="462">
        <f>IF(_epmOfflineCondition_,"应交款项明细-应交税费",EPMMemberDesc(U89))</f>
        <v/>
      </c>
      <c r="T89" s="716" t="n"/>
      <c r="U89" s="462" t="inlineStr">
        <is>
          <t>A08401</t>
        </is>
      </c>
      <c r="V89" s="535">
        <f>IF(_epmOfflineCondition_,"A08401",EPMOlapMemberO(U89,"[C_ACCOUNT].[PARENTH1].[A08401]","A08401 - 应交款项明细-应交税费","","000"))</f>
        <v/>
      </c>
      <c r="W89" s="462" t="n"/>
      <c r="X89" s="585" t="inlineStr">
        <is>
          <t>26. 应交税费总额</t>
        </is>
      </c>
      <c r="Y89" s="1185">
        <f>ROW()-45</f>
        <v/>
      </c>
      <c r="Z89" s="1298">
        <f>IF(_epmOfflineCondition_,1797689.16,EPMRetrieveData(,,$D$21,$D$22,$D$25,$D$26,$D$27,$D$28,$D$29,$Z$41,$Z$42,$Z$43,$Z$28,$Z$45,V89)+EPMRetrieveData(,,$D$21,$D$22,$D$25,$D$26,$D$27,$D$28,$D$29,$Z$41,$Z$42,$Z$43,$Z$28,$Z$45,Q93)*2)</f>
        <v/>
      </c>
      <c r="AA89" s="1349">
        <f>IF(_epmOfflineCondition_,1815785.99,EPMRetrieveData(,,$D$21,$D$22,$D$25,$D$26,$D$27,$D$28,$D$29,$AA$41,$AA$42,$AA$43,$Z$28,$AA$45,V89)+EPMRetrieveData(,,$D$21,$D$22,$D$25,$D$26,$D$27,$D$28,$D$29,$AA$41,$AA$42,$AA$43,$Z$28,$AA$45,Q93)*2)</f>
        <v/>
      </c>
      <c r="AB89" s="1298">
        <f>IF(_epmOfflineCondition_,60166.68,EPMRetrieveData(,,$D$21,$D$22,$D$25,$D$26,$D$27,$D$28,$D$29,$AB$41,$AB$42,$AB$43,$Z$28,$AB$45,V89)+EPMRetrieveData(,,$D$21,$D$22,$D$25,$D$26,$D$27,$D$28,$D$29,$AB$41,$AB$42,$AB$43,$Z$28,$AB$45,Q93)*2)</f>
        <v/>
      </c>
      <c r="AC89" s="1192" t="inlineStr">
        <is>
          <t>应交所得税取数</t>
        </is>
      </c>
      <c r="AD89" s="1192" t="n"/>
      <c r="AE89" s="716" t="n"/>
      <c r="AF89" s="716" t="n"/>
      <c r="AG89" s="716" t="n"/>
      <c r="AH89" s="716" t="n"/>
      <c r="AI89" s="716" t="n"/>
      <c r="AJ89" s="716" t="n"/>
      <c r="AK89" s="716" t="n"/>
      <c r="AL89" s="716" t="n"/>
      <c r="AM89" s="716" t="n"/>
      <c r="AN89" s="716" t="n"/>
      <c r="AO89" s="716" t="n"/>
    </row>
    <row r="90" ht="16.15" customFormat="1" customHeight="1" s="716">
      <c r="A90" s="716" t="n"/>
      <c r="B90" s="716" t="n"/>
      <c r="C90" s="716" t="n"/>
      <c r="D90" s="716" t="n"/>
      <c r="E90" s="716" t="n"/>
      <c r="F90" s="716" t="n"/>
      <c r="G90" s="716" t="n"/>
      <c r="H90" s="716" t="n"/>
      <c r="I90" s="716" t="n"/>
      <c r="J90" s="716" t="n"/>
      <c r="K90" s="716" t="n"/>
      <c r="L90" s="716" t="n"/>
      <c r="M90" s="716" t="n"/>
      <c r="N90" s="716" t="n"/>
      <c r="O90" s="716" t="n"/>
      <c r="P90" s="716" t="n"/>
      <c r="Q90" s="716" t="n"/>
      <c r="R90" s="716" t="n"/>
      <c r="S90" s="462" t="n"/>
      <c r="T90" s="716" t="n"/>
      <c r="U90" s="462" t="inlineStr">
        <is>
          <t>A0840101</t>
        </is>
      </c>
      <c r="V90" s="459">
        <f>IF(_epmOfflineCondition_,"A0840101",EPMOlapMemberO(U90,"[C_ACCOUNT].[PARENTH1].[A0840101]","A0840101 - 应交款项明细-增值税","","000"))</f>
        <v/>
      </c>
      <c r="W90" s="462" t="n"/>
      <c r="X90" s="605" t="inlineStr">
        <is>
          <t xml:space="preserve">   其中：应交增值税</t>
        </is>
      </c>
      <c r="Y90" s="1185">
        <f>ROW()-45</f>
        <v/>
      </c>
      <c r="Z90" s="1349">
        <f>IF(_epmOfflineCondition_,0,EPMRetrieveData(,,$D$21,$D$22,$D$25,$D$26,$D$27,$D$28,$D$29,$Z$41,$Z$42,$Z$43,$Z$28,$Z$45,V90))</f>
        <v/>
      </c>
      <c r="AA90" s="1349">
        <f>IF(_epmOfflineCondition_,0,EPMRetrieveData(,,$D$21,$D$22,$D$25,$D$26,$D$27,$D$28,$D$29,$AA$41,$AA$42,$AA$43,$Z$28,$AA$45,V90))</f>
        <v/>
      </c>
      <c r="AB90" s="1349">
        <f>IF(_epmOfflineCondition_,0,EPMRetrieveData(,,$D$21,$D$22,$D$25,$D$26,$D$27,$D$28,$D$29,$AB$41,$AB$42,$AB$43,$Z$28,$AB$45,V90))</f>
        <v/>
      </c>
      <c r="AC90" s="1192" t="n"/>
      <c r="AD90" s="1192" t="n"/>
      <c r="AE90" s="716" t="n"/>
      <c r="AF90" s="716" t="n"/>
      <c r="AG90" s="716" t="n"/>
      <c r="AH90" s="716" t="n"/>
      <c r="AI90" s="716" t="n"/>
      <c r="AJ90" s="716" t="n"/>
      <c r="AK90" s="716" t="n"/>
      <c r="AL90" s="716" t="n"/>
      <c r="AM90" s="716" t="n"/>
      <c r="AN90" s="716" t="n"/>
      <c r="AO90" s="716" t="n"/>
    </row>
    <row r="91" ht="16.15" customFormat="1" customHeight="1" s="716">
      <c r="A91" s="716" t="n"/>
      <c r="B91" s="716" t="n"/>
      <c r="C91" s="716" t="n"/>
      <c r="D91" s="716" t="n"/>
      <c r="E91" s="716" t="n"/>
      <c r="F91" s="716" t="n"/>
      <c r="G91" s="716" t="n"/>
      <c r="H91" s="716" t="n"/>
      <c r="I91" s="716" t="n"/>
      <c r="J91" s="716" t="n"/>
      <c r="K91" s="716" t="n"/>
      <c r="L91" s="716" t="n"/>
      <c r="M91" s="716" t="n"/>
      <c r="N91" s="716" t="n"/>
      <c r="O91" s="716" t="n"/>
      <c r="P91" s="716" t="n"/>
      <c r="Q91" s="716" t="n"/>
      <c r="R91" s="716" t="n"/>
      <c r="S91" s="462" t="n"/>
      <c r="T91" s="716" t="n"/>
      <c r="U91" s="462" t="inlineStr">
        <is>
          <t>A0840102</t>
        </is>
      </c>
      <c r="V91" s="459">
        <f>IF(_epmOfflineCondition_,"A0840102",EPMOlapMemberO(U91,"[C_ACCOUNT].[PARENTH1].[A0840102]","A0840102 - 应交款项明细-消费税","","000"))</f>
        <v/>
      </c>
      <c r="W91" s="462" t="n"/>
      <c r="X91" s="605" t="inlineStr">
        <is>
          <t xml:space="preserve">             应交消费税</t>
        </is>
      </c>
      <c r="Y91" s="1185">
        <f>ROW()-45</f>
        <v/>
      </c>
      <c r="Z91" s="1349">
        <f>IF(_epmOfflineCondition_,0,EPMRetrieveData(,,$D$21,$D$22,$D$25,$D$26,$D$27,$D$28,$D$29,$Z$41,$Z$42,$Z$43,$Z$28,$Z$45,V91))</f>
        <v/>
      </c>
      <c r="AA91" s="1349">
        <f>IF(_epmOfflineCondition_,0,EPMRetrieveData(,,$D$21,$D$22,$D$25,$D$26,$D$27,$D$28,$D$29,$AA$41,$AA$42,$AA$43,$Z$28,$AA$45,V91))</f>
        <v/>
      </c>
      <c r="AB91" s="1349">
        <f>IF(_epmOfflineCondition_,0,EPMRetrieveData(,,$D$21,$D$22,$D$25,$D$26,$D$27,$D$28,$D$29,$AB$41,$AB$42,$AB$43,$Z$28,$AB$45,V91))</f>
        <v/>
      </c>
      <c r="AC91" s="1192" t="n"/>
      <c r="AD91" s="1192" t="n"/>
      <c r="AE91" s="716" t="n"/>
      <c r="AF91" s="716" t="n"/>
      <c r="AG91" s="716" t="n"/>
      <c r="AH91" s="716" t="n"/>
      <c r="AI91" s="716" t="n"/>
      <c r="AJ91" s="716" t="n"/>
      <c r="AK91" s="716" t="n"/>
      <c r="AL91" s="716" t="n"/>
      <c r="AM91" s="716" t="n"/>
      <c r="AN91" s="716" t="n"/>
      <c r="AO91" s="716" t="n"/>
    </row>
    <row r="92" ht="16.15" customFormat="1" customHeight="1" s="716">
      <c r="A92" s="716" t="n"/>
      <c r="B92" s="716" t="n"/>
      <c r="C92" s="716" t="n"/>
      <c r="D92" s="716" t="n"/>
      <c r="E92" s="716" t="n"/>
      <c r="F92" s="716" t="n"/>
      <c r="G92" s="716" t="n"/>
      <c r="H92" s="716" t="n"/>
      <c r="I92" s="716" t="n"/>
      <c r="J92" s="716" t="n"/>
      <c r="K92" s="716" t="n"/>
      <c r="L92" s="716" t="n"/>
      <c r="M92" s="716" t="n"/>
      <c r="N92" s="716" t="n"/>
      <c r="O92" s="716" t="n"/>
      <c r="P92" s="716" t="n"/>
      <c r="Q92" s="716" t="n"/>
      <c r="R92" s="716" t="n"/>
      <c r="S92" s="462" t="n"/>
      <c r="T92" s="716" t="n"/>
      <c r="U92" s="462" t="inlineStr">
        <is>
          <t>A0840109</t>
        </is>
      </c>
      <c r="V92" s="459">
        <f>IF(_epmOfflineCondition_,"A0840109",EPMOlapMemberO(U92,"[C_ACCOUNT].[PARENTH1].[A0840109]","A0840109 - 应交款项明细-企业所得税","","000"))</f>
        <v/>
      </c>
      <c r="W92" s="462" t="n"/>
      <c r="X92" s="605" t="inlineStr">
        <is>
          <t xml:space="preserve">             应交所得税</t>
        </is>
      </c>
      <c r="Y92" s="1185">
        <f>ROW()-45</f>
        <v/>
      </c>
      <c r="Z92" s="1349">
        <f>IF(_epmOfflineCondition_,0,EPMRetrieveData(,,$D$21,$D$22,$D$25,$D$26,$D$27,$D$28,$D$29,$Z$41,$Z$42,$Z$43,$Z$28,$Z$45,V92))</f>
        <v/>
      </c>
      <c r="AA92" s="1349">
        <f>IF(_epmOfflineCondition_,0,EPMRetrieveData(,,$D$21,$D$22,$D$25,$D$26,$D$27,$D$28,$D$29,$AA$41,$AA$42,$AA$43,$Z$28,$AA$45,V92))</f>
        <v/>
      </c>
      <c r="AB92" s="1349">
        <f>IF(_epmOfflineCondition_,0,EPMRetrieveData(,,$D$21,$D$22,$D$25,$D$26,$D$27,$D$28,$D$29,$AB$41,$AB$42,$AB$43,$Z$28,$AB$45,V92))</f>
        <v/>
      </c>
      <c r="AC92" s="1192" t="n"/>
      <c r="AD92" s="1192" t="n"/>
      <c r="AE92" s="716" t="n"/>
      <c r="AF92" s="716" t="n"/>
      <c r="AG92" s="716" t="n"/>
      <c r="AH92" s="716" t="n"/>
      <c r="AI92" s="716" t="n"/>
      <c r="AJ92" s="716" t="n"/>
      <c r="AK92" s="716" t="n"/>
      <c r="AL92" s="716" t="n"/>
      <c r="AM92" s="716" t="n"/>
      <c r="AN92" s="716" t="n"/>
      <c r="AO92" s="716" t="n"/>
    </row>
    <row r="93" ht="16.15" customFormat="1" customHeight="1" s="716">
      <c r="A93" s="716" t="n"/>
      <c r="B93" s="716" t="n"/>
      <c r="C93" s="716" t="n"/>
      <c r="D93" s="716" t="n"/>
      <c r="E93" s="716" t="n"/>
      <c r="F93" s="716" t="n"/>
      <c r="G93" s="716" t="n"/>
      <c r="H93" s="716" t="n"/>
      <c r="I93" s="716" t="n"/>
      <c r="J93" s="716" t="n"/>
      <c r="K93" s="716" t="n"/>
      <c r="L93" s="716" t="n"/>
      <c r="M93" s="716" t="n"/>
      <c r="N93" s="716" t="n"/>
      <c r="O93" s="716" t="n"/>
      <c r="P93" s="716" t="n"/>
      <c r="Q93" s="716" t="inlineStr">
        <is>
          <t>A0840101</t>
        </is>
      </c>
      <c r="R93" s="716">
        <f>IF(_epmOfflineCondition_,"应交款项明细-增值税",EPMMemberDesc(Q93))</f>
        <v/>
      </c>
      <c r="S93" s="462">
        <f>IF(_epmOfflineCondition_,"应交款项明细-应交税费",EPMMemberDesc(U93))</f>
        <v/>
      </c>
      <c r="T93" s="716" t="n"/>
      <c r="U93" s="462" t="inlineStr">
        <is>
          <t>A08401</t>
        </is>
      </c>
      <c r="V93" s="535">
        <f>IF(_epmOfflineCondition_,"A08401",EPMOlapMemberO(U93,"[C_ACCOUNT].[PARENTH1].[A08401]","A08401 - 应交款项明细-应交税费","","000"))</f>
        <v/>
      </c>
      <c r="W93" s="462" t="n"/>
      <c r="X93" s="479" t="inlineStr">
        <is>
          <t>27. 已交税费总额</t>
        </is>
      </c>
      <c r="Y93" s="1185">
        <f>ROW()-45</f>
        <v/>
      </c>
      <c r="Z93" s="1298">
        <f>IF(_epmOfflineCondition_,0,EPMRetrieveData(,,$D$21,$D$22,$D$25,$D$26,$D$27,$D$28,$D$29,$Z$41,$Z$42,$Z$43,$AA$28,$Z$45,V93)*-1)</f>
        <v/>
      </c>
      <c r="AA93" s="1298">
        <f>IF(_epmOfflineCondition_,17238.62,EPMRetrieveData(,,$D$21,$D$22,$D$25,$D$26,$D$27,$D$28,$D$29,$AA$41,$AA$42,$AA$43,$AA$28,$AA$45,V93)*-1)</f>
        <v/>
      </c>
      <c r="AB93" s="1298">
        <f>IF(_epmOfflineCondition_,83572.6,EPMRetrieveData(,,$D$21,$D$22,$D$25,$D$26,$D$27,$D$28,$D$29,$AB$41,$AB$42,$AB$43,$AA$28,$AB$45,V93)*-1)</f>
        <v/>
      </c>
      <c r="AC93" s="1192" t="inlineStr">
        <is>
          <t>本年累计</t>
        </is>
      </c>
      <c r="AD93" s="1192" t="inlineStr">
        <is>
          <t>本月</t>
        </is>
      </c>
      <c r="AE93" s="716" t="inlineStr">
        <is>
          <t>上年同期</t>
        </is>
      </c>
      <c r="AF93" s="716" t="n"/>
      <c r="AG93" s="716" t="n"/>
      <c r="AH93" s="716" t="n"/>
      <c r="AI93" s="716" t="n"/>
      <c r="AJ93" s="716" t="n"/>
      <c r="AK93" s="716" t="n"/>
      <c r="AL93" s="716" t="n"/>
      <c r="AM93" s="716" t="n"/>
      <c r="AN93" s="716" t="n"/>
      <c r="AO93" s="716" t="n"/>
    </row>
    <row r="94" ht="16.15" customFormat="1" customHeight="1" s="716">
      <c r="A94" s="716" t="n"/>
      <c r="B94" s="716" t="n"/>
      <c r="C94" s="716" t="n"/>
      <c r="D94" s="716" t="n"/>
      <c r="E94" s="716" t="n"/>
      <c r="F94" s="716" t="n"/>
      <c r="G94" s="716" t="n"/>
      <c r="H94" s="716" t="n"/>
      <c r="I94" s="716" t="n"/>
      <c r="J94" s="716" t="n"/>
      <c r="K94" s="203" t="inlineStr">
        <is>
          <t>已发</t>
        </is>
      </c>
      <c r="N94" s="203" t="inlineStr">
        <is>
          <t>应发</t>
        </is>
      </c>
      <c r="Q94" s="716" t="n"/>
      <c r="R94" s="716" t="n"/>
      <c r="S94" s="462">
        <f>IF(_epmOfflineCondition_,"应交款项明细-增值税",EPMMemberDesc(U94))</f>
        <v/>
      </c>
      <c r="T94" s="716" t="n"/>
      <c r="U94" s="462" t="inlineStr">
        <is>
          <t>A0840101</t>
        </is>
      </c>
      <c r="V94" s="459">
        <f>IF(_epmOfflineCondition_,"A0840101",EPMOlapMemberO(U94,"[C_ACCOUNT].[PARENTH1].[A0840101]","A0840101 - 应交款项明细-增值税","","000"))</f>
        <v/>
      </c>
      <c r="W94" s="462" t="n"/>
      <c r="X94" s="614" t="inlineStr">
        <is>
          <t>其中：已交增值税</t>
        </is>
      </c>
      <c r="Y94" s="1185">
        <f>ROW()-45</f>
        <v/>
      </c>
      <c r="Z94" s="1298">
        <f>IF(_epmOfflineCondition_,0,EPMRetrieveData(,,$D$21,$D$22,$D$25,$D$26,$D$27,$D$28,$D$29,$Z$41,$Z$42,$Z$43,$AA$28,$Z$45,V94))</f>
        <v/>
      </c>
      <c r="AA94" s="1298">
        <f>IF(_epmOfflineCondition_,0,ABS(EPMRetrieveData(,,$D$21,$D$22,$D$25,$D$26,$D$27,$D$28,$D$29,$AA$41,$AA$42,$AA$43,$AA$28,$AA$45,V94)))</f>
        <v/>
      </c>
      <c r="AB94" s="1298">
        <f>IF(_epmOfflineCondition_,0,ABS(EPMRetrieveData(,,$D$21,$D$22,$D$25,$D$26,$D$27,$D$28,$D$29,$AB$41,$AB$42,$AB$43,$AA$28,$AB$45,V94)))</f>
        <v/>
      </c>
      <c r="AC94" s="1192" t="inlineStr">
        <is>
          <t>C1001</t>
        </is>
      </c>
      <c r="AD94" s="1192" t="inlineStr">
        <is>
          <t>C1001</t>
        </is>
      </c>
      <c r="AE94" s="1192" t="inlineStr">
        <is>
          <t>C1001</t>
        </is>
      </c>
      <c r="AF94" s="716" t="n"/>
      <c r="AG94" s="716" t="n"/>
      <c r="AH94" s="716" t="n"/>
      <c r="AI94" s="716" t="n"/>
      <c r="AJ94" s="716" t="n"/>
      <c r="AK94" s="716" t="n"/>
      <c r="AL94" s="716" t="n"/>
      <c r="AM94" s="716" t="n"/>
      <c r="AN94" s="716" t="n"/>
      <c r="AO94" s="716" t="n"/>
    </row>
    <row r="95" ht="16.15" customFormat="1" customHeight="1" s="716">
      <c r="A95" s="716" t="n"/>
      <c r="B95" s="716" t="n"/>
      <c r="C95" s="716" t="n"/>
      <c r="D95" s="716" t="n"/>
      <c r="E95" s="716" t="n"/>
      <c r="F95" s="716" t="n"/>
      <c r="G95" s="716" t="n"/>
      <c r="H95" s="716" t="n"/>
      <c r="I95" s="716" t="n"/>
      <c r="J95" s="716" t="n"/>
      <c r="K95" s="716" t="inlineStr">
        <is>
          <t>上年同期</t>
        </is>
      </c>
      <c r="L95" s="716" t="inlineStr">
        <is>
          <t>本年</t>
        </is>
      </c>
      <c r="M95" s="716" t="inlineStr">
        <is>
          <t>本月</t>
        </is>
      </c>
      <c r="N95" s="716" t="inlineStr">
        <is>
          <t>上年同期</t>
        </is>
      </c>
      <c r="O95" s="716" t="inlineStr">
        <is>
          <t>本年</t>
        </is>
      </c>
      <c r="P95" s="716" t="inlineStr">
        <is>
          <t>本月</t>
        </is>
      </c>
      <c r="Q95" s="716" t="n"/>
      <c r="R95" s="716" t="n"/>
      <c r="S95" s="462">
        <f>IF(_epmOfflineCondition_,"应交款项明细-消费税",EPMMemberDesc(U95))</f>
        <v/>
      </c>
      <c r="T95" s="716" t="n"/>
      <c r="U95" s="462" t="inlineStr">
        <is>
          <t>A0840102</t>
        </is>
      </c>
      <c r="V95" s="459">
        <f>IF(_epmOfflineCondition_,"A0840102",EPMOlapMemberO(U95,"[C_ACCOUNT].[PARENTH1].[A0840102]","A0840102 - 应交款项明细-消费税","","000"))</f>
        <v/>
      </c>
      <c r="W95" s="462" t="n"/>
      <c r="X95" s="460" t="inlineStr">
        <is>
          <t xml:space="preserve"> 已交消费税</t>
        </is>
      </c>
      <c r="Y95" s="1185">
        <f>ROW()-45</f>
        <v/>
      </c>
      <c r="Z95" s="1298">
        <f>IF(_epmOfflineCondition_,0,EPMRetrieveData(,,$D$21,$D$22,$D$25,$D$26,$D$27,$D$28,$D$29,$Z$41,$Z$42,$Z$43,$AA$28,$Z$45,V95)*-1)</f>
        <v/>
      </c>
      <c r="AA95" s="1298">
        <f>IF(_epmOfflineCondition_,0,EPMRetrieveData(,,$D$21,$D$22,$D$25,$D$26,$D$27,$D$28,$D$29,$AA$41,$AA$42,$AA$43,$AA$28,$AA$45,V95)*-1)</f>
        <v/>
      </c>
      <c r="AB95" s="1298">
        <f>IF(_epmOfflineCondition_,0,EPMRetrieveData(,,$D$21,$D$22,$D$25,$D$26,$D$27,$D$28,$D$29,$AB$41,$AB$42,$AB$43,$AA$28,$AB$45,V95)*-1)</f>
        <v/>
      </c>
      <c r="AC95" s="1192">
        <f>$Z$37</f>
        <v/>
      </c>
      <c r="AD95" s="1192">
        <f>$Z$37</f>
        <v/>
      </c>
      <c r="AE95" s="1192">
        <f>$Z$37</f>
        <v/>
      </c>
      <c r="AF95" s="716" t="n"/>
      <c r="AG95" s="716" t="n"/>
      <c r="AH95" s="716" t="n"/>
      <c r="AI95" s="716" t="n"/>
      <c r="AJ95" s="716" t="n"/>
      <c r="AK95" s="716" t="n"/>
      <c r="AL95" s="716" t="n"/>
      <c r="AM95" s="716" t="n"/>
      <c r="AN95" s="716" t="n"/>
      <c r="AO95" s="716" t="n"/>
    </row>
    <row r="96" ht="16.15" customFormat="1" customHeight="1" s="716">
      <c r="A96" s="716" t="n"/>
      <c r="B96" s="716" t="n"/>
      <c r="C96" s="716" t="n"/>
      <c r="D96" s="716" t="n"/>
      <c r="E96" s="716" t="n"/>
      <c r="F96" s="716" t="n"/>
      <c r="G96" s="716" t="n"/>
      <c r="H96" s="716" t="n"/>
      <c r="I96" s="716" t="n"/>
      <c r="J96" s="716" t="n"/>
      <c r="K96" s="1350">
        <f>IF(_epmOfflineCondition_,531563.5,EPMRetrieveData(,,$D$21,$D$22,$D$25,$D$26,$D$27,$D$28,$D$29,$AB$41,$AB$42,$AB$43,$AA$28,$AB$45,Q96)*-1)</f>
        <v/>
      </c>
      <c r="L96" s="1350">
        <f>IF(_epmOfflineCondition_,1108035.55,EPMRetrieveData(,,$D$21,$D$22,$D$25,$D$26,$D$27,$D$28,$D$29,$AA$41,$AA$42,$AA$43,$AA$28,$AA$45,Q96)*-1)</f>
        <v/>
      </c>
      <c r="M96" s="1350">
        <f>IF(_epmOfflineCondition_,397586.2,EPMRetrieveData(,,$D$21,$D$22,$D$25,$D$26,$D$27,$D$28,$D$29,$Z$41,$Z$42,$Z$43,$AA$28,$Z$45,Q96)*-1)</f>
        <v/>
      </c>
      <c r="N96" s="1192">
        <f>IF(_epmOfflineCondition_,531563.5,EPMRetrieveData(,,$D$21,$D$22,$D$25,$D$26,$D$27,$D$28,$D$29,$AB$41,$AB$42,$AB$43,$Z$28,$AB$45,Q96))</f>
        <v/>
      </c>
      <c r="O96" s="1192">
        <f>IF(_epmOfflineCondition_,1108035.55,EPMRetrieveData(,,$D$21,$D$22,$D$25,$D$26,$D$27,$D$28,$D$29,$AA$41,$AA$42,$AA$43,$Z$28,$AA$45,Q96))</f>
        <v/>
      </c>
      <c r="P96" s="1192">
        <f>IF(_epmOfflineCondition_,397586.2,EPMRetrieveData(,,$D$21,$D$22,$D$25,$D$26,$D$27,$D$28,$D$29,$Z$41,$Z$42,$Z$43,$Z$28,$Z$45,Q96))</f>
        <v/>
      </c>
      <c r="Q96" s="716" t="inlineStr">
        <is>
          <t>A0070301</t>
        </is>
      </c>
      <c r="R96" s="716">
        <f>IF(_epmOfflineCondition_,"人工成本明细-应发工资总额",EPMMemberDesc(Q96))</f>
        <v/>
      </c>
      <c r="S96" s="462">
        <f>IF(_epmOfflineCondition_,"应交款项明细-企业所得税",EPMMemberDesc(U96))</f>
        <v/>
      </c>
      <c r="T96" s="716" t="n"/>
      <c r="U96" s="462" t="inlineStr">
        <is>
          <t>A0840109</t>
        </is>
      </c>
      <c r="V96" s="459">
        <f>IF(_epmOfflineCondition_,"A0840109",EPMOlapMemberO(U96,"[C_ACCOUNT].[PARENTH1].[A0840109]","A0840109 - 应交款项明细-企业所得税","","000"))</f>
        <v/>
      </c>
      <c r="W96" s="462" t="n"/>
      <c r="X96" s="460" t="inlineStr">
        <is>
          <t xml:space="preserve"> 已交所得税</t>
        </is>
      </c>
      <c r="Y96" s="1185">
        <f>ROW()-45</f>
        <v/>
      </c>
      <c r="Z96" s="1298">
        <f>IF(_epmOfflineCondition_,0,EPMRetrieveData(,,$D$21,$D$22,$D$25,$D$26,$D$27,$D$28,$D$29,$Z$41,$Z$42,$Z$43,$AA$28,$Z$45,V96)*-1)</f>
        <v/>
      </c>
      <c r="AA96" s="1298">
        <f>IF(_epmOfflineCondition_,0,EPMRetrieveData(,,$D$21,$D$22,$D$25,$D$26,$D$27,$D$28,$D$29,$AA$41,$AA$42,$AA$43,$AA$28,$AA$45,V96)*-1)</f>
        <v/>
      </c>
      <c r="AB96" s="1298">
        <f>IF(_epmOfflineCondition_,0,EPMRetrieveData(,,$D$21,$D$22,$D$25,$D$26,$D$27,$D$28,$D$29,$AB$41,$AB$42,$AB$43,$AA$28,$AB$45,V96)*-1)</f>
        <v/>
      </c>
      <c r="AC96" s="1192" t="inlineStr">
        <is>
          <t>A0840109</t>
        </is>
      </c>
      <c r="AD96" s="1192" t="inlineStr">
        <is>
          <t>A0840109</t>
        </is>
      </c>
      <c r="AE96" s="1192" t="inlineStr">
        <is>
          <t>A0840109</t>
        </is>
      </c>
      <c r="AF96" s="716" t="n"/>
      <c r="AG96" s="716" t="n"/>
      <c r="AH96" s="716" t="n"/>
      <c r="AI96" s="716" t="n"/>
      <c r="AJ96" s="716" t="n"/>
      <c r="AK96" s="716" t="n"/>
      <c r="AL96" s="716" t="n"/>
      <c r="AM96" s="716" t="n"/>
      <c r="AN96" s="716" t="n"/>
      <c r="AO96" s="716" t="n"/>
    </row>
    <row r="97" ht="16.15" customFormat="1" customHeight="1" s="716">
      <c r="A97" s="716" t="n"/>
      <c r="B97" s="716" t="n"/>
      <c r="C97" s="716" t="n"/>
      <c r="D97" s="716" t="n"/>
      <c r="E97" s="716" t="n"/>
      <c r="F97" s="716" t="n"/>
      <c r="G97" s="716" t="n"/>
      <c r="H97" s="716" t="n"/>
      <c r="I97" s="716" t="n"/>
      <c r="J97" s="716" t="n"/>
      <c r="K97" s="1350" t="n"/>
      <c r="L97" s="1350" t="n"/>
      <c r="M97" s="1350" t="n"/>
      <c r="N97" s="1192" t="n"/>
      <c r="O97" s="1192" t="n"/>
      <c r="P97" s="1192" t="n"/>
      <c r="Q97" s="716" t="n"/>
      <c r="R97" s="716" t="n"/>
      <c r="S97" s="462" t="n"/>
      <c r="T97" s="716" t="n"/>
      <c r="U97" s="462" t="n"/>
      <c r="V97" s="459" t="n"/>
      <c r="W97" s="462" t="n"/>
      <c r="X97" s="605" t="inlineStr">
        <is>
          <t>28.应发职工薪酬总额</t>
        </is>
      </c>
      <c r="Y97" s="1185">
        <f>ROW()-45</f>
        <v/>
      </c>
      <c r="Z97" s="1298">
        <f>SUM(P96:P112,P117,P118:P122)-P121</f>
        <v/>
      </c>
      <c r="AA97" s="1298">
        <f>SUM(O96:O112,O117,O118:O122)-O121</f>
        <v/>
      </c>
      <c r="AB97" s="1298">
        <f>SUM(N96:N112,N117,N118:N122)-N121</f>
        <v/>
      </c>
      <c r="AC97" s="1192" t="n"/>
      <c r="AD97" s="1192" t="n"/>
      <c r="AE97" s="1192" t="n"/>
      <c r="AF97" s="716" t="n"/>
      <c r="AG97" s="716" t="n"/>
      <c r="AH97" s="716" t="n"/>
      <c r="AI97" s="716" t="n"/>
      <c r="AJ97" s="716" t="n"/>
      <c r="AK97" s="716" t="n"/>
      <c r="AL97" s="716" t="n"/>
      <c r="AM97" s="716" t="n"/>
      <c r="AN97" s="716" t="n"/>
      <c r="AO97" s="716" t="n"/>
    </row>
    <row r="98" ht="16.15" customFormat="1" customHeight="1" s="716">
      <c r="A98" s="716" t="n"/>
      <c r="B98" s="716" t="n"/>
      <c r="C98" s="716" t="n"/>
      <c r="D98" s="716" t="n"/>
      <c r="E98" s="716" t="n"/>
      <c r="F98" s="716" t="n"/>
      <c r="G98" s="716" t="n"/>
      <c r="H98" s="716" t="n"/>
      <c r="I98" s="716" t="n"/>
      <c r="J98" s="716" t="n"/>
      <c r="K98" s="1350">
        <f>IF(_epmOfflineCondition_,206230,EPMRetrieveData(,,$D$21,$D$22,$D$25,$D$26,$D$27,$D$28,$D$29,$AB$41,$AB$42,$AB$43,$AA$28,$AB$45,Q98)*-1)</f>
        <v/>
      </c>
      <c r="L98" s="1350">
        <f>IF(_epmOfflineCondition_,427068.27,EPMRetrieveData(,,$D$21,$D$22,$D$25,$D$26,$D$27,$D$28,$D$29,$AA$41,$AA$42,$AA$43,$AA$28,$AA$45,Q98)*-1)</f>
        <v/>
      </c>
      <c r="M98" s="1350">
        <f>IF(_epmOfflineCondition_,124071.58,EPMRetrieveData(,,$D$21,$D$22,$D$25,$D$26,$D$27,$D$28,$D$29,$Z$41,$Z$42,$Z$43,$AA$28,$Z$45,Q98)*-1)</f>
        <v/>
      </c>
      <c r="N98" s="1192">
        <f>IF(_epmOfflineCondition_,206230,EPMRetrieveData(,,$D$21,$D$22,$D$25,$D$26,$D$27,$D$28,$D$29,$AB$41,$AB$42,$AB$43,$Z$28,$AB$45,Q98))</f>
        <v/>
      </c>
      <c r="O98" s="1192">
        <f>IF(_epmOfflineCondition_,427068.27,EPMRetrieveData(,,$D$21,$D$22,$D$25,$D$26,$D$27,$D$28,$D$29,$AA$41,$AA$42,$AA$43,$Z$28,$AA$45,Q98))</f>
        <v/>
      </c>
      <c r="P98" s="1192">
        <f>IF(_epmOfflineCondition_,124071.58,EPMRetrieveData(,,$D$21,$D$22,$D$25,$D$26,$D$27,$D$28,$D$29,$Z$41,$Z$42,$Z$43,$Z$28,$Z$45,Q98))</f>
        <v/>
      </c>
      <c r="Q98" s="716" t="inlineStr">
        <is>
          <t>A0070302</t>
        </is>
      </c>
      <c r="R98" s="716">
        <f>IF(_epmOfflineCondition_,"人工成本明细-社会保险费用",EPMMemberDesc(Q98))</f>
        <v/>
      </c>
      <c r="S98" s="462">
        <f>IF(_epmOfflineCondition_,"人工成本明细-应发职工人工成本总额",EPMMemberDesc(U98))</f>
        <v/>
      </c>
      <c r="T98" s="716" t="n"/>
      <c r="U98" s="462" t="inlineStr">
        <is>
          <t>A00703</t>
        </is>
      </c>
      <c r="V98" s="535">
        <f>IF(_epmOfflineCondition_,"A00703",EPMOlapMemberO(U98,"[C_ACCOUNT].[PARENTH1].[A00703]","A00703 - 人工成本明细-应发职工人工成本总额","","000"))</f>
        <v/>
      </c>
      <c r="W98" s="462" t="n"/>
      <c r="X98" s="605" t="inlineStr">
        <is>
          <t>29.实际发放职工薪酬总额</t>
        </is>
      </c>
      <c r="Y98" s="1185">
        <f>ROW()-45</f>
        <v/>
      </c>
      <c r="Z98" s="1298">
        <f>SUM(M96:M112,M117,M118:M122)-M121</f>
        <v/>
      </c>
      <c r="AA98" s="1298">
        <f>SUM(L96:L112,L117,L118:L122)-L121</f>
        <v/>
      </c>
      <c r="AB98" s="1298">
        <f>SUM(K96:K112,K117,K118:K122)-K121</f>
        <v/>
      </c>
      <c r="AC98" s="1192" t="inlineStr">
        <is>
          <t>I_ALL</t>
        </is>
      </c>
      <c r="AD98" s="1192" t="inlineStr">
        <is>
          <t>I_ALL</t>
        </is>
      </c>
      <c r="AE98" s="1192" t="inlineStr">
        <is>
          <t>I_ALL</t>
        </is>
      </c>
      <c r="AF98" s="1351" t="n"/>
      <c r="AG98" s="1351" t="n"/>
      <c r="AH98" s="1351" t="n"/>
      <c r="AI98" s="716" t="n"/>
      <c r="AJ98" s="716" t="n"/>
      <c r="AK98" s="716" t="n"/>
      <c r="AL98" s="716" t="n"/>
      <c r="AM98" s="716" t="n"/>
      <c r="AN98" s="716" t="n"/>
      <c r="AO98" s="716" t="n"/>
    </row>
    <row r="99" ht="16.15" customFormat="1" customHeight="1" s="716">
      <c r="A99" s="716" t="n"/>
      <c r="B99" s="716" t="n"/>
      <c r="C99" s="716" t="n"/>
      <c r="D99" s="716" t="n"/>
      <c r="E99" s="716" t="n"/>
      <c r="F99" s="716" t="n"/>
      <c r="G99" s="716" t="n"/>
      <c r="H99" s="716" t="n"/>
      <c r="I99" s="716" t="n"/>
      <c r="J99" s="716" t="n"/>
      <c r="K99" s="1350">
        <f>IF(_epmOfflineCondition_,0,EPMRetrieveData(,,$D$21,$D$22,$D$25,$D$26,$D$27,$D$28,$D$29,$AB$41,$AB$42,$AB$43,$AA$28,$AB$45,Q99)*-1)</f>
        <v/>
      </c>
      <c r="L99" s="1350">
        <f>IF(_epmOfflineCondition_,0,EPMRetrieveData(,,$D$21,$D$22,$D$25,$D$26,$D$27,$D$28,$D$29,$AA$41,$AA$42,$AA$43,$AA$28,$AA$45,Q99)*-1)</f>
        <v/>
      </c>
      <c r="M99" s="1350">
        <f>IF(_epmOfflineCondition_,0,EPMRetrieveData(,,$D$21,$D$22,$D$25,$D$26,$D$27,$D$28,$D$29,$Z$41,$Z$42,$Z$43,$AA$28,$Z$45,Q99)*-1)</f>
        <v/>
      </c>
      <c r="N99" s="1192">
        <f>IF(_epmOfflineCondition_,0,EPMRetrieveData(,,$D$21,$D$22,$D$25,$D$26,$D$27,$D$28,$D$29,$AB$41,$AB$42,$AB$43,$Z$28,$AB$45,Q99))</f>
        <v/>
      </c>
      <c r="O99" s="1192">
        <f>IF(_epmOfflineCondition_,0,EPMRetrieveData(,,$D$21,$D$22,$D$25,$D$26,$D$27,$D$28,$D$29,$AA$41,$AA$42,$AA$43,$Z$28,$AA$45,Q99))</f>
        <v/>
      </c>
      <c r="P99" s="1192">
        <f>IF(_epmOfflineCondition_,0,EPMRetrieveData(,,$D$21,$D$22,$D$25,$D$26,$D$27,$D$28,$D$29,$Z$41,$Z$42,$Z$43,$Z$28,$Z$45,Q99))</f>
        <v/>
      </c>
      <c r="Q99" s="716" t="inlineStr">
        <is>
          <t>A0070303</t>
        </is>
      </c>
      <c r="R99" s="716">
        <f>IF(_epmOfflineCondition_,"人工成本明细-商业保险费用",EPMMemberDesc(Q99))</f>
        <v/>
      </c>
      <c r="S99" s="462">
        <f>IF(_epmOfflineCondition_,"人工成本明细-应发工资总额",EPMMemberDesc(U99))</f>
        <v/>
      </c>
      <c r="T99" s="716" t="n"/>
      <c r="U99" s="462" t="inlineStr">
        <is>
          <t>A0070301</t>
        </is>
      </c>
      <c r="V99" s="459">
        <f>IF(_epmOfflineCondition_,"A0070301",EPMOlapMemberO(U99,"[C_ACCOUNT].[PARENTH1].[A0070301]","A0070301 - 人工成本明细-应发工资总额","","000"))</f>
        <v/>
      </c>
      <c r="W99" s="462" t="n"/>
      <c r="X99" s="457" t="inlineStr">
        <is>
          <t xml:space="preserve">   其中：职工工资总额</t>
        </is>
      </c>
      <c r="Y99" s="1185">
        <f>ROW()-45</f>
        <v/>
      </c>
      <c r="Z99" s="1298">
        <f>IF(_epmOfflineCondition_,397586.2,EPMRetrieveData(,,$D$21,$D$22,$D$25,$D$26,$D$27,$D$28,$D$29,$Z$41,$Z$42,$Z$43,$AA$28,$Z$45,V99)*-1)</f>
        <v/>
      </c>
      <c r="AA99" s="1298">
        <f>IF(_epmOfflineCondition_,1108035.55,EPMRetrieveData(,,$D$21,$D$22,$D$25,$D$26,$D$27,$D$28,$D$29,$AA$41,$AA$42,$AA$43,$AA$28,$AA$45,V99)*-1)</f>
        <v/>
      </c>
      <c r="AB99" s="1298">
        <f>IF(_epmOfflineCondition_,531563.5,EPMRetrieveData(,,$D$21,$D$22,$D$25,$D$26,$D$27,$D$28,$D$29,$AB$41,$AB$42,$AB$43,$AA$28,$AB$45,V99)*-1)</f>
        <v/>
      </c>
      <c r="AC99" s="1192" t="inlineStr">
        <is>
          <t>ZM_ALL</t>
        </is>
      </c>
      <c r="AD99" s="1192" t="inlineStr">
        <is>
          <t>ZM_ALL</t>
        </is>
      </c>
      <c r="AE99" s="1192" t="inlineStr">
        <is>
          <t>ZM_ALL</t>
        </is>
      </c>
      <c r="AF99" s="1351" t="n"/>
      <c r="AG99" s="1351" t="n"/>
      <c r="AH99" s="1351" t="n"/>
      <c r="AI99" s="716" t="n"/>
      <c r="AJ99" s="716" t="n"/>
      <c r="AK99" s="716" t="n"/>
      <c r="AL99" s="716" t="n"/>
      <c r="AM99" s="716" t="n"/>
      <c r="AN99" s="716" t="n"/>
      <c r="AO99" s="716" t="n"/>
    </row>
    <row r="100" ht="16.15" customFormat="1" customHeight="1" s="716">
      <c r="A100" s="716" t="n"/>
      <c r="B100" s="716" t="n"/>
      <c r="C100" s="716" t="n"/>
      <c r="D100" s="716" t="n"/>
      <c r="E100" s="716" t="n"/>
      <c r="F100" s="716" t="n"/>
      <c r="G100" s="716" t="n"/>
      <c r="H100" s="716" t="n"/>
      <c r="I100" s="716" t="n"/>
      <c r="J100" s="716" t="n"/>
      <c r="K100" s="1350">
        <f>IF(_epmOfflineCondition_,248103.86,EPMRetrieveData(,,$D$21,$D$22,$D$25,$D$26,$D$27,$D$28,$D$29,$AB$41,$AB$42,$AB$43,$AA$28,$AB$45,Q100)*-1)</f>
        <v/>
      </c>
      <c r="L100" s="1350">
        <f>IF(_epmOfflineCondition_,81855.46,EPMRetrieveData(,,$D$21,$D$22,$D$25,$D$26,$D$27,$D$28,$D$29,$AA$41,$AA$42,$AA$43,$AA$28,$AA$45,Q100)*-1)</f>
        <v/>
      </c>
      <c r="M100" s="1350">
        <f>IF(_epmOfflineCondition_,24389.54,EPMRetrieveData(,,$D$21,$D$22,$D$25,$D$26,$D$27,$D$28,$D$29,$Z$41,$Z$42,$Z$43,$AA$28,$Z$45,Q100)*-1)</f>
        <v/>
      </c>
      <c r="N100" s="1192">
        <f>IF(_epmOfflineCondition_,248103.86,EPMRetrieveData(,,$D$21,$D$22,$D$25,$D$26,$D$27,$D$28,$D$29,$AB$41,$AB$42,$AB$43,$Z$28,$AB$45,Q100))</f>
        <v/>
      </c>
      <c r="O100" s="1192">
        <f>IF(_epmOfflineCondition_,81855.46,EPMRetrieveData(,,$D$21,$D$22,$D$25,$D$26,$D$27,$D$28,$D$29,$AA$41,$AA$42,$AA$43,$Z$28,$AA$45,Q100))</f>
        <v/>
      </c>
      <c r="P100" s="1192">
        <f>IF(_epmOfflineCondition_,24389.54,EPMRetrieveData(,,$D$21,$D$22,$D$25,$D$26,$D$27,$D$28,$D$29,$Z$41,$Z$42,$Z$43,$Z$28,$Z$45,Q100))</f>
        <v/>
      </c>
      <c r="Q100" s="716" t="inlineStr">
        <is>
          <t>A0070304P</t>
        </is>
      </c>
      <c r="R100" s="716">
        <f>IF(_epmOfflineCondition_,"人工成本明细-福利费用",EPMMemberDesc(Q100))</f>
        <v/>
      </c>
      <c r="S100" s="462">
        <f>IF(_epmOfflineCondition_,"人工成本明细-其中：应发工资总额",EPMMemberDesc(U100))</f>
        <v/>
      </c>
      <c r="T100" s="716" t="n"/>
      <c r="U100" s="462" t="inlineStr">
        <is>
          <t>A0070401</t>
        </is>
      </c>
      <c r="V100" s="459">
        <f>IF(_epmOfflineCondition_,"A0070401",EPMOlapMemberO(U100,"[C_ACCOUNT].[PARENTH1].[A0070401]","A0070401 - 人工成本明细-其中：应发工资总额","","000"))</f>
        <v/>
      </c>
      <c r="W100" s="462" t="n"/>
      <c r="X100" s="614" t="inlineStr">
        <is>
          <t xml:space="preserve">          其中：在岗职工工资总额</t>
        </is>
      </c>
      <c r="Y100" s="1185">
        <f>ROW()-45</f>
        <v/>
      </c>
      <c r="Z100" s="1298">
        <f>M96-M115-M116</f>
        <v/>
      </c>
      <c r="AA100" s="1298">
        <f>L96-L115-L116</f>
        <v/>
      </c>
      <c r="AB100" s="1298">
        <f>K96-K115-K116</f>
        <v/>
      </c>
      <c r="AC100" s="1192" t="inlineStr">
        <is>
          <t>ZP_ALL</t>
        </is>
      </c>
      <c r="AD100" s="1192" t="inlineStr">
        <is>
          <t>ZP_ALL</t>
        </is>
      </c>
      <c r="AE100" s="1192" t="inlineStr">
        <is>
          <t>ZP_ALL</t>
        </is>
      </c>
      <c r="AF100" s="716" t="n"/>
      <c r="AG100" s="716" t="n"/>
      <c r="AH100" s="716" t="n"/>
      <c r="AI100" s="716" t="n"/>
      <c r="AJ100" s="716" t="n"/>
      <c r="AK100" s="716" t="n"/>
      <c r="AL100" s="716" t="n"/>
      <c r="AM100" s="716" t="n"/>
      <c r="AN100" s="716" t="n"/>
      <c r="AO100" s="716" t="n"/>
    </row>
    <row r="101" ht="16.15" customFormat="1" customHeight="1" s="716">
      <c r="A101" s="716" t="n"/>
      <c r="B101" s="716" t="n"/>
      <c r="C101" s="716" t="n"/>
      <c r="D101" s="716" t="n"/>
      <c r="E101" s="716" t="n"/>
      <c r="F101" s="716" t="n"/>
      <c r="G101" s="716" t="n"/>
      <c r="H101" s="716" t="n"/>
      <c r="I101" s="716" t="n"/>
      <c r="J101" s="716" t="n"/>
      <c r="K101" s="1350" t="n"/>
      <c r="L101" s="1350" t="n"/>
      <c r="M101" s="1350" t="n"/>
      <c r="N101" s="1192" t="n"/>
      <c r="O101" s="1192" t="n"/>
      <c r="P101" s="1192" t="n"/>
      <c r="Q101" s="716" t="n"/>
      <c r="R101" s="716" t="n"/>
      <c r="S101" s="462" t="n"/>
      <c r="T101" s="716" t="n"/>
      <c r="U101" s="462" t="inlineStr">
        <is>
          <t>A00706</t>
        </is>
      </c>
      <c r="V101" s="535">
        <f>IF(_epmOfflineCondition_,"A00706",EPMOlapMemberO(U101,"[C_ACCOUNT].[PARENTH1].[A00706]","A00706 - 人工成本明细-劳务派遣用工支出","","000"))</f>
        <v/>
      </c>
      <c r="W101" s="462" t="n"/>
      <c r="X101" s="605" t="inlineStr">
        <is>
          <t xml:space="preserve">         劳务派遣费用</t>
        </is>
      </c>
      <c r="Y101" s="1185">
        <f>ROW()-45</f>
        <v/>
      </c>
      <c r="Z101" s="1298">
        <f>IF(_epmOfflineCondition_,0,EPMRetrieveData(,,$D$21,$D$22,$D$25,$D$26,$D$27,$D$28,$D$29,$Z$41,$Z$42,$Z$43,$AA$28,$Z$45,V101)*-1)</f>
        <v/>
      </c>
      <c r="AA101" s="1298">
        <f>IF(_epmOfflineCondition_,0,EPMRetrieveData(,,$D$21,$D$22,$D$25,$D$26,$D$27,$D$28,$D$29,$AA$41,$AA$42,$AA$43,$AA$28,$AA$45,V101)*-1)</f>
        <v/>
      </c>
      <c r="AB101" s="1298">
        <f>IF(_epmOfflineCondition_,0,EPMRetrieveData(,,$D$21,$D$22,$D$25,$D$26,$D$27,$D$28,$D$29,$AB$41,$AB$42,$AB$43,$AA$28,$AB$45,V101)*-1)</f>
        <v/>
      </c>
      <c r="AC101" s="1192" t="n"/>
      <c r="AD101" s="1192" t="n"/>
      <c r="AE101" s="1192" t="n"/>
      <c r="AF101" s="716" t="n"/>
      <c r="AG101" s="716" t="n"/>
      <c r="AH101" s="716" t="n"/>
      <c r="AI101" s="716" t="n"/>
      <c r="AJ101" s="716" t="n"/>
      <c r="AK101" s="716" t="n"/>
      <c r="AL101" s="716" t="n"/>
      <c r="AM101" s="716" t="n"/>
      <c r="AN101" s="716" t="n"/>
      <c r="AO101" s="716" t="n"/>
    </row>
    <row r="102" ht="16.15" customFormat="1" customHeight="1" s="716">
      <c r="A102" s="716" t="n"/>
      <c r="B102" s="716" t="n"/>
      <c r="C102" s="716" t="n"/>
      <c r="D102" s="716" t="n"/>
      <c r="E102" s="716" t="n"/>
      <c r="F102" s="716" t="n"/>
      <c r="G102" s="716" t="n"/>
      <c r="H102" s="716" t="n"/>
      <c r="I102" s="716" t="n"/>
      <c r="J102" s="716" t="n"/>
      <c r="K102" s="1350">
        <f>IF(_epmOfflineCondition_,3268.32,EPMRetrieveData(,,$D$21,$D$22,$D$25,$D$26,$D$27,$D$28,$D$29,$AB$41,$AB$42,$AB$43,$AA$28,$AB$45,Q102)*-1)</f>
        <v/>
      </c>
      <c r="L102" s="1350">
        <f>IF(_epmOfflineCondition_,4259.54,EPMRetrieveData(,,$D$21,$D$22,$D$25,$D$26,$D$27,$D$28,$D$29,$AA$41,$AA$42,$AA$43,$AA$28,$AA$45,Q102)*-1)</f>
        <v/>
      </c>
      <c r="M102" s="1350">
        <f>IF(_epmOfflineCondition_,893.2,EPMRetrieveData(,,$D$21,$D$22,$D$25,$D$26,$D$27,$D$28,$D$29,$Z$41,$Z$42,$Z$43,$AA$28,$Z$45,Q102)*-1)</f>
        <v/>
      </c>
      <c r="N102" s="1192">
        <f>IF(_epmOfflineCondition_,3268.32,EPMRetrieveData(,,$D$21,$D$22,$D$25,$D$26,$D$27,$D$28,$D$29,$AB$41,$AB$42,$AB$43,$Z$28,$AB$45,Q102))</f>
        <v/>
      </c>
      <c r="O102" s="1192">
        <f>IF(_epmOfflineCondition_,4259.54,EPMRetrieveData(,,$D$21,$D$22,$D$25,$D$26,$D$27,$D$28,$D$29,$AA$41,$AA$42,$AA$43,$Z$28,$AA$45,Q102))</f>
        <v/>
      </c>
      <c r="P102" s="1192">
        <f>IF(_epmOfflineCondition_,893.2,EPMRetrieveData(,,$D$21,$D$22,$D$25,$D$26,$D$27,$D$28,$D$29,$Z$41,$Z$42,$Z$43,$Z$28,$Z$45,Q102))</f>
        <v/>
      </c>
      <c r="Q102" s="716" t="inlineStr">
        <is>
          <t>A0070305</t>
        </is>
      </c>
      <c r="R102" s="716">
        <f>IF(_epmOfflineCondition_,"人工成本明细-教育培训经费",EPMMemberDesc(Q102))</f>
        <v/>
      </c>
      <c r="S102" s="462">
        <f>IF(_epmOfflineCondition_,"人工成本明细-全年平均职工人数（人）",EPMMemberDesc(U102))</f>
        <v/>
      </c>
      <c r="T102" s="716" t="n"/>
      <c r="U102" s="716" t="inlineStr">
        <is>
          <t>A0070702</t>
        </is>
      </c>
      <c r="V102" s="459">
        <f>IF(_epmOfflineCondition_,"A0070702",EPMOlapMemberO(U102,"[C_ACCOUNT].[PARENTH1].[A0070702]","A0070702 - 人工成本明细-全年平均职工人数（人）","","000"))</f>
        <v/>
      </c>
      <c r="W102" s="462" t="n"/>
      <c r="X102" s="585" t="inlineStr">
        <is>
          <t>30. 职工人数（人）（不含劳务派遣人员）</t>
        </is>
      </c>
      <c r="Y102" s="1185">
        <f>ROW()-45</f>
        <v/>
      </c>
      <c r="Z102" s="1347">
        <f>"— —"</f>
        <v/>
      </c>
      <c r="AA102" s="1298">
        <f>IF(_epmOfflineCondition_,21,EPMRetrieveData(,,$D$21,$D$22,$C$25,$C$26,$C$27,$C$28,$C$29,$AA$41,$AA$42,$AA$43,$Z$28,$AA$45,V102))</f>
        <v/>
      </c>
      <c r="AB102" s="1298">
        <f>IF(_epmOfflineCondition_,12,EPMRetrieveData(,,$D$21,$D$22,$C$25,$C$26,$C$27,$C$28,$C$29,$AB$41,$AB$42,$AB$43,$Z$28,$AB$45,V102))</f>
        <v/>
      </c>
      <c r="AC102" s="1192" t="inlineStr">
        <is>
          <t>ZI_ALL</t>
        </is>
      </c>
      <c r="AD102" s="1192" t="inlineStr">
        <is>
          <t>ZI_ALL</t>
        </is>
      </c>
      <c r="AE102" s="1192" t="inlineStr">
        <is>
          <t>ZI_ALL</t>
        </is>
      </c>
      <c r="AF102" s="716" t="n"/>
      <c r="AG102" s="716" t="n"/>
      <c r="AH102" s="716" t="n"/>
      <c r="AI102" s="716" t="n"/>
      <c r="AJ102" s="716" t="n"/>
      <c r="AK102" s="716" t="n"/>
      <c r="AL102" s="716" t="n"/>
      <c r="AM102" s="716" t="n"/>
      <c r="AN102" s="716" t="n"/>
      <c r="AO102" s="716" t="n"/>
    </row>
    <row r="103" ht="16.15" customFormat="1" customHeight="1" s="716">
      <c r="A103" s="716" t="n"/>
      <c r="B103" s="716" t="n"/>
      <c r="C103" s="716" t="n"/>
      <c r="D103" s="716" t="n"/>
      <c r="E103" s="716" t="n"/>
      <c r="F103" s="716" t="n"/>
      <c r="G103" s="716" t="n"/>
      <c r="H103" s="716" t="n"/>
      <c r="I103" s="716" t="n"/>
      <c r="J103" s="716" t="n"/>
      <c r="K103" s="1350">
        <f>IF(_epmOfflineCondition_,29888.7,EPMRetrieveData(,,$D$21,$D$22,$D$25,$D$26,$D$27,$D$28,$D$29,$AB$41,$AB$42,$AB$43,$AA$28,$AB$45,Q103)*-1)</f>
        <v/>
      </c>
      <c r="L103" s="1350">
        <f>IF(_epmOfflineCondition_,47076.71,EPMRetrieveData(,,$D$21,$D$22,$D$25,$D$26,$D$27,$D$28,$D$29,$AA$41,$AA$42,$AA$43,$AA$28,$AA$45,Q103)*-1)</f>
        <v/>
      </c>
      <c r="M103" s="1350">
        <f>IF(_epmOfflineCondition_,7421.41,EPMRetrieveData(,,$D$21,$D$22,$D$25,$D$26,$D$27,$D$28,$D$29,$Z$41,$Z$42,$Z$43,$AA$28,$Z$45,Q103)*-1)</f>
        <v/>
      </c>
      <c r="N103" s="1192">
        <f>IF(_epmOfflineCondition_,10631.27,EPMRetrieveData(,,$D$21,$D$22,$D$25,$D$26,$D$27,$D$28,$D$29,$AB$41,$AB$42,$AB$43,$Z$28,$AB$45,Q103))</f>
        <v/>
      </c>
      <c r="O103" s="1192">
        <f>IF(_epmOfflineCondition_,22160.71,EPMRetrieveData(,,$D$21,$D$22,$D$25,$D$26,$D$27,$D$28,$D$29,$AA$41,$AA$42,$AA$43,$Z$28,$AA$45,Q103))</f>
        <v/>
      </c>
      <c r="P103" s="1192">
        <f>IF(_epmOfflineCondition_,7951.72,EPMRetrieveData(,,$D$21,$D$22,$D$25,$D$26,$D$27,$D$28,$D$29,$Z$41,$Z$42,$Z$43,$Z$28,$Z$45,Q103))</f>
        <v/>
      </c>
      <c r="Q103" s="716" t="inlineStr">
        <is>
          <t>A0070306</t>
        </is>
      </c>
      <c r="R103" s="716">
        <f>IF(_epmOfflineCondition_,"人工成本明细-工会经费",EPMMemberDesc(Q103))</f>
        <v/>
      </c>
      <c r="S103" s="462">
        <f>IF(_epmOfflineCondition_,"人工成本明细-全年平均在岗职工人数（人）",EPMMemberDesc(U103))</f>
        <v/>
      </c>
      <c r="T103" s="716" t="n"/>
      <c r="U103" s="462" t="inlineStr">
        <is>
          <t>A0070703</t>
        </is>
      </c>
      <c r="V103" s="459">
        <f>IF(_epmOfflineCondition_,"A0070703",EPMOlapMemberO(U103,"[C_ACCOUNT].[PARENTH1].[A0070703]","A0070703 - 人工成本明细-全年平均在岗职工人数（人）","","000"))</f>
        <v/>
      </c>
      <c r="W103" s="462" t="n"/>
      <c r="X103" s="457" t="inlineStr">
        <is>
          <t xml:space="preserve">   其中：在岗职工人数（人）</t>
        </is>
      </c>
      <c r="Y103" s="1185">
        <f>ROW()-45</f>
        <v/>
      </c>
      <c r="Z103" s="1347">
        <f>"— —"</f>
        <v/>
      </c>
      <c r="AA103" s="1298">
        <f>IF(_epmOfflineCondition_,21,EPMRetrieveData(,,$D$21,$D$22,$C$25,$C$26,$C$27,$C$28,$C$29,$AA$41,$AA$42,$AA$43,$Z$28,$AA$45,V103))</f>
        <v/>
      </c>
      <c r="AB103" s="1298">
        <f>IF(_epmOfflineCondition_,12,EPMRetrieveData(,,$D$21,$D$22,$C$25,$C$26,$C$27,$C$28,$C$29,$AB$41,$AB$42,$AB$43,$Z$28,$AB$45,V103))</f>
        <v/>
      </c>
      <c r="AC103" s="1192">
        <f>$H$17</f>
        <v/>
      </c>
      <c r="AD103" s="1192">
        <f>$H$17</f>
        <v/>
      </c>
      <c r="AE103" s="1192">
        <f>$H$17</f>
        <v/>
      </c>
      <c r="AF103" s="716" t="n"/>
      <c r="AG103" s="716" t="n"/>
      <c r="AH103" s="716" t="n"/>
      <c r="AI103" s="716" t="n"/>
      <c r="AJ103" s="716" t="n"/>
      <c r="AK103" s="716" t="n"/>
      <c r="AL103" s="716" t="n"/>
      <c r="AM103" s="716" t="n"/>
      <c r="AN103" s="716" t="n"/>
      <c r="AO103" s="716" t="n"/>
    </row>
    <row r="104" ht="16.15" customFormat="1" customHeight="1" s="716">
      <c r="A104" s="716" t="n"/>
      <c r="B104" s="716" t="n"/>
      <c r="C104" s="716" t="n"/>
      <c r="D104" s="716" t="n"/>
      <c r="E104" s="716" t="n"/>
      <c r="F104" s="716" t="n"/>
      <c r="G104" s="716" t="n"/>
      <c r="H104" s="716" t="n"/>
      <c r="I104" s="716" t="n"/>
      <c r="J104" s="716" t="n"/>
      <c r="K104" s="1350">
        <f>IF(_epmOfflineCondition_,0,EPMRetrieveData(,,$D$21,$D$22,$D$25,$D$26,$D$27,$D$28,$D$29,$AB$41,$AB$42,$AB$43,$AA$28,$AB$45,Q104)*-1)</f>
        <v/>
      </c>
      <c r="L104" s="1350">
        <f>IF(_epmOfflineCondition_,925.17,EPMRetrieveData(,,$D$21,$D$22,$D$25,$D$26,$D$27,$D$28,$D$29,$AA$41,$AA$42,$AA$43,$AA$28,$AA$45,Q104)*-1)</f>
        <v/>
      </c>
      <c r="M104" s="1350">
        <f>IF(_epmOfflineCondition_,925.17,EPMRetrieveData(,,$D$21,$D$22,$D$25,$D$26,$D$27,$D$28,$D$29,$Z$41,$Z$42,$Z$43,$AA$28,$Z$45,Q104)*-1)</f>
        <v/>
      </c>
      <c r="N104" s="1192">
        <f>IF(_epmOfflineCondition_,0,EPMRetrieveData(,,$D$21,$D$22,$D$25,$D$26,$D$27,$D$28,$D$29,$AB$41,$AB$42,$AB$43,$Z$28,$AB$45,Q104))</f>
        <v/>
      </c>
      <c r="O104" s="1192">
        <f>IF(_epmOfflineCondition_,925.17,EPMRetrieveData(,,$D$21,$D$22,$D$25,$D$26,$D$27,$D$28,$D$29,$AA$41,$AA$42,$AA$43,$Z$28,$AA$45,Q104))</f>
        <v/>
      </c>
      <c r="P104" s="1192">
        <f>IF(_epmOfflineCondition_,925.17,EPMRetrieveData(,,$D$21,$D$22,$D$25,$D$26,$D$27,$D$28,$D$29,$Z$41,$Z$42,$Z$43,$Z$28,$Z$45,Q104))</f>
        <v/>
      </c>
      <c r="Q104" s="716" t="inlineStr">
        <is>
          <t>A0070307</t>
        </is>
      </c>
      <c r="R104" s="716">
        <f>IF(_epmOfflineCondition_,"人工成本明细-劳动保护费",EPMMemberDesc(Q104))</f>
        <v/>
      </c>
      <c r="S104" s="462">
        <f>IF(_epmOfflineCondition_,"人工成本明细-全年平均从业人员人数（人）",EPMMemberDesc(U104))</f>
        <v/>
      </c>
      <c r="T104" s="716" t="n"/>
      <c r="U104" s="462" t="inlineStr">
        <is>
          <t>A0070701</t>
        </is>
      </c>
      <c r="V104" s="459">
        <f>IF(_epmOfflineCondition_,"A0070701",EPMOlapMemberO(U104,"[C_ACCOUNT].[PARENTH1].[A0070701]","A0070701 - 人工成本明细-全年平均从业人员人数（人）","","000"))</f>
        <v/>
      </c>
      <c r="W104" s="462" t="n"/>
      <c r="X104" s="585" t="inlineStr">
        <is>
          <t>31. 从业人员人数（人）</t>
        </is>
      </c>
      <c r="Y104" s="1185">
        <f>ROW()-45</f>
        <v/>
      </c>
      <c r="Z104" s="1347">
        <f>"— —"</f>
        <v/>
      </c>
      <c r="AA104" s="1298">
        <f>IF(_epmOfflineCondition_,21,EPMRetrieveData(,,$D$21,$D$22,$C$25,$C$26,$C$27,$C$28,$C$29,$AA$41,$AA$42,$AA$43,$Z$28,$AA$45,V104))</f>
        <v/>
      </c>
      <c r="AB104" s="1298">
        <f>IF(_epmOfflineCondition_,12,EPMRetrieveData(,,$D$21,$D$22,$C$25,$C$26,$C$27,$C$28,$C$29,$AB$41,$AB$42,$AB$43,$Z$28,$AB$45,V104))</f>
        <v/>
      </c>
      <c r="AC104" s="1192">
        <f>$D$26</f>
        <v/>
      </c>
      <c r="AD104" s="1192">
        <f>$D$26</f>
        <v/>
      </c>
      <c r="AE104" s="1192">
        <f>$D$26</f>
        <v/>
      </c>
      <c r="AF104" s="716" t="n"/>
      <c r="AG104" s="716" t="n"/>
      <c r="AH104" s="716" t="n"/>
      <c r="AI104" s="716" t="n"/>
      <c r="AJ104" s="716" t="n"/>
      <c r="AK104" s="716" t="n"/>
      <c r="AL104" s="716" t="n"/>
      <c r="AM104" s="716" t="n"/>
      <c r="AN104" s="716" t="n"/>
      <c r="AO104" s="716" t="n"/>
    </row>
    <row r="105" ht="16.15" customFormat="1" customHeight="1" s="716">
      <c r="A105" s="716" t="n"/>
      <c r="B105" s="716" t="n"/>
      <c r="C105" s="716" t="n"/>
      <c r="D105" s="716" t="n"/>
      <c r="E105" s="716" t="n"/>
      <c r="F105" s="716" t="n"/>
      <c r="G105" s="716" t="n"/>
      <c r="H105" s="716" t="n"/>
      <c r="I105" s="716" t="n"/>
      <c r="J105" s="716" t="n"/>
      <c r="K105" s="1350" t="n"/>
      <c r="L105" s="1350" t="n"/>
      <c r="M105" s="1350" t="n"/>
      <c r="N105" s="1192" t="n"/>
      <c r="O105" s="1192" t="n"/>
      <c r="P105" s="1192" t="n"/>
      <c r="Q105" s="716" t="n"/>
      <c r="R105" s="716" t="n"/>
      <c r="S105" s="462" t="n"/>
      <c r="T105" s="716" t="n"/>
      <c r="U105" s="462" t="inlineStr">
        <is>
          <t>A0070704</t>
        </is>
      </c>
      <c r="V105" s="459">
        <f>IF(_epmOfflineCondition_,"A0070704",EPMOlapMemberO(U105,"[C_ACCOUNT].[PARENTH1].[A0070704]","A0070704 - 人工成本明细-劳务派遣用工人数（人）","","000"))</f>
        <v/>
      </c>
      <c r="W105" s="462" t="n"/>
      <c r="X105" s="605" t="inlineStr">
        <is>
          <t xml:space="preserve">   其中：劳务派遣人数</t>
        </is>
      </c>
      <c r="Y105" s="1185">
        <f>ROW()-45</f>
        <v/>
      </c>
      <c r="Z105" s="1347">
        <f>"— —"</f>
        <v/>
      </c>
      <c r="AA105" s="1298">
        <f>IF(_epmOfflineCondition_,0,EPMRetrieveData(,,$D$21,$D$22,$C$25,$C$26,$C$27,$C$28,$C$29,$AA$41,$AA$42,$AA$43,$Z$28,$AA$45,V105))</f>
        <v/>
      </c>
      <c r="AB105" s="1298">
        <f>IF(_epmOfflineCondition_,0,EPMRetrieveData(,,$D$21,$D$22,$C$25,$C$26,$C$27,$C$28,$C$29,$AB$41,$AB$42,$AB$43,$Z$28,$AB$45,V105))</f>
        <v/>
      </c>
      <c r="AC105" s="1192" t="n"/>
      <c r="AD105" s="1192" t="n"/>
      <c r="AE105" s="1192" t="n"/>
      <c r="AF105" s="716" t="n"/>
      <c r="AG105" s="716" t="n"/>
      <c r="AH105" s="716" t="n"/>
      <c r="AI105" s="716" t="n"/>
      <c r="AJ105" s="716" t="n"/>
      <c r="AK105" s="716" t="n"/>
      <c r="AL105" s="716" t="n"/>
      <c r="AM105" s="716" t="n"/>
      <c r="AN105" s="716" t="n"/>
      <c r="AO105" s="716" t="n"/>
    </row>
    <row r="106" ht="16.15" customFormat="1" customHeight="1" s="716">
      <c r="A106" s="716" t="n"/>
      <c r="B106" s="716" t="n"/>
      <c r="C106" s="716" t="n"/>
      <c r="D106" s="716" t="n"/>
      <c r="E106" s="716" t="n"/>
      <c r="F106" s="716" t="n"/>
      <c r="G106" s="716" t="n"/>
      <c r="H106" s="716" t="n"/>
      <c r="I106" s="716" t="n"/>
      <c r="J106" s="716" t="n"/>
      <c r="K106" s="1350">
        <f>IF(_epmOfflineCondition_,0,EPMRetrieveData(,,$D$21,$D$22,$D$25,$D$26,$D$27,$D$28,$D$29,$AB$41,$AB$42,$AB$43,$AA$28,$AB$45,Q106)*-1)</f>
        <v/>
      </c>
      <c r="L106" s="1350">
        <f>IF(_epmOfflineCondition_,0,EPMRetrieveData(,,$D$21,$D$22,$D$25,$D$26,$D$27,$D$28,$D$29,$AA$41,$AA$42,$AA$43,$AA$28,$AA$45,Q106)*-1)</f>
        <v/>
      </c>
      <c r="M106" s="1350">
        <f>IF(_epmOfflineCondition_,0,EPMRetrieveData(,,$D$21,$D$22,$D$25,$D$26,$D$27,$D$28,$D$29,$Z$41,$Z$42,$Z$43,$AA$28,$Z$45,Q106)*-1)</f>
        <v/>
      </c>
      <c r="N106" s="1192">
        <f>IF(_epmOfflineCondition_,0,EPMRetrieveData(,,$D$21,$D$22,$D$25,$D$26,$D$27,$D$28,$D$29,$AB$41,$AB$42,$AB$43,$Z$28,$AB$45,Q106))</f>
        <v/>
      </c>
      <c r="O106" s="1192">
        <f>IF(_epmOfflineCondition_,0,EPMRetrieveData(,,$D$21,$D$22,$D$25,$D$26,$D$27,$D$28,$D$29,$AA$41,$AA$42,$AA$43,$Z$28,$AA$45,Q106))</f>
        <v/>
      </c>
      <c r="P106" s="1192">
        <f>IF(_epmOfflineCondition_,0,EPMRetrieveData(,,$D$21,$D$22,$D$25,$D$26,$D$27,$D$28,$D$29,$Z$41,$Z$42,$Z$43,$Z$28,$Z$45,Q106))</f>
        <v/>
      </c>
      <c r="Q106" s="716" t="inlineStr">
        <is>
          <t>A0070311</t>
        </is>
      </c>
      <c r="R106" s="716">
        <f>IF(_epmOfflineCondition_,"人工成本明细-辞退福利",EPMMemberDesc(Q106))</f>
        <v/>
      </c>
      <c r="S106" s="462">
        <f>IF(_epmOfflineCondition_,"31.固定资产投资额",EPMMemberDesc(U106))</f>
        <v/>
      </c>
      <c r="T106" s="716" t="n"/>
      <c r="U106" s="462" t="inlineStr">
        <is>
          <t>A07810</t>
        </is>
      </c>
      <c r="V106" s="535">
        <f>IF(_epmOfflineCondition_,"A07810",EPMOlapMemberO(U106,"[C_ACCOUNT].[PARENTH1].[A07810]","A07810 - 31.固定资产投资额","","000"))</f>
        <v/>
      </c>
      <c r="W106" s="462" t="n"/>
      <c r="X106" s="585" t="inlineStr">
        <is>
          <t>32. 固定资产投资额</t>
        </is>
      </c>
      <c r="Y106" s="1185">
        <f>ROW()-45</f>
        <v/>
      </c>
      <c r="Z106" s="1298" t="inlineStr"/>
      <c r="AA106" s="1298" t="inlineStr"/>
      <c r="AB106" s="1298" t="inlineStr"/>
      <c r="AC106" s="1192">
        <f>AA41</f>
        <v/>
      </c>
      <c r="AD106" s="1192">
        <f>AA41</f>
        <v/>
      </c>
      <c r="AE106" s="1192">
        <f>AB41</f>
        <v/>
      </c>
      <c r="AF106" s="716" t="n"/>
      <c r="AG106" s="716" t="n"/>
      <c r="AH106" s="716" t="n"/>
      <c r="AI106" s="716" t="n"/>
      <c r="AJ106" s="716" t="n"/>
      <c r="AK106" s="716" t="n"/>
      <c r="AL106" s="716" t="n"/>
      <c r="AM106" s="716" t="n"/>
      <c r="AN106" s="716" t="n"/>
      <c r="AO106" s="716" t="n"/>
    </row>
    <row r="107" ht="16.15" customFormat="1" customHeight="1" s="716">
      <c r="A107" s="716" t="n"/>
      <c r="B107" s="716" t="n"/>
      <c r="C107" s="716" t="n"/>
      <c r="D107" s="716" t="n"/>
      <c r="E107" s="716" t="n"/>
      <c r="F107" s="716" t="n"/>
      <c r="G107" s="716" t="n"/>
      <c r="H107" s="716" t="n"/>
      <c r="I107" s="716" t="n"/>
      <c r="J107" s="716" t="n"/>
      <c r="K107" s="1350">
        <f>IF(_epmOfflineCondition_,0,EPMRetrieveData(,,$D$21,$D$22,$D$25,$D$26,$D$27,$D$28,$D$29,$AB$41,$AB$42,$AB$43,$AA$28,$AB$45,Q107)*-1)</f>
        <v/>
      </c>
      <c r="L107" s="1350">
        <f>IF(_epmOfflineCondition_,0,EPMRetrieveData(,,$D$21,$D$22,$D$25,$D$26,$D$27,$D$28,$D$29,$AA$41,$AA$42,$AA$43,$AA$28,$AA$45,Q107)*-1)</f>
        <v/>
      </c>
      <c r="M107" s="1350">
        <f>IF(_epmOfflineCondition_,0,EPMRetrieveData(,,$D$21,$D$22,$D$25,$D$26,$D$27,$D$28,$D$29,$Z$41,$Z$42,$Z$43,$AA$28,$Z$45,Q107)*-1)</f>
        <v/>
      </c>
      <c r="N107" s="1192">
        <f>IF(_epmOfflineCondition_,0,EPMRetrieveData(,,$D$21,$D$22,$D$25,$D$26,$D$27,$D$28,$D$29,$AB$41,$AB$42,$AB$43,$Z$28,$AB$45,Q107))</f>
        <v/>
      </c>
      <c r="O107" s="1192">
        <f>IF(_epmOfflineCondition_,0,EPMRetrieveData(,,$D$21,$D$22,$D$25,$D$26,$D$27,$D$28,$D$29,$AA$41,$AA$42,$AA$43,$Z$28,$AA$45,Q107))</f>
        <v/>
      </c>
      <c r="P107" s="1192">
        <f>IF(_epmOfflineCondition_,0,EPMRetrieveData(,,$D$21,$D$22,$D$25,$D$26,$D$27,$D$28,$D$29,$Z$41,$Z$42,$Z$43,$Z$28,$Z$45,Q107))</f>
        <v/>
      </c>
      <c r="Q107" s="716" t="inlineStr">
        <is>
          <t>A0070310</t>
        </is>
      </c>
      <c r="R107" s="716">
        <f>IF(_epmOfflineCondition_,"人工成本明细-技术奖酬金及业务设计奖",EPMMemberDesc(Q107))</f>
        <v/>
      </c>
      <c r="S107" s="462">
        <f>IF(_epmOfflineCondition_,"32. 计提折旧额",EPMMemberDesc(U107))</f>
        <v/>
      </c>
      <c r="T107" s="716" t="n"/>
      <c r="U107" s="35" t="inlineStr">
        <is>
          <t>A07813</t>
        </is>
      </c>
      <c r="V107" s="535">
        <f>IF(_epmOfflineCondition_,"A07813",EPMOlapMemberO(U107,"[C_ACCOUNT].[PARENTH1].[A07813]","A07813 - 32. 计提折旧额","","000"))</f>
        <v/>
      </c>
      <c r="W107" s="462" t="n"/>
      <c r="X107" s="585" t="inlineStr">
        <is>
          <t>33. 计提的资产折旧额</t>
        </is>
      </c>
      <c r="Y107" s="1185">
        <f>ROW()-45</f>
        <v/>
      </c>
      <c r="Z107" s="1298" t="inlineStr"/>
      <c r="AA107" s="1298" t="inlineStr"/>
      <c r="AB107" s="1298" t="n"/>
      <c r="AC107" s="1192">
        <f>AA43</f>
        <v/>
      </c>
      <c r="AD107" s="1192">
        <f>AA43</f>
        <v/>
      </c>
      <c r="AE107" s="1192">
        <f>AB43</f>
        <v/>
      </c>
      <c r="AF107" s="716" t="n"/>
      <c r="AG107" s="716" t="n"/>
      <c r="AH107" s="716" t="n"/>
      <c r="AI107" s="716" t="n"/>
      <c r="AJ107" s="716" t="n"/>
      <c r="AK107" s="716" t="n"/>
      <c r="AL107" s="716" t="n"/>
      <c r="AM107" s="716" t="n"/>
      <c r="AN107" s="716" t="n"/>
      <c r="AO107" s="716" t="n"/>
    </row>
    <row r="108" ht="16.15" customFormat="1" customHeight="1" s="716">
      <c r="A108" s="716" t="n"/>
      <c r="B108" s="716" t="n"/>
      <c r="C108" s="716" t="n"/>
      <c r="D108" s="716" t="n"/>
      <c r="E108" s="716" t="n"/>
      <c r="F108" s="716" t="n"/>
      <c r="G108" s="716" t="n"/>
      <c r="H108" s="716" t="n"/>
      <c r="I108" s="716" t="n"/>
      <c r="J108" s="716" t="n"/>
      <c r="K108" s="1350">
        <f>IF(_epmOfflineCondition_,0,EPMRetrieveData(,,$D$21,$D$22,$D$25,$D$26,$D$27,$D$28,$D$29,$AB$41,$AB$42,$AB$43,$AA$28,$AB$45,Q108)*-1)</f>
        <v/>
      </c>
      <c r="L108" s="1350">
        <f>IF(_epmOfflineCondition_,0,EPMRetrieveData(,,$D$21,$D$22,$D$25,$D$26,$D$27,$D$28,$D$29,$AA$41,$AA$42,$AA$43,$AA$28,$AA$45,Q108)*-1)</f>
        <v/>
      </c>
      <c r="M108" s="1350">
        <f>IF(_epmOfflineCondition_,0,EPMRetrieveData(,,$D$21,$D$22,$D$25,$D$26,$D$27,$D$28,$D$29,$Z$41,$Z$42,$Z$43,$AA$28,$Z$45,Q108)*-1)</f>
        <v/>
      </c>
      <c r="N108" s="1192">
        <f>IF(_epmOfflineCondition_,0,EPMRetrieveData(,,$D$21,$D$22,$D$25,$D$26,$D$27,$D$28,$D$29,$AB$41,$AB$42,$AB$43,$Z$28,$AB$45,Q108))</f>
        <v/>
      </c>
      <c r="O108" s="1192">
        <f>IF(_epmOfflineCondition_,0,EPMRetrieveData(,,$D$21,$D$22,$D$25,$D$26,$D$27,$D$28,$D$29,$AA$41,$AA$42,$AA$43,$Z$28,$AA$45,Q108))</f>
        <v/>
      </c>
      <c r="P108" s="1192">
        <f>IF(_epmOfflineCondition_,0,EPMRetrieveData(,,$D$21,$D$22,$D$25,$D$26,$D$27,$D$28,$D$29,$Z$41,$Z$42,$Z$43,$Z$28,$Z$45,Q108))</f>
        <v/>
      </c>
      <c r="Q108" s="716" t="inlineStr">
        <is>
          <t>A0070313</t>
        </is>
      </c>
      <c r="R108" s="716">
        <f>IF(_epmOfflineCondition_,"人工成本明细-非货币性福利",EPMMemberDesc(Q108))</f>
        <v/>
      </c>
      <c r="S108" s="462">
        <f>IF(_epmOfflineCondition_,"33.劳动生产总值",EPMMemberDesc(U108))</f>
        <v/>
      </c>
      <c r="T108" s="716" t="n"/>
      <c r="U108" s="716" t="inlineStr">
        <is>
          <t>A07801</t>
        </is>
      </c>
      <c r="V108" s="535">
        <f>IF(_epmOfflineCondition_,"A07801",EPMOlapMemberO(U108,"[C_ACCOUNT].[PARENTH1].[A07801]","A07801 - 33.劳动生产总值","","000"))</f>
        <v/>
      </c>
      <c r="W108" s="462" t="n"/>
      <c r="X108" s="605" t="inlineStr">
        <is>
          <t>34.增加值（劳动生产总值）</t>
        </is>
      </c>
      <c r="Y108" s="1185">
        <f>ROW()-45</f>
        <v/>
      </c>
      <c r="Z108" s="1298">
        <f>Z62+Z64+Z97+Z89+Z107-Z92</f>
        <v/>
      </c>
      <c r="AA108" s="1298">
        <f>AA62+AA64+AA97+AA89+AA107-AA92</f>
        <v/>
      </c>
      <c r="AB108" s="1298">
        <f>AB62+AB64+AB97+AB89+AB107-AB92</f>
        <v/>
      </c>
      <c r="AC108" s="1192" t="inlineStr">
        <is>
          <t>F20</t>
        </is>
      </c>
      <c r="AD108" s="1192" t="inlineStr">
        <is>
          <t>F20</t>
        </is>
      </c>
      <c r="AE108" s="1192" t="inlineStr">
        <is>
          <t>F20</t>
        </is>
      </c>
      <c r="AF108" s="716" t="n"/>
      <c r="AG108" s="716" t="n"/>
      <c r="AH108" s="716" t="n"/>
      <c r="AI108" s="716" t="n"/>
      <c r="AJ108" s="716" t="n"/>
      <c r="AK108" s="716" t="n"/>
      <c r="AL108" s="716" t="n"/>
      <c r="AM108" s="716" t="n"/>
      <c r="AN108" s="716" t="n"/>
      <c r="AO108" s="716" t="n"/>
    </row>
    <row r="109" ht="16.15" customFormat="1" customHeight="1" s="716">
      <c r="A109" s="716" t="n"/>
      <c r="B109" s="716" t="n"/>
      <c r="C109" s="716" t="n"/>
      <c r="D109" s="716" t="n"/>
      <c r="E109" s="716" t="n"/>
      <c r="F109" s="716" t="n"/>
      <c r="G109" s="716" t="n"/>
      <c r="H109" s="716" t="n"/>
      <c r="I109" s="716" t="n"/>
      <c r="J109" s="716" t="n"/>
      <c r="K109" s="1350">
        <f>IF(_epmOfflineCondition_,0,EPMRetrieveData(,,$D$21,$D$22,$D$25,$D$26,$D$27,$D$28,$D$29,$AB$41,$AB$42,$AB$43,$AA$28,$AB$45,Q109)*-1)</f>
        <v/>
      </c>
      <c r="L109" s="1350">
        <f>IF(_epmOfflineCondition_,0,EPMRetrieveData(,,$D$21,$D$22,$D$25,$D$26,$D$27,$D$28,$D$29,$AA$41,$AA$42,$AA$43,$AA$28,$AA$45,Q109)*-1)</f>
        <v/>
      </c>
      <c r="M109" s="1350">
        <f>IF(_epmOfflineCondition_,0,EPMRetrieveData(,,$D$21,$D$22,$D$25,$D$26,$D$27,$D$28,$D$29,$Z$41,$Z$42,$Z$43,$AA$28,$Z$45,Q109)*-1)</f>
        <v/>
      </c>
      <c r="N109" s="1192">
        <f>IF(_epmOfflineCondition_,0,EPMRetrieveData(,,$D$21,$D$22,$D$25,$D$26,$D$27,$D$28,$D$29,$AB$41,$AB$42,$AB$43,$Z$28,$AB$45,Q109))</f>
        <v/>
      </c>
      <c r="O109" s="1192">
        <f>IF(_epmOfflineCondition_,0,EPMRetrieveData(,,$D$21,$D$22,$D$25,$D$26,$D$27,$D$28,$D$29,$AA$41,$AA$42,$AA$43,$Z$28,$AA$45,Q109))</f>
        <v/>
      </c>
      <c r="P109" s="1192">
        <f>IF(_epmOfflineCondition_,0,EPMRetrieveData(,,$D$21,$D$22,$D$25,$D$26,$D$27,$D$28,$D$29,$Z$41,$Z$42,$Z$43,$Z$28,$Z$45,Q109))</f>
        <v/>
      </c>
      <c r="Q109" s="716" t="inlineStr">
        <is>
          <t>A0070312</t>
        </is>
      </c>
      <c r="R109" s="716">
        <f>IF(_epmOfflineCondition_,"人工成本明细-股份支付",EPMMemberDesc(Q109))</f>
        <v/>
      </c>
      <c r="S109" s="462">
        <f>IF(_epmOfflineCondition_,"34.工业总产值",EPMMemberDesc(U109))</f>
        <v/>
      </c>
      <c r="T109" s="716" t="n"/>
      <c r="U109" s="716" t="inlineStr">
        <is>
          <t>A07802</t>
        </is>
      </c>
      <c r="V109" s="535">
        <f>IF(_epmOfflineCondition_,"A07802",EPMOlapMemberO(U109,"[C_ACCOUNT].[PARENTH1].[A07802]","A07802 - 34.工业总产值","","000"))</f>
        <v/>
      </c>
      <c r="W109" s="462" t="n"/>
      <c r="X109" s="585" t="inlineStr">
        <is>
          <t>35. 工业总产值</t>
        </is>
      </c>
      <c r="Y109" s="1185">
        <f>ROW()-45</f>
        <v/>
      </c>
      <c r="Z109" s="1298" t="inlineStr"/>
      <c r="AA109" s="1298" t="inlineStr"/>
      <c r="AB109" s="1298" t="inlineStr"/>
      <c r="AC109" s="1192">
        <f>AA45</f>
        <v/>
      </c>
      <c r="AD109" s="1192" t="inlineStr">
        <is>
          <t>Periodic</t>
        </is>
      </c>
      <c r="AE109" s="1192" t="inlineStr">
        <is>
          <t>YTD</t>
        </is>
      </c>
      <c r="AF109" s="716" t="n"/>
      <c r="AG109" s="716" t="n"/>
      <c r="AH109" s="716" t="n"/>
      <c r="AI109" s="716" t="n"/>
      <c r="AJ109" s="716" t="n"/>
      <c r="AK109" s="716" t="n"/>
      <c r="AL109" s="716" t="n"/>
      <c r="AM109" s="716" t="n"/>
      <c r="AN109" s="716" t="n"/>
      <c r="AO109" s="716" t="n"/>
    </row>
    <row r="110" ht="16.15" customFormat="1" customHeight="1" s="716">
      <c r="A110" s="716" t="n"/>
      <c r="B110" s="716" t="n"/>
      <c r="C110" s="716" t="n"/>
      <c r="D110" s="716" t="n"/>
      <c r="E110" s="716" t="n"/>
      <c r="F110" s="716" t="n"/>
      <c r="G110" s="716" t="n"/>
      <c r="H110" s="716" t="n"/>
      <c r="I110" s="716" t="n"/>
      <c r="J110" s="716" t="n"/>
      <c r="K110" s="1350">
        <f>IF(_epmOfflineCondition_,0,EPMRetrieveData(,,$D$21,$D$22,$D$25,$D$26,$D$27,$D$28,$D$29,$AB$41,$AB$42,$AB$43,$AA$28,$AB$45,Q110)*-1)</f>
        <v/>
      </c>
      <c r="L110" s="1350">
        <f>IF(_epmOfflineCondition_,0,EPMRetrieveData(,,$D$21,$D$22,$D$25,$D$26,$D$27,$D$28,$D$29,$AA$41,$AA$42,$AA$43,$AA$28,$AA$45,Q110)*-1)</f>
        <v/>
      </c>
      <c r="M110" s="1350">
        <f>IF(_epmOfflineCondition_,0,EPMRetrieveData(,,$D$21,$D$22,$D$25,$D$26,$D$27,$D$28,$D$29,$Z$41,$Z$42,$Z$43,$AA$28,$Z$45,Q110)*-1)</f>
        <v/>
      </c>
      <c r="N110" s="1192">
        <f>IF(_epmOfflineCondition_,0,EPMRetrieveData(,,$D$21,$D$22,$D$25,$D$26,$D$27,$D$28,$D$29,$AB$41,$AB$42,$AB$43,$Z$28,$AB$45,Q110))</f>
        <v/>
      </c>
      <c r="O110" s="1192">
        <f>IF(_epmOfflineCondition_,1315152.84,EPMRetrieveData(,,$D$21,$D$22,$D$25,$D$26,$D$27,$D$28,$D$29,$AA$41,$AA$42,$AA$43,$Z$28,$AA$45,Q110))</f>
        <v/>
      </c>
      <c r="P110" s="1192">
        <f>IF(_epmOfflineCondition_,1315152.84,EPMRetrieveData(,,$D$21,$D$22,$D$25,$D$26,$D$27,$D$28,$D$29,$Z$41,$Z$42,$Z$43,$Z$28,$Z$45,Q110))</f>
        <v/>
      </c>
      <c r="Q110" s="716" t="inlineStr">
        <is>
          <t>A0070314</t>
        </is>
      </c>
      <c r="R110" s="716">
        <f>IF(_epmOfflineCondition_,"人工成本明细-其他人工成本",EPMMemberDesc(Q110))</f>
        <v/>
      </c>
      <c r="S110" s="462">
        <f>IF(_epmOfflineCondition_,"35.工业销售产值",EPMMemberDesc(U110))</f>
        <v/>
      </c>
      <c r="T110" s="716" t="n"/>
      <c r="U110" s="716" t="inlineStr">
        <is>
          <t>A07803</t>
        </is>
      </c>
      <c r="V110" s="535">
        <f>IF(_epmOfflineCondition_,"A07803",EPMOlapMemberO(U110,"[C_ACCOUNT].[PARENTH1].[A07803]","A07803 - 35.工业销售产值","","000"))</f>
        <v/>
      </c>
      <c r="W110" s="462" t="n"/>
      <c r="X110" s="585" t="inlineStr">
        <is>
          <t>36. 工业销售产值</t>
        </is>
      </c>
      <c r="Y110" s="1185">
        <f>ROW()-45</f>
        <v/>
      </c>
      <c r="Z110" s="1298" t="inlineStr"/>
      <c r="AA110" s="1298" t="inlineStr"/>
      <c r="AB110" s="1298" t="inlineStr"/>
      <c r="AC110" s="1192">
        <f>IF(_epmOfflineCondition_,0,EPMRetrieveData(,AC94,AC95,AC96,AC98,AC99,AC100,AC102,AC103,AC104,AC106,AC107,AC108,AC109))</f>
        <v/>
      </c>
      <c r="AD110" s="1192">
        <f>IF(_epmOfflineCondition_,0,EPMRetrieveData(,AD94,AD95,AD96,AD98,AD99,AD100,AD102,AD103,AD104,AD106,AD107,AD108,AD109))</f>
        <v/>
      </c>
      <c r="AE110" s="1192">
        <f>IF(_epmOfflineCondition_,0,EPMRetrieveData(,AE94,AE95,AE96,AE98,AE99,AE100,AE102,AE103,AE104,AE106,AE107,AE108,AE109))</f>
        <v/>
      </c>
      <c r="AF110" s="716" t="n"/>
      <c r="AG110" s="716" t="n"/>
      <c r="AH110" s="716" t="n"/>
      <c r="AI110" s="716" t="n"/>
      <c r="AJ110" s="716" t="n"/>
      <c r="AK110" s="716" t="n"/>
      <c r="AL110" s="716" t="n"/>
      <c r="AM110" s="716" t="n"/>
      <c r="AN110" s="716" t="n"/>
      <c r="AO110" s="716" t="n"/>
    </row>
    <row r="111" ht="16.15" customFormat="1" customHeight="1" s="716">
      <c r="A111" s="716" t="n"/>
      <c r="B111" s="716" t="n"/>
      <c r="C111" s="716" t="n"/>
      <c r="D111" s="716" t="n"/>
      <c r="E111" s="716" t="n"/>
      <c r="F111" s="716" t="n"/>
      <c r="G111" s="716" t="n"/>
      <c r="H111" s="716" t="n"/>
      <c r="I111" s="716" t="n"/>
      <c r="J111" s="716" t="n"/>
      <c r="K111" s="1350">
        <f>IF(_epmOfflineCondition_,77468,EPMRetrieveData(,,$D$21,$D$22,$D$25,$D$26,$D$27,$D$28,$D$29,$AB$41,$AB$42,$AB$43,$AA$28,$AB$45,Q111)*-1)</f>
        <v/>
      </c>
      <c r="L111" s="1350">
        <f>IF(_epmOfflineCondition_,136770,EPMRetrieveData(,,$D$21,$D$22,$D$25,$D$26,$D$27,$D$28,$D$29,$AA$41,$AA$42,$AA$43,$AA$28,$AA$45,Q111)*-1)</f>
        <v/>
      </c>
      <c r="M111" s="1350">
        <f>IF(_epmOfflineCondition_,45590,EPMRetrieveData(,,$D$21,$D$22,$D$25,$D$26,$D$27,$D$28,$D$29,$Z$41,$Z$42,$Z$43,$AA$28,$Z$45,Q111)*-1)</f>
        <v/>
      </c>
      <c r="N111" s="1192">
        <f>IF(_epmOfflineCondition_,77468,EPMRetrieveData(,,$D$21,$D$22,$D$25,$D$26,$D$27,$D$28,$D$29,$AB$41,$AB$42,$AB$43,$Z$28,$AB$45,Q111))</f>
        <v/>
      </c>
      <c r="O111" s="1192">
        <f>IF(_epmOfflineCondition_,136770,EPMRetrieveData(,,$D$21,$D$22,$D$25,$D$26,$D$27,$D$28,$D$29,$AA$41,$AA$42,$AA$43,$Z$28,$AA$45,Q111))</f>
        <v/>
      </c>
      <c r="P111" s="1192">
        <f>IF(_epmOfflineCondition_,45590,EPMRetrieveData(,,$D$21,$D$22,$D$25,$D$26,$D$27,$D$28,$D$29,$Z$41,$Z$42,$Z$43,$Z$28,$Z$45,Q111))</f>
        <v/>
      </c>
      <c r="Q111" s="716" t="inlineStr">
        <is>
          <t>A0070308</t>
        </is>
      </c>
      <c r="R111" s="716">
        <f>IF(_epmOfflineCondition_,"人工成本明细-其中：住房公积金",EPMMemberDesc(Q111))</f>
        <v/>
      </c>
      <c r="S111" s="462">
        <f>IF(_epmOfflineCondition_,"36.出口产品销售收入",EPMMemberDesc(U111))</f>
        <v/>
      </c>
      <c r="T111" s="716" t="n"/>
      <c r="U111" s="716" t="inlineStr">
        <is>
          <t>A07804</t>
        </is>
      </c>
      <c r="V111" s="535">
        <f>IF(_epmOfflineCondition_,"A07804",EPMOlapMemberO(U111,"[C_ACCOUNT].[PARENTH1].[A07804]","A07804 - 36.出口产品销售收入","","000"))</f>
        <v/>
      </c>
      <c r="W111" s="462" t="n"/>
      <c r="X111" s="585" t="inlineStr">
        <is>
          <t>37. 出口产品销售收入</t>
        </is>
      </c>
      <c r="Y111" s="1185">
        <f>ROW()-45</f>
        <v/>
      </c>
      <c r="Z111" s="1298" t="n"/>
      <c r="AA111" s="1298" t="n"/>
      <c r="AB111" s="1298" t="n"/>
      <c r="AC111" s="1192" t="n"/>
      <c r="AD111" s="1192" t="n"/>
      <c r="AE111" s="716" t="n"/>
      <c r="AF111" s="716" t="n"/>
      <c r="AG111" s="716" t="n"/>
      <c r="AH111" s="716" t="n"/>
      <c r="AI111" s="716" t="n"/>
      <c r="AJ111" s="716" t="n"/>
      <c r="AK111" s="716" t="n"/>
      <c r="AL111" s="716" t="n"/>
      <c r="AM111" s="716" t="n"/>
      <c r="AN111" s="716" t="n"/>
      <c r="AO111" s="716" t="n"/>
    </row>
    <row r="112" ht="16.15" customFormat="1" customHeight="1" s="716">
      <c r="A112" s="716" t="n"/>
      <c r="B112" s="716" t="n"/>
      <c r="C112" s="716" t="n"/>
      <c r="D112" s="716" t="n"/>
      <c r="E112" s="716" t="n"/>
      <c r="F112" s="716" t="n"/>
      <c r="G112" s="716" t="n"/>
      <c r="H112" s="716" t="n"/>
      <c r="I112" s="716" t="n"/>
      <c r="J112" s="716" t="n"/>
      <c r="K112" s="1192">
        <f>IF(_epmOfflineCondition_,0,EPMRetrieveData(,,$D$21,$D$22,$D$25,$D$26,$D$27,$D$28,$D$29,$AB$41,$AB$42,$AB$43,$AA$28,$AB$45,Q112)*-1)</f>
        <v/>
      </c>
      <c r="L112" s="1192">
        <f>IF(_epmOfflineCondition_,0,EPMRetrieveData(,,$D$21,$D$22,$D$25,$D$26,$D$27,$D$28,$D$29,$AA$41,$AA$42,$AA$43,$AA$28,$AA$45,Q112)*-1)</f>
        <v/>
      </c>
      <c r="M112" s="1192">
        <f>IF(_epmOfflineCondition_,0,EPMRetrieveData(,,$D$21,$D$22,$D$25,$D$26,$D$27,$D$28,$D$29,$Z$41,$Z$42,$Z$43,$AA$28,$Z$45,Q112)*-1)</f>
        <v/>
      </c>
      <c r="N112" s="1192">
        <f>IF(_epmOfflineCondition_,0,EPMRetrieveData(,,$D$21,$D$22,$D$25,$D$26,$D$27,$D$28,$D$29,$AB$41,$AB$42,$AB$43,$Z$28,$AB$45,Q112))</f>
        <v/>
      </c>
      <c r="O112" s="1192">
        <f>IF(_epmOfflineCondition_,0,EPMRetrieveData(,,$D$21,$D$22,$D$25,$D$26,$D$27,$D$28,$D$29,$AA$41,$AA$42,$AA$43,$Z$28,$AA$45,Q112))</f>
        <v/>
      </c>
      <c r="P112" s="1192">
        <f>IF(_epmOfflineCondition_,0,EPMRetrieveData(,,$D$21,$D$22,$D$25,$D$26,$D$27,$D$28,$D$29,$Z$41,$Z$42,$Z$43,$Z$28,$Z$45,Q112))</f>
        <v/>
      </c>
      <c r="Q112" s="716" t="inlineStr">
        <is>
          <t>A0070309</t>
        </is>
      </c>
      <c r="R112" s="716">
        <f>IF(_epmOfflineCondition_,"人工成本明细-其中：住房补贴",EPMMemberDesc(Q112))</f>
        <v/>
      </c>
      <c r="S112" s="462">
        <f>IF(_epmOfflineCondition_,"37.新产品产值",EPMMemberDesc(U112))</f>
        <v/>
      </c>
      <c r="T112" s="716" t="n"/>
      <c r="U112" s="716" t="inlineStr">
        <is>
          <t>A07805</t>
        </is>
      </c>
      <c r="V112" s="535">
        <f>IF(_epmOfflineCondition_,"A07805",EPMOlapMemberO(U112,"[C_ACCOUNT].[PARENTH1].[A07805]","A07805 - 37.新产品产值","","000"))</f>
        <v/>
      </c>
      <c r="W112" s="462" t="n"/>
      <c r="X112" s="585" t="inlineStr">
        <is>
          <t>38. 新产品产值</t>
        </is>
      </c>
      <c r="Y112" s="1185">
        <f>ROW()-45</f>
        <v/>
      </c>
      <c r="Z112" s="1298" t="n"/>
      <c r="AA112" s="1298" t="n"/>
      <c r="AB112" s="1298" t="n"/>
      <c r="AC112" s="1192" t="n"/>
      <c r="AD112" s="1192" t="n"/>
      <c r="AE112" s="716" t="n"/>
      <c r="AF112" s="716" t="n"/>
      <c r="AG112" s="716" t="n"/>
      <c r="AH112" s="716" t="n"/>
      <c r="AI112" s="716" t="n"/>
      <c r="AJ112" s="716" t="n"/>
      <c r="AK112" s="716" t="n"/>
      <c r="AL112" s="716" t="n"/>
      <c r="AM112" s="716" t="n"/>
      <c r="AN112" s="716" t="n"/>
      <c r="AO112" s="716" t="n"/>
    </row>
    <row r="113" ht="16.15" customFormat="1" customHeight="1" s="716">
      <c r="A113" s="716" t="n"/>
      <c r="B113" s="716" t="n"/>
      <c r="C113" s="716" t="n"/>
      <c r="D113" s="716" t="n"/>
      <c r="E113" s="716" t="n"/>
      <c r="F113" s="716" t="n"/>
      <c r="G113" s="716" t="n"/>
      <c r="H113" s="716" t="n"/>
      <c r="I113" s="716" t="n"/>
      <c r="J113" s="716" t="n"/>
      <c r="K113" s="1192" t="n"/>
      <c r="L113" s="1192" t="n"/>
      <c r="M113" s="1192" t="n"/>
      <c r="N113" s="1192" t="n"/>
      <c r="O113" s="1192" t="n"/>
      <c r="P113" s="1192" t="n"/>
      <c r="Q113" s="716" t="n"/>
      <c r="R113" s="716" t="n"/>
      <c r="S113" s="462">
        <f>IF(_epmOfflineCondition_,"38.三新营业收入",EPMMemberDesc(U113))</f>
        <v/>
      </c>
      <c r="T113" s="716" t="n"/>
      <c r="U113" s="716" t="inlineStr">
        <is>
          <t>A07806</t>
        </is>
      </c>
      <c r="V113" s="535">
        <f>IF(_epmOfflineCondition_,"A07806",EPMOlapMemberO(U113,"[C_ACCOUNT].[PARENTH1].[A07806]","A07806 - 38.三新营业收入","","000"))</f>
        <v/>
      </c>
      <c r="W113" s="462" t="n"/>
      <c r="X113" s="585" t="inlineStr">
        <is>
          <t>39.三新营业收入</t>
        </is>
      </c>
      <c r="Y113" s="1185">
        <f>ROW()-45</f>
        <v/>
      </c>
      <c r="Z113" s="1298" t="inlineStr"/>
      <c r="AA113" s="1297" t="inlineStr"/>
      <c r="AB113" s="1298" t="inlineStr"/>
      <c r="AC113" s="1192">
        <f>IF(_epmOfflineCondition_,94272738.5,EPMSaveDataOnly(AA113,,$D$21,$Z37,$E$25,$E$26,$E$27,$E$28,$E$29,$AA$41,$AA$42,$Z$29,$Z$28,$AA$45,V113))</f>
        <v/>
      </c>
      <c r="AD113" s="1192" t="n"/>
      <c r="AE113" s="716" t="n"/>
      <c r="AF113" s="716" t="n"/>
      <c r="AG113" s="716" t="n"/>
      <c r="AH113" s="716" t="n"/>
      <c r="AI113" s="716" t="n"/>
      <c r="AJ113" s="716" t="n"/>
      <c r="AK113" s="716" t="n"/>
      <c r="AL113" s="716" t="n"/>
      <c r="AM113" s="716" t="n"/>
      <c r="AN113" s="716" t="n"/>
      <c r="AO113" s="716" t="n"/>
    </row>
    <row r="114" ht="16.15" customHeight="1" s="1181">
      <c r="A114" s="384" t="n"/>
      <c r="B114" s="384" t="n"/>
      <c r="C114" s="384" t="n"/>
      <c r="D114" s="384" t="n"/>
      <c r="E114" s="384" t="n"/>
      <c r="F114" s="384" t="n"/>
      <c r="G114" s="384" t="n"/>
      <c r="H114" s="384" t="n"/>
      <c r="I114" s="384" t="n"/>
      <c r="J114" s="384" t="n"/>
      <c r="K114" s="1192" t="n"/>
      <c r="L114" s="1192" t="n"/>
      <c r="M114" s="1192" t="n"/>
      <c r="N114" s="1192">
        <f>IF(_epmOfflineCondition_,0,EPMRetrieveData(,,$D$21,$D$22,$D$25,$D$26,$D$27,$D$28,$D$29,$AB$41,$AB$42,$AB$43,$AA$28,$AB$45,Q114))</f>
        <v/>
      </c>
      <c r="O114" s="1192">
        <f>IF(_epmOfflineCondition_,0,EPMRetrieveData(,,$D$21,$D$22,$D$25,$D$26,$D$27,$D$28,$D$29,$AA$41,$AA$42,$AA$43,$AA$28,$AA$45,Q114))</f>
        <v/>
      </c>
      <c r="P114" s="1192">
        <f>IF(_epmOfflineCondition_,0,EPMRetrieveData(,,$D$21,$D$22,$D$25,$D$26,$D$27,$D$28,$D$29,$Z$41,$Z$42,$Z$43,$AA$28,$Z$45,Q114))</f>
        <v/>
      </c>
      <c r="Q114" s="384" t="inlineStr">
        <is>
          <t>A0840101</t>
        </is>
      </c>
      <c r="R114" s="716">
        <f>IF(_epmOfflineCondition_,"应交款项明细-增值税",EPMMemberDesc(Q114))</f>
        <v/>
      </c>
      <c r="S114" s="462">
        <f>IF(_epmOfflineCondition_,"38.研发（R&amp;D）经费投入",EPMMemberDesc(U114))</f>
        <v/>
      </c>
      <c r="T114" s="384" t="n"/>
      <c r="U114" s="716" t="inlineStr">
        <is>
          <t>A07807</t>
        </is>
      </c>
      <c r="V114" s="535">
        <f>IF(_epmOfflineCondition_,"A07807",EPMOlapMemberO(U114,"[C_ACCOUNT].[PARENTH1].[A07807]","A07807 - 38.研发（R&amp;D）经费投入","","000"))</f>
        <v/>
      </c>
      <c r="W114" s="384" t="n"/>
      <c r="X114" s="585" t="inlineStr">
        <is>
          <t>40. 研发（R&amp;D）经费投入</t>
        </is>
      </c>
      <c r="Y114" s="1185">
        <f>ROW()-45</f>
        <v/>
      </c>
      <c r="Z114" s="1298" t="n"/>
      <c r="AA114" s="1298" t="n"/>
      <c r="AB114" s="1298" t="n"/>
      <c r="AC114" s="1192" t="n"/>
      <c r="AD114" s="1192" t="n"/>
      <c r="AE114" s="716" t="n"/>
      <c r="AF114" s="716" t="n"/>
      <c r="AG114" s="716" t="n"/>
      <c r="AH114" s="716" t="n"/>
      <c r="AI114" s="716" t="n"/>
      <c r="AJ114" s="384" t="n"/>
      <c r="AK114" s="384" t="n"/>
      <c r="AL114" s="384" t="n"/>
      <c r="AM114" s="384" t="n"/>
      <c r="AN114" s="384" t="n"/>
      <c r="AO114" s="384" t="n"/>
    </row>
    <row r="115" ht="16.15" customHeight="1" s="1181">
      <c r="A115" s="384" t="n"/>
      <c r="B115" s="384" t="n"/>
      <c r="C115" s="384" t="n"/>
      <c r="D115" s="384" t="n"/>
      <c r="E115" s="384" t="n"/>
      <c r="F115" s="384" t="n"/>
      <c r="G115" s="384" t="n"/>
      <c r="H115" s="384" t="n"/>
      <c r="I115" s="384" t="n"/>
      <c r="J115" s="384" t="n"/>
      <c r="K115" s="1192">
        <f>IF(_epmOfflineCondition_,0,EPMRetrieveData(,,$D$21,$D$22,$D$25,$D$26,$D$27,$D$28,$D$29,$AB$41,$AB$42,$AB$43,$AA$28,$AB$45,Q115)*-1)</f>
        <v/>
      </c>
      <c r="L115" s="1192">
        <f>IF(_epmOfflineCondition_,0,EPMRetrieveData(,,$D$21,$D$22,$D$25,$D$26,$D$27,$D$28,$D$29,$AA$41,$AA$42,$AA$43,$AA$28,$AA$45,Q115)*-1)</f>
        <v/>
      </c>
      <c r="M115" s="1192">
        <f>IF(_epmOfflineCondition_,0,EPMRetrieveData(,,$D$21,$D$22,$D$25,$D$26,$D$27,$D$28,$D$29,$Z$41,$Z$42,$Z$43,$AA$28,$Z$45,Q115)*-1)</f>
        <v/>
      </c>
      <c r="N115" s="1192">
        <f>IF(_epmOfflineCondition_,0,EPMRetrieveData(,,$D$21,$D$22,$D$25,$D$26,$D$27,$D$28,$D$29,$AB$41,$AB$42,$AB$43,$Z$28,$AB$45,Q115))</f>
        <v/>
      </c>
      <c r="O115" s="1192">
        <f>IF(_epmOfflineCondition_,0,EPMRetrieveData(,,$D$21,$D$22,$D$25,$D$26,$D$27,$D$28,$D$29,$AA$41,$AA$42,$AA$43,$Z$28,$AA$45,Q115))</f>
        <v/>
      </c>
      <c r="P115" s="1192">
        <f>IF(_epmOfflineCondition_,0,EPMRetrieveData(,,$D$21,$D$22,$D$25,$D$26,$D$27,$D$28,$D$29,$Z$41,$Z$42,$Z$43,$Z$28,$Z$45,Q115))</f>
        <v/>
      </c>
      <c r="Q115" s="384" t="inlineStr">
        <is>
          <t>A0071401</t>
        </is>
      </c>
      <c r="R115" s="716">
        <f>IF(_epmOfflineCondition_,"人工成本明细-其中：内退人员工资",EPMMemberDesc(Q115))</f>
        <v/>
      </c>
      <c r="S115" s="462">
        <f>IF(_epmOfflineCondition_,"40.上市公司市值",EPMMemberDesc(U115))</f>
        <v/>
      </c>
      <c r="T115" s="384" t="n"/>
      <c r="U115" s="716" t="inlineStr">
        <is>
          <t>A07809</t>
        </is>
      </c>
      <c r="V115" s="535">
        <f>IF(_epmOfflineCondition_,"A07809",EPMOlapMemberO(U115,"[C_ACCOUNT].[PARENTH1].[A07809]","A07809 - 40.上市公司市值","","000"))</f>
        <v/>
      </c>
      <c r="W115" s="384" t="n"/>
      <c r="X115" s="585" t="inlineStr">
        <is>
          <t>41.上市公司市值</t>
        </is>
      </c>
      <c r="Y115" s="1185">
        <f>ROW()-45</f>
        <v/>
      </c>
      <c r="Z115" s="1347">
        <f>"— —"</f>
        <v/>
      </c>
      <c r="AA115" s="1297" t="n"/>
      <c r="AB115" s="1298" t="n"/>
      <c r="AC115" s="1192">
        <f>IF(_epmOfflineCondition_,0,EPMSaveDataOnly(AA115,,$D$21,$Z37,$E$25,$E$26,$E$27,$E$28,$E$29,$AA$41,$AA$42,$Z$29,$Z$28,$AA$45,V115))</f>
        <v/>
      </c>
      <c r="AD115" s="1192" t="n"/>
      <c r="AE115" s="716" t="n"/>
      <c r="AF115" s="716" t="n"/>
      <c r="AG115" s="716" t="n"/>
      <c r="AH115" s="716" t="n"/>
      <c r="AI115" s="716" t="n"/>
      <c r="AJ115" s="384" t="n"/>
      <c r="AK115" s="384" t="n"/>
      <c r="AL115" s="384" t="n"/>
      <c r="AM115" s="384" t="n"/>
      <c r="AN115" s="384" t="n"/>
      <c r="AO115" s="384" t="n"/>
    </row>
    <row r="116" hidden="1" s="1181">
      <c r="A116" s="384" t="n"/>
      <c r="B116" s="384" t="n"/>
      <c r="C116" s="384" t="n"/>
      <c r="D116" s="384" t="n"/>
      <c r="E116" s="384" t="n"/>
      <c r="F116" s="384" t="n"/>
      <c r="G116" s="384" t="n"/>
      <c r="H116" s="384" t="n"/>
      <c r="I116" s="384" t="n"/>
      <c r="J116" s="384" t="n"/>
      <c r="K116" s="1192">
        <f>IF(_epmOfflineCondition_,0,EPMRetrieveData(,,$D$21,$D$22,$D$25,$D$26,$D$27,$D$28,$D$29,$AB$41,$AB$42,$AB$43,$AA$28,$AB$45,Q116))</f>
        <v/>
      </c>
      <c r="L116" s="1192">
        <f>IF(_epmOfflineCondition_,0,EPMRetrieveData(,,$D$21,$D$22,$D$25,$D$26,$D$27,$D$28,$D$29,$AA$41,$AA$42,$AA$43,$AA$28,$AA$45,Q116))</f>
        <v/>
      </c>
      <c r="M116" s="1192">
        <f>IF(_epmOfflineCondition_,0,EPMRetrieveData(,,$D$21,$D$22,$D$25,$D$26,$D$27,$D$28,$D$29,$Z$41,$Z$42,$Z$43,$AA$28,$Z$45,Q116))</f>
        <v/>
      </c>
      <c r="N116" s="1192">
        <f>IF(_epmOfflineCondition_,0,EPMRetrieveData(,,$D$21,$D$22,$D$25,$D$26,$D$27,$D$28,$D$29,$AB$41,$AB$42,$AB$43,$Z$28,$AB$45,Q116))</f>
        <v/>
      </c>
      <c r="O116" s="1192">
        <f>IF(_epmOfflineCondition_,0,EPMRetrieveData(,,$D$21,$D$22,$D$25,$D$26,$D$27,$D$28,$D$29,$AA$41,$AA$42,$AA$43,$Z$28,$AA$45,Q116))</f>
        <v/>
      </c>
      <c r="P116" s="1192">
        <f>IF(_epmOfflineCondition_,0,EPMRetrieveData(,,$D$21,$D$22,$D$25,$D$26,$D$27,$D$28,$D$29,$Z$41,$Z$42,$Z$43,$Z$28,$Z$45,Q116))</f>
        <v/>
      </c>
      <c r="Q116" s="384" t="inlineStr">
        <is>
          <t>A0071601</t>
        </is>
      </c>
      <c r="R116" s="384" t="inlineStr">
        <is>
          <t>人工成本明细-其中：工资总额（不在岗）</t>
        </is>
      </c>
      <c r="S116" s="462">
        <f>IF(_epmOfflineCondition_,"",EPMMemberDesc(U116))</f>
        <v/>
      </c>
      <c r="T116" s="384" t="n"/>
      <c r="U116" s="384" t="n"/>
      <c r="V116" s="459" t="n"/>
      <c r="W116" s="384" t="n"/>
      <c r="X116" s="457" t="n"/>
      <c r="Y116" s="1185">
        <f>ROW()-45</f>
        <v/>
      </c>
      <c r="Z116" s="1298" t="n"/>
      <c r="AA116" s="1297" t="n"/>
      <c r="AB116" s="1298" t="n"/>
      <c r="AC116" s="1192">
        <f>IF(_epmOfflineCondition_,1667037442.43065,EPMSaveDataOnly(AA116,,$D$21,$Z37,$E$25,$E$26,$E$27,$E$28,$E$29,$AA$41,$AA$42,$Z$29,$Z$28,$AA$45,V116))</f>
        <v/>
      </c>
      <c r="AD116" s="1192" t="n"/>
      <c r="AE116" s="384" t="n"/>
      <c r="AF116" s="384" t="n"/>
      <c r="AG116" s="384" t="n"/>
      <c r="AH116" s="384" t="n"/>
      <c r="AI116" s="384" t="n"/>
      <c r="AJ116" s="384" t="n"/>
      <c r="AK116" s="384" t="n"/>
      <c r="AL116" s="384" t="n"/>
      <c r="AM116" s="384" t="n"/>
      <c r="AN116" s="384" t="n"/>
      <c r="AO116" s="384" t="n"/>
    </row>
    <row r="117" hidden="1" s="1181">
      <c r="A117" s="384" t="n"/>
      <c r="B117" s="384" t="n"/>
      <c r="C117" s="384" t="n"/>
      <c r="D117" s="384" t="n"/>
      <c r="E117" s="384" t="n"/>
      <c r="F117" s="384" t="n"/>
      <c r="G117" s="384" t="n"/>
      <c r="H117" s="384" t="n"/>
      <c r="I117" s="384" t="n"/>
      <c r="J117" s="384" t="n"/>
      <c r="K117" s="1350">
        <f>IF(_epmOfflineCondition_,0,EPMRetrieveData(,,$D$21,$D$22,$D$25,$D$26,$D$27,$D$28,$D$29,$AB$41,$AB$42,$AB$43,$AA$28,$AB$45,Q117)*-1)</f>
        <v/>
      </c>
      <c r="L117" s="1350">
        <f>IF(_epmOfflineCondition_,0,EPMRetrieveData(,,$D$21,$D$22,$D$25,$D$26,$D$27,$D$28,$D$29,$AA$41,$AA$42,$AA$43,$AA$28,$AA$45,Q117)*-1)</f>
        <v/>
      </c>
      <c r="M117" s="1350">
        <f>IF(_epmOfflineCondition_,0,EPMRetrieveData(,,$D$21,$D$22,$D$25,$D$26,$D$27,$D$28,$D$29,$Z$41,$Z$42,$Z$43,$AA$28,$Z$45,Q117)*-1)</f>
        <v/>
      </c>
      <c r="N117" s="1192">
        <f>IF(_epmOfflineCondition_,0,EPMRetrieveData(,,$D$21,$D$22,$D$25,$D$26,$D$27,$D$28,$D$29,$AB$41,$AB$42,$AB$43,$Z$28,$AB$45,Q117))</f>
        <v/>
      </c>
      <c r="O117" s="1192">
        <f>IF(_epmOfflineCondition_,0,EPMRetrieveData(,,$D$21,$D$22,$D$25,$D$26,$D$27,$D$28,$D$29,$AA$41,$AA$42,$AA$43,$Z$28,$AA$45,Q117))</f>
        <v/>
      </c>
      <c r="P117" s="1192">
        <f>IF(_epmOfflineCondition_,0,EPMRetrieveData(,,$D$21,$D$22,$D$25,$D$26,$D$27,$D$28,$D$29,$Z$41,$Z$42,$Z$43,$Z$28,$Z$45,Q117))</f>
        <v/>
      </c>
      <c r="Q117" s="462" t="inlineStr">
        <is>
          <t>A00706</t>
        </is>
      </c>
      <c r="R117" s="716">
        <f>IF(_epmOfflineCondition_,"人工成本明细-劳务派遣用工支出",EPMMemberDesc(Q117))</f>
        <v/>
      </c>
      <c r="S117" s="462">
        <f>IF(_epmOfflineCondition_,"",EPMMemberDesc(U117))</f>
        <v/>
      </c>
      <c r="T117" s="384" t="n"/>
      <c r="U117" s="716" t="n"/>
      <c r="V117" s="637" t="n"/>
      <c r="W117" s="384" t="n"/>
      <c r="X117" s="454" t="inlineStr">
        <is>
          <t>债务监测补充指标</t>
        </is>
      </c>
      <c r="Y117" s="1213">
        <f>ROW()-45</f>
        <v/>
      </c>
      <c r="Z117" s="1347">
        <f>"— —"</f>
        <v/>
      </c>
      <c r="AA117" s="1347">
        <f>"— —"</f>
        <v/>
      </c>
      <c r="AB117" s="1347">
        <f>"— —"</f>
        <v/>
      </c>
      <c r="AC117" s="1192" t="n"/>
      <c r="AD117" s="1192" t="n"/>
      <c r="AE117" s="384" t="n"/>
      <c r="AF117" s="384" t="n"/>
      <c r="AG117" s="384" t="n"/>
      <c r="AH117" s="384" t="n"/>
      <c r="AI117" s="384" t="n"/>
      <c r="AJ117" s="384" t="n"/>
      <c r="AK117" s="384" t="n"/>
      <c r="AL117" s="384" t="n"/>
      <c r="AM117" s="384" t="n"/>
      <c r="AN117" s="384" t="n"/>
      <c r="AO117" s="384" t="n"/>
    </row>
    <row r="118" hidden="1" s="1181">
      <c r="A118" s="384" t="n"/>
      <c r="B118" s="384" t="n"/>
      <c r="C118" s="384" t="n"/>
      <c r="D118" s="384" t="n"/>
      <c r="E118" s="384" t="n"/>
      <c r="F118" s="384" t="n"/>
      <c r="G118" s="384" t="n"/>
      <c r="H118" s="384" t="n"/>
      <c r="I118" s="384" t="n"/>
      <c r="J118" s="384" t="n"/>
      <c r="K118" s="1350">
        <f>IF(_epmOfflineCondition_,0,EPMRetrieveData(,,$D$21,$D$22,$D$25,$D$26,$D$27,$D$28,$D$29,$AB$41,$AB$42,$AB$43,$AA$28,$AB$45,Q118)*-1)</f>
        <v/>
      </c>
      <c r="L118" s="1350">
        <f>IF(_epmOfflineCondition_,0,EPMRetrieveData(,,$D$21,$D$22,$D$25,$D$26,$D$27,$D$28,$D$29,$AA$41,$AA$42,$AA$43,$AA$28,$AA$45,Q118)*-1)</f>
        <v/>
      </c>
      <c r="M118" s="1350">
        <f>IF(_epmOfflineCondition_,0,EPMRetrieveData(,,$D$21,$D$22,$D$25,$D$26,$D$27,$D$28,$D$29,$Z$41,$Z$42,$Z$43,$AA$28,$Z$45,Q118)*-1)</f>
        <v/>
      </c>
      <c r="N118" s="1192">
        <f>IF(_epmOfflineCondition_,0,EPMRetrieveData(,,$D$21,$D$22,$D$25,$D$26,$D$27,$D$28,$D$29,$AB$41,$AB$42,$AB$43,$Z$28,$AB$45,Q118))</f>
        <v/>
      </c>
      <c r="O118" s="1192">
        <f>IF(_epmOfflineCondition_,0,EPMRetrieveData(,,$D$21,$D$22,$D$25,$D$26,$D$27,$D$28,$D$29,$AA$41,$AA$42,$AA$43,$Z$28,$AA$45,Q118))</f>
        <v/>
      </c>
      <c r="P118" s="1192">
        <f>IF(_epmOfflineCondition_,0,EPMRetrieveData(,,$D$21,$D$22,$D$25,$D$26,$D$27,$D$28,$D$29,$Z$41,$Z$42,$Z$43,$Z$28,$Z$45,Q118))</f>
        <v/>
      </c>
      <c r="Q118" s="609" t="inlineStr">
        <is>
          <t>A00711</t>
        </is>
      </c>
      <c r="R118" s="716">
        <f>IF(_epmOfflineCondition_,"人工成本明细-离退休人工成本",EPMMemberDesc(Q118))</f>
        <v/>
      </c>
      <c r="S118" s="462">
        <f>IF(_epmOfflineCondition_,"  一年内到期的非流动资产",EPMMemberDesc(U118))</f>
        <v/>
      </c>
      <c r="T118" s="384" t="n"/>
      <c r="U118" s="716" t="inlineStr">
        <is>
          <t>A001010116</t>
        </is>
      </c>
      <c r="V118" s="635">
        <f>IF(_epmOfflineCondition_,"A001010116",EPMOlapMemberO(U118,"[C_ACCOUNT].[PARENTH1].[A001010116]","A001010116 -   一年内到期的非流动资产","","000"))</f>
        <v/>
      </c>
      <c r="W118" s="384" t="n"/>
      <c r="X118" s="585" t="inlineStr">
        <is>
          <t>40. 一年内到期的非流动资产</t>
        </is>
      </c>
      <c r="Y118" s="1185">
        <f>ROW()-45</f>
        <v/>
      </c>
      <c r="Z118" s="1347">
        <f>"— —"</f>
        <v/>
      </c>
      <c r="AA118" s="1298" t="n"/>
      <c r="AB118" s="1298" t="n"/>
      <c r="AC118" s="1192" t="n"/>
      <c r="AD118" s="1192" t="n"/>
      <c r="AE118" s="384" t="n"/>
      <c r="AF118" s="384" t="n"/>
      <c r="AG118" s="384" t="n"/>
      <c r="AH118" s="384" t="n"/>
      <c r="AI118" s="384" t="n"/>
      <c r="AJ118" s="384" t="n"/>
      <c r="AK118" s="384" t="n"/>
      <c r="AL118" s="384" t="n"/>
      <c r="AM118" s="384" t="n"/>
      <c r="AN118" s="384" t="n"/>
      <c r="AO118" s="384" t="n"/>
    </row>
    <row r="119" hidden="1" s="1181">
      <c r="A119" s="384" t="n"/>
      <c r="B119" s="384" t="n"/>
      <c r="C119" s="384" t="n"/>
      <c r="D119" s="384" t="n"/>
      <c r="E119" s="384" t="n"/>
      <c r="F119" s="384" t="n"/>
      <c r="G119" s="384" t="n"/>
      <c r="H119" s="384" t="n"/>
      <c r="I119" s="384" t="n"/>
      <c r="J119" s="384" t="n"/>
      <c r="K119" s="1350">
        <f>IF(_epmOfflineCondition_,0,EPMRetrieveData(,,$D$21,$D$22,$D$25,$D$26,$D$27,$D$28,$D$29,$AB$41,$AB$42,$AB$43,$AA$28,$AB$45,Q119)*-1)</f>
        <v/>
      </c>
      <c r="L119" s="1350">
        <f>IF(_epmOfflineCondition_,0,EPMRetrieveData(,,$D$21,$D$22,$D$25,$D$26,$D$27,$D$28,$D$29,$AA$41,$AA$42,$AA$43,$AA$28,$AA$45,Q119)*-1)</f>
        <v/>
      </c>
      <c r="M119" s="1350">
        <f>IF(_epmOfflineCondition_,0,EPMRetrieveData(,,$D$21,$D$22,$D$25,$D$26,$D$27,$D$28,$D$29,$Z$41,$Z$42,$Z$43,$AA$28,$Z$45,Q119)*-1)</f>
        <v/>
      </c>
      <c r="N119" s="1192">
        <f>IF(_epmOfflineCondition_,0,EPMRetrieveData(,,$D$21,$D$22,$D$25,$D$26,$D$27,$D$28,$D$29,$AB$41,$AB$42,$AB$43,$Z$28,$AB$45,Q119))</f>
        <v/>
      </c>
      <c r="O119" s="1192">
        <f>IF(_epmOfflineCondition_,0,EPMRetrieveData(,,$D$21,$D$22,$D$25,$D$26,$D$27,$D$28,$D$29,$AA$41,$AA$42,$AA$43,$Z$28,$AA$45,Q119))</f>
        <v/>
      </c>
      <c r="P119" s="1192">
        <f>IF(_epmOfflineCondition_,0,EPMRetrieveData(,,$D$21,$D$22,$D$25,$D$26,$D$27,$D$28,$D$29,$Z$41,$Z$42,$Z$43,$Z$28,$Z$45,Q119))</f>
        <v/>
      </c>
      <c r="Q119" s="609" t="inlineStr">
        <is>
          <t>A0071301</t>
        </is>
      </c>
      <c r="R119" s="716">
        <f>IF(_epmOfflineCondition_,"人工成本明细-其中：福利费用（离退休人员统筹外费用）",EPMMemberDesc(Q119))</f>
        <v/>
      </c>
      <c r="S119" s="462">
        <f>IF(_epmOfflineCondition_,"  预付款项",EPMMemberDesc(U119))</f>
        <v/>
      </c>
      <c r="T119" s="384" t="n"/>
      <c r="U119" s="716" t="inlineStr">
        <is>
          <t>A001010108</t>
        </is>
      </c>
      <c r="V119" s="635">
        <f>IF(_epmOfflineCondition_,"A001010108",EPMOlapMemberO(U119,"[C_ACCOUNT].[PARENTH1].[A001010108]","A001010108 -   预付款项","","000"))</f>
        <v/>
      </c>
      <c r="W119" s="384" t="n"/>
      <c r="X119" s="585" t="inlineStr">
        <is>
          <t>41. 预付账款</t>
        </is>
      </c>
      <c r="Y119" s="1185">
        <f>ROW()-45</f>
        <v/>
      </c>
      <c r="Z119" s="1347">
        <f>"— —"</f>
        <v/>
      </c>
      <c r="AA119" s="1298" t="inlineStr"/>
      <c r="AB119" s="1298" t="inlineStr"/>
      <c r="AC119" s="1192" t="n"/>
      <c r="AD119" s="1192" t="n"/>
      <c r="AE119" s="384" t="n"/>
      <c r="AF119" s="384" t="n"/>
      <c r="AG119" s="384" t="n"/>
      <c r="AH119" s="384" t="n"/>
      <c r="AI119" s="384" t="n"/>
      <c r="AJ119" s="384" t="n"/>
      <c r="AK119" s="384" t="n"/>
      <c r="AL119" s="384" t="n"/>
      <c r="AM119" s="384" t="n"/>
      <c r="AN119" s="384" t="n"/>
      <c r="AO119" s="384" t="n"/>
    </row>
    <row r="120" hidden="1" ht="15.75" customHeight="1" s="1181">
      <c r="A120" s="384" t="n"/>
      <c r="B120" s="384" t="n"/>
      <c r="C120" s="384" t="n"/>
      <c r="D120" s="384" t="n"/>
      <c r="E120" s="384" t="n"/>
      <c r="F120" s="384" t="n"/>
      <c r="G120" s="384" t="n"/>
      <c r="H120" s="384" t="n"/>
      <c r="I120" s="384" t="n"/>
      <c r="J120" s="384" t="n"/>
      <c r="K120" s="1350">
        <f>IF(_epmOfflineCondition_,0,EPMRetrieveData(,,$D$21,$D$22,$D$25,$D$26,$D$27,$D$28,$D$29,$AB$41,$AB$42,$AB$43,$AA$28,$AB$45,Q120)*-1)</f>
        <v/>
      </c>
      <c r="L120" s="1350">
        <f>IF(_epmOfflineCondition_,0,EPMRetrieveData(,,$D$21,$D$22,$D$25,$D$26,$D$27,$D$28,$D$29,$AA$41,$AA$42,$AA$43,$AA$28,$AA$45,Q120)*-1)</f>
        <v/>
      </c>
      <c r="M120" s="1350">
        <f>IF(_epmOfflineCondition_,0,EPMRetrieveData(,,$D$21,$D$22,$D$25,$D$26,$D$27,$D$28,$D$29,$Z$41,$Z$42,$Z$43,$AA$28,$Z$45,Q120)*-1)</f>
        <v/>
      </c>
      <c r="N120" s="1192">
        <f>IF(_epmOfflineCondition_,0,EPMRetrieveData(,,$D$21,$D$22,$D$25,$D$26,$D$27,$D$28,$D$29,$AB$41,$AB$42,$AB$43,$Z$28,$AB$45,Q120))</f>
        <v/>
      </c>
      <c r="O120" s="1192">
        <f>IF(_epmOfflineCondition_,0,EPMRetrieveData(,,$D$21,$D$22,$D$25,$D$26,$D$27,$D$28,$D$29,$AA$41,$AA$42,$AA$43,$Z$28,$AA$45,Q120))</f>
        <v/>
      </c>
      <c r="P120" s="1192">
        <f>IF(_epmOfflineCondition_,0,EPMRetrieveData(,,$D$21,$D$22,$D$25,$D$26,$D$27,$D$28,$D$29,$Z$41,$Z$42,$Z$43,$Z$28,$Z$45,Q120))</f>
        <v/>
      </c>
      <c r="Q120" s="609" t="inlineStr">
        <is>
          <t>A0071302</t>
        </is>
      </c>
      <c r="R120" s="716">
        <f>IF(_epmOfflineCondition_,"人工成本明细-其中：福利费用（离职后福利）",EPMMemberDesc(Q120))</f>
        <v/>
      </c>
      <c r="S120" s="462">
        <f>IF(_epmOfflineCondition_,"   预收款项",EPMMemberDesc(U120))</f>
        <v/>
      </c>
      <c r="T120" s="384" t="n"/>
      <c r="U120" s="716" t="inlineStr">
        <is>
          <t>A001020109</t>
        </is>
      </c>
      <c r="V120" s="637">
        <f>IF(_epmOfflineCondition_,"A001020109",EPMOlapMemberO(U120,"[C_ACCOUNT].[PARENTH1].[A001020109]","A001020109 -    预收款项","","000"))</f>
        <v/>
      </c>
      <c r="W120" s="384" t="n"/>
      <c r="X120" s="585" t="inlineStr">
        <is>
          <t>42. 预收账款</t>
        </is>
      </c>
      <c r="Y120" s="1185">
        <f>ROW()-45</f>
        <v/>
      </c>
      <c r="Z120" s="1347">
        <f>"— —"</f>
        <v/>
      </c>
      <c r="AA120" s="1298" t="n"/>
      <c r="AB120" s="1298" t="n"/>
      <c r="AC120" s="1192" t="n"/>
      <c r="AD120" s="1192" t="n"/>
      <c r="AE120" s="384" t="n"/>
      <c r="AF120" s="384" t="n"/>
      <c r="AG120" s="384" t="n"/>
      <c r="AH120" s="384" t="n"/>
      <c r="AI120" s="384" t="n"/>
      <c r="AJ120" s="384" t="n"/>
      <c r="AK120" s="384" t="n"/>
      <c r="AL120" s="384" t="n"/>
      <c r="AM120" s="384" t="n"/>
      <c r="AN120" s="384" t="n"/>
      <c r="AO120" s="384" t="n"/>
    </row>
    <row r="121" hidden="1" s="1181">
      <c r="A121" s="384" t="n"/>
      <c r="B121" s="384" t="n"/>
      <c r="C121" s="384" t="n"/>
      <c r="D121" s="384" t="n"/>
      <c r="E121" s="384" t="n"/>
      <c r="F121" s="384" t="n"/>
      <c r="G121" s="384" t="n"/>
      <c r="H121" s="384" t="n"/>
      <c r="I121" s="384" t="n"/>
      <c r="J121" s="384" t="n"/>
      <c r="K121" s="1350">
        <f>IF(_epmOfflineCondition_,0,EPMRetrieveData(,,$D$21,$D$22,$D$25,$D$26,$D$27,$D$28,$D$29,$AB$41,$AB$42,$AB$43,$AA$28,$AB$45,Q121))</f>
        <v/>
      </c>
      <c r="L121" s="1350">
        <f>IF(_epmOfflineCondition_,0,EPMRetrieveData(,,$D$21,$D$22,$D$25,$D$26,$D$27,$D$28,$D$29,$AA$41,$AA$42,$AA$43,$AA$28,$AA$45,Q121))</f>
        <v/>
      </c>
      <c r="M121" s="1350">
        <f>IF(_epmOfflineCondition_,0,EPMRetrieveData(,,$D$21,$D$22,$D$25,$D$26,$D$27,$D$28,$D$29,$Z$41,$Z$42,$Z$43,$AA$28,$Z$45,Q121))</f>
        <v/>
      </c>
      <c r="N121" s="1192">
        <f>IF(_epmOfflineCondition_,0,EPMRetrieveData(,,$D$21,$D$22,$D$25,$D$26,$D$27,$D$28,$D$29,$AB$41,$AB$42,$AB$43,$Z$28,$AB$45,Q121))</f>
        <v/>
      </c>
      <c r="O121" s="1192">
        <f>IF(_epmOfflineCondition_,0,EPMRetrieveData(,,$D$21,$D$22,$D$25,$D$26,$D$27,$D$28,$D$29,$AA$41,$AA$42,$AA$43,$Z$28,$AA$45,Q121))</f>
        <v/>
      </c>
      <c r="P121" s="1192">
        <f>IF(_epmOfflineCondition_,0,EPMRetrieveData(,,$D$21,$D$22,$D$25,$D$26,$D$27,$D$28,$D$29,$Z$41,$Z$42,$Z$43,$Z$28,$Z$45,Q121))</f>
        <v/>
      </c>
      <c r="Q121" s="609" t="inlineStr">
        <is>
          <t>A00716</t>
        </is>
      </c>
      <c r="R121" s="716">
        <f>IF(_epmOfflineCondition_,"人工成本明细-除内退及下岗职工外的不在岗职工人工成本总额",EPMMemberDesc(Q121))</f>
        <v/>
      </c>
      <c r="S121" s="462">
        <f>IF(_epmOfflineCondition_,"   合同负债",EPMMemberDesc(U121))</f>
        <v/>
      </c>
      <c r="T121" s="384" t="n"/>
      <c r="U121" s="716" t="inlineStr">
        <is>
          <t>A001020110</t>
        </is>
      </c>
      <c r="V121" s="637">
        <f>IF(_epmOfflineCondition_,"A001020110",EPMOlapMemberO(U121,"[C_ACCOUNT].[PARENTH1].[A001020110]","A001020110 -    合同负债","","000"))</f>
        <v/>
      </c>
      <c r="W121" s="384" t="n"/>
      <c r="X121" s="585" t="inlineStr">
        <is>
          <t>43. 合同负债</t>
        </is>
      </c>
      <c r="Y121" s="1185">
        <f>ROW()-45</f>
        <v/>
      </c>
      <c r="Z121" s="1347">
        <f>"— —"</f>
        <v/>
      </c>
      <c r="AA121" s="1298" t="n"/>
      <c r="AB121" s="1298" t="n"/>
      <c r="AC121" s="1192" t="n"/>
      <c r="AD121" s="1192" t="n"/>
      <c r="AE121" s="384" t="n"/>
      <c r="AF121" s="384" t="n"/>
      <c r="AG121" s="384" t="n"/>
      <c r="AH121" s="384" t="n"/>
      <c r="AI121" s="384" t="n"/>
      <c r="AJ121" s="384" t="n"/>
      <c r="AK121" s="384" t="n"/>
      <c r="AL121" s="384" t="n"/>
      <c r="AM121" s="384" t="n"/>
      <c r="AN121" s="384" t="n"/>
      <c r="AO121" s="384" t="n"/>
    </row>
    <row r="122" hidden="1" s="1181">
      <c r="A122" s="384" t="n"/>
      <c r="B122" s="384" t="n"/>
      <c r="C122" s="384" t="n"/>
      <c r="D122" s="384" t="n"/>
      <c r="E122" s="384" t="n"/>
      <c r="F122" s="384" t="n"/>
      <c r="G122" s="384" t="n"/>
      <c r="H122" s="384" t="n"/>
      <c r="I122" s="384" t="n"/>
      <c r="J122" s="384" t="n"/>
      <c r="K122" s="1350">
        <f>IF(_epmOfflineCondition_,0,EPMRetrieveData(,,$D$21,$D$22,$D$25,$D$26,$D$27,$D$28,$D$29,$AB$41,$AB$42,$AB$43,$AA$28,$AB$45,Q122)*-1)</f>
        <v/>
      </c>
      <c r="L122" s="1350">
        <f>IF(_epmOfflineCondition_,0,EPMRetrieveData(,,$D$21,$D$22,$D$25,$D$26,$D$27,$D$28,$D$29,$AA$41,$AA$42,$AA$43,$AA$28,$AA$45,Q122)*-1)</f>
        <v/>
      </c>
      <c r="M122" s="1350">
        <f>IF(_epmOfflineCondition_,0,EPMRetrieveData(,,$D$21,$D$22,$D$25,$D$26,$D$27,$D$28,$D$29,$Z$41,$Z$42,$Z$43,$AA$28,$Z$45,Q122))</f>
        <v/>
      </c>
      <c r="N122" s="1192">
        <f>IF(_epmOfflineCondition_,0,EPMRetrieveData(,,$D$21,$D$22,$D$25,$D$26,$D$27,$D$28,$D$29,$AB$41,$AB$42,$AB$43,$Z$28,$AB$45,Q122))</f>
        <v/>
      </c>
      <c r="O122" s="1192">
        <f>IF(_epmOfflineCondition_,0,EPMRetrieveData(,,$D$21,$D$22,$D$25,$D$26,$D$27,$D$28,$D$29,$AA$41,$AA$42,$AA$43,$Z$28,$AA$45,Q122))</f>
        <v/>
      </c>
      <c r="P122" s="1192">
        <f>IF(_epmOfflineCondition_,0,EPMRetrieveData(,,$D$21,$D$22,$D$25,$D$26,$D$27,$D$28,$D$29,$Z$41,$Z$42,$Z$43,$Z$28,$Z$45,Q122))</f>
        <v/>
      </c>
      <c r="Q122" s="609" t="inlineStr">
        <is>
          <t>A00712</t>
        </is>
      </c>
      <c r="R122" s="384" t="n"/>
      <c r="S122" s="462">
        <f>IF(_epmOfflineCondition_,"44. 带息流动负债",EPMMemberDesc(U122))</f>
        <v/>
      </c>
      <c r="T122" s="384" t="n"/>
      <c r="U122" s="716" t="inlineStr">
        <is>
          <t>A07819</t>
        </is>
      </c>
      <c r="V122" s="535">
        <f>IF(_epmOfflineCondition_,"A07819",EPMOlapMemberO(U122,"[C_ACCOUNT].[PARENTH1].[A07819]","A07819 - 44. 带息流动负债","","000"))</f>
        <v/>
      </c>
      <c r="W122" s="384" t="n"/>
      <c r="X122" s="585" t="inlineStr">
        <is>
          <t>44. 带息流动负债</t>
        </is>
      </c>
      <c r="Y122" s="1185">
        <f>ROW()-45</f>
        <v/>
      </c>
      <c r="Z122" s="1347">
        <f>"— —"</f>
        <v/>
      </c>
      <c r="AA122" s="1352" t="n"/>
      <c r="AB122" s="1298" t="inlineStr"/>
      <c r="AC122" s="1192">
        <f>IF(_epmOfflineCondition_,0,EPMSaveDataOnly(AA122,,$D$21,Z37,$E$25,$E$26,$E$27,$E$28,$E$29,$AA$41,$AA$42,$Z$29,$Z$28,$AA$45,V122))</f>
        <v/>
      </c>
      <c r="AD122" s="1192" t="n"/>
      <c r="AE122" s="384" t="n"/>
      <c r="AF122" s="384" t="n"/>
      <c r="AG122" s="384" t="n"/>
      <c r="AH122" s="384" t="n"/>
      <c r="AI122" s="384" t="n"/>
      <c r="AJ122" s="384" t="n"/>
      <c r="AK122" s="384" t="n"/>
      <c r="AL122" s="384" t="n"/>
      <c r="AM122" s="384" t="n"/>
      <c r="AN122" s="384" t="n"/>
      <c r="AO122" s="384" t="n"/>
    </row>
    <row r="123" hidden="1" s="1181">
      <c r="A123" s="384" t="n"/>
      <c r="B123" s="384" t="n"/>
      <c r="C123" s="384" t="n"/>
      <c r="D123" s="384" t="n"/>
      <c r="E123" s="384" t="n"/>
      <c r="F123" s="384" t="n"/>
      <c r="G123" s="384" t="n"/>
      <c r="H123" s="384" t="n"/>
      <c r="I123" s="384" t="n"/>
      <c r="J123" s="384" t="n"/>
      <c r="K123" s="384" t="n"/>
      <c r="L123" s="384" t="n"/>
      <c r="M123" s="384" t="n"/>
      <c r="N123" s="384" t="n"/>
      <c r="O123" s="384" t="n"/>
      <c r="P123" s="384" t="n"/>
      <c r="Q123" s="384" t="n"/>
      <c r="R123" s="384" t="n"/>
      <c r="S123" s="462">
        <f>IF(_epmOfflineCondition_,"45. 计入权益的永续债",EPMMemberDesc(U123))</f>
        <v/>
      </c>
      <c r="T123" s="384" t="n"/>
      <c r="U123" s="716" t="inlineStr">
        <is>
          <t>A07820</t>
        </is>
      </c>
      <c r="V123" s="535">
        <f>IF(_epmOfflineCondition_,"A07820",EPMOlapMemberO(U123,"[C_ACCOUNT].[PARENTH1].[A07820]","A07820 - 45. 计入权益的永续债","","000"))</f>
        <v/>
      </c>
      <c r="W123" s="384" t="n"/>
      <c r="X123" s="585" t="inlineStr">
        <is>
          <t>45. 计入权益的永续债</t>
        </is>
      </c>
      <c r="Y123" s="1185">
        <f>ROW()-45</f>
        <v/>
      </c>
      <c r="Z123" s="1347">
        <f>"— —"</f>
        <v/>
      </c>
      <c r="AA123" s="1352" t="n"/>
      <c r="AB123" s="1298" t="n"/>
      <c r="AC123" s="1192">
        <f>IF(_epmOfflineCondition_,0,EPMSaveDataOnly(AA123,,$D$21,Z37,$E$25,$E$26,$E$27,$E$28,$E$29,$AA$41,$AA$42,$Z$29,$Z$28,$AA$45,V123))</f>
        <v/>
      </c>
      <c r="AD123" s="1192" t="n"/>
      <c r="AE123" s="384" t="n"/>
      <c r="AF123" s="384" t="n"/>
      <c r="AG123" s="384" t="n"/>
      <c r="AH123" s="384" t="n"/>
      <c r="AI123" s="384" t="n"/>
      <c r="AJ123" s="384" t="n"/>
      <c r="AK123" s="384" t="n"/>
      <c r="AL123" s="384" t="n"/>
      <c r="AM123" s="384" t="n"/>
      <c r="AN123" s="384" t="n"/>
      <c r="AO123" s="384" t="n"/>
    </row>
    <row r="124" hidden="1" s="1181">
      <c r="A124" s="384" t="n"/>
      <c r="B124" s="384" t="n"/>
      <c r="C124" s="384" t="n"/>
      <c r="D124" s="384" t="n"/>
      <c r="E124" s="384" t="n"/>
      <c r="F124" s="384" t="n"/>
      <c r="G124" s="384" t="n"/>
      <c r="H124" s="384" t="n"/>
      <c r="I124" s="384" t="n"/>
      <c r="J124" s="384" t="n"/>
      <c r="K124" s="384" t="n"/>
      <c r="L124" s="384" t="n"/>
      <c r="M124" s="384" t="n"/>
      <c r="N124" s="384" t="n"/>
      <c r="O124" s="384" t="n"/>
      <c r="P124" s="384" t="n"/>
      <c r="Q124" s="384" t="n"/>
      <c r="R124" s="384" t="n"/>
      <c r="S124" s="462">
        <f>IF(_epmOfflineCondition_,"  盈余公积",EPMMemberDesc(U124))</f>
        <v/>
      </c>
      <c r="T124" s="384" t="n"/>
      <c r="U124" s="716" t="inlineStr">
        <is>
          <t>A0010307</t>
        </is>
      </c>
      <c r="V124" s="637">
        <f>IF(_epmOfflineCondition_,"A0010307",EPMOlapMemberO(U124,"[C_ACCOUNT].[PARENTH1].[A0010307]","A0010307 -   盈余公积","","000"))</f>
        <v/>
      </c>
      <c r="W124" s="384" t="n"/>
      <c r="X124" s="585" t="inlineStr">
        <is>
          <t>46. 盈余公积</t>
        </is>
      </c>
      <c r="Y124" s="1185">
        <f>ROW()-45</f>
        <v/>
      </c>
      <c r="Z124" s="1347">
        <f>"— —"</f>
        <v/>
      </c>
      <c r="AA124" s="1298" t="n"/>
      <c r="AB124" s="1298" t="n"/>
      <c r="AC124" s="1192" t="n"/>
      <c r="AD124" s="1192" t="n"/>
      <c r="AE124" s="384" t="n"/>
      <c r="AF124" s="384" t="n"/>
      <c r="AG124" s="384" t="n"/>
      <c r="AH124" s="384" t="n"/>
      <c r="AI124" s="384" t="n"/>
      <c r="AJ124" s="384" t="n"/>
      <c r="AK124" s="384" t="n"/>
      <c r="AL124" s="384" t="n"/>
      <c r="AM124" s="384" t="n"/>
      <c r="AN124" s="384" t="n"/>
      <c r="AO124" s="384" t="n"/>
    </row>
    <row r="125" hidden="1" s="1181">
      <c r="A125" s="384" t="n"/>
      <c r="B125" s="384" t="n"/>
      <c r="C125" s="384" t="n"/>
      <c r="D125" s="384" t="n"/>
      <c r="E125" s="384" t="n"/>
      <c r="F125" s="384" t="n"/>
      <c r="G125" s="384" t="n"/>
      <c r="H125" s="384" t="n"/>
      <c r="I125" s="384" t="n"/>
      <c r="J125" s="384" t="n"/>
      <c r="K125" s="384" t="n"/>
      <c r="L125" s="384" t="n"/>
      <c r="M125" s="384" t="n"/>
      <c r="N125" s="384" t="n"/>
      <c r="O125" s="384" t="n"/>
      <c r="P125" s="384" t="n"/>
      <c r="Q125" s="384" t="n"/>
      <c r="R125" s="384" t="n"/>
      <c r="S125" s="462">
        <f>IF(_epmOfflineCondition_,"　未分配利润",EPMMemberDesc(U125))</f>
        <v/>
      </c>
      <c r="T125" s="384" t="n"/>
      <c r="U125" s="716" t="inlineStr">
        <is>
          <t>A0010309</t>
        </is>
      </c>
      <c r="V125" s="637">
        <f>IF(_epmOfflineCondition_,"A0010309",EPMOlapMemberO(U125,"[C_ACCOUNT].[PARENTH1].[A0010309]","A0010309 - 　未分配利润","","000"))</f>
        <v/>
      </c>
      <c r="W125" s="384" t="n"/>
      <c r="X125" s="585" t="inlineStr">
        <is>
          <t>47. 未分配利润</t>
        </is>
      </c>
      <c r="Y125" s="1185">
        <f>ROW()-45</f>
        <v/>
      </c>
      <c r="Z125" s="1347">
        <f>"— —"</f>
        <v/>
      </c>
      <c r="AA125" s="1298" t="inlineStr"/>
      <c r="AB125" s="1298" t="inlineStr"/>
      <c r="AC125" s="1192" t="n"/>
      <c r="AD125" s="1192" t="n"/>
      <c r="AE125" s="384" t="n"/>
      <c r="AF125" s="384" t="n"/>
      <c r="AG125" s="384" t="n"/>
      <c r="AH125" s="384" t="n"/>
      <c r="AI125" s="384" t="n"/>
      <c r="AJ125" s="384" t="n"/>
      <c r="AK125" s="384" t="n"/>
      <c r="AL125" s="384" t="n"/>
      <c r="AM125" s="384" t="n"/>
      <c r="AN125" s="384" t="n"/>
      <c r="AO125" s="384" t="n"/>
    </row>
    <row r="126" hidden="1" s="1181">
      <c r="A126" s="384" t="n"/>
      <c r="B126" s="384" t="n"/>
      <c r="C126" s="384" t="n"/>
      <c r="D126" s="384" t="n"/>
      <c r="E126" s="384" t="n"/>
      <c r="F126" s="384" t="n"/>
      <c r="G126" s="384" t="n"/>
      <c r="H126" s="384" t="n"/>
      <c r="I126" s="384" t="n"/>
      <c r="J126" s="384" t="n"/>
      <c r="K126" s="384" t="n"/>
      <c r="L126" s="384" t="n"/>
      <c r="M126" s="384" t="n"/>
      <c r="N126" s="384" t="n"/>
      <c r="O126" s="384" t="n"/>
      <c r="P126" s="384" t="n"/>
      <c r="Q126" s="384" t="n"/>
      <c r="R126" s="384" t="n"/>
      <c r="S126" s="462">
        <f>IF(_epmOfflineCondition_,"六、期末现金及现金等价物余额",EPMMemberDesc(U126))</f>
        <v/>
      </c>
      <c r="T126" s="384" t="n"/>
      <c r="U126" s="716" t="inlineStr">
        <is>
          <t>A00307</t>
        </is>
      </c>
      <c r="V126" s="535">
        <f>IF(_epmOfflineCondition_,"A00307",EPMOlapMemberO(U126,"[C_ACCOUNT].[PARENTH1].[A00307]","A00307 - 六、期末现金及现金等价物余额","","000"))</f>
        <v/>
      </c>
      <c r="W126" s="384" t="n"/>
      <c r="X126" s="585" t="inlineStr">
        <is>
          <t>48. 期末现金及现金等价物余额</t>
        </is>
      </c>
      <c r="Y126" s="1185">
        <f>ROW()-45</f>
        <v/>
      </c>
      <c r="Z126" s="1347">
        <f>"— —"</f>
        <v/>
      </c>
      <c r="AA126" s="1298" t="inlineStr"/>
      <c r="AB126" s="1298" t="inlineStr"/>
      <c r="AC126" s="1192" t="n"/>
      <c r="AD126" s="1192" t="n"/>
      <c r="AE126" s="384" t="n"/>
      <c r="AF126" s="384" t="n"/>
      <c r="AG126" s="384" t="n"/>
      <c r="AH126" s="384" t="n"/>
      <c r="AI126" s="384" t="n"/>
      <c r="AJ126" s="384" t="n"/>
      <c r="AK126" s="384" t="n"/>
      <c r="AL126" s="384" t="n"/>
      <c r="AM126" s="384" t="n"/>
      <c r="AN126" s="384" t="n"/>
      <c r="AO126" s="384" t="n"/>
    </row>
    <row r="127" hidden="1" s="1181">
      <c r="A127" s="384" t="n"/>
      <c r="B127" s="384" t="n"/>
      <c r="C127" s="384" t="n"/>
      <c r="D127" s="384" t="n"/>
      <c r="E127" s="384" t="n"/>
      <c r="F127" s="384" t="n"/>
      <c r="G127" s="384" t="n"/>
      <c r="H127" s="384" t="n"/>
      <c r="I127" s="384" t="n"/>
      <c r="J127" s="384" t="n"/>
      <c r="K127" s="384" t="n"/>
      <c r="L127" s="384" t="n"/>
      <c r="M127" s="384" t="n"/>
      <c r="N127" s="384" t="n"/>
      <c r="O127" s="384" t="n"/>
      <c r="P127" s="384" t="n"/>
      <c r="Q127" s="384" t="n"/>
      <c r="R127" s="384" t="n"/>
      <c r="S127" s="462">
        <f>IF(_epmOfflineCondition_,"",EPMMemberDesc(U127))</f>
        <v/>
      </c>
      <c r="T127" s="384" t="n"/>
      <c r="U127" s="384" t="n"/>
      <c r="V127" s="385" t="n"/>
      <c r="W127" s="384" t="n"/>
      <c r="X127" s="454" t="inlineStr">
        <is>
          <t>企业经营补充指标</t>
        </is>
      </c>
      <c r="Y127" s="1185">
        <f>ROW()-45</f>
        <v/>
      </c>
      <c r="Z127" s="1347">
        <f>"— —"</f>
        <v/>
      </c>
      <c r="AA127" s="1347">
        <f>"— —"</f>
        <v/>
      </c>
      <c r="AB127" s="1347">
        <f>"— —"</f>
        <v/>
      </c>
      <c r="AC127" s="1192" t="n"/>
      <c r="AD127" s="1192" t="n"/>
      <c r="AE127" s="384" t="n"/>
      <c r="AF127" s="384" t="n"/>
      <c r="AG127" s="384" t="n"/>
      <c r="AH127" s="384" t="n"/>
      <c r="AI127" s="384" t="n"/>
      <c r="AJ127" s="384" t="n"/>
      <c r="AK127" s="384" t="n"/>
      <c r="AL127" s="384" t="n"/>
      <c r="AM127" s="384" t="n"/>
      <c r="AN127" s="384" t="n"/>
      <c r="AO127" s="384" t="n"/>
    </row>
    <row r="128" hidden="1" s="1181">
      <c r="A128" s="384" t="n"/>
      <c r="B128" s="384" t="n"/>
      <c r="C128" s="384" t="n"/>
      <c r="D128" s="384" t="n"/>
      <c r="E128" s="384" t="n"/>
      <c r="F128" s="384" t="n"/>
      <c r="G128" s="384" t="n"/>
      <c r="H128" s="384" t="n"/>
      <c r="I128" s="384" t="n"/>
      <c r="J128" s="384" t="n"/>
      <c r="K128" s="384" t="n"/>
      <c r="L128" s="384" t="n"/>
      <c r="M128" s="384" t="n"/>
      <c r="N128" s="384" t="n"/>
      <c r="O128" s="384" t="n"/>
      <c r="P128" s="384" t="n"/>
      <c r="Q128" s="384" t="n"/>
      <c r="R128" s="384" t="n"/>
      <c r="S128" s="462">
        <f>IF(_epmOfflineCondition_,"49.营业成本-原材料",EPMMemberDesc(U128))</f>
        <v/>
      </c>
      <c r="T128" s="384" t="n"/>
      <c r="U128" s="384" t="inlineStr">
        <is>
          <t>A07814</t>
        </is>
      </c>
      <c r="V128" s="535">
        <f>IF(_epmOfflineCondition_,"A07814",EPMOlapMemberO(U128,"[C_ACCOUNT].[PARENTH1].[A07814]","A07814 - 49.营业成本-原材料","","000"))</f>
        <v/>
      </c>
      <c r="W128" s="384" t="n"/>
      <c r="X128" s="585" t="inlineStr">
        <is>
          <t>49. 营业成本-原材料</t>
        </is>
      </c>
      <c r="Y128" s="1185">
        <f>ROW()-45</f>
        <v/>
      </c>
      <c r="Z128" s="1353" t="n"/>
      <c r="AA128" s="1297" t="n"/>
      <c r="AB128" s="1353" t="n"/>
      <c r="AC128" s="1192">
        <f>IF(_epmOfflineCondition_,0,EPMSaveDataOnly(AA128,,$D$21,Z37,$E$25,$E$26,$E$27,$E$28,$E$29,$AA$41,$AA$42,$Z$29,$Z$28,$AA$45,V128))</f>
        <v/>
      </c>
      <c r="AD128" s="1192" t="n"/>
      <c r="AE128" s="384" t="n"/>
      <c r="AF128" s="384" t="n"/>
      <c r="AG128" s="384" t="n"/>
      <c r="AH128" s="384" t="n"/>
      <c r="AI128" s="384" t="n"/>
      <c r="AJ128" s="384" t="n"/>
      <c r="AK128" s="384" t="n"/>
      <c r="AL128" s="384" t="n"/>
      <c r="AM128" s="384" t="n"/>
      <c r="AN128" s="384" t="n"/>
      <c r="AO128" s="384" t="n"/>
    </row>
    <row r="129" hidden="1" s="1181">
      <c r="A129" s="384" t="n"/>
      <c r="B129" s="384" t="n"/>
      <c r="C129" s="384" t="n"/>
      <c r="D129" s="384" t="n"/>
      <c r="E129" s="384" t="n"/>
      <c r="F129" s="384" t="n"/>
      <c r="G129" s="384" t="n"/>
      <c r="H129" s="384" t="n"/>
      <c r="I129" s="384" t="n"/>
      <c r="J129" s="384" t="n"/>
      <c r="K129" s="384" t="n"/>
      <c r="L129" s="384" t="n"/>
      <c r="M129" s="384" t="n"/>
      <c r="N129" s="384" t="n"/>
      <c r="O129" s="384" t="n"/>
      <c r="P129" s="384" t="n"/>
      <c r="Q129" s="384" t="n"/>
      <c r="R129" s="384" t="n"/>
      <c r="S129" s="462">
        <f>IF(_epmOfflineCondition_,"50.营业成本-人工成本",EPMMemberDesc(U129))</f>
        <v/>
      </c>
      <c r="T129" s="384" t="n"/>
      <c r="U129" s="384" t="inlineStr">
        <is>
          <t>A07815</t>
        </is>
      </c>
      <c r="V129" s="535">
        <f>IF(_epmOfflineCondition_,"A07815",EPMOlapMemberO(U129,"[C_ACCOUNT].[PARENTH1].[A07815]","A07815 - 50.营业成本-人工成本","","000"))</f>
        <v/>
      </c>
      <c r="W129" s="384" t="n"/>
      <c r="X129" s="585" t="inlineStr">
        <is>
          <t>50. 营业成本-人工成本</t>
        </is>
      </c>
      <c r="Y129" s="1185">
        <f>ROW()-45</f>
        <v/>
      </c>
      <c r="Z129" s="1353" t="inlineStr"/>
      <c r="AA129" s="1297" t="inlineStr"/>
      <c r="AB129" s="1353" t="n"/>
      <c r="AC129" s="1192">
        <f>IF(_epmOfflineCondition_,3096227.54,EPMSaveDataOnly(AA129,,$D$21,Z37,$E$25,$E$26,$E$27,$E$28,$E$29,$AA$41,$AA$42,$Z$29,$Z$28,$AA$45,V129))</f>
        <v/>
      </c>
      <c r="AD129" s="1192" t="n"/>
      <c r="AE129" s="384" t="n"/>
      <c r="AF129" s="384" t="n"/>
      <c r="AG129" s="384" t="n"/>
      <c r="AH129" s="384" t="n"/>
      <c r="AI129" s="384" t="n"/>
      <c r="AJ129" s="384" t="n"/>
      <c r="AK129" s="384" t="n"/>
      <c r="AL129" s="384" t="n"/>
      <c r="AM129" s="384" t="n"/>
      <c r="AN129" s="384" t="n"/>
      <c r="AO129" s="384" t="n"/>
    </row>
    <row r="130" hidden="1" s="1181">
      <c r="A130" s="384" t="n"/>
      <c r="B130" s="384" t="n"/>
      <c r="C130" s="384" t="n"/>
      <c r="D130" s="384" t="n"/>
      <c r="E130" s="384" t="n"/>
      <c r="F130" s="384" t="n"/>
      <c r="G130" s="384" t="n"/>
      <c r="H130" s="384" t="n"/>
      <c r="I130" s="384" t="n"/>
      <c r="J130" s="384" t="n"/>
      <c r="K130" s="384" t="n"/>
      <c r="L130" s="384" t="n"/>
      <c r="M130" s="384" t="n"/>
      <c r="N130" s="384" t="n"/>
      <c r="O130" s="384" t="n"/>
      <c r="P130" s="384" t="n"/>
      <c r="Q130" s="384" t="n"/>
      <c r="R130" s="384" t="n"/>
      <c r="S130" s="462">
        <f>IF(_epmOfflineCondition_,"51.建筑总产值",EPMMemberDesc(U130))</f>
        <v/>
      </c>
      <c r="T130" s="384" t="n"/>
      <c r="U130" s="384" t="inlineStr">
        <is>
          <t>A07816</t>
        </is>
      </c>
      <c r="V130" s="535">
        <f>IF(_epmOfflineCondition_,"A07816",EPMOlapMemberO(U130,"[C_ACCOUNT].[PARENTH1].[A07816]","A07816 - 51.建筑总产值","","000"))</f>
        <v/>
      </c>
      <c r="W130" s="384" t="n"/>
      <c r="X130" s="585" t="inlineStr">
        <is>
          <t>51. 建筑总产值</t>
        </is>
      </c>
      <c r="Y130" s="1185">
        <f>ROW()-45</f>
        <v/>
      </c>
      <c r="Z130" s="1353" t="n"/>
      <c r="AA130" s="1297" t="n"/>
      <c r="AB130" s="1353" t="n"/>
      <c r="AC130" s="1192">
        <f>IF(_epmOfflineCondition_,0,EPMSaveDataOnly(AA130,,$D$21,Z37,$E$25,$E$26,$E$27,$E$28,$E$29,$AA$41,$AA$42,$Z$29,$Z$28,$AA$45,V130))</f>
        <v/>
      </c>
      <c r="AD130" s="1192" t="n"/>
      <c r="AE130" s="384" t="n"/>
      <c r="AF130" s="384" t="n"/>
      <c r="AG130" s="384" t="n"/>
      <c r="AH130" s="384" t="n"/>
      <c r="AI130" s="384" t="n"/>
      <c r="AJ130" s="384" t="n"/>
      <c r="AK130" s="384" t="n"/>
      <c r="AL130" s="384" t="n"/>
      <c r="AM130" s="384" t="n"/>
      <c r="AN130" s="384" t="n"/>
      <c r="AO130" s="384" t="n"/>
    </row>
    <row r="131" hidden="1" s="1181">
      <c r="A131" s="384" t="n"/>
      <c r="B131" s="384" t="n"/>
      <c r="C131" s="384" t="n"/>
      <c r="D131" s="384" t="n"/>
      <c r="E131" s="384" t="n"/>
      <c r="F131" s="384" t="n"/>
      <c r="G131" s="384" t="n"/>
      <c r="H131" s="384" t="n"/>
      <c r="I131" s="384" t="n"/>
      <c r="J131" s="384" t="n"/>
      <c r="K131" s="384" t="n"/>
      <c r="L131" s="384" t="n"/>
      <c r="M131" s="384" t="n"/>
      <c r="N131" s="384" t="n"/>
      <c r="O131" s="384" t="n"/>
      <c r="P131" s="384" t="n"/>
      <c r="Q131" s="384" t="n"/>
      <c r="R131" s="384" t="n"/>
      <c r="S131" s="462">
        <f>IF(_epmOfflineCondition_,"52.商品房销售面积（万平米）",EPMMemberDesc(U131))</f>
        <v/>
      </c>
      <c r="T131" s="384" t="n"/>
      <c r="U131" s="384" t="inlineStr">
        <is>
          <t>A07817</t>
        </is>
      </c>
      <c r="V131" s="535">
        <f>IF(_epmOfflineCondition_,"A07817",EPMOlapMemberO(U131,"[C_ACCOUNT].[PARENTH1].[A07817]","A07817 - 52.商品房销售面积（万平米）","","000"))</f>
        <v/>
      </c>
      <c r="W131" s="384" t="n"/>
      <c r="X131" s="585" t="inlineStr">
        <is>
          <t>52. 商品房销售面积（万平米）</t>
        </is>
      </c>
      <c r="Y131" s="1185">
        <f>ROW()-45</f>
        <v/>
      </c>
      <c r="Z131" s="1353" t="n"/>
      <c r="AA131" s="1297" t="n"/>
      <c r="AB131" s="1353" t="n"/>
      <c r="AC131" s="1192">
        <f>IF(_epmOfflineCondition_,0,EPMSaveDataOnly(AA131,,$D$21,Z37,$E$25,$E$26,$E$27,$E$28,$E$29,$AA$41,$AA$42,$Z$29,$Z$28,$AA$45,V131))</f>
        <v/>
      </c>
      <c r="AD131" s="1192" t="n"/>
      <c r="AE131" s="384" t="n"/>
      <c r="AF131" s="384" t="n"/>
      <c r="AG131" s="384" t="n"/>
      <c r="AH131" s="384" t="n"/>
      <c r="AI131" s="384" t="n"/>
      <c r="AJ131" s="384" t="n"/>
      <c r="AK131" s="384" t="n"/>
      <c r="AL131" s="384" t="n"/>
      <c r="AM131" s="384" t="n"/>
      <c r="AN131" s="384" t="n"/>
      <c r="AO131" s="384" t="n"/>
    </row>
    <row r="132" hidden="1" s="1181">
      <c r="A132" s="384" t="n"/>
      <c r="B132" s="384" t="n"/>
      <c r="C132" s="384" t="n"/>
      <c r="D132" s="384" t="n"/>
      <c r="E132" s="384" t="n"/>
      <c r="F132" s="384" t="n"/>
      <c r="G132" s="384" t="n"/>
      <c r="H132" s="384" t="n"/>
      <c r="I132" s="384" t="n"/>
      <c r="J132" s="384" t="n"/>
      <c r="K132" s="384" t="n"/>
      <c r="L132" s="384" t="n"/>
      <c r="M132" s="384" t="n"/>
      <c r="N132" s="384" t="n"/>
      <c r="O132" s="384" t="n"/>
      <c r="P132" s="384" t="n"/>
      <c r="Q132" s="384" t="n"/>
      <c r="R132" s="384" t="n"/>
      <c r="S132" s="462">
        <f>IF(_epmOfflineCondition_,"53.已交税费（京内）",EPMMemberDesc(U132))</f>
        <v/>
      </c>
      <c r="T132" s="384" t="n"/>
      <c r="U132" s="384" t="inlineStr">
        <is>
          <t>A07821</t>
        </is>
      </c>
      <c r="V132" s="535">
        <f>IF(_epmOfflineCondition_,"A07821",EPMOlapMemberO(U132,"[C_ACCOUNT].[PARENTH1].[A07821]","A07821 - 53.已交税费（京内）","","000"))</f>
        <v/>
      </c>
      <c r="W132" s="384" t="n"/>
      <c r="X132" s="585" t="inlineStr">
        <is>
          <t>53.已交税费（京内）</t>
        </is>
      </c>
      <c r="Y132" s="1185">
        <f>ROW()-45</f>
        <v/>
      </c>
      <c r="Z132" s="1353" t="n"/>
      <c r="AA132" s="1297" t="n"/>
      <c r="AB132" s="1353" t="n"/>
      <c r="AC132" s="1192">
        <f>IF(_epmOfflineCondition_,0,EPMSaveDataOnly(AA132,,$D$21,Z37,$E$25,$E$26,$E$27,$E$28,$E$29,$AA$41,$AA$42,$Z$29,$Z$28,$AA$45,V132))</f>
        <v/>
      </c>
      <c r="AD132" s="1192" t="n"/>
      <c r="AE132" s="384" t="n"/>
      <c r="AF132" s="384" t="n"/>
      <c r="AG132" s="384" t="n"/>
      <c r="AH132" s="384" t="n"/>
      <c r="AI132" s="384" t="n"/>
      <c r="AJ132" s="384" t="n"/>
      <c r="AK132" s="384" t="n"/>
      <c r="AL132" s="384" t="n"/>
      <c r="AM132" s="384" t="n"/>
      <c r="AN132" s="384" t="n"/>
      <c r="AO132" s="384" t="n"/>
    </row>
    <row r="133" hidden="1" s="1181">
      <c r="A133" s="384" t="n"/>
      <c r="B133" s="384" t="n"/>
      <c r="C133" s="384" t="n"/>
      <c r="D133" s="384" t="n"/>
      <c r="E133" s="384" t="n"/>
      <c r="F133" s="384" t="n"/>
      <c r="G133" s="384" t="n"/>
      <c r="H133" s="384" t="n"/>
      <c r="I133" s="384" t="n"/>
      <c r="J133" s="384" t="n"/>
      <c r="K133" s="384" t="n"/>
      <c r="L133" s="384" t="n"/>
      <c r="M133" s="384" t="n"/>
      <c r="N133" s="384" t="n"/>
      <c r="O133" s="384" t="n"/>
      <c r="P133" s="384" t="n"/>
      <c r="Q133" s="384" t="n"/>
      <c r="R133" s="384" t="n"/>
      <c r="S133" s="462">
        <f>IF(_epmOfflineCondition_,"54.劳动生产总值（京内）",EPMMemberDesc(U133))</f>
        <v/>
      </c>
      <c r="T133" s="384" t="n"/>
      <c r="U133" s="384" t="inlineStr">
        <is>
          <t>A07822</t>
        </is>
      </c>
      <c r="V133" s="535">
        <f>IF(_epmOfflineCondition_,"A07822",EPMOlapMemberO(U133,"[C_ACCOUNT].[PARENTH1].[A07822]","A07822 - 54.劳动生产总值（京内）","","000"))</f>
        <v/>
      </c>
      <c r="W133" s="384" t="n"/>
      <c r="X133" s="585" t="inlineStr">
        <is>
          <t>54.劳动生产总值（京内）</t>
        </is>
      </c>
      <c r="Y133" s="1185">
        <f>ROW()-45</f>
        <v/>
      </c>
      <c r="Z133" s="1353" t="n"/>
      <c r="AA133" s="1297" t="n"/>
      <c r="AB133" s="1353" t="n"/>
      <c r="AC133" s="1192">
        <f>IF(_epmOfflineCondition_,0,EPMSaveDataOnly(AA133,,$D$21,Z37,$E$25,$E$26,$E$27,$E$28,$E$29,$AA$41,$AA$42,$Z$29,$Z$28,$AA$45,V133))</f>
        <v/>
      </c>
      <c r="AD133" s="1192" t="n"/>
      <c r="AE133" s="384" t="n"/>
      <c r="AF133" s="384" t="n"/>
      <c r="AG133" s="384" t="n"/>
      <c r="AH133" s="384" t="n"/>
      <c r="AI133" s="384" t="n"/>
      <c r="AJ133" s="384" t="n"/>
      <c r="AK133" s="384" t="n"/>
      <c r="AL133" s="384" t="n"/>
      <c r="AM133" s="384" t="n"/>
      <c r="AN133" s="384" t="n"/>
      <c r="AO133" s="384" t="n"/>
    </row>
    <row r="134" hidden="1" s="1181">
      <c r="A134" s="384" t="n"/>
      <c r="B134" s="384" t="n"/>
      <c r="C134" s="384" t="n"/>
      <c r="D134" s="384" t="n"/>
      <c r="E134" s="384" t="n"/>
      <c r="F134" s="384" t="n"/>
      <c r="G134" s="384" t="n"/>
      <c r="H134" s="384" t="n"/>
      <c r="I134" s="384" t="n"/>
      <c r="J134" s="384" t="n"/>
      <c r="K134" s="384" t="n"/>
      <c r="L134" s="384" t="n"/>
      <c r="M134" s="384" t="n"/>
      <c r="N134" s="384" t="n"/>
      <c r="O134" s="384" t="n"/>
      <c r="P134" s="384" t="n"/>
      <c r="Q134" s="384" t="n"/>
      <c r="R134" s="384" t="n"/>
      <c r="S134" s="32" t="n"/>
      <c r="T134" s="384" t="n"/>
      <c r="U134" s="384" t="n"/>
      <c r="V134" s="384" t="n"/>
      <c r="W134" s="384" t="n"/>
      <c r="X134" s="38" t="n"/>
      <c r="Y134" s="38" t="n"/>
      <c r="Z134" s="384" t="n"/>
      <c r="AA134" s="384" t="n"/>
      <c r="AB134" s="384" t="n"/>
      <c r="AC134" s="384" t="n"/>
      <c r="AD134" s="384" t="n"/>
      <c r="AE134" s="384" t="n"/>
      <c r="AF134" s="384" t="n"/>
      <c r="AG134" s="384" t="n"/>
      <c r="AH134" s="384" t="n"/>
      <c r="AI134" s="384" t="n"/>
      <c r="AJ134" s="384" t="n"/>
      <c r="AK134" s="384" t="n"/>
      <c r="AL134" s="384" t="n"/>
      <c r="AM134" s="384" t="n"/>
      <c r="AN134" s="384" t="n"/>
      <c r="AO134" s="384" t="n"/>
    </row>
  </sheetData>
  <sheetProtection selectLockedCells="0" selectUnlockedCells="0" algorithmName="SHA-512" sheet="1" objects="0" insertRows="1" insertHyperlinks="1" autoFilter="1" scenarios="1" formatColumns="1" deleteColumns="1" insertColumns="1" pivotTables="1" deleteRows="1" formatCells="1" saltValue="Qr5xvRodCjmkS83DRMY3og==" formatRows="1" sort="1" spinCount="100000" hashValue="UZBL6iACcOAYPmbLQHN/IAdKDorjXs4Don10JiM58PVHmL5jsCDbfrBEMR4tf7HGZpp+2jVvHWUWIqdWRWtIrA=="/>
  <mergeCells count="12">
    <mergeCell ref="H2:J2"/>
    <mergeCell ref="D16:E16"/>
    <mergeCell ref="Z35:AB35"/>
    <mergeCell ref="N80:Q80"/>
    <mergeCell ref="K94:M94"/>
    <mergeCell ref="N94:P94"/>
    <mergeCell ref="X39:X40"/>
    <mergeCell ref="Y39:Y40"/>
    <mergeCell ref="Z39:Z40"/>
    <mergeCell ref="AA39:AA40"/>
    <mergeCell ref="AB39:AB40"/>
    <mergeCell ref="AC39:AC40"/>
  </mergeCells>
  <dataValidations count="1">
    <dataValidation sqref="Z37" showErrorMessage="1" showInputMessage="1" allowBlank="1" type="list">
      <formula1>"LC,CNY"</formula1>
    </dataValidation>
  </dataValidations>
  <pageMargins left="0.7" right="0.7" top="0.75" bottom="0.75" header="0.3" footer="0.3"/>
  <pageSetup orientation="portrait" paperSize="9"/>
  <drawing xmlns:r="http://schemas.openxmlformats.org/officeDocument/2006/relationships" r:id="rId1"/>
</worksheet>
</file>

<file path=xl/worksheets/sheet28.xml><?xml version="1.0" encoding="utf-8"?>
<worksheet xmlns="http://schemas.openxmlformats.org/spreadsheetml/2006/main">
  <sheetPr codeName="Sheet34">
    <outlinePr showOutlineSymbols="0"/>
    <pageSetUpPr/>
  </sheetPr>
  <dimension ref="A1:AS137"/>
  <sheetViews>
    <sheetView showOutlineSymbols="0" topLeftCell="W34" zoomScale="85" zoomScaleNormal="85" workbookViewId="0">
      <pane xSplit="9" ySplit="12" topLeftCell="AF70" activePane="bottomRight" state="frozen"/>
      <selection activeCell="A1" sqref="A1"/>
      <selection pane="topRight" activeCell="A1" sqref="A1"/>
      <selection pane="bottomLeft" activeCell="A1" sqref="A1"/>
      <selection pane="bottomRight" activeCell="AG61" sqref="AG61"/>
    </sheetView>
  </sheetViews>
  <sheetFormatPr baseColWidth="8" defaultColWidth="8.625" defaultRowHeight="16.8"/>
  <cols>
    <col hidden="1" outlineLevel="1" width="8" customWidth="1" style="1181" min="1" max="1"/>
    <col hidden="1" outlineLevel="1" width="15.375" customWidth="1" style="1181" min="2" max="2"/>
    <col hidden="1" outlineLevel="1" width="11.375" customWidth="1" style="1181" min="3" max="3"/>
    <col hidden="1" outlineLevel="1" width="12.25" customWidth="1" style="1181" min="4" max="4"/>
    <col hidden="1" outlineLevel="1" width="12.75" customWidth="1" style="1181" min="5" max="5"/>
    <col hidden="1" outlineLevel="1" width="7.75" customWidth="1" style="1181" min="6" max="7"/>
    <col hidden="1" outlineLevel="1" width="11.875" customWidth="1" style="1181" min="8" max="8"/>
    <col hidden="1" outlineLevel="1" width="7.75" customWidth="1" style="1181" min="9" max="9"/>
    <col hidden="1" outlineLevel="1" width="11.125" customWidth="1" style="1181" min="10" max="10"/>
    <col hidden="1" outlineLevel="1" width="19.875" customWidth="1" style="1181" min="11" max="11"/>
    <col hidden="1" outlineLevel="1" width="16.75" customWidth="1" style="1181" min="12" max="13"/>
    <col hidden="1" outlineLevel="1" width="18.5" customWidth="1" style="1181" min="14" max="14"/>
    <col hidden="1" outlineLevel="1" width="19.75" customWidth="1" style="1181" min="15" max="15"/>
    <col hidden="1" outlineLevel="1" width="19.625" customWidth="1" style="1181" min="16" max="16"/>
    <col hidden="1" outlineLevel="1" width="11.75" customWidth="1" style="1181" min="17" max="17"/>
    <col hidden="1" outlineLevel="1" width="40.375" customWidth="1" style="1181" min="18" max="18"/>
    <col hidden="1" outlineLevel="1" width="49.375" customWidth="1" style="32" min="19" max="19"/>
    <col hidden="1" outlineLevel="1" width="2.375" customWidth="1" style="1181" min="20" max="20"/>
    <col hidden="1" outlineLevel="1" width="14.875" customWidth="1" style="1181" min="21" max="21"/>
    <col hidden="1" outlineLevel="1" width="15.875" customWidth="1" style="1181" min="22" max="22"/>
    <col collapsed="1" width="1.5" customWidth="1" style="1181" min="23" max="23"/>
    <col width="43.625" customWidth="1" style="38" min="24" max="24"/>
    <col width="5.875" customWidth="1" style="38" min="25" max="25"/>
    <col hidden="1" width="21.5" customWidth="1" style="1181" min="26" max="28"/>
    <col hidden="1" width="20.5" customWidth="1" style="1181" min="29" max="31"/>
    <col width="25.5" customWidth="1" style="1181" min="32" max="34"/>
    <col width="20.5" customWidth="1" style="1181" min="35" max="37"/>
    <col width="16.75" customWidth="1" style="1181" min="38" max="38"/>
    <col width="17.375" customWidth="1" style="1181" min="39" max="40"/>
    <col width="16.75" customWidth="1" style="1181" min="41" max="43"/>
    <col width="17.375" customWidth="1" style="1181" min="44" max="45"/>
    <col width="16.75" customWidth="1" style="1181" min="46" max="48"/>
    <col width="17.375" customWidth="1" style="1181" min="49" max="50"/>
    <col width="16.75" customWidth="1" style="1181" min="51" max="53"/>
    <col width="17.375" customWidth="1" style="1181" min="54" max="55"/>
    <col width="16.75" customWidth="1" style="1181" min="56" max="58"/>
    <col width="17.375" customWidth="1" style="1181" min="59" max="60"/>
    <col width="16.75" customWidth="1" style="1181" min="61" max="61"/>
  </cols>
  <sheetData>
    <row r="1" hidden="1" outlineLevel="1" ht="15" customFormat="1" customHeight="1" s="13">
      <c r="A1" s="172" t="inlineStr">
        <is>
          <t>维度清单</t>
        </is>
      </c>
      <c r="B1" s="462" t="n"/>
      <c r="C1" s="173" t="n"/>
      <c r="D1" s="173" t="n"/>
      <c r="E1" s="716" t="n"/>
      <c r="F1" s="13" t="n"/>
      <c r="G1" s="13" t="n"/>
      <c r="H1" s="13" t="n"/>
      <c r="I1" s="13" t="n"/>
      <c r="J1" s="13" t="n"/>
      <c r="K1" s="13" t="n"/>
      <c r="L1" s="13" t="n"/>
      <c r="M1" s="13" t="n"/>
      <c r="N1" s="13" t="n"/>
      <c r="O1" s="13" t="n"/>
      <c r="P1" s="13" t="n"/>
      <c r="Q1" s="13" t="n"/>
      <c r="R1" s="13" t="n"/>
      <c r="S1" s="1103" t="n"/>
      <c r="T1" s="13" t="n"/>
      <c r="U1" s="13" t="n"/>
      <c r="V1" s="13" t="n"/>
      <c r="W1" s="13" t="n"/>
      <c r="X1" s="171" t="n"/>
      <c r="Y1" s="171" t="n"/>
      <c r="Z1" s="13" t="n"/>
      <c r="AA1" s="13" t="n"/>
      <c r="AB1" s="13" t="n"/>
      <c r="AC1" s="13" t="n"/>
      <c r="AD1" s="13" t="n"/>
      <c r="AE1" s="13" t="n"/>
      <c r="AF1" s="13" t="n"/>
      <c r="AG1" s="13" t="n"/>
      <c r="AH1" s="13" t="n"/>
      <c r="AI1" s="13" t="n"/>
      <c r="AJ1" s="13" t="n"/>
      <c r="AK1" s="13" t="n"/>
      <c r="AL1" s="13" t="n"/>
      <c r="AM1" s="13" t="n"/>
      <c r="AN1" s="13" t="n"/>
      <c r="AO1" s="13" t="n"/>
      <c r="AP1" s="13" t="n"/>
      <c r="AQ1" s="220" t="n"/>
      <c r="AR1" s="13" t="n"/>
      <c r="AS1" s="13" t="n"/>
    </row>
    <row r="2" hidden="1" outlineLevel="1" ht="15" customFormat="1" customHeight="1" s="13">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103" t="n"/>
      <c r="T2" s="13" t="n"/>
      <c r="U2" s="13" t="n"/>
      <c r="V2" s="13" t="n"/>
      <c r="W2" s="13" t="n"/>
      <c r="X2" s="171" t="n"/>
      <c r="Y2" s="171" t="n"/>
      <c r="Z2" s="13" t="n"/>
      <c r="AA2" s="13" t="n"/>
      <c r="AB2" s="13" t="n"/>
      <c r="AC2" s="13" t="n"/>
      <c r="AD2" s="13" t="n"/>
      <c r="AE2" s="13" t="n"/>
      <c r="AF2" s="13" t="n"/>
      <c r="AG2" s="13" t="n"/>
      <c r="AH2" s="13" t="n"/>
      <c r="AI2" s="13" t="n"/>
      <c r="AJ2" s="13" t="n"/>
      <c r="AK2" s="13" t="n"/>
      <c r="AL2" s="13" t="n"/>
      <c r="AM2" s="13" t="n"/>
      <c r="AN2" s="13" t="n"/>
      <c r="AO2" s="13" t="n"/>
      <c r="AP2" s="13" t="n"/>
      <c r="AQ2" s="220" t="n"/>
      <c r="AR2" s="13" t="n"/>
      <c r="AS2" s="13" t="n"/>
    </row>
    <row r="3" hidden="1" outlineLevel="1" ht="15" customFormat="1" customHeight="1" s="13">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103" t="n"/>
      <c r="T3" s="13" t="n"/>
      <c r="U3" s="13" t="n"/>
      <c r="V3" s="13" t="n"/>
      <c r="W3" s="13" t="n"/>
      <c r="X3" s="171" t="n"/>
      <c r="Y3" s="171" t="n"/>
      <c r="Z3" s="13" t="n"/>
      <c r="AA3" s="13" t="n"/>
      <c r="AB3" s="13" t="n"/>
      <c r="AC3" s="13" t="n"/>
      <c r="AD3" s="13" t="n"/>
      <c r="AE3" s="13" t="n"/>
      <c r="AF3" s="13" t="n"/>
      <c r="AG3" s="13" t="n"/>
      <c r="AH3" s="13" t="n"/>
      <c r="AI3" s="13" t="n"/>
      <c r="AJ3" s="13" t="n"/>
      <c r="AK3" s="13" t="n"/>
      <c r="AL3" s="13" t="n"/>
      <c r="AM3" s="13" t="n"/>
      <c r="AN3" s="13" t="n"/>
      <c r="AO3" s="13" t="n"/>
      <c r="AP3" s="13" t="n"/>
      <c r="AQ3" s="220" t="n"/>
      <c r="AR3" s="13" t="n"/>
      <c r="AS3" s="13" t="n"/>
    </row>
    <row r="4" hidden="1" outlineLevel="1" ht="15" customFormat="1" customHeight="1" s="13">
      <c r="A4" s="175" t="inlineStr">
        <is>
          <t>C</t>
        </is>
      </c>
      <c r="B4" s="176">
        <f>IF(_epmOfflineCondition_,"C_CATEGORY",EPMDimensionType(,A4))</f>
        <v/>
      </c>
      <c r="C4" s="176">
        <f>IF(_epmOfflineCondition_,"C1001",IF(B4="","",EPMContextMember(,B4)))</f>
        <v/>
      </c>
      <c r="D4" s="176">
        <f>IF(_epmOfflineCondition_,"实际数/决算数",EPMMemberDesc(C4))</f>
        <v/>
      </c>
      <c r="E4" s="176" t="n"/>
      <c r="F4" s="13" t="n"/>
      <c r="G4" s="13" t="n"/>
      <c r="H4" s="184" t="inlineStr">
        <is>
          <t>预算年</t>
        </is>
      </c>
      <c r="I4" s="184">
        <f>"V_"&amp;$I$3</f>
        <v/>
      </c>
      <c r="J4" s="184">
        <f>$I$3&amp;".TOTAL"</f>
        <v/>
      </c>
      <c r="K4" s="13" t="n"/>
      <c r="L4" s="13" t="n"/>
      <c r="M4" s="13" t="n"/>
      <c r="N4" s="13" t="n"/>
      <c r="O4" s="13" t="n"/>
      <c r="P4" s="13" t="n"/>
      <c r="Q4" s="13" t="n"/>
      <c r="R4" s="13" t="n"/>
      <c r="S4" s="1103" t="n"/>
      <c r="T4" s="13" t="n"/>
      <c r="U4" s="13" t="n"/>
      <c r="V4" s="13" t="n"/>
      <c r="W4" s="13" t="n"/>
      <c r="X4" s="171" t="n"/>
      <c r="Y4" s="171" t="n"/>
      <c r="Z4" s="13" t="n"/>
      <c r="AA4" s="13" t="n"/>
      <c r="AB4" s="13" t="n"/>
      <c r="AC4" s="13" t="n"/>
      <c r="AD4" s="13" t="n"/>
      <c r="AE4" s="13" t="n"/>
      <c r="AF4" s="13" t="n"/>
      <c r="AG4" s="13" t="n"/>
      <c r="AH4" s="13" t="n"/>
      <c r="AI4" s="13" t="n"/>
      <c r="AJ4" s="13" t="n"/>
      <c r="AK4" s="13" t="n"/>
      <c r="AL4" s="13" t="n"/>
      <c r="AM4" s="13" t="n"/>
      <c r="AN4" s="13" t="n"/>
      <c r="AO4" s="13" t="n"/>
      <c r="AP4" s="13" t="n"/>
      <c r="AQ4" s="220" t="n"/>
      <c r="AR4" s="13" t="n"/>
      <c r="AS4" s="13" t="n"/>
    </row>
    <row r="5" hidden="1" outlineLevel="1" ht="15" customFormat="1" customHeight="1" s="13">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13" t="n"/>
      <c r="V5" s="13" t="n"/>
      <c r="W5" s="13" t="n"/>
      <c r="X5" s="171" t="n"/>
      <c r="Y5" s="171" t="n"/>
      <c r="Z5" s="13" t="n"/>
      <c r="AA5" s="13" t="n"/>
      <c r="AB5" s="13" t="n"/>
      <c r="AC5" s="13" t="n"/>
      <c r="AD5" s="13" t="n"/>
      <c r="AE5" s="13" t="n"/>
      <c r="AF5" s="13" t="n"/>
      <c r="AG5" s="13" t="n"/>
      <c r="AH5" s="13" t="n"/>
      <c r="AI5" s="13" t="n"/>
      <c r="AJ5" s="13" t="n"/>
      <c r="AK5" s="13" t="n"/>
      <c r="AL5" s="13" t="n"/>
      <c r="AM5" s="13" t="n"/>
      <c r="AN5" s="13" t="n"/>
      <c r="AO5" s="13" t="n"/>
      <c r="AP5" s="13" t="n"/>
      <c r="AQ5" s="220" t="n"/>
      <c r="AR5" s="13" t="n"/>
      <c r="AS5" s="13" t="n"/>
    </row>
    <row r="6" hidden="1" outlineLevel="1" ht="15" customFormat="1" customHeight="1" s="13">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103" t="n"/>
      <c r="T6" s="13" t="n"/>
      <c r="U6" s="13" t="n"/>
      <c r="V6" s="13" t="n"/>
      <c r="W6" s="13" t="n"/>
      <c r="X6" s="171" t="n"/>
      <c r="Y6" s="171" t="n"/>
      <c r="Z6" s="13" t="n"/>
      <c r="AA6" s="13" t="n"/>
      <c r="AB6" s="13" t="n"/>
      <c r="AC6" s="13" t="n"/>
      <c r="AD6" s="13" t="n"/>
      <c r="AE6" s="13" t="n"/>
      <c r="AF6" s="13" t="n"/>
      <c r="AG6" s="13" t="n"/>
      <c r="AH6" s="13" t="n"/>
      <c r="AI6" s="13" t="n"/>
      <c r="AJ6" s="13" t="n"/>
      <c r="AK6" s="13" t="n"/>
      <c r="AL6" s="13" t="n"/>
      <c r="AM6" s="13" t="n"/>
      <c r="AN6" s="13" t="n"/>
      <c r="AO6" s="13" t="n"/>
      <c r="AP6" s="13" t="n"/>
      <c r="AQ6" s="220" t="n"/>
      <c r="AR6" s="13" t="n"/>
      <c r="AS6" s="13" t="n"/>
    </row>
    <row r="7" hidden="1" outlineLevel="1" ht="15" customFormat="1" customHeight="1" s="13">
      <c r="A7" s="175" t="inlineStr">
        <is>
          <t>R</t>
        </is>
      </c>
      <c r="B7" s="176">
        <f>IF(_epmOfflineCondition_,"C_RPTCURRENCY",EPMDimensionType(,A7))</f>
        <v/>
      </c>
      <c r="C7" s="176">
        <f>IF(_epmOfflineCondition_,"AUD",IF(B7="","",EPMContextMember(,B7)))</f>
        <v/>
      </c>
      <c r="D7" s="176">
        <f>IF(_epmOfflineCondition_,"澳元",EPMMemberDesc(C7))</f>
        <v/>
      </c>
      <c r="E7" s="176" t="n"/>
      <c r="F7" s="13" t="n"/>
      <c r="G7" s="13" t="n"/>
      <c r="H7" s="13" t="n"/>
      <c r="I7" s="13" t="n"/>
      <c r="J7" s="13" t="n"/>
      <c r="K7" s="13" t="n"/>
      <c r="L7" s="13" t="n"/>
      <c r="M7" s="13" t="n"/>
      <c r="N7" s="13" t="n"/>
      <c r="O7" s="13" t="n"/>
      <c r="P7" s="13" t="n"/>
      <c r="Q7" s="13" t="n"/>
      <c r="R7" s="13" t="n"/>
      <c r="S7" s="1103" t="n"/>
      <c r="T7" s="13" t="n"/>
      <c r="U7" s="13" t="n"/>
      <c r="V7" s="13" t="n"/>
      <c r="W7" s="13" t="n"/>
      <c r="X7" s="171" t="n"/>
      <c r="Y7" s="171" t="n"/>
      <c r="Z7" s="13" t="n"/>
      <c r="AA7" s="13" t="n"/>
      <c r="AB7" s="13" t="n"/>
      <c r="AC7" s="13" t="n"/>
      <c r="AD7" s="13" t="n"/>
      <c r="AE7" s="13" t="n"/>
      <c r="AF7" s="13" t="n"/>
      <c r="AG7" s="13" t="n"/>
      <c r="AH7" s="13" t="n"/>
      <c r="AI7" s="13" t="n"/>
      <c r="AJ7" s="13" t="n"/>
      <c r="AK7" s="13" t="n"/>
      <c r="AL7" s="13" t="n"/>
      <c r="AM7" s="13" t="n"/>
      <c r="AN7" s="13" t="n"/>
      <c r="AO7" s="13" t="n"/>
      <c r="AP7" s="13" t="n"/>
      <c r="AQ7" s="220" t="n"/>
      <c r="AR7" s="13" t="n"/>
      <c r="AS7" s="13" t="n"/>
    </row>
    <row r="8" hidden="1" outlineLevel="1" ht="15" customFormat="1" customHeight="1" s="13">
      <c r="A8" s="175" t="inlineStr">
        <is>
          <t>D</t>
        </is>
      </c>
      <c r="B8" s="176">
        <f>IF(_epmOfflineCondition_,"C_AUDITTRAIL",EPMDimensionType(,A8))</f>
        <v/>
      </c>
      <c r="C8" s="176">
        <f>IF(_epmOfflineCondition_,"DTOTAL",IF(B8="","",EPMContextMember(,B8)))</f>
        <v/>
      </c>
      <c r="D8" s="176">
        <f>IF(_epmOfflineCondition_,"全部审计线索",EPMMemberDesc(C8))</f>
        <v/>
      </c>
      <c r="E8" s="176" t="n"/>
      <c r="F8" s="13" t="n"/>
      <c r="G8" s="13" t="n"/>
      <c r="H8" s="184" t="inlineStr">
        <is>
          <t>本月</t>
        </is>
      </c>
      <c r="I8" s="184">
        <f>IF(_epmOfflineCondition_,"03",RIGHT("0"&amp;EPMMemberProperty(,EPMContextMember(,"C_TIME"),"MONTHNUM"),2))</f>
        <v/>
      </c>
      <c r="J8" s="13" t="n"/>
      <c r="K8" s="13" t="n"/>
      <c r="L8" s="13" t="n"/>
      <c r="M8" s="13" t="n"/>
      <c r="N8" s="13" t="n"/>
      <c r="O8" s="13" t="n"/>
      <c r="P8" s="13" t="n"/>
      <c r="Q8" s="13" t="n"/>
      <c r="R8" s="13" t="n"/>
      <c r="S8" s="1103" t="n"/>
      <c r="T8" s="13" t="n"/>
      <c r="U8" s="13" t="n"/>
      <c r="V8" s="13" t="n"/>
      <c r="W8" s="13" t="n"/>
      <c r="X8" s="171" t="n"/>
      <c r="Y8" s="171" t="n"/>
      <c r="Z8" s="13" t="n"/>
      <c r="AA8" s="13" t="n"/>
      <c r="AB8" s="13" t="n"/>
      <c r="AC8" s="13" t="n"/>
      <c r="AD8" s="13" t="n"/>
      <c r="AE8" s="13" t="n"/>
      <c r="AF8" s="13" t="n"/>
      <c r="AG8" s="13" t="n"/>
      <c r="AH8" s="13" t="n"/>
      <c r="AI8" s="13" t="n"/>
      <c r="AJ8" s="13" t="n"/>
      <c r="AK8" s="13" t="n"/>
      <c r="AL8" s="13" t="n"/>
      <c r="AM8" s="13" t="n"/>
      <c r="AN8" s="13" t="n"/>
      <c r="AO8" s="13" t="n"/>
      <c r="AP8" s="13" t="n"/>
      <c r="AQ8" s="220" t="n"/>
      <c r="AR8" s="13" t="n"/>
      <c r="AS8" s="13" t="n"/>
    </row>
    <row r="9" hidden="1" outlineLevel="1" ht="15" customFormat="1" customHeight="1" s="13">
      <c r="A9" s="175" t="inlineStr">
        <is>
          <t>S</t>
        </is>
      </c>
      <c r="B9" s="176">
        <f>IF(_epmOfflineCondition_,"C_FLOW",EPMDimensionType(,A9))</f>
        <v/>
      </c>
      <c r="C9" s="176">
        <f>IF(_epmOfflineCondition_,"FTOTAL",IF(B9="","",EPMContextMember(,B9)))</f>
        <v/>
      </c>
      <c r="D9" s="176">
        <f>IF(_epmOfflineCondition_,"全部变动",EPMMemberDesc(C9))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13" t="n"/>
      <c r="V9" s="13" t="n"/>
      <c r="W9" s="13" t="n"/>
      <c r="X9" s="171" t="n"/>
      <c r="Y9" s="171" t="n"/>
      <c r="Z9" s="13" t="n"/>
      <c r="AA9" s="13" t="n"/>
      <c r="AB9" s="13" t="n"/>
      <c r="AC9" s="13" t="n"/>
      <c r="AD9" s="13" t="n"/>
      <c r="AE9" s="13" t="n"/>
      <c r="AF9" s="13" t="n"/>
      <c r="AG9" s="13" t="n"/>
      <c r="AH9" s="13" t="n"/>
      <c r="AI9" s="13" t="n"/>
      <c r="AJ9" s="13" t="n"/>
      <c r="AK9" s="13" t="n"/>
      <c r="AL9" s="13" t="n"/>
      <c r="AM9" s="13" t="n"/>
      <c r="AN9" s="13" t="n"/>
      <c r="AO9" s="13" t="n"/>
      <c r="AP9" s="13" t="n"/>
      <c r="AQ9" s="220" t="n"/>
      <c r="AR9" s="13" t="n"/>
      <c r="AS9" s="13" t="n"/>
    </row>
    <row r="10" hidden="1" outlineLevel="1" ht="15" customFormat="1" customHeight="1" s="13">
      <c r="A10" s="175" t="inlineStr">
        <is>
          <t>I</t>
        </is>
      </c>
      <c r="B10" s="176">
        <f>IF(_epmOfflineCondition_,"C_INTERCO",EPMDimensionType(,A10))</f>
        <v/>
      </c>
      <c r="C10" s="176">
        <f>IF(_epmOfflineCondition_,"I_ALL",IF(B10="","",EPMContextMember(,B10)))</f>
        <v/>
      </c>
      <c r="D10" s="176">
        <f>IF(_epmOfflineCondition_,"全部贸易伙伴",EPMMemberDesc(C10))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13" t="n"/>
      <c r="V10" s="13" t="n"/>
      <c r="W10" s="13" t="n"/>
      <c r="X10" s="171" t="n"/>
      <c r="Y10" s="171" t="n"/>
      <c r="Z10" s="13" t="n"/>
      <c r="AA10" s="13" t="n"/>
      <c r="AB10" s="13" t="n"/>
      <c r="AC10" s="13" t="n"/>
      <c r="AD10" s="13" t="n"/>
      <c r="AE10" s="13" t="n"/>
      <c r="AF10" s="13" t="n"/>
      <c r="AG10" s="13" t="n"/>
      <c r="AH10" s="13" t="n"/>
      <c r="AI10" s="13" t="n"/>
      <c r="AJ10" s="13" t="n"/>
      <c r="AK10" s="13" t="n"/>
      <c r="AL10" s="13" t="n"/>
      <c r="AM10" s="13" t="n"/>
      <c r="AN10" s="13" t="n"/>
      <c r="AO10" s="13" t="n"/>
      <c r="AP10" s="13" t="n"/>
      <c r="AQ10" s="220" t="n"/>
      <c r="AR10" s="13" t="n"/>
      <c r="AS10" s="13" t="n"/>
    </row>
    <row r="11" hidden="1" outlineLevel="1" ht="15" customFormat="1" customHeight="1" s="13">
      <c r="A11" s="175" t="inlineStr">
        <is>
          <t>G</t>
        </is>
      </c>
      <c r="B11" s="176">
        <f>IF(_epmOfflineCondition_,"C_SCOPE",EPMDimensionType(,A11))</f>
        <v/>
      </c>
      <c r="C11" s="176">
        <f>IF(_epmOfflineCondition_,"G_DUMMY",IF(B11="","",EPMContextMember(,B11)))</f>
        <v/>
      </c>
      <c r="D11" s="176">
        <f>IF(_epmOfflineCondition_,"合并范围无关",EPMMemberDesc(C11))</f>
        <v/>
      </c>
      <c r="E11" s="176">
        <f>IF(OR(RIGHT(C11,1)="P",RIGHT(C11,1)="S"),LEFT(C11,LEN(C11)-1),C11)</f>
        <v/>
      </c>
      <c r="F11" s="13" t="n"/>
      <c r="G11" s="13" t="n"/>
      <c r="H11" s="184" t="inlineStr">
        <is>
          <t xml:space="preserve">本年月 </t>
        </is>
      </c>
      <c r="I11" s="184">
        <f>I3&amp;"."&amp;I8</f>
        <v/>
      </c>
      <c r="J11" s="13" t="n"/>
      <c r="K11" s="13" t="n"/>
      <c r="L11" s="13" t="n"/>
      <c r="M11" s="13" t="n"/>
      <c r="N11" s="13" t="n"/>
      <c r="O11" s="13" t="n"/>
      <c r="P11" s="13" t="n"/>
      <c r="Q11" s="13" t="n"/>
      <c r="R11" s="13" t="n"/>
      <c r="S11" s="1103" t="n"/>
      <c r="T11" s="13" t="n"/>
      <c r="U11" s="13" t="n"/>
      <c r="V11" s="13" t="n"/>
      <c r="W11" s="13" t="n"/>
      <c r="X11" s="171" t="n"/>
      <c r="Y11" s="171" t="n"/>
      <c r="Z11" s="13" t="n"/>
      <c r="AA11" s="13" t="n"/>
      <c r="AB11" s="13" t="n"/>
      <c r="AC11" s="13" t="n"/>
      <c r="AD11" s="13" t="n"/>
      <c r="AE11" s="13" t="n"/>
      <c r="AF11" s="13" t="n"/>
      <c r="AG11" s="13" t="n"/>
      <c r="AH11" s="13" t="n"/>
      <c r="AI11" s="13" t="n"/>
      <c r="AJ11" s="13" t="n"/>
      <c r="AK11" s="13" t="n"/>
      <c r="AL11" s="13" t="n"/>
      <c r="AM11" s="13" t="n"/>
      <c r="AN11" s="13" t="n"/>
      <c r="AO11" s="13" t="n"/>
      <c r="AP11" s="13" t="n"/>
      <c r="AQ11" s="220" t="n"/>
      <c r="AR11" s="13" t="n"/>
      <c r="AS11" s="13" t="n"/>
    </row>
    <row r="12" hidden="1" outlineLevel="1" ht="15" customFormat="1" customHeight="1" s="13">
      <c r="A12" s="175" t="inlineStr">
        <is>
          <t>U8</t>
        </is>
      </c>
      <c r="B12" s="176">
        <f>IF(_epmOfflineCondition_,"C_PROJECT",EPMDimensionType(,A12))</f>
        <v/>
      </c>
      <c r="C12" s="176">
        <f>IF(_epmOfflineCondition_,"ZP_ALL",IF(B12="","",EPMContextMember(,B12)))</f>
        <v/>
      </c>
      <c r="D12" s="176">
        <f>IF(_epmOfflineCondition_,"项目合计",EPMMemberDesc(C12))</f>
        <v/>
      </c>
      <c r="E12" s="176" t="n"/>
      <c r="F12" s="13" t="n"/>
      <c r="G12" s="13" t="n"/>
      <c r="H12" s="184" t="inlineStr">
        <is>
          <t>上年月</t>
        </is>
      </c>
      <c r="I12" s="184">
        <f>IF(I8="01",I10&amp;"."&amp;I9,I3&amp;"."&amp;I9)</f>
        <v/>
      </c>
      <c r="J12" s="13" t="n"/>
      <c r="K12" s="13" t="n"/>
      <c r="L12" s="13" t="n"/>
      <c r="M12" s="13" t="n"/>
      <c r="N12" s="13" t="n"/>
      <c r="O12" s="13" t="n"/>
      <c r="P12" s="13" t="n"/>
      <c r="Q12" s="13" t="n"/>
      <c r="R12" s="13" t="n"/>
      <c r="S12" s="1103" t="n"/>
      <c r="T12" s="13" t="n"/>
      <c r="U12" s="13" t="n"/>
      <c r="V12" s="13" t="n"/>
      <c r="W12" s="13" t="n"/>
      <c r="X12" s="171" t="n"/>
      <c r="Y12" s="171" t="n"/>
      <c r="Z12" s="13" t="n"/>
      <c r="AA12" s="13" t="n"/>
      <c r="AB12" s="13" t="n"/>
      <c r="AC12" s="13" t="n"/>
      <c r="AD12" s="13" t="n"/>
      <c r="AE12" s="13" t="n"/>
      <c r="AF12" s="13" t="n"/>
      <c r="AG12" s="13" t="n"/>
      <c r="AH12" s="13" t="n"/>
      <c r="AI12" s="13" t="n"/>
      <c r="AJ12" s="13" t="n"/>
      <c r="AK12" s="13" t="n"/>
      <c r="AL12" s="13" t="n"/>
      <c r="AM12" s="13" t="n"/>
      <c r="AN12" s="13" t="n"/>
      <c r="AO12" s="13" t="n"/>
      <c r="AP12" s="13" t="n"/>
      <c r="AQ12" s="220" t="n"/>
      <c r="AR12" s="13" t="n"/>
      <c r="AS12" s="13" t="n"/>
    </row>
    <row r="13" hidden="1" outlineLevel="1" ht="15" customFormat="1" customHeight="1" s="13">
      <c r="A13" s="175" t="inlineStr">
        <is>
          <t>U9</t>
        </is>
      </c>
      <c r="B13" s="176">
        <f>IF(_epmOfflineCondition_,"C_ITEM",EPMDimensionType(,A13))</f>
        <v/>
      </c>
      <c r="C13" s="176">
        <f>IF(_epmOfflineCondition_,"ZI_ALL",IF(B13="","",EPMContextMember(,B13)))</f>
        <v/>
      </c>
      <c r="D13" s="176">
        <f>IF(_epmOfflineCondition_,"全部ITEM",EPMMemberDesc(C13))</f>
        <v/>
      </c>
      <c r="E13" s="176" t="n"/>
      <c r="F13" s="13" t="n"/>
      <c r="G13" s="13" t="n"/>
      <c r="H13" s="184" t="inlineStr">
        <is>
          <t xml:space="preserve">上年同期 </t>
        </is>
      </c>
      <c r="I13" s="184">
        <f>I10&amp;"."&amp;I8</f>
        <v/>
      </c>
      <c r="J13" s="13" t="n"/>
      <c r="K13" s="13" t="n"/>
      <c r="L13" s="13" t="n"/>
      <c r="M13" s="13" t="n"/>
      <c r="N13" s="13" t="n"/>
      <c r="O13" s="13" t="n"/>
      <c r="P13" s="13" t="n"/>
      <c r="Q13" s="13" t="n"/>
      <c r="R13" s="13" t="n"/>
      <c r="S13" s="1103" t="n"/>
      <c r="T13" s="13" t="n"/>
      <c r="U13" s="13" t="n"/>
      <c r="V13" s="13" t="n"/>
      <c r="W13" s="13" t="n"/>
      <c r="X13" s="171" t="n"/>
      <c r="Y13" s="171" t="n"/>
      <c r="Z13" s="13" t="n"/>
      <c r="AA13" s="13" t="n"/>
      <c r="AB13" s="13" t="n"/>
      <c r="AC13" s="13" t="n"/>
      <c r="AD13" s="13" t="n"/>
      <c r="AE13" s="13" t="n"/>
      <c r="AF13" s="13" t="n"/>
      <c r="AG13" s="13" t="n"/>
      <c r="AH13" s="13" t="n"/>
      <c r="AI13" s="13" t="n"/>
      <c r="AJ13" s="13" t="n"/>
      <c r="AK13" s="13" t="n"/>
      <c r="AL13" s="13" t="n"/>
      <c r="AM13" s="13" t="n"/>
      <c r="AN13" s="13" t="n"/>
      <c r="AO13" s="13" t="n"/>
      <c r="AP13" s="13" t="n"/>
      <c r="AQ13" s="220" t="n"/>
      <c r="AR13" s="13" t="n"/>
      <c r="AS13" s="13" t="n"/>
    </row>
    <row r="14" hidden="1" outlineLevel="1" ht="15" customFormat="1" customHeight="1" s="13">
      <c r="A14" s="175" t="inlineStr">
        <is>
          <t>U10</t>
        </is>
      </c>
      <c r="B14" s="176">
        <f>IF(_epmOfflineCondition_,"C_MISK",EPMDimensionType(,A14))</f>
        <v/>
      </c>
      <c r="C14" s="176">
        <f>IF(_epmOfflineCondition_,"ZM_ALL",IF(B14="","",EPMContextMember(,B14)))</f>
        <v/>
      </c>
      <c r="D14" s="176">
        <f>IF(_epmOfflineCondition_,"ALL",EPMMemberDesc(C14))</f>
        <v/>
      </c>
      <c r="E14" s="176" t="n"/>
      <c r="F14" s="13" t="n"/>
      <c r="G14" s="13" t="n"/>
      <c r="H14" s="13" t="n"/>
      <c r="I14" s="13" t="n"/>
      <c r="J14" s="13" t="n"/>
      <c r="K14" s="13" t="n"/>
      <c r="L14" s="13" t="n"/>
      <c r="M14" s="13" t="n"/>
      <c r="N14" s="13" t="n"/>
      <c r="O14" s="13" t="n"/>
      <c r="P14" s="13" t="n"/>
      <c r="Q14" s="13" t="n"/>
      <c r="R14" s="13" t="n"/>
      <c r="S14" s="1103" t="n"/>
      <c r="T14" s="13" t="n"/>
      <c r="U14" s="13" t="n"/>
      <c r="V14" s="13" t="n"/>
      <c r="W14" s="13" t="n"/>
      <c r="X14" s="171" t="n"/>
      <c r="Y14" s="171" t="n"/>
      <c r="Z14" s="13" t="n"/>
      <c r="AA14" s="13" t="n"/>
      <c r="AB14" s="13" t="n"/>
      <c r="AC14" s="13" t="n"/>
      <c r="AD14" s="13" t="n"/>
      <c r="AE14" s="13" t="n"/>
      <c r="AF14" s="13" t="n"/>
      <c r="AG14" s="13" t="n"/>
      <c r="AH14" s="13" t="n"/>
      <c r="AI14" s="13" t="n"/>
      <c r="AJ14" s="13" t="n"/>
      <c r="AK14" s="13" t="n"/>
      <c r="AL14" s="13" t="n"/>
      <c r="AM14" s="13" t="n"/>
      <c r="AN14" s="13" t="n"/>
      <c r="AO14" s="13" t="n"/>
      <c r="AP14" s="13" t="n"/>
      <c r="AQ14" s="220" t="n"/>
      <c r="AR14" s="13" t="n"/>
      <c r="AS14" s="13" t="n"/>
    </row>
    <row r="15" hidden="1" outlineLevel="1" ht="15" customFormat="1" customHeight="1" s="13">
      <c r="A15" s="13" t="n"/>
      <c r="B15" s="1103" t="n"/>
      <c r="C15" s="1103" t="n"/>
      <c r="D15" s="1103" t="n"/>
      <c r="E15" s="13" t="n"/>
      <c r="F15" s="13" t="n"/>
      <c r="G15" s="13" t="n"/>
      <c r="H15" s="13">
        <f>E11</f>
        <v/>
      </c>
      <c r="I15" s="13" t="n"/>
      <c r="J15" s="13" t="n"/>
      <c r="K15" s="13" t="n"/>
      <c r="L15" s="13" t="n"/>
      <c r="M15" s="13" t="n"/>
      <c r="N15" s="13" t="n"/>
      <c r="O15" s="13" t="n"/>
      <c r="P15" s="13" t="n"/>
      <c r="Q15" s="13" t="n"/>
      <c r="R15" s="13" t="n"/>
      <c r="S15" s="1103" t="n"/>
      <c r="T15" s="13" t="n"/>
      <c r="U15" s="13" t="n"/>
      <c r="V15" s="13" t="n"/>
      <c r="W15" s="13" t="n"/>
      <c r="X15" s="171" t="n"/>
      <c r="Y15" s="171" t="n"/>
      <c r="Z15" s="13" t="n"/>
      <c r="AA15" s="13" t="n"/>
      <c r="AB15" s="13" t="n"/>
      <c r="AC15" s="13" t="n"/>
      <c r="AD15" s="13" t="n"/>
      <c r="AE15" s="13" t="n"/>
      <c r="AF15" s="13" t="n"/>
      <c r="AG15" s="13" t="n"/>
      <c r="AH15" s="13" t="n"/>
      <c r="AI15" s="13" t="n"/>
      <c r="AJ15" s="13" t="n"/>
      <c r="AK15" s="13" t="n"/>
      <c r="AL15" s="13" t="n"/>
      <c r="AM15" s="13" t="n"/>
      <c r="AN15" s="13" t="n"/>
      <c r="AO15" s="13" t="n"/>
      <c r="AP15" s="13" t="n"/>
      <c r="AQ15" s="220" t="n"/>
      <c r="AR15" s="13" t="n"/>
      <c r="AS15" s="13" t="n"/>
    </row>
    <row r="16" hidden="1" outlineLevel="1" ht="15" customFormat="1" customHeight="1" s="13">
      <c r="A16" s="13" t="n"/>
      <c r="B16" s="13" t="n"/>
      <c r="C16" s="13" t="n"/>
      <c r="D16" s="174" t="inlineStr">
        <is>
          <t>页轴</t>
        </is>
      </c>
      <c r="E16" s="1183" t="n"/>
      <c r="F16" s="13" t="n"/>
      <c r="G16" s="13" t="n"/>
      <c r="H16" s="13">
        <f>IF(_epmOfflineCondition_,"E_DUMMY",EPMMemberProperty(,H15,"GENTITY"))</f>
        <v/>
      </c>
      <c r="I16" s="13" t="n"/>
      <c r="J16" s="13" t="n"/>
      <c r="K16" s="13" t="n"/>
      <c r="L16" s="13" t="n"/>
      <c r="M16" s="13" t="n"/>
      <c r="N16" s="13" t="n"/>
      <c r="O16" s="13" t="n"/>
      <c r="P16" s="13" t="n"/>
      <c r="Q16" s="13" t="n"/>
      <c r="R16" s="13" t="n"/>
      <c r="S16" s="1103" t="n"/>
      <c r="T16" s="13" t="n"/>
      <c r="U16" s="13" t="n"/>
      <c r="V16" s="13" t="n"/>
      <c r="W16" s="13" t="n"/>
      <c r="X16" s="171" t="n"/>
      <c r="Y16" s="171" t="n"/>
      <c r="Z16" s="13" t="n"/>
      <c r="AA16" s="13" t="n"/>
      <c r="AB16" s="13" t="n"/>
      <c r="AC16" s="13" t="n"/>
      <c r="AD16" s="13" t="n"/>
      <c r="AE16" s="13" t="n"/>
      <c r="AF16" s="13" t="n"/>
      <c r="AG16" s="13" t="n"/>
      <c r="AH16" s="13" t="n"/>
      <c r="AI16" s="13" t="n"/>
      <c r="AJ16" s="13" t="n"/>
      <c r="AK16" s="13" t="n"/>
      <c r="AL16" s="13" t="n"/>
      <c r="AM16" s="13" t="n"/>
      <c r="AN16" s="13" t="n"/>
      <c r="AO16" s="13" t="n"/>
      <c r="AP16" s="13" t="n"/>
      <c r="AQ16" s="220" t="n"/>
      <c r="AR16" s="13" t="n"/>
      <c r="AS16" s="13" t="n"/>
    </row>
    <row r="17" hidden="1" outlineLevel="1" ht="15" customFormat="1" customHeight="1" s="13">
      <c r="A17" s="174" t="inlineStr">
        <is>
          <t>维度类型</t>
        </is>
      </c>
      <c r="B17" s="174" t="inlineStr">
        <is>
          <t>维度</t>
        </is>
      </c>
      <c r="C17" s="178" t="inlineStr">
        <is>
          <t>页轴替换</t>
        </is>
      </c>
      <c r="D17" s="174" t="inlineStr">
        <is>
          <t>报表001</t>
        </is>
      </c>
      <c r="E17" s="174" t="inlineStr">
        <is>
          <t>报表002</t>
        </is>
      </c>
      <c r="F17" s="13" t="n"/>
      <c r="G17" s="13" t="n"/>
      <c r="H17" s="13">
        <f>IF(H15="G_DUMMY",C6,IF(H15="G100405","E100405G","E_ALL"))</f>
        <v/>
      </c>
      <c r="I17" s="13" t="n"/>
      <c r="J17" s="13" t="n"/>
      <c r="K17" s="13" t="n"/>
      <c r="L17" s="13" t="n"/>
      <c r="M17" s="13" t="n"/>
      <c r="N17" s="13" t="n"/>
      <c r="O17" s="13" t="n"/>
      <c r="P17" s="13" t="n"/>
      <c r="Q17" s="13" t="n"/>
      <c r="R17" s="13" t="n"/>
      <c r="S17" s="1103" t="n"/>
      <c r="T17" s="13" t="n"/>
      <c r="U17" s="13" t="n"/>
      <c r="V17" s="13" t="n"/>
      <c r="W17" s="13" t="n"/>
      <c r="X17" s="171" t="n"/>
      <c r="Y17" s="171" t="n"/>
      <c r="Z17" s="13" t="n"/>
      <c r="AA17" s="13" t="n"/>
      <c r="AB17" s="13" t="n"/>
      <c r="AC17" s="13" t="n"/>
      <c r="AD17" s="13" t="n"/>
      <c r="AE17" s="13" t="n"/>
      <c r="AF17" s="13" t="n"/>
      <c r="AG17" s="13" t="n"/>
      <c r="AH17" s="13" t="n"/>
      <c r="AI17" s="13" t="n"/>
      <c r="AJ17" s="13" t="n"/>
      <c r="AK17" s="13" t="n"/>
      <c r="AL17" s="13" t="n"/>
      <c r="AM17" s="13" t="n"/>
      <c r="AN17" s="13" t="n"/>
      <c r="AO17" s="13" t="n"/>
      <c r="AP17" s="13" t="n"/>
      <c r="AQ17" s="220" t="n"/>
      <c r="AR17" s="13" t="n"/>
      <c r="AS17" s="13" t="n"/>
    </row>
    <row r="18" hidden="1" outlineLevel="1" ht="15" customFormat="1" customHeight="1" s="13">
      <c r="A18" s="175" t="inlineStr">
        <is>
          <t>A</t>
        </is>
      </c>
      <c r="B18" s="176">
        <f>IF(_epmOfflineCondition_,"C_ACCOUNT",EPMDimensionType(,A18))</f>
        <v/>
      </c>
      <c r="C18" s="182" t="inlineStr">
        <is>
          <t>A_ALL</t>
        </is>
      </c>
      <c r="D18" s="180" t="n"/>
      <c r="E18" s="13" t="n"/>
      <c r="F18" s="13" t="n"/>
      <c r="G18" s="13" t="n"/>
      <c r="H18" s="13" t="n"/>
      <c r="I18" s="13" t="n"/>
      <c r="J18" s="13" t="n"/>
      <c r="K18" s="13" t="n"/>
      <c r="L18" s="13" t="n"/>
      <c r="M18" s="13" t="n"/>
      <c r="N18" s="13" t="n"/>
      <c r="O18" s="13" t="n"/>
      <c r="P18" s="13" t="n"/>
      <c r="Q18" s="13" t="n"/>
      <c r="R18" s="13" t="n"/>
      <c r="S18" s="1103" t="n"/>
      <c r="T18" s="13" t="n"/>
      <c r="U18" s="13" t="n"/>
      <c r="V18" s="13" t="n"/>
      <c r="W18" s="13" t="n"/>
      <c r="X18" s="171" t="n"/>
      <c r="Y18" s="171" t="n"/>
      <c r="Z18" s="13" t="n"/>
      <c r="AA18" s="13" t="n"/>
      <c r="AB18" s="13" t="n"/>
      <c r="AC18" s="13" t="n"/>
      <c r="AD18" s="13" t="n"/>
      <c r="AE18" s="13" t="n"/>
      <c r="AF18" s="13" t="n"/>
      <c r="AG18" s="13" t="n"/>
      <c r="AH18" s="13" t="n"/>
      <c r="AI18" s="13" t="n"/>
      <c r="AJ18" s="13" t="n"/>
      <c r="AK18" s="13" t="n"/>
      <c r="AL18" s="13" t="n"/>
      <c r="AM18" s="13" t="n"/>
      <c r="AN18" s="13" t="n"/>
      <c r="AO18" s="13" t="n"/>
      <c r="AP18" s="13" t="n"/>
      <c r="AQ18" s="220" t="n"/>
      <c r="AR18" s="13" t="n"/>
      <c r="AS18" s="13" t="n"/>
    </row>
    <row r="19" hidden="1" outlineLevel="1" ht="15" customFormat="1" customHeight="1" s="13">
      <c r="A19" s="175" t="inlineStr">
        <is>
          <t>C</t>
        </is>
      </c>
      <c r="B19" s="176">
        <f>IF(_epmOfflineCondition_,"C_CATEGORY",EPMDimensionType(,A19))</f>
        <v/>
      </c>
      <c r="C19" s="182" t="inlineStr">
        <is>
          <t>C_DUMMY</t>
        </is>
      </c>
      <c r="D19" s="180" t="n"/>
      <c r="E19" s="13" t="n"/>
      <c r="F19" s="13" t="n"/>
      <c r="G19" s="13" t="n"/>
      <c r="H19" s="13" t="n"/>
      <c r="I19" s="13" t="n"/>
      <c r="J19" s="13" t="n"/>
      <c r="K19" s="13" t="n"/>
      <c r="L19" s="13" t="n"/>
      <c r="M19" s="13" t="n"/>
      <c r="N19" s="13" t="n"/>
      <c r="O19" s="13" t="n"/>
      <c r="P19" s="13" t="n"/>
      <c r="Q19" s="13" t="n"/>
      <c r="R19" s="13" t="n"/>
      <c r="S19" s="1103" t="n"/>
      <c r="T19" s="13" t="n"/>
      <c r="U19" s="13" t="n"/>
      <c r="V19" s="13" t="n"/>
      <c r="W19" s="13" t="n"/>
      <c r="X19" s="171" t="n"/>
      <c r="Y19" s="171" t="n"/>
      <c r="Z19" s="13" t="n"/>
      <c r="AA19" s="13" t="n"/>
      <c r="AB19" s="13" t="n"/>
      <c r="AC19" s="13" t="n"/>
      <c r="AD19" s="13" t="n"/>
      <c r="AE19" s="13" t="n"/>
      <c r="AF19" s="13" t="n"/>
      <c r="AG19" s="13" t="n"/>
      <c r="AH19" s="13" t="n"/>
      <c r="AI19" s="13" t="n"/>
      <c r="AJ19" s="13" t="n"/>
      <c r="AK19" s="13" t="n"/>
      <c r="AL19" s="13" t="n"/>
      <c r="AM19" s="13" t="n"/>
      <c r="AN19" s="13" t="n"/>
      <c r="AO19" s="13" t="n"/>
      <c r="AP19" s="13" t="n"/>
      <c r="AQ19" s="220" t="n"/>
      <c r="AR19" s="13" t="n"/>
      <c r="AS19" s="13" t="n"/>
    </row>
    <row r="20" hidden="1" outlineLevel="1" ht="15" customFormat="1" customHeight="1" s="13">
      <c r="A20" s="175" t="inlineStr">
        <is>
          <t>T</t>
        </is>
      </c>
      <c r="B20" s="176">
        <f>IF(_epmOfflineCondition_,"C_TIME",EPMDimensionType(,A20))</f>
        <v/>
      </c>
      <c r="C20" s="672" t="inlineStr">
        <is>
          <t>T_DUMMY</t>
        </is>
      </c>
      <c r="D20" s="180" t="n"/>
      <c r="E20" s="13" t="n"/>
      <c r="F20" s="384" t="n"/>
      <c r="G20" s="384" t="n"/>
      <c r="H20" s="13" t="n"/>
      <c r="I20" s="13" t="n"/>
      <c r="J20" s="13" t="n"/>
      <c r="K20" s="13" t="n"/>
      <c r="L20" s="13" t="n"/>
      <c r="M20" s="13" t="n"/>
      <c r="N20" s="13" t="n"/>
      <c r="O20" s="13" t="n"/>
      <c r="P20" s="13" t="n"/>
      <c r="Q20" s="13" t="n"/>
      <c r="R20" s="13" t="n"/>
      <c r="S20" s="1103" t="n"/>
      <c r="T20" s="13" t="n"/>
      <c r="U20" s="13" t="n"/>
      <c r="V20" s="13" t="n"/>
      <c r="W20" s="13" t="n"/>
      <c r="X20" s="171" t="n"/>
      <c r="Y20" s="171" t="n"/>
      <c r="Z20" s="384" t="n"/>
      <c r="AA20" s="384" t="n"/>
      <c r="AB20" s="13" t="n"/>
      <c r="AC20" s="13" t="n"/>
      <c r="AD20" s="13" t="n"/>
      <c r="AE20" s="13" t="n"/>
      <c r="AF20" s="13" t="n"/>
      <c r="AG20" s="13" t="n"/>
      <c r="AH20" s="13" t="n"/>
      <c r="AI20" s="13" t="n"/>
      <c r="AJ20" s="13" t="n"/>
      <c r="AK20" s="13" t="n"/>
      <c r="AL20" s="13" t="n"/>
      <c r="AM20" s="13" t="n"/>
      <c r="AN20" s="13" t="n"/>
      <c r="AO20" s="13" t="n"/>
      <c r="AP20" s="13" t="n"/>
      <c r="AQ20" s="220" t="n"/>
      <c r="AR20" s="13" t="n"/>
      <c r="AS20" s="13" t="n"/>
    </row>
    <row r="21" hidden="1" outlineLevel="1" ht="15" customFormat="1" customHeight="1" s="13">
      <c r="A21" s="175" t="inlineStr">
        <is>
          <t>E</t>
        </is>
      </c>
      <c r="B21" s="176">
        <f>IF(_epmOfflineCondition_,"C_ENTITY",EPMDimensionType(,A21))</f>
        <v/>
      </c>
      <c r="C21" s="447">
        <f>H17</f>
        <v/>
      </c>
      <c r="D21" s="390">
        <f>IF(_epmOfflineCondition_,"E100787",EPMOlapMemberO(C21,"[C_ENTITY].[PARENTH1].[E100787]","E100787 - 内蒙古京能苏尼特风力发电有限公司（内蒙古分公司）","","000"))</f>
        <v/>
      </c>
      <c r="E21" s="13" t="n"/>
      <c r="F21" s="384" t="n"/>
      <c r="G21" s="384" t="n"/>
      <c r="H21" s="13" t="n"/>
      <c r="I21" s="13" t="n"/>
      <c r="J21" s="13" t="n"/>
      <c r="K21" s="13" t="n"/>
      <c r="L21" s="13" t="n"/>
      <c r="M21" s="13" t="n"/>
      <c r="N21" s="13" t="n"/>
      <c r="O21" s="13" t="n"/>
      <c r="P21" s="13" t="n"/>
      <c r="Q21" s="13" t="n"/>
      <c r="R21" s="13" t="n"/>
      <c r="S21" s="1103" t="n"/>
      <c r="T21" s="13" t="n"/>
      <c r="U21" s="13" t="n"/>
      <c r="V21" s="13" t="n"/>
      <c r="W21" s="13" t="n"/>
      <c r="X21" s="171" t="n"/>
      <c r="Y21" s="171" t="n"/>
      <c r="Z21" s="384" t="n"/>
      <c r="AA21" s="384" t="n"/>
      <c r="AB21" s="13" t="n"/>
      <c r="AC21" s="13" t="n"/>
      <c r="AD21" s="13" t="n"/>
      <c r="AE21" s="13" t="n"/>
      <c r="AF21" s="13" t="n"/>
      <c r="AG21" s="13" t="n"/>
      <c r="AH21" s="13" t="n"/>
      <c r="AI21" s="13" t="n"/>
      <c r="AJ21" s="13" t="n"/>
      <c r="AK21" s="13" t="n"/>
      <c r="AL21" s="13" t="n"/>
      <c r="AM21" s="13" t="n"/>
      <c r="AN21" s="13" t="n"/>
      <c r="AO21" s="13" t="n"/>
      <c r="AP21" s="13" t="n"/>
      <c r="AQ21" s="220" t="n"/>
      <c r="AR21" s="13" t="n"/>
      <c r="AS21" s="13" t="n"/>
    </row>
    <row r="22" hidden="1" outlineLevel="1" ht="15" customFormat="1" customHeight="1" s="13">
      <c r="A22" s="175" t="inlineStr">
        <is>
          <t>R</t>
        </is>
      </c>
      <c r="B22" s="176">
        <f>IF(_epmOfflineCondition_,"C_RPTCURRENCY",EPMDimensionType(,A22))</f>
        <v/>
      </c>
      <c r="C22" s="176">
        <f>IF(E11="G_DUMMY",Z37,"CNY")</f>
        <v/>
      </c>
      <c r="D22" s="390">
        <f>IF(_epmOfflineCondition_,"LC",EPMOlapMemberO(C22,"[C_RPTCURRENCY].[].[LC]","LC - 本位币","","000"))</f>
        <v/>
      </c>
      <c r="E22" s="13" t="inlineStr">
        <is>
          <t>LC</t>
        </is>
      </c>
      <c r="F22" s="384" t="n"/>
      <c r="G22" s="384" t="n"/>
      <c r="H22" s="13" t="n"/>
      <c r="I22" s="13" t="n"/>
      <c r="J22" s="13" t="n"/>
      <c r="K22" s="13" t="n"/>
      <c r="L22" s="13" t="n"/>
      <c r="M22" s="13" t="n"/>
      <c r="N22" s="13" t="n"/>
      <c r="O22" s="13" t="n"/>
      <c r="P22" s="13" t="n"/>
      <c r="Q22" s="13" t="n"/>
      <c r="R22" s="13" t="n"/>
      <c r="S22" s="1103" t="n"/>
      <c r="T22" s="13" t="n"/>
      <c r="U22" s="13" t="n"/>
      <c r="V22" s="13" t="n"/>
      <c r="W22" s="13" t="n"/>
      <c r="X22" s="171" t="n"/>
      <c r="Y22" s="171" t="n"/>
      <c r="Z22" s="384" t="n"/>
      <c r="AA22" s="384" t="n"/>
      <c r="AB22" s="13" t="n"/>
      <c r="AC22" s="13" t="n"/>
      <c r="AD22" s="13" t="n"/>
      <c r="AE22" s="13" t="n"/>
      <c r="AF22" s="13" t="n"/>
      <c r="AG22" s="13" t="n"/>
      <c r="AH22" s="13" t="n"/>
      <c r="AI22" s="13" t="n"/>
      <c r="AJ22" s="13" t="n"/>
      <c r="AK22" s="13" t="n"/>
      <c r="AL22" s="13" t="n"/>
      <c r="AM22" s="13" t="n"/>
      <c r="AN22" s="13" t="n"/>
      <c r="AO22" s="13" t="n"/>
      <c r="AP22" s="13" t="n"/>
      <c r="AQ22" s="220" t="n"/>
      <c r="AR22" s="13" t="n"/>
      <c r="AS22" s="13" t="n"/>
    </row>
    <row r="23" hidden="1" outlineLevel="1" ht="15" customFormat="1" customHeight="1" s="13">
      <c r="A23" s="175" t="inlineStr">
        <is>
          <t>D</t>
        </is>
      </c>
      <c r="B23" s="176">
        <f>IF(_epmOfflineCondition_,"C_AUDITTRAIL",EPMDimensionType(,A23))</f>
        <v/>
      </c>
      <c r="C23" s="447">
        <f>IF(_epmOfflineCondition_,"DTOTAL",IF(B23="","",EPMContextMember(,B23)))</f>
        <v/>
      </c>
      <c r="D23" s="390" t="n"/>
      <c r="E23" s="13" t="n"/>
      <c r="F23" s="384" t="n"/>
      <c r="G23" s="384" t="n"/>
      <c r="H23" s="13" t="n"/>
      <c r="I23" s="13" t="n"/>
      <c r="J23" s="13" t="n"/>
      <c r="K23" s="13" t="n"/>
      <c r="L23" s="13" t="n"/>
      <c r="M23" s="13" t="n"/>
      <c r="N23" s="13" t="n"/>
      <c r="O23" s="13" t="n"/>
      <c r="P23" s="13" t="n"/>
      <c r="Q23" s="13" t="n"/>
      <c r="R23" s="13" t="n"/>
      <c r="S23" s="1103" t="n"/>
      <c r="T23" s="13" t="n"/>
      <c r="U23" s="13" t="n"/>
      <c r="V23" s="13" t="n"/>
      <c r="W23" s="13" t="n"/>
      <c r="X23" s="171" t="n"/>
      <c r="Y23" s="171" t="n"/>
      <c r="Z23" s="384" t="n"/>
      <c r="AA23" s="384" t="n"/>
      <c r="AB23" s="13" t="n"/>
      <c r="AC23" s="13" t="n"/>
      <c r="AD23" s="13" t="n"/>
      <c r="AE23" s="13" t="n"/>
      <c r="AF23" s="13" t="n"/>
      <c r="AG23" s="13" t="n"/>
      <c r="AH23" s="13" t="n"/>
      <c r="AI23" s="13" t="n"/>
      <c r="AJ23" s="13" t="n"/>
      <c r="AK23" s="13" t="n"/>
      <c r="AL23" s="13" t="n"/>
      <c r="AM23" s="13" t="n"/>
      <c r="AN23" s="13" t="n"/>
      <c r="AO23" s="13" t="n"/>
      <c r="AP23" s="13" t="n"/>
      <c r="AQ23" s="220" t="n"/>
      <c r="AR23" s="13" t="n"/>
      <c r="AS23" s="13" t="n"/>
    </row>
    <row r="24" hidden="1" outlineLevel="1" ht="15" customFormat="1" customHeight="1" s="13">
      <c r="A24" s="175" t="inlineStr">
        <is>
          <t>S</t>
        </is>
      </c>
      <c r="B24" s="176">
        <f>IF(_epmOfflineCondition_,"C_FLOW",EPMDimensionType(,A24))</f>
        <v/>
      </c>
      <c r="C24" s="176">
        <f>IF(_epmOfflineCondition_,"FTOTAL",IF(B24="","",EPMContextMember(,B24)))</f>
        <v/>
      </c>
      <c r="D24" s="390" t="n"/>
      <c r="E24" s="13" t="inlineStr">
        <is>
          <t>FMOV_OP</t>
        </is>
      </c>
      <c r="F24" s="384" t="n"/>
      <c r="G24" s="384" t="n"/>
      <c r="H24" s="13" t="n"/>
      <c r="I24" s="13" t="n"/>
      <c r="J24" s="13" t="n"/>
      <c r="K24" s="13" t="n"/>
      <c r="L24" s="13" t="n"/>
      <c r="M24" s="13" t="n"/>
      <c r="N24" s="13" t="n"/>
      <c r="O24" s="13" t="n"/>
      <c r="P24" s="13" t="n"/>
      <c r="Q24" s="13" t="n"/>
      <c r="R24" s="13" t="n"/>
      <c r="S24" s="1103" t="n"/>
      <c r="T24" s="13" t="n"/>
      <c r="U24" s="13" t="n"/>
      <c r="V24" s="13" t="n"/>
      <c r="W24" s="13" t="n"/>
      <c r="X24" s="171" t="n"/>
      <c r="Y24" s="171" t="n"/>
      <c r="Z24" s="384" t="n"/>
      <c r="AA24" s="384" t="n"/>
      <c r="AB24" s="13" t="n"/>
      <c r="AC24" s="13" t="n"/>
      <c r="AD24" s="13" t="n"/>
      <c r="AE24" s="13" t="n"/>
      <c r="AF24" s="13" t="n"/>
      <c r="AG24" s="13" t="n"/>
      <c r="AH24" s="13" t="n"/>
      <c r="AI24" s="13" t="n"/>
      <c r="AJ24" s="13" t="n"/>
      <c r="AK24" s="13" t="n"/>
      <c r="AL24" s="13" t="n"/>
      <c r="AM24" s="13" t="n"/>
      <c r="AN24" s="13" t="n"/>
      <c r="AO24" s="13" t="n"/>
      <c r="AP24" s="13" t="n"/>
      <c r="AQ24" s="220" t="n"/>
      <c r="AR24" s="13" t="n"/>
      <c r="AS24" s="13" t="n"/>
    </row>
    <row r="25" hidden="1" outlineLevel="1" ht="15" customFormat="1" customHeight="1" s="13">
      <c r="A25" s="175" t="inlineStr">
        <is>
          <t>I</t>
        </is>
      </c>
      <c r="B25" s="176">
        <f>IF(_epmOfflineCondition_,"C_INTERCO",EPMDimensionType(,A25))</f>
        <v/>
      </c>
      <c r="C25" s="672" t="inlineStr">
        <is>
          <t>I_ALL</t>
        </is>
      </c>
      <c r="D25" s="390">
        <f>IF(_epmOfflineCondition_,"I_ALL",EPMOlapMemberO(C25,"[C_INTERCO].[PARENTH1].[I_ALL]","I_ALL - 全部贸易伙伴","","000"))</f>
        <v/>
      </c>
      <c r="E25" s="13" t="inlineStr">
        <is>
          <t>I_DUMMY</t>
        </is>
      </c>
      <c r="F25" s="384" t="n"/>
      <c r="G25" s="384" t="n"/>
      <c r="H25" s="13" t="n"/>
      <c r="I25" s="13" t="n"/>
      <c r="J25" s="13" t="n"/>
      <c r="K25" s="13" t="n"/>
      <c r="L25" s="13" t="n"/>
      <c r="M25" s="13" t="n"/>
      <c r="N25" s="13" t="n"/>
      <c r="O25" s="13" t="n"/>
      <c r="P25" s="13" t="n"/>
      <c r="Q25" s="13" t="n"/>
      <c r="R25" s="13" t="n"/>
      <c r="S25" s="1103" t="n"/>
      <c r="T25" s="13" t="n"/>
      <c r="U25" s="13" t="n"/>
      <c r="V25" s="13" t="n"/>
      <c r="W25" s="13" t="n"/>
      <c r="X25" s="178" t="inlineStr">
        <is>
          <t>CATEGORY</t>
        </is>
      </c>
      <c r="Y25" s="13" t="n"/>
      <c r="Z25" s="178" t="inlineStr">
        <is>
          <t>C1001</t>
        </is>
      </c>
      <c r="AA25" s="178" t="inlineStr">
        <is>
          <t>C1001</t>
        </is>
      </c>
      <c r="AB25" s="178">
        <f>$C$4</f>
        <v/>
      </c>
      <c r="AC25" s="178">
        <f>$C$4</f>
        <v/>
      </c>
      <c r="AD25" s="514" t="inlineStr">
        <is>
          <t>C1001</t>
        </is>
      </c>
      <c r="AE25" s="514" t="n"/>
      <c r="AF25" s="514" t="n"/>
      <c r="AG25" s="514" t="n"/>
      <c r="AH25" s="514" t="n"/>
      <c r="AI25" s="13" t="n"/>
      <c r="AJ25" s="13" t="n"/>
      <c r="AK25" s="13" t="n"/>
      <c r="AL25" s="13" t="n"/>
      <c r="AM25" s="13" t="n"/>
      <c r="AN25" s="13" t="n"/>
      <c r="AO25" s="220" t="n"/>
      <c r="AP25" s="220" t="n"/>
      <c r="AQ25" s="220" t="n"/>
      <c r="AR25" s="220" t="n"/>
      <c r="AS25" s="220" t="n"/>
    </row>
    <row r="26" hidden="1" outlineLevel="1" ht="15" customFormat="1" customHeight="1" s="13">
      <c r="A26" s="175" t="inlineStr">
        <is>
          <t>G</t>
        </is>
      </c>
      <c r="B26" s="176">
        <f>IF(_epmOfflineCondition_,"C_SCOPE",EPMDimensionType(,A26))</f>
        <v/>
      </c>
      <c r="C26" s="176">
        <f>E11</f>
        <v/>
      </c>
      <c r="D26" s="390">
        <f>IF(_epmOfflineCondition_,"G_DUMMY",EPMOlapMemberO(C26,"[C_SCOPE].[PARENTH1].[G_DUMMY]","G_DUMMY - 合并范围无关","","000"))</f>
        <v/>
      </c>
      <c r="E26" s="182" t="inlineStr">
        <is>
          <t>G_DUMMY</t>
        </is>
      </c>
      <c r="F26" s="384" t="n"/>
      <c r="G26" s="384" t="n"/>
      <c r="H26" s="13" t="n"/>
      <c r="I26" s="13" t="n"/>
      <c r="J26" s="13" t="n"/>
      <c r="K26" s="13" t="n"/>
      <c r="L26" s="13" t="n"/>
      <c r="M26" s="13" t="n"/>
      <c r="N26" s="13" t="n"/>
      <c r="O26" s="13" t="n"/>
      <c r="P26" s="13" t="n"/>
      <c r="Q26" s="13" t="n"/>
      <c r="R26" s="13" t="n"/>
      <c r="S26" s="1103" t="n"/>
      <c r="T26" s="13" t="n"/>
      <c r="U26" s="13" t="n"/>
      <c r="V26" s="13" t="n"/>
      <c r="W26" s="13" t="n"/>
      <c r="X26" s="464" t="inlineStr">
        <is>
          <t>TIME</t>
        </is>
      </c>
      <c r="Y26" s="13" t="n"/>
      <c r="Z26" s="464">
        <f>$I$11</f>
        <v/>
      </c>
      <c r="AA26" s="464">
        <f>$I$11</f>
        <v/>
      </c>
      <c r="AB26" s="464">
        <f>$I$13</f>
        <v/>
      </c>
      <c r="AC26" s="178">
        <f>$J$4</f>
        <v/>
      </c>
      <c r="AD26" s="514" t="inlineStr">
        <is>
          <t>2022.09</t>
        </is>
      </c>
      <c r="AE26" s="514" t="n"/>
      <c r="AF26" s="514" t="n"/>
      <c r="AG26" s="514" t="n"/>
      <c r="AH26" s="514" t="n"/>
      <c r="AI26" s="13" t="n"/>
      <c r="AJ26" s="13" t="n"/>
      <c r="AK26" s="13" t="n"/>
      <c r="AL26" s="13" t="n"/>
      <c r="AM26" s="13" t="n"/>
      <c r="AN26" s="13" t="n"/>
      <c r="AO26" s="220" t="n"/>
      <c r="AP26" s="220" t="n"/>
      <c r="AQ26" s="220" t="n"/>
      <c r="AR26" s="220" t="n"/>
      <c r="AS26" s="220" t="n"/>
    </row>
    <row r="27" hidden="1" outlineLevel="1" ht="15" customFormat="1" customHeight="1" s="13">
      <c r="A27" s="175" t="inlineStr">
        <is>
          <t>U8</t>
        </is>
      </c>
      <c r="B27" s="176">
        <f>IF(_epmOfflineCondition_,"C_PROJECT",EPMDimensionType(,A27))</f>
        <v/>
      </c>
      <c r="C27" s="180" t="inlineStr">
        <is>
          <t>ZP_ALL</t>
        </is>
      </c>
      <c r="D27" s="390">
        <f>IF(_epmOfflineCondition_,"ZP_ALL",EPMOlapMemberO(C27,"[C_PROJECT].[PARENTH1].[ZP_ALL]","ZP_ALL - 项目合计","","000"))</f>
        <v/>
      </c>
      <c r="E27" s="13" t="inlineStr">
        <is>
          <t>ZP_DUMMY</t>
        </is>
      </c>
      <c r="F27" s="384" t="n"/>
      <c r="G27" s="384" t="n"/>
      <c r="H27" s="13" t="n"/>
      <c r="I27" s="13" t="n"/>
      <c r="J27" s="13" t="n"/>
      <c r="K27" s="13" t="n"/>
      <c r="L27" s="13" t="n"/>
      <c r="M27" s="13" t="n"/>
      <c r="N27" s="13" t="n"/>
      <c r="O27" s="13" t="n"/>
      <c r="P27" s="13" t="n"/>
      <c r="Q27" s="13" t="n"/>
      <c r="R27" s="13" t="n"/>
      <c r="S27" s="1103" t="n"/>
      <c r="T27" s="13" t="n"/>
      <c r="U27" s="13" t="n"/>
      <c r="V27" s="13" t="n"/>
      <c r="W27" s="13" t="n"/>
      <c r="X27" s="200" t="inlineStr">
        <is>
          <t>MEASURES</t>
        </is>
      </c>
      <c r="Y27" s="13" t="n"/>
      <c r="Z27" s="200" t="inlineStr">
        <is>
          <t>YTD</t>
        </is>
      </c>
      <c r="AA27" s="200" t="inlineStr">
        <is>
          <t>YTD</t>
        </is>
      </c>
      <c r="AB27" s="200" t="inlineStr">
        <is>
          <t>Periodic</t>
        </is>
      </c>
      <c r="AC27" s="200" t="inlineStr">
        <is>
          <t>Periodic</t>
        </is>
      </c>
      <c r="AD27" s="185" t="inlineStr">
        <is>
          <t>Periodic</t>
        </is>
      </c>
      <c r="AE27" s="185" t="n"/>
      <c r="AF27" s="185" t="n"/>
      <c r="AG27" s="185" t="n"/>
      <c r="AH27" s="185" t="n"/>
      <c r="AI27" s="13" t="n"/>
      <c r="AJ27" s="13" t="n"/>
      <c r="AK27" s="13" t="n"/>
      <c r="AL27" s="13" t="n"/>
      <c r="AM27" s="13" t="n"/>
      <c r="AN27" s="13" t="n"/>
      <c r="AO27" s="220" t="n"/>
      <c r="AP27" s="220" t="n"/>
      <c r="AQ27" s="220" t="n"/>
      <c r="AR27" s="220" t="n"/>
      <c r="AS27" s="220" t="n"/>
    </row>
    <row r="28" hidden="1" outlineLevel="1" ht="15" customFormat="1" customHeight="1" s="13">
      <c r="A28" s="175" t="inlineStr">
        <is>
          <t>U9</t>
        </is>
      </c>
      <c r="B28" s="176">
        <f>IF(_epmOfflineCondition_,"C_ITEM",EPMDimensionType(,A28))</f>
        <v/>
      </c>
      <c r="C28" s="180" t="inlineStr">
        <is>
          <t>ZI_ALL</t>
        </is>
      </c>
      <c r="D28" s="390">
        <f>IF(_epmOfflineCondition_,"ZI_ALL",EPMOlapMemberO(C28,"[C_ITEM].[PARENTH1].[ZI_ALL]","ZI_ALL - 全部ITEM","","000"))</f>
        <v/>
      </c>
      <c r="E28" s="13" t="inlineStr">
        <is>
          <t>ZI_DUMMY</t>
        </is>
      </c>
      <c r="F28" s="384" t="n"/>
      <c r="G28" s="384" t="n"/>
      <c r="H28" s="13" t="n"/>
      <c r="I28" s="13" t="n"/>
      <c r="J28" s="13" t="n"/>
      <c r="K28" s="13" t="n"/>
      <c r="L28" s="13" t="n"/>
      <c r="M28" s="13" t="n"/>
      <c r="N28" s="13" t="n"/>
      <c r="O28" s="13" t="n"/>
      <c r="P28" s="13" t="n"/>
      <c r="Q28" s="13" t="n"/>
      <c r="R28" s="13" t="n"/>
      <c r="S28" s="1103" t="n"/>
      <c r="T28" s="13" t="n"/>
      <c r="U28" s="13" t="n"/>
      <c r="V28" s="13" t="n"/>
      <c r="W28" s="13" t="n"/>
      <c r="X28" s="200" t="inlineStr">
        <is>
          <t>FLOW</t>
        </is>
      </c>
      <c r="Y28" s="13" t="n"/>
      <c r="Z28" s="200" t="inlineStr">
        <is>
          <t>F20</t>
        </is>
      </c>
      <c r="AA28" s="200" t="inlineStr">
        <is>
          <t>F30</t>
        </is>
      </c>
      <c r="AB28" s="200" t="inlineStr">
        <is>
          <t>F20</t>
        </is>
      </c>
      <c r="AC28" s="200" t="inlineStr">
        <is>
          <t>FEND</t>
        </is>
      </c>
      <c r="AD28" s="185" t="inlineStr">
        <is>
          <t>FEND</t>
        </is>
      </c>
      <c r="AE28" s="185" t="n"/>
      <c r="AF28" s="185" t="n"/>
      <c r="AG28" s="185" t="n"/>
      <c r="AH28" s="185" t="n"/>
      <c r="AI28" s="13" t="inlineStr">
        <is>
          <t>FMOV</t>
        </is>
      </c>
      <c r="AJ28" s="13" t="inlineStr">
        <is>
          <t>FEND</t>
        </is>
      </c>
      <c r="AK28" s="13" t="n"/>
      <c r="AL28" s="13" t="n"/>
      <c r="AM28" s="13" t="n"/>
      <c r="AN28" s="13" t="n"/>
      <c r="AO28" s="13" t="n"/>
      <c r="AP28" s="13" t="n"/>
      <c r="AQ28" s="220" t="n"/>
      <c r="AR28" s="220" t="n"/>
      <c r="AS28" s="13" t="n"/>
    </row>
    <row r="29" hidden="1" outlineLevel="1" ht="15" customFormat="1" customHeight="1" s="13">
      <c r="A29" s="175" t="inlineStr">
        <is>
          <t>U10</t>
        </is>
      </c>
      <c r="B29" s="176">
        <f>IF(_epmOfflineCondition_,"C_MISK",EPMDimensionType(,A29))</f>
        <v/>
      </c>
      <c r="C29" s="449" t="inlineStr">
        <is>
          <t>ZM_ALL</t>
        </is>
      </c>
      <c r="D29" s="390">
        <f>IF(_epmOfflineCondition_,"ZM_ALL",EPMOlapMemberO(C29,"[C_MISK].[PARENTH1].[ZM_ALL]","ZM_ALL - ALL","","000"))</f>
        <v/>
      </c>
      <c r="E29" s="13" t="inlineStr">
        <is>
          <t>ZM_DUMMY</t>
        </is>
      </c>
      <c r="F29" s="384" t="n"/>
      <c r="G29" s="384" t="n"/>
      <c r="H29" s="13" t="n"/>
      <c r="I29" s="13" t="n"/>
      <c r="J29" s="13" t="n"/>
      <c r="K29" s="13" t="n"/>
      <c r="L29" s="13" t="n"/>
      <c r="M29" s="13" t="n"/>
      <c r="N29" s="13" t="n"/>
      <c r="O29" s="13" t="n"/>
      <c r="P29" s="13" t="n"/>
      <c r="Q29" s="13" t="n"/>
      <c r="R29" s="13" t="n"/>
      <c r="S29" s="1103" t="n"/>
      <c r="T29" s="13" t="n"/>
      <c r="U29" s="13" t="n"/>
      <c r="V29" s="13" t="n"/>
      <c r="W29" s="13" t="n"/>
      <c r="X29" s="200" t="inlineStr">
        <is>
          <t>AUDITTRAIL</t>
        </is>
      </c>
      <c r="Y29" s="13" t="n"/>
      <c r="Z29" s="200" t="inlineStr">
        <is>
          <t>D1110</t>
        </is>
      </c>
      <c r="AA29" s="200" t="inlineStr">
        <is>
          <t>DALL</t>
        </is>
      </c>
      <c r="AB29" s="200" t="inlineStr">
        <is>
          <t>DLC</t>
        </is>
      </c>
      <c r="AC29" s="200" t="inlineStr">
        <is>
          <t>DLC</t>
        </is>
      </c>
      <c r="AD29" s="185" t="inlineStr">
        <is>
          <t>DLC</t>
        </is>
      </c>
      <c r="AE29" s="185" t="n"/>
      <c r="AF29" s="185" t="n"/>
      <c r="AG29" s="185" t="n"/>
      <c r="AH29" s="185" t="n"/>
      <c r="AI29" s="13" t="inlineStr">
        <is>
          <t>DLC_ADJ</t>
        </is>
      </c>
      <c r="AJ29" s="13" t="inlineStr">
        <is>
          <t>D_DUMMY</t>
        </is>
      </c>
      <c r="AK29" s="13" t="n"/>
      <c r="AL29" s="13" t="n"/>
      <c r="AM29" s="13" t="n"/>
      <c r="AN29" s="13" t="n"/>
      <c r="AO29" s="13" t="n"/>
      <c r="AP29" s="13" t="n"/>
      <c r="AQ29" s="220" t="n"/>
      <c r="AR29" s="13" t="n"/>
      <c r="AS29" s="13" t="n"/>
    </row>
    <row r="30" hidden="1" outlineLevel="1" ht="15" customFormat="1" customHeight="1" s="13">
      <c r="A30" s="175" t="n"/>
      <c r="B30" s="175">
        <f>IF(_epmOfflineCondition_,"",EPMDimensionType(,A30))</f>
        <v/>
      </c>
      <c r="C30" s="182" t="inlineStr">
        <is>
          <t>PERIODIC</t>
        </is>
      </c>
      <c r="D30" s="390" t="n"/>
      <c r="E30" s="13" t="n"/>
      <c r="F30" s="384" t="n"/>
      <c r="G30" s="384" t="n"/>
      <c r="H30" s="13" t="n"/>
      <c r="I30" s="13" t="n"/>
      <c r="J30" s="13" t="n"/>
      <c r="K30" s="13" t="n"/>
      <c r="L30" s="13" t="n"/>
      <c r="M30" s="13" t="n"/>
      <c r="N30" s="13" t="n"/>
      <c r="O30" s="13" t="n"/>
      <c r="P30" s="13" t="n"/>
      <c r="Q30" s="13" t="n"/>
      <c r="R30" s="13" t="n"/>
      <c r="S30" s="1103" t="n"/>
      <c r="T30" s="13" t="n"/>
      <c r="U30" s="13" t="n"/>
      <c r="V30" s="13" t="n"/>
      <c r="W30" s="13" t="n"/>
      <c r="X30" s="13" t="n"/>
      <c r="Y30" s="13" t="n"/>
      <c r="Z30" s="13">
        <f>IF(_epmOfflineCondition_,"平台表单手工输入",EPMMemberDesc(Z29))</f>
        <v/>
      </c>
      <c r="AA30" s="13">
        <f>IF(_epmOfflineCondition_,"合并后",EPMMemberDesc(AA29))</f>
        <v/>
      </c>
      <c r="AB30" s="13">
        <f>IF(_epmOfflineCondition_,"单体报表",EPMMemberDesc(AB29))</f>
        <v/>
      </c>
      <c r="AC30" s="13">
        <f>IF(_epmOfflineCondition_,"单体报表",EPMMemberDesc(AC29))</f>
        <v/>
      </c>
      <c r="AD30" s="13" t="inlineStr">
        <is>
          <t>单体报表</t>
        </is>
      </c>
      <c r="AE30" s="13" t="n"/>
      <c r="AF30" s="13" t="n"/>
      <c r="AG30" s="13" t="n"/>
      <c r="AH30" s="13" t="n"/>
      <c r="AI30" s="13" t="inlineStr">
        <is>
          <t>单体调整</t>
        </is>
      </c>
      <c r="AJ30" s="13" t="n"/>
      <c r="AK30" s="13" t="n"/>
      <c r="AL30" s="13" t="n"/>
      <c r="AM30" s="13" t="n"/>
      <c r="AN30" s="13" t="n"/>
      <c r="AO30" s="13" t="n"/>
      <c r="AP30" s="13" t="n"/>
      <c r="AQ30" s="220" t="n"/>
      <c r="AR30" s="13" t="n"/>
      <c r="AS30" s="13" t="n"/>
    </row>
    <row r="31" hidden="1" outlineLevel="1" ht="15" customFormat="1" customHeight="1" s="13">
      <c r="A31" s="13" t="n"/>
      <c r="B31" s="1103" t="n"/>
      <c r="C31" s="1103" t="n"/>
      <c r="D31" s="1103" t="n"/>
      <c r="E31" s="13" t="n"/>
      <c r="F31" s="13" t="n"/>
      <c r="G31" s="13" t="n"/>
      <c r="H31" s="13" t="n"/>
      <c r="I31" s="13" t="n"/>
      <c r="J31" s="13" t="n"/>
      <c r="K31" s="13" t="n"/>
      <c r="L31" s="13" t="n"/>
      <c r="M31" s="13" t="n"/>
      <c r="N31" s="13" t="n"/>
      <c r="O31" s="13" t="n"/>
      <c r="P31" s="13" t="n"/>
      <c r="Q31" s="13" t="n"/>
      <c r="R31" s="13" t="n"/>
      <c r="S31" s="1103" t="n"/>
      <c r="T31" s="13" t="n"/>
      <c r="U31" s="13" t="n"/>
      <c r="V31" s="13" t="n"/>
      <c r="W31" s="13" t="n"/>
      <c r="X31" s="171" t="n"/>
      <c r="Y31" s="171" t="n"/>
      <c r="Z31" s="384">
        <f>IF(Z37="LC","DLC","DALL")</f>
        <v/>
      </c>
      <c r="AA31" s="384" t="n"/>
      <c r="AB31" s="13" t="n"/>
      <c r="AC31" s="13" t="n"/>
      <c r="AD31" s="13" t="n"/>
      <c r="AE31" s="13" t="n"/>
      <c r="AF31" s="13" t="n"/>
      <c r="AG31" s="13" t="n"/>
      <c r="AH31" s="13" t="n"/>
      <c r="AI31" s="13" t="n"/>
      <c r="AJ31" s="13" t="n"/>
      <c r="AK31" s="13" t="n"/>
      <c r="AL31" s="13" t="n"/>
      <c r="AM31" s="13" t="n"/>
      <c r="AN31" s="13" t="n"/>
      <c r="AO31" s="13" t="n"/>
      <c r="AP31" s="13" t="n"/>
      <c r="AQ31" s="220" t="n"/>
      <c r="AR31" s="13" t="n"/>
      <c r="AS31" s="13" t="n"/>
    </row>
    <row r="32" hidden="1" outlineLevel="1" ht="15" customFormat="1" customHeight="1" s="13">
      <c r="A32" s="13" t="n"/>
      <c r="B32" s="1103" t="n"/>
      <c r="C32" s="1103" t="n"/>
      <c r="D32" s="1103" t="n"/>
      <c r="E32" s="13" t="n"/>
      <c r="F32" s="13" t="n"/>
      <c r="G32" s="13" t="n"/>
      <c r="H32" s="13" t="n"/>
      <c r="I32" s="13" t="n"/>
      <c r="J32" s="13" t="n"/>
      <c r="K32" s="13" t="n"/>
      <c r="L32" s="13" t="n"/>
      <c r="M32" s="13" t="n"/>
      <c r="N32" s="13" t="n"/>
      <c r="O32" s="13" t="n"/>
      <c r="P32" s="13" t="n"/>
      <c r="Q32" s="13" t="n"/>
      <c r="R32" s="13" t="n"/>
      <c r="S32" s="1103" t="n"/>
      <c r="T32" s="13" t="n"/>
      <c r="U32" s="13" t="n"/>
      <c r="V32" s="13" t="n"/>
      <c r="W32" s="13" t="n"/>
      <c r="X32" s="171" t="n"/>
      <c r="Y32" s="171" t="n"/>
      <c r="Z32" s="13" t="n"/>
      <c r="AA32" s="13" t="n"/>
      <c r="AB32" s="13" t="n"/>
      <c r="AC32" s="13" t="n"/>
      <c r="AD32" s="13" t="n"/>
      <c r="AE32" s="13" t="n"/>
      <c r="AF32" s="13" t="n"/>
      <c r="AG32" s="13" t="n"/>
      <c r="AH32" s="13" t="n"/>
      <c r="AI32" s="13" t="n"/>
      <c r="AJ32" s="13" t="n"/>
      <c r="AK32" s="13" t="n"/>
      <c r="AL32" s="13" t="n"/>
      <c r="AM32" s="13" t="n"/>
      <c r="AN32" s="13" t="n"/>
      <c r="AO32" s="13" t="n"/>
      <c r="AP32" s="13" t="n"/>
      <c r="AQ32" s="220" t="n"/>
      <c r="AR32" s="13" t="n"/>
      <c r="AS32" s="13" t="n"/>
    </row>
    <row r="33" hidden="1" outlineLevel="1" ht="15" customFormat="1" customHeight="1" s="13">
      <c r="A33" s="13" t="n"/>
      <c r="B33" s="1103" t="n"/>
      <c r="C33" s="1103" t="n"/>
      <c r="D33" s="1103" t="n"/>
      <c r="E33" s="13" t="n"/>
      <c r="F33" s="13" t="n"/>
      <c r="G33" s="13" t="n"/>
      <c r="H33" s="13" t="n"/>
      <c r="I33" s="13" t="n"/>
      <c r="J33" s="13" t="n"/>
      <c r="K33" s="13" t="n"/>
      <c r="L33" s="13" t="n"/>
      <c r="M33" s="13" t="n"/>
      <c r="N33" s="13" t="n"/>
      <c r="O33" s="13" t="n"/>
      <c r="P33" s="13" t="n"/>
      <c r="Q33" s="13" t="n"/>
      <c r="R33" s="13" t="n"/>
      <c r="S33" s="1103" t="n"/>
      <c r="T33" s="13" t="n"/>
      <c r="U33" s="13" t="n"/>
      <c r="V33" s="13" t="n"/>
      <c r="W33" s="13" t="n"/>
      <c r="X33" s="171" t="n"/>
      <c r="Y33" s="171" t="n"/>
      <c r="Z33" s="13" t="n"/>
      <c r="AA33" s="13" t="n"/>
      <c r="AB33" s="13" t="n"/>
      <c r="AC33" s="13" t="n"/>
      <c r="AD33" s="13" t="n"/>
      <c r="AE33" s="13" t="n"/>
      <c r="AF33" s="13" t="n"/>
      <c r="AG33" s="13" t="n"/>
      <c r="AH33" s="13" t="n"/>
      <c r="AI33" s="13" t="n"/>
      <c r="AJ33" s="13" t="n"/>
      <c r="AK33" s="13" t="n"/>
      <c r="AL33" s="13" t="n"/>
      <c r="AM33" s="13" t="n"/>
      <c r="AN33" s="13" t="n"/>
      <c r="AO33" s="13" t="n"/>
      <c r="AP33" s="13" t="n"/>
      <c r="AQ33" s="220" t="n"/>
      <c r="AR33" s="13" t="n"/>
      <c r="AS33" s="13" t="n"/>
    </row>
    <row r="34" collapsed="1" ht="10.5" customFormat="1" customHeight="1" s="13">
      <c r="A34" s="13" t="n"/>
      <c r="B34" s="1103" t="n"/>
      <c r="C34" s="1103" t="n"/>
      <c r="D34" s="1103" t="n"/>
      <c r="E34" s="13" t="n"/>
      <c r="F34" s="13" t="n"/>
      <c r="G34" s="13" t="n"/>
      <c r="H34" s="13" t="n"/>
      <c r="I34" s="13" t="n"/>
      <c r="J34" s="13" t="n"/>
      <c r="K34" s="13" t="n"/>
      <c r="L34" s="13" t="n"/>
      <c r="M34" s="13" t="n"/>
      <c r="N34" s="13" t="n"/>
      <c r="O34" s="13" t="n"/>
      <c r="P34" s="13" t="n"/>
      <c r="Q34" s="13" t="n"/>
      <c r="R34" s="13" t="n"/>
      <c r="S34" s="1103" t="n"/>
      <c r="T34" s="13" t="n"/>
      <c r="U34" s="13" t="n"/>
      <c r="V34" s="13" t="n"/>
      <c r="W34" s="13" t="n"/>
      <c r="X34" s="171" t="n"/>
      <c r="Y34" s="171" t="n"/>
      <c r="Z34" s="13" t="n"/>
      <c r="AA34" s="13" t="n"/>
      <c r="AB34" s="13" t="n"/>
      <c r="AC34" s="13" t="n"/>
      <c r="AD34" s="13" t="n"/>
      <c r="AE34" s="13" t="n"/>
      <c r="AF34" s="13" t="n"/>
      <c r="AG34" s="13" t="n"/>
      <c r="AH34" s="13" t="n"/>
      <c r="AI34" s="13" t="n"/>
      <c r="AJ34" s="13" t="n"/>
      <c r="AK34" s="13" t="n"/>
      <c r="AL34" s="13" t="n"/>
      <c r="AM34" s="716" t="n"/>
      <c r="AN34" s="13" t="n"/>
      <c r="AO34" s="13" t="n"/>
      <c r="AP34" s="13" t="n"/>
      <c r="AQ34" s="220" t="n"/>
      <c r="AR34" s="13" t="n"/>
      <c r="AS34" s="13" t="n"/>
    </row>
    <row r="35" ht="32.25" customHeight="1" s="1181">
      <c r="A35" s="384" t="n"/>
      <c r="B35" s="384" t="n"/>
      <c r="C35" s="384" t="n"/>
      <c r="D35" s="384" t="n"/>
      <c r="E35" s="384" t="n"/>
      <c r="F35" s="384" t="n"/>
      <c r="G35" s="384" t="n"/>
      <c r="H35" s="384" t="n"/>
      <c r="I35" s="384" t="n"/>
      <c r="J35" s="384" t="n"/>
      <c r="K35" s="384" t="n"/>
      <c r="L35" s="384" t="n"/>
      <c r="M35" s="384" t="n"/>
      <c r="N35" s="384" t="n"/>
      <c r="O35" s="384" t="n"/>
      <c r="P35" s="384" t="n"/>
      <c r="Q35" s="384" t="n"/>
      <c r="R35" s="384" t="n"/>
      <c r="S35" s="32" t="n"/>
      <c r="T35" s="384" t="n"/>
      <c r="U35" s="384" t="n"/>
      <c r="V35" s="384" t="n"/>
      <c r="W35" s="384" t="n"/>
      <c r="X35" s="38" t="n"/>
      <c r="Y35" s="38" t="n"/>
      <c r="Z35" s="520" t="inlineStr">
        <is>
          <t>企业财务快报（国资委）</t>
        </is>
      </c>
      <c r="AC35" s="384" t="n"/>
      <c r="AD35" s="384" t="n"/>
      <c r="AE35" s="384" t="n"/>
      <c r="AF35" s="520" t="inlineStr">
        <is>
          <t>企业财务快报（国资委）</t>
        </is>
      </c>
      <c r="AI35" s="384" t="n"/>
      <c r="AJ35" s="384" t="n"/>
      <c r="AK35" s="384" t="n"/>
      <c r="AL35" s="384" t="n"/>
      <c r="AM35" s="384" t="n"/>
      <c r="AN35" s="384" t="n"/>
      <c r="AO35" s="384" t="n"/>
      <c r="AP35" s="384" t="n"/>
      <c r="AQ35" s="384" t="n"/>
      <c r="AR35" s="384" t="n"/>
      <c r="AS35" s="384" t="n"/>
    </row>
    <row r="36" ht="15.2" customFormat="1" customHeight="1" s="716">
      <c r="A36" s="716" t="n"/>
      <c r="B36" s="716" t="n"/>
      <c r="C36" s="716" t="n"/>
      <c r="D36" s="716" t="n"/>
      <c r="E36" s="716" t="n"/>
      <c r="F36" s="716" t="n"/>
      <c r="G36" s="716" t="n"/>
      <c r="H36" s="716" t="n"/>
      <c r="I36" s="716" t="n"/>
      <c r="J36" s="716" t="n"/>
      <c r="K36" s="716" t="n"/>
      <c r="L36" s="716" t="n"/>
      <c r="M36" s="716" t="n"/>
      <c r="N36" s="716" t="n"/>
      <c r="O36" s="716" t="n"/>
      <c r="P36" s="716">
        <f>IF(_epmOfflineCondition_,"        # 利息支出",EPMMemberDesc(Q47))</f>
        <v/>
      </c>
      <c r="Q36" s="716" t="n"/>
      <c r="R36" s="716" t="n"/>
      <c r="S36" s="462" t="n"/>
      <c r="T36" s="716" t="n"/>
      <c r="U36" s="716" t="n"/>
      <c r="V36" s="716" t="n"/>
      <c r="W36" s="716" t="n"/>
      <c r="X36" s="190">
        <f>IF(_epmOfflineCondition_,"编制单位：内蒙古京能苏尼特风力发电有限公司（内蒙古分公司）","编制单位："&amp;EPMMemberDesc($C$6))</f>
        <v/>
      </c>
      <c r="Y36" s="116" t="inlineStr">
        <is>
          <t>操作提示：表单默认币种LC（本位币），外币记账单位，可点击左侧币种切换，点击EPM选项卡中的“刷新”按钮</t>
        </is>
      </c>
      <c r="Z36" s="116" t="n"/>
      <c r="AA36" s="716" t="n"/>
      <c r="AB36" s="203" t="n"/>
      <c r="AC36" s="716" t="n"/>
      <c r="AD36" s="716" t="n"/>
      <c r="AE36" s="716" t="n"/>
      <c r="AF36" s="716" t="n"/>
      <c r="AG36" s="716" t="n"/>
      <c r="AH36" s="716" t="n"/>
      <c r="AI36" s="716" t="n"/>
      <c r="AJ36" s="716" t="n"/>
      <c r="AK36" s="716" t="n"/>
      <c r="AL36" s="716" t="n"/>
      <c r="AM36" s="716" t="n"/>
      <c r="AN36" s="716" t="n"/>
      <c r="AO36" s="716" t="n"/>
      <c r="AP36" s="716" t="n"/>
      <c r="AQ36" s="716" t="n"/>
      <c r="AR36" s="716" t="n"/>
      <c r="AS36" s="716" t="n"/>
    </row>
    <row r="37" ht="15.2" customFormat="1" customHeight="1" s="716">
      <c r="A37" s="716" t="n"/>
      <c r="B37" s="716" t="n"/>
      <c r="C37" s="716" t="n"/>
      <c r="D37" s="716" t="n"/>
      <c r="E37" s="716" t="n"/>
      <c r="F37" s="716" t="n"/>
      <c r="G37" s="716" t="n"/>
      <c r="H37" s="716" t="n"/>
      <c r="I37" s="716" t="n"/>
      <c r="J37" s="716" t="n"/>
      <c r="K37" s="716" t="n"/>
      <c r="L37" s="716" t="n"/>
      <c r="M37" s="716" t="n"/>
      <c r="N37" s="716" t="n"/>
      <c r="O37" s="716" t="n"/>
      <c r="P37" s="716">
        <f>IF(_epmOfflineCondition_,"        # 手续费及佣金支出",EPMMemberDesc(Q48))</f>
        <v/>
      </c>
      <c r="Q37" s="716" t="n"/>
      <c r="R37" s="716" t="n"/>
      <c r="S37" s="462" t="n"/>
      <c r="T37" s="716" t="n"/>
      <c r="U37" s="716" t="n"/>
      <c r="V37" s="716" t="n"/>
      <c r="W37" s="716" t="n"/>
      <c r="X37" s="190">
        <f>"编制月份："&amp;$I$3&amp;"年"&amp;$I$8&amp;"月"</f>
        <v/>
      </c>
      <c r="Y37" s="521" t="inlineStr">
        <is>
          <t>币种：</t>
        </is>
      </c>
      <c r="Z37" s="521">
        <f>AF37</f>
        <v/>
      </c>
      <c r="AA37" s="716" t="n"/>
      <c r="AB37" s="223" t="inlineStr">
        <is>
          <t>金额单位：元</t>
        </is>
      </c>
      <c r="AC37" s="716" t="n"/>
      <c r="AD37" s="716" t="n"/>
      <c r="AE37" s="716" t="n"/>
      <c r="AF37" s="521" t="inlineStr">
        <is>
          <t>LC</t>
        </is>
      </c>
      <c r="AG37" s="716" t="n"/>
      <c r="AH37" s="223" t="inlineStr">
        <is>
          <t>金额单位：万元</t>
        </is>
      </c>
      <c r="AI37" s="716" t="n"/>
      <c r="AJ37" s="716" t="n"/>
      <c r="AK37" s="716" t="n"/>
      <c r="AL37" s="716" t="n"/>
      <c r="AM37" s="716" t="n"/>
      <c r="AN37" s="716" t="n"/>
      <c r="AO37" s="716" t="n"/>
      <c r="AP37" s="716" t="n"/>
      <c r="AQ37" s="716" t="n"/>
      <c r="AR37" s="716" t="n"/>
      <c r="AS37" s="716" t="n"/>
    </row>
    <row r="38" ht="10.15" customFormat="1" customHeight="1" s="716">
      <c r="A38" s="716" t="n"/>
      <c r="B38" s="716" t="n"/>
      <c r="C38" s="716" t="n"/>
      <c r="D38" s="716" t="n"/>
      <c r="E38" s="716" t="n"/>
      <c r="F38" s="716" t="n"/>
      <c r="G38" s="716" t="n"/>
      <c r="H38" s="716" t="n"/>
      <c r="I38" s="716" t="n"/>
      <c r="J38" s="716" t="n"/>
      <c r="K38" s="716" t="n"/>
      <c r="L38" s="716" t="n"/>
      <c r="M38" s="716" t="n"/>
      <c r="N38" s="716" t="n"/>
      <c r="O38" s="716" t="n"/>
      <c r="P38" s="716">
        <f>IF(_epmOfflineCondition_,"　      # 汇兑收益（损失以“-”号填列）",EPMMemberDesc(Q46))</f>
        <v/>
      </c>
      <c r="Q38" s="716" t="n"/>
      <c r="R38" s="716" t="n"/>
      <c r="S38" s="462" t="n"/>
      <c r="T38" s="716" t="n"/>
      <c r="U38" s="716" t="n"/>
      <c r="V38" s="716" t="n"/>
      <c r="W38" s="716" t="n"/>
      <c r="X38" s="190" t="n"/>
      <c r="Y38" s="190" t="n"/>
      <c r="Z38" s="716" t="n"/>
      <c r="AA38" s="716" t="n"/>
      <c r="AB38" s="203" t="n"/>
      <c r="AC38" s="716" t="n"/>
      <c r="AD38" s="716" t="n"/>
      <c r="AE38" s="716" t="n"/>
      <c r="AF38" s="716" t="n"/>
      <c r="AG38" s="716" t="n"/>
      <c r="AH38" s="716" t="n"/>
      <c r="AI38" s="716" t="n"/>
      <c r="AJ38" s="716" t="n"/>
      <c r="AK38" s="716" t="n"/>
      <c r="AL38" s="716" t="n"/>
      <c r="AM38" s="716" t="n"/>
      <c r="AN38" s="716" t="n"/>
      <c r="AO38" s="716" t="n"/>
      <c r="AP38" s="716" t="n"/>
      <c r="AQ38" s="716" t="n"/>
      <c r="AR38" s="716" t="n"/>
      <c r="AS38" s="716" t="n"/>
    </row>
    <row r="39" ht="8.65" customFormat="1" customHeight="1" s="716">
      <c r="A39" s="716" t="n"/>
      <c r="B39" s="716" t="n"/>
      <c r="C39" s="716" t="n"/>
      <c r="D39" s="716" t="n"/>
      <c r="E39" s="716" t="n"/>
      <c r="F39" s="716" t="n"/>
      <c r="G39" s="716" t="n"/>
      <c r="H39" s="716" t="n"/>
      <c r="I39" s="716" t="n"/>
      <c r="J39" s="716" t="n"/>
      <c r="K39" s="716" t="n"/>
      <c r="L39" s="716" t="n"/>
      <c r="M39" s="716" t="n"/>
      <c r="N39" s="716" t="n"/>
      <c r="O39" s="716" t="n"/>
      <c r="P39" s="716" t="n"/>
      <c r="Q39" s="716" t="n"/>
      <c r="R39" s="716" t="n"/>
      <c r="S39" s="462" t="n"/>
      <c r="T39" s="716" t="n"/>
      <c r="U39" s="716" t="n"/>
      <c r="V39" s="716" t="n"/>
      <c r="W39" s="716" t="n"/>
      <c r="X39" s="450" t="inlineStr">
        <is>
          <t>项        目</t>
        </is>
      </c>
      <c r="Y39" s="450" t="inlineStr">
        <is>
          <t>行次</t>
        </is>
      </c>
      <c r="Z39" s="466" t="inlineStr">
        <is>
          <t>本月数</t>
        </is>
      </c>
      <c r="AA39" s="466" t="inlineStr">
        <is>
          <t>本年累计数</t>
        </is>
      </c>
      <c r="AB39" s="466" t="inlineStr">
        <is>
          <t>上年同期数</t>
        </is>
      </c>
      <c r="AC39" s="553" t="inlineStr">
        <is>
          <t>本年累计(存数）</t>
        </is>
      </c>
      <c r="AD39" s="552" t="n"/>
      <c r="AE39" s="552" t="n"/>
      <c r="AF39" s="522" t="inlineStr">
        <is>
          <t>本月数</t>
        </is>
      </c>
      <c r="AG39" s="522" t="inlineStr">
        <is>
          <t>本年累计数</t>
        </is>
      </c>
      <c r="AH39" s="522" t="inlineStr">
        <is>
          <t>上年同期数</t>
        </is>
      </c>
      <c r="AI39" s="716" t="n"/>
      <c r="AJ39" s="716" t="n"/>
      <c r="AK39" s="716" t="n"/>
      <c r="AL39" s="716" t="n"/>
      <c r="AM39" s="716" t="n"/>
      <c r="AN39" s="716" t="n"/>
      <c r="AO39" s="716" t="n"/>
      <c r="AP39" s="716" t="n"/>
      <c r="AQ39" s="716" t="n"/>
      <c r="AR39" s="716" t="n"/>
      <c r="AS39" s="716" t="n"/>
    </row>
    <row r="40" ht="10.9" customFormat="1" customHeight="1" s="716">
      <c r="A40" s="716" t="n"/>
      <c r="B40" s="716" t="n"/>
      <c r="C40" s="716" t="n"/>
      <c r="D40" s="716" t="n"/>
      <c r="E40" s="716" t="n"/>
      <c r="F40" s="716" t="n"/>
      <c r="G40" s="716" t="n"/>
      <c r="H40" s="716" t="n"/>
      <c r="I40" s="716" t="n"/>
      <c r="J40" s="716" t="n"/>
      <c r="K40" s="716" t="n"/>
      <c r="L40" s="716" t="n"/>
      <c r="M40" s="716" t="n"/>
      <c r="N40" s="716" t="n"/>
      <c r="O40" s="716" t="n"/>
      <c r="P40" s="716" t="n"/>
      <c r="Q40" s="716" t="n"/>
      <c r="R40" s="716" t="n"/>
      <c r="S40" s="462" t="n"/>
      <c r="T40" s="716" t="n"/>
      <c r="U40" s="716" t="n"/>
      <c r="V40" s="716" t="n"/>
      <c r="W40" s="716" t="n"/>
      <c r="X40" s="1184" t="n"/>
      <c r="Y40" s="1184" t="n"/>
      <c r="Z40" s="1211" t="n"/>
      <c r="AA40" s="1211" t="n"/>
      <c r="AB40" s="1211" t="n"/>
      <c r="AC40" s="1210" t="n"/>
      <c r="AD40" s="552" t="n"/>
      <c r="AE40" s="552" t="n"/>
      <c r="AF40" s="1184" t="n"/>
      <c r="AG40" s="1184" t="n"/>
      <c r="AH40" s="1184" t="n"/>
      <c r="AI40" s="716" t="n"/>
      <c r="AJ40" s="716" t="n"/>
      <c r="AK40" s="716" t="n"/>
      <c r="AL40" s="716" t="n"/>
      <c r="AM40" s="716" t="n"/>
      <c r="AN40" s="716" t="n"/>
      <c r="AO40" s="716" t="n"/>
      <c r="AP40" s="716" t="n"/>
      <c r="AQ40" s="716" t="n"/>
      <c r="AR40" s="716" t="n"/>
      <c r="AS40" s="716" t="n"/>
    </row>
    <row r="41" hidden="1" ht="13.5" customFormat="1" customHeight="1" s="24">
      <c r="A41" s="24" t="n"/>
      <c r="B41" s="24" t="n"/>
      <c r="C41" s="24" t="n"/>
      <c r="D41" s="24" t="n"/>
      <c r="E41" s="24" t="n"/>
      <c r="F41" s="24" t="n"/>
      <c r="G41" s="24" t="n"/>
      <c r="H41" s="24" t="n"/>
      <c r="I41" s="24" t="n"/>
      <c r="J41" s="24" t="n"/>
      <c r="K41" s="24" t="n"/>
      <c r="L41" s="24" t="n"/>
      <c r="M41" s="24" t="n"/>
      <c r="N41" s="24" t="n"/>
      <c r="O41" s="24" t="n"/>
      <c r="P41" s="24" t="n"/>
      <c r="Q41" s="24" t="n"/>
      <c r="R41" s="24" t="n"/>
      <c r="S41" s="24" t="n"/>
      <c r="T41" s="24" t="n"/>
      <c r="U41" s="24" t="n"/>
      <c r="V41" s="24" t="n"/>
      <c r="W41" s="24" t="n"/>
      <c r="X41" s="451" t="inlineStr">
        <is>
          <t>time</t>
        </is>
      </c>
      <c r="Y41" s="726" t="n"/>
      <c r="Z41" s="469">
        <f>IF(_epmOfflineCondition_,"2025.03",EPMOlapMemberO($I$11,"[C_TIME].[PARENTH1].[2025.03]","2025.03 - 2025.03","","000"))</f>
        <v/>
      </c>
      <c r="AA41" s="469">
        <f>IF(_epmOfflineCondition_,"2025.03",EPMOlapMemberO($I$11,"[C_TIME].[PARENTH1].[2025.03]","2025.03 - 2025.03","","000"))</f>
        <v/>
      </c>
      <c r="AB41" s="469">
        <f>IF(_epmOfflineCondition_,"2024.03",EPMOlapMemberO(AB26,"[C_TIME].[PARENTH1].[2024.03]","2024.03 - 2024.03","","000"))</f>
        <v/>
      </c>
      <c r="AC41" s="13" t="n"/>
      <c r="AD41" s="13" t="n"/>
      <c r="AE41" s="13" t="n"/>
      <c r="AF41" s="13" t="n"/>
      <c r="AG41" s="13" t="n"/>
      <c r="AH41" s="13" t="n"/>
      <c r="AI41" s="462" t="n"/>
      <c r="AJ41" s="462" t="n"/>
      <c r="AK41" s="462" t="n"/>
      <c r="AL41" s="462" t="n"/>
      <c r="AM41" s="462" t="n"/>
      <c r="AN41" s="24" t="n"/>
      <c r="AO41" s="24" t="n"/>
      <c r="AP41" s="24" t="n"/>
      <c r="AQ41" s="24" t="n"/>
      <c r="AR41" s="24" t="n"/>
      <c r="AS41" s="24" t="n"/>
    </row>
    <row r="42" hidden="1" ht="14.25" customFormat="1" customHeight="1" s="716">
      <c r="A42" s="716" t="n"/>
      <c r="B42" s="716" t="n"/>
      <c r="C42" s="716" t="n"/>
      <c r="D42" s="716" t="n"/>
      <c r="E42" s="716" t="n"/>
      <c r="F42" s="716" t="n"/>
      <c r="G42" s="716" t="n"/>
      <c r="H42" s="716" t="n"/>
      <c r="I42" s="716" t="n"/>
      <c r="J42" s="716" t="n"/>
      <c r="K42" s="716" t="n"/>
      <c r="L42" s="716" t="n"/>
      <c r="M42" s="716" t="n"/>
      <c r="N42" s="716" t="n"/>
      <c r="O42" s="716" t="n"/>
      <c r="P42" s="716" t="n"/>
      <c r="Q42" s="716" t="n"/>
      <c r="R42" s="716" t="n"/>
      <c r="S42" s="462" t="n"/>
      <c r="T42" s="716" t="n"/>
      <c r="U42" s="716" t="n"/>
      <c r="V42" s="716" t="n"/>
      <c r="W42" s="716" t="n"/>
      <c r="X42" s="451" t="inlineStr">
        <is>
          <t>category</t>
        </is>
      </c>
      <c r="Y42" s="451" t="n"/>
      <c r="Z42" s="182">
        <f>IF(_epmOfflineCondition_,"C1001",EPMOlapMemberO($Z$25,"[C_CATEGORY].[PARENTH1].[C1001]","C1001 - 实际数/决算数","","000"))</f>
        <v/>
      </c>
      <c r="AA42" s="182">
        <f>IF(_epmOfflineCondition_,"C1001",EPMOlapMemberO($Z$25,"[C_CATEGORY].[PARENTH1].[C1001]","C1001 - 实际数/决算数","","000"))</f>
        <v/>
      </c>
      <c r="AB42" s="182">
        <f>IF(_epmOfflineCondition_,"C1001",EPMOlapMemberO($Z$25,"[C_CATEGORY].[PARENTH1].[C1001]","C1001 - 实际数/决算数","","000"))</f>
        <v/>
      </c>
      <c r="AC42" s="13" t="n"/>
      <c r="AD42" s="13" t="n"/>
      <c r="AE42" s="13" t="n"/>
      <c r="AF42" s="13" t="n"/>
      <c r="AG42" s="13" t="n"/>
      <c r="AH42" s="13" t="n"/>
      <c r="AI42" s="716" t="n"/>
      <c r="AJ42" s="716" t="n"/>
      <c r="AK42" s="716" t="n"/>
      <c r="AL42" s="716" t="n"/>
      <c r="AM42" s="716" t="n"/>
      <c r="AN42" s="716" t="n"/>
      <c r="AO42" s="716" t="n"/>
      <c r="AP42" s="716" t="n"/>
      <c r="AQ42" s="716" t="n"/>
      <c r="AR42" s="716" t="n"/>
      <c r="AS42" s="716" t="n"/>
    </row>
    <row r="43" hidden="1" ht="13.5" customFormat="1" customHeight="1" s="716">
      <c r="A43" s="716" t="n"/>
      <c r="B43" s="716" t="n"/>
      <c r="C43" s="716" t="n"/>
      <c r="D43" s="716" t="n"/>
      <c r="E43" s="716" t="n"/>
      <c r="F43" s="716" t="n"/>
      <c r="G43" s="716" t="n"/>
      <c r="H43" s="716" t="n"/>
      <c r="I43" s="716" t="n"/>
      <c r="J43" s="716" t="n"/>
      <c r="K43" s="716" t="n"/>
      <c r="L43" s="716" t="n"/>
      <c r="M43" s="716" t="n"/>
      <c r="N43" s="716" t="n"/>
      <c r="O43" s="716" t="n"/>
      <c r="P43" s="716" t="n"/>
      <c r="Q43" s="716" t="n"/>
      <c r="R43" s="716" t="n"/>
      <c r="S43" s="462" t="n"/>
      <c r="T43" s="716" t="n"/>
      <c r="U43" s="716" t="n"/>
      <c r="V43" s="716" t="n"/>
      <c r="W43" s="716" t="n"/>
      <c r="X43" s="451" t="inlineStr">
        <is>
          <t>audittrail</t>
        </is>
      </c>
      <c r="Y43" s="451" t="n"/>
      <c r="Z43" s="182">
        <f>IF(_epmOfflineCondition_,"DLC",EPMOlapMemberO($Z$31,"[C_AUDITTRAIL].[PARENTH1].[DLC]","DLC - 单体报表","","000"))</f>
        <v/>
      </c>
      <c r="AA43" s="182">
        <f>IF(_epmOfflineCondition_,"DLC",EPMOlapMemberO($Z$31,"[C_AUDITTRAIL].[PARENTH1].[DLC]","DLC - 单体报表","","000"))</f>
        <v/>
      </c>
      <c r="AB43" s="182">
        <f>IF(_epmOfflineCondition_,"DLC",EPMOlapMemberO($Z$31,"[C_AUDITTRAIL].[PARENTH1].[DLC]","DLC - 单体报表","","000"))</f>
        <v/>
      </c>
      <c r="AC43" s="13" t="n"/>
      <c r="AD43" s="13" t="n"/>
      <c r="AE43" s="13" t="n"/>
      <c r="AF43" s="13" t="n"/>
      <c r="AG43" s="13" t="n"/>
      <c r="AH43" s="13" t="n"/>
      <c r="AI43" s="716" t="n"/>
      <c r="AJ43" s="716" t="n"/>
      <c r="AK43" s="716" t="n"/>
      <c r="AL43" s="716" t="n"/>
      <c r="AM43" s="716" t="n"/>
      <c r="AN43" s="716" t="n"/>
      <c r="AO43" s="716" t="n"/>
      <c r="AP43" s="716" t="n"/>
      <c r="AQ43" s="716" t="n"/>
      <c r="AR43" s="716" t="n"/>
      <c r="AS43" s="716" t="n"/>
    </row>
    <row r="44" hidden="1" outlineLevel="1" ht="13.5" customFormat="1" customHeight="1" s="716">
      <c r="A44" s="716" t="n"/>
      <c r="B44" s="716" t="n"/>
      <c r="C44" s="716" t="n"/>
      <c r="D44" s="716" t="n"/>
      <c r="E44" s="716" t="n"/>
      <c r="F44" s="716" t="n"/>
      <c r="G44" s="716" t="n"/>
      <c r="H44" s="716" t="n"/>
      <c r="I44" s="716" t="n"/>
      <c r="J44" s="716" t="n"/>
      <c r="K44" s="716" t="n"/>
      <c r="L44" s="716" t="n"/>
      <c r="M44" s="716" t="n"/>
      <c r="N44" s="716" t="n"/>
      <c r="O44" s="716" t="n"/>
      <c r="P44" s="716" t="n"/>
      <c r="Q44" s="716" t="n"/>
      <c r="R44" s="716" t="n"/>
      <c r="S44" s="462" t="n"/>
      <c r="T44" s="716" t="n"/>
      <c r="U44" s="716" t="n"/>
      <c r="V44" s="452" t="n"/>
      <c r="W44" s="716" t="n"/>
      <c r="X44" s="451" t="inlineStr">
        <is>
          <t>flow</t>
        </is>
      </c>
      <c r="Y44" s="451" t="n"/>
      <c r="Z44" s="182">
        <f>IF(_epmOfflineCondition_,"",EPMOlapMemberO($AE$28,"[C_FLOW].[PARENTH1].[FMOV]","FMOV - 本期变动","","000"))</f>
        <v/>
      </c>
      <c r="AA44" s="182">
        <f>IF(_epmOfflineCondition_,"FEND",EPMOlapMemberO($AC$28,"[C_FLOW].[PARENTH1].[FEND]","FEND - 期末金额","","000"))</f>
        <v/>
      </c>
      <c r="AB44" s="182">
        <f>IF(_epmOfflineCondition_,"FEND",EPMOlapMemberO($AC$28,"[C_FLOW].[PARENTH1].[FEND]","FEND - 期末金额","","000"))</f>
        <v/>
      </c>
      <c r="AC44" s="13" t="n"/>
      <c r="AD44" s="13" t="n"/>
      <c r="AE44" s="13" t="n"/>
      <c r="AF44" s="13" t="n"/>
      <c r="AG44" s="13" t="n"/>
      <c r="AH44" s="13" t="n"/>
      <c r="AI44" s="716" t="n"/>
      <c r="AJ44" s="716" t="n"/>
      <c r="AK44" s="716" t="n"/>
      <c r="AL44" s="716" t="n"/>
      <c r="AM44" s="716" t="n"/>
      <c r="AN44" s="716" t="n"/>
      <c r="AO44" s="716" t="n"/>
      <c r="AP44" s="716" t="n"/>
      <c r="AQ44" s="716" t="n"/>
      <c r="AR44" s="716" t="n"/>
      <c r="AS44" s="716" t="n"/>
    </row>
    <row r="45" hidden="1" outlineLevel="1" ht="13.5" customFormat="1" customHeight="1" s="716">
      <c r="A45" s="716" t="n"/>
      <c r="B45" s="716" t="n"/>
      <c r="C45" s="716" t="n"/>
      <c r="D45" s="716" t="n"/>
      <c r="E45" s="716" t="n"/>
      <c r="F45" s="716" t="n"/>
      <c r="G45" s="716" t="n"/>
      <c r="H45" s="716" t="n"/>
      <c r="I45" s="716" t="n"/>
      <c r="J45" s="716" t="n"/>
      <c r="K45" s="716" t="n"/>
      <c r="L45" s="716" t="n"/>
      <c r="M45" s="716" t="n"/>
      <c r="N45" s="716" t="n"/>
      <c r="O45" s="716" t="n"/>
      <c r="P45" s="716" t="n"/>
      <c r="Q45" s="716" t="n"/>
      <c r="R45" s="716" t="n"/>
      <c r="S45" s="462" t="n"/>
      <c r="T45" s="716" t="n"/>
      <c r="U45" s="716" t="n"/>
      <c r="V45" s="716" t="n"/>
      <c r="W45" s="716" t="n"/>
      <c r="X45" s="451" t="inlineStr">
        <is>
          <t>measures</t>
        </is>
      </c>
      <c r="Y45" s="451" t="n"/>
      <c r="Z45" s="182">
        <f>IF(_epmOfflineCondition_,"Periodic",EPMOlapMemberO($AB$27,"[MEASURES].[].[PERIODIC]","PERIODIC - Periodic","","000"))</f>
        <v/>
      </c>
      <c r="AA45" s="182">
        <f>IF(_epmOfflineCondition_,"YTD",EPMOlapMemberO($AA$27,"[MEASURES].[].[YTD]","YTD - Year To Date","","000"))</f>
        <v/>
      </c>
      <c r="AB45" s="182">
        <f>IF(_epmOfflineCondition_,"YTD",EPMOlapMemberO($AA$27,"[MEASURES].[].[YTD]","YTD - Year To Date","","000"))</f>
        <v/>
      </c>
      <c r="AC45" s="13" t="n"/>
      <c r="AD45" s="13" t="n"/>
      <c r="AE45" s="13" t="n"/>
      <c r="AF45" s="13" t="n"/>
      <c r="AG45" s="13" t="n"/>
      <c r="AH45" s="13" t="n"/>
      <c r="AI45" s="716" t="n"/>
      <c r="AJ45" s="716" t="n"/>
      <c r="AK45" s="716" t="n"/>
      <c r="AL45" s="716" t="n"/>
      <c r="AM45" s="716" t="n"/>
      <c r="AN45" s="716" t="n"/>
      <c r="AO45" s="716" t="n"/>
      <c r="AP45" s="716" t="n"/>
      <c r="AQ45" s="716" t="n"/>
      <c r="AR45" s="716" t="n"/>
      <c r="AS45" s="716" t="n"/>
    </row>
    <row r="46" collapsed="1" ht="16.15" customFormat="1" customHeight="1" s="716">
      <c r="A46" s="716" t="n"/>
      <c r="B46" s="716" t="n"/>
      <c r="C46" s="716" t="n"/>
      <c r="D46" s="716" t="n"/>
      <c r="E46" s="716" t="n"/>
      <c r="F46" s="716" t="n"/>
      <c r="G46" s="716" t="n"/>
      <c r="H46" s="716" t="n"/>
      <c r="I46" s="716" t="n"/>
      <c r="J46" s="716" t="n"/>
      <c r="K46" s="716" t="n"/>
      <c r="L46" s="1192">
        <f>IF(_epmOfflineCondition_,0,EPMRetrieveData(,,$D$21,$D$22,$D$25,$D$26,$D$27,$D$28,$D$29,$AB$41,$AB$42,$AB$43,"FMOV_OP",$AB$45,Q46))</f>
        <v/>
      </c>
      <c r="M46" s="716" t="inlineStr">
        <is>
          <t>上年同期</t>
        </is>
      </c>
      <c r="N46" s="1192">
        <f>IF(_epmOfflineCondition_,0,EPMRetrieveData(,,$D$21,$D$22,$D$25,$D$26,$D$27,$D$28,$D$29,$Z$41,$Z$42,$Z$43,"FMOV_OP",$Z$45,Q46))</f>
        <v/>
      </c>
      <c r="O46" s="716" t="inlineStr">
        <is>
          <t>本月</t>
        </is>
      </c>
      <c r="P46" s="716">
        <f>IF(_epmOfflineCondition_,0,EPMRetrieveData(,,$D$21,$D$22,$D$25,$D$26,$D$27,$D$28,$D$29,$AA$41,$AA$42,$AA$43,"FMOV_OP",$AA$45,Q46))</f>
        <v/>
      </c>
      <c r="Q46" s="716" t="inlineStr">
        <is>
          <t>A0020213</t>
        </is>
      </c>
      <c r="R46" s="716" t="inlineStr">
        <is>
          <t>本年</t>
        </is>
      </c>
      <c r="S46" s="462">
        <f>IF(_epmOfflineCondition_,"一、营业总收入",EPMMemberDesc(U46))</f>
        <v/>
      </c>
      <c r="T46" s="716" t="n"/>
      <c r="U46" s="716" t="inlineStr">
        <is>
          <t>A00201</t>
        </is>
      </c>
      <c r="V46" s="699">
        <f>IF(_epmOfflineCondition_,"A00201",EPMOlapMemberO(U46,"[C_ACCOUNT].[PARENTH1].[A00201]","A00201 - 一、营业总收入","","000"))</f>
        <v/>
      </c>
      <c r="W46" s="462" t="n"/>
      <c r="X46" s="585" t="inlineStr">
        <is>
          <t>1. 营业总收入</t>
        </is>
      </c>
      <c r="Y46" s="1185">
        <f>ROW()-45</f>
        <v/>
      </c>
      <c r="Z46" s="1298">
        <f>IF(_epmOfflineCondition_,34684648.3,EPMRetrieveData(,$V46,Z$41,Z$42,Z$43,Z$45,$D$22,$D$21,$E$24,$D$25,$D$26,$D$27,$D$28,$D$29))</f>
        <v/>
      </c>
      <c r="AA46" s="1298">
        <f>IF(_epmOfflineCondition_,94272738.5,EPMRetrieveData(,$V46,AA$41,AA$42,AA$43,AA$45,$D$22,$D$21,$E$24,$D$25,$D$26,$D$27,$D$28,$D$29))</f>
        <v/>
      </c>
      <c r="AB46" s="1298">
        <f>IF(_epmOfflineCondition_,23180467.01,EPMRetrieveData(,$V46,AB$41,AB$42,AB$43,AB$45,$D$22,$D$21,$E$24,$D$25,$D$26,$D$27,$D$28,$D$29))</f>
        <v/>
      </c>
      <c r="AC46" s="1192" t="n"/>
      <c r="AD46" s="1192" t="n"/>
      <c r="AE46" s="1192" t="n"/>
      <c r="AF46" s="1354">
        <f>ROUND(Z46/10000,0)</f>
        <v/>
      </c>
      <c r="AG46" s="1354">
        <f>ROUND(AA46/10000,0)</f>
        <v/>
      </c>
      <c r="AH46" s="1354">
        <f>ROUND(AB46/10000,0)</f>
        <v/>
      </c>
      <c r="AI46" s="116" t="inlineStr">
        <is>
          <t>操作注意事项：</t>
        </is>
      </c>
      <c r="AJ46" s="716" t="n"/>
      <c r="AK46" s="716" t="n"/>
      <c r="AL46" s="716" t="n"/>
      <c r="AM46" s="716" t="n"/>
      <c r="AN46" s="716" t="n"/>
      <c r="AO46" s="716" t="n"/>
      <c r="AP46" s="716" t="n"/>
      <c r="AQ46" s="716" t="n"/>
      <c r="AR46" s="716" t="n"/>
      <c r="AS46" s="716" t="n"/>
    </row>
    <row r="47" ht="16.15" customFormat="1" customHeight="1" s="716">
      <c r="A47" s="716" t="n"/>
      <c r="B47" s="716" t="n"/>
      <c r="C47" s="716" t="n"/>
      <c r="D47" s="716" t="n"/>
      <c r="E47" s="716" t="n"/>
      <c r="F47" s="716" t="n"/>
      <c r="G47" s="716" t="n"/>
      <c r="H47" s="716" t="n"/>
      <c r="I47" s="716" t="n"/>
      <c r="J47" s="716" t="n"/>
      <c r="K47" s="716" t="n"/>
      <c r="L47" s="1192">
        <f>IF(_epmOfflineCondition_,0,EPMRetrieveData(,,$D$21,$D$22,$D$25,$D$26,$D$27,$D$28,$D$29,$AB$41,$AB$42,$AB$43,"FMOV_OP",$AB$45,Q47))</f>
        <v/>
      </c>
      <c r="M47" s="1192">
        <f>L49+L47+L48-L46</f>
        <v/>
      </c>
      <c r="N47" s="1192">
        <f>IF(_epmOfflineCondition_,0,EPMRetrieveData(,,$D$21,$D$22,$D$25,$D$26,$D$27,$D$28,$D$29,$Z$41,$Z$42,$Z$43,"FMOV_OP",$Z$45,Q47))</f>
        <v/>
      </c>
      <c r="O47" s="1192">
        <f>N49+N47+N48-N46</f>
        <v/>
      </c>
      <c r="P47" s="716">
        <f>IF(_epmOfflineCondition_,0,EPMRetrieveData(,,$D$21,$D$22,$D$25,$D$26,$D$27,$D$28,$D$29,$AA$41,$AA$42,$AA$43,"FMOV_OP",$AA$45,Q47))</f>
        <v/>
      </c>
      <c r="Q47" s="514" t="inlineStr">
        <is>
          <t>A0020202</t>
        </is>
      </c>
      <c r="R47" s="716">
        <f>P49+P47+P48-P46</f>
        <v/>
      </c>
      <c r="S47" s="462">
        <f>IF(_epmOfflineCondition_,"   其中：营业成本",EPMMemberDesc(U47))</f>
        <v/>
      </c>
      <c r="T47" s="716" t="n"/>
      <c r="U47" s="716" t="inlineStr">
        <is>
          <t>A0020201</t>
        </is>
      </c>
      <c r="V47" s="701">
        <f>IF(_epmOfflineCondition_,"A0020201",EPMOlapMemberO(U47,"[C_ACCOUNT].[PARENTH1].[A0020201]","A0020201 -    其中：营业成本","","000"))</f>
        <v/>
      </c>
      <c r="W47" s="462" t="n"/>
      <c r="X47" s="585" t="inlineStr">
        <is>
          <t>2. 营业成本</t>
        </is>
      </c>
      <c r="Y47" s="1185">
        <f>ROW()-45</f>
        <v/>
      </c>
      <c r="Z47" s="1298">
        <f>O47</f>
        <v/>
      </c>
      <c r="AA47" s="1298">
        <f>R47</f>
        <v/>
      </c>
      <c r="AB47" s="1298">
        <f>M47</f>
        <v/>
      </c>
      <c r="AC47" s="1192" t="n"/>
      <c r="AD47" s="1192" t="n"/>
      <c r="AE47" s="1192" t="n"/>
      <c r="AF47" s="1354">
        <f>ROUND(Z47/10000,0)</f>
        <v/>
      </c>
      <c r="AG47" s="1354">
        <f>ROUND(AA47/10000,0)</f>
        <v/>
      </c>
      <c r="AH47" s="1354">
        <f>ROUND(AB47/10000,0)</f>
        <v/>
      </c>
      <c r="AI47" s="116" t="inlineStr">
        <is>
          <t>🔺单体：上下文Scope选择G_DUMMY，Entity选择本单体，外币单位切换币种；币种选LC</t>
        </is>
      </c>
      <c r="AJ47" s="716" t="n"/>
      <c r="AK47" s="716" t="n"/>
      <c r="AL47" s="716" t="n"/>
      <c r="AM47" s="716" t="n"/>
      <c r="AN47" s="716" t="n"/>
      <c r="AO47" s="716" t="n"/>
      <c r="AP47" s="716" t="n"/>
      <c r="AQ47" s="716" t="n"/>
      <c r="AR47" s="716" t="n"/>
      <c r="AS47" s="716" t="n"/>
    </row>
    <row r="48" ht="16.15" customFormat="1" customHeight="1" s="716">
      <c r="A48" s="716" t="n"/>
      <c r="B48" s="716" t="n"/>
      <c r="C48" s="716" t="n"/>
      <c r="D48" s="716" t="n"/>
      <c r="E48" s="716" t="n"/>
      <c r="F48" s="716" t="n"/>
      <c r="G48" s="716" t="n"/>
      <c r="H48" s="716" t="n"/>
      <c r="I48" s="716" t="n"/>
      <c r="J48" s="716" t="n"/>
      <c r="K48" s="716" t="n"/>
      <c r="L48" s="1192">
        <f>IF(_epmOfflineCondition_,0,EPMRetrieveData(,,$D$21,$D$22,$D$25,$D$26,$D$27,$D$28,$D$29,$AB$41,$AB$42,$AB$43,"FMOV_OP",$AB$45,Q48))</f>
        <v/>
      </c>
      <c r="M48" s="1192">
        <f>L49</f>
        <v/>
      </c>
      <c r="N48" s="1192">
        <f>IF(_epmOfflineCondition_,0,EPMRetrieveData(,,$D$21,$D$22,$D$25,$D$26,$D$27,$D$28,$D$29,$Z$41,$Z$42,$Z$43,"FMOV_OP",$Z$45,Q48))</f>
        <v/>
      </c>
      <c r="O48" s="1192">
        <f>N49</f>
        <v/>
      </c>
      <c r="P48" s="716">
        <f>IF(_epmOfflineCondition_,0,EPMRetrieveData(,,$D$21,$D$22,$D$25,$D$26,$D$27,$D$28,$D$29,$AA$41,$AA$42,$AA$43,"FMOV_OP",$AA$45,Q48))</f>
        <v/>
      </c>
      <c r="Q48" s="514" t="inlineStr">
        <is>
          <t>A0020203</t>
        </is>
      </c>
      <c r="R48" s="716" t="n"/>
      <c r="S48" s="462">
        <f>IF(_epmOfflineCondition_,"　　    税金及附加",EPMMemberDesc(U48))</f>
        <v/>
      </c>
      <c r="T48" s="716" t="n"/>
      <c r="U48" s="716" t="inlineStr">
        <is>
          <t>A0020204</t>
        </is>
      </c>
      <c r="V48" s="701">
        <f>IF(_epmOfflineCondition_,"A0020204",EPMOlapMemberO(U48,"[C_ACCOUNT].[PARENTH1].[A0020204]","A0020204 - 　　    税金及附加","","000"))</f>
        <v/>
      </c>
      <c r="W48" s="462" t="n"/>
      <c r="X48" s="585" t="inlineStr">
        <is>
          <t>3. 税金及附加</t>
        </is>
      </c>
      <c r="Y48" s="1185">
        <f>ROW()-45</f>
        <v/>
      </c>
      <c r="Z48" s="1298">
        <f>IF(_epmOfflineCondition_,1797689.16,EPMRetrieveData(,$V48,Z$41,Z$42,Z$43,Z$45,$D$22,$D$21,$E$24,$D$25,$D$26,$D$27,$D$28,$D$29))</f>
        <v/>
      </c>
      <c r="AA48" s="1298">
        <f>IF(_epmOfflineCondition_,1815565.59,EPMRetrieveData(,$V48,AA$41,AA$42,AA$43,AA$45,$D$22,$D$21,$E$24,$D$25,$D$26,$D$27,$D$28,$D$29))</f>
        <v/>
      </c>
      <c r="AB48" s="1298">
        <f>IF(_epmOfflineCondition_,6954.13,EPMRetrieveData(,$V48,AB$41,AB$42,AB$43,AB$45,$D$22,$D$21,$E$24,$D$25,$D$26,$D$27,$D$28,$D$29))</f>
        <v/>
      </c>
      <c r="AC48" s="1192" t="n"/>
      <c r="AD48" s="1192" t="n"/>
      <c r="AE48" s="1192" t="n"/>
      <c r="AF48" s="1354">
        <f>ROUND(Z48/10000,0)</f>
        <v/>
      </c>
      <c r="AG48" s="1354">
        <f>ROUND(AA48/10000,0)</f>
        <v/>
      </c>
      <c r="AH48" s="1354">
        <f>ROUND(AB48/10000,0)</f>
        <v/>
      </c>
      <c r="AI48" s="116" t="inlineStr">
        <is>
          <t>🔺合并层：上下文Scope选择对应的合并范围Gxxxxxx,币种选CNY</t>
        </is>
      </c>
      <c r="AJ48" s="716" t="n"/>
      <c r="AK48" s="716" t="n"/>
      <c r="AL48" s="716" t="n"/>
      <c r="AM48" s="716" t="n"/>
      <c r="AN48" s="716" t="n"/>
      <c r="AO48" s="716" t="n"/>
      <c r="AP48" s="716" t="n"/>
      <c r="AQ48" s="716" t="n"/>
      <c r="AR48" s="716" t="n"/>
      <c r="AS48" s="716" t="n"/>
    </row>
    <row r="49" ht="16.15" customFormat="1" customHeight="1" s="716">
      <c r="A49" s="716" t="n"/>
      <c r="B49" s="716" t="n"/>
      <c r="C49" s="716" t="n"/>
      <c r="D49" s="716" t="n"/>
      <c r="E49" s="716" t="n"/>
      <c r="F49" s="716" t="n"/>
      <c r="G49" s="716" t="n"/>
      <c r="H49" s="716" t="n"/>
      <c r="I49" s="716" t="n"/>
      <c r="J49" s="716" t="n"/>
      <c r="K49" s="716" t="n"/>
      <c r="L49" s="1192">
        <f>IF(_epmOfflineCondition_,0,EPMRetrieveData(,,$D$21,$D$22,$D$25,$D$26,$D$27,$D$28,$D$29,$AB$41,$AB$42,$AB$43,"FMOV_OP",$AB$45,Q49))</f>
        <v/>
      </c>
      <c r="M49" s="716" t="n"/>
      <c r="N49" s="1192">
        <f>IF(_epmOfflineCondition_,10784449.51,EPMRetrieveData(,,$D$21,$D$22,$D$25,$D$26,$D$27,$D$28,$D$29,$Z$41,$Z$42,$Z$43,"FMOV_OP",$Z$45,Q49))</f>
        <v/>
      </c>
      <c r="O49" s="716" t="n"/>
      <c r="P49" s="716">
        <f>IF(_epmOfflineCondition_,27496863.46,EPMRetrieveData(,,$D$21,$D$22,$D$25,$D$26,$D$27,$D$28,$D$29,$AA$41,$AA$42,$AA$43,"FMOV_OP",$AA$45,Q49))</f>
        <v/>
      </c>
      <c r="Q49" s="716" t="inlineStr">
        <is>
          <t>A0020201</t>
        </is>
      </c>
      <c r="R49" s="716" t="n"/>
      <c r="S49" s="462">
        <f>IF(_epmOfflineCondition_,"           销售费用",EPMMemberDesc(U49))</f>
        <v/>
      </c>
      <c r="T49" s="716" t="n"/>
      <c r="U49" s="716" t="inlineStr">
        <is>
          <t>A0020205</t>
        </is>
      </c>
      <c r="V49" s="701">
        <f>IF(_epmOfflineCondition_,"A0020205",EPMOlapMemberO(U49,"[C_ACCOUNT].[PARENTH1].[A0020205]","A0020205 -            销售费用","","000"))</f>
        <v/>
      </c>
      <c r="W49" s="462" t="n"/>
      <c r="X49" s="585" t="inlineStr">
        <is>
          <t>4. 销售费用</t>
        </is>
      </c>
      <c r="Y49" s="1185">
        <f>ROW()-45</f>
        <v/>
      </c>
      <c r="Z49" s="1298">
        <f>IF(_epmOfflineCondition_,0,EPMRetrieveData(,$V49,Z$41,Z$42,Z$43,Z$45,$D$22,$D$21,$E$24,$D$25,$D$26,$D$27,$D$28,$D$29))</f>
        <v/>
      </c>
      <c r="AA49" s="1298">
        <f>IF(_epmOfflineCondition_,0,EPMRetrieveData(,$V49,AA$41,AA$42,AA$43,AA$45,$D$22,$D$21,$E$24,$D$25,$D$26,$D$27,$D$28,$D$29))</f>
        <v/>
      </c>
      <c r="AB49" s="1298">
        <f>IF(_epmOfflineCondition_,0,EPMRetrieveData(,$V49,AB$41,AB$42,AB$43,AB$45,$D$22,$D$21,$E$24,$D$25,$D$26,$D$27,$D$28,$D$29))</f>
        <v/>
      </c>
      <c r="AC49" s="1192" t="n"/>
      <c r="AD49" s="1192" t="n"/>
      <c r="AE49" s="1192" t="n"/>
      <c r="AF49" s="1354">
        <f>ROUND(Z49/10000,0)</f>
        <v/>
      </c>
      <c r="AG49" s="1354">
        <f>ROUND(AA49/10000,0)</f>
        <v/>
      </c>
      <c r="AH49" s="1354">
        <f>ROUND(AB49/10000,0)</f>
        <v/>
      </c>
      <c r="AI49" s="716" t="n"/>
      <c r="AJ49" s="716" t="n"/>
      <c r="AK49" s="716" t="n"/>
      <c r="AL49" s="716" t="n"/>
      <c r="AM49" s="716" t="n"/>
      <c r="AN49" s="716" t="n"/>
      <c r="AO49" s="716" t="n"/>
      <c r="AP49" s="716" t="n"/>
      <c r="AQ49" s="716" t="n"/>
      <c r="AR49" s="716" t="n"/>
      <c r="AS49" s="716" t="n"/>
    </row>
    <row r="50" ht="16.15" customFormat="1" customHeight="1" s="716">
      <c r="A50" s="716" t="n"/>
      <c r="B50" s="716" t="n"/>
      <c r="C50" s="716" t="n"/>
      <c r="D50" s="716" t="n"/>
      <c r="E50" s="716" t="n"/>
      <c r="F50" s="716" t="n"/>
      <c r="G50" s="716" t="n"/>
      <c r="H50" s="716" t="n"/>
      <c r="I50" s="716" t="n"/>
      <c r="J50" s="716" t="n"/>
      <c r="K50" s="716" t="n"/>
      <c r="L50" s="716" t="n"/>
      <c r="M50" s="716" t="n"/>
      <c r="N50" s="716" t="n"/>
      <c r="O50" s="716" t="n"/>
      <c r="P50" s="716" t="n"/>
      <c r="Q50" s="716" t="n"/>
      <c r="R50" s="716" t="n"/>
      <c r="S50" s="462">
        <f>IF(_epmOfflineCondition_,"　　    管理费用",EPMMemberDesc(U50))</f>
        <v/>
      </c>
      <c r="T50" s="716" t="n"/>
      <c r="U50" s="716" t="inlineStr">
        <is>
          <t>A0020206</t>
        </is>
      </c>
      <c r="V50" s="701">
        <f>IF(_epmOfflineCondition_,"A0020206",EPMOlapMemberO(U50,"[C_ACCOUNT].[PARENTH1].[A0020206]","A0020206 - 　　    管理费用","","000"))</f>
        <v/>
      </c>
      <c r="W50" s="462" t="n"/>
      <c r="X50" s="585" t="inlineStr">
        <is>
          <t>5. 管理费用</t>
        </is>
      </c>
      <c r="Y50" s="1185">
        <f>ROW()-45</f>
        <v/>
      </c>
      <c r="Z50" s="1298">
        <f>IF(_epmOfflineCondition_,0,EPMRetrieveData(,$V50,Z$41,Z$42,Z$43,Z$45,$D$22,$D$21,$E$24,$D$25,$D$26,$D$27,$D$28,$D$29))</f>
        <v/>
      </c>
      <c r="AA50" s="1298">
        <f>IF(_epmOfflineCondition_,0,EPMRetrieveData(,$V50,AA$41,AA$42,AA$43,AA$45,$D$22,$D$21,$E$24,$D$25,$D$26,$D$27,$D$28,$D$29))</f>
        <v/>
      </c>
      <c r="AB50" s="1298">
        <f>IF(_epmOfflineCondition_,0,EPMRetrieveData(,$V50,AB$41,AB$42,AB$43,AB$45,$D$22,$D$21,$E$24,$D$25,$D$26,$D$27,$D$28,$D$29))</f>
        <v/>
      </c>
      <c r="AC50" s="1192" t="n"/>
      <c r="AD50" s="1192" t="n"/>
      <c r="AE50" s="1192" t="n"/>
      <c r="AF50" s="1354">
        <f>ROUND(Z50/10000,0)</f>
        <v/>
      </c>
      <c r="AG50" s="1354">
        <f>ROUND(AA50/10000,0)</f>
        <v/>
      </c>
      <c r="AH50" s="1354">
        <f>ROUND(AB50/10000,0)</f>
        <v/>
      </c>
      <c r="AI50" s="716" t="n"/>
      <c r="AJ50" s="716" t="n"/>
      <c r="AK50" s="716" t="n"/>
      <c r="AL50" s="716" t="n"/>
      <c r="AM50" s="716" t="n"/>
      <c r="AN50" s="716" t="n"/>
      <c r="AO50" s="716" t="n"/>
      <c r="AP50" s="716" t="n"/>
      <c r="AQ50" s="716" t="n"/>
      <c r="AR50" s="716" t="n"/>
      <c r="AS50" s="716" t="n"/>
    </row>
    <row r="51" ht="16.15" customFormat="1" customHeight="1" s="716">
      <c r="A51" s="716" t="n"/>
      <c r="B51" s="716" t="n"/>
      <c r="C51" s="716" t="n"/>
      <c r="D51" s="716" t="n"/>
      <c r="E51" s="716" t="n"/>
      <c r="F51" s="716" t="n"/>
      <c r="G51" s="716" t="n"/>
      <c r="H51" s="716" t="n"/>
      <c r="I51" s="716" t="n"/>
      <c r="J51" s="716" t="n"/>
      <c r="K51" s="716" t="n"/>
      <c r="L51" s="716" t="n"/>
      <c r="M51" s="716" t="n"/>
      <c r="N51" s="716" t="n"/>
      <c r="O51" s="716" t="n"/>
      <c r="P51" s="716" t="n"/>
      <c r="Q51" s="716" t="n"/>
      <c r="R51" s="716" t="n"/>
      <c r="S51" s="462">
        <f>IF(_epmOfflineCondition_,"           研发费用",EPMMemberDesc(U51))</f>
        <v/>
      </c>
      <c r="T51" s="716" t="n"/>
      <c r="U51" s="716" t="inlineStr">
        <is>
          <t>A0020207</t>
        </is>
      </c>
      <c r="V51" s="701">
        <f>IF(_epmOfflineCondition_,"A0020207",EPMOlapMemberO(U51,"[C_ACCOUNT].[PARENTH1].[A0020207]","A0020207 -            研发费用","","000"))</f>
        <v/>
      </c>
      <c r="W51" s="462" t="n"/>
      <c r="X51" s="585" t="inlineStr">
        <is>
          <t>6. 研发费用</t>
        </is>
      </c>
      <c r="Y51" s="1185">
        <f>ROW()-45</f>
        <v/>
      </c>
      <c r="Z51" s="1298">
        <f>IF(_epmOfflineCondition_,0,EPMRetrieveData(,$V51,Z$41,Z$42,Z$43,Z$45,$D$22,$D$21,$E$24,$D$25,$D$26,$D$27,$D$28,$D$29))</f>
        <v/>
      </c>
      <c r="AA51" s="1298">
        <f>IF(_epmOfflineCondition_,0,EPMRetrieveData(,$V51,AA$41,AA$42,AA$43,AA$45,$D$22,$D$21,$E$24,$D$25,$D$26,$D$27,$D$28,$D$29))</f>
        <v/>
      </c>
      <c r="AB51" s="1298">
        <f>IF(_epmOfflineCondition_,0,EPMRetrieveData(,$V51,AB$41,AB$42,AB$43,AB$45,$D$22,$D$21,$E$24,$D$25,$D$26,$D$27,$D$28,$D$29))</f>
        <v/>
      </c>
      <c r="AC51" s="1192" t="n"/>
      <c r="AD51" s="1192" t="n"/>
      <c r="AE51" s="1192" t="n"/>
      <c r="AF51" s="1354">
        <f>ROUND(Z51/10000,0)</f>
        <v/>
      </c>
      <c r="AG51" s="1354">
        <f>ROUND(AA51/10000,0)</f>
        <v/>
      </c>
      <c r="AH51" s="1354">
        <f>ROUND(AB51/10000,0)</f>
        <v/>
      </c>
      <c r="AI51" s="716" t="n"/>
      <c r="AJ51" s="716" t="n"/>
      <c r="AK51" s="716" t="n"/>
      <c r="AL51" s="716" t="n"/>
      <c r="AM51" s="716" t="n"/>
      <c r="AN51" s="716" t="n"/>
      <c r="AO51" s="716" t="n"/>
      <c r="AP51" s="716" t="n"/>
      <c r="AQ51" s="716" t="n"/>
      <c r="AR51" s="716" t="n"/>
      <c r="AS51" s="716" t="n"/>
    </row>
    <row r="52" ht="16.15" customFormat="1" customHeight="1" s="716">
      <c r="A52" s="716" t="n"/>
      <c r="B52" s="716" t="n"/>
      <c r="C52" s="716" t="n"/>
      <c r="D52" s="716" t="n"/>
      <c r="E52" s="716" t="n"/>
      <c r="F52" s="716" t="n"/>
      <c r="G52" s="716" t="n"/>
      <c r="H52" s="716" t="n"/>
      <c r="I52" s="716" t="n"/>
      <c r="J52" s="716" t="n"/>
      <c r="K52" s="716" t="n"/>
      <c r="L52" s="716" t="n"/>
      <c r="M52" s="716" t="n"/>
      <c r="N52" s="716" t="n"/>
      <c r="O52" s="716" t="n"/>
      <c r="P52" s="716" t="n"/>
      <c r="Q52" s="716" t="n"/>
      <c r="R52" s="716" t="n"/>
      <c r="S52" s="462">
        <f>IF(_epmOfflineCondition_,"　　    财务费用",EPMMemberDesc(U52))</f>
        <v/>
      </c>
      <c r="T52" s="716" t="n"/>
      <c r="U52" s="716" t="inlineStr">
        <is>
          <t>A0020208</t>
        </is>
      </c>
      <c r="V52" s="701">
        <f>IF(_epmOfflineCondition_,"A0020208",EPMOlapMemberO(U52,"[C_ACCOUNT].[PARENTH1].[A0020208]","A0020208 - 　　    财务费用","","000"))</f>
        <v/>
      </c>
      <c r="W52" s="462" t="n"/>
      <c r="X52" s="585" t="inlineStr">
        <is>
          <t>7. 财务费用</t>
        </is>
      </c>
      <c r="Y52" s="1185">
        <f>ROW()-45</f>
        <v/>
      </c>
      <c r="Z52" s="1298">
        <f>IF(_epmOfflineCondition_,2263016.19,EPMRetrieveData(,$V52,Z$41,Z$42,Z$43,Z$45,$D$22,$D$21,$E$24,$D$25,$D$26,$D$27,$D$28,$D$29))</f>
        <v/>
      </c>
      <c r="AA52" s="1298">
        <f>IF(_epmOfflineCondition_,6988516.48,EPMRetrieveData(,$V52,AA$41,AA$42,AA$43,AA$45,$D$22,$D$21,$E$24,$D$25,$D$26,$D$27,$D$28,$D$29))</f>
        <v/>
      </c>
      <c r="AB52" s="1298">
        <f>IF(_epmOfflineCondition_,0,EPMRetrieveData(,$V52,AB$41,AB$42,AB$43,AB$45,$D$22,$D$21,$E$24,$D$25,$D$26,$D$27,$D$28,$D$29))</f>
        <v/>
      </c>
      <c r="AC52" s="1192" t="n"/>
      <c r="AD52" s="1192" t="n"/>
      <c r="AE52" s="1192" t="n"/>
      <c r="AF52" s="1354">
        <f>ROUND(Z52/10000,0)</f>
        <v/>
      </c>
      <c r="AG52" s="1354">
        <f>ROUND(AA52/10000,0)</f>
        <v/>
      </c>
      <c r="AH52" s="1354">
        <f>ROUND(AB52/10000,0)</f>
        <v/>
      </c>
      <c r="AI52" s="716" t="n"/>
      <c r="AJ52" s="716" t="n"/>
      <c r="AK52" s="716" t="n"/>
      <c r="AL52" s="716" t="n"/>
      <c r="AM52" s="716" t="n"/>
      <c r="AN52" s="716" t="n"/>
      <c r="AO52" s="716" t="n"/>
      <c r="AP52" s="716" t="n"/>
      <c r="AQ52" s="716" t="n"/>
      <c r="AR52" s="716" t="n"/>
      <c r="AS52" s="716" t="n"/>
    </row>
    <row r="53" ht="16.15" customFormat="1" customHeight="1" s="716">
      <c r="A53" s="716" t="n"/>
      <c r="B53" s="716" t="n"/>
      <c r="C53" s="716" t="n"/>
      <c r="D53" s="716" t="n"/>
      <c r="E53" s="716" t="n"/>
      <c r="F53" s="716" t="n"/>
      <c r="G53" s="716" t="n"/>
      <c r="H53" s="716" t="n"/>
      <c r="I53" s="716" t="n"/>
      <c r="J53" s="716" t="n"/>
      <c r="K53" s="716" t="n"/>
      <c r="L53" s="716" t="n"/>
      <c r="M53" s="716" t="n"/>
      <c r="N53" s="716" t="n"/>
      <c r="O53" s="716" t="n"/>
      <c r="P53" s="716" t="n"/>
      <c r="Q53" s="716" t="n"/>
      <c r="R53" s="716" t="n"/>
      <c r="S53" s="462">
        <f>IF(_epmOfflineCondition_,"财务费用-利息费用",EPMMemberDesc(U53))</f>
        <v/>
      </c>
      <c r="T53" s="716" t="n"/>
      <c r="U53" s="716" t="inlineStr">
        <is>
          <t>A660302</t>
        </is>
      </c>
      <c r="V53" s="703">
        <f>IF(_epmOfflineCondition_,"A660302",EPMOlapMemberO(U53,"[C_ACCOUNT].[PARENTH1].[A660302]","A660302 - 财务费用-利息费用","","000"))</f>
        <v/>
      </c>
      <c r="W53" s="462" t="n"/>
      <c r="X53" s="588" t="inlineStr">
        <is>
          <t xml:space="preserve">    其中：利息费用</t>
        </is>
      </c>
      <c r="Y53" s="1185">
        <f>ROW()-45</f>
        <v/>
      </c>
      <c r="Z53" s="1298">
        <f>IF(_epmOfflineCondition_,2290986.12,EPMRetrieveData(,$V53,Z$41,Z$42,Z$43,Z$45,$D$22,$D$21,$E$24,$D$25,$D$26,$D$27,$D$28,$D$29))</f>
        <v/>
      </c>
      <c r="AA53" s="1298">
        <f>IF(_epmOfflineCondition_,7012916.67,EPMRetrieveData(,$V53,AA$41,AA$42,AA$43,AA$45,$D$22,$D$21,$E$24,$D$25,$D$26,$D$27,$D$28,$D$29))</f>
        <v/>
      </c>
      <c r="AB53" s="1298">
        <f>IF(_epmOfflineCondition_,0,EPMRetrieveData(,$V53,AB$41,AB$42,AB$43,AB$45,$D$22,$D$21,$E$24,$D$25,$D$26,$D$27,$D$28,$D$29))</f>
        <v/>
      </c>
      <c r="AC53" s="1192" t="n"/>
      <c r="AD53" s="1192" t="n"/>
      <c r="AE53" s="1192" t="n"/>
      <c r="AF53" s="1354">
        <f>ROUND(Z53/10000,0)</f>
        <v/>
      </c>
      <c r="AG53" s="1354">
        <f>ROUND(AA53/10000,0)</f>
        <v/>
      </c>
      <c r="AH53" s="1354">
        <f>ROUND(AB53/10000,0)</f>
        <v/>
      </c>
      <c r="AI53" s="716" t="n"/>
      <c r="AJ53" s="716" t="n"/>
      <c r="AK53" s="716" t="n"/>
      <c r="AL53" s="716" t="n"/>
      <c r="AM53" s="716" t="n"/>
      <c r="AN53" s="716" t="n"/>
      <c r="AO53" s="716" t="n"/>
      <c r="AP53" s="716" t="n"/>
      <c r="AQ53" s="716" t="n"/>
      <c r="AR53" s="716" t="n"/>
      <c r="AS53" s="716" t="n"/>
    </row>
    <row r="54" ht="16.15" customFormat="1" customHeight="1" s="716">
      <c r="A54" s="716" t="n"/>
      <c r="B54" s="716" t="n"/>
      <c r="C54" s="716" t="n"/>
      <c r="D54" s="716" t="n"/>
      <c r="E54" s="716" t="n"/>
      <c r="F54" s="716" t="n"/>
      <c r="G54" s="716" t="n"/>
      <c r="H54" s="716" t="n"/>
      <c r="I54" s="716" t="n"/>
      <c r="J54" s="716" t="n"/>
      <c r="K54" s="716" t="n"/>
      <c r="L54" s="716" t="n"/>
      <c r="M54" s="716" t="n"/>
      <c r="N54" s="716" t="n"/>
      <c r="O54" s="716" t="n"/>
      <c r="P54" s="716" t="n"/>
      <c r="Q54" s="716" t="n"/>
      <c r="R54" s="716" t="n"/>
      <c r="S54" s="462">
        <f>IF(_epmOfflineCondition_,"财务费用-汇兑损益",EPMMemberDesc(U54))</f>
        <v/>
      </c>
      <c r="T54" s="716" t="n"/>
      <c r="U54" s="716" t="inlineStr">
        <is>
          <t>A6603030000</t>
        </is>
      </c>
      <c r="V54" s="629">
        <f>IF(_epmOfflineCondition_,"A6603030000",EPMOlapMemberO(U54,"[C_ACCOUNT].[PARENTH1].[A6603030000]","A6603030000 - 财务费用-汇兑损益","","000"))</f>
        <v/>
      </c>
      <c r="W54" s="462" t="n"/>
      <c r="X54" s="457" t="inlineStr">
        <is>
          <t xml:space="preserve">            汇兑净损失（净收益以“-”号填列）</t>
        </is>
      </c>
      <c r="Y54" s="1185">
        <f>ROW()-45</f>
        <v/>
      </c>
      <c r="Z54" s="1298">
        <f>IF(_epmOfflineCondition_,0,EPMRetrieveData(,$V54,Z$41,Z$42,Z$43,Z$45,$D$22,$D$21,$E$24,$D$25,$D$26,$D$27,$D$28,$D$29))</f>
        <v/>
      </c>
      <c r="AA54" s="1298">
        <f>IF(_epmOfflineCondition_,0,EPMRetrieveData(,$V54,AA$41,AA$42,AA$43,AA$45,$D$22,$D$21,$E$24,$D$25,$D$26,$D$27,$D$28,$D$29))</f>
        <v/>
      </c>
      <c r="AB54" s="1298">
        <f>IF(_epmOfflineCondition_,0,EPMRetrieveData(,$V54,AB$41,AB$42,AB$43,AB$45,$D$22,$D$21,$E$24,$D$25,$D$26,$D$27,$D$28,$D$29))</f>
        <v/>
      </c>
      <c r="AC54" s="1192" t="n"/>
      <c r="AD54" s="1192" t="n"/>
      <c r="AE54" s="1192" t="n"/>
      <c r="AF54" s="1354">
        <f>ROUND(Z54/10000,0)</f>
        <v/>
      </c>
      <c r="AG54" s="1354">
        <f>ROUND(AA54/10000,0)</f>
        <v/>
      </c>
      <c r="AH54" s="1354">
        <f>ROUND(AB54/10000,0)</f>
        <v/>
      </c>
      <c r="AI54" s="716" t="n"/>
      <c r="AJ54" s="716" t="n"/>
      <c r="AK54" s="716" t="n"/>
      <c r="AL54" s="716" t="n"/>
      <c r="AM54" s="716" t="n"/>
      <c r="AN54" s="716" t="n"/>
      <c r="AO54" s="716" t="n"/>
      <c r="AP54" s="716" t="n"/>
      <c r="AQ54" s="716" t="n"/>
      <c r="AR54" s="716" t="n"/>
      <c r="AS54" s="716" t="n"/>
    </row>
    <row r="55" ht="16.15" customFormat="1" customHeight="1" s="716">
      <c r="A55" s="716" t="n"/>
      <c r="B55" s="716" t="n"/>
      <c r="C55" s="716" t="n"/>
      <c r="D55" s="716" t="n"/>
      <c r="E55" s="716" t="n"/>
      <c r="F55" s="716" t="n"/>
      <c r="G55" s="716" t="n"/>
      <c r="H55" s="716" t="n"/>
      <c r="I55" s="716" t="n"/>
      <c r="J55" s="716" t="n"/>
      <c r="K55" s="716" t="n"/>
      <c r="L55" s="716" t="n"/>
      <c r="M55" s="716" t="n"/>
      <c r="N55" s="716" t="n"/>
      <c r="O55" s="716" t="n"/>
      <c r="P55" s="716" t="n"/>
      <c r="Q55" s="716" t="n"/>
      <c r="R55" s="716" t="n"/>
      <c r="S55" s="462">
        <f>IF(_epmOfflineCondition_,"        资产减值损失（损失以“-”号填列）",EPMMemberDesc(U55))</f>
        <v/>
      </c>
      <c r="T55" s="716" t="n"/>
      <c r="U55" s="716" t="inlineStr">
        <is>
          <t>A0020209</t>
        </is>
      </c>
      <c r="V55" s="699">
        <f>IF(_epmOfflineCondition_,"A0020209",EPMOlapMemberO(U55,"[C_ACCOUNT].[PARENTH1].[A0020209]","A0020209 -         资产减值损失（损失以“-""号填列）","","000"))</f>
        <v/>
      </c>
      <c r="W55" s="462" t="n"/>
      <c r="X55" s="585" t="inlineStr">
        <is>
          <t>8. 资产减值损失（损失以“-”号填列）</t>
        </is>
      </c>
      <c r="Y55" s="1185">
        <f>ROW()-45</f>
        <v/>
      </c>
      <c r="Z55" s="1298">
        <f>IF(_epmOfflineCondition_,0,EPMRetrieveData(,$V55,Z$41,Z$42,Z$43,Z$45,$D$22,$D$21,$E$24,$D$25,$D$26,$D$27,$D$28,$D$29))</f>
        <v/>
      </c>
      <c r="AA55" s="1298">
        <f>IF(_epmOfflineCondition_,0,EPMRetrieveData(,$V55,AA$41,AA$42,AA$43,AA$45,$D$22,$D$21,$E$24,$D$25,$D$26,$D$27,$D$28,$D$29))</f>
        <v/>
      </c>
      <c r="AB55" s="1298">
        <f>IF(_epmOfflineCondition_,0,EPMRetrieveData(,$V55,AB$41,AB$42,AB$43,AB$45,$D$22,$D$21,$E$24,$D$25,$D$26,$D$27,$D$28,$D$29))</f>
        <v/>
      </c>
      <c r="AC55" s="1192" t="n"/>
      <c r="AD55" s="1192" t="n"/>
      <c r="AE55" s="1192" t="n"/>
      <c r="AF55" s="1354">
        <f>ROUND(Z55/10000,0)</f>
        <v/>
      </c>
      <c r="AG55" s="1354">
        <f>ROUND(AA55/10000,0)</f>
        <v/>
      </c>
      <c r="AH55" s="1354">
        <f>ROUND(AB55/10000,0)</f>
        <v/>
      </c>
      <c r="AI55" s="716" t="n"/>
      <c r="AJ55" s="716" t="n"/>
      <c r="AK55" s="716" t="n"/>
      <c r="AL55" s="716" t="n"/>
      <c r="AM55" s="716" t="n"/>
      <c r="AN55" s="716" t="n"/>
      <c r="AO55" s="716" t="n"/>
      <c r="AP55" s="716" t="n"/>
      <c r="AQ55" s="716" t="n"/>
      <c r="AR55" s="716" t="n"/>
      <c r="AS55" s="716" t="n"/>
    </row>
    <row r="56" ht="16.15" customFormat="1" customHeight="1" s="716">
      <c r="A56" s="716" t="n"/>
      <c r="B56" s="716" t="n"/>
      <c r="C56" s="716" t="n"/>
      <c r="D56" s="716" t="n"/>
      <c r="E56" s="716" t="n"/>
      <c r="F56" s="716" t="n"/>
      <c r="G56" s="716" t="n"/>
      <c r="H56" s="716" t="n"/>
      <c r="I56" s="716" t="n"/>
      <c r="J56" s="716" t="n"/>
      <c r="K56" s="716" t="n"/>
      <c r="L56" s="716" t="n"/>
      <c r="M56" s="716" t="n"/>
      <c r="N56" s="716" t="n"/>
      <c r="O56" s="716" t="n"/>
      <c r="P56" s="716" t="n"/>
      <c r="Q56" s="716" t="n"/>
      <c r="R56" s="716" t="n"/>
      <c r="S56" s="462">
        <f>IF(_epmOfflineCondition_,"        信用减值损失（损失以“-”号填列）",EPMMemberDesc(U56))</f>
        <v/>
      </c>
      <c r="T56" s="716" t="n"/>
      <c r="U56" s="716" t="inlineStr">
        <is>
          <t>A0020210</t>
        </is>
      </c>
      <c r="V56" s="699">
        <f>IF(_epmOfflineCondition_,"A0020210",EPMOlapMemberO(U56,"[C_ACCOUNT].[PARENTH1].[A0020210]","A0020210 -         信用减值损失（损失以“-""号填列）","","000"))</f>
        <v/>
      </c>
      <c r="W56" s="462" t="n"/>
      <c r="X56" s="585" t="inlineStr">
        <is>
          <t>9. 信用减值损失（损失以“-”号填列）</t>
        </is>
      </c>
      <c r="Y56" s="1185">
        <f>ROW()-45</f>
        <v/>
      </c>
      <c r="Z56" s="1298">
        <f>IF(_epmOfflineCondition_,0,EPMRetrieveData(,$V56,Z$41,Z$42,Z$43,Z$45,$D$22,$D$21,$E$24,$D$25,$D$26,$D$27,$D$28,$D$29))</f>
        <v/>
      </c>
      <c r="AA56" s="1298">
        <f>IF(_epmOfflineCondition_,0,EPMRetrieveData(,$V56,AA$41,AA$42,AA$43,AA$45,$D$22,$D$21,$E$24,$D$25,$D$26,$D$27,$D$28,$D$29))</f>
        <v/>
      </c>
      <c r="AB56" s="1298">
        <f>IF(_epmOfflineCondition_,0,EPMRetrieveData(,$V56,AB$41,AB$42,AB$43,AB$45,$D$22,$D$21,$E$24,$D$25,$D$26,$D$27,$D$28,$D$29))</f>
        <v/>
      </c>
      <c r="AC56" s="1192" t="n"/>
      <c r="AD56" s="1192" t="n"/>
      <c r="AE56" s="1192" t="n"/>
      <c r="AF56" s="1354">
        <f>ROUND(Z56/10000,0)</f>
        <v/>
      </c>
      <c r="AG56" s="1354">
        <f>ROUND(AA56/10000,0)</f>
        <v/>
      </c>
      <c r="AH56" s="1354">
        <f>ROUND(AB56/10000,0)</f>
        <v/>
      </c>
      <c r="AI56" s="716" t="n"/>
      <c r="AJ56" s="716" t="n"/>
      <c r="AK56" s="716" t="n"/>
      <c r="AL56" s="716" t="n"/>
      <c r="AM56" s="716" t="n"/>
      <c r="AN56" s="716" t="n"/>
      <c r="AO56" s="716" t="n"/>
      <c r="AP56" s="716" t="n"/>
      <c r="AQ56" s="716" t="n"/>
      <c r="AR56" s="716" t="n"/>
      <c r="AS56" s="716" t="n"/>
    </row>
    <row r="57" ht="16.15" customFormat="1" customHeight="1" s="716">
      <c r="A57" s="716" t="n"/>
      <c r="B57" s="716" t="n"/>
      <c r="C57" s="716" t="n"/>
      <c r="D57" s="716" t="n"/>
      <c r="E57" s="716" t="n"/>
      <c r="F57" s="716" t="n"/>
      <c r="G57" s="716" t="n"/>
      <c r="H57" s="716" t="n"/>
      <c r="I57" s="716" t="n"/>
      <c r="J57" s="716" t="n"/>
      <c r="K57" s="716" t="n"/>
      <c r="L57" s="716" t="n"/>
      <c r="M57" s="716" t="n"/>
      <c r="N57" s="716" t="n"/>
      <c r="O57" s="716" t="n"/>
      <c r="P57" s="716" t="n"/>
      <c r="Q57" s="716" t="n"/>
      <c r="R57" s="716" t="n"/>
      <c r="S57" s="462">
        <f>IF(_epmOfflineCondition_,"    加：其他收益",EPMMemberDesc(U57))</f>
        <v/>
      </c>
      <c r="T57" s="716" t="n"/>
      <c r="U57" s="716" t="inlineStr">
        <is>
          <t>A0020211</t>
        </is>
      </c>
      <c r="V57" s="699">
        <f>IF(_epmOfflineCondition_,"A0020211",EPMOlapMemberO(U57,"[C_ACCOUNT].[PARENTH1].[A0020211]","A0020211 -     加：其他收益","","000"))</f>
        <v/>
      </c>
      <c r="W57" s="462" t="n"/>
      <c r="X57" s="585" t="inlineStr">
        <is>
          <t>10. 其他收益</t>
        </is>
      </c>
      <c r="Y57" s="1185">
        <f>ROW()-45</f>
        <v/>
      </c>
      <c r="Z57" s="1298">
        <f>IF(_epmOfflineCondition_,0,EPMRetrieveData(,$V57,Z$41,Z$42,Z$43,Z$45,$D$22,$D$21,$E$24,$D$25,$D$26,$D$27,$D$28,$D$29))</f>
        <v/>
      </c>
      <c r="AA57" s="1298">
        <f>IF(_epmOfflineCondition_,0,EPMRetrieveData(,$V57,AA$41,AA$42,AA$43,AA$45,$D$22,$D$21,$E$24,$D$25,$D$26,$D$27,$D$28,$D$29))</f>
        <v/>
      </c>
      <c r="AB57" s="1298">
        <f>IF(_epmOfflineCondition_,0,EPMRetrieveData(,$V57,AB$41,AB$42,AB$43,AB$45,$D$22,$D$21,$E$24,$D$25,$D$26,$D$27,$D$28,$D$29))</f>
        <v/>
      </c>
      <c r="AC57" s="1192" t="n"/>
      <c r="AD57" s="1192" t="n"/>
      <c r="AE57" s="1192" t="n"/>
      <c r="AF57" s="1354">
        <f>ROUND(Z57/10000,0)</f>
        <v/>
      </c>
      <c r="AG57" s="1354">
        <f>ROUND(AA57/10000,0)</f>
        <v/>
      </c>
      <c r="AH57" s="1354">
        <f>ROUND(AB57/10000,0)</f>
        <v/>
      </c>
      <c r="AI57" s="716" t="n"/>
      <c r="AJ57" s="716" t="n"/>
      <c r="AK57" s="716" t="n"/>
      <c r="AL57" s="716" t="n"/>
      <c r="AM57" s="716" t="n"/>
      <c r="AN57" s="716" t="n"/>
      <c r="AO57" s="716" t="n"/>
      <c r="AP57" s="716" t="n"/>
      <c r="AQ57" s="716" t="n"/>
      <c r="AR57" s="716" t="n"/>
      <c r="AS57" s="716" t="n"/>
    </row>
    <row r="58" ht="16.15" customFormat="1" customHeight="1" s="716">
      <c r="A58" s="716" t="n"/>
      <c r="B58" s="716" t="n"/>
      <c r="C58" s="716" t="n"/>
      <c r="D58" s="716" t="n"/>
      <c r="E58" s="716" t="n"/>
      <c r="F58" s="716" t="n"/>
      <c r="G58" s="716" t="n"/>
      <c r="H58" s="716" t="n"/>
      <c r="I58" s="716" t="n"/>
      <c r="J58" s="716" t="n"/>
      <c r="K58" s="716" t="n"/>
      <c r="L58" s="716" t="n"/>
      <c r="M58" s="716" t="n"/>
      <c r="N58" s="716" t="n"/>
      <c r="O58" s="716" t="n"/>
      <c r="P58" s="716" t="n"/>
      <c r="Q58" s="716" t="n"/>
      <c r="R58" s="716" t="n"/>
      <c r="S58" s="462">
        <f>IF(_epmOfflineCondition_,"　      投资收益（损失以“-”号填列）",EPMMemberDesc(U58))</f>
        <v/>
      </c>
      <c r="T58" s="716" t="n"/>
      <c r="U58" s="716" t="inlineStr">
        <is>
          <t>A0020212</t>
        </is>
      </c>
      <c r="V58" s="699">
        <f>IF(_epmOfflineCondition_,"A0020212",EPMOlapMemberO(U58,"[C_ACCOUNT].[PARENTH1].[A0020212]","A0020212 - 　      投资收益（损失以“-""号填列）","","000"))</f>
        <v/>
      </c>
      <c r="W58" s="462" t="n"/>
      <c r="X58" s="585" t="inlineStr">
        <is>
          <t>11. 投资收益（损失以“-”号填列）</t>
        </is>
      </c>
      <c r="Y58" s="1185">
        <f>ROW()-45</f>
        <v/>
      </c>
      <c r="Z58" s="1298">
        <f>IF(_epmOfflineCondition_,0,EPMRetrieveData(,$V58,Z$41,Z$42,Z$43,Z$45,$D$22,$D$21,$E$24,$D$25,$D$26,$D$27,$D$28,$D$29))</f>
        <v/>
      </c>
      <c r="AA58" s="1298">
        <f>IF(_epmOfflineCondition_,0,EPMRetrieveData(,$V58,AA$41,AA$42,AA$43,AA$45,$D$22,$D$21,$E$24,$D$25,$D$26,$D$27,$D$28,$D$29))</f>
        <v/>
      </c>
      <c r="AB58" s="1298">
        <f>IF(_epmOfflineCondition_,0,EPMRetrieveData(,$V58,AB$41,AB$42,AB$43,AB$45,$D$22,$D$21,$E$24,$D$25,$D$26,$D$27,$D$28,$D$29))</f>
        <v/>
      </c>
      <c r="AC58" s="1192" t="n"/>
      <c r="AD58" s="1192" t="n"/>
      <c r="AE58" s="1192" t="n"/>
      <c r="AF58" s="1354">
        <f>ROUND(Z58/10000,0)</f>
        <v/>
      </c>
      <c r="AG58" s="1354">
        <f>ROUND(AA58/10000,0)</f>
        <v/>
      </c>
      <c r="AH58" s="1354">
        <f>ROUND(AB58/10000,0)</f>
        <v/>
      </c>
      <c r="AI58" s="716" t="n"/>
      <c r="AJ58" s="716" t="n"/>
      <c r="AK58" s="716" t="n"/>
      <c r="AL58" s="716" t="n"/>
      <c r="AM58" s="716" t="n"/>
      <c r="AN58" s="716" t="n"/>
      <c r="AO58" s="716" t="n"/>
      <c r="AP58" s="716" t="n"/>
      <c r="AQ58" s="716" t="n"/>
      <c r="AR58" s="716" t="n"/>
      <c r="AS58" s="716" t="n"/>
    </row>
    <row r="59" ht="16.15" customFormat="1" customHeight="1" s="716">
      <c r="A59" s="716" t="n"/>
      <c r="B59" s="716" t="n"/>
      <c r="C59" s="716" t="n"/>
      <c r="D59" s="716" t="n"/>
      <c r="E59" s="716" t="n"/>
      <c r="F59" s="716" t="n"/>
      <c r="G59" s="716" t="n"/>
      <c r="H59" s="716" t="n"/>
      <c r="I59" s="716" t="n"/>
      <c r="J59" s="716" t="n"/>
      <c r="K59" s="716" t="n"/>
      <c r="L59" s="716" t="n"/>
      <c r="M59" s="716" t="n"/>
      <c r="N59" s="716" t="n"/>
      <c r="O59" s="716" t="n"/>
      <c r="P59" s="716" t="n"/>
      <c r="Q59" s="716" t="n"/>
      <c r="R59" s="716" t="n"/>
      <c r="S59" s="462">
        <f>IF(_epmOfflineCondition_,"          其中：对联营企业和合营企业的投资收益",EPMMemberDesc(U59))</f>
        <v/>
      </c>
      <c r="T59" s="716" t="n"/>
      <c r="U59" s="716" t="inlineStr">
        <is>
          <t>A002021201</t>
        </is>
      </c>
      <c r="V59" s="703">
        <f>IF(_epmOfflineCondition_,"A002021201",EPMOlapMemberO(U59,"[C_ACCOUNT].[PARENTH1].[A002021201]","A002021201 -           其中：对联营企业和合营企业的投资收益","","000"))</f>
        <v/>
      </c>
      <c r="W59" s="462" t="n"/>
      <c r="X59" s="614" t="inlineStr">
        <is>
          <t>其中：对联营企业和合营企业的投资收益</t>
        </is>
      </c>
      <c r="Y59" s="1185">
        <f>ROW()-45</f>
        <v/>
      </c>
      <c r="Z59" s="1298">
        <f>IF(_epmOfflineCondition_,0,EPMRetrieveData(,$V59,Z$41,Z$42,Z$43,Z$45,$D$22,$D$21,$E$24,$D$25,$D$26,$D$27,$D$28,$D$29))</f>
        <v/>
      </c>
      <c r="AA59" s="1298">
        <f>IF(_epmOfflineCondition_,0,EPMRetrieveData(,$V59,AA$41,AA$42,AA$43,AA$45,$D$22,$D$21,$E$24,$D$25,$D$26,$D$27,$D$28,$D$29))</f>
        <v/>
      </c>
      <c r="AB59" s="1298">
        <f>IF(_epmOfflineCondition_,0,EPMRetrieveData(,$V59,AB$41,AB$42,AB$43,AB$45,$D$22,$D$21,$E$24,$D$25,$D$26,$D$27,$D$28,$D$29))</f>
        <v/>
      </c>
      <c r="AC59" s="1192" t="n"/>
      <c r="AD59" s="1192" t="n"/>
      <c r="AE59" s="1192" t="n"/>
      <c r="AF59" s="1354">
        <f>ROUND(Z59/10000,0)</f>
        <v/>
      </c>
      <c r="AG59" s="1354">
        <f>ROUND(AA59/10000,0)</f>
        <v/>
      </c>
      <c r="AH59" s="1354">
        <f>ROUND(AB59/10000,0)</f>
        <v/>
      </c>
      <c r="AI59" s="716" t="n"/>
      <c r="AJ59" s="716" t="n"/>
      <c r="AK59" s="716" t="n"/>
      <c r="AL59" s="716" t="n"/>
      <c r="AM59" s="716" t="n"/>
      <c r="AN59" s="716" t="n"/>
      <c r="AO59" s="716" t="n"/>
      <c r="AP59" s="716" t="n"/>
      <c r="AQ59" s="716" t="n"/>
      <c r="AR59" s="716" t="n"/>
      <c r="AS59" s="716" t="n"/>
    </row>
    <row r="60" ht="16.15" customFormat="1" customHeight="1" s="716">
      <c r="A60" s="716" t="n"/>
      <c r="B60" s="716" t="n"/>
      <c r="C60" s="716" t="n"/>
      <c r="D60" s="716" t="n"/>
      <c r="E60" s="716" t="n"/>
      <c r="F60" s="716" t="n"/>
      <c r="G60" s="716" t="n"/>
      <c r="H60" s="716" t="n"/>
      <c r="I60" s="716" t="n"/>
      <c r="J60" s="716" t="n"/>
      <c r="K60" s="716" t="n"/>
      <c r="L60" s="716" t="n"/>
      <c r="M60" s="716" t="n"/>
      <c r="N60" s="716" t="n"/>
      <c r="O60" s="716" t="n"/>
      <c r="P60" s="716" t="n"/>
      <c r="Q60" s="716" t="n"/>
      <c r="R60" s="716" t="n"/>
      <c r="S60" s="462">
        <f>IF(_epmOfflineCondition_,"        公允价值变动收益（损失以“-”号填列）",EPMMemberDesc(U60))</f>
        <v/>
      </c>
      <c r="T60" s="716" t="n"/>
      <c r="U60" s="716" t="inlineStr">
        <is>
          <t>A0020215</t>
        </is>
      </c>
      <c r="V60" s="699">
        <f>IF(_epmOfflineCondition_,"A0020215",EPMOlapMemberO(U60,"[C_ACCOUNT].[PARENTH1].[A0020215]","A0020215 -         公允价值变动收益（损失以“-""号填列）","","000"))</f>
        <v/>
      </c>
      <c r="W60" s="462" t="n"/>
      <c r="X60" s="585" t="inlineStr">
        <is>
          <t>12. 公允价值变动收益（损失以“-”号填列）</t>
        </is>
      </c>
      <c r="Y60" s="1185">
        <f>ROW()-45</f>
        <v/>
      </c>
      <c r="Z60" s="1298">
        <f>IF(_epmOfflineCondition_,0,EPMRetrieveData(,$V60,Z$41,Z$42,Z$43,Z$45,$D$22,$D$21,$E$24,$D$25,$D$26,$D$27,$D$28,$D$29))</f>
        <v/>
      </c>
      <c r="AA60" s="1298">
        <f>IF(_epmOfflineCondition_,0,EPMRetrieveData(,$V60,AA$41,AA$42,AA$43,AA$45,$D$22,$D$21,$E$24,$D$25,$D$26,$D$27,$D$28,$D$29))</f>
        <v/>
      </c>
      <c r="AB60" s="1298">
        <f>IF(_epmOfflineCondition_,0,EPMRetrieveData(,$V60,AB$41,AB$42,AB$43,AB$45,$D$22,$D$21,$E$24,$D$25,$D$26,$D$27,$D$28,$D$29))</f>
        <v/>
      </c>
      <c r="AC60" s="1192" t="n"/>
      <c r="AD60" s="1192" t="n"/>
      <c r="AE60" s="1192" t="n"/>
      <c r="AF60" s="1354">
        <f>ROUND(Z60/10000,0)</f>
        <v/>
      </c>
      <c r="AG60" s="1354">
        <f>ROUND(AA60/10000,0)</f>
        <v/>
      </c>
      <c r="AH60" s="1354">
        <f>ROUND(AB60/10000,0)</f>
        <v/>
      </c>
      <c r="AI60" s="716" t="n"/>
      <c r="AJ60" s="716" t="n"/>
      <c r="AK60" s="716" t="n"/>
      <c r="AL60" s="716" t="n"/>
      <c r="AM60" s="716" t="n"/>
      <c r="AN60" s="716" t="n"/>
      <c r="AO60" s="716" t="n"/>
      <c r="AP60" s="716" t="n"/>
      <c r="AQ60" s="716" t="n"/>
      <c r="AR60" s="716" t="n"/>
      <c r="AS60" s="716" t="n"/>
    </row>
    <row r="61" ht="16.15" customFormat="1" customHeight="1" s="716">
      <c r="A61" s="716" t="n"/>
      <c r="B61" s="716" t="n"/>
      <c r="C61" s="716" t="n"/>
      <c r="D61" s="716" t="n"/>
      <c r="E61" s="716" t="n"/>
      <c r="F61" s="716" t="n"/>
      <c r="G61" s="716" t="n"/>
      <c r="H61" s="716" t="n"/>
      <c r="I61" s="716" t="n"/>
      <c r="J61" s="716" t="n"/>
      <c r="K61" s="716" t="n"/>
      <c r="L61" s="716" t="n"/>
      <c r="M61" s="716" t="n"/>
      <c r="N61" s="716" t="n"/>
      <c r="O61" s="716" t="n"/>
      <c r="P61" s="716" t="n"/>
      <c r="Q61" s="716" t="n"/>
      <c r="R61" s="716" t="n"/>
      <c r="S61" s="462">
        <f>IF(_epmOfflineCondition_,"        资产处置收益（损失以“-”号填列）",EPMMemberDesc(U61))</f>
        <v/>
      </c>
      <c r="T61" s="716" t="n"/>
      <c r="U61" s="716" t="inlineStr">
        <is>
          <t>A0020216</t>
        </is>
      </c>
      <c r="V61" s="699">
        <f>IF(_epmOfflineCondition_,"A0020216",EPMOlapMemberO(U61,"[C_ACCOUNT].[PARENTH1].[A0020216]","A0020216 -         资产处置收益（损失以“-""号填列）","","000"))</f>
        <v/>
      </c>
      <c r="W61" s="462" t="n"/>
      <c r="X61" s="585" t="inlineStr">
        <is>
          <t>13. 资产处置收益（损失以“-”号填列）</t>
        </is>
      </c>
      <c r="Y61" s="1185">
        <f>ROW()-45</f>
        <v/>
      </c>
      <c r="Z61" s="1298">
        <f>IF(_epmOfflineCondition_,0,EPMRetrieveData(,$V61,Z$41,Z$42,Z$43,Z$45,$D$22,$D$21,$E$24,$D$25,$D$26,$D$27,$D$28,$D$29))</f>
        <v/>
      </c>
      <c r="AA61" s="1298">
        <f>IF(_epmOfflineCondition_,0,EPMRetrieveData(,$V61,AA$41,AA$42,AA$43,AA$45,$D$22,$D$21,$E$24,$D$25,$D$26,$D$27,$D$28,$D$29))</f>
        <v/>
      </c>
      <c r="AB61" s="1298">
        <f>IF(_epmOfflineCondition_,0,EPMRetrieveData(,$V61,AB$41,AB$42,AB$43,AB$45,$D$22,$D$21,$E$24,$D$25,$D$26,$D$27,$D$28,$D$29))</f>
        <v/>
      </c>
      <c r="AC61" s="1192" t="n"/>
      <c r="AD61" s="1192" t="n"/>
      <c r="AE61" s="1192" t="n"/>
      <c r="AF61" s="1354">
        <f>ROUND(Z61/10000,0)</f>
        <v/>
      </c>
      <c r="AG61" s="1354">
        <f>ROUND(AA61/10000,0)</f>
        <v/>
      </c>
      <c r="AH61" s="1354">
        <f>ROUND(AB61/10000,0)</f>
        <v/>
      </c>
      <c r="AI61" s="716" t="n"/>
      <c r="AJ61" s="716" t="n"/>
      <c r="AK61" s="716" t="n"/>
      <c r="AL61" s="716" t="n"/>
      <c r="AM61" s="716" t="n"/>
      <c r="AN61" s="716" t="n"/>
      <c r="AO61" s="716" t="n"/>
      <c r="AP61" s="716" t="n"/>
      <c r="AQ61" s="716" t="n"/>
      <c r="AR61" s="716" t="n"/>
      <c r="AS61" s="716" t="n"/>
    </row>
    <row r="62" ht="16.15" customFormat="1" customHeight="1" s="716">
      <c r="A62" s="716" t="n"/>
      <c r="B62" s="716" t="n"/>
      <c r="C62" s="716" t="n"/>
      <c r="D62" s="716" t="n"/>
      <c r="E62" s="716" t="n"/>
      <c r="F62" s="716" t="n"/>
      <c r="G62" s="716" t="n"/>
      <c r="H62" s="716" t="n"/>
      <c r="I62" s="716" t="n"/>
      <c r="J62" s="716" t="n"/>
      <c r="K62" s="716" t="n"/>
      <c r="L62" s="716" t="n"/>
      <c r="M62" s="716" t="n"/>
      <c r="N62" s="716" t="n"/>
      <c r="O62" s="716" t="n"/>
      <c r="P62" s="716" t="n"/>
      <c r="Q62" s="716" t="n"/>
      <c r="R62" s="462" t="n"/>
      <c r="S62" s="462">
        <f>IF(_epmOfflineCondition_,"三、营业利润（亏损以“-”号填列）",EPMMemberDesc(U62))</f>
        <v/>
      </c>
      <c r="T62" s="716" t="n"/>
      <c r="U62" s="716" t="inlineStr">
        <is>
          <t>A00203</t>
        </is>
      </c>
      <c r="V62" s="1018">
        <f>IF(_epmOfflineCondition_,"A00203",EPMOlapMemberO(U62,"[C_ACCOUNT].[PARENTH1].[A00203]","A00203 - 三、营业利润（亏损以“-""号填列）","","000"))</f>
        <v/>
      </c>
      <c r="W62" s="462" t="n"/>
      <c r="X62" s="585" t="inlineStr">
        <is>
          <t>14. 营业利润（亏损以“－”号填列）</t>
        </is>
      </c>
      <c r="Y62" s="1185">
        <f>ROW()-45</f>
        <v/>
      </c>
      <c r="Z62" s="1298">
        <f>IF(_epmOfflineCondition_,19839493.44,EPMRetrieveData(,$V62,Z$41,Z$42,Z$43,Z$45,$D$22,$D$21,$E$24,$D$25,$D$26,$D$27,$D$28,$D$29))</f>
        <v/>
      </c>
      <c r="AA62" s="1298">
        <f>IF(_epmOfflineCondition_,57971792.97,EPMRetrieveData(,$V62,AA$41,AA$42,AA$43,AA$45,$D$22,$D$21,$E$24,$D$25,$D$26,$D$27,$D$28,$D$29))</f>
        <v/>
      </c>
      <c r="AB62" s="1298">
        <f>IF(_epmOfflineCondition_,23173512.88,EPMRetrieveData(,$V62,AB$41,AB$42,AB$43,AB$45,$D$22,$D$21,$E$24,$D$25,$D$26,$D$27,$D$28,$D$29))</f>
        <v/>
      </c>
      <c r="AC62" s="1192" t="n"/>
      <c r="AD62" s="1192" t="n"/>
      <c r="AE62" s="1192" t="n"/>
      <c r="AF62" s="1354">
        <f>ROUND(Z62/10000,0)</f>
        <v/>
      </c>
      <c r="AG62" s="1354">
        <f>ROUND(AA62/10000,0)</f>
        <v/>
      </c>
      <c r="AH62" s="1354">
        <f>ROUND(AB62/10000,0)</f>
        <v/>
      </c>
      <c r="AI62" s="716" t="n"/>
      <c r="AJ62" s="716" t="n"/>
      <c r="AK62" s="716" t="n"/>
      <c r="AL62" s="716" t="n"/>
      <c r="AM62" s="716" t="n"/>
      <c r="AN62" s="716" t="n"/>
      <c r="AO62" s="716" t="n"/>
      <c r="AP62" s="716" t="n"/>
      <c r="AQ62" s="716" t="n"/>
      <c r="AR62" s="716" t="n"/>
      <c r="AS62" s="716" t="n"/>
    </row>
    <row r="63" ht="16.15" customFormat="1" customHeight="1" s="716">
      <c r="A63" s="716" t="n"/>
      <c r="B63" s="716" t="n"/>
      <c r="C63" s="716" t="n"/>
      <c r="D63" s="716" t="n"/>
      <c r="E63" s="716" t="n"/>
      <c r="F63" s="716" t="n"/>
      <c r="G63" s="716" t="n"/>
      <c r="H63" s="716" t="n"/>
      <c r="I63" s="716" t="n"/>
      <c r="J63" s="716" t="n"/>
      <c r="K63" s="716" t="n"/>
      <c r="L63" s="716" t="n"/>
      <c r="M63" s="716" t="n"/>
      <c r="N63" s="716" t="n"/>
      <c r="O63" s="716" t="n"/>
      <c r="P63" s="716" t="n"/>
      <c r="Q63" s="716" t="n"/>
      <c r="R63" s="716" t="inlineStr">
        <is>
          <t>A0020301</t>
        </is>
      </c>
      <c r="S63" s="462">
        <f>IF(_epmOfflineCondition_,"15.营业外收支净额",EPMMemberDesc(U63))</f>
        <v/>
      </c>
      <c r="T63" s="716" t="n"/>
      <c r="U63" s="35" t="inlineStr">
        <is>
          <t>A07812</t>
        </is>
      </c>
      <c r="V63" s="535">
        <f>IF(_epmOfflineCondition_,"A07812",EPMOlapMemberO(U63,"[C_ACCOUNT].[PARENTH1].[A07812]","A07812 - 15.营业外收支净额","","000"))</f>
        <v/>
      </c>
      <c r="W63" s="462" t="n"/>
      <c r="X63" s="585" t="inlineStr">
        <is>
          <t>15. 营业外收支净额</t>
        </is>
      </c>
      <c r="Y63" s="1185">
        <f>ROW()-45</f>
        <v/>
      </c>
      <c r="Z63" s="1298">
        <f>IF(_epmOfflineCondition_,0,EPMRetrieveData("",$D$21,$D$22,$D$25,$D$26,$D$27,$D$28,$D$29,$Z$41,$Z$42,$Z$43,"FMOV_OP",$Z$45,R63)-EPMRetrieveData("",$D$21,$D$22,$D$25,$D$26,$D$27,$D$28,$D$29,$Z$41,$Z$42,$Z$43,"FMOV_OP",$Z$45,R64))</f>
        <v/>
      </c>
      <c r="AA63" s="1298">
        <f>IF(_epmOfflineCondition_,0,EPMRetrieveData("",$D$21,$D$22,$D$25,$D$26,$D$27,$D$28,$D$29,$AA$41,$AA$42,$AA$43,"FMOV_OP",$AA$45,R63)-EPMRetrieveData("",$D$21,$D$22,$D$25,$D$26,$D$27,$D$28,$D$29,"FMOV_OP",$AA$42,$AA$43,$AA$44,$AA$45,R64))</f>
        <v/>
      </c>
      <c r="AB63" s="1298">
        <f>IF(_epmOfflineCondition_,0,EPMRetrieveData("",$D$21,$D$22,$D$25,$D$26,$D$27,$D$28,$D$29,$AB$41,$AB$42,$AB$43,"FMOV_OP",$AB$45,R63)-EPMRetrieveData("",$D$21,$D$22,$D$25,$D$26,$D$27,$D$28,$D$29,$AB$41,$AB$42,$AB$43,"FMOV_OP",$AB$45,R64))</f>
        <v/>
      </c>
      <c r="AC63" s="1192" t="n"/>
      <c r="AD63" s="1192" t="n"/>
      <c r="AE63" s="1192" t="n"/>
      <c r="AF63" s="1354">
        <f>ROUND(Z63/10000,0)</f>
        <v/>
      </c>
      <c r="AG63" s="1354">
        <f>ROUND(AA63/10000,0)</f>
        <v/>
      </c>
      <c r="AH63" s="1354">
        <f>ROUND(AB63/10000,0)</f>
        <v/>
      </c>
      <c r="AI63" s="716" t="n"/>
      <c r="AJ63" s="716" t="n"/>
      <c r="AK63" s="716" t="n"/>
      <c r="AL63" s="716" t="n"/>
      <c r="AM63" s="716" t="n"/>
      <c r="AN63" s="716" t="n"/>
      <c r="AO63" s="716" t="n"/>
      <c r="AP63" s="716" t="n"/>
      <c r="AQ63" s="716" t="n"/>
      <c r="AR63" s="716" t="n"/>
      <c r="AS63" s="716" t="n"/>
    </row>
    <row r="64" ht="16.15" customFormat="1" customHeight="1" s="716">
      <c r="A64" s="716" t="n"/>
      <c r="B64" s="716" t="n"/>
      <c r="C64" s="716" t="n"/>
      <c r="D64" s="716" t="n"/>
      <c r="E64" s="716" t="n"/>
      <c r="F64" s="716" t="n"/>
      <c r="G64" s="716" t="n"/>
      <c r="H64" s="716" t="n"/>
      <c r="I64" s="716" t="n"/>
      <c r="J64" s="716" t="n"/>
      <c r="K64" s="716" t="n"/>
      <c r="L64" s="716" t="n"/>
      <c r="M64" s="716" t="n"/>
      <c r="N64" s="716" t="n"/>
      <c r="O64" s="716" t="n"/>
      <c r="P64" s="716" t="n"/>
      <c r="Q64" s="716" t="n"/>
      <c r="R64" s="716" t="inlineStr">
        <is>
          <t>A0020302</t>
        </is>
      </c>
      <c r="S64" s="462">
        <f>IF(_epmOfflineCondition_,"营业外收入-政府补助",EPMMemberDesc(U64))</f>
        <v/>
      </c>
      <c r="T64" s="716" t="n"/>
      <c r="U64" s="716" t="inlineStr">
        <is>
          <t>A6301040000</t>
        </is>
      </c>
      <c r="V64" s="699">
        <f>IF(_epmOfflineCondition_,"A6301040000",EPMOlapMemberO(U64,"[C_ACCOUNT].[PARENTH1].[A6301040000]","A6301040000 - 营业外收入-政府补助","","000"))</f>
        <v/>
      </c>
      <c r="W64" s="462" t="n"/>
      <c r="X64" s="457" t="inlineStr">
        <is>
          <t xml:space="preserve">   其中：政府补助</t>
        </is>
      </c>
      <c r="Y64" s="1185">
        <f>ROW()-45</f>
        <v/>
      </c>
      <c r="Z64" s="1298">
        <f>IF(_epmOfflineCondition_,0,EPMRetrieveData(,$V64,Z$41,Z$42,Z$43,Z$45,$D$22,$D$21,$E$24,$D$25,$D$26,$D$27,$D$28,$D$29))</f>
        <v/>
      </c>
      <c r="AA64" s="1298">
        <f>IF(_epmOfflineCondition_,0,EPMRetrieveData(,$V64,AA$41,AA$42,AA$43,AA$45,$D$22,$D$21,$E$24,$D$25,$D$26,$D$27,$D$28,$D$29))</f>
        <v/>
      </c>
      <c r="AB64" s="1298">
        <f>IF(_epmOfflineCondition_,0,EPMRetrieveData(,$V64,AB$41,AB$42,AB$43,AB$45,$D$22,$D$21,$E$24,$D$25,$D$26,$D$27,$D$28,$D$29))</f>
        <v/>
      </c>
      <c r="AC64" s="1192" t="n"/>
      <c r="AD64" s="1192" t="n"/>
      <c r="AE64" s="1192" t="n"/>
      <c r="AF64" s="1354">
        <f>ROUND(Z64/10000,0)</f>
        <v/>
      </c>
      <c r="AG64" s="1354">
        <f>ROUND(AA64/10000,0)</f>
        <v/>
      </c>
      <c r="AH64" s="1354">
        <f>ROUND(AB64/10000,0)</f>
        <v/>
      </c>
      <c r="AI64" s="716" t="n"/>
      <c r="AJ64" s="716" t="n"/>
      <c r="AK64" s="716" t="n"/>
      <c r="AL64" s="716" t="n"/>
      <c r="AM64" s="716" t="n"/>
      <c r="AN64" s="716" t="n"/>
      <c r="AO64" s="716" t="n"/>
      <c r="AP64" s="716" t="n"/>
      <c r="AQ64" s="716" t="n"/>
      <c r="AR64" s="716" t="n"/>
      <c r="AS64" s="716" t="n"/>
    </row>
    <row r="65" ht="16.15" customFormat="1" customHeight="1" s="716">
      <c r="A65" s="716" t="n"/>
      <c r="B65" s="716" t="n"/>
      <c r="C65" s="716" t="n"/>
      <c r="D65" s="716" t="n"/>
      <c r="E65" s="716" t="n"/>
      <c r="F65" s="716" t="n"/>
      <c r="G65" s="716" t="n"/>
      <c r="H65" s="716" t="n"/>
      <c r="I65" s="716" t="n"/>
      <c r="J65" s="716" t="n"/>
      <c r="K65" s="716" t="n"/>
      <c r="L65" s="716" t="n"/>
      <c r="M65" s="716" t="n"/>
      <c r="N65" s="716" t="n"/>
      <c r="O65" s="716" t="n"/>
      <c r="P65" s="716" t="n"/>
      <c r="Q65" s="716" t="n"/>
      <c r="R65" s="716" t="n"/>
      <c r="S65" s="462">
        <f>IF(_epmOfflineCondition_,"四、利润总额（亏损总额以“-”号填列）",EPMMemberDesc(U65))</f>
        <v/>
      </c>
      <c r="T65" s="716" t="n"/>
      <c r="U65" s="716" t="inlineStr">
        <is>
          <t>A00204</t>
        </is>
      </c>
      <c r="V65" s="637">
        <f>IF(_epmOfflineCondition_,"A00204",EPMOlapMemberO(U65,"[C_ACCOUNT].[PARENTH1].[A00204]","A00204 - 四、利润总额（亏损总额以“-""号填列）","","000"))</f>
        <v/>
      </c>
      <c r="W65" s="462" t="n"/>
      <c r="X65" s="585" t="inlineStr">
        <is>
          <t>16. 利润总额（亏损以“－”号填列）</t>
        </is>
      </c>
      <c r="Y65" s="1185">
        <f>ROW()-45</f>
        <v/>
      </c>
      <c r="Z65" s="1298">
        <f>IF(_epmOfflineCondition_,19839493.44,EPMRetrieveData(,$V65,Z$41,Z$42,Z$43,Z$45,$D$22,$D$21,$E$24,$D$25,$D$26,$D$27,$D$28,$D$29))</f>
        <v/>
      </c>
      <c r="AA65" s="1298">
        <f>IF(_epmOfflineCondition_,57971792.97,EPMRetrieveData(,$V65,AA$41,AA$42,AA$43,AA$45,$D$22,$D$21,$E$24,$D$25,$D$26,$D$27,$D$28,$D$29))</f>
        <v/>
      </c>
      <c r="AB65" s="1298">
        <f>IF(_epmOfflineCondition_,23173512.88,EPMRetrieveData(,$V65,AB$41,AB$42,AB$43,AB$45,$D$22,$D$21,$E$24,$D$25,$D$26,$D$27,$D$28,$D$29))</f>
        <v/>
      </c>
      <c r="AC65" s="1192" t="n"/>
      <c r="AD65" s="1192" t="n"/>
      <c r="AE65" s="1192" t="n"/>
      <c r="AF65" s="1354">
        <f>ROUND(Z65/10000,0)</f>
        <v/>
      </c>
      <c r="AG65" s="1354">
        <f>ROUND(AA65/10000,0)</f>
        <v/>
      </c>
      <c r="AH65" s="1354">
        <f>ROUND(AB65/10000,0)</f>
        <v/>
      </c>
      <c r="AI65" s="716" t="n"/>
      <c r="AJ65" s="1192" t="n"/>
      <c r="AK65" s="716" t="n"/>
      <c r="AL65" s="716" t="n"/>
      <c r="AM65" s="716" t="n"/>
      <c r="AN65" s="716" t="n"/>
      <c r="AO65" s="716" t="n"/>
      <c r="AP65" s="716" t="n"/>
      <c r="AQ65" s="716" t="n"/>
      <c r="AR65" s="716" t="n"/>
      <c r="AS65" s="716" t="n"/>
    </row>
    <row r="66" ht="16.15" customFormat="1" customHeight="1" s="716">
      <c r="A66" s="716" t="n"/>
      <c r="B66" s="716" t="n"/>
      <c r="C66" s="716" t="n"/>
      <c r="D66" s="716" t="n"/>
      <c r="E66" s="716" t="n"/>
      <c r="F66" s="716" t="n"/>
      <c r="G66" s="716" t="n"/>
      <c r="H66" s="716" t="n"/>
      <c r="I66" s="716" t="n"/>
      <c r="J66" s="716" t="n"/>
      <c r="K66" s="716" t="n"/>
      <c r="L66" s="716" t="n"/>
      <c r="M66" s="716" t="n"/>
      <c r="N66" s="716" t="n"/>
      <c r="O66" s="716" t="n"/>
      <c r="P66" s="716" t="n"/>
      <c r="Q66" s="716" t="n"/>
      <c r="R66" s="716" t="n"/>
      <c r="S66" s="462">
        <f>IF(_epmOfflineCondition_,"五、净利润（净亏损以“-”号填列）",EPMMemberDesc(U66))</f>
        <v/>
      </c>
      <c r="T66" s="716" t="n"/>
      <c r="U66" s="716" t="inlineStr">
        <is>
          <t>A00205</t>
        </is>
      </c>
      <c r="V66" s="635">
        <f>IF(_epmOfflineCondition_,"A00205",EPMOlapMemberO(U66,"[C_ACCOUNT].[PARENTH1].[A00205]","A00205 - 五、净利润（净亏损以“-""号填列）","","000"))</f>
        <v/>
      </c>
      <c r="W66" s="462" t="n"/>
      <c r="X66" s="585" t="inlineStr">
        <is>
          <t>17. 净利润（亏损以“－”号填列）</t>
        </is>
      </c>
      <c r="Y66" s="1185">
        <f>ROW()-45</f>
        <v/>
      </c>
      <c r="Z66" s="1298">
        <f>IF(_epmOfflineCondition_,19839493.44,EPMRetrieveData(,$V66,Z$41,Z$42,Z$43,Z$45,$D$22,$D$21,$E$24,$D$25,$D$26,$D$27,$D$28,$D$29))</f>
        <v/>
      </c>
      <c r="AA66" s="1298">
        <f>IF(_epmOfflineCondition_,57971792.97,EPMRetrieveData(,$V66,AA$41,AA$42,AA$43,AA$45,$D$22,$D$21,$E$24,$D$25,$D$26,$D$27,$D$28,$D$29))</f>
        <v/>
      </c>
      <c r="AB66" s="1298">
        <f>IF(_epmOfflineCondition_,23173512.88,EPMRetrieveData(,$V66,AB$41,AB$42,AB$43,AB$45,$D$22,$D$21,$E$24,$D$25,$D$26,$D$27,$D$28,$D$29))</f>
        <v/>
      </c>
      <c r="AC66" s="1192" t="n"/>
      <c r="AD66" s="1192" t="n"/>
      <c r="AE66" s="1192" t="n"/>
      <c r="AF66" s="1354">
        <f>ROUND(Z66/10000,0)</f>
        <v/>
      </c>
      <c r="AG66" s="1354">
        <f>ROUND(AA66/10000,0)</f>
        <v/>
      </c>
      <c r="AH66" s="1354">
        <f>ROUND(AB66/10000,0)</f>
        <v/>
      </c>
      <c r="AI66" s="716" t="n"/>
      <c r="AJ66" s="716" t="n"/>
      <c r="AK66" s="716" t="n"/>
      <c r="AL66" s="716" t="n"/>
      <c r="AM66" s="716" t="n"/>
      <c r="AN66" s="716" t="n"/>
      <c r="AO66" s="716" t="n"/>
      <c r="AP66" s="716" t="n"/>
      <c r="AQ66" s="716" t="n"/>
      <c r="AR66" s="716" t="n"/>
      <c r="AS66" s="716" t="n"/>
    </row>
    <row r="67" ht="16.15" customFormat="1" customHeight="1" s="716">
      <c r="A67" s="716" t="n"/>
      <c r="B67" s="716" t="n"/>
      <c r="C67" s="716" t="n"/>
      <c r="D67" s="716" t="n"/>
      <c r="E67" s="716" t="n"/>
      <c r="F67" s="716" t="n"/>
      <c r="G67" s="716" t="n"/>
      <c r="H67" s="716" t="n"/>
      <c r="I67" s="716" t="n"/>
      <c r="J67" s="716" t="n"/>
      <c r="K67" s="716" t="n"/>
      <c r="L67" s="716" t="n"/>
      <c r="M67" s="716" t="n"/>
      <c r="N67" s="716" t="n"/>
      <c r="O67" s="716" t="n"/>
      <c r="P67" s="716" t="n"/>
      <c r="Q67" s="716" t="n"/>
      <c r="R67" s="716" t="n"/>
      <c r="S67" s="462">
        <f>IF(_epmOfflineCondition_,"　　归属于母公司所有者的净利润",EPMMemberDesc(U67))</f>
        <v/>
      </c>
      <c r="T67" s="716" t="n"/>
      <c r="U67" s="716" t="inlineStr">
        <is>
          <t>A0020504</t>
        </is>
      </c>
      <c r="V67" s="459">
        <f>IF(_epmOfflineCondition_,"A0020504",EPMOlapMemberO(U67,"[C_ACCOUNT].[PARENTH1].[A0020504]","A0020504 - 　　归属于母公司所有者的净利润","","000"))</f>
        <v/>
      </c>
      <c r="W67" s="462" t="n"/>
      <c r="X67" s="457" t="inlineStr">
        <is>
          <t xml:space="preserve">   其中：归属于母公司所有者的净利润</t>
        </is>
      </c>
      <c r="Y67" s="1185">
        <f>ROW()-45</f>
        <v/>
      </c>
      <c r="Z67" s="1298">
        <f>IF(_epmOfflineCondition_,19839493.44,EPMRetrieveData(,$V67,Z$41,Z$42,Z$43,Z$45,$D$22,$D$21,$E$24,$D$25,$D$26,$D$27,$D$28,$D$29))</f>
        <v/>
      </c>
      <c r="AA67" s="1298">
        <f>IF(_epmOfflineCondition_,57971792.97,EPMRetrieveData(,$V67,AA$41,AA$42,AA$43,AA$45,$D$22,$D$21,$E$24,$D$25,$D$26,$D$27,$D$28,$D$29))</f>
        <v/>
      </c>
      <c r="AB67" s="1298">
        <f>IF(_epmOfflineCondition_,23173512.88,EPMRetrieveData(,$V67,AB$41,AB$42,AB$43,AB$45,$D$22,$D$21,$E$24,$D$25,$D$26,$D$27,$D$28,$D$29))</f>
        <v/>
      </c>
      <c r="AC67" s="1192" t="n"/>
      <c r="AD67" s="1192" t="n"/>
      <c r="AE67" s="1192" t="n"/>
      <c r="AF67" s="1354">
        <f>ROUND(Z67/10000,0)</f>
        <v/>
      </c>
      <c r="AG67" s="1354">
        <f>ROUND(AA67/10000,0)</f>
        <v/>
      </c>
      <c r="AH67" s="1354">
        <f>ROUND(AB67/10000,0)</f>
        <v/>
      </c>
      <c r="AI67" s="716" t="n"/>
      <c r="AJ67" s="716" t="n"/>
      <c r="AK67" s="716" t="n"/>
      <c r="AL67" s="716" t="n"/>
      <c r="AM67" s="716" t="n"/>
      <c r="AN67" s="716" t="n"/>
      <c r="AO67" s="716" t="n"/>
      <c r="AP67" s="716" t="n"/>
      <c r="AQ67" s="716" t="n"/>
      <c r="AR67" s="716" t="n"/>
      <c r="AS67" s="716" t="n"/>
    </row>
    <row r="68" ht="16.15" customFormat="1" customHeight="1" s="716">
      <c r="A68" s="716" t="n"/>
      <c r="B68" s="716" t="n"/>
      <c r="C68" s="716" t="n"/>
      <c r="D68" s="716" t="n"/>
      <c r="E68" s="716" t="n"/>
      <c r="F68" s="716" t="n"/>
      <c r="G68" s="716" t="n"/>
      <c r="H68" s="716" t="n"/>
      <c r="I68" s="716" t="n"/>
      <c r="J68" s="716" t="n"/>
      <c r="K68" s="716" t="n"/>
      <c r="L68" s="716" t="n"/>
      <c r="M68" s="716" t="n"/>
      <c r="N68" s="716" t="n"/>
      <c r="O68" s="716" t="n"/>
      <c r="P68" s="716" t="n"/>
      <c r="Q68" s="716" t="n"/>
      <c r="R68" s="716" t="n"/>
      <c r="S68" s="462">
        <f>IF(_epmOfflineCondition_,"　        资产总计",EPMMemberDesc(U68))</f>
        <v/>
      </c>
      <c r="T68" s="716" t="n"/>
      <c r="U68" s="716" t="inlineStr">
        <is>
          <t>A00101</t>
        </is>
      </c>
      <c r="V68" s="535">
        <f>IF(_epmOfflineCondition_,"A00101",EPMOlapMemberO(U68,"[C_ACCOUNT].[PARENTH1].[A00101]","A00101 - 　        资产总计","","000"))</f>
        <v/>
      </c>
      <c r="W68" s="462" t="n"/>
      <c r="X68" s="585" t="inlineStr">
        <is>
          <t>18. 资产总额</t>
        </is>
      </c>
      <c r="Y68" s="1185">
        <f>ROW()-45</f>
        <v/>
      </c>
      <c r="Z68" s="1347">
        <f>"— —"</f>
        <v/>
      </c>
      <c r="AA68" s="1298" t="inlineStr"/>
      <c r="AB68" s="1298" t="inlineStr"/>
      <c r="AC68" s="1192" t="n"/>
      <c r="AD68" s="1192" t="n"/>
      <c r="AE68" s="1192" t="n"/>
      <c r="AF68" s="1355">
        <f>"— —"</f>
        <v/>
      </c>
      <c r="AG68" s="1354">
        <f>ROUND(AA68/10000,0)</f>
        <v/>
      </c>
      <c r="AH68" s="1354">
        <f>ROUND(AB68/10000,0)</f>
        <v/>
      </c>
      <c r="AI68" s="716" t="n"/>
      <c r="AJ68" s="716" t="n"/>
      <c r="AK68" s="716" t="n"/>
      <c r="AL68" s="716" t="n"/>
      <c r="AM68" s="716" t="n"/>
      <c r="AN68" s="716" t="n"/>
      <c r="AO68" s="716" t="n"/>
      <c r="AP68" s="716" t="n"/>
      <c r="AQ68" s="716" t="n"/>
      <c r="AR68" s="716" t="n"/>
      <c r="AS68" s="716" t="n"/>
    </row>
    <row r="69" ht="16.15" customFormat="1" customHeight="1" s="716">
      <c r="A69" s="716" t="n"/>
      <c r="B69" s="716" t="n"/>
      <c r="C69" s="716" t="n"/>
      <c r="D69" s="716" t="n"/>
      <c r="E69" s="716" t="n"/>
      <c r="F69" s="716" t="n"/>
      <c r="G69" s="716" t="n"/>
      <c r="H69" s="716" t="n"/>
      <c r="I69" s="716" t="n"/>
      <c r="J69" s="716" t="n"/>
      <c r="K69" s="716" t="n"/>
      <c r="L69" s="716" t="n"/>
      <c r="M69" s="716" t="n"/>
      <c r="N69" s="716" t="n"/>
      <c r="O69" s="716" t="n"/>
      <c r="P69" s="716" t="n"/>
      <c r="Q69" s="716" t="n"/>
      <c r="R69" s="716" t="n"/>
      <c r="S69" s="462">
        <f>IF(_epmOfflineCondition_,"　       流动资产合计",EPMMemberDesc(U69))</f>
        <v/>
      </c>
      <c r="T69" s="716" t="n"/>
      <c r="U69" s="716" t="inlineStr">
        <is>
          <t>A0010101</t>
        </is>
      </c>
      <c r="V69" s="459">
        <f>IF(_epmOfflineCondition_,"A0010101",EPMOlapMemberO(U69,"[C_ACCOUNT].[PARENTH1].[A0010101]","A0010101 - 　       流动资产合计","","000"))</f>
        <v/>
      </c>
      <c r="W69" s="462" t="n"/>
      <c r="X69" s="585" t="inlineStr">
        <is>
          <t>19. 流动资产</t>
        </is>
      </c>
      <c r="Y69" s="1185">
        <f>ROW()-45</f>
        <v/>
      </c>
      <c r="Z69" s="1347">
        <f>"— —"</f>
        <v/>
      </c>
      <c r="AA69" s="1298" t="inlineStr"/>
      <c r="AB69" s="1298" t="inlineStr"/>
      <c r="AC69" s="1192" t="n"/>
      <c r="AD69" s="1192" t="n"/>
      <c r="AE69" s="1192" t="n"/>
      <c r="AF69" s="1355">
        <f>"— —"</f>
        <v/>
      </c>
      <c r="AG69" s="1354">
        <f>ROUND(AA69/10000,0)</f>
        <v/>
      </c>
      <c r="AH69" s="1354">
        <f>ROUND(AB69/10000,0)</f>
        <v/>
      </c>
      <c r="AI69" s="716" t="n"/>
      <c r="AJ69" s="716" t="n"/>
      <c r="AK69" s="716" t="n"/>
      <c r="AL69" s="716" t="n"/>
      <c r="AM69" s="716" t="n"/>
      <c r="AN69" s="716" t="n"/>
      <c r="AO69" s="716" t="n"/>
      <c r="AP69" s="716" t="n"/>
      <c r="AQ69" s="716" t="n"/>
      <c r="AR69" s="716" t="n"/>
      <c r="AS69" s="716" t="n"/>
    </row>
    <row r="70" ht="16.15" customFormat="1" customHeight="1" s="716">
      <c r="A70" s="716" t="n"/>
      <c r="B70" s="716" t="n"/>
      <c r="C70" s="716" t="n"/>
      <c r="D70" s="716" t="n"/>
      <c r="E70" s="716" t="n"/>
      <c r="F70" s="716" t="n"/>
      <c r="G70" s="716" t="n"/>
      <c r="H70" s="716" t="n"/>
      <c r="I70" s="716" t="n"/>
      <c r="J70" s="716" t="n"/>
      <c r="K70" s="716" t="n"/>
      <c r="L70" s="716" t="n"/>
      <c r="M70" s="716" t="n"/>
      <c r="N70" s="716" t="n"/>
      <c r="O70" s="716" t="n"/>
      <c r="P70" s="716" t="n"/>
      <c r="Q70" s="716" t="n"/>
      <c r="R70" s="716" t="n"/>
      <c r="S70" s="462">
        <f>IF(_epmOfflineCondition_,"  货币资金",EPMMemberDesc(U70))</f>
        <v/>
      </c>
      <c r="T70" s="716" t="n"/>
      <c r="U70" s="716" t="inlineStr">
        <is>
          <t>A001010101</t>
        </is>
      </c>
      <c r="V70" s="635">
        <f>IF(_epmOfflineCondition_,"A001010101",EPMOlapMemberO(U70,"[C_ACCOUNT].[PARENTH1].[A001010101]","A001010101 -   货币资金","","000"))</f>
        <v/>
      </c>
      <c r="W70" s="462" t="n"/>
      <c r="X70" s="457" t="inlineStr">
        <is>
          <t xml:space="preserve">   其中：货币资金</t>
        </is>
      </c>
      <c r="Y70" s="1185">
        <f>ROW()-45</f>
        <v/>
      </c>
      <c r="Z70" s="1347">
        <f>"— —"</f>
        <v/>
      </c>
      <c r="AA70" s="1298" t="inlineStr"/>
      <c r="AB70" s="1298" t="inlineStr"/>
      <c r="AC70" s="1192" t="n"/>
      <c r="AD70" s="1192" t="n"/>
      <c r="AE70" s="1192" t="n"/>
      <c r="AF70" s="1355">
        <f>"— —"</f>
        <v/>
      </c>
      <c r="AG70" s="1354">
        <f>ROUND(AA70/10000,0)</f>
        <v/>
      </c>
      <c r="AH70" s="1354">
        <f>ROUND(AB70/10000,0)</f>
        <v/>
      </c>
      <c r="AI70" s="716" t="n"/>
      <c r="AJ70" s="716" t="n"/>
      <c r="AK70" s="716" t="n"/>
      <c r="AL70" s="716" t="n"/>
      <c r="AM70" s="716" t="n"/>
      <c r="AN70" s="716" t="n"/>
      <c r="AO70" s="716" t="n"/>
      <c r="AP70" s="716" t="n"/>
      <c r="AQ70" s="716" t="n"/>
      <c r="AR70" s="716" t="n"/>
      <c r="AS70" s="716" t="n"/>
    </row>
    <row r="71" ht="16.15" customFormat="1" customHeight="1" s="716">
      <c r="A71" s="716" t="n"/>
      <c r="B71" s="716" t="n"/>
      <c r="C71" s="716" t="n"/>
      <c r="D71" s="716" t="n"/>
      <c r="E71" s="716" t="n"/>
      <c r="F71" s="716" t="n"/>
      <c r="G71" s="716" t="n"/>
      <c r="H71" s="716" t="n"/>
      <c r="I71" s="716" t="n"/>
      <c r="J71" s="716" t="n"/>
      <c r="K71" s="716" t="n"/>
      <c r="L71" s="716" t="n"/>
      <c r="M71" s="716" t="n"/>
      <c r="N71" s="716" t="n"/>
      <c r="O71" s="716" t="n"/>
      <c r="P71" s="716" t="n"/>
      <c r="Q71" s="716" t="n"/>
      <c r="R71" s="716" t="n"/>
      <c r="S71" s="462">
        <f>IF(_epmOfflineCondition_,"  应收票据",EPMMemberDesc(U71))</f>
        <v/>
      </c>
      <c r="T71" s="716" t="n"/>
      <c r="U71" s="716" t="inlineStr">
        <is>
          <t>A001010106</t>
        </is>
      </c>
      <c r="V71" s="635">
        <f>IF(_epmOfflineCondition_,"A001010106",EPMOlapMemberO(U71,"[C_ACCOUNT].[PARENTH1].[A001010106]","A001010106 -   应收票据","","000"))</f>
        <v/>
      </c>
      <c r="W71" s="462" t="n"/>
      <c r="X71" s="614" t="inlineStr">
        <is>
          <t xml:space="preserve">           应收票据</t>
        </is>
      </c>
      <c r="Y71" s="1185">
        <f>ROW()-45</f>
        <v/>
      </c>
      <c r="Z71" s="1347">
        <f>"— —"</f>
        <v/>
      </c>
      <c r="AA71" s="1298" t="n"/>
      <c r="AB71" s="1298" t="n"/>
      <c r="AC71" s="1192" t="n"/>
      <c r="AD71" s="1192" t="n"/>
      <c r="AE71" s="1192" t="n"/>
      <c r="AF71" s="1355">
        <f>"— —"</f>
        <v/>
      </c>
      <c r="AG71" s="1354">
        <f>ROUND(AA71/10000,0)</f>
        <v/>
      </c>
      <c r="AH71" s="1354">
        <f>ROUND(AB71/10000,0)</f>
        <v/>
      </c>
      <c r="AI71" s="716" t="n"/>
      <c r="AJ71" s="716" t="n"/>
      <c r="AK71" s="716" t="n"/>
      <c r="AL71" s="716" t="n"/>
      <c r="AM71" s="716" t="n"/>
      <c r="AN71" s="716" t="n"/>
      <c r="AO71" s="716" t="n"/>
      <c r="AP71" s="716" t="n"/>
      <c r="AQ71" s="716" t="n"/>
      <c r="AR71" s="716" t="n"/>
      <c r="AS71" s="716" t="n"/>
    </row>
    <row r="72" ht="16.15" customFormat="1" customHeight="1" s="716">
      <c r="A72" s="716" t="n"/>
      <c r="B72" s="716" t="n"/>
      <c r="C72" s="716" t="n"/>
      <c r="D72" s="716" t="n"/>
      <c r="E72" s="716" t="n"/>
      <c r="F72" s="716" t="n"/>
      <c r="G72" s="716" t="n"/>
      <c r="H72" s="716" t="n"/>
      <c r="I72" s="716" t="n"/>
      <c r="J72" s="716" t="n"/>
      <c r="K72" s="716" t="n"/>
      <c r="L72" s="716" t="n"/>
      <c r="M72" s="716" t="n"/>
      <c r="N72" s="716" t="n"/>
      <c r="O72" s="716" t="n"/>
      <c r="P72" s="716" t="n"/>
      <c r="Q72" s="716" t="n"/>
      <c r="R72" s="716" t="n"/>
      <c r="S72" s="462">
        <f>IF(_epmOfflineCondition_,"  应收账款",EPMMemberDesc(U72))</f>
        <v/>
      </c>
      <c r="T72" s="716" t="n"/>
      <c r="U72" s="716" t="inlineStr">
        <is>
          <t>A001010107</t>
        </is>
      </c>
      <c r="V72" s="635">
        <f>IF(_epmOfflineCondition_,"A001010107",EPMOlapMemberO(U72,"[C_ACCOUNT].[PARENTH1].[A001010107]","A001010107 -   应收账款","","000"))</f>
        <v/>
      </c>
      <c r="W72" s="462" t="n"/>
      <c r="X72" s="614" t="inlineStr">
        <is>
          <t xml:space="preserve">           应收账款</t>
        </is>
      </c>
      <c r="Y72" s="1185">
        <f>ROW()-45</f>
        <v/>
      </c>
      <c r="Z72" s="1347">
        <f>"— —"</f>
        <v/>
      </c>
      <c r="AA72" s="1298" t="inlineStr"/>
      <c r="AB72" s="1298" t="inlineStr"/>
      <c r="AC72" s="1192" t="n"/>
      <c r="AD72" s="1192" t="n"/>
      <c r="AE72" s="1192" t="n"/>
      <c r="AF72" s="1355">
        <f>"— —"</f>
        <v/>
      </c>
      <c r="AG72" s="1354">
        <f>ROUND(AA72/10000,0)</f>
        <v/>
      </c>
      <c r="AH72" s="1354">
        <f>ROUND(AB72/10000,0)</f>
        <v/>
      </c>
      <c r="AI72" s="716" t="n"/>
      <c r="AJ72" s="716" t="n"/>
      <c r="AK72" s="716" t="n"/>
      <c r="AL72" s="716" t="n"/>
      <c r="AM72" s="716" t="n"/>
      <c r="AN72" s="716" t="n"/>
      <c r="AO72" s="716" t="n"/>
      <c r="AP72" s="716" t="n"/>
      <c r="AQ72" s="716" t="n"/>
      <c r="AR72" s="716" t="n"/>
      <c r="AS72" s="716" t="n"/>
    </row>
    <row r="73" ht="16.15" customFormat="1" customHeight="1" s="716">
      <c r="A73" s="716" t="n"/>
      <c r="B73" s="716" t="n"/>
      <c r="C73" s="716" t="n"/>
      <c r="D73" s="716" t="n"/>
      <c r="E73" s="716" t="n"/>
      <c r="F73" s="716" t="n"/>
      <c r="G73" s="716" t="n"/>
      <c r="H73" s="716" t="n"/>
      <c r="I73" s="716" t="n"/>
      <c r="J73" s="716" t="n"/>
      <c r="K73" s="716" t="n"/>
      <c r="L73" s="716" t="n"/>
      <c r="M73" s="716" t="n"/>
      <c r="N73" s="716" t="n"/>
      <c r="O73" s="716" t="n"/>
      <c r="P73" s="716" t="n"/>
      <c r="Q73" s="716" t="n"/>
      <c r="R73" s="716" t="n"/>
      <c r="S73" s="462">
        <f>IF(_epmOfflineCondition_,"  存货",EPMMemberDesc(U73))</f>
        <v/>
      </c>
      <c r="T73" s="716" t="n"/>
      <c r="U73" s="716" t="inlineStr">
        <is>
          <t>A001010113</t>
        </is>
      </c>
      <c r="V73" s="635">
        <f>IF(_epmOfflineCondition_,"A001010113",EPMOlapMemberO(U73,"[C_ACCOUNT].[PARENTH1].[A001010113]","A001010113 -   存货","","000"))</f>
        <v/>
      </c>
      <c r="W73" s="462" t="n"/>
      <c r="X73" s="614" t="inlineStr">
        <is>
          <t xml:space="preserve">           存货</t>
        </is>
      </c>
      <c r="Y73" s="1185">
        <f>ROW()-45</f>
        <v/>
      </c>
      <c r="Z73" s="1347">
        <f>"— —"</f>
        <v/>
      </c>
      <c r="AA73" s="1298" t="n"/>
      <c r="AB73" s="1298" t="n"/>
      <c r="AC73" s="1192" t="n"/>
      <c r="AD73" s="1192" t="n"/>
      <c r="AE73" s="1192" t="n"/>
      <c r="AF73" s="1355">
        <f>"— —"</f>
        <v/>
      </c>
      <c r="AG73" s="1354">
        <f>ROUND(AA73/10000,0)</f>
        <v/>
      </c>
      <c r="AH73" s="1354">
        <f>ROUND(AB73/10000,0)</f>
        <v/>
      </c>
      <c r="AI73" s="716" t="n"/>
      <c r="AJ73" s="716" t="n"/>
      <c r="AK73" s="716" t="n"/>
      <c r="AL73" s="716" t="n"/>
      <c r="AM73" s="716" t="n"/>
      <c r="AN73" s="716" t="n"/>
      <c r="AO73" s="716" t="n"/>
      <c r="AP73" s="716" t="n"/>
      <c r="AQ73" s="716" t="n"/>
      <c r="AR73" s="716" t="n"/>
      <c r="AS73" s="716" t="n"/>
    </row>
    <row r="74" ht="16.15" customFormat="1" customHeight="1" s="716">
      <c r="A74" s="716" t="n"/>
      <c r="B74" s="716" t="n"/>
      <c r="C74" s="716" t="n"/>
      <c r="D74" s="716" t="n"/>
      <c r="E74" s="716" t="n"/>
      <c r="F74" s="716" t="n"/>
      <c r="G74" s="716" t="n"/>
      <c r="H74" s="716" t="n"/>
      <c r="I74" s="716" t="n"/>
      <c r="J74" s="716" t="n"/>
      <c r="K74" s="716" t="n"/>
      <c r="L74" s="716" t="n"/>
      <c r="M74" s="716" t="n"/>
      <c r="N74" s="716" t="n"/>
      <c r="O74" s="716" t="n"/>
      <c r="P74" s="716" t="n"/>
      <c r="Q74" s="716" t="n"/>
      <c r="R74" s="716" t="n"/>
      <c r="S74" s="462">
        <f>IF(_epmOfflineCondition_,"     其中：原材料",EPMMemberDesc(U74))</f>
        <v/>
      </c>
      <c r="T74" s="716" t="n"/>
      <c r="U74" s="716" t="inlineStr">
        <is>
          <t>A00101011301</t>
        </is>
      </c>
      <c r="V74" s="637">
        <f>IF(_epmOfflineCondition_,"A00101011301",EPMOlapMemberO(U74,"[C_ACCOUNT].[PARENTH1].[A00101011301]","A00101011301 -      其中：原材料","","000"))</f>
        <v/>
      </c>
      <c r="W74" s="462" t="n"/>
      <c r="X74" s="458" t="inlineStr">
        <is>
          <t xml:space="preserve">         其中：原材料</t>
        </is>
      </c>
      <c r="Y74" s="1185">
        <f>ROW()-45</f>
        <v/>
      </c>
      <c r="Z74" s="1347">
        <f>"— —"</f>
        <v/>
      </c>
      <c r="AA74" s="1298" t="n"/>
      <c r="AB74" s="1298" t="n"/>
      <c r="AC74" s="1192" t="n"/>
      <c r="AD74" s="1192" t="n"/>
      <c r="AE74" s="1192" t="n"/>
      <c r="AF74" s="1355">
        <f>"— —"</f>
        <v/>
      </c>
      <c r="AG74" s="1354">
        <f>ROUND(AA74/10000,0)</f>
        <v/>
      </c>
      <c r="AH74" s="1354">
        <f>ROUND(AB74/10000,0)</f>
        <v/>
      </c>
      <c r="AI74" s="716" t="n"/>
      <c r="AJ74" s="716" t="n"/>
      <c r="AK74" s="716" t="n"/>
      <c r="AL74" s="716" t="n"/>
      <c r="AM74" s="716" t="n"/>
      <c r="AN74" s="716" t="n"/>
      <c r="AO74" s="716" t="n"/>
      <c r="AP74" s="716" t="n"/>
      <c r="AQ74" s="716" t="n"/>
      <c r="AR74" s="716" t="n"/>
      <c r="AS74" s="716" t="n"/>
    </row>
    <row r="75" ht="16.15" customFormat="1" customHeight="1" s="716">
      <c r="A75" s="716" t="n"/>
      <c r="B75" s="716" t="n"/>
      <c r="C75" s="716" t="n"/>
      <c r="D75" s="716" t="n"/>
      <c r="E75" s="716" t="n"/>
      <c r="F75" s="716" t="n"/>
      <c r="G75" s="716" t="n"/>
      <c r="H75" s="716" t="n"/>
      <c r="I75" s="716" t="n"/>
      <c r="J75" s="716" t="n"/>
      <c r="K75" s="716" t="n"/>
      <c r="L75" s="716" t="n"/>
      <c r="M75" s="716" t="n"/>
      <c r="N75" s="716" t="n"/>
      <c r="O75" s="716" t="n"/>
      <c r="P75" s="716" t="n"/>
      <c r="Q75" s="716" t="n"/>
      <c r="R75" s="716" t="n"/>
      <c r="S75" s="462">
        <f>IF(_epmOfflineCondition_,"               库存商品（产成品）",EPMMemberDesc(U75))</f>
        <v/>
      </c>
      <c r="T75" s="716" t="n"/>
      <c r="U75" s="716" t="inlineStr">
        <is>
          <t>A00101011303</t>
        </is>
      </c>
      <c r="V75" s="637">
        <f>IF(_epmOfflineCondition_,"A00101011303",EPMOlapMemberO(U75,"[C_ACCOUNT].[PARENTH1].[A00101011303]","A00101011303 -                库存商品（产成品）","","000"))</f>
        <v/>
      </c>
      <c r="W75" s="462" t="n"/>
      <c r="X75" s="458" t="inlineStr">
        <is>
          <t xml:space="preserve">                    库存商品(产成品)</t>
        </is>
      </c>
      <c r="Y75" s="1185">
        <f>ROW()-45</f>
        <v/>
      </c>
      <c r="Z75" s="1347">
        <f>"— —"</f>
        <v/>
      </c>
      <c r="AA75" s="1298" t="n"/>
      <c r="AB75" s="1298" t="n"/>
      <c r="AC75" s="1192" t="n"/>
      <c r="AD75" s="1192" t="n"/>
      <c r="AE75" s="1192" t="n"/>
      <c r="AF75" s="1355">
        <f>"— —"</f>
        <v/>
      </c>
      <c r="AG75" s="1354">
        <f>ROUND(AA75/10000,0)</f>
        <v/>
      </c>
      <c r="AH75" s="1354">
        <f>ROUND(AB75/10000,0)</f>
        <v/>
      </c>
      <c r="AI75" s="716" t="n"/>
      <c r="AJ75" s="716" t="n"/>
      <c r="AK75" s="716" t="n"/>
      <c r="AL75" s="716" t="n"/>
      <c r="AM75" s="716" t="n"/>
      <c r="AN75" s="716" t="n"/>
      <c r="AO75" s="716" t="n"/>
      <c r="AP75" s="716" t="n"/>
      <c r="AQ75" s="716" t="n"/>
      <c r="AR75" s="716" t="n"/>
      <c r="AS75" s="716" t="n"/>
    </row>
    <row r="76" ht="16.15" customFormat="1" customHeight="1" s="716">
      <c r="A76" s="716" t="n"/>
      <c r="B76" s="716" t="n"/>
      <c r="C76" s="716" t="n"/>
      <c r="D76" s="716" t="n"/>
      <c r="E76" s="716" t="n"/>
      <c r="F76" s="716" t="n"/>
      <c r="G76" s="716" t="n"/>
      <c r="H76" s="716" t="n"/>
      <c r="I76" s="716" t="n"/>
      <c r="J76" s="716" t="n"/>
      <c r="K76" s="716" t="n"/>
      <c r="L76" s="716" t="n"/>
      <c r="M76" s="716" t="n"/>
      <c r="N76" s="716" t="n"/>
      <c r="O76" s="716" t="n"/>
      <c r="P76" s="716" t="n"/>
      <c r="Q76" s="716" t="n"/>
      <c r="R76" s="716" t="n"/>
      <c r="S76" s="462">
        <f>IF(_epmOfflineCondition_,"  合同资产",EPMMemberDesc(U76))</f>
        <v/>
      </c>
      <c r="T76" s="716" t="n"/>
      <c r="U76" s="716" t="inlineStr">
        <is>
          <t>A001010114</t>
        </is>
      </c>
      <c r="V76" s="635">
        <f>IF(_epmOfflineCondition_,"A001010114",EPMOlapMemberO(U76,"[C_ACCOUNT].[PARENTH1].[A001010114]","A001010114 -   合同资产","","000"))</f>
        <v/>
      </c>
      <c r="W76" s="462" t="n"/>
      <c r="X76" s="614" t="inlineStr">
        <is>
          <t xml:space="preserve">           合同资产</t>
        </is>
      </c>
      <c r="Y76" s="1185">
        <f>ROW()-45</f>
        <v/>
      </c>
      <c r="Z76" s="1347">
        <f>"— —"</f>
        <v/>
      </c>
      <c r="AA76" s="1298" t="n"/>
      <c r="AB76" s="1298" t="n"/>
      <c r="AC76" s="1192" t="n"/>
      <c r="AD76" s="1192" t="n"/>
      <c r="AE76" s="1192" t="n"/>
      <c r="AF76" s="1355">
        <f>"— —"</f>
        <v/>
      </c>
      <c r="AG76" s="1354">
        <f>ROUND(AA76/10000,0)</f>
        <v/>
      </c>
      <c r="AH76" s="1354">
        <f>ROUND(AB76/10000,0)</f>
        <v/>
      </c>
      <c r="AI76" s="716" t="n"/>
      <c r="AJ76" s="716" t="n"/>
      <c r="AK76" s="716" t="n"/>
      <c r="AL76" s="716" t="n"/>
      <c r="AM76" s="716" t="n"/>
      <c r="AN76" s="716" t="n"/>
      <c r="AO76" s="716" t="n"/>
      <c r="AP76" s="716" t="n"/>
      <c r="AQ76" s="716" t="n"/>
      <c r="AR76" s="716" t="n"/>
      <c r="AS76" s="716" t="n"/>
    </row>
    <row r="77" ht="16.15" customFormat="1" customHeight="1" s="716">
      <c r="A77" s="716" t="n"/>
      <c r="B77" s="716" t="n"/>
      <c r="C77" s="716" t="n"/>
      <c r="D77" s="716" t="n"/>
      <c r="E77" s="716" t="n"/>
      <c r="F77" s="716" t="n"/>
      <c r="G77" s="716" t="n"/>
      <c r="H77" s="716" t="n"/>
      <c r="I77" s="716" t="n"/>
      <c r="J77" s="716" t="n"/>
      <c r="K77" s="716" t="n"/>
      <c r="L77" s="716" t="n"/>
      <c r="M77" s="716" t="n"/>
      <c r="N77" s="716" t="n"/>
      <c r="O77" s="716" t="n"/>
      <c r="P77" s="716" t="n"/>
      <c r="Q77" s="716" t="n"/>
      <c r="R77" s="716" t="n"/>
      <c r="S77" s="462">
        <f>IF(_epmOfflineCondition_,"　       负债合计",EPMMemberDesc(U77))</f>
        <v/>
      </c>
      <c r="T77" s="716" t="n"/>
      <c r="U77" s="716" t="inlineStr">
        <is>
          <t>A00102</t>
        </is>
      </c>
      <c r="V77" s="459">
        <f>IF(_epmOfflineCondition_,"A00102",EPMOlapMemberO(U77,"[C_ACCOUNT].[PARENTH1].[A00102]","A00102 - 　       负债合计","","000"))</f>
        <v/>
      </c>
      <c r="W77" s="462" t="n"/>
      <c r="X77" s="585" t="inlineStr">
        <is>
          <t>20. 负债总额</t>
        </is>
      </c>
      <c r="Y77" s="1185">
        <f>ROW()-45</f>
        <v/>
      </c>
      <c r="Z77" s="1347">
        <f>"— —"</f>
        <v/>
      </c>
      <c r="AA77" s="1298" t="inlineStr"/>
      <c r="AB77" s="1298" t="inlineStr"/>
      <c r="AC77" s="1192" t="n"/>
      <c r="AD77" s="1192" t="n"/>
      <c r="AE77" s="1192" t="n"/>
      <c r="AF77" s="1355">
        <f>"— —"</f>
        <v/>
      </c>
      <c r="AG77" s="1354">
        <f>ROUND(AA77/10000,0)</f>
        <v/>
      </c>
      <c r="AH77" s="1354">
        <f>ROUND(AB77/10000,0)</f>
        <v/>
      </c>
      <c r="AI77" s="716" t="n"/>
      <c r="AJ77" s="716" t="n"/>
      <c r="AK77" s="716" t="n"/>
      <c r="AL77" s="716" t="n"/>
      <c r="AM77" s="716" t="n"/>
      <c r="AN77" s="716" t="n"/>
      <c r="AO77" s="716" t="n"/>
      <c r="AP77" s="716" t="n"/>
      <c r="AQ77" s="716" t="n"/>
      <c r="AR77" s="716" t="n"/>
      <c r="AS77" s="716" t="n"/>
    </row>
    <row r="78" ht="16.15" customFormat="1" customHeight="1" s="716">
      <c r="A78" s="716" t="n"/>
      <c r="B78" s="716" t="n"/>
      <c r="C78" s="716" t="n"/>
      <c r="D78" s="716" t="n"/>
      <c r="E78" s="716" t="n"/>
      <c r="F78" s="716" t="n"/>
      <c r="G78" s="716" t="n"/>
      <c r="H78" s="716" t="n"/>
      <c r="I78" s="716" t="n"/>
      <c r="J78" s="716" t="n"/>
      <c r="K78" s="716" t="n"/>
      <c r="L78" s="716" t="n"/>
      <c r="M78" s="716" t="n"/>
      <c r="N78" s="716" t="n"/>
      <c r="O78" s="716" t="n"/>
      <c r="P78" s="716" t="n"/>
      <c r="Q78" s="716" t="n"/>
      <c r="R78" s="716" t="n"/>
      <c r="S78" s="462">
        <f>IF(_epmOfflineCondition_,"　       流动负债合计",EPMMemberDesc(U78))</f>
        <v/>
      </c>
      <c r="T78" s="716" t="n"/>
      <c r="U78" s="716" t="inlineStr">
        <is>
          <t>A0010201</t>
        </is>
      </c>
      <c r="V78" s="635">
        <f>IF(_epmOfflineCondition_,"A0010201",EPMOlapMemberO(U78,"[C_ACCOUNT].[PARENTH1].[A0010201]","A0010201 - 　       流动负债合计","","000"))</f>
        <v/>
      </c>
      <c r="W78" s="462" t="n"/>
      <c r="X78" s="585" t="inlineStr">
        <is>
          <t>21. 流动负债</t>
        </is>
      </c>
      <c r="Y78" s="1185">
        <f>ROW()-45</f>
        <v/>
      </c>
      <c r="Z78" s="1347">
        <f>"— —"</f>
        <v/>
      </c>
      <c r="AA78" s="1298" t="inlineStr"/>
      <c r="AB78" s="1298" t="inlineStr"/>
      <c r="AC78" s="1192" t="n"/>
      <c r="AD78" s="1192" t="n"/>
      <c r="AE78" s="1192" t="n"/>
      <c r="AF78" s="1355">
        <f>"— —"</f>
        <v/>
      </c>
      <c r="AG78" s="1354">
        <f>ROUND(AA78/10000,0)</f>
        <v/>
      </c>
      <c r="AH78" s="1354">
        <f>ROUND(AB78/10000,0)</f>
        <v/>
      </c>
      <c r="AI78" s="716" t="n"/>
      <c r="AJ78" s="716" t="n"/>
      <c r="AK78" s="716" t="n"/>
      <c r="AL78" s="716" t="n"/>
      <c r="AM78" s="716" t="n"/>
      <c r="AN78" s="716" t="n"/>
      <c r="AO78" s="716" t="n"/>
      <c r="AP78" s="716" t="n"/>
      <c r="AQ78" s="716" t="n"/>
      <c r="AR78" s="716" t="n"/>
      <c r="AS78" s="716" t="n"/>
    </row>
    <row r="79" ht="16.15" customFormat="1" customHeight="1" s="716">
      <c r="A79" s="716" t="n"/>
      <c r="B79" s="716" t="n"/>
      <c r="C79" s="716" t="n"/>
      <c r="D79" s="716" t="n"/>
      <c r="E79" s="716" t="n"/>
      <c r="F79" s="716" t="n"/>
      <c r="G79" s="716" t="n"/>
      <c r="H79" s="716" t="n"/>
      <c r="I79" s="716" t="n"/>
      <c r="J79" s="716" t="n"/>
      <c r="K79" s="716" t="n"/>
      <c r="L79" s="716" t="n"/>
      <c r="M79" s="716" t="n"/>
      <c r="N79" s="716" t="n"/>
      <c r="O79" s="716" t="n"/>
      <c r="P79" s="716" t="n"/>
      <c r="Q79" s="716" t="n"/>
      <c r="R79" s="716" t="n"/>
      <c r="S79" s="462">
        <f>IF(_epmOfflineCondition_,"   应付票据",EPMMemberDesc(U79))</f>
        <v/>
      </c>
      <c r="T79" s="716" t="n"/>
      <c r="U79" s="716" t="inlineStr">
        <is>
          <t>A001020107</t>
        </is>
      </c>
      <c r="V79" s="637">
        <f>IF(_epmOfflineCondition_,"A001020107",EPMOlapMemberO(U79,"[C_ACCOUNT].[PARENTH1].[A001020107]","A001020107 -    应付票据","","000"))</f>
        <v/>
      </c>
      <c r="W79" s="462" t="n"/>
      <c r="X79" s="457" t="inlineStr">
        <is>
          <t xml:space="preserve">   其中：应付票据</t>
        </is>
      </c>
      <c r="Y79" s="1185">
        <f>ROW()-45</f>
        <v/>
      </c>
      <c r="Z79" s="1347">
        <f>"— —"</f>
        <v/>
      </c>
      <c r="AA79" s="1298" t="n"/>
      <c r="AB79" s="1298" t="n"/>
      <c r="AC79" s="1192" t="n"/>
      <c r="AD79" s="1192" t="n"/>
      <c r="AE79" s="1192" t="n"/>
      <c r="AF79" s="1355">
        <f>"— —"</f>
        <v/>
      </c>
      <c r="AG79" s="1354">
        <f>ROUND(AA79/10000,0)</f>
        <v/>
      </c>
      <c r="AH79" s="1354">
        <f>ROUND(AB79/10000,0)</f>
        <v/>
      </c>
      <c r="AI79" s="716" t="n"/>
      <c r="AJ79" s="716" t="n"/>
      <c r="AK79" s="716" t="n"/>
      <c r="AL79" s="716" t="n"/>
      <c r="AM79" s="716" t="n"/>
      <c r="AN79" s="716" t="n"/>
      <c r="AO79" s="716" t="n"/>
      <c r="AP79" s="716" t="n"/>
      <c r="AQ79" s="716" t="n"/>
      <c r="AR79" s="716" t="n"/>
      <c r="AS79" s="716" t="n"/>
    </row>
    <row r="80" ht="16.15" customFormat="1" customHeight="1" s="716">
      <c r="A80" s="716" t="n"/>
      <c r="B80" s="716" t="n"/>
      <c r="C80" s="716" t="n"/>
      <c r="D80" s="716" t="n"/>
      <c r="E80" s="716" t="n"/>
      <c r="F80" s="716" t="n"/>
      <c r="G80" s="716" t="n"/>
      <c r="H80" s="716" t="n"/>
      <c r="I80" s="716" t="n"/>
      <c r="J80" s="716" t="n"/>
      <c r="K80" s="716" t="n"/>
      <c r="L80" s="716" t="n"/>
      <c r="M80" s="716" t="n"/>
      <c r="N80" s="602" t="inlineStr">
        <is>
          <t>22. 带息负债总额</t>
        </is>
      </c>
      <c r="R80" s="575" t="n"/>
      <c r="S80" s="462">
        <f>IF(_epmOfflineCondition_,"   应付账款",EPMMemberDesc(U80))</f>
        <v/>
      </c>
      <c r="T80" s="716" t="n"/>
      <c r="U80" s="716" t="inlineStr">
        <is>
          <t>A001020108</t>
        </is>
      </c>
      <c r="V80" s="637">
        <f>IF(_epmOfflineCondition_,"A001020108",EPMOlapMemberO(U80,"[C_ACCOUNT].[PARENTH1].[A001020108]","A001020108 -    应付账款","","000"))</f>
        <v/>
      </c>
      <c r="W80" s="462" t="n"/>
      <c r="X80" s="614" t="inlineStr">
        <is>
          <t xml:space="preserve">           应付账款</t>
        </is>
      </c>
      <c r="Y80" s="1185">
        <f>ROW()-45</f>
        <v/>
      </c>
      <c r="Z80" s="1347">
        <f>"— —"</f>
        <v/>
      </c>
      <c r="AA80" s="1298" t="inlineStr"/>
      <c r="AB80" s="1298" t="inlineStr"/>
      <c r="AC80" s="1192" t="n"/>
      <c r="AD80" s="1192" t="n"/>
      <c r="AE80" s="1192" t="n"/>
      <c r="AF80" s="1355">
        <f>"— —"</f>
        <v/>
      </c>
      <c r="AG80" s="1354">
        <f>ROUND(AA80/10000,0)</f>
        <v/>
      </c>
      <c r="AH80" s="1354">
        <f>ROUND(AB80/10000,0)</f>
        <v/>
      </c>
      <c r="AI80" s="716" t="n"/>
      <c r="AJ80" s="716" t="n"/>
      <c r="AK80" s="716" t="n"/>
      <c r="AL80" s="716" t="n"/>
      <c r="AM80" s="716" t="n"/>
      <c r="AN80" s="716" t="n"/>
      <c r="AO80" s="716" t="n"/>
      <c r="AP80" s="716" t="n"/>
      <c r="AQ80" s="716" t="n"/>
      <c r="AR80" s="716" t="n"/>
      <c r="AS80" s="716" t="n"/>
    </row>
    <row r="81" ht="16.15" customFormat="1" customHeight="1" s="716">
      <c r="A81" s="716" t="n"/>
      <c r="B81" s="716" t="n"/>
      <c r="C81" s="716" t="n"/>
      <c r="D81" s="716" t="n"/>
      <c r="E81" s="716" t="n"/>
      <c r="F81" s="716" t="n"/>
      <c r="G81" s="716" t="n"/>
      <c r="H81" s="716" t="n"/>
      <c r="I81" s="716" t="n"/>
      <c r="J81" s="716" t="n"/>
      <c r="K81" s="716" t="n"/>
      <c r="L81" s="716" t="n"/>
      <c r="M81" s="716" t="n"/>
      <c r="N81" s="434" t="inlineStr">
        <is>
          <t>上年同期</t>
        </is>
      </c>
      <c r="O81" s="603" t="inlineStr">
        <is>
          <t>本年累计</t>
        </is>
      </c>
      <c r="P81" s="603" t="inlineStr">
        <is>
          <t>本月</t>
        </is>
      </c>
      <c r="Q81" s="434" t="inlineStr">
        <is>
          <t>科目</t>
        </is>
      </c>
      <c r="R81" s="575" t="n"/>
      <c r="S81" s="462">
        <f>IF(_epmOfflineCondition_,"带息负债总额",EPMMemberDesc(U81))</f>
        <v/>
      </c>
      <c r="T81" s="716" t="n"/>
      <c r="U81" s="716" t="inlineStr">
        <is>
          <t>A09603</t>
        </is>
      </c>
      <c r="V81" s="462">
        <f>IF(_epmOfflineCondition_,"A09603",EPMOlapMemberO(U81,"[C_ACCOUNT].[PARENTH1].[A09603]","A09603 - 带息负债总额","","000"))</f>
        <v/>
      </c>
      <c r="W81" s="462" t="n"/>
      <c r="X81" s="585" t="inlineStr">
        <is>
          <t>22. 带息负债总额</t>
        </is>
      </c>
      <c r="Y81" s="1185">
        <f>ROW()-45</f>
        <v/>
      </c>
      <c r="Z81" s="1347">
        <f>"— —"</f>
        <v/>
      </c>
      <c r="AA81" s="1298" t="inlineStr"/>
      <c r="AB81" s="1298" t="inlineStr"/>
      <c r="AC81" s="1192" t="n"/>
      <c r="AD81" s="1192" t="n"/>
      <c r="AE81" s="1192" t="n"/>
      <c r="AF81" s="1355">
        <f>"— —"</f>
        <v/>
      </c>
      <c r="AG81" s="1354">
        <f>ROUND(AA81/10000,0)</f>
        <v/>
      </c>
      <c r="AH81" s="1354">
        <f>ROUND(AB81/10000,0)</f>
        <v/>
      </c>
      <c r="AI81" s="716" t="n"/>
      <c r="AJ81" s="716" t="n"/>
      <c r="AK81" s="716" t="n"/>
      <c r="AL81" s="716" t="n"/>
      <c r="AM81" s="716" t="n"/>
      <c r="AN81" s="716" t="n"/>
      <c r="AO81" s="716" t="n"/>
      <c r="AP81" s="716" t="n"/>
      <c r="AQ81" s="716" t="n"/>
      <c r="AR81" s="716" t="n"/>
      <c r="AS81" s="716" t="n"/>
    </row>
    <row r="82" ht="16.15" customFormat="1" customHeight="1" s="716">
      <c r="A82" s="716" t="n"/>
      <c r="B82" s="716" t="n"/>
      <c r="C82" s="716" t="n"/>
      <c r="D82" s="716" t="n"/>
      <c r="E82" s="716" t="n"/>
      <c r="F82" s="716" t="n"/>
      <c r="G82" s="716" t="n"/>
      <c r="H82" s="716" t="n"/>
      <c r="I82" s="716" t="n"/>
      <c r="J82" s="716" t="n"/>
      <c r="K82" s="716" t="n"/>
      <c r="L82" s="716" t="n"/>
      <c r="M82" s="716" t="n"/>
      <c r="N82" s="1348">
        <f>IF(_epmOfflineCondition_,0,EPMRetrieveData(,,$D$21,$D$22,$D$25,$D$26,$D$27,$D$28,$D$29,$AB$41,$AB$42,$AB$43,$Z$28,$AB$45,Q82))</f>
        <v/>
      </c>
      <c r="O82" s="1348">
        <f>IF(_epmOfflineCondition_,190000000,EPMRetrieveData(,,$D$21,$D$22,$D$25,$D$26,$D$27,$D$28,$D$29,$AA$41,$AA$42,$AA$43,$AA$44,$AA$45,Q82))</f>
        <v/>
      </c>
      <c r="P82" s="1348">
        <f>IF(_epmOfflineCondition_,0,EPMRetrieveData(,,$D$21,$D$22,$D$25,$D$26,$D$27,$D$28,$D$29,$Z$41,$Z$42,$Z$43,$Z$28,$Z$45,Q82))</f>
        <v/>
      </c>
      <c r="Q82" s="575" t="inlineStr">
        <is>
          <t>A01201</t>
        </is>
      </c>
      <c r="R82" s="575" t="inlineStr">
        <is>
          <t>带息负债总额</t>
        </is>
      </c>
      <c r="S82" s="462">
        <f>IF(_epmOfflineCondition_,"   其中：银行借款",EPMMemberDesc(U82))</f>
        <v/>
      </c>
      <c r="T82" s="716" t="n"/>
      <c r="U82" s="636" t="inlineStr">
        <is>
          <t>A07811</t>
        </is>
      </c>
      <c r="V82" s="459">
        <f>IF(_epmOfflineCondition_,"A07811",EPMOlapMemberO(U82,"[C_ACCOUNT].[PARENTH1].[A07811]","A07811 -    其中：银行借款","","000"))</f>
        <v/>
      </c>
      <c r="W82" s="462" t="n"/>
      <c r="X82" s="457" t="inlineStr">
        <is>
          <t xml:space="preserve">   其中：银行借款</t>
        </is>
      </c>
      <c r="Y82" s="1185">
        <f>ROW()-45</f>
        <v/>
      </c>
      <c r="Z82" s="1347">
        <f>"— —"</f>
        <v/>
      </c>
      <c r="AA82" s="1298" t="inlineStr"/>
      <c r="AB82" s="1298" t="inlineStr"/>
      <c r="AC82" s="1192" t="n"/>
      <c r="AD82" s="1192" t="n"/>
      <c r="AE82" s="1192" t="n"/>
      <c r="AF82" s="1355">
        <f>"— —"</f>
        <v/>
      </c>
      <c r="AG82" s="1354">
        <f>ROUND(AA82/10000,0)</f>
        <v/>
      </c>
      <c r="AH82" s="1354">
        <f>ROUND(AB82/10000,0)</f>
        <v/>
      </c>
      <c r="AI82" s="716" t="n"/>
      <c r="AJ82" s="716" t="n"/>
      <c r="AK82" s="716" t="n"/>
      <c r="AL82" s="716" t="n"/>
      <c r="AM82" s="716" t="n"/>
      <c r="AN82" s="716" t="n"/>
      <c r="AO82" s="716" t="n"/>
      <c r="AP82" s="716" t="n"/>
      <c r="AQ82" s="716" t="n"/>
      <c r="AR82" s="716" t="n"/>
      <c r="AS82" s="716" t="n"/>
    </row>
    <row r="83" ht="16.15" customFormat="1" customHeight="1" s="716">
      <c r="A83" s="716" t="n"/>
      <c r="B83" s="716" t="n"/>
      <c r="C83" s="716" t="n"/>
      <c r="D83" s="716" t="n"/>
      <c r="E83" s="716" t="n"/>
      <c r="F83" s="716" t="n"/>
      <c r="G83" s="716" t="n"/>
      <c r="H83" s="716" t="n"/>
      <c r="I83" s="716" t="n"/>
      <c r="J83" s="716" t="n"/>
      <c r="K83" s="716" t="n"/>
      <c r="L83" s="716" t="n"/>
      <c r="M83" s="716" t="n"/>
      <c r="N83" s="1348">
        <f>IF(_epmOfflineCondition_,0,EPMRetrieveData(,,$D$21,$D$22,$D$25,$D$26,$D$27,$D$28,$D$29,$AB$41,$AB$42,$AB$43,$Z$28,$AB$45,Q83))</f>
        <v/>
      </c>
      <c r="O83" s="1348">
        <f>IF(_epmOfflineCondition_,0,EPMRetrieveData(,,$D$21,$D$22,$D$25,$D$26,$D$27,$D$28,$D$29,$AA$41,$AA$42,$AA$43,$AA$44,$AA$45,Q83))</f>
        <v/>
      </c>
      <c r="P83" s="1348">
        <f>IF(_epmOfflineCondition_,0,EPMRetrieveData(,,$D$21,$D$22,$D$25,$D$26,$D$27,$D$28,$D$29,$Z$41,$Z$42,$Z$43,$Z$28,$Z$45,Q83))</f>
        <v/>
      </c>
      <c r="Q83" s="575" t="inlineStr">
        <is>
          <t>A01202</t>
        </is>
      </c>
      <c r="R83" s="607" t="inlineStr">
        <is>
          <t>带息负债总额</t>
        </is>
      </c>
      <c r="S83" s="462">
        <f>IF(_epmOfflineCondition_,"  应付债券",EPMMemberDesc(U83))</f>
        <v/>
      </c>
      <c r="T83" s="716" t="n"/>
      <c r="U83" s="716" t="inlineStr">
        <is>
          <t>A001020202</t>
        </is>
      </c>
      <c r="V83" s="637">
        <f>IF(_epmOfflineCondition_,"A001020202",EPMOlapMemberO(U83,"[C_ACCOUNT].[PARENTH1].[A001020202]","A001020202 -   应付债券","","000"))</f>
        <v/>
      </c>
      <c r="W83" s="462" t="n"/>
      <c r="X83" s="614" t="inlineStr">
        <is>
          <t xml:space="preserve">           应付债券</t>
        </is>
      </c>
      <c r="Y83" s="1185">
        <f>ROW()-45</f>
        <v/>
      </c>
      <c r="Z83" s="1347">
        <f>"— —"</f>
        <v/>
      </c>
      <c r="AA83" s="1298" t="n"/>
      <c r="AB83" s="1298" t="n"/>
      <c r="AC83" s="1192" t="n"/>
      <c r="AD83" s="1192" t="n"/>
      <c r="AE83" s="1192" t="n"/>
      <c r="AF83" s="1355">
        <f>"— —"</f>
        <v/>
      </c>
      <c r="AG83" s="1354">
        <f>ROUND(AA83/10000,0)</f>
        <v/>
      </c>
      <c r="AH83" s="1354">
        <f>ROUND(AB83/10000,0)</f>
        <v/>
      </c>
      <c r="AI83" s="716" t="n"/>
      <c r="AJ83" s="716" t="n"/>
      <c r="AK83" s="716" t="n"/>
      <c r="AL83" s="716" t="n"/>
      <c r="AM83" s="716" t="n"/>
      <c r="AN83" s="716" t="n"/>
      <c r="AO83" s="716" t="n"/>
      <c r="AP83" s="716" t="n"/>
      <c r="AQ83" s="716" t="n"/>
      <c r="AR83" s="716" t="n"/>
      <c r="AS83" s="716" t="n"/>
    </row>
    <row r="84" ht="16.15" customFormat="1" customHeight="1" s="716">
      <c r="A84" s="716" t="n"/>
      <c r="B84" s="716" t="n"/>
      <c r="C84" s="716" t="n"/>
      <c r="D84" s="716" t="n"/>
      <c r="E84" s="716" t="n"/>
      <c r="F84" s="716" t="n"/>
      <c r="G84" s="716" t="n"/>
      <c r="H84" s="716" t="n"/>
      <c r="I84" s="716" t="n"/>
      <c r="J84" s="716" t="n"/>
      <c r="K84" s="716" t="n"/>
      <c r="L84" s="716" t="n"/>
      <c r="M84" s="716" t="n"/>
      <c r="N84" s="1348">
        <f>IF(_epmOfflineCondition_,0,EPMRetrieveData(,,$D$21,$D$22,$D$25,$D$26,$D$27,$D$28,$D$29,$AB$41,$AB$42,$AB$43,$Z$28,$AB$45,Q84))</f>
        <v/>
      </c>
      <c r="O84" s="1348">
        <f>IF(_epmOfflineCondition_,0,EPMRetrieveData(,,$D$21,$D$22,$D$25,$D$26,$D$27,$D$28,$D$29,$AA$41,$AA$42,$AA$43,$AA$44,$AA$45,Q84))</f>
        <v/>
      </c>
      <c r="P84" s="1348">
        <f>IF(_epmOfflineCondition_,0,EPMRetrieveData(,,$D$21,$D$22,$D$25,$D$26,$D$27,$D$28,$D$29,$Z$41,$Z$42,$Z$43,$Z$28,$Z$45,Q84))</f>
        <v/>
      </c>
      <c r="Q84" s="575" t="inlineStr">
        <is>
          <t>A012010101</t>
        </is>
      </c>
      <c r="R84" s="726" t="inlineStr">
        <is>
          <t>其中：银行借款</t>
        </is>
      </c>
      <c r="S84" s="462">
        <f>IF(_epmOfflineCondition_,"        所有者权益合计",EPMMemberDesc(U84))</f>
        <v/>
      </c>
      <c r="T84" s="716" t="n"/>
      <c r="U84" s="716" t="inlineStr">
        <is>
          <t>A00103</t>
        </is>
      </c>
      <c r="V84" s="459">
        <f>IF(_epmOfflineCondition_,"A00103",EPMOlapMemberO(U84,"[C_ACCOUNT].[PARENTH1].[A00103]","A00103 -         所有者权益合计","","000"))</f>
        <v/>
      </c>
      <c r="W84" s="462" t="n"/>
      <c r="X84" s="585" t="inlineStr">
        <is>
          <t>23. 所有者权益总额</t>
        </is>
      </c>
      <c r="Y84" s="1185">
        <f>ROW()-45</f>
        <v/>
      </c>
      <c r="Z84" s="1347">
        <f>"— —"</f>
        <v/>
      </c>
      <c r="AA84" s="1298" t="inlineStr"/>
      <c r="AB84" s="1298" t="inlineStr"/>
      <c r="AC84" s="1192" t="n"/>
      <c r="AD84" s="1192" t="n"/>
      <c r="AE84" s="1192" t="n"/>
      <c r="AF84" s="1355">
        <f>"— —"</f>
        <v/>
      </c>
      <c r="AG84" s="1354">
        <f>ROUND(AA84/10000,0)</f>
        <v/>
      </c>
      <c r="AH84" s="1354">
        <f>ROUND(AB84/10000,0)</f>
        <v/>
      </c>
      <c r="AI84" s="716" t="n"/>
      <c r="AJ84" s="716" t="n"/>
      <c r="AK84" s="716" t="n"/>
      <c r="AL84" s="716" t="n"/>
      <c r="AM84" s="716" t="n"/>
      <c r="AN84" s="716" t="n"/>
      <c r="AO84" s="716" t="n"/>
      <c r="AP84" s="716" t="n"/>
      <c r="AQ84" s="716" t="n"/>
      <c r="AR84" s="716" t="n"/>
      <c r="AS84" s="716" t="n"/>
    </row>
    <row r="85" ht="16.15" customFormat="1" customHeight="1" s="716">
      <c r="A85" s="716" t="n"/>
      <c r="B85" s="716" t="n"/>
      <c r="C85" s="716" t="n"/>
      <c r="D85" s="716" t="n"/>
      <c r="E85" s="716" t="n"/>
      <c r="F85" s="716" t="n"/>
      <c r="G85" s="716" t="n"/>
      <c r="H85" s="716" t="n"/>
      <c r="I85" s="716" t="n"/>
      <c r="J85" s="716" t="n"/>
      <c r="K85" s="716" t="n"/>
      <c r="L85" s="716" t="n"/>
      <c r="M85" s="716" t="n"/>
      <c r="N85" s="1348">
        <f>IF(_epmOfflineCondition_,0,EPMRetrieveData(,,$D$21,$D$22,$D$25,$D$26,$D$27,$D$28,$D$29,$AB$41,$AB$42,$AB$43,$Z$28,$AB$45,Q85))</f>
        <v/>
      </c>
      <c r="O85" s="1348">
        <f>IF(_epmOfflineCondition_,310000000,EPMRetrieveData(,,$D$21,$D$22,$D$25,$D$26,$D$27,$D$28,$D$29,$AA$41,$AA$42,$AA$43,$AA$44,$AA$45,Q85))</f>
        <v/>
      </c>
      <c r="P85" s="1348">
        <f>IF(_epmOfflineCondition_,0,EPMRetrieveData(,,$D$21,$D$22,$D$25,$D$26,$D$27,$D$28,$D$29,$Z$41,$Z$42,$Z$43,$Z$28,$Z$45,Q85))</f>
        <v/>
      </c>
      <c r="Q85" s="575" t="inlineStr">
        <is>
          <t>A012020101</t>
        </is>
      </c>
      <c r="R85" s="726" t="inlineStr">
        <is>
          <t>其中：银行借款</t>
        </is>
      </c>
      <c r="S85" s="462">
        <f>IF(_epmOfflineCondition_,"　归属于母公司所有者权益合计",EPMMemberDesc(U85))</f>
        <v/>
      </c>
      <c r="T85" s="716" t="n"/>
      <c r="U85" s="716" t="inlineStr">
        <is>
          <t>A0010310</t>
        </is>
      </c>
      <c r="V85" s="635">
        <f>IF(_epmOfflineCondition_,"A0010310",EPMOlapMemberO(U85,"[C_ACCOUNT].[PARENTH1].[A0010310]","A0010310 - 　归属于母公司所有者权益合计","","000"))</f>
        <v/>
      </c>
      <c r="W85" s="462" t="n"/>
      <c r="X85" s="457" t="inlineStr">
        <is>
          <t xml:space="preserve">   其中：归属于母公司的所有者权益总额</t>
        </is>
      </c>
      <c r="Y85" s="1185">
        <f>ROW()-45</f>
        <v/>
      </c>
      <c r="Z85" s="1347">
        <f>"— —"</f>
        <v/>
      </c>
      <c r="AA85" s="1298" t="inlineStr"/>
      <c r="AB85" s="1298" t="inlineStr"/>
      <c r="AC85" s="1192" t="n"/>
      <c r="AD85" s="1192" t="n"/>
      <c r="AE85" s="1192" t="n"/>
      <c r="AF85" s="1355">
        <f>"— —"</f>
        <v/>
      </c>
      <c r="AG85" s="1354">
        <f>ROUND(AA85/10000,0)</f>
        <v/>
      </c>
      <c r="AH85" s="1354">
        <f>ROUND(AB85/10000,0)</f>
        <v/>
      </c>
      <c r="AI85" s="716" t="n"/>
      <c r="AJ85" s="716" t="n"/>
      <c r="AK85" s="716" t="n"/>
      <c r="AL85" s="716" t="n"/>
      <c r="AM85" s="716" t="n"/>
      <c r="AN85" s="716" t="n"/>
      <c r="AO85" s="716" t="n"/>
      <c r="AP85" s="716" t="n"/>
      <c r="AQ85" s="716" t="n"/>
      <c r="AR85" s="716" t="n"/>
      <c r="AS85" s="716" t="n"/>
    </row>
    <row r="86" ht="16.15" customFormat="1" customHeight="1" s="716">
      <c r="A86" s="716" t="n"/>
      <c r="B86" s="716" t="n"/>
      <c r="C86" s="716" t="n"/>
      <c r="D86" s="716" t="n"/>
      <c r="E86" s="716" t="n"/>
      <c r="F86" s="716" t="n"/>
      <c r="G86" s="716" t="n"/>
      <c r="H86" s="716" t="n"/>
      <c r="I86" s="716" t="n"/>
      <c r="J86" s="716" t="n"/>
      <c r="K86" s="716" t="n"/>
      <c r="L86" s="716" t="n"/>
      <c r="M86" s="716" t="n"/>
      <c r="N86" s="716" t="n"/>
      <c r="O86" s="716" t="n"/>
      <c r="P86" s="716" t="n"/>
      <c r="Q86" s="716" t="n"/>
      <c r="R86" s="716" t="n"/>
      <c r="S86" s="462">
        <f>IF(_epmOfflineCondition_,"              经营活动产生的现金流量净额",EPMMemberDesc(U86))</f>
        <v/>
      </c>
      <c r="T86" s="716" t="n"/>
      <c r="U86" s="716" t="inlineStr">
        <is>
          <t>A0030120</t>
        </is>
      </c>
      <c r="V86" s="635">
        <f>IF(_epmOfflineCondition_,"A0030120",EPMOlapMemberO(U86,"[C_ACCOUNT].[PARENTH1].[A0030120]","A0030120 -               经营活动产生的现金流量净额","","000"))</f>
        <v/>
      </c>
      <c r="W86" s="462" t="n"/>
      <c r="X86" s="585" t="inlineStr">
        <is>
          <t>24. 经营活动产生的现金流量净额</t>
        </is>
      </c>
      <c r="Y86" s="1185">
        <f>ROW()-45</f>
        <v/>
      </c>
      <c r="Z86" s="1298" t="inlineStr"/>
      <c r="AA86" s="1298" t="inlineStr"/>
      <c r="AB86" s="1298" t="n"/>
      <c r="AC86" s="1192" t="n"/>
      <c r="AD86" s="1192" t="n"/>
      <c r="AE86" s="1192" t="n"/>
      <c r="AF86" s="1354">
        <f>ROUND(Z86/10000,0)</f>
        <v/>
      </c>
      <c r="AG86" s="1354">
        <f>ROUND(AA86/10000,0)</f>
        <v/>
      </c>
      <c r="AH86" s="1354">
        <f>ROUND(AB86/10000,0)</f>
        <v/>
      </c>
      <c r="AI86" s="716" t="n"/>
      <c r="AJ86" s="716" t="n"/>
      <c r="AK86" s="716" t="n"/>
      <c r="AL86" s="716" t="n"/>
      <c r="AM86" s="716" t="n"/>
      <c r="AN86" s="716" t="n"/>
      <c r="AO86" s="716" t="n"/>
      <c r="AP86" s="716" t="n"/>
      <c r="AQ86" s="716" t="n"/>
      <c r="AR86" s="716" t="n"/>
      <c r="AS86" s="716" t="n"/>
    </row>
    <row r="87" ht="16.15" customFormat="1" customHeight="1" s="716">
      <c r="A87" s="716" t="n"/>
      <c r="B87" s="716" t="n"/>
      <c r="C87" s="716" t="n"/>
      <c r="D87" s="716" t="n"/>
      <c r="E87" s="716" t="n"/>
      <c r="F87" s="716" t="n"/>
      <c r="G87" s="716" t="n"/>
      <c r="H87" s="716" t="n"/>
      <c r="I87" s="716" t="n"/>
      <c r="J87" s="716" t="n"/>
      <c r="K87" s="716" t="n"/>
      <c r="L87" s="716" t="n"/>
      <c r="M87" s="716" t="n"/>
      <c r="N87" s="716" t="n"/>
      <c r="O87" s="716" t="n"/>
      <c r="P87" s="716" t="n"/>
      <c r="Q87" s="716" t="n"/>
      <c r="R87" s="716" t="n"/>
      <c r="S87" s="462">
        <f>IF(_epmOfflineCondition_,"       经营活动现金流入小计",EPMMemberDesc(U87))</f>
        <v/>
      </c>
      <c r="T87" s="716" t="n"/>
      <c r="U87" s="716" t="inlineStr">
        <is>
          <t>A0030111</t>
        </is>
      </c>
      <c r="V87" s="637">
        <f>IF(_epmOfflineCondition_,"A0030111",EPMOlapMemberO(U87,"[C_ACCOUNT].[PARENTH1].[A0030111]","A0030111 -        经营活动现金流入小计","","000"))</f>
        <v/>
      </c>
      <c r="W87" s="462" t="n"/>
      <c r="X87" s="585" t="inlineStr">
        <is>
          <t xml:space="preserve">   其中：经营活动现金流入</t>
        </is>
      </c>
      <c r="Y87" s="1185">
        <f>ROW()-45</f>
        <v/>
      </c>
      <c r="Z87" s="1298" t="inlineStr"/>
      <c r="AA87" s="1298" t="inlineStr"/>
      <c r="AB87" s="1298" t="n"/>
      <c r="AC87" s="1192" t="n"/>
      <c r="AD87" s="1192" t="n"/>
      <c r="AE87" s="1192" t="n"/>
      <c r="AF87" s="1354">
        <f>ROUND(Z87/10000,0)</f>
        <v/>
      </c>
      <c r="AG87" s="1354">
        <f>ROUND(AA87/10000,0)</f>
        <v/>
      </c>
      <c r="AH87" s="1354">
        <f>ROUND(AB87/10000,0)</f>
        <v/>
      </c>
      <c r="AI87" s="716" t="n"/>
      <c r="AJ87" s="716" t="n"/>
      <c r="AK87" s="716" t="n"/>
      <c r="AL87" s="716" t="n"/>
      <c r="AM87" s="716" t="n"/>
      <c r="AN87" s="716" t="n"/>
      <c r="AO87" s="716" t="n"/>
      <c r="AP87" s="716" t="n"/>
      <c r="AQ87" s="716" t="n"/>
      <c r="AR87" s="716" t="n"/>
      <c r="AS87" s="716" t="n"/>
    </row>
    <row r="88" ht="16.15" customFormat="1" customHeight="1" s="716">
      <c r="A88" s="716" t="n"/>
      <c r="B88" s="716" t="n"/>
      <c r="C88" s="716" t="n"/>
      <c r="D88" s="716" t="n"/>
      <c r="E88" s="716" t="n"/>
      <c r="F88" s="716" t="n"/>
      <c r="G88" s="716" t="n"/>
      <c r="H88" s="716" t="n"/>
      <c r="I88" s="716" t="n"/>
      <c r="J88" s="716" t="n"/>
      <c r="K88" s="716" t="n"/>
      <c r="L88" s="716" t="n"/>
      <c r="M88" s="716" t="n"/>
      <c r="N88" s="716" t="n"/>
      <c r="O88" s="716" t="n"/>
      <c r="P88" s="716" t="n"/>
      <c r="Q88" s="716" t="n"/>
      <c r="R88" s="716" t="n"/>
      <c r="S88" s="462">
        <f>IF(_epmOfflineCondition_,"25. 资本化利息支出",EPMMemberDesc(U88))</f>
        <v/>
      </c>
      <c r="T88" s="716" t="n"/>
      <c r="U88" s="716" t="inlineStr">
        <is>
          <t>A07818</t>
        </is>
      </c>
      <c r="V88" s="535">
        <f>IF(_epmOfflineCondition_,"A07818",EPMOlapMemberO(U88,"[C_ACCOUNT].[PARENTH1].[A07818]","A07818 - 25. 资本化利息支出","","000"))</f>
        <v/>
      </c>
      <c r="W88" s="462" t="n"/>
      <c r="X88" s="585" t="inlineStr">
        <is>
          <t>25. 资本化利息支出</t>
        </is>
      </c>
      <c r="Y88" s="1185">
        <f>ROW()-45</f>
        <v/>
      </c>
      <c r="Z88" s="1298" t="n"/>
      <c r="AA88" s="1298" t="n"/>
      <c r="AB88" s="1298" t="inlineStr"/>
      <c r="AC88" s="1192" t="n"/>
      <c r="AD88" s="1192" t="n"/>
      <c r="AE88" s="1192" t="n"/>
      <c r="AF88" s="1354">
        <f>ROUND(Z88/10000,0)</f>
        <v/>
      </c>
      <c r="AG88" s="1354">
        <f>ROUND(AA88/10000,0)</f>
        <v/>
      </c>
      <c r="AH88" s="1354">
        <f>ROUND(AB88/10000,0)</f>
        <v/>
      </c>
      <c r="AI88" s="716" t="n"/>
      <c r="AJ88" s="716" t="n"/>
      <c r="AK88" s="716" t="n"/>
      <c r="AL88" s="716" t="n"/>
      <c r="AM88" s="716" t="n"/>
      <c r="AN88" s="716" t="n"/>
      <c r="AO88" s="716" t="n"/>
      <c r="AP88" s="716" t="n"/>
      <c r="AQ88" s="716" t="n"/>
      <c r="AR88" s="716" t="n"/>
      <c r="AS88" s="716" t="n"/>
    </row>
    <row r="89" ht="16.15" customFormat="1" customHeight="1" s="716">
      <c r="A89" s="716" t="n"/>
      <c r="B89" s="716" t="n"/>
      <c r="C89" s="716" t="n"/>
      <c r="D89" s="716" t="n"/>
      <c r="E89" s="716" t="n"/>
      <c r="F89" s="716" t="n"/>
      <c r="G89" s="716" t="n"/>
      <c r="H89" s="716" t="n"/>
      <c r="I89" s="716" t="n"/>
      <c r="J89" s="716" t="n"/>
      <c r="K89" s="716" t="n"/>
      <c r="L89" s="716" t="n"/>
      <c r="M89" s="716" t="n"/>
      <c r="N89" s="716" t="n"/>
      <c r="O89" s="716" t="n"/>
      <c r="P89" s="716" t="n"/>
      <c r="Q89" s="716" t="n"/>
      <c r="R89" s="716" t="n"/>
      <c r="S89" s="462">
        <f>IF(_epmOfflineCondition_,"应交款项明细-应交税费",EPMMemberDesc(U89))</f>
        <v/>
      </c>
      <c r="T89" s="716" t="n"/>
      <c r="U89" s="462" t="inlineStr">
        <is>
          <t>A08401</t>
        </is>
      </c>
      <c r="V89" s="535">
        <f>IF(_epmOfflineCondition_,"A08401",EPMOlapMemberO(U89,"[C_ACCOUNT].[PARENTH1].[A08401]","A08401 - 应交款项明细-应交税费","","000"))</f>
        <v/>
      </c>
      <c r="W89" s="462" t="n"/>
      <c r="X89" s="585" t="inlineStr">
        <is>
          <t>26. 应交税费总额</t>
        </is>
      </c>
      <c r="Y89" s="1185">
        <f>ROW()-45</f>
        <v/>
      </c>
      <c r="Z89" s="1298">
        <f>IF(_epmOfflineCondition_,1797689.16,EPMRetrieveData(,,$D$21,$D$22,$D$25,$D$26,$D$27,$D$28,$D$29,$Z$41,$Z$42,$Z$43,$Z$28,$Z$45,V89)+EPMRetrieveData(,,$D$21,$D$22,$D$25,$D$26,$D$27,$D$28,$D$29,$Z$41,$Z$42,$Z$43,$Z$28,$Z$45,Q93)*2)</f>
        <v/>
      </c>
      <c r="AA89" s="1349">
        <f>IF(_epmOfflineCondition_,1815785.99,EPMRetrieveData(,,$D$21,$D$22,$D$25,$D$26,$D$27,$D$28,$D$29,$AA$41,$AA$42,$AA$43,$Z$28,$AA$45,V89)+EPMRetrieveData(,,$D$21,$D$22,$D$25,$D$26,$D$27,$D$28,$D$29,$AA$41,$AA$42,$AA$43,$Z$28,$AA$45,Q93)*2)</f>
        <v/>
      </c>
      <c r="AB89" s="1298">
        <f>IF(_epmOfflineCondition_,60166.68,EPMRetrieveData(,,$D$21,$D$22,$D$25,$D$26,$D$27,$D$28,$D$29,$AB$41,$AB$42,$AB$43,$Z$28,$AB$45,V89)+EPMRetrieveData(,,$D$21,$D$22,$D$25,$D$26,$D$27,$D$28,$D$29,$AB$41,$AB$42,$AB$43,$Z$28,$AB$45,Q93)*2)</f>
        <v/>
      </c>
      <c r="AC89" s="1192" t="inlineStr">
        <is>
          <t>应交所得税取数</t>
        </is>
      </c>
      <c r="AD89" s="1192" t="n"/>
      <c r="AE89" s="1192" t="n"/>
      <c r="AF89" s="1354">
        <f>ROUND(Z89/10000,0)</f>
        <v/>
      </c>
      <c r="AG89" s="1354">
        <f>ROUND(AA89/10000,0)</f>
        <v/>
      </c>
      <c r="AH89" s="1354">
        <f>ROUND(AB89/10000,0)</f>
        <v/>
      </c>
      <c r="AI89" s="716" t="n"/>
      <c r="AJ89" s="716" t="n"/>
      <c r="AK89" s="716" t="n"/>
      <c r="AL89" s="716" t="n"/>
      <c r="AM89" s="716" t="n"/>
      <c r="AN89" s="716" t="n"/>
      <c r="AO89" s="716" t="n"/>
      <c r="AP89" s="716" t="n"/>
      <c r="AQ89" s="716" t="n"/>
      <c r="AR89" s="716" t="n"/>
      <c r="AS89" s="716" t="n"/>
    </row>
    <row r="90" ht="16.15" customFormat="1" customHeight="1" s="716">
      <c r="A90" s="716" t="n"/>
      <c r="B90" s="716" t="n"/>
      <c r="C90" s="716" t="n"/>
      <c r="D90" s="716" t="n"/>
      <c r="E90" s="716" t="n"/>
      <c r="F90" s="716" t="n"/>
      <c r="G90" s="716" t="n"/>
      <c r="H90" s="716" t="n"/>
      <c r="I90" s="716" t="n"/>
      <c r="J90" s="716" t="n"/>
      <c r="K90" s="716" t="n"/>
      <c r="L90" s="716" t="n"/>
      <c r="M90" s="716" t="n"/>
      <c r="N90" s="716" t="n"/>
      <c r="O90" s="716" t="n"/>
      <c r="P90" s="716" t="n"/>
      <c r="Q90" s="716" t="n"/>
      <c r="R90" s="716" t="n"/>
      <c r="S90" s="462" t="n"/>
      <c r="T90" s="716" t="n"/>
      <c r="U90" s="462" t="inlineStr">
        <is>
          <t>A0840101</t>
        </is>
      </c>
      <c r="V90" s="459">
        <f>IF(_epmOfflineCondition_,"A0840101",EPMOlapMemberO(U90,"[C_ACCOUNT].[PARENTH1].[A0840101]","A0840101 - 应交款项明细-增值税","","000"))</f>
        <v/>
      </c>
      <c r="W90" s="462" t="n"/>
      <c r="X90" s="605" t="inlineStr">
        <is>
          <t xml:space="preserve">   其中：应交增值税</t>
        </is>
      </c>
      <c r="Y90" s="1185">
        <f>ROW()-45</f>
        <v/>
      </c>
      <c r="Z90" s="1349">
        <f>IF(_epmOfflineCondition_,0,EPMRetrieveData(,,$D$21,$D$22,$D$25,$D$26,$D$27,$D$28,$D$29,$Z$41,$Z$42,$Z$43,$Z$28,$Z$45,V90))</f>
        <v/>
      </c>
      <c r="AA90" s="1349">
        <f>IF(_epmOfflineCondition_,0,EPMRetrieveData(,,$D$21,$D$22,$D$25,$D$26,$D$27,$D$28,$D$29,$AA$41,$AA$42,$AA$43,$Z$28,$AA$45,V90))</f>
        <v/>
      </c>
      <c r="AB90" s="1349">
        <f>IF(_epmOfflineCondition_,0,EPMRetrieveData(,,$D$21,$D$22,$D$25,$D$26,$D$27,$D$28,$D$29,$AB$41,$AB$42,$AB$43,$Z$28,$AB$45,V90))</f>
        <v/>
      </c>
      <c r="AC90" s="1192" t="n"/>
      <c r="AD90" s="1192" t="n"/>
      <c r="AE90" s="1192" t="n"/>
      <c r="AF90" s="1354">
        <f>ROUND(Z90/10000,0)</f>
        <v/>
      </c>
      <c r="AG90" s="1354">
        <f>ROUND(AA90/10000,0)</f>
        <v/>
      </c>
      <c r="AH90" s="1354">
        <f>ROUND(AB90/10000,0)</f>
        <v/>
      </c>
      <c r="AI90" s="716" t="n"/>
      <c r="AJ90" s="716" t="n"/>
      <c r="AK90" s="716" t="n"/>
      <c r="AL90" s="716" t="n"/>
      <c r="AM90" s="716" t="n"/>
      <c r="AN90" s="716" t="n"/>
      <c r="AO90" s="716" t="n"/>
      <c r="AP90" s="716" t="n"/>
      <c r="AQ90" s="716" t="n"/>
      <c r="AR90" s="716" t="n"/>
      <c r="AS90" s="716" t="n"/>
    </row>
    <row r="91" ht="16.15" customFormat="1" customHeight="1" s="716">
      <c r="A91" s="716" t="n"/>
      <c r="B91" s="716" t="n"/>
      <c r="C91" s="716" t="n"/>
      <c r="D91" s="716" t="n"/>
      <c r="E91" s="716" t="n"/>
      <c r="F91" s="716" t="n"/>
      <c r="G91" s="716" t="n"/>
      <c r="H91" s="716" t="n"/>
      <c r="I91" s="716" t="n"/>
      <c r="J91" s="716" t="n"/>
      <c r="K91" s="716" t="n"/>
      <c r="L91" s="716" t="n"/>
      <c r="M91" s="716" t="n"/>
      <c r="N91" s="716" t="n"/>
      <c r="O91" s="716" t="n"/>
      <c r="P91" s="716" t="n"/>
      <c r="Q91" s="716" t="n"/>
      <c r="R91" s="716" t="n"/>
      <c r="S91" s="462" t="n"/>
      <c r="T91" s="716" t="n"/>
      <c r="U91" s="462" t="inlineStr">
        <is>
          <t>A0840102</t>
        </is>
      </c>
      <c r="V91" s="459">
        <f>IF(_epmOfflineCondition_,"A0840102",EPMOlapMemberO(U91,"[C_ACCOUNT].[PARENTH1].[A0840102]","A0840102 - 应交款项明细-消费税","","000"))</f>
        <v/>
      </c>
      <c r="W91" s="462" t="n"/>
      <c r="X91" s="605" t="inlineStr">
        <is>
          <t xml:space="preserve">             应交消费税</t>
        </is>
      </c>
      <c r="Y91" s="1185">
        <f>ROW()-45</f>
        <v/>
      </c>
      <c r="Z91" s="1349">
        <f>IF(_epmOfflineCondition_,0,EPMRetrieveData(,,$D$21,$D$22,$D$25,$D$26,$D$27,$D$28,$D$29,$Z$41,$Z$42,$Z$43,$Z$28,$Z$45,V91))</f>
        <v/>
      </c>
      <c r="AA91" s="1349">
        <f>IF(_epmOfflineCondition_,0,EPMRetrieveData(,,$D$21,$D$22,$D$25,$D$26,$D$27,$D$28,$D$29,$AA$41,$AA$42,$AA$43,$Z$28,$AA$45,V91))</f>
        <v/>
      </c>
      <c r="AB91" s="1349">
        <f>IF(_epmOfflineCondition_,0,EPMRetrieveData(,,$D$21,$D$22,$D$25,$D$26,$D$27,$D$28,$D$29,$AB$41,$AB$42,$AB$43,$Z$28,$AB$45,V91))</f>
        <v/>
      </c>
      <c r="AC91" s="1192" t="n"/>
      <c r="AD91" s="1192" t="n"/>
      <c r="AE91" s="1192" t="n"/>
      <c r="AF91" s="1354">
        <f>ROUND(Z91/10000,0)</f>
        <v/>
      </c>
      <c r="AG91" s="1354">
        <f>ROUND(AA91/10000,0)</f>
        <v/>
      </c>
      <c r="AH91" s="1354">
        <f>ROUND(AB91/10000,0)</f>
        <v/>
      </c>
      <c r="AI91" s="716" t="n"/>
      <c r="AJ91" s="716" t="n"/>
      <c r="AK91" s="716" t="n"/>
      <c r="AL91" s="716" t="n"/>
      <c r="AM91" s="716" t="n"/>
      <c r="AN91" s="716" t="n"/>
      <c r="AO91" s="716" t="n"/>
      <c r="AP91" s="716" t="n"/>
      <c r="AQ91" s="716" t="n"/>
      <c r="AR91" s="716" t="n"/>
      <c r="AS91" s="716" t="n"/>
    </row>
    <row r="92" ht="16.15" customFormat="1" customHeight="1" s="716">
      <c r="A92" s="716" t="n"/>
      <c r="B92" s="716" t="n"/>
      <c r="C92" s="716" t="n"/>
      <c r="D92" s="716" t="n"/>
      <c r="E92" s="716" t="n"/>
      <c r="F92" s="716" t="n"/>
      <c r="G92" s="716" t="n"/>
      <c r="H92" s="716" t="n"/>
      <c r="I92" s="716" t="n"/>
      <c r="J92" s="716" t="n"/>
      <c r="K92" s="716" t="n"/>
      <c r="L92" s="716" t="n"/>
      <c r="M92" s="716" t="n"/>
      <c r="N92" s="716" t="n"/>
      <c r="O92" s="716" t="n"/>
      <c r="P92" s="716" t="n"/>
      <c r="Q92" s="716" t="n"/>
      <c r="R92" s="716" t="n"/>
      <c r="S92" s="462" t="n"/>
      <c r="T92" s="716" t="n"/>
      <c r="U92" s="462" t="inlineStr">
        <is>
          <t>A0840109</t>
        </is>
      </c>
      <c r="V92" s="459">
        <f>IF(_epmOfflineCondition_,"A0840109",EPMOlapMemberO(U92,"[C_ACCOUNT].[PARENTH1].[A0840109]","A0840109 - 应交款项明细-企业所得税","","000"))</f>
        <v/>
      </c>
      <c r="W92" s="462" t="n"/>
      <c r="X92" s="605" t="inlineStr">
        <is>
          <t xml:space="preserve">             应交所得税</t>
        </is>
      </c>
      <c r="Y92" s="1185">
        <f>ROW()-45</f>
        <v/>
      </c>
      <c r="Z92" s="1349">
        <f>IF(_epmOfflineCondition_,0,EPMRetrieveData(,,$D$21,$D$22,$D$25,$D$26,$D$27,$D$28,$D$29,$Z$41,$Z$42,$Z$43,$Z$28,$Z$45,V92))</f>
        <v/>
      </c>
      <c r="AA92" s="1349">
        <f>IF(_epmOfflineCondition_,0,EPMRetrieveData(,,$D$21,$D$22,$D$25,$D$26,$D$27,$D$28,$D$29,$AA$41,$AA$42,$AA$43,$Z$28,$AA$45,V92))</f>
        <v/>
      </c>
      <c r="AB92" s="1349">
        <f>IF(_epmOfflineCondition_,0,EPMRetrieveData(,,$D$21,$D$22,$D$25,$D$26,$D$27,$D$28,$D$29,$AB$41,$AB$42,$AB$43,$Z$28,$AB$45,V92))</f>
        <v/>
      </c>
      <c r="AC92" s="1192" t="n"/>
      <c r="AD92" s="1192" t="n"/>
      <c r="AE92" s="1192" t="n"/>
      <c r="AF92" s="1354">
        <f>ROUND(Z92/10000,0)</f>
        <v/>
      </c>
      <c r="AG92" s="1354">
        <f>ROUND(AA92/10000,0)</f>
        <v/>
      </c>
      <c r="AH92" s="1354">
        <f>ROUND(AB92/10000,0)</f>
        <v/>
      </c>
      <c r="AI92" s="716" t="n"/>
      <c r="AJ92" s="716" t="n"/>
      <c r="AK92" s="716" t="n"/>
      <c r="AL92" s="716" t="n"/>
      <c r="AM92" s="716" t="n"/>
      <c r="AN92" s="716" t="n"/>
      <c r="AO92" s="716" t="n"/>
      <c r="AP92" s="716" t="n"/>
      <c r="AQ92" s="716" t="n"/>
      <c r="AR92" s="716" t="n"/>
      <c r="AS92" s="716" t="n"/>
    </row>
    <row r="93" ht="16.15" customFormat="1" customHeight="1" s="716">
      <c r="A93" s="716" t="n"/>
      <c r="B93" s="716" t="n"/>
      <c r="C93" s="716" t="n"/>
      <c r="D93" s="716" t="n"/>
      <c r="E93" s="716" t="n"/>
      <c r="F93" s="716" t="n"/>
      <c r="G93" s="716" t="n"/>
      <c r="H93" s="716" t="n"/>
      <c r="I93" s="716" t="n"/>
      <c r="J93" s="716" t="n"/>
      <c r="K93" s="716" t="n"/>
      <c r="L93" s="716" t="n"/>
      <c r="M93" s="716" t="n"/>
      <c r="N93" s="716" t="n"/>
      <c r="O93" s="716" t="n"/>
      <c r="P93" s="716" t="n"/>
      <c r="Q93" s="716" t="inlineStr">
        <is>
          <t>A0840101</t>
        </is>
      </c>
      <c r="R93" s="716">
        <f>IF(_epmOfflineCondition_,"应交款项明细-增值税",EPMMemberDesc(Q93))</f>
        <v/>
      </c>
      <c r="S93" s="462">
        <f>IF(_epmOfflineCondition_,"应交款项明细-应交税费",EPMMemberDesc(U93))</f>
        <v/>
      </c>
      <c r="T93" s="716" t="n"/>
      <c r="U93" s="462" t="inlineStr">
        <is>
          <t>A08401</t>
        </is>
      </c>
      <c r="V93" s="535">
        <f>IF(_epmOfflineCondition_,"A08401",EPMOlapMemberO(U93,"[C_ACCOUNT].[PARENTH1].[A08401]","A08401 - 应交款项明细-应交税费","","000"))</f>
        <v/>
      </c>
      <c r="W93" s="462" t="n"/>
      <c r="X93" s="479" t="inlineStr">
        <is>
          <t>27. 已交税费总额</t>
        </is>
      </c>
      <c r="Y93" s="1185">
        <f>ROW()-45</f>
        <v/>
      </c>
      <c r="Z93" s="1298">
        <f>IF(_epmOfflineCondition_,0,EPMRetrieveData(,,$D$21,$D$22,$D$25,$D$26,$D$27,$D$28,$D$29,$Z$41,$Z$42,$Z$43,$AA$28,$Z$45,V93)*-1)</f>
        <v/>
      </c>
      <c r="AA93" s="1298">
        <f>IF(_epmOfflineCondition_,17238.62,EPMRetrieveData(,,$D$21,$D$22,$D$25,$D$26,$D$27,$D$28,$D$29,$AA$41,$AA$42,$AA$43,$AA$28,$AA$45,V93)*-1)</f>
        <v/>
      </c>
      <c r="AB93" s="1298">
        <f>IF(_epmOfflineCondition_,83572.6,EPMRetrieveData(,,$D$21,$D$22,$D$25,$D$26,$D$27,$D$28,$D$29,$AB$41,$AB$42,$AB$43,$AA$28,$AB$45,V93)*-1)</f>
        <v/>
      </c>
      <c r="AC93" s="1192" t="inlineStr">
        <is>
          <t>本年累计</t>
        </is>
      </c>
      <c r="AD93" s="1192" t="inlineStr">
        <is>
          <t>本月</t>
        </is>
      </c>
      <c r="AE93" s="716" t="inlineStr">
        <is>
          <t>上年同期</t>
        </is>
      </c>
      <c r="AF93" s="1354">
        <f>ROUND(Z93/10000,0)</f>
        <v/>
      </c>
      <c r="AG93" s="1354">
        <f>ROUND(AA93/10000,0)</f>
        <v/>
      </c>
      <c r="AH93" s="1354">
        <f>ROUND(AB93/10000,0)</f>
        <v/>
      </c>
      <c r="AI93" s="716" t="n"/>
      <c r="AJ93" s="716" t="n"/>
      <c r="AK93" s="716" t="n"/>
      <c r="AL93" s="716" t="n"/>
      <c r="AM93" s="716" t="n"/>
      <c r="AN93" s="716" t="n"/>
      <c r="AO93" s="716" t="n"/>
      <c r="AP93" s="716" t="n"/>
      <c r="AQ93" s="716" t="n"/>
      <c r="AR93" s="716" t="n"/>
      <c r="AS93" s="716" t="n"/>
    </row>
    <row r="94" ht="16.15" customFormat="1" customHeight="1" s="716">
      <c r="A94" s="716" t="n"/>
      <c r="B94" s="716" t="n"/>
      <c r="C94" s="716" t="n"/>
      <c r="D94" s="716" t="n"/>
      <c r="E94" s="716" t="n"/>
      <c r="F94" s="716" t="n"/>
      <c r="G94" s="716" t="n"/>
      <c r="H94" s="716" t="n"/>
      <c r="I94" s="716" t="n"/>
      <c r="J94" s="716" t="n"/>
      <c r="K94" s="203" t="inlineStr">
        <is>
          <t>已发</t>
        </is>
      </c>
      <c r="N94" s="203" t="inlineStr">
        <is>
          <t>应发</t>
        </is>
      </c>
      <c r="Q94" s="716" t="n"/>
      <c r="R94" s="716" t="n"/>
      <c r="S94" s="462">
        <f>IF(_epmOfflineCondition_,"应交款项明细-增值税",EPMMemberDesc(U94))</f>
        <v/>
      </c>
      <c r="T94" s="716" t="n"/>
      <c r="U94" s="462" t="inlineStr">
        <is>
          <t>A0840101</t>
        </is>
      </c>
      <c r="V94" s="459">
        <f>IF(_epmOfflineCondition_,"A0840101",EPMOlapMemberO(U94,"[C_ACCOUNT].[PARENTH1].[A0840101]","A0840101 - 应交款项明细-增值税","","000"))</f>
        <v/>
      </c>
      <c r="W94" s="462" t="n"/>
      <c r="X94" s="614" t="inlineStr">
        <is>
          <t>其中：已交增值税</t>
        </is>
      </c>
      <c r="Y94" s="1185">
        <f>ROW()-45</f>
        <v/>
      </c>
      <c r="Z94" s="1298">
        <f>IF(_epmOfflineCondition_,0,EPMRetrieveData(,,$D$21,$D$22,$D$25,$D$26,$D$27,$D$28,$D$29,$Z$41,$Z$42,$Z$43,$AA$28,$Z$45,V94))</f>
        <v/>
      </c>
      <c r="AA94" s="1298">
        <f>IF(_epmOfflineCondition_,0,ABS(EPMRetrieveData(,,$D$21,$D$22,$D$25,$D$26,$D$27,$D$28,$D$29,$AA$41,$AA$42,$AA$43,$AA$28,$AA$45,V94)))</f>
        <v/>
      </c>
      <c r="AB94" s="1298">
        <f>IF(_epmOfflineCondition_,0,ABS(EPMRetrieveData(,,$D$21,$D$22,$D$25,$D$26,$D$27,$D$28,$D$29,$AB$41,$AB$42,$AB$43,$AA$28,$AB$45,V94)))</f>
        <v/>
      </c>
      <c r="AC94" s="1192" t="inlineStr">
        <is>
          <t>C1001</t>
        </is>
      </c>
      <c r="AD94" s="1192" t="inlineStr">
        <is>
          <t>C1001</t>
        </is>
      </c>
      <c r="AE94" s="1192" t="inlineStr">
        <is>
          <t>C1001</t>
        </is>
      </c>
      <c r="AF94" s="1354">
        <f>ROUND(Z94/10000,0)</f>
        <v/>
      </c>
      <c r="AG94" s="1354">
        <f>ROUND(AA94/10000,0)</f>
        <v/>
      </c>
      <c r="AH94" s="1354">
        <f>ROUND(AB94/10000,0)</f>
        <v/>
      </c>
      <c r="AI94" s="1192" t="n"/>
      <c r="AJ94" s="716" t="n"/>
      <c r="AK94" s="716" t="n"/>
      <c r="AL94" s="716" t="n"/>
      <c r="AM94" s="716" t="n"/>
      <c r="AN94" s="716" t="n"/>
      <c r="AO94" s="716" t="n"/>
      <c r="AP94" s="716" t="n"/>
      <c r="AQ94" s="716" t="n"/>
      <c r="AR94" s="716" t="n"/>
      <c r="AS94" s="716" t="n"/>
    </row>
    <row r="95" ht="16.15" customFormat="1" customHeight="1" s="716">
      <c r="A95" s="716" t="n"/>
      <c r="B95" s="716" t="n"/>
      <c r="C95" s="716" t="n"/>
      <c r="D95" s="716" t="n"/>
      <c r="E95" s="716" t="n"/>
      <c r="F95" s="716" t="n"/>
      <c r="G95" s="716" t="n"/>
      <c r="H95" s="716" t="n"/>
      <c r="I95" s="716" t="n"/>
      <c r="J95" s="716" t="n"/>
      <c r="K95" s="716" t="inlineStr">
        <is>
          <t>上年同期</t>
        </is>
      </c>
      <c r="L95" s="716" t="inlineStr">
        <is>
          <t>本年</t>
        </is>
      </c>
      <c r="M95" s="716" t="inlineStr">
        <is>
          <t>本月</t>
        </is>
      </c>
      <c r="N95" s="716" t="inlineStr">
        <is>
          <t>上年同期</t>
        </is>
      </c>
      <c r="O95" s="716" t="inlineStr">
        <is>
          <t>本年</t>
        </is>
      </c>
      <c r="P95" s="716" t="inlineStr">
        <is>
          <t>本月</t>
        </is>
      </c>
      <c r="Q95" s="716" t="n"/>
      <c r="R95" s="716" t="n"/>
      <c r="S95" s="462">
        <f>IF(_epmOfflineCondition_,"应交款项明细-消费税",EPMMemberDesc(U95))</f>
        <v/>
      </c>
      <c r="T95" s="716" t="n"/>
      <c r="U95" s="462" t="inlineStr">
        <is>
          <t>A0840102</t>
        </is>
      </c>
      <c r="V95" s="459">
        <f>IF(_epmOfflineCondition_,"A0840102",EPMOlapMemberO(U95,"[C_ACCOUNT].[PARENTH1].[A0840102]","A0840102 - 应交款项明细-消费税","","000"))</f>
        <v/>
      </c>
      <c r="W95" s="462" t="n"/>
      <c r="X95" s="460" t="inlineStr">
        <is>
          <t xml:space="preserve"> 已交消费税</t>
        </is>
      </c>
      <c r="Y95" s="1185">
        <f>ROW()-45</f>
        <v/>
      </c>
      <c r="Z95" s="1298">
        <f>IF(_epmOfflineCondition_,0,EPMRetrieveData(,,$D$21,$D$22,$D$25,$D$26,$D$27,$D$28,$D$29,$Z$41,$Z$42,$Z$43,$AA$28,$Z$45,V95)*-1)</f>
        <v/>
      </c>
      <c r="AA95" s="1298">
        <f>IF(_epmOfflineCondition_,0,EPMRetrieveData(,,$D$21,$D$22,$D$25,$D$26,$D$27,$D$28,$D$29,$AA$41,$AA$42,$AA$43,$AA$28,$AA$45,V95)*-1)</f>
        <v/>
      </c>
      <c r="AB95" s="1298">
        <f>IF(_epmOfflineCondition_,0,EPMRetrieveData(,,$D$21,$D$22,$D$25,$D$26,$D$27,$D$28,$D$29,$AB$41,$AB$42,$AB$43,$AA$28,$AB$45,V95)*-1)</f>
        <v/>
      </c>
      <c r="AC95" s="1192">
        <f>$Z$37</f>
        <v/>
      </c>
      <c r="AD95" s="1192">
        <f>$Z$37</f>
        <v/>
      </c>
      <c r="AE95" s="1192">
        <f>$Z$37</f>
        <v/>
      </c>
      <c r="AF95" s="1354">
        <f>ROUND(Z95/10000,0)</f>
        <v/>
      </c>
      <c r="AG95" s="1354">
        <f>ROUND(AA95/10000,0)</f>
        <v/>
      </c>
      <c r="AH95" s="1354">
        <f>ROUND(AB95/10000,0)</f>
        <v/>
      </c>
      <c r="AI95" s="1192" t="n"/>
      <c r="AJ95" s="716" t="n"/>
      <c r="AK95" s="716" t="n"/>
      <c r="AL95" s="716" t="n"/>
      <c r="AM95" s="716" t="n"/>
      <c r="AN95" s="716" t="n"/>
      <c r="AO95" s="716" t="n"/>
      <c r="AP95" s="716" t="n"/>
      <c r="AQ95" s="716" t="n"/>
      <c r="AR95" s="716" t="n"/>
      <c r="AS95" s="716" t="n"/>
    </row>
    <row r="96" ht="16.15" customFormat="1" customHeight="1" s="716">
      <c r="A96" s="716" t="n"/>
      <c r="B96" s="716" t="n"/>
      <c r="C96" s="716" t="n"/>
      <c r="D96" s="716" t="n"/>
      <c r="E96" s="716" t="n"/>
      <c r="F96" s="716" t="n"/>
      <c r="G96" s="716" t="n"/>
      <c r="H96" s="716" t="n"/>
      <c r="I96" s="716" t="n"/>
      <c r="J96" s="716" t="n"/>
      <c r="K96" s="1350">
        <f>IF(_epmOfflineCondition_,531563.5,EPMRetrieveData(,,$D$21,$D$22,$D$25,$D$26,$D$27,$D$28,$D$29,$AB$41,$AB$42,$AB$43,$AA$28,$AB$45,Q96)*-1)</f>
        <v/>
      </c>
      <c r="L96" s="1350">
        <f>IF(_epmOfflineCondition_,1108035.55,EPMRetrieveData(,,$D$21,$D$22,$D$25,$D$26,$D$27,$D$28,$D$29,$AA$41,$AA$42,$AA$43,$AA$28,$AA$45,Q96)*-1)</f>
        <v/>
      </c>
      <c r="M96" s="1350">
        <f>IF(_epmOfflineCondition_,397586.2,EPMRetrieveData(,,$D$21,$D$22,$D$25,$D$26,$D$27,$D$28,$D$29,$Z$41,$Z$42,$Z$43,$AA$28,$Z$45,Q96)*-1)</f>
        <v/>
      </c>
      <c r="N96" s="1192">
        <f>IF(_epmOfflineCondition_,531563.5,EPMRetrieveData(,,$D$21,$D$22,$D$25,$D$26,$D$27,$D$28,$D$29,$AB$41,$AB$42,$AB$43,$Z$28,$AB$45,Q96))</f>
        <v/>
      </c>
      <c r="O96" s="1192">
        <f>IF(_epmOfflineCondition_,1108035.55,EPMRetrieveData(,,$D$21,$D$22,$D$25,$D$26,$D$27,$D$28,$D$29,$AA$41,$AA$42,$AA$43,$Z$28,$AA$45,Q96))</f>
        <v/>
      </c>
      <c r="P96" s="1192">
        <f>IF(_epmOfflineCondition_,397586.2,EPMRetrieveData(,,$D$21,$D$22,$D$25,$D$26,$D$27,$D$28,$D$29,$Z$41,$Z$42,$Z$43,$Z$28,$Z$45,Q96))</f>
        <v/>
      </c>
      <c r="Q96" s="716" t="inlineStr">
        <is>
          <t>A0070301</t>
        </is>
      </c>
      <c r="R96" s="716">
        <f>IF(_epmOfflineCondition_,"人工成本明细-应发工资总额",EPMMemberDesc(Q96))</f>
        <v/>
      </c>
      <c r="S96" s="462">
        <f>IF(_epmOfflineCondition_,"应交款项明细-企业所得税",EPMMemberDesc(U96))</f>
        <v/>
      </c>
      <c r="T96" s="716" t="n"/>
      <c r="U96" s="462" t="inlineStr">
        <is>
          <t>A0840109</t>
        </is>
      </c>
      <c r="V96" s="459">
        <f>IF(_epmOfflineCondition_,"A0840109",EPMOlapMemberO(U96,"[C_ACCOUNT].[PARENTH1].[A0840109]","A0840109 - 应交款项明细-企业所得税","","000"))</f>
        <v/>
      </c>
      <c r="W96" s="462" t="n"/>
      <c r="X96" s="460" t="inlineStr">
        <is>
          <t xml:space="preserve"> 已交所得税</t>
        </is>
      </c>
      <c r="Y96" s="1185">
        <f>ROW()-45</f>
        <v/>
      </c>
      <c r="Z96" s="1298">
        <f>IF(_epmOfflineCondition_,0,EPMRetrieveData(,,$D$21,$D$22,$D$25,$D$26,$D$27,$D$28,$D$29,$Z$41,$Z$42,$Z$43,$AA$28,$Z$45,V96)*-1)</f>
        <v/>
      </c>
      <c r="AA96" s="1298">
        <f>IF(_epmOfflineCondition_,0,EPMRetrieveData(,,$D$21,$D$22,$D$25,$D$26,$D$27,$D$28,$D$29,$AA$41,$AA$42,$AA$43,$AA$28,$AA$45,V96)*-1)</f>
        <v/>
      </c>
      <c r="AB96" s="1298">
        <f>IF(_epmOfflineCondition_,0,EPMRetrieveData(,,$D$21,$D$22,$D$25,$D$26,$D$27,$D$28,$D$29,$AB$41,$AB$42,$AB$43,$AA$28,$AB$45,V96)*-1)</f>
        <v/>
      </c>
      <c r="AC96" s="1192" t="inlineStr">
        <is>
          <t>A0840109</t>
        </is>
      </c>
      <c r="AD96" s="1192" t="inlineStr">
        <is>
          <t>A0840109</t>
        </is>
      </c>
      <c r="AE96" s="1192" t="inlineStr">
        <is>
          <t>A0840109</t>
        </is>
      </c>
      <c r="AF96" s="1354">
        <f>ROUND(Z96/10000,0)</f>
        <v/>
      </c>
      <c r="AG96" s="1354">
        <f>ROUND(AA96/10000,0)</f>
        <v/>
      </c>
      <c r="AH96" s="1354">
        <f>ROUND(AB96/10000,0)</f>
        <v/>
      </c>
      <c r="AI96" s="1192" t="n"/>
      <c r="AJ96" s="716" t="n"/>
      <c r="AK96" s="716" t="n"/>
      <c r="AL96" s="716" t="n"/>
      <c r="AM96" s="716" t="n"/>
      <c r="AN96" s="716" t="n"/>
      <c r="AO96" s="716" t="n"/>
      <c r="AP96" s="716" t="n"/>
      <c r="AQ96" s="716" t="n"/>
      <c r="AR96" s="716" t="n"/>
      <c r="AS96" s="716" t="n"/>
    </row>
    <row r="97" ht="16.15" customFormat="1" customHeight="1" s="716">
      <c r="A97" s="716" t="n"/>
      <c r="B97" s="716" t="n"/>
      <c r="C97" s="716" t="n"/>
      <c r="D97" s="716" t="n"/>
      <c r="E97" s="716" t="n"/>
      <c r="F97" s="716" t="n"/>
      <c r="G97" s="716" t="n"/>
      <c r="H97" s="716" t="n"/>
      <c r="I97" s="716" t="n"/>
      <c r="J97" s="716" t="n"/>
      <c r="K97" s="1350" t="n"/>
      <c r="L97" s="1350" t="n"/>
      <c r="M97" s="1350" t="n"/>
      <c r="N97" s="1192" t="n"/>
      <c r="O97" s="1192" t="n"/>
      <c r="P97" s="1192" t="n"/>
      <c r="Q97" s="716" t="n"/>
      <c r="R97" s="716" t="n"/>
      <c r="S97" s="462" t="n"/>
      <c r="T97" s="716" t="n"/>
      <c r="U97" s="462" t="n"/>
      <c r="V97" s="459" t="n"/>
      <c r="W97" s="462" t="n"/>
      <c r="X97" s="605" t="inlineStr">
        <is>
          <t>28.应发职工薪酬总额</t>
        </is>
      </c>
      <c r="Y97" s="1185">
        <f>ROW()-45</f>
        <v/>
      </c>
      <c r="Z97" s="1298">
        <f>SUM(P96:P112,P117,P118:P122)-P121</f>
        <v/>
      </c>
      <c r="AA97" s="1298">
        <f>SUM(O96:O112,O117,O118:O122)-O121</f>
        <v/>
      </c>
      <c r="AB97" s="1298">
        <f>SUM(N96:N112,N117,N118:N122)-N121</f>
        <v/>
      </c>
      <c r="AC97" s="1192" t="n"/>
      <c r="AD97" s="1192" t="n"/>
      <c r="AE97" s="1192" t="n"/>
      <c r="AF97" s="1354">
        <f>ROUND(Z97/10000,0)</f>
        <v/>
      </c>
      <c r="AG97" s="1354">
        <f>ROUND(AA97/10000,0)</f>
        <v/>
      </c>
      <c r="AH97" s="1354">
        <f>ROUND(AB97/10000,0)</f>
        <v/>
      </c>
      <c r="AI97" s="1192" t="n"/>
      <c r="AJ97" s="716" t="n"/>
      <c r="AK97" s="716" t="n"/>
      <c r="AL97" s="716" t="n"/>
      <c r="AM97" s="716" t="n"/>
      <c r="AN97" s="716" t="n"/>
      <c r="AO97" s="716" t="n"/>
      <c r="AP97" s="716" t="n"/>
      <c r="AQ97" s="716" t="n"/>
      <c r="AR97" s="716" t="n"/>
      <c r="AS97" s="716" t="n"/>
    </row>
    <row r="98" ht="16.15" customFormat="1" customHeight="1" s="716">
      <c r="A98" s="716" t="n"/>
      <c r="B98" s="716" t="n"/>
      <c r="C98" s="716" t="n"/>
      <c r="D98" s="716" t="n"/>
      <c r="E98" s="716" t="n"/>
      <c r="F98" s="716" t="n"/>
      <c r="G98" s="716" t="n"/>
      <c r="H98" s="716" t="n"/>
      <c r="I98" s="716" t="n"/>
      <c r="J98" s="716" t="n"/>
      <c r="K98" s="1350">
        <f>IF(_epmOfflineCondition_,206230,EPMRetrieveData(,,$D$21,$D$22,$D$25,$D$26,$D$27,$D$28,$D$29,$AB$41,$AB$42,$AB$43,$AA$28,$AB$45,Q98)*-1)</f>
        <v/>
      </c>
      <c r="L98" s="1350">
        <f>IF(_epmOfflineCondition_,427068.27,EPMRetrieveData(,,$D$21,$D$22,$D$25,$D$26,$D$27,$D$28,$D$29,$AA$41,$AA$42,$AA$43,$AA$28,$AA$45,Q98)*-1)</f>
        <v/>
      </c>
      <c r="M98" s="1350">
        <f>IF(_epmOfflineCondition_,124071.58,EPMRetrieveData(,,$D$21,$D$22,$D$25,$D$26,$D$27,$D$28,$D$29,$Z$41,$Z$42,$Z$43,$AA$28,$Z$45,Q98)*-1)</f>
        <v/>
      </c>
      <c r="N98" s="1192">
        <f>IF(_epmOfflineCondition_,206230,EPMRetrieveData(,,$D$21,$D$22,$D$25,$D$26,$D$27,$D$28,$D$29,$AB$41,$AB$42,$AB$43,$Z$28,$AB$45,Q98))</f>
        <v/>
      </c>
      <c r="O98" s="1192">
        <f>IF(_epmOfflineCondition_,427068.27,EPMRetrieveData(,,$D$21,$D$22,$D$25,$D$26,$D$27,$D$28,$D$29,$AA$41,$AA$42,$AA$43,$Z$28,$AA$45,Q98))</f>
        <v/>
      </c>
      <c r="P98" s="1192">
        <f>IF(_epmOfflineCondition_,124071.58,EPMRetrieveData(,,$D$21,$D$22,$D$25,$D$26,$D$27,$D$28,$D$29,$Z$41,$Z$42,$Z$43,$Z$28,$Z$45,Q98))</f>
        <v/>
      </c>
      <c r="Q98" s="716" t="inlineStr">
        <is>
          <t>A0070302</t>
        </is>
      </c>
      <c r="R98" s="716">
        <f>IF(_epmOfflineCondition_,"人工成本明细-社会保险费用",EPMMemberDesc(Q98))</f>
        <v/>
      </c>
      <c r="S98" s="462">
        <f>IF(_epmOfflineCondition_,"人工成本明细-应发职工人工成本总额",EPMMemberDesc(U98))</f>
        <v/>
      </c>
      <c r="T98" s="716" t="n"/>
      <c r="U98" s="462" t="inlineStr">
        <is>
          <t>A00703</t>
        </is>
      </c>
      <c r="V98" s="535">
        <f>IF(_epmOfflineCondition_,"A00703",EPMOlapMemberO(U98,"[C_ACCOUNT].[PARENTH1].[A00703]","A00703 - 人工成本明细-应发职工人工成本总额","","000"))</f>
        <v/>
      </c>
      <c r="W98" s="462" t="n"/>
      <c r="X98" s="605" t="inlineStr">
        <is>
          <t>29.实际发放职工薪酬总额</t>
        </is>
      </c>
      <c r="Y98" s="1185">
        <f>ROW()-45</f>
        <v/>
      </c>
      <c r="Z98" s="1298">
        <f>SUM(M96:M112,M117,M118:M122)-M121</f>
        <v/>
      </c>
      <c r="AA98" s="1298">
        <f>SUM(L96:L112,L117,L118:L122)-L121</f>
        <v/>
      </c>
      <c r="AB98" s="1298">
        <f>SUM(K96:K112,K117,K118:K122)-K121</f>
        <v/>
      </c>
      <c r="AC98" s="1192" t="inlineStr">
        <is>
          <t>I_ALL</t>
        </is>
      </c>
      <c r="AD98" s="1192" t="inlineStr">
        <is>
          <t>I_ALL</t>
        </is>
      </c>
      <c r="AE98" s="1192" t="inlineStr">
        <is>
          <t>I_ALL</t>
        </is>
      </c>
      <c r="AF98" s="1354">
        <f>ROUND(Z98/10000,0)</f>
        <v/>
      </c>
      <c r="AG98" s="1354">
        <f>ROUND(AA98/10000,0)</f>
        <v/>
      </c>
      <c r="AH98" s="1354">
        <f>ROUND(AB98/10000,0)</f>
        <v/>
      </c>
      <c r="AI98" s="1192" t="n"/>
      <c r="AJ98" s="716" t="n"/>
      <c r="AK98" s="716" t="n"/>
      <c r="AL98" s="716" t="n"/>
      <c r="AM98" s="716" t="n"/>
      <c r="AN98" s="716" t="n"/>
      <c r="AO98" s="716" t="n"/>
      <c r="AP98" s="716" t="n"/>
      <c r="AQ98" s="716" t="n"/>
      <c r="AR98" s="716" t="n"/>
      <c r="AS98" s="716" t="n"/>
    </row>
    <row r="99" ht="16.15" customFormat="1" customHeight="1" s="716">
      <c r="A99" s="716" t="n"/>
      <c r="B99" s="716" t="n"/>
      <c r="C99" s="716" t="n"/>
      <c r="D99" s="716" t="n"/>
      <c r="E99" s="716" t="n"/>
      <c r="F99" s="716" t="n"/>
      <c r="G99" s="716" t="n"/>
      <c r="H99" s="716" t="n"/>
      <c r="I99" s="716" t="n"/>
      <c r="J99" s="716" t="n"/>
      <c r="K99" s="1350">
        <f>IF(_epmOfflineCondition_,0,EPMRetrieveData(,,$D$21,$D$22,$D$25,$D$26,$D$27,$D$28,$D$29,$AB$41,$AB$42,$AB$43,$AA$28,$AB$45,Q99)*-1)</f>
        <v/>
      </c>
      <c r="L99" s="1350">
        <f>IF(_epmOfflineCondition_,0,EPMRetrieveData(,,$D$21,$D$22,$D$25,$D$26,$D$27,$D$28,$D$29,$AA$41,$AA$42,$AA$43,$AA$28,$AA$45,Q99)*-1)</f>
        <v/>
      </c>
      <c r="M99" s="1350">
        <f>IF(_epmOfflineCondition_,0,EPMRetrieveData(,,$D$21,$D$22,$D$25,$D$26,$D$27,$D$28,$D$29,$Z$41,$Z$42,$Z$43,$AA$28,$Z$45,Q99)*-1)</f>
        <v/>
      </c>
      <c r="N99" s="1192">
        <f>IF(_epmOfflineCondition_,0,EPMRetrieveData(,,$D$21,$D$22,$D$25,$D$26,$D$27,$D$28,$D$29,$AB$41,$AB$42,$AB$43,$Z$28,$AB$45,Q99))</f>
        <v/>
      </c>
      <c r="O99" s="1192">
        <f>IF(_epmOfflineCondition_,0,EPMRetrieveData(,,$D$21,$D$22,$D$25,$D$26,$D$27,$D$28,$D$29,$AA$41,$AA$42,$AA$43,$Z$28,$AA$45,Q99))</f>
        <v/>
      </c>
      <c r="P99" s="1192">
        <f>IF(_epmOfflineCondition_,0,EPMRetrieveData(,,$D$21,$D$22,$D$25,$D$26,$D$27,$D$28,$D$29,$Z$41,$Z$42,$Z$43,$Z$28,$Z$45,Q99))</f>
        <v/>
      </c>
      <c r="Q99" s="716" t="inlineStr">
        <is>
          <t>A0070303</t>
        </is>
      </c>
      <c r="R99" s="716">
        <f>IF(_epmOfflineCondition_,"人工成本明细-商业保险费用",EPMMemberDesc(Q99))</f>
        <v/>
      </c>
      <c r="S99" s="462">
        <f>IF(_epmOfflineCondition_,"人工成本明细-应发工资总额",EPMMemberDesc(U99))</f>
        <v/>
      </c>
      <c r="T99" s="716" t="n"/>
      <c r="U99" s="462" t="inlineStr">
        <is>
          <t>A0070301</t>
        </is>
      </c>
      <c r="V99" s="459">
        <f>IF(_epmOfflineCondition_,"A0070301",EPMOlapMemberO(U99,"[C_ACCOUNT].[PARENTH1].[A0070301]","A0070301 - 人工成本明细-应发工资总额","","000"))</f>
        <v/>
      </c>
      <c r="W99" s="462" t="n"/>
      <c r="X99" s="457" t="inlineStr">
        <is>
          <t xml:space="preserve">   其中：职工工资总额</t>
        </is>
      </c>
      <c r="Y99" s="1185">
        <f>ROW()-45</f>
        <v/>
      </c>
      <c r="Z99" s="1298">
        <f>IF(_epmOfflineCondition_,397586.2,EPMRetrieveData(,,$D$21,$D$22,$D$25,$D$26,$D$27,$D$28,$D$29,$Z$41,$Z$42,$Z$43,$AA$28,$Z$45,V99)*-1)</f>
        <v/>
      </c>
      <c r="AA99" s="1298">
        <f>IF(_epmOfflineCondition_,1108035.55,EPMRetrieveData(,,$D$21,$D$22,$D$25,$D$26,$D$27,$D$28,$D$29,$AA$41,$AA$42,$AA$43,$AA$28,$AA$45,V99)*-1)</f>
        <v/>
      </c>
      <c r="AB99" s="1298">
        <f>IF(_epmOfflineCondition_,531563.5,EPMRetrieveData(,,$D$21,$D$22,$D$25,$D$26,$D$27,$D$28,$D$29,$AB$41,$AB$42,$AB$43,$AA$28,$AB$45,V99)*-1)</f>
        <v/>
      </c>
      <c r="AC99" s="1192" t="inlineStr">
        <is>
          <t>ZM_ALL</t>
        </is>
      </c>
      <c r="AD99" s="1192" t="inlineStr">
        <is>
          <t>ZM_ALL</t>
        </is>
      </c>
      <c r="AE99" s="1192" t="inlineStr">
        <is>
          <t>ZM_ALL</t>
        </is>
      </c>
      <c r="AF99" s="1354">
        <f>ROUND(Z99/10000,0)</f>
        <v/>
      </c>
      <c r="AG99" s="1354">
        <f>ROUND(AA99/10000,0)</f>
        <v/>
      </c>
      <c r="AH99" s="1354">
        <f>ROUND(AB99/10000,0)</f>
        <v/>
      </c>
      <c r="AI99" s="1192" t="n"/>
      <c r="AJ99" s="716" t="n"/>
      <c r="AK99" s="716" t="n"/>
      <c r="AL99" s="716" t="n"/>
      <c r="AM99" s="716" t="n"/>
      <c r="AN99" s="716" t="n"/>
      <c r="AO99" s="716" t="n"/>
      <c r="AP99" s="716" t="n"/>
      <c r="AQ99" s="716" t="n"/>
      <c r="AR99" s="716" t="n"/>
      <c r="AS99" s="716" t="n"/>
    </row>
    <row r="100" ht="16.15" customFormat="1" customHeight="1" s="716">
      <c r="A100" s="716" t="n"/>
      <c r="B100" s="716" t="n"/>
      <c r="C100" s="716" t="n"/>
      <c r="D100" s="716" t="n"/>
      <c r="E100" s="716" t="n"/>
      <c r="F100" s="716" t="n"/>
      <c r="G100" s="716" t="n"/>
      <c r="H100" s="716" t="n"/>
      <c r="I100" s="716" t="n"/>
      <c r="J100" s="716" t="n"/>
      <c r="K100" s="1350">
        <f>IF(_epmOfflineCondition_,248103.86,EPMRetrieveData(,,$D$21,$D$22,$D$25,$D$26,$D$27,$D$28,$D$29,$AB$41,$AB$42,$AB$43,$AA$28,$AB$45,Q100)*-1)</f>
        <v/>
      </c>
      <c r="L100" s="1350">
        <f>IF(_epmOfflineCondition_,81855.46,EPMRetrieveData(,,$D$21,$D$22,$D$25,$D$26,$D$27,$D$28,$D$29,$AA$41,$AA$42,$AA$43,$AA$28,$AA$45,Q100)*-1)</f>
        <v/>
      </c>
      <c r="M100" s="1350">
        <f>IF(_epmOfflineCondition_,24389.54,EPMRetrieveData(,,$D$21,$D$22,$D$25,$D$26,$D$27,$D$28,$D$29,$Z$41,$Z$42,$Z$43,$AA$28,$Z$45,Q100)*-1)</f>
        <v/>
      </c>
      <c r="N100" s="1192">
        <f>IF(_epmOfflineCondition_,248103.86,EPMRetrieveData(,,$D$21,$D$22,$D$25,$D$26,$D$27,$D$28,$D$29,$AB$41,$AB$42,$AB$43,$Z$28,$AB$45,Q100))</f>
        <v/>
      </c>
      <c r="O100" s="1192">
        <f>IF(_epmOfflineCondition_,81855.46,EPMRetrieveData(,,$D$21,$D$22,$D$25,$D$26,$D$27,$D$28,$D$29,$AA$41,$AA$42,$AA$43,$Z$28,$AA$45,Q100))</f>
        <v/>
      </c>
      <c r="P100" s="1192">
        <f>IF(_epmOfflineCondition_,24389.54,EPMRetrieveData(,,$D$21,$D$22,$D$25,$D$26,$D$27,$D$28,$D$29,$Z$41,$Z$42,$Z$43,$Z$28,$Z$45,Q100))</f>
        <v/>
      </c>
      <c r="Q100" s="716" t="inlineStr">
        <is>
          <t>A0070304P</t>
        </is>
      </c>
      <c r="R100" s="716">
        <f>IF(_epmOfflineCondition_,"人工成本明细-福利费用",EPMMemberDesc(Q100))</f>
        <v/>
      </c>
      <c r="S100" s="462">
        <f>IF(_epmOfflineCondition_,"人工成本明细-其中：应发工资总额",EPMMemberDesc(U100))</f>
        <v/>
      </c>
      <c r="T100" s="716" t="n"/>
      <c r="U100" s="462" t="inlineStr">
        <is>
          <t>A0070401</t>
        </is>
      </c>
      <c r="V100" s="459">
        <f>IF(_epmOfflineCondition_,"A0070401",EPMOlapMemberO(U100,"[C_ACCOUNT].[PARENTH1].[A0070401]","A0070401 - 人工成本明细-其中：应发工资总额","","000"))</f>
        <v/>
      </c>
      <c r="W100" s="462" t="n"/>
      <c r="X100" s="614" t="inlineStr">
        <is>
          <t xml:space="preserve">          其中：在岗职工工资总额</t>
        </is>
      </c>
      <c r="Y100" s="1185">
        <f>ROW()-45</f>
        <v/>
      </c>
      <c r="Z100" s="1298">
        <f>M96-M115-M116</f>
        <v/>
      </c>
      <c r="AA100" s="1298">
        <f>L96-L115-L116</f>
        <v/>
      </c>
      <c r="AB100" s="1298">
        <f>K96-K115-K116</f>
        <v/>
      </c>
      <c r="AC100" s="1192" t="inlineStr">
        <is>
          <t>ZP_ALL</t>
        </is>
      </c>
      <c r="AD100" s="1192" t="inlineStr">
        <is>
          <t>ZP_ALL</t>
        </is>
      </c>
      <c r="AE100" s="1192" t="inlineStr">
        <is>
          <t>ZP_ALL</t>
        </is>
      </c>
      <c r="AF100" s="1354">
        <f>ROUND(Z100/10000,0)</f>
        <v/>
      </c>
      <c r="AG100" s="1354">
        <f>ROUND(AA100/10000,0)</f>
        <v/>
      </c>
      <c r="AH100" s="1354">
        <f>ROUND(AB100/10000,0)</f>
        <v/>
      </c>
      <c r="AI100" s="1192" t="n"/>
      <c r="AJ100" s="716" t="n"/>
      <c r="AK100" s="716" t="n"/>
      <c r="AL100" s="716" t="n"/>
      <c r="AM100" s="716" t="n"/>
      <c r="AN100" s="716" t="n"/>
      <c r="AO100" s="716" t="n"/>
      <c r="AP100" s="716" t="n"/>
      <c r="AQ100" s="716" t="n"/>
      <c r="AR100" s="716" t="n"/>
      <c r="AS100" s="716" t="n"/>
    </row>
    <row r="101" ht="16.15" customFormat="1" customHeight="1" s="716">
      <c r="A101" s="716" t="n"/>
      <c r="B101" s="716" t="n"/>
      <c r="C101" s="716" t="n"/>
      <c r="D101" s="716" t="n"/>
      <c r="E101" s="716" t="n"/>
      <c r="F101" s="716" t="n"/>
      <c r="G101" s="716" t="n"/>
      <c r="H101" s="716" t="n"/>
      <c r="I101" s="716" t="n"/>
      <c r="J101" s="716" t="n"/>
      <c r="K101" s="1350" t="n"/>
      <c r="L101" s="1350" t="n"/>
      <c r="M101" s="1350" t="n"/>
      <c r="N101" s="1192" t="n"/>
      <c r="O101" s="1192" t="n"/>
      <c r="P101" s="1192" t="n"/>
      <c r="Q101" s="716" t="n"/>
      <c r="R101" s="716" t="n"/>
      <c r="S101" s="462" t="n"/>
      <c r="T101" s="716" t="n"/>
      <c r="U101" s="462" t="inlineStr">
        <is>
          <t>A00706</t>
        </is>
      </c>
      <c r="V101" s="535">
        <f>IF(_epmOfflineCondition_,"A00706",EPMOlapMemberO(U101,"[C_ACCOUNT].[PARENTH1].[A00706]","A00706 - 人工成本明细-劳务派遣用工支出","","000"))</f>
        <v/>
      </c>
      <c r="W101" s="462" t="n"/>
      <c r="X101" s="605" t="inlineStr">
        <is>
          <t xml:space="preserve">         劳务派遣费用</t>
        </is>
      </c>
      <c r="Y101" s="1185">
        <f>ROW()-45</f>
        <v/>
      </c>
      <c r="Z101" s="1298">
        <f>IF(_epmOfflineCondition_,0,EPMRetrieveData(,,$D$21,$D$22,$D$25,$D$26,$D$27,$D$28,$D$29,$Z$41,$Z$42,$Z$43,$AA$28,$Z$45,V101)*-1)</f>
        <v/>
      </c>
      <c r="AA101" s="1298">
        <f>IF(_epmOfflineCondition_,0,EPMRetrieveData(,,$D$21,$D$22,$D$25,$D$26,$D$27,$D$28,$D$29,$AA$41,$AA$42,$AA$43,$AA$28,$AA$45,V101)*-1)</f>
        <v/>
      </c>
      <c r="AB101" s="1298">
        <f>IF(_epmOfflineCondition_,0,EPMRetrieveData(,,$D$21,$D$22,$D$25,$D$26,$D$27,$D$28,$D$29,$AB$41,$AB$42,$AB$43,$AA$28,$AB$45,V101)*-1)</f>
        <v/>
      </c>
      <c r="AC101" s="1192" t="n"/>
      <c r="AD101" s="1192" t="n"/>
      <c r="AE101" s="1192" t="n"/>
      <c r="AF101" s="1354">
        <f>ROUND(Z101/10000,0)</f>
        <v/>
      </c>
      <c r="AG101" s="1354">
        <f>ROUND(AA101/10000,0)</f>
        <v/>
      </c>
      <c r="AH101" s="1354">
        <f>ROUND(AB101/10000,0)</f>
        <v/>
      </c>
      <c r="AI101" s="1192" t="n"/>
      <c r="AJ101" s="716" t="n"/>
      <c r="AK101" s="716" t="n"/>
      <c r="AL101" s="716" t="n"/>
      <c r="AM101" s="716" t="n"/>
      <c r="AN101" s="716" t="n"/>
      <c r="AO101" s="716" t="n"/>
      <c r="AP101" s="716" t="n"/>
      <c r="AQ101" s="716" t="n"/>
      <c r="AR101" s="716" t="n"/>
      <c r="AS101" s="716" t="n"/>
    </row>
    <row r="102" ht="16.15" customFormat="1" customHeight="1" s="716">
      <c r="A102" s="716" t="n"/>
      <c r="B102" s="716" t="n"/>
      <c r="C102" s="716" t="n"/>
      <c r="D102" s="716" t="n"/>
      <c r="E102" s="716" t="n"/>
      <c r="F102" s="716" t="n"/>
      <c r="G102" s="716" t="n"/>
      <c r="H102" s="716" t="n"/>
      <c r="I102" s="716" t="n"/>
      <c r="J102" s="716" t="n"/>
      <c r="K102" s="1350">
        <f>IF(_epmOfflineCondition_,3268.32,EPMRetrieveData(,,$D$21,$D$22,$D$25,$D$26,$D$27,$D$28,$D$29,$AB$41,$AB$42,$AB$43,$AA$28,$AB$45,Q102)*-1)</f>
        <v/>
      </c>
      <c r="L102" s="1350">
        <f>IF(_epmOfflineCondition_,4259.54,EPMRetrieveData(,,$D$21,$D$22,$D$25,$D$26,$D$27,$D$28,$D$29,$AA$41,$AA$42,$AA$43,$AA$28,$AA$45,Q102)*-1)</f>
        <v/>
      </c>
      <c r="M102" s="1350">
        <f>IF(_epmOfflineCondition_,893.2,EPMRetrieveData(,,$D$21,$D$22,$D$25,$D$26,$D$27,$D$28,$D$29,$Z$41,$Z$42,$Z$43,$AA$28,$Z$45,Q102)*-1)</f>
        <v/>
      </c>
      <c r="N102" s="1192">
        <f>IF(_epmOfflineCondition_,3268.32,EPMRetrieveData(,,$D$21,$D$22,$D$25,$D$26,$D$27,$D$28,$D$29,$AB$41,$AB$42,$AB$43,$Z$28,$AB$45,Q102))</f>
        <v/>
      </c>
      <c r="O102" s="1192">
        <f>IF(_epmOfflineCondition_,4259.54,EPMRetrieveData(,,$D$21,$D$22,$D$25,$D$26,$D$27,$D$28,$D$29,$AA$41,$AA$42,$AA$43,$Z$28,$AA$45,Q102))</f>
        <v/>
      </c>
      <c r="P102" s="1192">
        <f>IF(_epmOfflineCondition_,893.2,EPMRetrieveData(,,$D$21,$D$22,$D$25,$D$26,$D$27,$D$28,$D$29,$Z$41,$Z$42,$Z$43,$Z$28,$Z$45,Q102))</f>
        <v/>
      </c>
      <c r="Q102" s="716" t="inlineStr">
        <is>
          <t>A0070305</t>
        </is>
      </c>
      <c r="R102" s="716">
        <f>IF(_epmOfflineCondition_,"人工成本明细-教育培训经费",EPMMemberDesc(Q102))</f>
        <v/>
      </c>
      <c r="S102" s="462">
        <f>IF(_epmOfflineCondition_,"人工成本明细-全年平均职工人数（人）",EPMMemberDesc(U102))</f>
        <v/>
      </c>
      <c r="T102" s="716" t="n"/>
      <c r="U102" s="716" t="inlineStr">
        <is>
          <t>A0070702</t>
        </is>
      </c>
      <c r="V102" s="459">
        <f>IF(_epmOfflineCondition_,"A0070702",EPMOlapMemberO(U102,"[C_ACCOUNT].[PARENTH1].[A0070702]","A0070702 - 人工成本明细-全年平均职工人数（人）","","000"))</f>
        <v/>
      </c>
      <c r="W102" s="462" t="n"/>
      <c r="X102" s="585" t="inlineStr">
        <is>
          <t>30. 职工人数（人）（不含劳务派遣人员）</t>
        </is>
      </c>
      <c r="Y102" s="1185">
        <f>ROW()-45</f>
        <v/>
      </c>
      <c r="Z102" s="1347">
        <f>"— —"</f>
        <v/>
      </c>
      <c r="AA102" s="1298">
        <f>IF(_epmOfflineCondition_,21,EPMRetrieveData(,,$D$21,$D$22,$C$25,$C$26,$C$27,$C$28,$C$29,$AA$41,$AA$42,$AA$43,$Z$28,$AA$45,V102))</f>
        <v/>
      </c>
      <c r="AB102" s="1298">
        <f>IF(_epmOfflineCondition_,12,EPMRetrieveData(,,$D$21,$D$22,$C$25,$C$26,$C$27,$C$28,$C$29,$AB$41,$AB$42,$AB$43,$Z$28,$AB$45,V102))</f>
        <v/>
      </c>
      <c r="AC102" s="1192" t="inlineStr">
        <is>
          <t>ZI_ALL</t>
        </is>
      </c>
      <c r="AD102" s="1192" t="inlineStr">
        <is>
          <t>ZI_ALL</t>
        </is>
      </c>
      <c r="AE102" s="1192" t="inlineStr">
        <is>
          <t>ZI_ALL</t>
        </is>
      </c>
      <c r="AF102" s="1355">
        <f>"— —"</f>
        <v/>
      </c>
      <c r="AG102" s="1354">
        <f>AA102</f>
        <v/>
      </c>
      <c r="AH102" s="1354">
        <f>AB102</f>
        <v/>
      </c>
      <c r="AI102" s="1192" t="n"/>
      <c r="AJ102" s="716" t="n"/>
      <c r="AK102" s="716" t="n"/>
      <c r="AL102" s="716" t="n"/>
      <c r="AM102" s="716" t="n"/>
      <c r="AN102" s="716" t="n"/>
      <c r="AO102" s="716" t="n"/>
      <c r="AP102" s="716" t="n"/>
      <c r="AQ102" s="716" t="n"/>
      <c r="AR102" s="716" t="n"/>
      <c r="AS102" s="716" t="n"/>
    </row>
    <row r="103" ht="16.15" customFormat="1" customHeight="1" s="716">
      <c r="A103" s="716" t="n"/>
      <c r="B103" s="716" t="n"/>
      <c r="C103" s="716" t="n"/>
      <c r="D103" s="716" t="n"/>
      <c r="E103" s="716" t="n"/>
      <c r="F103" s="716" t="n"/>
      <c r="G103" s="716" t="n"/>
      <c r="H103" s="716" t="n"/>
      <c r="I103" s="716" t="n"/>
      <c r="J103" s="716" t="n"/>
      <c r="K103" s="1350">
        <f>IF(_epmOfflineCondition_,29888.7,EPMRetrieveData(,,$D$21,$D$22,$D$25,$D$26,$D$27,$D$28,$D$29,$AB$41,$AB$42,$AB$43,$AA$28,$AB$45,Q103)*-1)</f>
        <v/>
      </c>
      <c r="L103" s="1350">
        <f>IF(_epmOfflineCondition_,47076.71,EPMRetrieveData(,,$D$21,$D$22,$D$25,$D$26,$D$27,$D$28,$D$29,$AA$41,$AA$42,$AA$43,$AA$28,$AA$45,Q103)*-1)</f>
        <v/>
      </c>
      <c r="M103" s="1350">
        <f>IF(_epmOfflineCondition_,7421.41,EPMRetrieveData(,,$D$21,$D$22,$D$25,$D$26,$D$27,$D$28,$D$29,$Z$41,$Z$42,$Z$43,$AA$28,$Z$45,Q103)*-1)</f>
        <v/>
      </c>
      <c r="N103" s="1192">
        <f>IF(_epmOfflineCondition_,10631.27,EPMRetrieveData(,,$D$21,$D$22,$D$25,$D$26,$D$27,$D$28,$D$29,$AB$41,$AB$42,$AB$43,$Z$28,$AB$45,Q103))</f>
        <v/>
      </c>
      <c r="O103" s="1192">
        <f>IF(_epmOfflineCondition_,22160.71,EPMRetrieveData(,,$D$21,$D$22,$D$25,$D$26,$D$27,$D$28,$D$29,$AA$41,$AA$42,$AA$43,$Z$28,$AA$45,Q103))</f>
        <v/>
      </c>
      <c r="P103" s="1192">
        <f>IF(_epmOfflineCondition_,7951.72,EPMRetrieveData(,,$D$21,$D$22,$D$25,$D$26,$D$27,$D$28,$D$29,$Z$41,$Z$42,$Z$43,$Z$28,$Z$45,Q103))</f>
        <v/>
      </c>
      <c r="Q103" s="716" t="inlineStr">
        <is>
          <t>A0070306</t>
        </is>
      </c>
      <c r="R103" s="716">
        <f>IF(_epmOfflineCondition_,"人工成本明细-工会经费",EPMMemberDesc(Q103))</f>
        <v/>
      </c>
      <c r="S103" s="462">
        <f>IF(_epmOfflineCondition_,"人工成本明细-全年平均在岗职工人数（人）",EPMMemberDesc(U103))</f>
        <v/>
      </c>
      <c r="T103" s="716" t="n"/>
      <c r="U103" s="462" t="inlineStr">
        <is>
          <t>A0070703</t>
        </is>
      </c>
      <c r="V103" s="459">
        <f>IF(_epmOfflineCondition_,"A0070703",EPMOlapMemberO(U103,"[C_ACCOUNT].[PARENTH1].[A0070703]","A0070703 - 人工成本明细-全年平均在岗职工人数（人）","","000"))</f>
        <v/>
      </c>
      <c r="W103" s="462" t="n"/>
      <c r="X103" s="457" t="inlineStr">
        <is>
          <t xml:space="preserve">   其中：在岗职工人数（人）</t>
        </is>
      </c>
      <c r="Y103" s="1185">
        <f>ROW()-45</f>
        <v/>
      </c>
      <c r="Z103" s="1347">
        <f>"— —"</f>
        <v/>
      </c>
      <c r="AA103" s="1298">
        <f>IF(_epmOfflineCondition_,21,EPMRetrieveData(,,$D$21,$D$22,$C$25,$C$26,$C$27,$C$28,$C$29,$AA$41,$AA$42,$AA$43,$Z$28,$AA$45,V103))</f>
        <v/>
      </c>
      <c r="AB103" s="1298">
        <f>IF(_epmOfflineCondition_,12,EPMRetrieveData(,,$D$21,$D$22,$C$25,$C$26,$C$27,$C$28,$C$29,$AB$41,$AB$42,$AB$43,$Z$28,$AB$45,V103))</f>
        <v/>
      </c>
      <c r="AC103" s="1192">
        <f>$H$17</f>
        <v/>
      </c>
      <c r="AD103" s="1192">
        <f>$H$17</f>
        <v/>
      </c>
      <c r="AE103" s="1192">
        <f>$H$17</f>
        <v/>
      </c>
      <c r="AF103" s="1355">
        <f>"— —"</f>
        <v/>
      </c>
      <c r="AG103" s="1354">
        <f>AA103</f>
        <v/>
      </c>
      <c r="AH103" s="1354">
        <f>AB103</f>
        <v/>
      </c>
      <c r="AI103" s="1192" t="n"/>
      <c r="AJ103" s="716" t="n"/>
      <c r="AK103" s="716" t="n"/>
      <c r="AL103" s="716" t="n"/>
      <c r="AM103" s="716" t="n"/>
      <c r="AN103" s="716" t="n"/>
      <c r="AO103" s="716" t="n"/>
      <c r="AP103" s="716" t="n"/>
      <c r="AQ103" s="716" t="n"/>
      <c r="AR103" s="716" t="n"/>
      <c r="AS103" s="716" t="n"/>
    </row>
    <row r="104" ht="16.15" customFormat="1" customHeight="1" s="716">
      <c r="A104" s="716" t="n"/>
      <c r="B104" s="716" t="n"/>
      <c r="C104" s="716" t="n"/>
      <c r="D104" s="716" t="n"/>
      <c r="E104" s="716" t="n"/>
      <c r="F104" s="716" t="n"/>
      <c r="G104" s="716" t="n"/>
      <c r="H104" s="716" t="n"/>
      <c r="I104" s="716" t="n"/>
      <c r="J104" s="716" t="n"/>
      <c r="K104" s="1350">
        <f>IF(_epmOfflineCondition_,0,EPMRetrieveData(,,$D$21,$D$22,$D$25,$D$26,$D$27,$D$28,$D$29,$AB$41,$AB$42,$AB$43,$AA$28,$AB$45,Q104)*-1)</f>
        <v/>
      </c>
      <c r="L104" s="1350">
        <f>IF(_epmOfflineCondition_,925.17,EPMRetrieveData(,,$D$21,$D$22,$D$25,$D$26,$D$27,$D$28,$D$29,$AA$41,$AA$42,$AA$43,$AA$28,$AA$45,Q104)*-1)</f>
        <v/>
      </c>
      <c r="M104" s="1350">
        <f>IF(_epmOfflineCondition_,925.17,EPMRetrieveData(,,$D$21,$D$22,$D$25,$D$26,$D$27,$D$28,$D$29,$Z$41,$Z$42,$Z$43,$AA$28,$Z$45,Q104)*-1)</f>
        <v/>
      </c>
      <c r="N104" s="1192">
        <f>IF(_epmOfflineCondition_,0,EPMRetrieveData(,,$D$21,$D$22,$D$25,$D$26,$D$27,$D$28,$D$29,$AB$41,$AB$42,$AB$43,$Z$28,$AB$45,Q104))</f>
        <v/>
      </c>
      <c r="O104" s="1192">
        <f>IF(_epmOfflineCondition_,925.17,EPMRetrieveData(,,$D$21,$D$22,$D$25,$D$26,$D$27,$D$28,$D$29,$AA$41,$AA$42,$AA$43,$Z$28,$AA$45,Q104))</f>
        <v/>
      </c>
      <c r="P104" s="1192">
        <f>IF(_epmOfflineCondition_,925.17,EPMRetrieveData(,,$D$21,$D$22,$D$25,$D$26,$D$27,$D$28,$D$29,$Z$41,$Z$42,$Z$43,$Z$28,$Z$45,Q104))</f>
        <v/>
      </c>
      <c r="Q104" s="716" t="inlineStr">
        <is>
          <t>A0070307</t>
        </is>
      </c>
      <c r="R104" s="716">
        <f>IF(_epmOfflineCondition_,"人工成本明细-劳动保护费",EPMMemberDesc(Q104))</f>
        <v/>
      </c>
      <c r="S104" s="462">
        <f>IF(_epmOfflineCondition_,"人工成本明细-全年平均从业人员人数（人）",EPMMemberDesc(U104))</f>
        <v/>
      </c>
      <c r="T104" s="716" t="n"/>
      <c r="U104" s="462" t="inlineStr">
        <is>
          <t>A0070701</t>
        </is>
      </c>
      <c r="V104" s="459">
        <f>IF(_epmOfflineCondition_,"A0070701",EPMOlapMemberO(U104,"[C_ACCOUNT].[PARENTH1].[A0070701]","A0070701 - 人工成本明细-全年平均从业人员人数（人）","","000"))</f>
        <v/>
      </c>
      <c r="W104" s="462" t="n"/>
      <c r="X104" s="585" t="inlineStr">
        <is>
          <t>31. 从业人员人数（人）</t>
        </is>
      </c>
      <c r="Y104" s="1185">
        <f>ROW()-45</f>
        <v/>
      </c>
      <c r="Z104" s="1347">
        <f>"— —"</f>
        <v/>
      </c>
      <c r="AA104" s="1298">
        <f>IF(_epmOfflineCondition_,21,EPMRetrieveData(,,$D$21,$D$22,$C$25,$C$26,$C$27,$C$28,$C$29,$AA$41,$AA$42,$AA$43,$Z$28,$AA$45,V104))</f>
        <v/>
      </c>
      <c r="AB104" s="1298">
        <f>IF(_epmOfflineCondition_,12,EPMRetrieveData(,,$D$21,$D$22,$C$25,$C$26,$C$27,$C$28,$C$29,$AB$41,$AB$42,$AB$43,$Z$28,$AB$45,V104))</f>
        <v/>
      </c>
      <c r="AC104" s="1192">
        <f>$D$26</f>
        <v/>
      </c>
      <c r="AD104" s="1192">
        <f>$D$26</f>
        <v/>
      </c>
      <c r="AE104" s="1192">
        <f>$D$26</f>
        <v/>
      </c>
      <c r="AF104" s="1355">
        <f>"— —"</f>
        <v/>
      </c>
      <c r="AG104" s="1354">
        <f>AA104</f>
        <v/>
      </c>
      <c r="AH104" s="1354">
        <f>AB104</f>
        <v/>
      </c>
      <c r="AI104" s="1192" t="n"/>
      <c r="AJ104" s="716" t="n"/>
      <c r="AK104" s="716" t="n"/>
      <c r="AL104" s="716" t="n"/>
      <c r="AM104" s="716" t="n"/>
      <c r="AN104" s="716" t="n"/>
      <c r="AO104" s="716" t="n"/>
      <c r="AP104" s="716" t="n"/>
      <c r="AQ104" s="716" t="n"/>
      <c r="AR104" s="716" t="n"/>
      <c r="AS104" s="716" t="n"/>
    </row>
    <row r="105" ht="16.15" customFormat="1" customHeight="1" s="716">
      <c r="A105" s="716" t="n"/>
      <c r="B105" s="716" t="n"/>
      <c r="C105" s="716" t="n"/>
      <c r="D105" s="716" t="n"/>
      <c r="E105" s="716" t="n"/>
      <c r="F105" s="716" t="n"/>
      <c r="G105" s="716" t="n"/>
      <c r="H105" s="716" t="n"/>
      <c r="I105" s="716" t="n"/>
      <c r="J105" s="716" t="n"/>
      <c r="K105" s="1350" t="n"/>
      <c r="L105" s="1350" t="n"/>
      <c r="M105" s="1350" t="n"/>
      <c r="N105" s="1192" t="n"/>
      <c r="O105" s="1192" t="n"/>
      <c r="P105" s="1192" t="n"/>
      <c r="Q105" s="716" t="n"/>
      <c r="R105" s="716" t="n"/>
      <c r="S105" s="462" t="n"/>
      <c r="T105" s="716" t="n"/>
      <c r="U105" s="462" t="inlineStr">
        <is>
          <t>A0070704</t>
        </is>
      </c>
      <c r="V105" s="459">
        <f>IF(_epmOfflineCondition_,"A0070704",EPMOlapMemberO(U105,"[C_ACCOUNT].[PARENTH1].[A0070704]","A0070704 - 人工成本明细-劳务派遣用工人数（人）","","000"))</f>
        <v/>
      </c>
      <c r="W105" s="462" t="n"/>
      <c r="X105" s="605" t="inlineStr">
        <is>
          <t xml:space="preserve">   其中：劳务派遣人数</t>
        </is>
      </c>
      <c r="Y105" s="1185">
        <f>ROW()-45</f>
        <v/>
      </c>
      <c r="Z105" s="1347">
        <f>"— —"</f>
        <v/>
      </c>
      <c r="AA105" s="1298">
        <f>IF(_epmOfflineCondition_,0,EPMRetrieveData(,,$D$21,$D$22,$C$25,$C$26,$C$27,$C$28,$C$29,$AA$41,$AA$42,$AA$43,$Z$28,$AA$45,V105))</f>
        <v/>
      </c>
      <c r="AB105" s="1298">
        <f>IF(_epmOfflineCondition_,0,EPMRetrieveData(,,$D$21,$D$22,$C$25,$C$26,$C$27,$C$28,$C$29,$AB$41,$AB$42,$AB$43,$Z$28,$AB$45,V105))</f>
        <v/>
      </c>
      <c r="AC105" s="1192" t="n"/>
      <c r="AD105" s="1192" t="n"/>
      <c r="AE105" s="1192" t="n"/>
      <c r="AF105" s="1355">
        <f>"— —"</f>
        <v/>
      </c>
      <c r="AG105" s="1354">
        <f>AA105</f>
        <v/>
      </c>
      <c r="AH105" s="1354">
        <f>AB105</f>
        <v/>
      </c>
      <c r="AI105" s="1192" t="n"/>
      <c r="AJ105" s="716" t="n"/>
      <c r="AK105" s="716" t="n"/>
      <c r="AL105" s="716" t="n"/>
      <c r="AM105" s="716" t="n"/>
      <c r="AN105" s="716" t="n"/>
      <c r="AO105" s="716" t="n"/>
      <c r="AP105" s="716" t="n"/>
      <c r="AQ105" s="716" t="n"/>
      <c r="AR105" s="716" t="n"/>
      <c r="AS105" s="716" t="n"/>
    </row>
    <row r="106" ht="16.15" customFormat="1" customHeight="1" s="716">
      <c r="A106" s="716" t="n"/>
      <c r="B106" s="716" t="n"/>
      <c r="C106" s="716" t="n"/>
      <c r="D106" s="716" t="n"/>
      <c r="E106" s="716" t="n"/>
      <c r="F106" s="716" t="n"/>
      <c r="G106" s="716" t="n"/>
      <c r="H106" s="716" t="n"/>
      <c r="I106" s="716" t="n"/>
      <c r="J106" s="716" t="n"/>
      <c r="K106" s="1350">
        <f>IF(_epmOfflineCondition_,0,EPMRetrieveData(,,$D$21,$D$22,$D$25,$D$26,$D$27,$D$28,$D$29,$AB$41,$AB$42,$AB$43,$AA$28,$AB$45,Q106)*-1)</f>
        <v/>
      </c>
      <c r="L106" s="1350">
        <f>IF(_epmOfflineCondition_,0,EPMRetrieveData(,,$D$21,$D$22,$D$25,$D$26,$D$27,$D$28,$D$29,$AA$41,$AA$42,$AA$43,$AA$28,$AA$45,Q106)*-1)</f>
        <v/>
      </c>
      <c r="M106" s="1350">
        <f>IF(_epmOfflineCondition_,0,EPMRetrieveData(,,$D$21,$D$22,$D$25,$D$26,$D$27,$D$28,$D$29,$Z$41,$Z$42,$Z$43,$AA$28,$Z$45,Q106)*-1)</f>
        <v/>
      </c>
      <c r="N106" s="1192">
        <f>IF(_epmOfflineCondition_,0,EPMRetrieveData(,,$D$21,$D$22,$D$25,$D$26,$D$27,$D$28,$D$29,$AB$41,$AB$42,$AB$43,$Z$28,$AB$45,Q106))</f>
        <v/>
      </c>
      <c r="O106" s="1192">
        <f>IF(_epmOfflineCondition_,0,EPMRetrieveData(,,$D$21,$D$22,$D$25,$D$26,$D$27,$D$28,$D$29,$AA$41,$AA$42,$AA$43,$Z$28,$AA$45,Q106))</f>
        <v/>
      </c>
      <c r="P106" s="1192">
        <f>IF(_epmOfflineCondition_,0,EPMRetrieveData(,,$D$21,$D$22,$D$25,$D$26,$D$27,$D$28,$D$29,$Z$41,$Z$42,$Z$43,$Z$28,$Z$45,Q106))</f>
        <v/>
      </c>
      <c r="Q106" s="716" t="inlineStr">
        <is>
          <t>A0070311</t>
        </is>
      </c>
      <c r="R106" s="716">
        <f>IF(_epmOfflineCondition_,"人工成本明细-辞退福利",EPMMemberDesc(Q106))</f>
        <v/>
      </c>
      <c r="S106" s="462">
        <f>IF(_epmOfflineCondition_,"31.固定资产投资额",EPMMemberDesc(U106))</f>
        <v/>
      </c>
      <c r="T106" s="716" t="n"/>
      <c r="U106" s="462" t="inlineStr">
        <is>
          <t>A07810</t>
        </is>
      </c>
      <c r="V106" s="535">
        <f>IF(_epmOfflineCondition_,"A07810",EPMOlapMemberO(U106,"[C_ACCOUNT].[PARENTH1].[A07810]","A07810 - 31.固定资产投资额","","000"))</f>
        <v/>
      </c>
      <c r="W106" s="462" t="n"/>
      <c r="X106" s="585" t="inlineStr">
        <is>
          <t>32. 固定资产投资额</t>
        </is>
      </c>
      <c r="Y106" s="1185">
        <f>ROW()-45</f>
        <v/>
      </c>
      <c r="Z106" s="1298" t="inlineStr"/>
      <c r="AA106" s="1298" t="inlineStr"/>
      <c r="AB106" s="1298" t="inlineStr"/>
      <c r="AC106" s="1192">
        <f>AA41</f>
        <v/>
      </c>
      <c r="AD106" s="1192">
        <f>AA41</f>
        <v/>
      </c>
      <c r="AE106" s="1192">
        <f>AB41</f>
        <v/>
      </c>
      <c r="AF106" s="1354">
        <f>ROUND(Z106/10000,0)</f>
        <v/>
      </c>
      <c r="AG106" s="1354">
        <f>ROUND(AA106/10000,0)</f>
        <v/>
      </c>
      <c r="AH106" s="1354">
        <f>ROUND(AB106/10000,0)</f>
        <v/>
      </c>
      <c r="AI106" s="1192" t="n"/>
      <c r="AJ106" s="716" t="n"/>
      <c r="AK106" s="716" t="n"/>
      <c r="AL106" s="716" t="n"/>
      <c r="AM106" s="716" t="n"/>
      <c r="AN106" s="716" t="n"/>
      <c r="AO106" s="716" t="n"/>
      <c r="AP106" s="716" t="n"/>
      <c r="AQ106" s="716" t="n"/>
      <c r="AR106" s="716" t="n"/>
      <c r="AS106" s="716" t="n"/>
    </row>
    <row r="107" ht="16.15" customFormat="1" customHeight="1" s="716">
      <c r="A107" s="716" t="n"/>
      <c r="B107" s="716" t="n"/>
      <c r="C107" s="716" t="n"/>
      <c r="D107" s="716" t="n"/>
      <c r="E107" s="716" t="n"/>
      <c r="F107" s="716" t="n"/>
      <c r="G107" s="716" t="n"/>
      <c r="H107" s="716" t="n"/>
      <c r="I107" s="716" t="n"/>
      <c r="J107" s="716" t="n"/>
      <c r="K107" s="1350">
        <f>IF(_epmOfflineCondition_,0,EPMRetrieveData(,,$D$21,$D$22,$D$25,$D$26,$D$27,$D$28,$D$29,$AB$41,$AB$42,$AB$43,$AA$28,$AB$45,Q107)*-1)</f>
        <v/>
      </c>
      <c r="L107" s="1350">
        <f>IF(_epmOfflineCondition_,0,EPMRetrieveData(,,$D$21,$D$22,$D$25,$D$26,$D$27,$D$28,$D$29,$AA$41,$AA$42,$AA$43,$AA$28,$AA$45,Q107)*-1)</f>
        <v/>
      </c>
      <c r="M107" s="1350">
        <f>IF(_epmOfflineCondition_,0,EPMRetrieveData(,,$D$21,$D$22,$D$25,$D$26,$D$27,$D$28,$D$29,$Z$41,$Z$42,$Z$43,$AA$28,$Z$45,Q107)*-1)</f>
        <v/>
      </c>
      <c r="N107" s="1192">
        <f>IF(_epmOfflineCondition_,0,EPMRetrieveData(,,$D$21,$D$22,$D$25,$D$26,$D$27,$D$28,$D$29,$AB$41,$AB$42,$AB$43,$Z$28,$AB$45,Q107))</f>
        <v/>
      </c>
      <c r="O107" s="1192">
        <f>IF(_epmOfflineCondition_,0,EPMRetrieveData(,,$D$21,$D$22,$D$25,$D$26,$D$27,$D$28,$D$29,$AA$41,$AA$42,$AA$43,$Z$28,$AA$45,Q107))</f>
        <v/>
      </c>
      <c r="P107" s="1192">
        <f>IF(_epmOfflineCondition_,0,EPMRetrieveData(,,$D$21,$D$22,$D$25,$D$26,$D$27,$D$28,$D$29,$Z$41,$Z$42,$Z$43,$Z$28,$Z$45,Q107))</f>
        <v/>
      </c>
      <c r="Q107" s="716" t="inlineStr">
        <is>
          <t>A0070310</t>
        </is>
      </c>
      <c r="R107" s="716">
        <f>IF(_epmOfflineCondition_,"人工成本明细-技术奖酬金及业务设计奖",EPMMemberDesc(Q107))</f>
        <v/>
      </c>
      <c r="S107" s="462">
        <f>IF(_epmOfflineCondition_,"32. 计提折旧额",EPMMemberDesc(U107))</f>
        <v/>
      </c>
      <c r="T107" s="716" t="n"/>
      <c r="U107" s="35" t="inlineStr">
        <is>
          <t>A07813</t>
        </is>
      </c>
      <c r="V107" s="535">
        <f>IF(_epmOfflineCondition_,"A07813",EPMOlapMemberO(U107,"[C_ACCOUNT].[PARENTH1].[A07813]","A07813 - 32. 计提折旧额","","000"))</f>
        <v/>
      </c>
      <c r="W107" s="462" t="n"/>
      <c r="X107" s="585" t="inlineStr">
        <is>
          <t>33. 计提的资产折旧额</t>
        </is>
      </c>
      <c r="Y107" s="1185">
        <f>ROW()-45</f>
        <v/>
      </c>
      <c r="Z107" s="1298" t="inlineStr"/>
      <c r="AA107" s="1298" t="inlineStr"/>
      <c r="AB107" s="1298" t="n"/>
      <c r="AC107" s="1192">
        <f>AA43</f>
        <v/>
      </c>
      <c r="AD107" s="1192">
        <f>AA43</f>
        <v/>
      </c>
      <c r="AE107" s="1192">
        <f>AB43</f>
        <v/>
      </c>
      <c r="AF107" s="1354">
        <f>ROUND(Z107/10000,0)</f>
        <v/>
      </c>
      <c r="AG107" s="1354">
        <f>ROUND(AA107/10000,0)</f>
        <v/>
      </c>
      <c r="AH107" s="1354">
        <f>ROUND(AB107/10000,0)</f>
        <v/>
      </c>
      <c r="AI107" s="1192" t="n"/>
      <c r="AJ107" s="716" t="n"/>
      <c r="AK107" s="716" t="n"/>
      <c r="AL107" s="716" t="n"/>
      <c r="AM107" s="716" t="n"/>
      <c r="AN107" s="716" t="n"/>
      <c r="AO107" s="716" t="n"/>
      <c r="AP107" s="716" t="n"/>
      <c r="AQ107" s="716" t="n"/>
      <c r="AR107" s="716" t="n"/>
      <c r="AS107" s="716" t="n"/>
    </row>
    <row r="108" ht="16.15" customFormat="1" customHeight="1" s="716">
      <c r="A108" s="716" t="n"/>
      <c r="B108" s="716" t="n"/>
      <c r="C108" s="716" t="n"/>
      <c r="D108" s="716" t="n"/>
      <c r="E108" s="716" t="n"/>
      <c r="F108" s="716" t="n"/>
      <c r="G108" s="716" t="n"/>
      <c r="H108" s="716" t="n"/>
      <c r="I108" s="716" t="n"/>
      <c r="J108" s="716" t="n"/>
      <c r="K108" s="1350">
        <f>IF(_epmOfflineCondition_,0,EPMRetrieveData(,,$D$21,$D$22,$D$25,$D$26,$D$27,$D$28,$D$29,$AB$41,$AB$42,$AB$43,$AA$28,$AB$45,Q108)*-1)</f>
        <v/>
      </c>
      <c r="L108" s="1350">
        <f>IF(_epmOfflineCondition_,0,EPMRetrieveData(,,$D$21,$D$22,$D$25,$D$26,$D$27,$D$28,$D$29,$AA$41,$AA$42,$AA$43,$AA$28,$AA$45,Q108)*-1)</f>
        <v/>
      </c>
      <c r="M108" s="1350">
        <f>IF(_epmOfflineCondition_,0,EPMRetrieveData(,,$D$21,$D$22,$D$25,$D$26,$D$27,$D$28,$D$29,$Z$41,$Z$42,$Z$43,$AA$28,$Z$45,Q108)*-1)</f>
        <v/>
      </c>
      <c r="N108" s="1192">
        <f>IF(_epmOfflineCondition_,0,EPMRetrieveData(,,$D$21,$D$22,$D$25,$D$26,$D$27,$D$28,$D$29,$AB$41,$AB$42,$AB$43,$Z$28,$AB$45,Q108))</f>
        <v/>
      </c>
      <c r="O108" s="1192">
        <f>IF(_epmOfflineCondition_,0,EPMRetrieveData(,,$D$21,$D$22,$D$25,$D$26,$D$27,$D$28,$D$29,$AA$41,$AA$42,$AA$43,$Z$28,$AA$45,Q108))</f>
        <v/>
      </c>
      <c r="P108" s="1192">
        <f>IF(_epmOfflineCondition_,0,EPMRetrieveData(,,$D$21,$D$22,$D$25,$D$26,$D$27,$D$28,$D$29,$Z$41,$Z$42,$Z$43,$Z$28,$Z$45,Q108))</f>
        <v/>
      </c>
      <c r="Q108" s="716" t="inlineStr">
        <is>
          <t>A0070313</t>
        </is>
      </c>
      <c r="R108" s="716">
        <f>IF(_epmOfflineCondition_,"人工成本明细-非货币性福利",EPMMemberDesc(Q108))</f>
        <v/>
      </c>
      <c r="S108" s="462">
        <f>IF(_epmOfflineCondition_,"33.劳动生产总值",EPMMemberDesc(U108))</f>
        <v/>
      </c>
      <c r="T108" s="716" t="n"/>
      <c r="U108" s="716" t="inlineStr">
        <is>
          <t>A07801</t>
        </is>
      </c>
      <c r="V108" s="535">
        <f>IF(_epmOfflineCondition_,"A07801",EPMOlapMemberO(U108,"[C_ACCOUNT].[PARENTH1].[A07801]","A07801 - 33.劳动生产总值","","000"))</f>
        <v/>
      </c>
      <c r="W108" s="462" t="n"/>
      <c r="X108" s="605" t="inlineStr">
        <is>
          <t>34.增加值（劳动生产总值）</t>
        </is>
      </c>
      <c r="Y108" s="1185">
        <f>ROW()-45</f>
        <v/>
      </c>
      <c r="Z108" s="1298">
        <f>Z62+Z64+Z97+Z89+Z107-Z92</f>
        <v/>
      </c>
      <c r="AA108" s="1298">
        <f>AA62+AA64+AA97+AA89+AA107-AA92</f>
        <v/>
      </c>
      <c r="AB108" s="1298">
        <f>AB62+AB64+AB97+AB89+AB107-AB92</f>
        <v/>
      </c>
      <c r="AC108" s="1192" t="inlineStr">
        <is>
          <t>F20</t>
        </is>
      </c>
      <c r="AD108" s="1192" t="inlineStr">
        <is>
          <t>F20</t>
        </is>
      </c>
      <c r="AE108" s="1192" t="inlineStr">
        <is>
          <t>F20</t>
        </is>
      </c>
      <c r="AF108" s="1354">
        <f>ROUND(Z108/10000,0)</f>
        <v/>
      </c>
      <c r="AG108" s="1354">
        <f>ROUND(AA108/10000,0)</f>
        <v/>
      </c>
      <c r="AH108" s="1354">
        <f>ROUND(AB108/10000,0)</f>
        <v/>
      </c>
      <c r="AI108" s="1192" t="n"/>
      <c r="AJ108" s="716" t="n"/>
      <c r="AK108" s="716" t="n"/>
      <c r="AL108" s="716" t="n"/>
      <c r="AM108" s="716" t="n"/>
      <c r="AN108" s="716" t="n"/>
      <c r="AO108" s="716" t="n"/>
      <c r="AP108" s="716" t="n"/>
      <c r="AQ108" s="716" t="n"/>
      <c r="AR108" s="716" t="n"/>
      <c r="AS108" s="716" t="n"/>
    </row>
    <row r="109" ht="16.15" customFormat="1" customHeight="1" s="716">
      <c r="A109" s="716" t="n"/>
      <c r="B109" s="716" t="n"/>
      <c r="C109" s="716" t="n"/>
      <c r="D109" s="716" t="n"/>
      <c r="E109" s="716" t="n"/>
      <c r="F109" s="716" t="n"/>
      <c r="G109" s="716" t="n"/>
      <c r="H109" s="716" t="n"/>
      <c r="I109" s="716" t="n"/>
      <c r="J109" s="716" t="n"/>
      <c r="K109" s="1350">
        <f>IF(_epmOfflineCondition_,0,EPMRetrieveData(,,$D$21,$D$22,$D$25,$D$26,$D$27,$D$28,$D$29,$AB$41,$AB$42,$AB$43,$AA$28,$AB$45,Q109)*-1)</f>
        <v/>
      </c>
      <c r="L109" s="1350">
        <f>IF(_epmOfflineCondition_,0,EPMRetrieveData(,,$D$21,$D$22,$D$25,$D$26,$D$27,$D$28,$D$29,$AA$41,$AA$42,$AA$43,$AA$28,$AA$45,Q109)*-1)</f>
        <v/>
      </c>
      <c r="M109" s="1350">
        <f>IF(_epmOfflineCondition_,0,EPMRetrieveData(,,$D$21,$D$22,$D$25,$D$26,$D$27,$D$28,$D$29,$Z$41,$Z$42,$Z$43,$AA$28,$Z$45,Q109)*-1)</f>
        <v/>
      </c>
      <c r="N109" s="1192">
        <f>IF(_epmOfflineCondition_,0,EPMRetrieveData(,,$D$21,$D$22,$D$25,$D$26,$D$27,$D$28,$D$29,$AB$41,$AB$42,$AB$43,$Z$28,$AB$45,Q109))</f>
        <v/>
      </c>
      <c r="O109" s="1192">
        <f>IF(_epmOfflineCondition_,0,EPMRetrieveData(,,$D$21,$D$22,$D$25,$D$26,$D$27,$D$28,$D$29,$AA$41,$AA$42,$AA$43,$Z$28,$AA$45,Q109))</f>
        <v/>
      </c>
      <c r="P109" s="1192">
        <f>IF(_epmOfflineCondition_,0,EPMRetrieveData(,,$D$21,$D$22,$D$25,$D$26,$D$27,$D$28,$D$29,$Z$41,$Z$42,$Z$43,$Z$28,$Z$45,Q109))</f>
        <v/>
      </c>
      <c r="Q109" s="716" t="inlineStr">
        <is>
          <t>A0070312</t>
        </is>
      </c>
      <c r="R109" s="716">
        <f>IF(_epmOfflineCondition_,"人工成本明细-股份支付",EPMMemberDesc(Q109))</f>
        <v/>
      </c>
      <c r="S109" s="462">
        <f>IF(_epmOfflineCondition_,"34.工业总产值",EPMMemberDesc(U109))</f>
        <v/>
      </c>
      <c r="T109" s="716" t="n"/>
      <c r="U109" s="716" t="inlineStr">
        <is>
          <t>A07802</t>
        </is>
      </c>
      <c r="V109" s="535">
        <f>IF(_epmOfflineCondition_,"A07802",EPMOlapMemberO(U109,"[C_ACCOUNT].[PARENTH1].[A07802]","A07802 - 34.工业总产值","","000"))</f>
        <v/>
      </c>
      <c r="W109" s="462" t="n"/>
      <c r="X109" s="585" t="inlineStr">
        <is>
          <t>35. 工业总产值</t>
        </is>
      </c>
      <c r="Y109" s="1185">
        <f>ROW()-45</f>
        <v/>
      </c>
      <c r="Z109" s="1298" t="inlineStr"/>
      <c r="AA109" s="1298" t="inlineStr"/>
      <c r="AB109" s="1298" t="inlineStr"/>
      <c r="AC109" s="1192">
        <f>AA45</f>
        <v/>
      </c>
      <c r="AD109" s="1192" t="inlineStr">
        <is>
          <t>Periodic</t>
        </is>
      </c>
      <c r="AE109" s="1192" t="inlineStr">
        <is>
          <t>YTD</t>
        </is>
      </c>
      <c r="AF109" s="1354">
        <f>ROUND(Z109/10000,0)</f>
        <v/>
      </c>
      <c r="AG109" s="1354">
        <f>ROUND(AA109/10000,0)</f>
        <v/>
      </c>
      <c r="AH109" s="1354">
        <f>ROUND(AB109/10000,0)</f>
        <v/>
      </c>
      <c r="AI109" s="1192" t="n"/>
      <c r="AJ109" s="716" t="n"/>
      <c r="AK109" s="716" t="n"/>
      <c r="AL109" s="716" t="n"/>
      <c r="AM109" s="716" t="n"/>
      <c r="AN109" s="716" t="n"/>
      <c r="AO109" s="716" t="n"/>
      <c r="AP109" s="716" t="n"/>
      <c r="AQ109" s="716" t="n"/>
      <c r="AR109" s="716" t="n"/>
      <c r="AS109" s="716" t="n"/>
    </row>
    <row r="110" ht="16.15" customFormat="1" customHeight="1" s="716">
      <c r="A110" s="716" t="n"/>
      <c r="B110" s="716" t="n"/>
      <c r="C110" s="716" t="n"/>
      <c r="D110" s="716" t="n"/>
      <c r="E110" s="716" t="n"/>
      <c r="F110" s="716" t="n"/>
      <c r="G110" s="716" t="n"/>
      <c r="H110" s="716" t="n"/>
      <c r="I110" s="716" t="n"/>
      <c r="J110" s="716" t="n"/>
      <c r="K110" s="1350">
        <f>IF(_epmOfflineCondition_,0,EPMRetrieveData(,,$D$21,$D$22,$D$25,$D$26,$D$27,$D$28,$D$29,$AB$41,$AB$42,$AB$43,$AA$28,$AB$45,Q110)*-1)</f>
        <v/>
      </c>
      <c r="L110" s="1350">
        <f>IF(_epmOfflineCondition_,0,EPMRetrieveData(,,$D$21,$D$22,$D$25,$D$26,$D$27,$D$28,$D$29,$AA$41,$AA$42,$AA$43,$AA$28,$AA$45,Q110)*-1)</f>
        <v/>
      </c>
      <c r="M110" s="1350">
        <f>IF(_epmOfflineCondition_,0,EPMRetrieveData(,,$D$21,$D$22,$D$25,$D$26,$D$27,$D$28,$D$29,$Z$41,$Z$42,$Z$43,$AA$28,$Z$45,Q110)*-1)</f>
        <v/>
      </c>
      <c r="N110" s="1192">
        <f>IF(_epmOfflineCondition_,0,EPMRetrieveData(,,$D$21,$D$22,$D$25,$D$26,$D$27,$D$28,$D$29,$AB$41,$AB$42,$AB$43,$Z$28,$AB$45,Q110))</f>
        <v/>
      </c>
      <c r="O110" s="1192">
        <f>IF(_epmOfflineCondition_,1315152.84,EPMRetrieveData(,,$D$21,$D$22,$D$25,$D$26,$D$27,$D$28,$D$29,$AA$41,$AA$42,$AA$43,$Z$28,$AA$45,Q110))</f>
        <v/>
      </c>
      <c r="P110" s="1192">
        <f>IF(_epmOfflineCondition_,1315152.84,EPMRetrieveData(,,$D$21,$D$22,$D$25,$D$26,$D$27,$D$28,$D$29,$Z$41,$Z$42,$Z$43,$Z$28,$Z$45,Q110))</f>
        <v/>
      </c>
      <c r="Q110" s="716" t="inlineStr">
        <is>
          <t>A0070314</t>
        </is>
      </c>
      <c r="R110" s="716">
        <f>IF(_epmOfflineCondition_,"人工成本明细-其他人工成本",EPMMemberDesc(Q110))</f>
        <v/>
      </c>
      <c r="S110" s="462">
        <f>IF(_epmOfflineCondition_,"35.工业销售产值",EPMMemberDesc(U110))</f>
        <v/>
      </c>
      <c r="T110" s="716" t="n"/>
      <c r="U110" s="716" t="inlineStr">
        <is>
          <t>A07803</t>
        </is>
      </c>
      <c r="V110" s="535">
        <f>IF(_epmOfflineCondition_,"A07803",EPMOlapMemberO(U110,"[C_ACCOUNT].[PARENTH1].[A07803]","A07803 - 35.工业销售产值","","000"))</f>
        <v/>
      </c>
      <c r="W110" s="462" t="n"/>
      <c r="X110" s="585" t="inlineStr">
        <is>
          <t>36. 工业销售产值</t>
        </is>
      </c>
      <c r="Y110" s="1185">
        <f>ROW()-45</f>
        <v/>
      </c>
      <c r="Z110" s="1298" t="inlineStr"/>
      <c r="AA110" s="1298" t="inlineStr"/>
      <c r="AB110" s="1298" t="inlineStr"/>
      <c r="AC110" s="1192">
        <f>IF(_epmOfflineCondition_,0,EPMRetrieveData(,AC94,AC95,AC96,AC98,AC99,AC100,AC102,AC103,AC104,AC106,AC107,AC108,AC109))</f>
        <v/>
      </c>
      <c r="AD110" s="1192">
        <f>IF(_epmOfflineCondition_,0,EPMRetrieveData(,AD94,AD95,AD96,AD98,AD99,AD100,AD102,AD103,AD104,AD106,AD107,AD108,AD109))</f>
        <v/>
      </c>
      <c r="AE110" s="1192">
        <f>IF(_epmOfflineCondition_,0,EPMRetrieveData(,AE94,AE95,AE96,AE98,AE99,AE100,AE102,AE103,AE104,AE106,AE107,AE108,AE109))</f>
        <v/>
      </c>
      <c r="AF110" s="1354">
        <f>ROUND(Z110/10000,0)</f>
        <v/>
      </c>
      <c r="AG110" s="1354">
        <f>ROUND(AA110/10000,0)</f>
        <v/>
      </c>
      <c r="AH110" s="1354">
        <f>ROUND(AB110/10000,0)</f>
        <v/>
      </c>
      <c r="AI110" s="1192" t="n"/>
      <c r="AJ110" s="716" t="n"/>
      <c r="AK110" s="716" t="n"/>
      <c r="AL110" s="716" t="n"/>
      <c r="AM110" s="716" t="n"/>
      <c r="AN110" s="716" t="n"/>
      <c r="AO110" s="716" t="n"/>
      <c r="AP110" s="716" t="n"/>
      <c r="AQ110" s="716" t="n"/>
      <c r="AR110" s="716" t="n"/>
      <c r="AS110" s="716" t="n"/>
    </row>
    <row r="111" ht="16.15" customFormat="1" customHeight="1" s="716">
      <c r="A111" s="716" t="n"/>
      <c r="B111" s="716" t="n"/>
      <c r="C111" s="716" t="n"/>
      <c r="D111" s="716" t="n"/>
      <c r="E111" s="716" t="n"/>
      <c r="F111" s="716" t="n"/>
      <c r="G111" s="716" t="n"/>
      <c r="H111" s="716" t="n"/>
      <c r="I111" s="716" t="n"/>
      <c r="J111" s="716" t="n"/>
      <c r="K111" s="1350">
        <f>IF(_epmOfflineCondition_,77468,EPMRetrieveData(,,$D$21,$D$22,$D$25,$D$26,$D$27,$D$28,$D$29,$AB$41,$AB$42,$AB$43,$AA$28,$AB$45,Q111)*-1)</f>
        <v/>
      </c>
      <c r="L111" s="1350">
        <f>IF(_epmOfflineCondition_,136770,EPMRetrieveData(,,$D$21,$D$22,$D$25,$D$26,$D$27,$D$28,$D$29,$AA$41,$AA$42,$AA$43,$AA$28,$AA$45,Q111)*-1)</f>
        <v/>
      </c>
      <c r="M111" s="1350">
        <f>IF(_epmOfflineCondition_,45590,EPMRetrieveData(,,$D$21,$D$22,$D$25,$D$26,$D$27,$D$28,$D$29,$Z$41,$Z$42,$Z$43,$AA$28,$Z$45,Q111)*-1)</f>
        <v/>
      </c>
      <c r="N111" s="1192">
        <f>IF(_epmOfflineCondition_,77468,EPMRetrieveData(,,$D$21,$D$22,$D$25,$D$26,$D$27,$D$28,$D$29,$AB$41,$AB$42,$AB$43,$Z$28,$AB$45,Q111))</f>
        <v/>
      </c>
      <c r="O111" s="1192">
        <f>IF(_epmOfflineCondition_,136770,EPMRetrieveData(,,$D$21,$D$22,$D$25,$D$26,$D$27,$D$28,$D$29,$AA$41,$AA$42,$AA$43,$Z$28,$AA$45,Q111))</f>
        <v/>
      </c>
      <c r="P111" s="1192">
        <f>IF(_epmOfflineCondition_,45590,EPMRetrieveData(,,$D$21,$D$22,$D$25,$D$26,$D$27,$D$28,$D$29,$Z$41,$Z$42,$Z$43,$Z$28,$Z$45,Q111))</f>
        <v/>
      </c>
      <c r="Q111" s="716" t="inlineStr">
        <is>
          <t>A0070308</t>
        </is>
      </c>
      <c r="R111" s="716">
        <f>IF(_epmOfflineCondition_,"人工成本明细-其中：住房公积金",EPMMemberDesc(Q111))</f>
        <v/>
      </c>
      <c r="S111" s="462">
        <f>IF(_epmOfflineCondition_,"36.出口产品销售收入",EPMMemberDesc(U111))</f>
        <v/>
      </c>
      <c r="T111" s="716" t="n"/>
      <c r="U111" s="716" t="inlineStr">
        <is>
          <t>A07804</t>
        </is>
      </c>
      <c r="V111" s="535">
        <f>IF(_epmOfflineCondition_,"A07804",EPMOlapMemberO(U111,"[C_ACCOUNT].[PARENTH1].[A07804]","A07804 - 36.出口产品销售收入","","000"))</f>
        <v/>
      </c>
      <c r="W111" s="462" t="n"/>
      <c r="X111" s="585" t="inlineStr">
        <is>
          <t>37. 出口产品销售收入</t>
        </is>
      </c>
      <c r="Y111" s="1185">
        <f>ROW()-45</f>
        <v/>
      </c>
      <c r="Z111" s="1298" t="n"/>
      <c r="AA111" s="1298" t="n"/>
      <c r="AB111" s="1298" t="n"/>
      <c r="AC111" s="1192" t="n"/>
      <c r="AD111" s="1192" t="n"/>
      <c r="AE111" s="1192" t="n"/>
      <c r="AF111" s="1354">
        <f>ROUND(Z111/10000,0)</f>
        <v/>
      </c>
      <c r="AG111" s="1354">
        <f>ROUND(AA111/10000,0)</f>
        <v/>
      </c>
      <c r="AH111" s="1354">
        <f>ROUND(AB111/10000,0)</f>
        <v/>
      </c>
      <c r="AI111" s="716" t="n"/>
      <c r="AJ111" s="716" t="n"/>
      <c r="AK111" s="716" t="n"/>
      <c r="AL111" s="716" t="n"/>
      <c r="AM111" s="716" t="n"/>
      <c r="AN111" s="716" t="n"/>
      <c r="AO111" s="716" t="n"/>
      <c r="AP111" s="716" t="n"/>
      <c r="AQ111" s="716" t="n"/>
      <c r="AR111" s="716" t="n"/>
      <c r="AS111" s="716" t="n"/>
    </row>
    <row r="112" ht="16.15" customFormat="1" customHeight="1" s="716">
      <c r="A112" s="716" t="n"/>
      <c r="B112" s="716" t="n"/>
      <c r="C112" s="716" t="n"/>
      <c r="D112" s="716" t="n"/>
      <c r="E112" s="716" t="n"/>
      <c r="F112" s="716" t="n"/>
      <c r="G112" s="716" t="n"/>
      <c r="H112" s="716" t="n"/>
      <c r="I112" s="716" t="n"/>
      <c r="J112" s="716" t="n"/>
      <c r="K112" s="1192">
        <f>IF(_epmOfflineCondition_,0,EPMRetrieveData(,,$D$21,$D$22,$D$25,$D$26,$D$27,$D$28,$D$29,$AB$41,$AB$42,$AB$43,$AA$28,$AB$45,Q112)*-1)</f>
        <v/>
      </c>
      <c r="L112" s="1192">
        <f>IF(_epmOfflineCondition_,0,EPMRetrieveData(,,$D$21,$D$22,$D$25,$D$26,$D$27,$D$28,$D$29,$AA$41,$AA$42,$AA$43,$AA$28,$AA$45,Q112)*-1)</f>
        <v/>
      </c>
      <c r="M112" s="1192">
        <f>IF(_epmOfflineCondition_,0,EPMRetrieveData(,,$D$21,$D$22,$D$25,$D$26,$D$27,$D$28,$D$29,$Z$41,$Z$42,$Z$43,$AA$28,$Z$45,Q112)*-1)</f>
        <v/>
      </c>
      <c r="N112" s="1192">
        <f>IF(_epmOfflineCondition_,0,EPMRetrieveData(,,$D$21,$D$22,$D$25,$D$26,$D$27,$D$28,$D$29,$AB$41,$AB$42,$AB$43,$Z$28,$AB$45,Q112))</f>
        <v/>
      </c>
      <c r="O112" s="1192">
        <f>IF(_epmOfflineCondition_,0,EPMRetrieveData(,,$D$21,$D$22,$D$25,$D$26,$D$27,$D$28,$D$29,$AA$41,$AA$42,$AA$43,$Z$28,$AA$45,Q112))</f>
        <v/>
      </c>
      <c r="P112" s="1192">
        <f>IF(_epmOfflineCondition_,0,EPMRetrieveData(,,$D$21,$D$22,$D$25,$D$26,$D$27,$D$28,$D$29,$Z$41,$Z$42,$Z$43,$Z$28,$Z$45,Q112))</f>
        <v/>
      </c>
      <c r="Q112" s="716" t="inlineStr">
        <is>
          <t>A0070309</t>
        </is>
      </c>
      <c r="R112" s="716">
        <f>IF(_epmOfflineCondition_,"人工成本明细-其中：住房补贴",EPMMemberDesc(Q112))</f>
        <v/>
      </c>
      <c r="S112" s="462">
        <f>IF(_epmOfflineCondition_,"37.新产品产值",EPMMemberDesc(U112))</f>
        <v/>
      </c>
      <c r="T112" s="716" t="n"/>
      <c r="U112" s="716" t="inlineStr">
        <is>
          <t>A07805</t>
        </is>
      </c>
      <c r="V112" s="535">
        <f>IF(_epmOfflineCondition_,"A07805",EPMOlapMemberO(U112,"[C_ACCOUNT].[PARENTH1].[A07805]","A07805 - 37.新产品产值","","000"))</f>
        <v/>
      </c>
      <c r="W112" s="462" t="n"/>
      <c r="X112" s="585" t="inlineStr">
        <is>
          <t>38. 新产品产值</t>
        </is>
      </c>
      <c r="Y112" s="1185">
        <f>ROW()-45</f>
        <v/>
      </c>
      <c r="Z112" s="1298" t="n"/>
      <c r="AA112" s="1298" t="n"/>
      <c r="AB112" s="1298" t="n"/>
      <c r="AC112" s="1192" t="n"/>
      <c r="AD112" s="1192" t="n"/>
      <c r="AE112" s="1192" t="n"/>
      <c r="AF112" s="1354">
        <f>ROUND(Z112/10000,0)</f>
        <v/>
      </c>
      <c r="AG112" s="1354">
        <f>ROUND(AA112/10000,0)</f>
        <v/>
      </c>
      <c r="AH112" s="1354">
        <f>ROUND(AB112/10000,0)</f>
        <v/>
      </c>
      <c r="AI112" s="716" t="n"/>
      <c r="AJ112" s="716" t="n"/>
      <c r="AK112" s="716" t="n"/>
      <c r="AL112" s="716" t="n"/>
      <c r="AM112" s="716" t="n"/>
      <c r="AN112" s="716" t="n"/>
      <c r="AO112" s="716" t="n"/>
      <c r="AP112" s="716" t="n"/>
      <c r="AQ112" s="716" t="n"/>
      <c r="AR112" s="716" t="n"/>
      <c r="AS112" s="716" t="n"/>
    </row>
    <row r="113" ht="16.15" customFormat="1" customHeight="1" s="716">
      <c r="A113" s="716" t="n"/>
      <c r="B113" s="716" t="n"/>
      <c r="C113" s="716" t="n"/>
      <c r="D113" s="716" t="n"/>
      <c r="E113" s="716" t="n"/>
      <c r="F113" s="716" t="n"/>
      <c r="G113" s="716" t="n"/>
      <c r="H113" s="716" t="n"/>
      <c r="I113" s="716" t="n"/>
      <c r="J113" s="716" t="n"/>
      <c r="K113" s="1192" t="n"/>
      <c r="L113" s="1192" t="n"/>
      <c r="M113" s="1192" t="n"/>
      <c r="N113" s="1192" t="n"/>
      <c r="O113" s="1192" t="n"/>
      <c r="P113" s="1192" t="n"/>
      <c r="Q113" s="716" t="n"/>
      <c r="R113" s="716" t="n"/>
      <c r="S113" s="462">
        <f>IF(_epmOfflineCondition_,"38.三新营业收入",EPMMemberDesc(U113))</f>
        <v/>
      </c>
      <c r="T113" s="716" t="n"/>
      <c r="U113" s="716" t="inlineStr">
        <is>
          <t>A07806</t>
        </is>
      </c>
      <c r="V113" s="535">
        <f>IF(_epmOfflineCondition_,"A07806",EPMOlapMemberO(U113,"[C_ACCOUNT].[PARENTH1].[A07806]","A07806 - 38.三新营业收入","","000"))</f>
        <v/>
      </c>
      <c r="W113" s="462" t="n"/>
      <c r="X113" s="585" t="inlineStr">
        <is>
          <t>39.三新营业收入</t>
        </is>
      </c>
      <c r="Y113" s="1185">
        <f>ROW()-45</f>
        <v/>
      </c>
      <c r="Z113" s="1298" t="inlineStr"/>
      <c r="AA113" s="1297" t="inlineStr"/>
      <c r="AB113" s="1298" t="inlineStr"/>
      <c r="AC113" s="1192">
        <f>IF(_epmOfflineCondition_,94272738.5,EPMSaveDataOnly(AA113,,$D$21,$Z37,$E$25,$E$26,$E$27,$E$28,$E$29,$AA$41,$AA$42,$Z$29,$Z$28,$AA$45,V113))</f>
        <v/>
      </c>
      <c r="AD113" s="1192" t="n"/>
      <c r="AE113" s="1192" t="n"/>
      <c r="AF113" s="1354">
        <f>ROUND(Z113/10000,0)</f>
        <v/>
      </c>
      <c r="AG113" s="1354">
        <f>ROUND(AA113/10000,0)</f>
        <v/>
      </c>
      <c r="AH113" s="1354">
        <f>ROUND(AB113/10000,0)</f>
        <v/>
      </c>
      <c r="AI113" s="716" t="n"/>
      <c r="AJ113" s="716" t="n"/>
      <c r="AK113" s="716" t="n"/>
      <c r="AL113" s="716" t="n"/>
      <c r="AM113" s="716" t="n"/>
      <c r="AN113" s="716" t="n"/>
      <c r="AO113" s="716" t="n"/>
      <c r="AP113" s="716" t="n"/>
      <c r="AQ113" s="716" t="n"/>
      <c r="AR113" s="716" t="n"/>
      <c r="AS113" s="716" t="n"/>
    </row>
    <row r="114" ht="16.15" customHeight="1" s="1181">
      <c r="A114" s="384" t="n"/>
      <c r="B114" s="384" t="n"/>
      <c r="C114" s="384" t="n"/>
      <c r="D114" s="384" t="n"/>
      <c r="E114" s="384" t="n"/>
      <c r="F114" s="384" t="n"/>
      <c r="G114" s="384" t="n"/>
      <c r="H114" s="384" t="n"/>
      <c r="I114" s="384" t="n"/>
      <c r="J114" s="384" t="n"/>
      <c r="K114" s="1192" t="n"/>
      <c r="L114" s="1192" t="n"/>
      <c r="M114" s="1192" t="n"/>
      <c r="N114" s="1192">
        <f>IF(_epmOfflineCondition_,0,EPMRetrieveData(,,$D$21,$D$22,$D$25,$D$26,$D$27,$D$28,$D$29,$AB$41,$AB$42,$AB$43,$AA$28,$AB$45,Q114))</f>
        <v/>
      </c>
      <c r="O114" s="1192">
        <f>IF(_epmOfflineCondition_,0,EPMRetrieveData(,,$D$21,$D$22,$D$25,$D$26,$D$27,$D$28,$D$29,$AA$41,$AA$42,$AA$43,$AA$28,$AA$45,Q114))</f>
        <v/>
      </c>
      <c r="P114" s="1192">
        <f>IF(_epmOfflineCondition_,0,EPMRetrieveData(,,$D$21,$D$22,$D$25,$D$26,$D$27,$D$28,$D$29,$Z$41,$Z$42,$Z$43,$AA$28,$Z$45,Q114))</f>
        <v/>
      </c>
      <c r="Q114" s="384" t="inlineStr">
        <is>
          <t>A0840101</t>
        </is>
      </c>
      <c r="R114" s="716">
        <f>IF(_epmOfflineCondition_,"应交款项明细-增值税",EPMMemberDesc(Q114))</f>
        <v/>
      </c>
      <c r="S114" s="462">
        <f>IF(_epmOfflineCondition_,"38.研发（R&amp;D）经费投入",EPMMemberDesc(U114))</f>
        <v/>
      </c>
      <c r="T114" s="384" t="n"/>
      <c r="U114" s="716" t="inlineStr">
        <is>
          <t>A07807</t>
        </is>
      </c>
      <c r="V114" s="535">
        <f>IF(_epmOfflineCondition_,"A07807",EPMOlapMemberO(U114,"[C_ACCOUNT].[PARENTH1].[A07807]","A07807 - 38.研发（R&amp;D）经费投入","","000"))</f>
        <v/>
      </c>
      <c r="W114" s="384" t="n"/>
      <c r="X114" s="585" t="inlineStr">
        <is>
          <t>40. 研发（R&amp;D）经费投入</t>
        </is>
      </c>
      <c r="Y114" s="1185">
        <f>ROW()-45</f>
        <v/>
      </c>
      <c r="Z114" s="1298" t="n"/>
      <c r="AA114" s="1298" t="n"/>
      <c r="AB114" s="1298" t="n"/>
      <c r="AC114" s="1192" t="n"/>
      <c r="AD114" s="1192" t="n"/>
      <c r="AE114" s="1192" t="n"/>
      <c r="AF114" s="1354">
        <f>ROUND(Z114/10000,0)</f>
        <v/>
      </c>
      <c r="AG114" s="1354">
        <f>ROUND(AA114/10000,0)</f>
        <v/>
      </c>
      <c r="AH114" s="1354">
        <f>ROUND(AB114/10000,0)</f>
        <v/>
      </c>
      <c r="AI114" s="716" t="n"/>
      <c r="AJ114" s="716" t="n"/>
      <c r="AK114" s="716" t="n"/>
      <c r="AL114" s="716" t="n"/>
      <c r="AM114" s="716" t="n"/>
      <c r="AN114" s="384" t="n"/>
      <c r="AO114" s="384" t="n"/>
      <c r="AP114" s="384" t="n"/>
      <c r="AQ114" s="384" t="n"/>
      <c r="AR114" s="384" t="n"/>
      <c r="AS114" s="384" t="n"/>
    </row>
    <row r="115" ht="16.15" customHeight="1" s="1181">
      <c r="A115" s="384" t="n"/>
      <c r="B115" s="384" t="n"/>
      <c r="C115" s="384" t="n"/>
      <c r="D115" s="384" t="n"/>
      <c r="E115" s="384" t="n"/>
      <c r="F115" s="384" t="n"/>
      <c r="G115" s="384" t="n"/>
      <c r="H115" s="384" t="n"/>
      <c r="I115" s="384" t="n"/>
      <c r="J115" s="384" t="n"/>
      <c r="K115" s="1192">
        <f>IF(_epmOfflineCondition_,0,EPMRetrieveData(,,$D$21,$D$22,$D$25,$D$26,$D$27,$D$28,$D$29,$AB$41,$AB$42,$AB$43,$AA$28,$AB$45,Q115)*-1)</f>
        <v/>
      </c>
      <c r="L115" s="1192">
        <f>IF(_epmOfflineCondition_,0,EPMRetrieveData(,,$D$21,$D$22,$D$25,$D$26,$D$27,$D$28,$D$29,$AA$41,$AA$42,$AA$43,$AA$28,$AA$45,Q115)*-1)</f>
        <v/>
      </c>
      <c r="M115" s="1192">
        <f>IF(_epmOfflineCondition_,0,EPMRetrieveData(,,$D$21,$D$22,$D$25,$D$26,$D$27,$D$28,$D$29,$Z$41,$Z$42,$Z$43,$AA$28,$Z$45,Q115)*-1)</f>
        <v/>
      </c>
      <c r="N115" s="1192">
        <f>IF(_epmOfflineCondition_,0,EPMRetrieveData(,,$D$21,$D$22,$D$25,$D$26,$D$27,$D$28,$D$29,$AB$41,$AB$42,$AB$43,$Z$28,$AB$45,Q115))</f>
        <v/>
      </c>
      <c r="O115" s="1192">
        <f>IF(_epmOfflineCondition_,0,EPMRetrieveData(,,$D$21,$D$22,$D$25,$D$26,$D$27,$D$28,$D$29,$AA$41,$AA$42,$AA$43,$Z$28,$AA$45,Q115))</f>
        <v/>
      </c>
      <c r="P115" s="1192">
        <f>IF(_epmOfflineCondition_,0,EPMRetrieveData(,,$D$21,$D$22,$D$25,$D$26,$D$27,$D$28,$D$29,$Z$41,$Z$42,$Z$43,$Z$28,$Z$45,Q115))</f>
        <v/>
      </c>
      <c r="Q115" s="384" t="inlineStr">
        <is>
          <t>A0071401</t>
        </is>
      </c>
      <c r="R115" s="716">
        <f>IF(_epmOfflineCondition_,"人工成本明细-其中：内退人员工资",EPMMemberDesc(Q115))</f>
        <v/>
      </c>
      <c r="S115" s="462">
        <f>IF(_epmOfflineCondition_,"40.上市公司市值",EPMMemberDesc(U115))</f>
        <v/>
      </c>
      <c r="T115" s="384" t="n"/>
      <c r="U115" s="716" t="inlineStr">
        <is>
          <t>A07809</t>
        </is>
      </c>
      <c r="V115" s="535">
        <f>IF(_epmOfflineCondition_,"A07809",EPMOlapMemberO(U115,"[C_ACCOUNT].[PARENTH1].[A07809]","A07809 - 40.上市公司市值","","000"))</f>
        <v/>
      </c>
      <c r="W115" s="384" t="n"/>
      <c r="X115" s="585" t="inlineStr">
        <is>
          <t>41.上市公司市值</t>
        </is>
      </c>
      <c r="Y115" s="1185">
        <f>ROW()-45</f>
        <v/>
      </c>
      <c r="Z115" s="1347">
        <f>"— —"</f>
        <v/>
      </c>
      <c r="AA115" s="1297" t="n"/>
      <c r="AB115" s="1298" t="n"/>
      <c r="AC115" s="1192">
        <f>IF(_epmOfflineCondition_,0,EPMSaveDataOnly(AA115,,$D$21,$Z37,$E$25,$E$26,$E$27,$E$28,$E$29,$AA$41,$AA$42,$Z$29,$Z$28,$AA$45,V115))</f>
        <v/>
      </c>
      <c r="AD115" s="1192" t="n"/>
      <c r="AE115" s="1192" t="n"/>
      <c r="AF115" s="1355">
        <f>"— —"</f>
        <v/>
      </c>
      <c r="AG115" s="1354">
        <f>ROUND(AA115/10000,0)</f>
        <v/>
      </c>
      <c r="AH115" s="1354">
        <f>ROUND(AB115/10000,0)</f>
        <v/>
      </c>
      <c r="AI115" s="716" t="n"/>
      <c r="AJ115" s="716" t="n"/>
      <c r="AK115" s="716" t="n"/>
      <c r="AL115" s="716" t="n"/>
      <c r="AM115" s="716" t="n"/>
      <c r="AN115" s="384" t="n"/>
      <c r="AO115" s="384" t="n"/>
      <c r="AP115" s="384" t="n"/>
      <c r="AQ115" s="384" t="n"/>
      <c r="AR115" s="384" t="n"/>
      <c r="AS115" s="384" t="n"/>
    </row>
    <row r="116" hidden="1" ht="13.9" customHeight="1" s="1181">
      <c r="A116" s="384" t="n"/>
      <c r="B116" s="384" t="n"/>
      <c r="C116" s="384" t="n"/>
      <c r="D116" s="384" t="n"/>
      <c r="E116" s="384" t="n"/>
      <c r="F116" s="384" t="n"/>
      <c r="G116" s="384" t="n"/>
      <c r="H116" s="384" t="n"/>
      <c r="I116" s="384" t="n"/>
      <c r="J116" s="384" t="n"/>
      <c r="K116" s="1192">
        <f>IF(_epmOfflineCondition_,0,EPMRetrieveData(,,$D$21,$D$22,$D$25,$D$26,$D$27,$D$28,$D$29,$AB$41,$AB$42,$AB$43,$AA$28,$AB$45,Q116)*-1)</f>
        <v/>
      </c>
      <c r="L116" s="1192">
        <f>IF(_epmOfflineCondition_,0,EPMRetrieveData(,,$D$21,$D$22,$D$25,$D$26,$D$27,$D$28,$D$29,$AA$41,$AA$42,$AA$43,$AA$28,$AA$45,Q116)*-1)</f>
        <v/>
      </c>
      <c r="M116" s="1192">
        <f>IF(_epmOfflineCondition_,0,EPMRetrieveData(,,$D$21,$D$22,$D$25,$D$26,$D$27,$D$28,$D$29,$Z$41,$Z$42,$Z$43,$AA$28,$Z$45,Q116)*-1)</f>
        <v/>
      </c>
      <c r="N116" s="1192">
        <f>IF(_epmOfflineCondition_,0,EPMRetrieveData(,,$D$21,$D$22,$D$25,$D$26,$D$27,$D$28,$D$29,$AB$41,$AB$42,$AB$43,$Z$28,$AB$45,Q116))</f>
        <v/>
      </c>
      <c r="O116" s="1192">
        <f>IF(_epmOfflineCondition_,0,EPMRetrieveData(,,$D$21,$D$22,$D$25,$D$26,$D$27,$D$28,$D$29,$AA$41,$AA$42,$AA$43,$Z$28,$AA$45,Q116))</f>
        <v/>
      </c>
      <c r="P116" s="1192">
        <f>IF(_epmOfflineCondition_,0,EPMRetrieveData(,,$D$21,$D$22,$D$25,$D$26,$D$27,$D$28,$D$29,$Z$41,$Z$42,$Z$43,$Z$28,$Z$45,Q116))</f>
        <v/>
      </c>
      <c r="Q116" s="384" t="inlineStr">
        <is>
          <t>A0071601</t>
        </is>
      </c>
      <c r="R116" s="384" t="inlineStr">
        <is>
          <t>人工成本明细-其中：工资总额（不在岗）</t>
        </is>
      </c>
      <c r="S116" s="462">
        <f>IF(_epmOfflineCondition_,"",EPMMemberDesc(U116))</f>
        <v/>
      </c>
      <c r="T116" s="384" t="n"/>
      <c r="U116" s="384" t="n"/>
      <c r="V116" s="459" t="n"/>
      <c r="W116" s="384" t="n"/>
      <c r="X116" s="457" t="n"/>
      <c r="Y116" s="1185">
        <f>ROW()-45</f>
        <v/>
      </c>
      <c r="Z116" s="1298" t="n"/>
      <c r="AA116" s="1297" t="n"/>
      <c r="AB116" s="1298" t="n"/>
      <c r="AC116" s="1192">
        <f>IF(_epmOfflineCondition_,1667037442.43065,EPMSaveDataOnly(AA116,,$D$21,$Z37,$E$25,$E$26,$E$27,$E$28,$E$29,$AA$41,$AA$42,$Z$29,$Z$28,$AA$45,V116))</f>
        <v/>
      </c>
      <c r="AD116" s="1192" t="n"/>
      <c r="AE116" s="1192" t="n"/>
      <c r="AF116" s="1192">
        <f>ROUND(Z116/10000,0)</f>
        <v/>
      </c>
      <c r="AG116" s="1192">
        <f>ROUND(AA116/10000,0)</f>
        <v/>
      </c>
      <c r="AH116" s="1192">
        <f>ROUND(AB116/10000,0)</f>
        <v/>
      </c>
      <c r="AI116" s="384" t="n"/>
      <c r="AJ116" s="384" t="n"/>
      <c r="AK116" s="384" t="n"/>
      <c r="AL116" s="384" t="n"/>
      <c r="AM116" s="384" t="n"/>
      <c r="AN116" s="384" t="n"/>
      <c r="AO116" s="384" t="n"/>
      <c r="AP116" s="384" t="n"/>
      <c r="AQ116" s="384" t="n"/>
      <c r="AR116" s="384" t="n"/>
      <c r="AS116" s="384" t="n"/>
    </row>
    <row r="117" hidden="1" ht="14.65" customHeight="1" s="1181">
      <c r="A117" s="384" t="n"/>
      <c r="B117" s="384" t="n"/>
      <c r="C117" s="384" t="n"/>
      <c r="D117" s="384" t="n"/>
      <c r="E117" s="384" t="n"/>
      <c r="F117" s="384" t="n"/>
      <c r="G117" s="384" t="n"/>
      <c r="H117" s="384" t="n"/>
      <c r="I117" s="384" t="n"/>
      <c r="J117" s="384" t="n"/>
      <c r="K117" s="1192">
        <f>IF(_epmOfflineCondition_,0,EPMRetrieveData(,,$D$21,$D$22,$D$25,$D$26,$D$27,$D$28,$D$29,$AB$41,$AB$42,$AB$43,$AA$28,$AB$45,Q117)*-1)</f>
        <v/>
      </c>
      <c r="L117" s="1192">
        <f>IF(_epmOfflineCondition_,0,EPMRetrieveData(,,$D$21,$D$22,$D$25,$D$26,$D$27,$D$28,$D$29,$AA$41,$AA$42,$AA$43,$AA$28,$AA$45,Q117)*-1)</f>
        <v/>
      </c>
      <c r="M117" s="1192">
        <f>IF(_epmOfflineCondition_,0,EPMRetrieveData(,,$D$21,$D$22,$D$25,$D$26,$D$27,$D$28,$D$29,$Z$41,$Z$42,$Z$43,$AA$28,$Z$45,Q117)*-1)</f>
        <v/>
      </c>
      <c r="N117" s="1192">
        <f>IF(_epmOfflineCondition_,0,EPMRetrieveData(,,$D$21,$D$22,$D$25,$D$26,$D$27,$D$28,$D$29,$AB$41,$AB$42,$AB$43,$Z$28,$AB$45,Q117))</f>
        <v/>
      </c>
      <c r="O117" s="1192">
        <f>IF(_epmOfflineCondition_,0,EPMRetrieveData(,,$D$21,$D$22,$D$25,$D$26,$D$27,$D$28,$D$29,$AA$41,$AA$42,$AA$43,$Z$28,$AA$45,Q117))</f>
        <v/>
      </c>
      <c r="P117" s="1192">
        <f>IF(_epmOfflineCondition_,0,EPMRetrieveData(,,$D$21,$D$22,$D$25,$D$26,$D$27,$D$28,$D$29,$Z$41,$Z$42,$Z$43,$Z$28,$Z$45,Q117))</f>
        <v/>
      </c>
      <c r="Q117" s="462" t="inlineStr">
        <is>
          <t>A00706</t>
        </is>
      </c>
      <c r="R117" s="716">
        <f>IF(_epmOfflineCondition_,"人工成本明细-劳务派遣用工支出",EPMMemberDesc(Q117))</f>
        <v/>
      </c>
      <c r="S117" s="462">
        <f>IF(_epmOfflineCondition_,"",EPMMemberDesc(U117))</f>
        <v/>
      </c>
      <c r="T117" s="384" t="n"/>
      <c r="U117" s="716" t="n"/>
      <c r="V117" s="637" t="n"/>
      <c r="W117" s="384" t="n"/>
      <c r="X117" s="454" t="inlineStr">
        <is>
          <t>债务监测补充指标</t>
        </is>
      </c>
      <c r="Y117" s="1213">
        <f>ROW()-45</f>
        <v/>
      </c>
      <c r="Z117" s="1347">
        <f>"— —"</f>
        <v/>
      </c>
      <c r="AA117" s="1347">
        <f>"— —"</f>
        <v/>
      </c>
      <c r="AB117" s="1347">
        <f>"— —"</f>
        <v/>
      </c>
      <c r="AC117" s="1192" t="n"/>
      <c r="AD117" s="1192" t="n"/>
      <c r="AE117" s="1192" t="n"/>
      <c r="AF117" s="1192">
        <f>ROUND(Z117/10000,0)</f>
        <v/>
      </c>
      <c r="AG117" s="1192">
        <f>ROUND(AA117/10000,0)</f>
        <v/>
      </c>
      <c r="AH117" s="1192">
        <f>ROUND(AB117/10000,0)</f>
        <v/>
      </c>
      <c r="AI117" s="384" t="n"/>
      <c r="AJ117" s="384" t="n"/>
      <c r="AK117" s="384" t="n"/>
      <c r="AL117" s="384" t="n"/>
      <c r="AM117" s="384" t="n"/>
      <c r="AN117" s="384" t="n"/>
      <c r="AO117" s="384" t="n"/>
      <c r="AP117" s="384" t="n"/>
      <c r="AQ117" s="384" t="n"/>
      <c r="AR117" s="384" t="n"/>
      <c r="AS117" s="384" t="n"/>
    </row>
    <row r="118" hidden="1" ht="13.9" customHeight="1" s="1181">
      <c r="A118" s="384" t="n"/>
      <c r="B118" s="384" t="n"/>
      <c r="C118" s="384" t="n"/>
      <c r="D118" s="384" t="n"/>
      <c r="E118" s="384" t="n"/>
      <c r="F118" s="384" t="n"/>
      <c r="G118" s="384" t="n"/>
      <c r="H118" s="384" t="n"/>
      <c r="I118" s="384" t="n"/>
      <c r="J118" s="384" t="n"/>
      <c r="K118" s="1350">
        <f>IF(_epmOfflineCondition_,0,EPMRetrieveData(,,$D$21,$D$22,$D$25,$D$26,$D$27,$D$28,$D$29,$AB$41,$AB$42,$AB$43,$AA$28,$AB$45,Q118)*-1)</f>
        <v/>
      </c>
      <c r="L118" s="1350">
        <f>IF(_epmOfflineCondition_,0,EPMRetrieveData(,,$D$21,$D$22,$D$25,$D$26,$D$27,$D$28,$D$29,$AA$41,$AA$42,$AA$43,$AA$28,$AA$45,Q118)*-1)</f>
        <v/>
      </c>
      <c r="M118" s="1350">
        <f>IF(_epmOfflineCondition_,0,EPMRetrieveData(,,$D$21,$D$22,$D$25,$D$26,$D$27,$D$28,$D$29,$Z$41,$Z$42,$Z$43,$AA$28,$Z$45,Q118)*-1)</f>
        <v/>
      </c>
      <c r="N118" s="1192">
        <f>IF(_epmOfflineCondition_,0,EPMRetrieveData(,,$D$21,$D$22,$D$25,$D$26,$D$27,$D$28,$D$29,$AB$41,$AB$42,$AB$43,$Z$28,$AB$45,Q118))</f>
        <v/>
      </c>
      <c r="O118" s="1192">
        <f>IF(_epmOfflineCondition_,0,EPMRetrieveData(,,$D$21,$D$22,$D$25,$D$26,$D$27,$D$28,$D$29,$AA$41,$AA$42,$AA$43,$Z$28,$AA$45,Q118))</f>
        <v/>
      </c>
      <c r="P118" s="1192">
        <f>IF(_epmOfflineCondition_,0,EPMRetrieveData(,,$D$21,$D$22,$D$25,$D$26,$D$27,$D$28,$D$29,$Z$41,$Z$42,$Z$43,$Z$28,$Z$45,Q118))</f>
        <v/>
      </c>
      <c r="Q118" s="609" t="inlineStr">
        <is>
          <t>A00711</t>
        </is>
      </c>
      <c r="R118" s="716">
        <f>IF(_epmOfflineCondition_,"人工成本明细-离退休人工成本",EPMMemberDesc(Q118))</f>
        <v/>
      </c>
      <c r="S118" s="462">
        <f>IF(_epmOfflineCondition_,"  一年内到期的非流动资产",EPMMemberDesc(U118))</f>
        <v/>
      </c>
      <c r="T118" s="384" t="n"/>
      <c r="U118" s="716" t="inlineStr">
        <is>
          <t>A001010116</t>
        </is>
      </c>
      <c r="V118" s="635">
        <f>IF(_epmOfflineCondition_,"A001010116",EPMOlapMemberO(U118,"[C_ACCOUNT].[PARENTH1].[A001010116]","A001010116 -   一年内到期的非流动资产","","000"))</f>
        <v/>
      </c>
      <c r="W118" s="384" t="n"/>
      <c r="X118" s="585" t="inlineStr">
        <is>
          <t>40. 一年内到期的非流动资产</t>
        </is>
      </c>
      <c r="Y118" s="1185">
        <f>ROW()-45</f>
        <v/>
      </c>
      <c r="Z118" s="1347">
        <f>"— —"</f>
        <v/>
      </c>
      <c r="AA118" s="1298" t="n"/>
      <c r="AB118" s="1298" t="n"/>
      <c r="AC118" s="1192" t="n"/>
      <c r="AD118" s="1192" t="n"/>
      <c r="AE118" s="1192" t="n"/>
      <c r="AF118" s="1192">
        <f>ROUND(Z118/10000,0)</f>
        <v/>
      </c>
      <c r="AG118" s="1192">
        <f>ROUND(AA118/10000,0)</f>
        <v/>
      </c>
      <c r="AH118" s="1192">
        <f>ROUND(AB118/10000,0)</f>
        <v/>
      </c>
      <c r="AI118" s="384" t="n"/>
      <c r="AJ118" s="384" t="n"/>
      <c r="AK118" s="384" t="n"/>
      <c r="AL118" s="384" t="n"/>
      <c r="AM118" s="384" t="n"/>
      <c r="AN118" s="384" t="n"/>
      <c r="AO118" s="384" t="n"/>
      <c r="AP118" s="384" t="n"/>
      <c r="AQ118" s="384" t="n"/>
      <c r="AR118" s="384" t="n"/>
      <c r="AS118" s="384" t="n"/>
    </row>
    <row r="119" hidden="1" ht="13.9" customHeight="1" s="1181">
      <c r="A119" s="384" t="n"/>
      <c r="B119" s="384" t="n"/>
      <c r="C119" s="384" t="n"/>
      <c r="D119" s="384" t="n"/>
      <c r="E119" s="384" t="n"/>
      <c r="F119" s="384" t="n"/>
      <c r="G119" s="384" t="n"/>
      <c r="H119" s="384" t="n"/>
      <c r="I119" s="384" t="n"/>
      <c r="J119" s="384" t="n"/>
      <c r="K119" s="1350">
        <f>IF(_epmOfflineCondition_,0,EPMRetrieveData(,,$D$21,$D$22,$D$25,$D$26,$D$27,$D$28,$D$29,$AB$41,$AB$42,$AB$43,$AA$28,$AB$45,Q119)*-1)</f>
        <v/>
      </c>
      <c r="L119" s="1350">
        <f>IF(_epmOfflineCondition_,0,EPMRetrieveData(,,$D$21,$D$22,$D$25,$D$26,$D$27,$D$28,$D$29,$AA$41,$AA$42,$AA$43,$AA$28,$AA$45,Q119)*-1)</f>
        <v/>
      </c>
      <c r="M119" s="1350">
        <f>IF(_epmOfflineCondition_,0,EPMRetrieveData(,,$D$21,$D$22,$D$25,$D$26,$D$27,$D$28,$D$29,$Z$41,$Z$42,$Z$43,$AA$28,$Z$45,Q119)*-1)</f>
        <v/>
      </c>
      <c r="N119" s="1192">
        <f>IF(_epmOfflineCondition_,0,EPMRetrieveData(,,$D$21,$D$22,$D$25,$D$26,$D$27,$D$28,$D$29,$AB$41,$AB$42,$AB$43,$Z$28,$AB$45,Q119))</f>
        <v/>
      </c>
      <c r="O119" s="1192">
        <f>IF(_epmOfflineCondition_,0,EPMRetrieveData(,,$D$21,$D$22,$D$25,$D$26,$D$27,$D$28,$D$29,$AA$41,$AA$42,$AA$43,$Z$28,$AA$45,Q119))</f>
        <v/>
      </c>
      <c r="P119" s="1192">
        <f>IF(_epmOfflineCondition_,0,EPMRetrieveData(,,$D$21,$D$22,$D$25,$D$26,$D$27,$D$28,$D$29,$Z$41,$Z$42,$Z$43,$Z$28,$Z$45,Q119))</f>
        <v/>
      </c>
      <c r="Q119" s="609" t="inlineStr">
        <is>
          <t>A0071301</t>
        </is>
      </c>
      <c r="R119" s="716">
        <f>IF(_epmOfflineCondition_,"人工成本明细-其中：福利费用（离退休人员统筹外费用）",EPMMemberDesc(Q119))</f>
        <v/>
      </c>
      <c r="S119" s="462">
        <f>IF(_epmOfflineCondition_,"  预付款项",EPMMemberDesc(U119))</f>
        <v/>
      </c>
      <c r="T119" s="384" t="n"/>
      <c r="U119" s="716" t="inlineStr">
        <is>
          <t>A001010108</t>
        </is>
      </c>
      <c r="V119" s="635">
        <f>IF(_epmOfflineCondition_,"A001010108",EPMOlapMemberO(U119,"[C_ACCOUNT].[PARENTH1].[A001010108]","A001010108 -   预付款项","","000"))</f>
        <v/>
      </c>
      <c r="W119" s="384" t="n"/>
      <c r="X119" s="585" t="inlineStr">
        <is>
          <t>41. 预付账款</t>
        </is>
      </c>
      <c r="Y119" s="1185">
        <f>ROW()-45</f>
        <v/>
      </c>
      <c r="Z119" s="1347">
        <f>"— —"</f>
        <v/>
      </c>
      <c r="AA119" s="1298" t="inlineStr"/>
      <c r="AB119" s="1298" t="inlineStr"/>
      <c r="AC119" s="1192" t="n"/>
      <c r="AD119" s="1192" t="n"/>
      <c r="AE119" s="1192" t="n"/>
      <c r="AF119" s="1192">
        <f>ROUND(Z119/10000,0)</f>
        <v/>
      </c>
      <c r="AG119" s="1192">
        <f>ROUND(AA119/10000,0)</f>
        <v/>
      </c>
      <c r="AH119" s="1192">
        <f>ROUND(AB119/10000,0)</f>
        <v/>
      </c>
      <c r="AI119" s="384" t="n"/>
      <c r="AJ119" s="384" t="n"/>
      <c r="AK119" s="384" t="n"/>
      <c r="AL119" s="384" t="n"/>
      <c r="AM119" s="384" t="n"/>
      <c r="AN119" s="384" t="n"/>
      <c r="AO119" s="384" t="n"/>
      <c r="AP119" s="384" t="n"/>
      <c r="AQ119" s="384" t="n"/>
      <c r="AR119" s="384" t="n"/>
      <c r="AS119" s="384" t="n"/>
    </row>
    <row r="120" hidden="1" ht="15.75" customHeight="1" s="1181">
      <c r="A120" s="384" t="n"/>
      <c r="B120" s="384" t="n"/>
      <c r="C120" s="384" t="n"/>
      <c r="D120" s="384" t="n"/>
      <c r="E120" s="384" t="n"/>
      <c r="F120" s="384" t="n"/>
      <c r="G120" s="384" t="n"/>
      <c r="H120" s="384" t="n"/>
      <c r="I120" s="384" t="n"/>
      <c r="J120" s="384" t="n"/>
      <c r="K120" s="1350">
        <f>IF(_epmOfflineCondition_,0,EPMRetrieveData(,,$D$21,$D$22,$D$25,$D$26,$D$27,$D$28,$D$29,$AB$41,$AB$42,$AB$43,$AA$28,$AB$45,Q120)*-1)</f>
        <v/>
      </c>
      <c r="L120" s="1350">
        <f>IF(_epmOfflineCondition_,0,EPMRetrieveData(,,$D$21,$D$22,$D$25,$D$26,$D$27,$D$28,$D$29,$AA$41,$AA$42,$AA$43,$AA$28,$AA$45,Q120)*-1)</f>
        <v/>
      </c>
      <c r="M120" s="1350">
        <f>IF(_epmOfflineCondition_,0,EPMRetrieveData(,,$D$21,$D$22,$D$25,$D$26,$D$27,$D$28,$D$29,$Z$41,$Z$42,$Z$43,$AA$28,$Z$45,Q120)*-1)</f>
        <v/>
      </c>
      <c r="N120" s="1192">
        <f>IF(_epmOfflineCondition_,0,EPMRetrieveData(,,$D$21,$D$22,$D$25,$D$26,$D$27,$D$28,$D$29,$AB$41,$AB$42,$AB$43,$Z$28,$AB$45,Q120))</f>
        <v/>
      </c>
      <c r="O120" s="1192">
        <f>IF(_epmOfflineCondition_,0,EPMRetrieveData(,,$D$21,$D$22,$D$25,$D$26,$D$27,$D$28,$D$29,$AA$41,$AA$42,$AA$43,$Z$28,$AA$45,Q120))</f>
        <v/>
      </c>
      <c r="P120" s="1192">
        <f>IF(_epmOfflineCondition_,0,EPMRetrieveData(,,$D$21,$D$22,$D$25,$D$26,$D$27,$D$28,$D$29,$Z$41,$Z$42,$Z$43,$Z$28,$Z$45,Q120))</f>
        <v/>
      </c>
      <c r="Q120" s="609" t="inlineStr">
        <is>
          <t>A0071302</t>
        </is>
      </c>
      <c r="R120" s="716">
        <f>IF(_epmOfflineCondition_,"人工成本明细-其中：福利费用（离职后福利）",EPMMemberDesc(Q120))</f>
        <v/>
      </c>
      <c r="S120" s="462">
        <f>IF(_epmOfflineCondition_,"   预收款项",EPMMemberDesc(U120))</f>
        <v/>
      </c>
      <c r="T120" s="384" t="n"/>
      <c r="U120" s="716" t="inlineStr">
        <is>
          <t>A001020109</t>
        </is>
      </c>
      <c r="V120" s="637">
        <f>IF(_epmOfflineCondition_,"A001020109",EPMOlapMemberO(U120,"[C_ACCOUNT].[PARENTH1].[A001020109]","A001020109 -    预收款项","","000"))</f>
        <v/>
      </c>
      <c r="W120" s="384" t="n"/>
      <c r="X120" s="585" t="inlineStr">
        <is>
          <t>42. 预收账款</t>
        </is>
      </c>
      <c r="Y120" s="1185">
        <f>ROW()-45</f>
        <v/>
      </c>
      <c r="Z120" s="1347">
        <f>"— —"</f>
        <v/>
      </c>
      <c r="AA120" s="1298" t="n"/>
      <c r="AB120" s="1298" t="n"/>
      <c r="AC120" s="1192" t="n"/>
      <c r="AD120" s="1192" t="n"/>
      <c r="AE120" s="1192" t="n"/>
      <c r="AF120" s="1192">
        <f>ROUND(Z120/10000,0)</f>
        <v/>
      </c>
      <c r="AG120" s="1192">
        <f>ROUND(AA120/10000,0)</f>
        <v/>
      </c>
      <c r="AH120" s="1192">
        <f>ROUND(AB120/10000,0)</f>
        <v/>
      </c>
      <c r="AI120" s="384" t="n"/>
      <c r="AJ120" s="384" t="n"/>
      <c r="AK120" s="384" t="n"/>
      <c r="AL120" s="384" t="n"/>
      <c r="AM120" s="384" t="n"/>
      <c r="AN120" s="384" t="n"/>
      <c r="AO120" s="384" t="n"/>
      <c r="AP120" s="384" t="n"/>
      <c r="AQ120" s="384" t="n"/>
      <c r="AR120" s="384" t="n"/>
      <c r="AS120" s="384" t="n"/>
    </row>
    <row r="121" hidden="1" ht="13.9" customHeight="1" s="1181">
      <c r="A121" s="384" t="n"/>
      <c r="B121" s="384" t="n"/>
      <c r="C121" s="384" t="n"/>
      <c r="D121" s="384" t="n"/>
      <c r="E121" s="384" t="n"/>
      <c r="F121" s="384" t="n"/>
      <c r="G121" s="384" t="n"/>
      <c r="H121" s="384" t="n"/>
      <c r="I121" s="384" t="n"/>
      <c r="J121" s="384" t="n"/>
      <c r="K121" s="1350">
        <f>IF(_epmOfflineCondition_,0,EPMRetrieveData(,,$D$21,$D$22,$D$25,$D$26,$D$27,$D$28,$D$29,$AB$41,$AB$42,$AB$43,$AA$28,$AB$45,Q121))</f>
        <v/>
      </c>
      <c r="L121" s="1350">
        <f>IF(_epmOfflineCondition_,0,EPMRetrieveData(,,$D$21,$D$22,$D$25,$D$26,$D$27,$D$28,$D$29,$AA$41,$AA$42,$AA$43,$AA$28,$AA$45,Q121))</f>
        <v/>
      </c>
      <c r="M121" s="1350">
        <f>IF(_epmOfflineCondition_,0,EPMRetrieveData(,,$D$21,$D$22,$D$25,$D$26,$D$27,$D$28,$D$29,$Z$41,$Z$42,$Z$43,$AA$28,$Z$45,Q121))</f>
        <v/>
      </c>
      <c r="N121" s="1192">
        <f>IF(_epmOfflineCondition_,0,EPMRetrieveData(,,$D$21,$D$22,$D$25,$D$26,$D$27,$D$28,$D$29,$AB$41,$AB$42,$AB$43,$Z$28,$AB$45,Q121))</f>
        <v/>
      </c>
      <c r="O121" s="1192">
        <f>IF(_epmOfflineCondition_,0,EPMRetrieveData(,,$D$21,$D$22,$D$25,$D$26,$D$27,$D$28,$D$29,$AA$41,$AA$42,$AA$43,$Z$28,$AA$45,Q121))</f>
        <v/>
      </c>
      <c r="P121" s="1192">
        <f>IF(_epmOfflineCondition_,0,EPMRetrieveData(,,$D$21,$D$22,$D$25,$D$26,$D$27,$D$28,$D$29,$Z$41,$Z$42,$Z$43,$Z$28,$Z$45,Q121))</f>
        <v/>
      </c>
      <c r="Q121" s="609" t="inlineStr">
        <is>
          <t>A00716</t>
        </is>
      </c>
      <c r="R121" s="716">
        <f>IF(_epmOfflineCondition_,"人工成本明细-除内退及下岗职工外的不在岗职工人工成本总额",EPMMemberDesc(Q121))</f>
        <v/>
      </c>
      <c r="S121" s="462">
        <f>IF(_epmOfflineCondition_,"   合同负债",EPMMemberDesc(U121))</f>
        <v/>
      </c>
      <c r="T121" s="384" t="n"/>
      <c r="U121" s="716" t="inlineStr">
        <is>
          <t>A001020110</t>
        </is>
      </c>
      <c r="V121" s="637">
        <f>IF(_epmOfflineCondition_,"A001020110",EPMOlapMemberO(U121,"[C_ACCOUNT].[PARENTH1].[A001020110]","A001020110 -    合同负债","","000"))</f>
        <v/>
      </c>
      <c r="W121" s="384" t="n"/>
      <c r="X121" s="585" t="inlineStr">
        <is>
          <t>43. 合同负债</t>
        </is>
      </c>
      <c r="Y121" s="1185">
        <f>ROW()-45</f>
        <v/>
      </c>
      <c r="Z121" s="1347">
        <f>"— —"</f>
        <v/>
      </c>
      <c r="AA121" s="1298" t="n"/>
      <c r="AB121" s="1298" t="n"/>
      <c r="AC121" s="1192" t="n"/>
      <c r="AD121" s="1192" t="n"/>
      <c r="AE121" s="1192" t="n"/>
      <c r="AF121" s="1192">
        <f>ROUND(Z121/10000,0)</f>
        <v/>
      </c>
      <c r="AG121" s="1192">
        <f>ROUND(AA121/10000,0)</f>
        <v/>
      </c>
      <c r="AH121" s="1192">
        <f>ROUND(AB121/10000,0)</f>
        <v/>
      </c>
      <c r="AI121" s="384" t="n"/>
      <c r="AJ121" s="384" t="n"/>
      <c r="AK121" s="384" t="n"/>
      <c r="AL121" s="384" t="n"/>
      <c r="AM121" s="384" t="n"/>
      <c r="AN121" s="384" t="n"/>
      <c r="AO121" s="384" t="n"/>
      <c r="AP121" s="384" t="n"/>
      <c r="AQ121" s="384" t="n"/>
      <c r="AR121" s="384" t="n"/>
      <c r="AS121" s="384" t="n"/>
    </row>
    <row r="122" hidden="1" ht="13.9" customHeight="1" s="1181">
      <c r="A122" s="384" t="n"/>
      <c r="B122" s="384" t="n"/>
      <c r="C122" s="384" t="n"/>
      <c r="D122" s="384" t="n"/>
      <c r="E122" s="384" t="n"/>
      <c r="F122" s="384" t="n"/>
      <c r="G122" s="384" t="n"/>
      <c r="H122" s="384" t="n"/>
      <c r="I122" s="384" t="n"/>
      <c r="J122" s="384" t="n"/>
      <c r="K122" s="1350">
        <f>IF(_epmOfflineCondition_,0,EPMRetrieveData(,,$D$21,$D$22,$D$25,$D$26,$D$27,$D$28,$D$29,$AB$41,$AB$42,$AB$43,$AA$28,$AB$45,Q122)*-1)</f>
        <v/>
      </c>
      <c r="L122" s="1350">
        <f>IF(_epmOfflineCondition_,0,EPMRetrieveData(,,$D$21,$D$22,$D$25,$D$26,$D$27,$D$28,$D$29,$AA$41,$AA$42,$AA$43,$AA$28,$AA$45,Q122)*-1)</f>
        <v/>
      </c>
      <c r="M122" s="1350">
        <f>IF(_epmOfflineCondition_,0,EPMRetrieveData(,,$D$21,$D$22,$D$25,$D$26,$D$27,$D$28,$D$29,$Z$41,$Z$42,$Z$43,$AA$28,$Z$45,Q122)*-1)</f>
        <v/>
      </c>
      <c r="N122" s="1192">
        <f>IF(_epmOfflineCondition_,0,EPMRetrieveData(,,$D$21,$D$22,$D$25,$D$26,$D$27,$D$28,$D$29,$AB$41,$AB$42,$AB$43,$Z$28,$AB$45,Q122))</f>
        <v/>
      </c>
      <c r="O122" s="1192">
        <f>IF(_epmOfflineCondition_,0,EPMRetrieveData(,,$D$21,$D$22,$D$25,$D$26,$D$27,$D$28,$D$29,$AA$41,$AA$42,$AA$43,$Z$28,$AA$45,Q122))</f>
        <v/>
      </c>
      <c r="P122" s="1192">
        <f>IF(_epmOfflineCondition_,0,EPMRetrieveData(,,$D$21,$D$22,$D$25,$D$26,$D$27,$D$28,$D$29,$Z$41,$Z$42,$Z$43,$Z$28,$Z$45,Q122))</f>
        <v/>
      </c>
      <c r="Q122" s="609" t="inlineStr">
        <is>
          <t>A00712</t>
        </is>
      </c>
      <c r="R122" s="384" t="n"/>
      <c r="S122" s="462">
        <f>IF(_epmOfflineCondition_,"44. 带息流动负债",EPMMemberDesc(U122))</f>
        <v/>
      </c>
      <c r="T122" s="384" t="n"/>
      <c r="U122" s="716" t="inlineStr">
        <is>
          <t>A07819</t>
        </is>
      </c>
      <c r="V122" s="535">
        <f>IF(_epmOfflineCondition_,"A07819",EPMOlapMemberO(U122,"[C_ACCOUNT].[PARENTH1].[A07819]","A07819 - 44. 带息流动负债","","000"))</f>
        <v/>
      </c>
      <c r="W122" s="384" t="n"/>
      <c r="X122" s="585" t="inlineStr">
        <is>
          <t>44. 带息流动负债</t>
        </is>
      </c>
      <c r="Y122" s="1185">
        <f>ROW()-45</f>
        <v/>
      </c>
      <c r="Z122" s="1347">
        <f>"— —"</f>
        <v/>
      </c>
      <c r="AA122" s="1352" t="n"/>
      <c r="AB122" s="1298" t="inlineStr"/>
      <c r="AC122" s="1192">
        <f>IF(_epmOfflineCondition_,0,EPMSaveDataOnly(AA122,,$D$21,Z37,$E$25,$E$26,$E$27,$E$28,$E$29,$AA$41,$AA$42,$Z$29,$Z$28,$AA$45,V122))</f>
        <v/>
      </c>
      <c r="AD122" s="1192" t="n"/>
      <c r="AE122" s="1192" t="n"/>
      <c r="AF122" s="1192">
        <f>ROUND(Z122/10000,0)</f>
        <v/>
      </c>
      <c r="AG122" s="1192">
        <f>ROUND(AA122/10000,0)</f>
        <v/>
      </c>
      <c r="AH122" s="1192">
        <f>ROUND(AB122/10000,0)</f>
        <v/>
      </c>
      <c r="AI122" s="384" t="n"/>
      <c r="AJ122" s="384" t="n"/>
      <c r="AK122" s="384" t="n"/>
      <c r="AL122" s="384" t="n"/>
      <c r="AM122" s="384" t="n"/>
      <c r="AN122" s="384" t="n"/>
      <c r="AO122" s="384" t="n"/>
      <c r="AP122" s="384" t="n"/>
      <c r="AQ122" s="384" t="n"/>
      <c r="AR122" s="384" t="n"/>
      <c r="AS122" s="384" t="n"/>
    </row>
    <row r="123" hidden="1" ht="13.9" customHeight="1" s="1181">
      <c r="A123" s="384" t="n"/>
      <c r="B123" s="384" t="n"/>
      <c r="C123" s="384" t="n"/>
      <c r="D123" s="384" t="n"/>
      <c r="E123" s="384" t="n"/>
      <c r="F123" s="384" t="n"/>
      <c r="G123" s="384" t="n"/>
      <c r="H123" s="384" t="n"/>
      <c r="I123" s="384" t="n"/>
      <c r="J123" s="384" t="n"/>
      <c r="K123" s="384" t="n"/>
      <c r="L123" s="384" t="n"/>
      <c r="M123" s="384" t="n"/>
      <c r="N123" s="384" t="n"/>
      <c r="O123" s="384" t="n"/>
      <c r="P123" s="384" t="n"/>
      <c r="Q123" s="384" t="n"/>
      <c r="R123" s="384" t="n"/>
      <c r="S123" s="462">
        <f>IF(_epmOfflineCondition_,"45. 计入权益的永续债",EPMMemberDesc(U123))</f>
        <v/>
      </c>
      <c r="T123" s="384" t="n"/>
      <c r="U123" s="716" t="inlineStr">
        <is>
          <t>A07820</t>
        </is>
      </c>
      <c r="V123" s="535">
        <f>IF(_epmOfflineCondition_,"A07820",EPMOlapMemberO(U123,"[C_ACCOUNT].[PARENTH1].[A07820]","A07820 - 45. 计入权益的永续债","","000"))</f>
        <v/>
      </c>
      <c r="W123" s="384" t="n"/>
      <c r="X123" s="585" t="inlineStr">
        <is>
          <t>45. 计入权益的永续债</t>
        </is>
      </c>
      <c r="Y123" s="1185">
        <f>ROW()-45</f>
        <v/>
      </c>
      <c r="Z123" s="1347">
        <f>"— —"</f>
        <v/>
      </c>
      <c r="AA123" s="1352" t="n"/>
      <c r="AB123" s="1298" t="n"/>
      <c r="AC123" s="1192">
        <f>IF(_epmOfflineCondition_,0,EPMSaveDataOnly(AA123,,$D$21,Z37,$E$25,$E$26,$E$27,$E$28,$E$29,$AA$41,$AA$42,$Z$29,$Z$28,$AA$45,V123))</f>
        <v/>
      </c>
      <c r="AD123" s="1192" t="n"/>
      <c r="AE123" s="1192" t="n"/>
      <c r="AF123" s="1192">
        <f>ROUND(Z123/10000,0)</f>
        <v/>
      </c>
      <c r="AG123" s="1192">
        <f>ROUND(AA123/10000,0)</f>
        <v/>
      </c>
      <c r="AH123" s="1192">
        <f>ROUND(AB123/10000,0)</f>
        <v/>
      </c>
      <c r="AI123" s="384" t="n"/>
      <c r="AJ123" s="384" t="n"/>
      <c r="AK123" s="384" t="n"/>
      <c r="AL123" s="384" t="n"/>
      <c r="AM123" s="384" t="n"/>
      <c r="AN123" s="384" t="n"/>
      <c r="AO123" s="384" t="n"/>
      <c r="AP123" s="384" t="n"/>
      <c r="AQ123" s="384" t="n"/>
      <c r="AR123" s="384" t="n"/>
      <c r="AS123" s="384" t="n"/>
    </row>
    <row r="124" hidden="1" ht="13.9" customHeight="1" s="1181">
      <c r="A124" s="384" t="n"/>
      <c r="B124" s="384" t="n"/>
      <c r="C124" s="384" t="n"/>
      <c r="D124" s="384" t="n"/>
      <c r="E124" s="384" t="n"/>
      <c r="F124" s="384" t="n"/>
      <c r="G124" s="384" t="n"/>
      <c r="H124" s="384" t="n"/>
      <c r="I124" s="384" t="n"/>
      <c r="J124" s="384" t="n"/>
      <c r="K124" s="384" t="n"/>
      <c r="L124" s="384" t="n"/>
      <c r="M124" s="384" t="n"/>
      <c r="N124" s="384" t="n"/>
      <c r="O124" s="384" t="n"/>
      <c r="P124" s="384" t="n"/>
      <c r="Q124" s="384" t="n"/>
      <c r="R124" s="384" t="n"/>
      <c r="S124" s="462">
        <f>IF(_epmOfflineCondition_,"  盈余公积",EPMMemberDesc(U124))</f>
        <v/>
      </c>
      <c r="T124" s="384" t="n"/>
      <c r="U124" s="716" t="inlineStr">
        <is>
          <t>A0010307</t>
        </is>
      </c>
      <c r="V124" s="637">
        <f>IF(_epmOfflineCondition_,"A0010307",EPMOlapMemberO(U124,"[C_ACCOUNT].[PARENTH1].[A0010307]","A0010307 -   盈余公积","","000"))</f>
        <v/>
      </c>
      <c r="W124" s="384" t="n"/>
      <c r="X124" s="585" t="inlineStr">
        <is>
          <t>46. 盈余公积</t>
        </is>
      </c>
      <c r="Y124" s="1185">
        <f>ROW()-45</f>
        <v/>
      </c>
      <c r="Z124" s="1347">
        <f>"— —"</f>
        <v/>
      </c>
      <c r="AA124" s="1298" t="n"/>
      <c r="AB124" s="1298" t="n"/>
      <c r="AC124" s="1192" t="n"/>
      <c r="AD124" s="1192" t="n"/>
      <c r="AE124" s="1192" t="n"/>
      <c r="AF124" s="1192">
        <f>ROUND(Z124/10000,0)</f>
        <v/>
      </c>
      <c r="AG124" s="1192">
        <f>ROUND(AA124/10000,0)</f>
        <v/>
      </c>
      <c r="AH124" s="1192">
        <f>ROUND(AB124/10000,0)</f>
        <v/>
      </c>
      <c r="AI124" s="384" t="n"/>
      <c r="AJ124" s="384" t="n"/>
      <c r="AK124" s="384" t="n"/>
      <c r="AL124" s="384" t="n"/>
      <c r="AM124" s="384" t="n"/>
      <c r="AN124" s="384" t="n"/>
      <c r="AO124" s="384" t="n"/>
      <c r="AP124" s="384" t="n"/>
      <c r="AQ124" s="384" t="n"/>
      <c r="AR124" s="384" t="n"/>
      <c r="AS124" s="384" t="n"/>
    </row>
    <row r="125" hidden="1" ht="13.9" customHeight="1" s="1181">
      <c r="A125" s="384" t="n"/>
      <c r="B125" s="384" t="n"/>
      <c r="C125" s="384" t="n"/>
      <c r="D125" s="384" t="n"/>
      <c r="E125" s="384" t="n"/>
      <c r="F125" s="384" t="n"/>
      <c r="G125" s="384" t="n"/>
      <c r="H125" s="384" t="n"/>
      <c r="I125" s="384" t="n"/>
      <c r="J125" s="384" t="n"/>
      <c r="K125" s="384" t="n"/>
      <c r="L125" s="384" t="n"/>
      <c r="M125" s="384" t="n"/>
      <c r="N125" s="384" t="n"/>
      <c r="O125" s="384" t="n"/>
      <c r="P125" s="384" t="n"/>
      <c r="Q125" s="384" t="n"/>
      <c r="R125" s="384" t="n"/>
      <c r="S125" s="462">
        <f>IF(_epmOfflineCondition_,"　未分配利润",EPMMemberDesc(U125))</f>
        <v/>
      </c>
      <c r="T125" s="384" t="n"/>
      <c r="U125" s="716" t="inlineStr">
        <is>
          <t>A0010309</t>
        </is>
      </c>
      <c r="V125" s="637">
        <f>IF(_epmOfflineCondition_,"A0010309",EPMOlapMemberO(U125,"[C_ACCOUNT].[PARENTH1].[A0010309]","A0010309 - 　未分配利润","","000"))</f>
        <v/>
      </c>
      <c r="W125" s="384" t="n"/>
      <c r="X125" s="585" t="inlineStr">
        <is>
          <t>47. 未分配利润</t>
        </is>
      </c>
      <c r="Y125" s="1185">
        <f>ROW()-45</f>
        <v/>
      </c>
      <c r="Z125" s="1347">
        <f>"— —"</f>
        <v/>
      </c>
      <c r="AA125" s="1298" t="inlineStr"/>
      <c r="AB125" s="1298" t="inlineStr"/>
      <c r="AC125" s="1192" t="n"/>
      <c r="AD125" s="1192" t="n"/>
      <c r="AE125" s="1192" t="n"/>
      <c r="AF125" s="1192">
        <f>ROUND(Z125/10000,0)</f>
        <v/>
      </c>
      <c r="AG125" s="1192">
        <f>ROUND(AA125/10000,0)</f>
        <v/>
      </c>
      <c r="AH125" s="1192">
        <f>ROUND(AB125/10000,0)</f>
        <v/>
      </c>
      <c r="AI125" s="384" t="n"/>
      <c r="AJ125" s="384" t="n"/>
      <c r="AK125" s="384" t="n"/>
      <c r="AL125" s="384" t="n"/>
      <c r="AM125" s="384" t="n"/>
      <c r="AN125" s="384" t="n"/>
      <c r="AO125" s="384" t="n"/>
      <c r="AP125" s="384" t="n"/>
      <c r="AQ125" s="384" t="n"/>
      <c r="AR125" s="384" t="n"/>
      <c r="AS125" s="384" t="n"/>
    </row>
    <row r="126" hidden="1" ht="13.9" customHeight="1" s="1181">
      <c r="A126" s="384" t="n"/>
      <c r="B126" s="384" t="n"/>
      <c r="C126" s="384" t="n"/>
      <c r="D126" s="384" t="n"/>
      <c r="E126" s="384" t="n"/>
      <c r="F126" s="384" t="n"/>
      <c r="G126" s="384" t="n"/>
      <c r="H126" s="384" t="n"/>
      <c r="I126" s="384" t="n"/>
      <c r="J126" s="384" t="n"/>
      <c r="K126" s="384" t="n"/>
      <c r="L126" s="384" t="n"/>
      <c r="M126" s="384" t="n"/>
      <c r="N126" s="384" t="n"/>
      <c r="O126" s="384" t="n"/>
      <c r="P126" s="384" t="n"/>
      <c r="Q126" s="384" t="n"/>
      <c r="R126" s="384" t="n"/>
      <c r="S126" s="462">
        <f>IF(_epmOfflineCondition_,"六、期末现金及现金等价物余额",EPMMemberDesc(U126))</f>
        <v/>
      </c>
      <c r="T126" s="384" t="n"/>
      <c r="U126" s="716" t="inlineStr">
        <is>
          <t>A00307</t>
        </is>
      </c>
      <c r="V126" s="535">
        <f>IF(_epmOfflineCondition_,"A00307",EPMOlapMemberO(U126,"[C_ACCOUNT].[PARENTH1].[A00307]","A00307 - 六、期末现金及现金等价物余额","","000"))</f>
        <v/>
      </c>
      <c r="W126" s="384" t="n"/>
      <c r="X126" s="585" t="inlineStr">
        <is>
          <t>48. 期末现金及现金等价物余额</t>
        </is>
      </c>
      <c r="Y126" s="1185">
        <f>ROW()-45</f>
        <v/>
      </c>
      <c r="Z126" s="1347">
        <f>"— —"</f>
        <v/>
      </c>
      <c r="AA126" s="1298" t="inlineStr"/>
      <c r="AB126" s="1298" t="inlineStr"/>
      <c r="AC126" s="1192" t="n"/>
      <c r="AD126" s="1192" t="n"/>
      <c r="AE126" s="1192" t="n"/>
      <c r="AF126" s="1192">
        <f>ROUND(Z126/10000,0)</f>
        <v/>
      </c>
      <c r="AG126" s="1192">
        <f>ROUND(AA126/10000,0)</f>
        <v/>
      </c>
      <c r="AH126" s="1192">
        <f>ROUND(AB126/10000,0)</f>
        <v/>
      </c>
      <c r="AI126" s="384" t="n"/>
      <c r="AJ126" s="384" t="n"/>
      <c r="AK126" s="384" t="n"/>
      <c r="AL126" s="384" t="n"/>
      <c r="AM126" s="384" t="n"/>
      <c r="AN126" s="384" t="n"/>
      <c r="AO126" s="384" t="n"/>
      <c r="AP126" s="384" t="n"/>
      <c r="AQ126" s="384" t="n"/>
      <c r="AR126" s="384" t="n"/>
      <c r="AS126" s="384" t="n"/>
    </row>
    <row r="127" hidden="1" ht="14.65" customHeight="1" s="1181">
      <c r="A127" s="384" t="n"/>
      <c r="B127" s="384" t="n"/>
      <c r="C127" s="384" t="n"/>
      <c r="D127" s="384" t="n"/>
      <c r="E127" s="384" t="n"/>
      <c r="F127" s="384" t="n"/>
      <c r="G127" s="384" t="n"/>
      <c r="H127" s="384" t="n"/>
      <c r="I127" s="384" t="n"/>
      <c r="J127" s="384" t="n"/>
      <c r="K127" s="384" t="n"/>
      <c r="L127" s="384" t="n"/>
      <c r="M127" s="384" t="n"/>
      <c r="N127" s="384" t="n"/>
      <c r="O127" s="384" t="n"/>
      <c r="P127" s="384" t="n"/>
      <c r="Q127" s="384" t="n"/>
      <c r="R127" s="384" t="n"/>
      <c r="S127" s="462">
        <f>IF(_epmOfflineCondition_,"",EPMMemberDesc(U127))</f>
        <v/>
      </c>
      <c r="T127" s="384" t="n"/>
      <c r="U127" s="384" t="n"/>
      <c r="V127" s="385" t="n"/>
      <c r="W127" s="384" t="n"/>
      <c r="X127" s="454" t="inlineStr">
        <is>
          <t>企业经营补充指标</t>
        </is>
      </c>
      <c r="Y127" s="1185">
        <f>ROW()-45</f>
        <v/>
      </c>
      <c r="Z127" s="1347">
        <f>"— —"</f>
        <v/>
      </c>
      <c r="AA127" s="1347">
        <f>"— —"</f>
        <v/>
      </c>
      <c r="AB127" s="1347">
        <f>"— —"</f>
        <v/>
      </c>
      <c r="AC127" s="1192" t="n"/>
      <c r="AD127" s="1192" t="n"/>
      <c r="AE127" s="1192" t="n"/>
      <c r="AF127" s="1192">
        <f>ROUND(Z127/10000,0)</f>
        <v/>
      </c>
      <c r="AG127" s="1192">
        <f>ROUND(AA127/10000,0)</f>
        <v/>
      </c>
      <c r="AH127" s="1192">
        <f>ROUND(AB127/10000,0)</f>
        <v/>
      </c>
      <c r="AI127" s="384" t="n"/>
      <c r="AJ127" s="384" t="n"/>
      <c r="AK127" s="384" t="n"/>
      <c r="AL127" s="384" t="n"/>
      <c r="AM127" s="384" t="n"/>
      <c r="AN127" s="384" t="n"/>
      <c r="AO127" s="384" t="n"/>
      <c r="AP127" s="384" t="n"/>
      <c r="AQ127" s="384" t="n"/>
      <c r="AR127" s="384" t="n"/>
      <c r="AS127" s="384" t="n"/>
    </row>
    <row r="128" hidden="1" ht="13.9" customHeight="1" s="1181">
      <c r="A128" s="384" t="n"/>
      <c r="B128" s="384" t="n"/>
      <c r="C128" s="384" t="n"/>
      <c r="D128" s="384" t="n"/>
      <c r="E128" s="384" t="n"/>
      <c r="F128" s="384" t="n"/>
      <c r="G128" s="384" t="n"/>
      <c r="H128" s="384" t="n"/>
      <c r="I128" s="384" t="n"/>
      <c r="J128" s="384" t="n"/>
      <c r="K128" s="384" t="n"/>
      <c r="L128" s="384" t="n"/>
      <c r="M128" s="384" t="n"/>
      <c r="N128" s="384" t="n"/>
      <c r="O128" s="384" t="n"/>
      <c r="P128" s="384" t="n"/>
      <c r="Q128" s="384" t="n"/>
      <c r="R128" s="384" t="n"/>
      <c r="S128" s="462">
        <f>IF(_epmOfflineCondition_,"49.营业成本-原材料",EPMMemberDesc(U128))</f>
        <v/>
      </c>
      <c r="T128" s="384" t="n"/>
      <c r="U128" s="384" t="inlineStr">
        <is>
          <t>A07814</t>
        </is>
      </c>
      <c r="V128" s="535">
        <f>IF(_epmOfflineCondition_,"A07814",EPMOlapMemberO(U128,"[C_ACCOUNT].[PARENTH1].[A07814]","A07814 - 49.营业成本-原材料","","000"))</f>
        <v/>
      </c>
      <c r="W128" s="384" t="n"/>
      <c r="X128" s="585" t="inlineStr">
        <is>
          <t>49. 营业成本-原材料</t>
        </is>
      </c>
      <c r="Y128" s="1185">
        <f>ROW()-45</f>
        <v/>
      </c>
      <c r="Z128" s="1353" t="n"/>
      <c r="AA128" s="1297" t="n"/>
      <c r="AB128" s="1353" t="n"/>
      <c r="AC128" s="1192">
        <f>IF(_epmOfflineCondition_,0,EPMSaveDataOnly(AA128,,$D$21,Z37,$E$25,$E$26,$E$27,$E$28,$E$29,$AA$41,$AA$42,$Z$29,$Z$28,$AA$45,V128))</f>
        <v/>
      </c>
      <c r="AD128" s="1192" t="n"/>
      <c r="AE128" s="1192" t="n"/>
      <c r="AF128" s="1192">
        <f>ROUND(Z128/10000,0)</f>
        <v/>
      </c>
      <c r="AG128" s="1192">
        <f>ROUND(AA128/10000,0)</f>
        <v/>
      </c>
      <c r="AH128" s="1192">
        <f>ROUND(AB128/10000,0)</f>
        <v/>
      </c>
      <c r="AI128" s="384" t="n"/>
      <c r="AJ128" s="384" t="n"/>
      <c r="AK128" s="384" t="n"/>
      <c r="AL128" s="384" t="n"/>
      <c r="AM128" s="384" t="n"/>
      <c r="AN128" s="384" t="n"/>
      <c r="AO128" s="384" t="n"/>
      <c r="AP128" s="384" t="n"/>
      <c r="AQ128" s="384" t="n"/>
      <c r="AR128" s="384" t="n"/>
      <c r="AS128" s="384" t="n"/>
    </row>
    <row r="129" hidden="1" ht="13.9" customHeight="1" s="1181">
      <c r="A129" s="384" t="n"/>
      <c r="B129" s="384" t="n"/>
      <c r="C129" s="384" t="n"/>
      <c r="D129" s="384" t="n"/>
      <c r="E129" s="384" t="n"/>
      <c r="F129" s="384" t="n"/>
      <c r="G129" s="384" t="n"/>
      <c r="H129" s="384" t="n"/>
      <c r="I129" s="384" t="n"/>
      <c r="J129" s="384" t="n"/>
      <c r="K129" s="384" t="n"/>
      <c r="L129" s="384" t="n"/>
      <c r="M129" s="384" t="n"/>
      <c r="N129" s="384" t="n"/>
      <c r="O129" s="384" t="n"/>
      <c r="P129" s="384" t="n"/>
      <c r="Q129" s="384" t="n"/>
      <c r="R129" s="384" t="n"/>
      <c r="S129" s="462">
        <f>IF(_epmOfflineCondition_,"50.营业成本-人工成本",EPMMemberDesc(U129))</f>
        <v/>
      </c>
      <c r="T129" s="384" t="n"/>
      <c r="U129" s="384" t="inlineStr">
        <is>
          <t>A07815</t>
        </is>
      </c>
      <c r="V129" s="535">
        <f>IF(_epmOfflineCondition_,"A07815",EPMOlapMemberO(U129,"[C_ACCOUNT].[PARENTH1].[A07815]","A07815 - 50.营业成本-人工成本","","000"))</f>
        <v/>
      </c>
      <c r="W129" s="384" t="n"/>
      <c r="X129" s="585" t="inlineStr">
        <is>
          <t>50. 营业成本-人工成本</t>
        </is>
      </c>
      <c r="Y129" s="1185">
        <f>ROW()-45</f>
        <v/>
      </c>
      <c r="Z129" s="1353" t="inlineStr"/>
      <c r="AA129" s="1297" t="inlineStr"/>
      <c r="AB129" s="1353" t="n"/>
      <c r="AC129" s="1192">
        <f>IF(_epmOfflineCondition_,3096227.54,EPMSaveDataOnly(AA129,,$D$21,Z37,$E$25,$E$26,$E$27,$E$28,$E$29,$AA$41,$AA$42,$Z$29,$Z$28,$AA$45,V129))</f>
        <v/>
      </c>
      <c r="AD129" s="1192" t="n"/>
      <c r="AE129" s="1192" t="n"/>
      <c r="AF129" s="1192">
        <f>ROUND(Z129/10000,0)</f>
        <v/>
      </c>
      <c r="AG129" s="1192">
        <f>ROUND(AA129/10000,0)</f>
        <v/>
      </c>
      <c r="AH129" s="1192">
        <f>ROUND(AB129/10000,0)</f>
        <v/>
      </c>
      <c r="AI129" s="384" t="n"/>
      <c r="AJ129" s="384" t="n"/>
      <c r="AK129" s="384" t="n"/>
      <c r="AL129" s="384" t="n"/>
      <c r="AM129" s="384" t="n"/>
      <c r="AN129" s="384" t="n"/>
      <c r="AO129" s="384" t="n"/>
      <c r="AP129" s="384" t="n"/>
      <c r="AQ129" s="384" t="n"/>
      <c r="AR129" s="384" t="n"/>
      <c r="AS129" s="384" t="n"/>
    </row>
    <row r="130" hidden="1" ht="13.9" customHeight="1" s="1181">
      <c r="A130" s="384" t="n"/>
      <c r="B130" s="384" t="n"/>
      <c r="C130" s="384" t="n"/>
      <c r="D130" s="384" t="n"/>
      <c r="E130" s="384" t="n"/>
      <c r="F130" s="384" t="n"/>
      <c r="G130" s="384" t="n"/>
      <c r="H130" s="384" t="n"/>
      <c r="I130" s="384" t="n"/>
      <c r="J130" s="384" t="n"/>
      <c r="K130" s="384" t="n"/>
      <c r="L130" s="384" t="n"/>
      <c r="M130" s="384" t="n"/>
      <c r="N130" s="384" t="n"/>
      <c r="O130" s="384" t="n"/>
      <c r="P130" s="384" t="n"/>
      <c r="Q130" s="384" t="n"/>
      <c r="R130" s="384" t="n"/>
      <c r="S130" s="462">
        <f>IF(_epmOfflineCondition_,"51.建筑总产值",EPMMemberDesc(U130))</f>
        <v/>
      </c>
      <c r="T130" s="384" t="n"/>
      <c r="U130" s="384" t="inlineStr">
        <is>
          <t>A07816</t>
        </is>
      </c>
      <c r="V130" s="535">
        <f>IF(_epmOfflineCondition_,"A07816",EPMOlapMemberO(U130,"[C_ACCOUNT].[PARENTH1].[A07816]","A07816 - 51.建筑总产值","","000"))</f>
        <v/>
      </c>
      <c r="W130" s="384" t="n"/>
      <c r="X130" s="585" t="inlineStr">
        <is>
          <t>51. 建筑总产值</t>
        </is>
      </c>
      <c r="Y130" s="1185">
        <f>ROW()-45</f>
        <v/>
      </c>
      <c r="Z130" s="1353" t="n"/>
      <c r="AA130" s="1297" t="n"/>
      <c r="AB130" s="1353" t="n"/>
      <c r="AC130" s="1192">
        <f>IF(_epmOfflineCondition_,0,EPMSaveDataOnly(AA130,,$D$21,Z37,$E$25,$E$26,$E$27,$E$28,$E$29,$AA$41,$AA$42,$Z$29,$Z$28,$AA$45,V130))</f>
        <v/>
      </c>
      <c r="AD130" s="1192" t="n"/>
      <c r="AE130" s="1192" t="n"/>
      <c r="AF130" s="1192">
        <f>ROUND(Z130/10000,0)</f>
        <v/>
      </c>
      <c r="AG130" s="1192">
        <f>ROUND(AA130/10000,0)</f>
        <v/>
      </c>
      <c r="AH130" s="1192">
        <f>ROUND(AB130/10000,0)</f>
        <v/>
      </c>
      <c r="AI130" s="384" t="n"/>
      <c r="AJ130" s="384" t="n"/>
      <c r="AK130" s="384" t="n"/>
      <c r="AL130" s="384" t="n"/>
      <c r="AM130" s="384" t="n"/>
      <c r="AN130" s="384" t="n"/>
      <c r="AO130" s="384" t="n"/>
      <c r="AP130" s="384" t="n"/>
      <c r="AQ130" s="384" t="n"/>
      <c r="AR130" s="384" t="n"/>
      <c r="AS130" s="384" t="n"/>
    </row>
    <row r="131" hidden="1" ht="13.9" customHeight="1" s="1181">
      <c r="A131" s="384" t="n"/>
      <c r="B131" s="384" t="n"/>
      <c r="C131" s="384" t="n"/>
      <c r="D131" s="384" t="n"/>
      <c r="E131" s="384" t="n"/>
      <c r="F131" s="384" t="n"/>
      <c r="G131" s="384" t="n"/>
      <c r="H131" s="384" t="n"/>
      <c r="I131" s="384" t="n"/>
      <c r="J131" s="384" t="n"/>
      <c r="K131" s="384" t="n"/>
      <c r="L131" s="384" t="n"/>
      <c r="M131" s="384" t="n"/>
      <c r="N131" s="384" t="n"/>
      <c r="O131" s="384" t="n"/>
      <c r="P131" s="384" t="n"/>
      <c r="Q131" s="384" t="n"/>
      <c r="R131" s="384" t="n"/>
      <c r="S131" s="462">
        <f>IF(_epmOfflineCondition_,"52.商品房销售面积（万平米）",EPMMemberDesc(U131))</f>
        <v/>
      </c>
      <c r="T131" s="384" t="n"/>
      <c r="U131" s="384" t="inlineStr">
        <is>
          <t>A07817</t>
        </is>
      </c>
      <c r="V131" s="535">
        <f>IF(_epmOfflineCondition_,"A07817",EPMOlapMemberO(U131,"[C_ACCOUNT].[PARENTH1].[A07817]","A07817 - 52.商品房销售面积（万平米）","","000"))</f>
        <v/>
      </c>
      <c r="W131" s="384" t="n"/>
      <c r="X131" s="585" t="inlineStr">
        <is>
          <t>52. 商品房销售面积（万平米）</t>
        </is>
      </c>
      <c r="Y131" s="1185">
        <f>ROW()-45</f>
        <v/>
      </c>
      <c r="Z131" s="1353" t="n"/>
      <c r="AA131" s="1297" t="n"/>
      <c r="AB131" s="1353" t="n"/>
      <c r="AC131" s="1192">
        <f>IF(_epmOfflineCondition_,0,EPMSaveDataOnly(AA131,,$D$21,Z37,$E$25,$E$26,$E$27,$E$28,$E$29,$AA$41,$AA$42,$Z$29,$Z$28,$AA$45,V131))</f>
        <v/>
      </c>
      <c r="AD131" s="1192" t="n"/>
      <c r="AE131" s="1192" t="n"/>
      <c r="AF131" s="1192">
        <f>ROUND(Z131/10000,0)</f>
        <v/>
      </c>
      <c r="AG131" s="1192">
        <f>ROUND(AA131/10000,0)</f>
        <v/>
      </c>
      <c r="AH131" s="1192">
        <f>ROUND(AB131/10000,0)</f>
        <v/>
      </c>
      <c r="AI131" s="384" t="n"/>
      <c r="AJ131" s="384" t="n"/>
      <c r="AK131" s="384" t="n"/>
      <c r="AL131" s="384" t="n"/>
      <c r="AM131" s="384" t="n"/>
      <c r="AN131" s="384" t="n"/>
      <c r="AO131" s="384" t="n"/>
      <c r="AP131" s="384" t="n"/>
      <c r="AQ131" s="384" t="n"/>
      <c r="AR131" s="384" t="n"/>
      <c r="AS131" s="384" t="n"/>
    </row>
    <row r="132" hidden="1" ht="13.9" customHeight="1" s="1181">
      <c r="A132" s="384" t="n"/>
      <c r="B132" s="384" t="n"/>
      <c r="C132" s="384" t="n"/>
      <c r="D132" s="384" t="n"/>
      <c r="E132" s="384" t="n"/>
      <c r="F132" s="384" t="n"/>
      <c r="G132" s="384" t="n"/>
      <c r="H132" s="384" t="n"/>
      <c r="I132" s="384" t="n"/>
      <c r="J132" s="384" t="n"/>
      <c r="K132" s="384" t="n"/>
      <c r="L132" s="384" t="n"/>
      <c r="M132" s="384" t="n"/>
      <c r="N132" s="384" t="n"/>
      <c r="O132" s="384" t="n"/>
      <c r="P132" s="384" t="n"/>
      <c r="Q132" s="384" t="n"/>
      <c r="R132" s="384" t="n"/>
      <c r="S132" s="462">
        <f>IF(_epmOfflineCondition_,"53.已交税费（京内）",EPMMemberDesc(U132))</f>
        <v/>
      </c>
      <c r="T132" s="384" t="n"/>
      <c r="U132" s="384" t="inlineStr">
        <is>
          <t>A07821</t>
        </is>
      </c>
      <c r="V132" s="535">
        <f>IF(_epmOfflineCondition_,"A07821",EPMOlapMemberO(U132,"[C_ACCOUNT].[PARENTH1].[A07821]","A07821 - 53.已交税费（京内）","","000"))</f>
        <v/>
      </c>
      <c r="W132" s="384" t="n"/>
      <c r="X132" s="585" t="inlineStr">
        <is>
          <t>53.已交税费（京内）</t>
        </is>
      </c>
      <c r="Y132" s="1185">
        <f>ROW()-45</f>
        <v/>
      </c>
      <c r="Z132" s="1353" t="n"/>
      <c r="AA132" s="1297" t="n"/>
      <c r="AB132" s="1353" t="n"/>
      <c r="AC132" s="1192">
        <f>IF(_epmOfflineCondition_,0,EPMSaveDataOnly(AA132,,$D$21,Z37,$E$25,$E$26,$E$27,$E$28,$E$29,$AA$41,$AA$42,$Z$29,$Z$28,$AA$45,V132))</f>
        <v/>
      </c>
      <c r="AD132" s="1192" t="n"/>
      <c r="AE132" s="1192" t="n"/>
      <c r="AF132" s="1192">
        <f>ROUND(Z132/10000,0)</f>
        <v/>
      </c>
      <c r="AG132" s="1192">
        <f>ROUND(AA132/10000,0)</f>
        <v/>
      </c>
      <c r="AH132" s="1192">
        <f>ROUND(AB132/10000,0)</f>
        <v/>
      </c>
      <c r="AI132" s="384" t="n"/>
      <c r="AJ132" s="384" t="n"/>
      <c r="AK132" s="384" t="n"/>
      <c r="AL132" s="384" t="n"/>
      <c r="AM132" s="384" t="n"/>
      <c r="AN132" s="384" t="n"/>
      <c r="AO132" s="384" t="n"/>
      <c r="AP132" s="384" t="n"/>
      <c r="AQ132" s="384" t="n"/>
      <c r="AR132" s="384" t="n"/>
      <c r="AS132" s="384" t="n"/>
    </row>
    <row r="133" hidden="1" ht="13.9" customHeight="1" s="1181">
      <c r="A133" s="384" t="n"/>
      <c r="B133" s="384" t="n"/>
      <c r="C133" s="384" t="n"/>
      <c r="D133" s="384" t="n"/>
      <c r="E133" s="384" t="n"/>
      <c r="F133" s="384" t="n"/>
      <c r="G133" s="384" t="n"/>
      <c r="H133" s="384" t="n"/>
      <c r="I133" s="384" t="n"/>
      <c r="J133" s="384" t="n"/>
      <c r="K133" s="384" t="n"/>
      <c r="L133" s="384" t="n"/>
      <c r="M133" s="384" t="n"/>
      <c r="N133" s="384" t="n"/>
      <c r="O133" s="384" t="n"/>
      <c r="P133" s="384" t="n"/>
      <c r="Q133" s="384" t="n"/>
      <c r="R133" s="384" t="n"/>
      <c r="S133" s="462">
        <f>IF(_epmOfflineCondition_,"54.劳动生产总值（京内）",EPMMemberDesc(U133))</f>
        <v/>
      </c>
      <c r="T133" s="384" t="n"/>
      <c r="U133" s="384" t="inlineStr">
        <is>
          <t>A07822</t>
        </is>
      </c>
      <c r="V133" s="535">
        <f>IF(_epmOfflineCondition_,"A07822",EPMOlapMemberO(U133,"[C_ACCOUNT].[PARENTH1].[A07822]","A07822 - 54.劳动生产总值（京内）","","000"))</f>
        <v/>
      </c>
      <c r="W133" s="384" t="n"/>
      <c r="X133" s="585" t="inlineStr">
        <is>
          <t>54.劳动生产总值（京内）</t>
        </is>
      </c>
      <c r="Y133" s="1185">
        <f>ROW()-45</f>
        <v/>
      </c>
      <c r="Z133" s="1353" t="n"/>
      <c r="AA133" s="1297" t="n"/>
      <c r="AB133" s="1353" t="n"/>
      <c r="AC133" s="1192">
        <f>IF(_epmOfflineCondition_,0,EPMSaveDataOnly(AA133,,$D$21,Z37,$E$25,$E$26,$E$27,$E$28,$E$29,$AA$41,$AA$42,$Z$29,$Z$28,$AA$45,V133))</f>
        <v/>
      </c>
      <c r="AD133" s="1192" t="n"/>
      <c r="AE133" s="1192" t="n"/>
      <c r="AF133" s="1192">
        <f>ROUND(Z133/10000,0)</f>
        <v/>
      </c>
      <c r="AG133" s="1192">
        <f>ROUND(AA133/10000,0)</f>
        <v/>
      </c>
      <c r="AH133" s="1192">
        <f>ROUND(AB133/10000,0)</f>
        <v/>
      </c>
      <c r="AI133" s="384" t="n"/>
      <c r="AJ133" s="384" t="n"/>
      <c r="AK133" s="384" t="n"/>
      <c r="AL133" s="384" t="n"/>
      <c r="AM133" s="384" t="n"/>
      <c r="AN133" s="384" t="n"/>
      <c r="AO133" s="384" t="n"/>
      <c r="AP133" s="384" t="n"/>
      <c r="AQ133" s="384" t="n"/>
      <c r="AR133" s="384" t="n"/>
      <c r="AS133" s="384" t="n"/>
    </row>
    <row r="134" hidden="1" ht="13.9" customHeight="1" s="1181">
      <c r="A134" s="384" t="n"/>
      <c r="B134" s="384" t="n"/>
      <c r="C134" s="384" t="n"/>
      <c r="D134" s="384" t="n"/>
      <c r="E134" s="384" t="n"/>
      <c r="F134" s="384" t="n"/>
      <c r="G134" s="384" t="n"/>
      <c r="H134" s="384" t="n"/>
      <c r="I134" s="384" t="n"/>
      <c r="J134" s="384" t="n"/>
      <c r="K134" s="384" t="n"/>
      <c r="L134" s="384" t="n"/>
      <c r="M134" s="384" t="n"/>
      <c r="N134" s="384" t="n"/>
      <c r="O134" s="384" t="n"/>
      <c r="P134" s="384" t="n"/>
      <c r="Q134" s="384" t="n"/>
      <c r="R134" s="384" t="n"/>
      <c r="S134" s="32" t="n"/>
      <c r="T134" s="384" t="n"/>
      <c r="U134" s="384" t="n"/>
      <c r="V134" s="384" t="n"/>
      <c r="W134" s="384" t="n"/>
      <c r="X134" s="38" t="n"/>
      <c r="Y134" s="38" t="n"/>
      <c r="Z134" s="384" t="n"/>
      <c r="AA134" s="384" t="n"/>
      <c r="AB134" s="384" t="n"/>
      <c r="AC134" s="384" t="n"/>
      <c r="AD134" s="384" t="n"/>
      <c r="AE134" s="384" t="n"/>
      <c r="AF134" s="1192">
        <f>ROUND(Z134/10000,0)</f>
        <v/>
      </c>
      <c r="AG134" s="1192">
        <f>ROUND(AA134/10000,0)</f>
        <v/>
      </c>
      <c r="AH134" s="1192">
        <f>ROUND(AB134/10000,0)</f>
        <v/>
      </c>
      <c r="AI134" s="384" t="n"/>
      <c r="AJ134" s="384" t="n"/>
      <c r="AK134" s="384" t="n"/>
      <c r="AL134" s="384" t="n"/>
      <c r="AM134" s="384" t="n"/>
      <c r="AN134" s="384" t="n"/>
      <c r="AO134" s="384" t="n"/>
      <c r="AP134" s="384" t="n"/>
      <c r="AQ134" s="384" t="n"/>
      <c r="AR134" s="384" t="n"/>
      <c r="AS134" s="384" t="n"/>
    </row>
    <row r="135" hidden="1" s="1181">
      <c r="A135" s="384" t="n"/>
      <c r="B135" s="384" t="n"/>
      <c r="C135" s="384" t="n"/>
      <c r="D135" s="384" t="n"/>
      <c r="E135" s="384" t="n"/>
      <c r="F135" s="384" t="n"/>
      <c r="G135" s="384" t="n"/>
      <c r="H135" s="384" t="n"/>
      <c r="I135" s="384" t="n"/>
      <c r="J135" s="384" t="n"/>
      <c r="K135" s="384" t="n"/>
      <c r="L135" s="384" t="n"/>
      <c r="M135" s="384" t="n"/>
      <c r="N135" s="384" t="n"/>
      <c r="O135" s="384" t="n"/>
      <c r="P135" s="384" t="n"/>
      <c r="Q135" s="384" t="n"/>
      <c r="R135" s="384" t="n"/>
      <c r="S135" s="32" t="n"/>
      <c r="T135" s="384" t="n"/>
      <c r="U135" s="384" t="n"/>
      <c r="V135" s="384" t="n"/>
      <c r="W135" s="384" t="n"/>
      <c r="X135" s="38" t="n"/>
      <c r="Y135" s="38" t="n"/>
      <c r="Z135" s="384" t="n"/>
      <c r="AA135" s="384" t="n"/>
      <c r="AB135" s="384" t="n"/>
      <c r="AC135" s="384" t="n"/>
      <c r="AD135" s="384" t="n"/>
      <c r="AE135" s="384" t="n"/>
      <c r="AF135" s="384" t="n"/>
      <c r="AG135" s="384" t="n"/>
      <c r="AH135" s="384" t="n"/>
      <c r="AI135" s="384" t="n"/>
      <c r="AJ135" s="384" t="n"/>
      <c r="AK135" s="384" t="n"/>
      <c r="AL135" s="384" t="n"/>
      <c r="AM135" s="384" t="n"/>
      <c r="AN135" s="384" t="n"/>
      <c r="AO135" s="384" t="n"/>
      <c r="AP135" s="384" t="n"/>
      <c r="AQ135" s="384" t="n"/>
      <c r="AR135" s="384" t="n"/>
      <c r="AS135" s="384" t="n"/>
    </row>
    <row r="136" hidden="1" s="1181">
      <c r="A136" s="384" t="n"/>
      <c r="B136" s="384" t="n"/>
      <c r="C136" s="384" t="n"/>
      <c r="D136" s="384" t="n"/>
      <c r="E136" s="384" t="n"/>
      <c r="F136" s="384" t="n"/>
      <c r="G136" s="384" t="n"/>
      <c r="H136" s="384" t="n"/>
      <c r="I136" s="384" t="n"/>
      <c r="J136" s="384" t="n"/>
      <c r="K136" s="384" t="n"/>
      <c r="L136" s="384" t="n"/>
      <c r="M136" s="384" t="n"/>
      <c r="N136" s="384" t="n"/>
      <c r="O136" s="384" t="n"/>
      <c r="P136" s="384" t="n"/>
      <c r="Q136" s="384" t="n"/>
      <c r="R136" s="384" t="n"/>
      <c r="S136" s="32" t="n"/>
      <c r="T136" s="384" t="n"/>
      <c r="U136" s="384" t="n"/>
      <c r="V136" s="384" t="n"/>
      <c r="W136" s="384" t="n"/>
      <c r="X136" s="38" t="n"/>
      <c r="Y136" s="38" t="n"/>
      <c r="Z136" s="384" t="n"/>
      <c r="AA136" s="384" t="n"/>
      <c r="AB136" s="384" t="n"/>
      <c r="AC136" s="384" t="n"/>
      <c r="AD136" s="384" t="n"/>
      <c r="AE136" s="384" t="n"/>
      <c r="AF136" s="384" t="n"/>
      <c r="AG136" s="384" t="n"/>
      <c r="AH136" s="384" t="n"/>
      <c r="AI136" s="384" t="n"/>
      <c r="AJ136" s="384" t="n"/>
      <c r="AK136" s="384" t="n"/>
      <c r="AL136" s="384" t="n"/>
      <c r="AM136" s="384" t="n"/>
      <c r="AN136" s="384" t="n"/>
      <c r="AO136" s="384" t="n"/>
      <c r="AP136" s="384" t="n"/>
      <c r="AQ136" s="384" t="n"/>
      <c r="AR136" s="384" t="n"/>
      <c r="AS136" s="384" t="n"/>
    </row>
    <row r="137" hidden="1" s="1181">
      <c r="A137" s="384" t="n"/>
      <c r="B137" s="384" t="n"/>
      <c r="C137" s="384" t="n"/>
      <c r="D137" s="384" t="n"/>
      <c r="E137" s="384" t="n"/>
      <c r="F137" s="384" t="n"/>
      <c r="G137" s="384" t="n"/>
      <c r="H137" s="384" t="n"/>
      <c r="I137" s="384" t="n"/>
      <c r="J137" s="384" t="n"/>
      <c r="K137" s="384" t="n"/>
      <c r="L137" s="384" t="n"/>
      <c r="M137" s="384" t="n"/>
      <c r="N137" s="384" t="n"/>
      <c r="O137" s="384" t="n"/>
      <c r="P137" s="384" t="n"/>
      <c r="Q137" s="384" t="n"/>
      <c r="R137" s="384" t="n"/>
      <c r="S137" s="32" t="n"/>
      <c r="T137" s="384" t="n"/>
      <c r="U137" s="384" t="n"/>
      <c r="V137" s="384" t="n"/>
      <c r="W137" s="384" t="n"/>
      <c r="X137" s="38" t="n"/>
      <c r="Y137" s="38" t="n"/>
      <c r="Z137" s="384" t="n"/>
      <c r="AA137" s="384" t="n"/>
      <c r="AB137" s="384" t="n"/>
      <c r="AC137" s="384" t="n"/>
      <c r="AD137" s="384" t="n"/>
      <c r="AE137" s="384" t="n"/>
      <c r="AF137" s="384" t="n"/>
      <c r="AG137" s="384" t="n"/>
      <c r="AH137" s="384" t="n"/>
      <c r="AI137" s="384" t="n"/>
      <c r="AJ137" s="384" t="n"/>
      <c r="AK137" s="384" t="n"/>
      <c r="AL137" s="384" t="n"/>
      <c r="AM137" s="384" t="n"/>
      <c r="AN137" s="384" t="n"/>
      <c r="AO137" s="384" t="n"/>
      <c r="AP137" s="384" t="n"/>
      <c r="AQ137" s="384" t="n"/>
      <c r="AR137" s="384" t="n"/>
      <c r="AS137" s="384" t="n"/>
    </row>
  </sheetData>
  <sheetProtection selectLockedCells="0" selectUnlockedCells="0" algorithmName="SHA-512" sheet="1" objects="0" insertRows="1" insertHyperlinks="1" autoFilter="1" scenarios="1" formatColumns="1" deleteColumns="1" insertColumns="1" pivotTables="1" deleteRows="1" formatCells="1" saltValue="NK+LBy0fP0rWnebCPADmZg==" formatRows="1" sort="1" spinCount="100000" hashValue="7hsDkKaFWEy7igNpKpDrWcw9h7fYV+lUcvCHQFi08m6fbU3NycwCOt0+pPZtOnWOWYjh4JHrnR4xOCPflTOcew=="/>
  <mergeCells count="16">
    <mergeCell ref="H2:J2"/>
    <mergeCell ref="D16:E16"/>
    <mergeCell ref="Z35:AB35"/>
    <mergeCell ref="AF35:AH35"/>
    <mergeCell ref="N80:Q80"/>
    <mergeCell ref="K94:M94"/>
    <mergeCell ref="N94:P94"/>
    <mergeCell ref="X39:X40"/>
    <mergeCell ref="Y39:Y40"/>
    <mergeCell ref="Z39:Z40"/>
    <mergeCell ref="AA39:AA40"/>
    <mergeCell ref="AB39:AB40"/>
    <mergeCell ref="AC39:AC40"/>
    <mergeCell ref="AF39:AF40"/>
    <mergeCell ref="AG39:AG40"/>
    <mergeCell ref="AH39:AH40"/>
  </mergeCells>
  <dataValidations count="1">
    <dataValidation sqref="Z37 AF37" showErrorMessage="1" showInputMessage="1" allowBlank="1" type="list">
      <formula1>"LC,CNY"</formula1>
    </dataValidation>
  </dataValidations>
  <pageMargins left="0.7" right="0.7" top="0.75" bottom="0.75" header="0.3" footer="0.3"/>
  <pageSetup orientation="portrait" paperSize="9"/>
  <drawing xmlns:r="http://schemas.openxmlformats.org/officeDocument/2006/relationships" r:id="rId1"/>
</worksheet>
</file>

<file path=xl/worksheets/sheet29.xml><?xml version="1.0" encoding="utf-8"?>
<worksheet xmlns="http://schemas.openxmlformats.org/spreadsheetml/2006/main">
  <sheetPr codeName="Sheet20">
    <outlinePr showOutlineSymbols="0"/>
    <pageSetUpPr/>
  </sheetPr>
  <dimension ref="A1:AR148"/>
  <sheetViews>
    <sheetView showOutlineSymbols="0" topLeftCell="W34" zoomScale="85" zoomScaleNormal="85" workbookViewId="0">
      <selection activeCell="AG61" sqref="AG61"/>
    </sheetView>
  </sheetViews>
  <sheetFormatPr baseColWidth="8" defaultColWidth="8.625" defaultRowHeight="16.8"/>
  <cols>
    <col hidden="1" outlineLevel="2" width="8" customWidth="1" style="38" min="1" max="1"/>
    <col hidden="1" outlineLevel="2" width="15.375" customWidth="1" style="38" min="2" max="2"/>
    <col hidden="1" outlineLevel="2" width="11.375" customWidth="1" style="38" min="3" max="3"/>
    <col hidden="1" outlineLevel="2" width="12.25" customWidth="1" style="38" min="4" max="4"/>
    <col hidden="1" outlineLevel="2" width="11.75" customWidth="1" style="38" min="5" max="5"/>
    <col hidden="1" outlineLevel="2" width="7.75" customWidth="1" style="38" min="6" max="7"/>
    <col hidden="1" outlineLevel="2" width="13.125" customWidth="1" style="38" min="8" max="8"/>
    <col hidden="1" outlineLevel="2" width="7.75" customWidth="1" style="38" min="9" max="9"/>
    <col hidden="1" outlineLevel="2" width="11.125" customWidth="1" style="38" min="10" max="10"/>
    <col hidden="1" outlineLevel="2" width="7.75" customWidth="1" style="38" min="11" max="11"/>
    <col hidden="1" outlineLevel="2" width="16.75" customWidth="1" style="38" min="12" max="13"/>
    <col hidden="1" outlineLevel="2" width="20.25" customWidth="1" style="38" min="14" max="14"/>
    <col hidden="1" outlineLevel="2" width="18.125" customWidth="1" style="38" min="15" max="16"/>
    <col hidden="1" outlineLevel="2" width="11.75" customWidth="1" style="38" min="17" max="17"/>
    <col hidden="1" outlineLevel="2" width="36.75" customWidth="1" style="38" min="18" max="18"/>
    <col hidden="1" outlineLevel="2" width="48.75" customWidth="1" style="580" min="19" max="19"/>
    <col hidden="1" outlineLevel="2" width="2.375" customWidth="1" style="38" min="20" max="20"/>
    <col hidden="1" outlineLevel="2" width="12.75" customWidth="1" style="38" min="21" max="21"/>
    <col hidden="1" outlineLevel="2" width="32.375" customWidth="1" style="38" min="22" max="22"/>
    <col collapsed="1" width="1.5" customWidth="1" style="38" min="23" max="23"/>
    <col width="44.875" customWidth="1" style="38" min="24" max="24"/>
    <col width="4.5" customWidth="1" style="38" min="25" max="25"/>
    <col width="29.125" customWidth="1" style="38" min="26" max="28"/>
    <col hidden="1" width="20.5" customWidth="1" style="38" min="29" max="29"/>
    <col width="23.5" customWidth="1" style="38" min="30" max="30"/>
    <col width="20.5" customWidth="1" style="38" min="31" max="35"/>
    <col width="16.75" customWidth="1" style="38" min="36" max="36"/>
    <col width="17.375" customWidth="1" style="38" min="37" max="38"/>
    <col width="16.75" customWidth="1" style="38" min="39" max="41"/>
    <col width="17.375" customWidth="1" style="38" min="42" max="43"/>
    <col width="16.75" customWidth="1" style="38" min="44" max="46"/>
    <col width="17.375" customWidth="1" style="38" min="47" max="48"/>
    <col width="16.75" customWidth="1" style="38" min="49" max="51"/>
    <col width="17.375" customWidth="1" style="38" min="52" max="53"/>
    <col width="16.75" customWidth="1" style="38" min="54" max="56"/>
    <col width="17.375" customWidth="1" style="38" min="57" max="58"/>
    <col width="16.75" customWidth="1" style="38" min="59" max="59"/>
    <col width="8.625" customWidth="1" style="38" min="60" max="16384"/>
  </cols>
  <sheetData>
    <row r="1" hidden="1" outlineLevel="1" customFormat="1" s="171">
      <c r="A1" s="172" t="inlineStr">
        <is>
          <t>维度清单</t>
        </is>
      </c>
      <c r="B1" s="726" t="n"/>
      <c r="C1" s="566" t="n"/>
      <c r="D1" s="566" t="n"/>
      <c r="E1" s="575" t="n"/>
      <c r="F1" s="171" t="n"/>
      <c r="G1" s="171" t="n"/>
      <c r="H1" s="171" t="n"/>
      <c r="I1" s="171" t="n"/>
      <c r="J1" s="171" t="n"/>
      <c r="K1" s="171" t="n"/>
      <c r="L1" s="171" t="n"/>
      <c r="M1" s="171" t="n"/>
      <c r="N1" s="171" t="n"/>
      <c r="O1" s="171" t="n"/>
      <c r="P1" s="171" t="n"/>
      <c r="Q1" s="171" t="n"/>
      <c r="R1" s="171" t="n"/>
      <c r="S1" s="568" t="n"/>
      <c r="T1" s="171" t="n"/>
      <c r="U1" s="171" t="n"/>
      <c r="V1" s="171" t="n"/>
      <c r="W1" s="171" t="n"/>
      <c r="X1" s="171" t="n"/>
      <c r="Y1" s="171" t="n"/>
      <c r="Z1" s="171" t="inlineStr">
        <is>
          <t>2023.11</t>
        </is>
      </c>
      <c r="AA1" s="171" t="n"/>
      <c r="AB1" s="171" t="n"/>
      <c r="AC1" s="551" t="n"/>
      <c r="AD1" s="171" t="n"/>
      <c r="AE1" s="171" t="n"/>
      <c r="AF1" s="171" t="n"/>
      <c r="AG1" s="171" t="n"/>
      <c r="AH1" s="171" t="n"/>
      <c r="AI1" s="171" t="n"/>
      <c r="AJ1" s="171" t="n"/>
      <c r="AK1" s="171" t="n"/>
      <c r="AL1" s="171" t="n"/>
      <c r="AM1" s="171" t="n"/>
      <c r="AN1" s="171" t="n"/>
      <c r="AO1" s="171" t="n"/>
      <c r="AP1" s="601" t="n"/>
      <c r="AQ1" s="171" t="n"/>
      <c r="AR1" s="171" t="n"/>
    </row>
    <row r="2" hidden="1" outlineLevel="1" customFormat="1" s="171">
      <c r="A2" s="174" t="inlineStr">
        <is>
          <t>维度类型</t>
        </is>
      </c>
      <c r="B2" s="174" t="inlineStr">
        <is>
          <t>维度</t>
        </is>
      </c>
      <c r="C2" s="174" t="inlineStr">
        <is>
          <t>维度CV值</t>
        </is>
      </c>
      <c r="D2" s="174" t="inlineStr">
        <is>
          <t>描述</t>
        </is>
      </c>
      <c r="E2" s="174" t="inlineStr">
        <is>
          <t>备注</t>
        </is>
      </c>
      <c r="F2" s="171" t="n"/>
      <c r="G2" s="171" t="n"/>
      <c r="H2" s="577" t="inlineStr">
        <is>
          <t>TIME</t>
        </is>
      </c>
      <c r="I2" s="1182" t="n"/>
      <c r="J2" s="1183" t="n"/>
      <c r="K2" s="171" t="n"/>
      <c r="L2" s="171" t="n"/>
      <c r="M2" s="171" t="n"/>
      <c r="N2" s="171" t="n"/>
      <c r="O2" s="171" t="n"/>
      <c r="P2" s="171" t="n"/>
      <c r="Q2" s="171" t="n"/>
      <c r="R2" s="171" t="n"/>
      <c r="S2" s="568" t="n"/>
      <c r="T2" s="171" t="n"/>
      <c r="U2" s="171" t="n"/>
      <c r="V2" s="171" t="n"/>
      <c r="W2" s="171" t="n"/>
      <c r="X2" s="171" t="n"/>
      <c r="Y2" s="171" t="n"/>
      <c r="Z2" s="171" t="inlineStr">
        <is>
          <t>C1001</t>
        </is>
      </c>
      <c r="AA2" s="171" t="n"/>
      <c r="AB2" s="171" t="n"/>
      <c r="AC2" s="1211" t="n"/>
      <c r="AD2" s="171" t="n"/>
      <c r="AE2" s="171" t="n"/>
      <c r="AF2" s="171" t="n"/>
      <c r="AG2" s="171" t="n"/>
      <c r="AH2" s="171" t="n"/>
      <c r="AI2" s="171" t="n"/>
      <c r="AJ2" s="171" t="n"/>
      <c r="AK2" s="171" t="n"/>
      <c r="AL2" s="171" t="n"/>
      <c r="AM2" s="171" t="n"/>
      <c r="AN2" s="171" t="n"/>
      <c r="AO2" s="171" t="n"/>
      <c r="AP2" s="601" t="n"/>
      <c r="AQ2" s="171" t="n"/>
      <c r="AR2" s="171" t="n"/>
    </row>
    <row r="3" hidden="1" outlineLevel="1" customFormat="1" s="171">
      <c r="A3" s="567" t="inlineStr">
        <is>
          <t>A</t>
        </is>
      </c>
      <c r="B3" s="491">
        <f>IF(_epmOfflineCondition_,"C_ACCOUNT",EPMDimensionType(,A3))</f>
        <v/>
      </c>
      <c r="C3" s="491">
        <f>IF(_epmOfflineCondition_,"A_ALL",IF(B3="","",EPMContextMember(,B3)))</f>
        <v/>
      </c>
      <c r="D3" s="491">
        <f>IF(_epmOfflineCondition_,"所有科目",EPMMemberDesc(C3))</f>
        <v/>
      </c>
      <c r="E3" s="491" t="n"/>
      <c r="F3" s="171" t="n"/>
      <c r="G3" s="171" t="n"/>
      <c r="H3" s="578" t="inlineStr">
        <is>
          <t>年变量</t>
        </is>
      </c>
      <c r="I3" s="578">
        <f>IF(_epmOfflineCondition_,"2025",EPMMemberProperty(,EPMContextMember(,"C_TIME"),"YEAR"))</f>
        <v/>
      </c>
      <c r="J3" s="578" t="n"/>
      <c r="K3" s="171" t="n"/>
      <c r="L3" s="171" t="n"/>
      <c r="M3" s="171" t="n"/>
      <c r="N3" s="171" t="n"/>
      <c r="O3" s="171" t="n"/>
      <c r="P3" s="171" t="n"/>
      <c r="Q3" s="171" t="n"/>
      <c r="R3" s="171" t="n"/>
      <c r="S3" s="568" t="n"/>
      <c r="T3" s="171" t="n"/>
      <c r="U3" s="171" t="n"/>
      <c r="V3" s="171" t="n"/>
      <c r="W3" s="171" t="n"/>
      <c r="X3" s="171" t="n"/>
      <c r="Y3" s="171" t="n"/>
      <c r="Z3" s="171" t="inlineStr">
        <is>
          <t>DALL</t>
        </is>
      </c>
      <c r="AA3" s="171" t="n"/>
      <c r="AB3" s="171" t="n"/>
      <c r="AC3" s="13" t="n"/>
      <c r="AD3" s="171" t="n"/>
      <c r="AE3" s="171" t="n"/>
      <c r="AF3" s="171" t="n"/>
      <c r="AG3" s="171" t="n"/>
      <c r="AH3" s="171" t="n"/>
      <c r="AI3" s="171" t="n"/>
      <c r="AJ3" s="171" t="n"/>
      <c r="AK3" s="171" t="n"/>
      <c r="AL3" s="171" t="n"/>
      <c r="AM3" s="171" t="n"/>
      <c r="AN3" s="171" t="n"/>
      <c r="AO3" s="171" t="n"/>
      <c r="AP3" s="601" t="n"/>
      <c r="AQ3" s="171" t="n"/>
      <c r="AR3" s="171" t="n"/>
    </row>
    <row r="4" hidden="1" outlineLevel="1" customFormat="1" s="171">
      <c r="A4" s="567" t="inlineStr">
        <is>
          <t>C</t>
        </is>
      </c>
      <c r="B4" s="491">
        <f>IF(_epmOfflineCondition_,"C_CATEGORY",EPMDimensionType(,A4))</f>
        <v/>
      </c>
      <c r="C4" s="491">
        <f>IF(_epmOfflineCondition_,"C1001",IF(B4="","",EPMContextMember(,B4)))</f>
        <v/>
      </c>
      <c r="D4" s="491">
        <f>IF(_epmOfflineCondition_,"实际数/决算数",EPMMemberDesc(C4))</f>
        <v/>
      </c>
      <c r="E4" s="491" t="n"/>
      <c r="F4" s="171" t="n"/>
      <c r="G4" s="171" t="n"/>
      <c r="H4" s="578" t="inlineStr">
        <is>
          <t>预算年</t>
        </is>
      </c>
      <c r="I4" s="578">
        <f>"V_"&amp;$I$3</f>
        <v/>
      </c>
      <c r="J4" s="578">
        <f>$I$3&amp;".TOTAL"</f>
        <v/>
      </c>
      <c r="K4" s="171" t="n"/>
      <c r="L4" s="171" t="n"/>
      <c r="M4" s="171" t="n"/>
      <c r="N4" s="171" t="n"/>
      <c r="O4" s="171" t="n"/>
      <c r="P4" s="171" t="n"/>
      <c r="Q4" s="171" t="n"/>
      <c r="R4" s="171" t="n"/>
      <c r="S4" s="568" t="n"/>
      <c r="T4" s="171" t="n"/>
      <c r="U4" s="171" t="n"/>
      <c r="V4" s="171" t="n"/>
      <c r="W4" s="171" t="n"/>
      <c r="X4" s="171" t="n"/>
      <c r="Y4" s="171" t="n"/>
      <c r="Z4" s="171" t="inlineStr">
        <is>
          <t>FMOV_OP</t>
        </is>
      </c>
      <c r="AA4" s="171" t="n"/>
      <c r="AB4" s="171" t="n"/>
      <c r="AC4" s="13" t="n"/>
      <c r="AD4" s="171" t="n"/>
      <c r="AE4" s="171" t="n"/>
      <c r="AF4" s="171" t="n"/>
      <c r="AG4" s="171" t="n"/>
      <c r="AH4" s="171" t="n"/>
      <c r="AI4" s="171" t="n"/>
      <c r="AJ4" s="171" t="n"/>
      <c r="AK4" s="171" t="n"/>
      <c r="AL4" s="171" t="n"/>
      <c r="AM4" s="171" t="n"/>
      <c r="AN4" s="171" t="n"/>
      <c r="AO4" s="171" t="n"/>
      <c r="AP4" s="601" t="n"/>
      <c r="AQ4" s="171" t="n"/>
      <c r="AR4" s="171" t="n"/>
    </row>
    <row r="5" hidden="1" outlineLevel="1" customFormat="1" s="171">
      <c r="A5" s="567" t="inlineStr">
        <is>
          <t>T</t>
        </is>
      </c>
      <c r="B5" s="491">
        <f>IF(_epmOfflineCondition_,"C_TIME",EPMDimensionType(,A5))</f>
        <v/>
      </c>
      <c r="C5" s="491">
        <f>IF(_epmOfflineCondition_,"2025.03",IF(B5="","",EPMContextMember(,B5)))</f>
        <v/>
      </c>
      <c r="D5" s="491">
        <f>IF(_epmOfflineCondition_,"2025.03",EPMMemberDesc(C5))</f>
        <v/>
      </c>
      <c r="E5" s="491" t="n"/>
      <c r="F5" s="171" t="n"/>
      <c r="G5" s="171" t="n"/>
      <c r="H5" s="578" t="inlineStr">
        <is>
          <t>前一年</t>
        </is>
      </c>
      <c r="I5" s="578">
        <f>"V_"&amp;$I$3-1</f>
        <v/>
      </c>
      <c r="J5" s="578">
        <f>$I$3-1&amp;".TOTAL"</f>
        <v/>
      </c>
      <c r="K5" s="171" t="n"/>
      <c r="L5" s="171" t="n"/>
      <c r="M5" s="171" t="n"/>
      <c r="N5" s="171" t="n"/>
      <c r="O5" s="171" t="n"/>
      <c r="P5" s="171" t="n"/>
      <c r="Q5" s="171" t="n"/>
      <c r="R5" s="171" t="n"/>
      <c r="S5" s="568" t="n"/>
      <c r="T5" s="171" t="n"/>
      <c r="U5" s="171" t="n"/>
      <c r="V5" s="171" t="n"/>
      <c r="W5" s="171" t="n"/>
      <c r="X5" s="171" t="n"/>
      <c r="Y5" s="171" t="n"/>
      <c r="Z5" s="171" t="inlineStr">
        <is>
          <t>E100000G</t>
        </is>
      </c>
      <c r="AA5" s="171" t="n"/>
      <c r="AB5" s="171" t="n"/>
      <c r="AC5" s="13" t="n"/>
      <c r="AD5" s="171" t="n"/>
      <c r="AE5" s="171" t="n"/>
      <c r="AF5" s="171" t="n"/>
      <c r="AG5" s="171" t="n"/>
      <c r="AH5" s="171" t="n"/>
      <c r="AI5" s="171" t="n"/>
      <c r="AJ5" s="171" t="n"/>
      <c r="AK5" s="171" t="n"/>
      <c r="AL5" s="171" t="n"/>
      <c r="AM5" s="171" t="n"/>
      <c r="AN5" s="171" t="n"/>
      <c r="AO5" s="171" t="n"/>
      <c r="AP5" s="601" t="n"/>
      <c r="AQ5" s="171" t="n"/>
      <c r="AR5" s="171" t="n"/>
    </row>
    <row r="6" hidden="1" outlineLevel="1" customFormat="1" s="171">
      <c r="A6" s="567" t="inlineStr">
        <is>
          <t>E</t>
        </is>
      </c>
      <c r="B6" s="491">
        <f>IF(_epmOfflineCondition_,"C_ENTITY",EPMDimensionType(,A6))</f>
        <v/>
      </c>
      <c r="C6" s="491">
        <f>IF(_epmOfflineCondition_,"E100787",IF(B6="","",EPMContextMember(,B6)))</f>
        <v/>
      </c>
      <c r="D6" s="491">
        <f>IF(_epmOfflineCondition_,"内蒙古京能苏尼特风力发电有限公司（内蒙古分公司）",EPMMemberDesc(C6))</f>
        <v/>
      </c>
      <c r="E6" s="491" t="n"/>
      <c r="F6" s="171" t="n"/>
      <c r="G6" s="171" t="n"/>
      <c r="H6" s="578" t="inlineStr">
        <is>
          <t>前两年</t>
        </is>
      </c>
      <c r="I6" s="578">
        <f>"V_"&amp;$I$3-2</f>
        <v/>
      </c>
      <c r="J6" s="578">
        <f>$I$3-2&amp;".TOTAL"</f>
        <v/>
      </c>
      <c r="K6" s="171" t="n"/>
      <c r="L6" s="171" t="n"/>
      <c r="M6" s="171" t="n"/>
      <c r="N6" s="171" t="n"/>
      <c r="O6" s="171" t="n"/>
      <c r="P6" s="171" t="n"/>
      <c r="Q6" s="171" t="n"/>
      <c r="R6" s="171" t="n"/>
      <c r="S6" s="568" t="n"/>
      <c r="T6" s="171" t="n"/>
      <c r="U6" s="171" t="n"/>
      <c r="V6" s="171" t="n"/>
      <c r="W6" s="171" t="n"/>
      <c r="X6" s="171" t="n"/>
      <c r="Y6" s="171" t="n"/>
      <c r="Z6" s="171" t="inlineStr">
        <is>
          <t>CNY</t>
        </is>
      </c>
      <c r="AA6" s="171" t="n"/>
      <c r="AB6" s="171" t="n"/>
      <c r="AC6" s="13" t="n"/>
      <c r="AD6" s="171" t="n"/>
      <c r="AE6" s="171" t="n"/>
      <c r="AF6" s="171" t="n"/>
      <c r="AG6" s="171" t="n"/>
      <c r="AH6" s="171" t="n"/>
      <c r="AI6" s="171" t="n"/>
      <c r="AJ6" s="171" t="n"/>
      <c r="AK6" s="171" t="n"/>
      <c r="AL6" s="171" t="n"/>
      <c r="AM6" s="171" t="n"/>
      <c r="AN6" s="171" t="n"/>
      <c r="AO6" s="171" t="n"/>
      <c r="AP6" s="601" t="n"/>
      <c r="AQ6" s="171" t="n"/>
      <c r="AR6" s="171" t="n"/>
    </row>
    <row r="7" hidden="1" outlineLevel="1" customFormat="1" s="171">
      <c r="A7" s="567" t="inlineStr">
        <is>
          <t>R</t>
        </is>
      </c>
      <c r="B7" s="491">
        <f>IF(_epmOfflineCondition_,"C_RPTCURRENCY",EPMDimensionType(,A7))</f>
        <v/>
      </c>
      <c r="C7" s="491">
        <f>IF(_epmOfflineCondition_,"AUD",IF(B7="","",EPMContextMember(,B7)))</f>
        <v/>
      </c>
      <c r="D7" s="491">
        <f>IF(_epmOfflineCondition_,"澳元",EPMMemberDesc(C7))</f>
        <v/>
      </c>
      <c r="E7" s="491" t="n"/>
      <c r="F7" s="171" t="n"/>
      <c r="G7" s="171" t="n"/>
      <c r="H7" s="171" t="n"/>
      <c r="I7" s="171" t="n"/>
      <c r="J7" s="171" t="n"/>
      <c r="K7" s="171" t="n"/>
      <c r="L7" s="171" t="n"/>
      <c r="M7" s="171" t="n"/>
      <c r="N7" s="171" t="n"/>
      <c r="O7" s="171" t="n"/>
      <c r="P7" s="171" t="n"/>
      <c r="Q7" s="171" t="n"/>
      <c r="R7" s="171" t="n"/>
      <c r="S7" s="568" t="n"/>
      <c r="T7" s="171" t="n"/>
      <c r="U7" s="171" t="n"/>
      <c r="V7" s="171" t="n"/>
      <c r="W7" s="171" t="n"/>
      <c r="X7" s="171" t="n"/>
      <c r="Y7" s="171" t="n"/>
      <c r="Z7" s="171" t="inlineStr">
        <is>
          <t>ZP_ALL</t>
        </is>
      </c>
      <c r="AA7" s="171" t="n"/>
      <c r="AB7" s="171" t="n"/>
      <c r="AC7" s="13" t="n"/>
      <c r="AD7" s="171" t="n"/>
      <c r="AE7" s="171" t="n"/>
      <c r="AF7" s="171" t="n"/>
      <c r="AG7" s="171" t="n"/>
      <c r="AH7" s="171" t="n"/>
      <c r="AI7" s="171" t="n"/>
      <c r="AJ7" s="171" t="n"/>
      <c r="AK7" s="171" t="n"/>
      <c r="AL7" s="171" t="n"/>
      <c r="AM7" s="171" t="n"/>
      <c r="AN7" s="171" t="n"/>
      <c r="AO7" s="171" t="n"/>
      <c r="AP7" s="601" t="n"/>
      <c r="AQ7" s="171" t="n"/>
      <c r="AR7" s="171" t="n"/>
    </row>
    <row r="8" hidden="1" outlineLevel="1" customFormat="1" s="171">
      <c r="A8" s="567" t="inlineStr">
        <is>
          <t>D</t>
        </is>
      </c>
      <c r="B8" s="491">
        <f>IF(_epmOfflineCondition_,"C_AUDITTRAIL",EPMDimensionType(,A8))</f>
        <v/>
      </c>
      <c r="C8" s="491">
        <f>IF(_epmOfflineCondition_,"DTOTAL",IF(B8="","",EPMContextMember(,B8)))</f>
        <v/>
      </c>
      <c r="D8" s="491">
        <f>IF(_epmOfflineCondition_,"全部审计线索",EPMMemberDesc(C8))</f>
        <v/>
      </c>
      <c r="E8" s="491" t="n"/>
      <c r="F8" s="171" t="n"/>
      <c r="G8" s="171" t="n"/>
      <c r="H8" s="578" t="inlineStr">
        <is>
          <t>本月</t>
        </is>
      </c>
      <c r="I8" s="578">
        <f>IF(_epmOfflineCondition_,"03",RIGHT("0"&amp;EPMMemberProperty(,EPMContextMember(,"C_TIME"),"MONTHNUM"),2))</f>
        <v/>
      </c>
      <c r="J8" s="171" t="n"/>
      <c r="K8" s="171" t="n"/>
      <c r="L8" s="171" t="n"/>
      <c r="M8" s="171" t="n"/>
      <c r="N8" s="171" t="n"/>
      <c r="O8" s="171" t="n"/>
      <c r="P8" s="171" t="n"/>
      <c r="Q8" s="171" t="n"/>
      <c r="R8" s="171" t="n"/>
      <c r="S8" s="568" t="n"/>
      <c r="T8" s="171" t="n"/>
      <c r="U8" s="171" t="n"/>
      <c r="V8" s="171" t="n"/>
      <c r="W8" s="171" t="n"/>
      <c r="X8" s="171" t="n"/>
      <c r="Y8" s="171" t="n"/>
      <c r="Z8" s="171" t="inlineStr">
        <is>
          <t>ZI_ALL</t>
        </is>
      </c>
      <c r="AA8" s="171" t="n"/>
      <c r="AB8" s="171" t="n"/>
      <c r="AC8" s="1192" t="n"/>
      <c r="AD8" s="171" t="n"/>
      <c r="AE8" s="171" t="n"/>
      <c r="AF8" s="171" t="n"/>
      <c r="AG8" s="171" t="n"/>
      <c r="AH8" s="171" t="n"/>
      <c r="AI8" s="171" t="n"/>
      <c r="AJ8" s="171" t="n"/>
      <c r="AK8" s="171" t="n"/>
      <c r="AL8" s="171" t="n"/>
      <c r="AM8" s="171" t="n"/>
      <c r="AN8" s="171" t="n"/>
      <c r="AO8" s="171" t="n"/>
      <c r="AP8" s="601" t="n"/>
      <c r="AQ8" s="171" t="n"/>
      <c r="AR8" s="171" t="n"/>
    </row>
    <row r="9" hidden="1" outlineLevel="1" customFormat="1" s="171">
      <c r="A9" s="567" t="inlineStr">
        <is>
          <t>S</t>
        </is>
      </c>
      <c r="B9" s="491">
        <f>IF(_epmOfflineCondition_,"C_FLOW",EPMDimensionType(,A9))</f>
        <v/>
      </c>
      <c r="C9" s="491">
        <f>IF(_epmOfflineCondition_,"FTOTAL",IF(B9="","",EPMContextMember(,B9)))</f>
        <v/>
      </c>
      <c r="D9" s="491">
        <f>IF(_epmOfflineCondition_,"全部变动",EPMMemberDesc(C9))</f>
        <v/>
      </c>
      <c r="E9" s="491" t="n"/>
      <c r="F9" s="171" t="n"/>
      <c r="G9" s="171" t="n"/>
      <c r="H9" s="578" t="inlineStr">
        <is>
          <t>上月</t>
        </is>
      </c>
      <c r="I9" s="579">
        <f>RIGHT("0"&amp;IF(I8="01",12,I8-1),2)</f>
        <v/>
      </c>
      <c r="J9" s="171" t="n"/>
      <c r="K9" s="171" t="n"/>
      <c r="L9" s="171" t="n"/>
      <c r="M9" s="171" t="n"/>
      <c r="N9" s="171" t="n"/>
      <c r="O9" s="171" t="n"/>
      <c r="P9" s="171" t="n"/>
      <c r="Q9" s="171" t="n"/>
      <c r="R9" s="171" t="n"/>
      <c r="S9" s="568" t="n"/>
      <c r="T9" s="171" t="n"/>
      <c r="U9" s="171" t="n"/>
      <c r="V9" s="171" t="n"/>
      <c r="W9" s="171" t="n"/>
      <c r="X9" s="171" t="n"/>
      <c r="Y9" s="171" t="n"/>
      <c r="Z9" s="171" t="inlineStr">
        <is>
          <t>ZM_ALL</t>
        </is>
      </c>
      <c r="AA9" s="171" t="n"/>
      <c r="AB9" s="171" t="n"/>
      <c r="AC9" s="1192" t="n"/>
      <c r="AD9" s="171" t="n"/>
      <c r="AE9" s="171" t="n"/>
      <c r="AF9" s="171" t="n"/>
      <c r="AG9" s="171" t="n"/>
      <c r="AH9" s="171" t="n"/>
      <c r="AI9" s="171" t="n"/>
      <c r="AJ9" s="171" t="n"/>
      <c r="AK9" s="171" t="n"/>
      <c r="AL9" s="171" t="n"/>
      <c r="AM9" s="171" t="n"/>
      <c r="AN9" s="171" t="n"/>
      <c r="AO9" s="171" t="n"/>
      <c r="AP9" s="601" t="n"/>
      <c r="AQ9" s="171" t="n"/>
      <c r="AR9" s="171" t="n"/>
    </row>
    <row r="10" hidden="1" outlineLevel="1" customFormat="1" s="171">
      <c r="A10" s="567" t="inlineStr">
        <is>
          <t>I</t>
        </is>
      </c>
      <c r="B10" s="491">
        <f>IF(_epmOfflineCondition_,"C_INTERCO",EPMDimensionType(,A10))</f>
        <v/>
      </c>
      <c r="C10" s="491">
        <f>IF(_epmOfflineCondition_,"I_ALL",IF(B10="","",EPMContextMember(,B10)))</f>
        <v/>
      </c>
      <c r="D10" s="491">
        <f>IF(_epmOfflineCondition_,"全部贸易伙伴",EPMMemberDesc(C10))</f>
        <v/>
      </c>
      <c r="E10" s="491" t="n"/>
      <c r="F10" s="171" t="n"/>
      <c r="G10" s="171" t="n"/>
      <c r="H10" s="578" t="inlineStr">
        <is>
          <t>上年</t>
        </is>
      </c>
      <c r="I10" s="579">
        <f>$I$3-1</f>
        <v/>
      </c>
      <c r="J10" s="171" t="n"/>
      <c r="K10" s="171" t="n"/>
      <c r="L10" s="171" t="n"/>
      <c r="M10" s="171" t="n"/>
      <c r="N10" s="171" t="n"/>
      <c r="O10" s="171" t="n"/>
      <c r="P10" s="171" t="n"/>
      <c r="Q10" s="171" t="n"/>
      <c r="R10" s="171" t="n"/>
      <c r="S10" s="568" t="n"/>
      <c r="T10" s="171" t="n"/>
      <c r="U10" s="171" t="n"/>
      <c r="V10" s="171" t="n"/>
      <c r="W10" s="171" t="n"/>
      <c r="X10" s="171" t="n"/>
      <c r="Y10" s="171" t="n"/>
      <c r="Z10" s="171" t="inlineStr">
        <is>
          <t>A00201</t>
        </is>
      </c>
      <c r="AA10" s="171" t="n"/>
      <c r="AB10" s="171" t="n"/>
      <c r="AC10" s="1192" t="n"/>
      <c r="AD10" s="171" t="n"/>
      <c r="AE10" s="171" t="n"/>
      <c r="AF10" s="171" t="n"/>
      <c r="AG10" s="171" t="n"/>
      <c r="AH10" s="171" t="n"/>
      <c r="AI10" s="171" t="n"/>
      <c r="AJ10" s="171" t="n"/>
      <c r="AK10" s="171" t="n"/>
      <c r="AL10" s="171" t="n"/>
      <c r="AM10" s="171" t="n"/>
      <c r="AN10" s="171" t="n"/>
      <c r="AO10" s="171" t="n"/>
      <c r="AP10" s="601" t="n"/>
      <c r="AQ10" s="171" t="n"/>
      <c r="AR10" s="171" t="n"/>
    </row>
    <row r="11" hidden="1" outlineLevel="1" customFormat="1" s="171">
      <c r="A11" s="567" t="inlineStr">
        <is>
          <t>G</t>
        </is>
      </c>
      <c r="B11" s="491">
        <f>IF(_epmOfflineCondition_,"C_SCOPE",EPMDimensionType(,A11))</f>
        <v/>
      </c>
      <c r="C11" s="491">
        <f>IF(_epmOfflineCondition_,"G_DUMMY",IF(B11="","",EPMContextMember(,B11)))</f>
        <v/>
      </c>
      <c r="D11" s="491">
        <f>IF(_epmOfflineCondition_,"合并范围无关",EPMMemberDesc(C11))</f>
        <v/>
      </c>
      <c r="E11" s="176">
        <f>IF(OR(RIGHT(C11,1)="P",RIGHT(C11,1)="S"),LEFT(C11,LEN(C11)-1),C11)</f>
        <v/>
      </c>
      <c r="F11" s="171" t="n"/>
      <c r="G11" s="171" t="n"/>
      <c r="H11" s="578" t="inlineStr">
        <is>
          <t xml:space="preserve">本年月 </t>
        </is>
      </c>
      <c r="I11" s="578">
        <f>I3&amp;"."&amp;I8</f>
        <v/>
      </c>
      <c r="J11" s="171" t="n"/>
      <c r="K11" s="171" t="n"/>
      <c r="L11" s="171" t="n"/>
      <c r="M11" s="171" t="n"/>
      <c r="N11" s="171" t="n"/>
      <c r="O11" s="171" t="n"/>
      <c r="P11" s="171" t="n"/>
      <c r="Q11" s="171" t="n"/>
      <c r="R11" s="171" t="n"/>
      <c r="S11" s="568" t="n"/>
      <c r="T11" s="171" t="n"/>
      <c r="U11" s="171" t="n"/>
      <c r="V11" s="171" t="n"/>
      <c r="W11" s="171" t="n"/>
      <c r="X11" s="171" t="n"/>
      <c r="Y11" s="171" t="n"/>
      <c r="Z11" s="171" t="inlineStr">
        <is>
          <t>I_ALL</t>
        </is>
      </c>
      <c r="AA11" s="171" t="n"/>
      <c r="AB11" s="171" t="n"/>
      <c r="AC11" s="1192" t="n"/>
      <c r="AD11" s="171" t="n"/>
      <c r="AE11" s="171" t="n"/>
      <c r="AF11" s="171" t="n"/>
      <c r="AG11" s="171" t="n"/>
      <c r="AH11" s="171" t="n"/>
      <c r="AI11" s="171" t="n"/>
      <c r="AJ11" s="171" t="n"/>
      <c r="AK11" s="171" t="n"/>
      <c r="AL11" s="171" t="n"/>
      <c r="AM11" s="171" t="n"/>
      <c r="AN11" s="171" t="n"/>
      <c r="AO11" s="171" t="n"/>
      <c r="AP11" s="601" t="n"/>
      <c r="AQ11" s="171" t="n"/>
      <c r="AR11" s="171" t="n"/>
    </row>
    <row r="12" hidden="1" outlineLevel="1" customFormat="1" s="171">
      <c r="A12" s="567" t="inlineStr">
        <is>
          <t>U8</t>
        </is>
      </c>
      <c r="B12" s="491">
        <f>IF(_epmOfflineCondition_,"C_PROJECT",EPMDimensionType(,A12))</f>
        <v/>
      </c>
      <c r="C12" s="491">
        <f>IF(_epmOfflineCondition_,"ZP_ALL",IF(B12="","",EPMContextMember(,B12)))</f>
        <v/>
      </c>
      <c r="D12" s="491">
        <f>IF(_epmOfflineCondition_,"项目合计",EPMMemberDesc(C12))</f>
        <v/>
      </c>
      <c r="E12" s="491" t="n"/>
      <c r="F12" s="171" t="n"/>
      <c r="G12" s="171" t="n"/>
      <c r="H12" s="578" t="inlineStr">
        <is>
          <t>上年月</t>
        </is>
      </c>
      <c r="I12" s="578">
        <f>IF(I8="01",I10&amp;"."&amp;I9,I3&amp;"."&amp;I9)</f>
        <v/>
      </c>
      <c r="J12" s="171" t="n"/>
      <c r="K12" s="171" t="n"/>
      <c r="L12" s="171" t="n"/>
      <c r="M12" s="171" t="n"/>
      <c r="N12" s="171" t="n"/>
      <c r="O12" s="171" t="n"/>
      <c r="P12" s="171" t="n"/>
      <c r="Q12" s="171" t="n"/>
      <c r="R12" s="171" t="n"/>
      <c r="S12" s="568" t="n"/>
      <c r="T12" s="171" t="n"/>
      <c r="U12" s="171" t="n"/>
      <c r="V12" s="171" t="n"/>
      <c r="W12" s="171" t="n"/>
      <c r="X12" s="171" t="n"/>
      <c r="Y12" s="171" t="n"/>
      <c r="Z12" s="171" t="inlineStr">
        <is>
          <t>G100000</t>
        </is>
      </c>
      <c r="AA12" s="171" t="n"/>
      <c r="AB12" s="171" t="n"/>
      <c r="AC12" s="1192" t="n"/>
      <c r="AD12" s="171" t="n"/>
      <c r="AE12" s="171" t="n"/>
      <c r="AF12" s="171" t="n"/>
      <c r="AG12" s="171" t="n"/>
      <c r="AH12" s="171" t="n"/>
      <c r="AI12" s="171" t="n"/>
      <c r="AJ12" s="171" t="n"/>
      <c r="AK12" s="171" t="n"/>
      <c r="AL12" s="171" t="n"/>
      <c r="AM12" s="171" t="n"/>
      <c r="AN12" s="171" t="n"/>
      <c r="AO12" s="171" t="n"/>
      <c r="AP12" s="601" t="n"/>
      <c r="AQ12" s="171" t="n"/>
      <c r="AR12" s="171" t="n"/>
    </row>
    <row r="13" hidden="1" outlineLevel="1" customFormat="1" s="171">
      <c r="A13" s="567" t="inlineStr">
        <is>
          <t>U9</t>
        </is>
      </c>
      <c r="B13" s="491">
        <f>IF(_epmOfflineCondition_,"C_ITEM",EPMDimensionType(,A13))</f>
        <v/>
      </c>
      <c r="C13" s="491">
        <f>IF(_epmOfflineCondition_,"ZI_ALL",IF(B13="","",EPMContextMember(,B13)))</f>
        <v/>
      </c>
      <c r="D13" s="491">
        <f>IF(_epmOfflineCondition_,"全部ITEM",EPMMemberDesc(C13))</f>
        <v/>
      </c>
      <c r="E13" s="491" t="n"/>
      <c r="F13" s="171" t="n"/>
      <c r="G13" s="171" t="n"/>
      <c r="H13" s="578" t="inlineStr">
        <is>
          <t xml:space="preserve">上年同期 </t>
        </is>
      </c>
      <c r="I13" s="578">
        <f>I10&amp;"."&amp;I8</f>
        <v/>
      </c>
      <c r="J13" s="171" t="n"/>
      <c r="K13" s="171" t="n"/>
      <c r="L13" s="171" t="n"/>
      <c r="M13" s="171" t="n"/>
      <c r="N13" s="171" t="n"/>
      <c r="O13" s="171" t="n"/>
      <c r="P13" s="171" t="n"/>
      <c r="Q13" s="171" t="n"/>
      <c r="R13" s="171" t="n"/>
      <c r="S13" s="568" t="n"/>
      <c r="T13" s="171" t="n"/>
      <c r="U13" s="171" t="n"/>
      <c r="V13" s="171" t="n"/>
      <c r="W13" s="171" t="n"/>
      <c r="X13" s="171" t="n"/>
      <c r="Y13" s="171" t="n"/>
      <c r="Z13" s="171" t="n"/>
      <c r="AA13" s="171" t="n"/>
      <c r="AB13" s="171" t="n"/>
      <c r="AC13" s="1192" t="n"/>
      <c r="AD13" s="171" t="n"/>
      <c r="AE13" s="171" t="n"/>
      <c r="AF13" s="171" t="n"/>
      <c r="AG13" s="171" t="n"/>
      <c r="AH13" s="171" t="n"/>
      <c r="AI13" s="171" t="n"/>
      <c r="AJ13" s="171" t="n"/>
      <c r="AK13" s="171" t="n"/>
      <c r="AL13" s="171" t="n"/>
      <c r="AM13" s="171" t="n"/>
      <c r="AN13" s="171" t="n"/>
      <c r="AO13" s="171" t="n"/>
      <c r="AP13" s="601" t="n"/>
      <c r="AQ13" s="171" t="n"/>
      <c r="AR13" s="171" t="n"/>
    </row>
    <row r="14" hidden="1" outlineLevel="1" customFormat="1" s="171">
      <c r="A14" s="567" t="inlineStr">
        <is>
          <t>U10</t>
        </is>
      </c>
      <c r="B14" s="491">
        <f>IF(_epmOfflineCondition_,"C_MISK",EPMDimensionType(,A14))</f>
        <v/>
      </c>
      <c r="C14" s="491">
        <f>IF(_epmOfflineCondition_,"ZM_ALL",IF(B14="","",EPMContextMember(,B14)))</f>
        <v/>
      </c>
      <c r="D14" s="491">
        <f>IF(_epmOfflineCondition_,"ALL",EPMMemberDesc(C14))</f>
        <v/>
      </c>
      <c r="E14" s="491" t="n"/>
      <c r="F14" s="171" t="n"/>
      <c r="G14" s="171" t="n"/>
      <c r="H14" s="171" t="n"/>
      <c r="I14" s="171" t="n"/>
      <c r="J14" s="171" t="n"/>
      <c r="K14" s="171" t="n"/>
      <c r="L14" s="171" t="n"/>
      <c r="M14" s="171" t="n"/>
      <c r="N14" s="171" t="n"/>
      <c r="O14" s="171" t="n"/>
      <c r="P14" s="171" t="n"/>
      <c r="Q14" s="171" t="n"/>
      <c r="R14" s="171" t="n"/>
      <c r="S14" s="568" t="n"/>
      <c r="T14" s="171" t="n"/>
      <c r="U14" s="171" t="n"/>
      <c r="V14" s="171" t="n"/>
      <c r="W14" s="171" t="n"/>
      <c r="X14" s="171" t="n"/>
      <c r="Y14" s="171" t="n"/>
      <c r="Z14" s="171" t="inlineStr">
        <is>
          <t>Periodic</t>
        </is>
      </c>
      <c r="AA14" s="171" t="n"/>
      <c r="AB14" s="171" t="n"/>
      <c r="AC14" s="1192" t="n"/>
      <c r="AD14" s="171" t="n"/>
      <c r="AE14" s="171" t="n"/>
      <c r="AF14" s="171" t="n"/>
      <c r="AG14" s="171" t="n"/>
      <c r="AH14" s="171" t="n"/>
      <c r="AI14" s="171" t="n"/>
      <c r="AJ14" s="171" t="n"/>
      <c r="AK14" s="171" t="n"/>
      <c r="AL14" s="171" t="n"/>
      <c r="AM14" s="171" t="n"/>
      <c r="AN14" s="171" t="n"/>
      <c r="AO14" s="171" t="n"/>
      <c r="AP14" s="601" t="n"/>
      <c r="AQ14" s="171" t="n"/>
      <c r="AR14" s="171" t="n"/>
    </row>
    <row r="15" hidden="1" outlineLevel="1" customFormat="1" s="171">
      <c r="A15" s="171" t="n"/>
      <c r="B15" s="568" t="n"/>
      <c r="C15" s="568" t="n"/>
      <c r="D15" s="568" t="n"/>
      <c r="E15" s="171" t="n"/>
      <c r="F15" s="171" t="n"/>
      <c r="G15" s="171" t="n"/>
      <c r="H15" s="13">
        <f>E11</f>
        <v/>
      </c>
      <c r="I15" s="171" t="n"/>
      <c r="J15" s="171" t="n"/>
      <c r="K15" s="171" t="n"/>
      <c r="L15" s="171" t="n"/>
      <c r="M15" s="171" t="n"/>
      <c r="N15" s="171" t="n"/>
      <c r="O15" s="171" t="n"/>
      <c r="P15" s="171" t="n"/>
      <c r="Q15" s="171" t="n"/>
      <c r="R15" s="171" t="n"/>
      <c r="S15" s="568" t="n"/>
      <c r="T15" s="171" t="n"/>
      <c r="U15" s="171" t="n"/>
      <c r="V15" s="171" t="n"/>
      <c r="W15" s="171" t="n"/>
      <c r="X15" s="171" t="n"/>
      <c r="Y15" s="171" t="n"/>
      <c r="Z15" s="171" t="n"/>
      <c r="AA15" s="171" t="n"/>
      <c r="AB15" s="171" t="n"/>
      <c r="AC15" s="1192" t="n"/>
      <c r="AD15" s="171" t="n"/>
      <c r="AE15" s="171" t="n"/>
      <c r="AF15" s="171" t="n"/>
      <c r="AG15" s="171" t="n"/>
      <c r="AH15" s="171" t="n"/>
      <c r="AI15" s="171" t="n"/>
      <c r="AJ15" s="171" t="n"/>
      <c r="AK15" s="171" t="n"/>
      <c r="AL15" s="171" t="n"/>
      <c r="AM15" s="171" t="n"/>
      <c r="AN15" s="171" t="n"/>
      <c r="AO15" s="171" t="n"/>
      <c r="AP15" s="601" t="n"/>
      <c r="AQ15" s="171" t="n"/>
      <c r="AR15" s="171" t="n"/>
    </row>
    <row r="16" hidden="1" outlineLevel="1" customFormat="1" s="171">
      <c r="A16" s="171" t="n"/>
      <c r="B16" s="171" t="n"/>
      <c r="C16" s="171" t="n"/>
      <c r="D16" s="174" t="inlineStr">
        <is>
          <t>页轴</t>
        </is>
      </c>
      <c r="E16" s="1183" t="n"/>
      <c r="F16" s="171" t="n"/>
      <c r="G16" s="171" t="n"/>
      <c r="H16" s="13">
        <f>IF(_epmOfflineCondition_,"E_DUMMY",EPMMemberProperty(,H15,"GENTITY"))</f>
        <v/>
      </c>
      <c r="I16" s="171" t="n"/>
      <c r="J16" s="171" t="n"/>
      <c r="K16" s="171" t="n"/>
      <c r="L16" s="171" t="n"/>
      <c r="M16" s="171" t="n"/>
      <c r="N16" s="171" t="n"/>
      <c r="O16" s="171" t="n"/>
      <c r="P16" s="171" t="n"/>
      <c r="Q16" s="171" t="n"/>
      <c r="R16" s="171" t="n"/>
      <c r="S16" s="568" t="n"/>
      <c r="T16" s="171" t="n"/>
      <c r="U16" s="171" t="n"/>
      <c r="V16" s="171" t="n"/>
      <c r="W16" s="171" t="n"/>
      <c r="X16" s="171" t="n"/>
      <c r="Y16" s="171" t="n"/>
      <c r="Z16" s="171" t="n"/>
      <c r="AA16" s="171" t="n"/>
      <c r="AB16" s="171" t="n"/>
      <c r="AC16" s="1192" t="n"/>
      <c r="AD16" s="171" t="n"/>
      <c r="AE16" s="171" t="n"/>
      <c r="AF16" s="171" t="n"/>
      <c r="AG16" s="171" t="n"/>
      <c r="AH16" s="171" t="n"/>
      <c r="AI16" s="171" t="n"/>
      <c r="AJ16" s="171" t="n"/>
      <c r="AK16" s="171" t="n"/>
      <c r="AL16" s="171" t="n"/>
      <c r="AM16" s="171" t="n"/>
      <c r="AN16" s="171" t="n"/>
      <c r="AO16" s="171" t="n"/>
      <c r="AP16" s="601" t="n"/>
      <c r="AQ16" s="171" t="n"/>
      <c r="AR16" s="171" t="n"/>
    </row>
    <row r="17" hidden="1" outlineLevel="1" customFormat="1" s="171">
      <c r="A17" s="174" t="inlineStr">
        <is>
          <t>维度类型</t>
        </is>
      </c>
      <c r="B17" s="174" t="inlineStr">
        <is>
          <t>维度</t>
        </is>
      </c>
      <c r="C17" s="569" t="inlineStr">
        <is>
          <t>页轴替换</t>
        </is>
      </c>
      <c r="D17" s="174" t="inlineStr">
        <is>
          <t>报表001</t>
        </is>
      </c>
      <c r="E17" s="174" t="inlineStr">
        <is>
          <t>报表002</t>
        </is>
      </c>
      <c r="F17" s="171" t="n"/>
      <c r="G17" s="171" t="n"/>
      <c r="H17" s="13">
        <f>IF(H15="G_DUMMY",C6,IF(H15="G100405","E100405G","E_ALL"))</f>
        <v/>
      </c>
      <c r="I17" s="171" t="n"/>
      <c r="J17" s="171" t="n"/>
      <c r="K17" s="171" t="n"/>
      <c r="L17" s="171" t="n"/>
      <c r="M17" s="171" t="n"/>
      <c r="N17" s="171" t="n"/>
      <c r="O17" s="171" t="n"/>
      <c r="P17" s="171" t="n"/>
      <c r="Q17" s="171" t="n"/>
      <c r="R17" s="171" t="n"/>
      <c r="S17" s="568" t="n"/>
      <c r="T17" s="171" t="n"/>
      <c r="U17" s="171" t="n"/>
      <c r="V17" s="171" t="n"/>
      <c r="W17" s="171" t="n"/>
      <c r="X17" s="171" t="n"/>
      <c r="Y17" s="171" t="n"/>
      <c r="Z17" s="171" t="n"/>
      <c r="AA17" s="171" t="n"/>
      <c r="AB17" s="171" t="n"/>
      <c r="AC17" s="1192" t="n"/>
      <c r="AD17" s="171" t="n"/>
      <c r="AE17" s="171" t="n"/>
      <c r="AF17" s="171" t="n"/>
      <c r="AG17" s="171" t="n"/>
      <c r="AH17" s="171" t="n"/>
      <c r="AI17" s="171" t="n"/>
      <c r="AJ17" s="171" t="n"/>
      <c r="AK17" s="171" t="n"/>
      <c r="AL17" s="171" t="n"/>
      <c r="AM17" s="171" t="n"/>
      <c r="AN17" s="171" t="n"/>
      <c r="AO17" s="171" t="n"/>
      <c r="AP17" s="601" t="n"/>
      <c r="AQ17" s="171" t="n"/>
      <c r="AR17" s="171" t="n"/>
    </row>
    <row r="18" hidden="1" outlineLevel="1" customFormat="1" s="171">
      <c r="A18" s="567" t="inlineStr">
        <is>
          <t>A</t>
        </is>
      </c>
      <c r="B18" s="491">
        <f>IF(_epmOfflineCondition_,"C_ACCOUNT",EPMDimensionType(,A18))</f>
        <v/>
      </c>
      <c r="C18" s="182" t="inlineStr">
        <is>
          <t>A_ALL</t>
        </is>
      </c>
      <c r="D18" s="570" t="n"/>
      <c r="E18" s="171" t="n"/>
      <c r="F18" s="171" t="n"/>
      <c r="G18" s="171" t="n"/>
      <c r="H18" s="171" t="n"/>
      <c r="I18" s="171" t="n"/>
      <c r="J18" s="171" t="n"/>
      <c r="K18" s="171" t="n"/>
      <c r="L18" s="171" t="n"/>
      <c r="M18" s="171" t="n"/>
      <c r="N18" s="171" t="n"/>
      <c r="O18" s="171" t="n"/>
      <c r="P18" s="171" t="n"/>
      <c r="Q18" s="171" t="n"/>
      <c r="R18" s="171" t="n"/>
      <c r="S18" s="568" t="n"/>
      <c r="T18" s="171" t="n"/>
      <c r="U18" s="171" t="n"/>
      <c r="V18" s="171" t="n"/>
      <c r="W18" s="171" t="n"/>
      <c r="X18" s="171" t="n"/>
      <c r="Y18" s="171" t="n"/>
      <c r="Z18" s="171" t="n"/>
      <c r="AA18" s="171" t="n"/>
      <c r="AB18" s="171" t="n"/>
      <c r="AC18" s="1192" t="n"/>
      <c r="AD18" s="171" t="n"/>
      <c r="AE18" s="171" t="n"/>
      <c r="AF18" s="171" t="n"/>
      <c r="AG18" s="171" t="n"/>
      <c r="AH18" s="171" t="n"/>
      <c r="AI18" s="171" t="n"/>
      <c r="AJ18" s="171" t="n"/>
      <c r="AK18" s="171" t="n"/>
      <c r="AL18" s="171" t="n"/>
      <c r="AM18" s="171" t="n"/>
      <c r="AN18" s="171" t="n"/>
      <c r="AO18" s="171" t="n"/>
      <c r="AP18" s="601" t="n"/>
      <c r="AQ18" s="171" t="n"/>
      <c r="AR18" s="171" t="n"/>
    </row>
    <row r="19" hidden="1" outlineLevel="1" customFormat="1" s="171">
      <c r="A19" s="567" t="inlineStr">
        <is>
          <t>C</t>
        </is>
      </c>
      <c r="B19" s="491">
        <f>IF(_epmOfflineCondition_,"C_CATEGORY",EPMDimensionType(,A19))</f>
        <v/>
      </c>
      <c r="C19" s="595" t="inlineStr">
        <is>
          <t>C_DUMMY</t>
        </is>
      </c>
      <c r="D19" s="570" t="n"/>
      <c r="E19" s="171" t="n"/>
      <c r="F19" s="171" t="n"/>
      <c r="G19" s="171" t="n"/>
      <c r="H19" s="171" t="n"/>
      <c r="I19" s="171" t="n"/>
      <c r="J19" s="171" t="n"/>
      <c r="K19" s="171" t="n"/>
      <c r="L19" s="171" t="n"/>
      <c r="M19" s="171" t="n"/>
      <c r="N19" s="171" t="n"/>
      <c r="O19" s="171" t="n"/>
      <c r="P19" s="171" t="n"/>
      <c r="Q19" s="171" t="n"/>
      <c r="R19" s="171" t="n"/>
      <c r="S19" s="568" t="n"/>
      <c r="T19" s="171" t="n"/>
      <c r="U19" s="171" t="n"/>
      <c r="V19" s="171" t="n"/>
      <c r="W19" s="171" t="n"/>
      <c r="X19" s="171" t="n"/>
      <c r="Y19" s="171" t="n"/>
      <c r="Z19" s="171" t="n"/>
      <c r="AA19" s="171" t="n"/>
      <c r="AB19" s="171" t="n"/>
      <c r="AC19" s="1192" t="n"/>
      <c r="AD19" s="171" t="n"/>
      <c r="AE19" s="171" t="n"/>
      <c r="AF19" s="171" t="n"/>
      <c r="AG19" s="171" t="n"/>
      <c r="AH19" s="171" t="n"/>
      <c r="AI19" s="171" t="n"/>
      <c r="AJ19" s="171" t="n"/>
      <c r="AK19" s="171" t="n"/>
      <c r="AL19" s="171" t="n"/>
      <c r="AM19" s="171" t="n"/>
      <c r="AN19" s="171" t="n"/>
      <c r="AO19" s="171" t="n"/>
      <c r="AP19" s="601" t="n"/>
      <c r="AQ19" s="171" t="n"/>
      <c r="AR19" s="171" t="n"/>
    </row>
    <row r="20" hidden="1" outlineLevel="1" customFormat="1" s="171">
      <c r="A20" s="567" t="inlineStr">
        <is>
          <t>T</t>
        </is>
      </c>
      <c r="B20" s="491">
        <f>IF(_epmOfflineCondition_,"C_TIME",EPMDimensionType(,A20))</f>
        <v/>
      </c>
      <c r="C20" s="523" t="inlineStr">
        <is>
          <t>T_DUMMY</t>
        </is>
      </c>
      <c r="D20" s="570" t="n"/>
      <c r="E20" s="171" t="n"/>
      <c r="F20" s="38" t="n"/>
      <c r="G20" s="38" t="n"/>
      <c r="H20" s="171" t="n"/>
      <c r="I20" s="171" t="n"/>
      <c r="J20" s="171" t="n"/>
      <c r="K20" s="171" t="n"/>
      <c r="L20" s="171" t="n"/>
      <c r="M20" s="171" t="n"/>
      <c r="N20" s="171" t="n"/>
      <c r="O20" s="171" t="n"/>
      <c r="P20" s="171" t="n"/>
      <c r="Q20" s="171" t="n"/>
      <c r="R20" s="171" t="n"/>
      <c r="S20" s="568" t="n"/>
      <c r="T20" s="171" t="n"/>
      <c r="U20" s="171" t="n"/>
      <c r="V20" s="171" t="n"/>
      <c r="W20" s="171" t="n"/>
      <c r="X20" s="171" t="n"/>
      <c r="Y20" s="171" t="n"/>
      <c r="Z20" s="38" t="n"/>
      <c r="AA20" s="38" t="n"/>
      <c r="AB20" s="171" t="n"/>
      <c r="AC20" s="1192" t="n"/>
      <c r="AD20" s="171" t="n"/>
      <c r="AE20" s="171" t="n"/>
      <c r="AF20" s="171" t="n"/>
      <c r="AG20" s="171" t="n"/>
      <c r="AH20" s="171" t="n"/>
      <c r="AI20" s="171" t="n"/>
      <c r="AJ20" s="171" t="n"/>
      <c r="AK20" s="171" t="n"/>
      <c r="AL20" s="171" t="n"/>
      <c r="AM20" s="171" t="n"/>
      <c r="AN20" s="171" t="n"/>
      <c r="AO20" s="171" t="n"/>
      <c r="AP20" s="601" t="n"/>
      <c r="AQ20" s="171" t="n"/>
      <c r="AR20" s="171" t="n"/>
    </row>
    <row r="21" hidden="1" outlineLevel="1" customFormat="1" s="171">
      <c r="A21" s="567" t="inlineStr">
        <is>
          <t>E</t>
        </is>
      </c>
      <c r="B21" s="491">
        <f>IF(_epmOfflineCondition_,"C_ENTITY",EPMDimensionType(,A21))</f>
        <v/>
      </c>
      <c r="C21" s="491">
        <f>H17</f>
        <v/>
      </c>
      <c r="D21" s="573">
        <f>IF(_epmOfflineCondition_,"E100787",EPMOlapMemberO(C21,"[C_ENTITY].[PARENTH1].[E100787]","E100787 - 内蒙古京能苏尼特风力发电有限公司（内蒙古分公司）","","000"))</f>
        <v/>
      </c>
      <c r="E21" s="171" t="n"/>
      <c r="F21" s="38" t="n"/>
      <c r="G21" s="38" t="n"/>
      <c r="H21" s="171" t="n"/>
      <c r="I21" s="171" t="n"/>
      <c r="J21" s="171" t="n"/>
      <c r="K21" s="171" t="n"/>
      <c r="L21" s="171" t="n"/>
      <c r="M21" s="171" t="n"/>
      <c r="N21" s="171" t="n"/>
      <c r="O21" s="171" t="n"/>
      <c r="P21" s="171" t="n"/>
      <c r="Q21" s="171" t="n"/>
      <c r="R21" s="171" t="n"/>
      <c r="S21" s="568" t="n"/>
      <c r="T21" s="171" t="n"/>
      <c r="U21" s="171" t="n"/>
      <c r="V21" s="171" t="n"/>
      <c r="W21" s="171" t="n"/>
      <c r="X21" s="171" t="n"/>
      <c r="Y21" s="171" t="n"/>
      <c r="Z21" s="38" t="n"/>
      <c r="AA21" s="38" t="n"/>
      <c r="AB21" s="171" t="n"/>
      <c r="AC21" s="1192" t="n"/>
      <c r="AD21" s="171" t="n"/>
      <c r="AE21" s="171" t="n"/>
      <c r="AF21" s="171" t="n"/>
      <c r="AG21" s="171" t="n"/>
      <c r="AH21" s="171" t="n"/>
      <c r="AI21" s="171" t="n"/>
      <c r="AJ21" s="171" t="n"/>
      <c r="AK21" s="171" t="n"/>
      <c r="AL21" s="171" t="n"/>
      <c r="AM21" s="171" t="n"/>
      <c r="AN21" s="171" t="n"/>
      <c r="AO21" s="171" t="n"/>
      <c r="AP21" s="601" t="n"/>
      <c r="AQ21" s="171" t="n"/>
      <c r="AR21" s="171" t="n"/>
    </row>
    <row r="22" hidden="1" outlineLevel="1" customFormat="1" s="171">
      <c r="A22" s="567" t="inlineStr">
        <is>
          <t>R</t>
        </is>
      </c>
      <c r="B22" s="491">
        <f>IF(_epmOfflineCondition_,"C_RPTCURRENCY",EPMDimensionType(,A22))</f>
        <v/>
      </c>
      <c r="C22" s="176">
        <f>IF(E11="G_DUMMY",Z37,"CNY")</f>
        <v/>
      </c>
      <c r="D22" s="573">
        <f>IF(_epmOfflineCondition_,"LC",EPMOlapMemberO(C22,"[C_RPTCURRENCY].[].[LC]","LC - 本位币","","000"))</f>
        <v/>
      </c>
      <c r="E22" s="13" t="inlineStr">
        <is>
          <t>LC</t>
        </is>
      </c>
      <c r="F22" s="38" t="n"/>
      <c r="G22" s="38" t="n"/>
      <c r="H22" s="171" t="n"/>
      <c r="I22" s="171" t="n"/>
      <c r="J22" s="171" t="n"/>
      <c r="K22" s="171" t="n"/>
      <c r="L22" s="171" t="n"/>
      <c r="M22" s="171" t="n"/>
      <c r="N22" s="171" t="n"/>
      <c r="O22" s="171" t="n"/>
      <c r="P22" s="171" t="n"/>
      <c r="Q22" s="171" t="n"/>
      <c r="R22" s="171" t="n"/>
      <c r="S22" s="568" t="n"/>
      <c r="T22" s="171" t="n"/>
      <c r="U22" s="171" t="n"/>
      <c r="V22" s="171" t="n"/>
      <c r="W22" s="171" t="n"/>
      <c r="X22" s="171" t="n"/>
      <c r="Y22" s="171" t="n"/>
      <c r="Z22" s="38" t="n"/>
      <c r="AA22" s="38" t="n"/>
      <c r="AB22" s="171" t="n"/>
      <c r="AC22" s="1192" t="n"/>
      <c r="AD22" s="171" t="n"/>
      <c r="AE22" s="171" t="n"/>
      <c r="AF22" s="171" t="n"/>
      <c r="AG22" s="171" t="n"/>
      <c r="AH22" s="171" t="n"/>
      <c r="AI22" s="171" t="n"/>
      <c r="AJ22" s="171" t="n"/>
      <c r="AK22" s="171" t="n"/>
      <c r="AL22" s="171" t="n"/>
      <c r="AM22" s="171" t="n"/>
      <c r="AN22" s="171" t="n"/>
      <c r="AO22" s="171" t="n"/>
      <c r="AP22" s="601" t="n"/>
      <c r="AQ22" s="171" t="n"/>
      <c r="AR22" s="171" t="n"/>
    </row>
    <row r="23" hidden="1" outlineLevel="1" customFormat="1" s="171">
      <c r="A23" s="567" t="inlineStr">
        <is>
          <t>D</t>
        </is>
      </c>
      <c r="B23" s="491">
        <f>IF(_epmOfflineCondition_,"C_AUDITTRAIL",EPMDimensionType(,A23))</f>
        <v/>
      </c>
      <c r="C23" s="491">
        <f>IF(_epmOfflineCondition_,"DTOTAL",IF(B23="","",EPMContextMember(,B23)))</f>
        <v/>
      </c>
      <c r="D23" s="573" t="n"/>
      <c r="E23" s="13" t="n"/>
      <c r="F23" s="38" t="n"/>
      <c r="G23" s="38" t="n"/>
      <c r="H23" s="171" t="n"/>
      <c r="I23" s="171" t="n"/>
      <c r="J23" s="171" t="n"/>
      <c r="K23" s="171" t="n"/>
      <c r="L23" s="171" t="n"/>
      <c r="M23" s="171" t="n"/>
      <c r="N23" s="171" t="n"/>
      <c r="O23" s="171" t="n"/>
      <c r="P23" s="171" t="n"/>
      <c r="Q23" s="171" t="n"/>
      <c r="R23" s="171" t="n"/>
      <c r="S23" s="568" t="n"/>
      <c r="T23" s="171" t="n"/>
      <c r="U23" s="171" t="n"/>
      <c r="V23" s="171" t="n"/>
      <c r="W23" s="171" t="n"/>
      <c r="X23" s="171" t="n"/>
      <c r="Y23" s="171" t="n"/>
      <c r="Z23" s="38" t="n"/>
      <c r="AA23" s="38" t="n"/>
      <c r="AB23" s="171" t="n"/>
      <c r="AC23" s="1192" t="n"/>
      <c r="AD23" s="171" t="n"/>
      <c r="AE23" s="171" t="n"/>
      <c r="AF23" s="171" t="n"/>
      <c r="AG23" s="171" t="n"/>
      <c r="AH23" s="171" t="n"/>
      <c r="AI23" s="171" t="n"/>
      <c r="AJ23" s="171" t="n"/>
      <c r="AK23" s="171" t="n"/>
      <c r="AL23" s="171" t="n"/>
      <c r="AM23" s="171" t="n"/>
      <c r="AN23" s="171" t="n"/>
      <c r="AO23" s="171" t="n"/>
      <c r="AP23" s="601" t="n"/>
      <c r="AQ23" s="171" t="n"/>
      <c r="AR23" s="171" t="n"/>
    </row>
    <row r="24" hidden="1" outlineLevel="1" customFormat="1" s="171">
      <c r="A24" s="567" t="inlineStr">
        <is>
          <t>S</t>
        </is>
      </c>
      <c r="B24" s="491">
        <f>IF(_epmOfflineCondition_,"C_FLOW",EPMDimensionType(,A24))</f>
        <v/>
      </c>
      <c r="C24" s="491">
        <f>IF(_epmOfflineCondition_,"FTOTAL",IF(B24="","",EPMContextMember(,B24)))</f>
        <v/>
      </c>
      <c r="D24" s="573" t="n"/>
      <c r="E24" s="13" t="n"/>
      <c r="F24" s="38" t="n"/>
      <c r="G24" s="38" t="n"/>
      <c r="H24" s="171" t="n"/>
      <c r="I24" s="171" t="n"/>
      <c r="J24" s="171" t="n"/>
      <c r="K24" s="171" t="n"/>
      <c r="L24" s="171" t="n"/>
      <c r="M24" s="171" t="n"/>
      <c r="N24" s="171" t="n"/>
      <c r="O24" s="171" t="n"/>
      <c r="P24" s="171" t="n"/>
      <c r="Q24" s="171" t="n"/>
      <c r="R24" s="171" t="n"/>
      <c r="S24" s="568" t="n"/>
      <c r="T24" s="171" t="n"/>
      <c r="U24" s="171" t="n"/>
      <c r="V24" s="171" t="n"/>
      <c r="W24" s="171" t="n"/>
      <c r="X24" s="171" t="n"/>
      <c r="Y24" s="171" t="n"/>
      <c r="Z24" s="38" t="n"/>
      <c r="AA24" s="38" t="n"/>
      <c r="AB24" s="171" t="n"/>
      <c r="AC24" s="1192" t="n"/>
      <c r="AD24" s="171" t="n"/>
      <c r="AE24" s="171" t="n"/>
      <c r="AF24" s="171" t="n"/>
      <c r="AG24" s="171" t="n"/>
      <c r="AH24" s="171" t="n"/>
      <c r="AI24" s="171" t="n"/>
      <c r="AJ24" s="171" t="n"/>
      <c r="AK24" s="171" t="n"/>
      <c r="AL24" s="171" t="n"/>
      <c r="AM24" s="171" t="n"/>
      <c r="AN24" s="171" t="n"/>
      <c r="AO24" s="171" t="n"/>
      <c r="AP24" s="601" t="n"/>
      <c r="AQ24" s="171" t="n"/>
      <c r="AR24" s="171" t="n"/>
    </row>
    <row r="25" hidden="1" outlineLevel="1" customFormat="1" s="171">
      <c r="A25" s="567" t="inlineStr">
        <is>
          <t>I</t>
        </is>
      </c>
      <c r="B25" s="491">
        <f>IF(_epmOfflineCondition_,"C_INTERCO",EPMDimensionType(,A25))</f>
        <v/>
      </c>
      <c r="C25" s="491" t="inlineStr">
        <is>
          <t>I_ALL</t>
        </is>
      </c>
      <c r="D25" s="573">
        <f>IF(_epmOfflineCondition_,"I_ALL",EPMOlapMemberO(C25,"[C_INTERCO].[PARENTH1].[I_ALL]","I_ALL - 全部贸易伙伴","","000"))</f>
        <v/>
      </c>
      <c r="E25" s="13" t="inlineStr">
        <is>
          <t>I_DUMMY</t>
        </is>
      </c>
      <c r="F25" s="38" t="n"/>
      <c r="G25" s="38" t="n"/>
      <c r="H25" s="171" t="n"/>
      <c r="I25" s="171" t="n"/>
      <c r="J25" s="171" t="n"/>
      <c r="K25" s="171" t="n"/>
      <c r="L25" s="171" t="n"/>
      <c r="M25" s="171" t="n"/>
      <c r="N25" s="171" t="n"/>
      <c r="O25" s="171" t="n"/>
      <c r="P25" s="171" t="n"/>
      <c r="Q25" s="171" t="n"/>
      <c r="R25" s="171" t="n"/>
      <c r="S25" s="568" t="n"/>
      <c r="T25" s="171" t="n"/>
      <c r="U25" s="171" t="n"/>
      <c r="V25" s="171" t="n"/>
      <c r="W25" s="171" t="n"/>
      <c r="X25" s="569" t="inlineStr">
        <is>
          <t>CATEGORY</t>
        </is>
      </c>
      <c r="Y25" s="171" t="n"/>
      <c r="Z25" s="569" t="inlineStr">
        <is>
          <t>C1001</t>
        </is>
      </c>
      <c r="AA25" s="569" t="inlineStr">
        <is>
          <t>C1001</t>
        </is>
      </c>
      <c r="AB25" s="569">
        <f>$C$4</f>
        <v/>
      </c>
      <c r="AC25" s="1192" t="n"/>
      <c r="AD25" s="569">
        <f>$C$4</f>
        <v/>
      </c>
      <c r="AE25" s="171" t="n"/>
      <c r="AF25" s="38" t="n"/>
      <c r="AG25" s="171" t="n"/>
      <c r="AH25" s="171" t="n"/>
      <c r="AI25" s="171" t="n"/>
      <c r="AJ25" s="171" t="n"/>
      <c r="AK25" s="171" t="n"/>
      <c r="AL25" s="171" t="n"/>
      <c r="AM25" s="171" t="n"/>
      <c r="AN25" s="601" t="n"/>
      <c r="AO25" s="601" t="n"/>
      <c r="AP25" s="601" t="n"/>
      <c r="AQ25" s="601" t="n"/>
      <c r="AR25" s="601" t="n"/>
    </row>
    <row r="26" hidden="1" outlineLevel="1" customFormat="1" s="171">
      <c r="A26" s="567" t="inlineStr">
        <is>
          <t>G</t>
        </is>
      </c>
      <c r="B26" s="491">
        <f>IF(_epmOfflineCondition_,"C_SCOPE",EPMDimensionType(,A26))</f>
        <v/>
      </c>
      <c r="C26" s="491">
        <f>E11</f>
        <v/>
      </c>
      <c r="D26" s="573">
        <f>IF(_epmOfflineCondition_,"G_DUMMY",EPMOlapMemberO(C26,"[C_SCOPE].[PARENTH1].[G_DUMMY]","G_DUMMY - 合并范围无关","","000"))</f>
        <v/>
      </c>
      <c r="E26" s="182" t="inlineStr">
        <is>
          <t>G_DUMMY</t>
        </is>
      </c>
      <c r="F26" s="38" t="n"/>
      <c r="G26" s="38" t="n"/>
      <c r="H26" s="171" t="n"/>
      <c r="I26" s="171" t="n"/>
      <c r="J26" s="171" t="n"/>
      <c r="K26" s="171" t="n"/>
      <c r="L26" s="171" t="n"/>
      <c r="M26" s="171" t="n"/>
      <c r="N26" s="171" t="n"/>
      <c r="O26" s="171" t="n"/>
      <c r="P26" s="171" t="n"/>
      <c r="Q26" s="171" t="n"/>
      <c r="R26" s="171" t="n"/>
      <c r="S26" s="568" t="n"/>
      <c r="T26" s="171" t="n"/>
      <c r="U26" s="171" t="n"/>
      <c r="V26" s="171" t="n"/>
      <c r="W26" s="171" t="n"/>
      <c r="X26" s="581" t="inlineStr">
        <is>
          <t>TIME</t>
        </is>
      </c>
      <c r="Y26" s="171" t="n"/>
      <c r="Z26" s="581">
        <f>$I$11</f>
        <v/>
      </c>
      <c r="AA26" s="581">
        <f>$I$11</f>
        <v/>
      </c>
      <c r="AB26" s="581">
        <f>$I$11</f>
        <v/>
      </c>
      <c r="AC26" s="1192" t="n"/>
      <c r="AD26" s="582">
        <f>$I$13</f>
        <v/>
      </c>
      <c r="AE26" s="171" t="n"/>
      <c r="AF26" s="38" t="n"/>
      <c r="AG26" s="171" t="n"/>
      <c r="AH26" s="171" t="n"/>
      <c r="AI26" s="171" t="n"/>
      <c r="AJ26" s="171" t="n"/>
      <c r="AK26" s="171" t="n"/>
      <c r="AL26" s="171" t="n"/>
      <c r="AM26" s="171" t="n"/>
      <c r="AN26" s="601" t="n"/>
      <c r="AO26" s="601" t="n"/>
      <c r="AP26" s="601" t="n"/>
      <c r="AQ26" s="601" t="n"/>
      <c r="AR26" s="601" t="n"/>
    </row>
    <row r="27" hidden="1" outlineLevel="1" customFormat="1" s="171">
      <c r="A27" s="567" t="inlineStr">
        <is>
          <t>U8</t>
        </is>
      </c>
      <c r="B27" s="491">
        <f>IF(_epmOfflineCondition_,"C_PROJECT",EPMDimensionType(,A27))</f>
        <v/>
      </c>
      <c r="C27" s="570" t="inlineStr">
        <is>
          <t>ZP_ALL</t>
        </is>
      </c>
      <c r="D27" s="573">
        <f>IF(_epmOfflineCondition_,"ZP_ALL",EPMOlapMemberO(C27,"[C_PROJECT].[PARENTH1].[ZP_ALL]","ZP_ALL - 项目合计","","000"))</f>
        <v/>
      </c>
      <c r="E27" s="13" t="inlineStr">
        <is>
          <t>ZP_DUMMY</t>
        </is>
      </c>
      <c r="F27" s="38" t="n"/>
      <c r="G27" s="38" t="n"/>
      <c r="H27" s="171" t="n"/>
      <c r="I27" s="171" t="n"/>
      <c r="J27" s="171" t="n"/>
      <c r="K27" s="171" t="n"/>
      <c r="L27" s="171" t="n"/>
      <c r="M27" s="171" t="n"/>
      <c r="N27" s="171" t="n"/>
      <c r="O27" s="171" t="n"/>
      <c r="P27" s="171" t="n"/>
      <c r="Q27" s="171" t="n"/>
      <c r="R27" s="171" t="n"/>
      <c r="S27" s="568" t="n"/>
      <c r="T27" s="171" t="n"/>
      <c r="U27" s="171" t="n"/>
      <c r="V27" s="171" t="n"/>
      <c r="W27" s="171" t="n"/>
      <c r="X27" s="582" t="inlineStr">
        <is>
          <t>MEASURES</t>
        </is>
      </c>
      <c r="Y27" s="171" t="n"/>
      <c r="Z27" s="582" t="inlineStr">
        <is>
          <t>YTD</t>
        </is>
      </c>
      <c r="AA27" s="582" t="inlineStr">
        <is>
          <t>YTD</t>
        </is>
      </c>
      <c r="AB27" s="582" t="inlineStr">
        <is>
          <t>Periodic</t>
        </is>
      </c>
      <c r="AC27" s="1192" t="n"/>
      <c r="AD27" s="582" t="inlineStr">
        <is>
          <t>Periodic</t>
        </is>
      </c>
      <c r="AE27" s="582" t="n"/>
      <c r="AF27" s="582" t="n"/>
      <c r="AG27" s="171" t="n"/>
      <c r="AH27" s="171" t="n"/>
      <c r="AI27" s="171" t="n"/>
      <c r="AJ27" s="171" t="n"/>
      <c r="AK27" s="171" t="n"/>
      <c r="AL27" s="171" t="n"/>
      <c r="AM27" s="171" t="n"/>
      <c r="AN27" s="601" t="n"/>
      <c r="AO27" s="601" t="n"/>
      <c r="AP27" s="601" t="n"/>
      <c r="AQ27" s="601" t="n"/>
      <c r="AR27" s="601" t="n"/>
    </row>
    <row r="28" hidden="1" outlineLevel="1" customFormat="1" s="171">
      <c r="A28" s="567" t="inlineStr">
        <is>
          <t>U9</t>
        </is>
      </c>
      <c r="B28" s="491">
        <f>IF(_epmOfflineCondition_,"C_ITEM",EPMDimensionType(,A28))</f>
        <v/>
      </c>
      <c r="C28" s="570" t="inlineStr">
        <is>
          <t>ZI_ALL</t>
        </is>
      </c>
      <c r="D28" s="573">
        <f>IF(_epmOfflineCondition_,"ZI_ALL",EPMOlapMemberO(C28,"[C_ITEM].[PARENTH1].[ZI_ALL]","ZI_ALL - 全部ITEM","","000"))</f>
        <v/>
      </c>
      <c r="E28" s="13" t="inlineStr">
        <is>
          <t>ZI_DUMMY</t>
        </is>
      </c>
      <c r="F28" s="38" t="n"/>
      <c r="G28" s="38" t="n"/>
      <c r="H28" s="171" t="n"/>
      <c r="I28" s="171" t="n"/>
      <c r="J28" s="171" t="n"/>
      <c r="K28" s="171" t="n"/>
      <c r="L28" s="171" t="n"/>
      <c r="M28" s="171" t="n"/>
      <c r="N28" s="171" t="n"/>
      <c r="O28" s="171" t="n"/>
      <c r="P28" s="171" t="n"/>
      <c r="Q28" s="171" t="n"/>
      <c r="R28" s="171" t="n"/>
      <c r="S28" s="568" t="n"/>
      <c r="T28" s="171" t="n"/>
      <c r="U28" s="171" t="n"/>
      <c r="V28" s="171" t="n"/>
      <c r="W28" s="171" t="n"/>
      <c r="X28" s="582" t="inlineStr">
        <is>
          <t>FLOW</t>
        </is>
      </c>
      <c r="Y28" s="171" t="n"/>
      <c r="Z28" s="582" t="inlineStr">
        <is>
          <t>F20</t>
        </is>
      </c>
      <c r="AA28" s="582" t="inlineStr">
        <is>
          <t>F30</t>
        </is>
      </c>
      <c r="AB28" s="582" t="inlineStr">
        <is>
          <t>F20</t>
        </is>
      </c>
      <c r="AC28" s="1192" t="n"/>
      <c r="AD28" s="582" t="inlineStr">
        <is>
          <t>FEND</t>
        </is>
      </c>
      <c r="AE28" s="582" t="inlineStr">
        <is>
          <t>FMOV</t>
        </is>
      </c>
      <c r="AF28" s="582" t="inlineStr">
        <is>
          <t>FEND</t>
        </is>
      </c>
      <c r="AG28" s="171" t="n"/>
      <c r="AH28" s="171" t="n"/>
      <c r="AI28" s="171" t="n"/>
      <c r="AJ28" s="171" t="n"/>
      <c r="AK28" s="171" t="n"/>
      <c r="AL28" s="171" t="n"/>
      <c r="AM28" s="171" t="n"/>
      <c r="AN28" s="171" t="n"/>
      <c r="AO28" s="171" t="n"/>
      <c r="AP28" s="601" t="n"/>
      <c r="AQ28" s="601" t="n"/>
      <c r="AR28" s="171" t="n"/>
    </row>
    <row r="29" hidden="1" outlineLevel="1" customFormat="1" s="171">
      <c r="A29" s="567" t="inlineStr">
        <is>
          <t>U10</t>
        </is>
      </c>
      <c r="B29" s="491">
        <f>IF(_epmOfflineCondition_,"C_MISK",EPMDimensionType(,A29))</f>
        <v/>
      </c>
      <c r="C29" s="574" t="inlineStr">
        <is>
          <t>ZM_ALL</t>
        </is>
      </c>
      <c r="D29" s="573">
        <f>IF(_epmOfflineCondition_,"ZM_ALL",EPMOlapMemberO(C29,"[C_MISK].[PARENTH1].[ZM_ALL]","ZM_ALL - ALL","","000"))</f>
        <v/>
      </c>
      <c r="E29" s="13" t="inlineStr">
        <is>
          <t>ZM_DUMMY</t>
        </is>
      </c>
      <c r="F29" s="38" t="n"/>
      <c r="G29" s="38" t="n"/>
      <c r="H29" s="171" t="n"/>
      <c r="I29" s="171" t="n"/>
      <c r="J29" s="171" t="n"/>
      <c r="K29" s="171" t="n"/>
      <c r="L29" s="171" t="n"/>
      <c r="M29" s="171" t="n"/>
      <c r="N29" s="171" t="n"/>
      <c r="O29" s="171" t="n"/>
      <c r="P29" s="171" t="n"/>
      <c r="Q29" s="171" t="n"/>
      <c r="R29" s="171" t="n"/>
      <c r="S29" s="568" t="n"/>
      <c r="T29" s="171" t="n"/>
      <c r="U29" s="171" t="n"/>
      <c r="V29" s="171" t="n"/>
      <c r="W29" s="171" t="n"/>
      <c r="X29" s="582" t="inlineStr">
        <is>
          <t>AUDITTRAIL</t>
        </is>
      </c>
      <c r="Y29" s="171" t="n"/>
      <c r="Z29" s="582" t="inlineStr">
        <is>
          <t>D1110</t>
        </is>
      </c>
      <c r="AA29" s="582" t="inlineStr">
        <is>
          <t>DLC_RC</t>
        </is>
      </c>
      <c r="AB29" s="582" t="inlineStr">
        <is>
          <t>DLC</t>
        </is>
      </c>
      <c r="AC29" s="1192" t="n"/>
      <c r="AD29" s="582" t="inlineStr">
        <is>
          <t>DLC</t>
        </is>
      </c>
      <c r="AE29" s="582" t="inlineStr">
        <is>
          <t>DLC_ADJ</t>
        </is>
      </c>
      <c r="AF29" s="38" t="inlineStr">
        <is>
          <t>D_DUMMY</t>
        </is>
      </c>
      <c r="AG29" s="171" t="n"/>
      <c r="AH29" s="171" t="n"/>
      <c r="AI29" s="171" t="n"/>
      <c r="AJ29" s="171" t="n"/>
      <c r="AK29" s="171" t="n"/>
      <c r="AL29" s="171" t="n"/>
      <c r="AM29" s="171" t="n"/>
      <c r="AN29" s="171" t="n"/>
      <c r="AO29" s="171" t="n"/>
      <c r="AP29" s="601" t="n"/>
      <c r="AQ29" s="171" t="n"/>
      <c r="AR29" s="171" t="n"/>
    </row>
    <row r="30" hidden="1" outlineLevel="1" customFormat="1" s="171">
      <c r="A30" s="567" t="n"/>
      <c r="B30" s="567">
        <f>IF(_epmOfflineCondition_,"",EPMDimensionType(,A30))</f>
        <v/>
      </c>
      <c r="C30" s="595" t="inlineStr">
        <is>
          <t>PERIODIC</t>
        </is>
      </c>
      <c r="D30" s="573" t="n"/>
      <c r="E30" s="171" t="n"/>
      <c r="F30" s="38" t="n"/>
      <c r="G30" s="38" t="n"/>
      <c r="H30" s="171" t="n"/>
      <c r="I30" s="171" t="n"/>
      <c r="J30" s="171" t="n"/>
      <c r="K30" s="171" t="n"/>
      <c r="L30" s="171" t="n"/>
      <c r="M30" s="171" t="n"/>
      <c r="N30" s="171" t="n"/>
      <c r="O30" s="171" t="n"/>
      <c r="P30" s="171" t="n"/>
      <c r="Q30" s="171" t="n"/>
      <c r="R30" s="171" t="n"/>
      <c r="S30" s="568" t="n"/>
      <c r="T30" s="171" t="n"/>
      <c r="U30" s="171" t="n"/>
      <c r="V30" s="171" t="n"/>
      <c r="W30" s="171" t="n"/>
      <c r="X30" s="171" t="n"/>
      <c r="Y30" s="171" t="n"/>
      <c r="Z30" s="171">
        <f>IF(_epmOfflineCondition_,"平台表单手工输入",EPMMemberDesc(Z29))</f>
        <v/>
      </c>
      <c r="AA30" s="171">
        <f>IF(_epmOfflineCondition_,"单体重分类",EPMMemberDesc(AA29))</f>
        <v/>
      </c>
      <c r="AB30" s="171">
        <f>IF(_epmOfflineCondition_,"单体报表",EPMMemberDesc(AB29))</f>
        <v/>
      </c>
      <c r="AC30" s="1192" t="n"/>
      <c r="AD30" s="171">
        <f>IF(_epmOfflineCondition_,"单体报表",EPMMemberDesc(AD29))</f>
        <v/>
      </c>
      <c r="AE30" s="171">
        <f>IF(_epmOfflineCondition_,"单体调整",EPMMemberDesc(AE29))</f>
        <v/>
      </c>
      <c r="AF30" s="38" t="n"/>
      <c r="AG30" s="171" t="n"/>
      <c r="AH30" s="171" t="n"/>
      <c r="AI30" s="171" t="n"/>
      <c r="AJ30" s="171" t="n"/>
      <c r="AK30" s="171" t="n"/>
      <c r="AL30" s="171" t="n"/>
      <c r="AM30" s="171" t="n"/>
      <c r="AN30" s="171" t="n"/>
      <c r="AO30" s="171" t="n"/>
      <c r="AP30" s="601" t="n"/>
      <c r="AQ30" s="171" t="n"/>
      <c r="AR30" s="171" t="n"/>
    </row>
    <row r="31" hidden="1" outlineLevel="1" customFormat="1" s="171">
      <c r="A31" s="171" t="n"/>
      <c r="B31" s="568" t="n"/>
      <c r="C31" s="568" t="n"/>
      <c r="D31" s="568" t="n"/>
      <c r="E31" s="171" t="n"/>
      <c r="F31" s="171" t="n"/>
      <c r="G31" s="171" t="n"/>
      <c r="H31" s="171" t="n"/>
      <c r="I31" s="171" t="n"/>
      <c r="J31" s="171" t="n"/>
      <c r="K31" s="171" t="n"/>
      <c r="L31" s="171" t="n"/>
      <c r="M31" s="171" t="n"/>
      <c r="N31" s="171" t="n"/>
      <c r="O31" s="171" t="n"/>
      <c r="P31" s="171" t="n"/>
      <c r="Q31" s="171" t="n"/>
      <c r="R31" s="171" t="n"/>
      <c r="S31" s="568" t="n"/>
      <c r="T31" s="171" t="n"/>
      <c r="U31" s="171" t="n"/>
      <c r="V31" s="171" t="n"/>
      <c r="W31" s="171" t="n"/>
      <c r="X31" s="171" t="n"/>
      <c r="Y31" s="171" t="n"/>
      <c r="Z31" s="38">
        <f>IF(Z37="LC","DLC","DALL")</f>
        <v/>
      </c>
      <c r="AA31" s="38" t="n"/>
      <c r="AB31" s="171" t="n"/>
      <c r="AC31" s="1192" t="n"/>
      <c r="AD31" s="171" t="n"/>
      <c r="AE31" s="171" t="n"/>
      <c r="AF31" s="171" t="n"/>
      <c r="AG31" s="171" t="n"/>
      <c r="AH31" s="171" t="n"/>
      <c r="AI31" s="171" t="n"/>
      <c r="AJ31" s="171" t="n"/>
      <c r="AK31" s="171" t="n"/>
      <c r="AL31" s="171" t="n"/>
      <c r="AM31" s="171" t="n"/>
      <c r="AN31" s="171" t="n"/>
      <c r="AO31" s="171" t="n"/>
      <c r="AP31" s="601" t="n"/>
      <c r="AQ31" s="171" t="n"/>
      <c r="AR31" s="171" t="n"/>
    </row>
    <row r="32" hidden="1" outlineLevel="1" customFormat="1" s="171">
      <c r="A32" s="171" t="n"/>
      <c r="B32" s="568" t="n"/>
      <c r="C32" s="568" t="n"/>
      <c r="D32" s="568" t="n"/>
      <c r="E32" s="171" t="n"/>
      <c r="F32" s="171" t="n"/>
      <c r="G32" s="171" t="n"/>
      <c r="H32" s="171" t="n"/>
      <c r="I32" s="171" t="n"/>
      <c r="J32" s="171" t="n"/>
      <c r="K32" s="171" t="n"/>
      <c r="L32" s="171" t="n"/>
      <c r="M32" s="171" t="n"/>
      <c r="N32" s="171" t="n"/>
      <c r="O32" s="171" t="n"/>
      <c r="P32" s="171" t="n"/>
      <c r="Q32" s="171" t="n"/>
      <c r="R32" s="171" t="n"/>
      <c r="S32" s="568" t="n"/>
      <c r="T32" s="171" t="n"/>
      <c r="U32" s="171" t="n"/>
      <c r="V32" s="171" t="n"/>
      <c r="W32" s="171" t="n"/>
      <c r="X32" s="171" t="n"/>
      <c r="Y32" s="171" t="n"/>
      <c r="Z32" s="171" t="inlineStr">
        <is>
          <t>FMOV_OP</t>
        </is>
      </c>
      <c r="AA32" s="171" t="n"/>
      <c r="AB32" s="171" t="n"/>
      <c r="AC32" s="1192" t="n"/>
      <c r="AD32" s="171" t="n"/>
      <c r="AE32" s="171" t="n"/>
      <c r="AF32" s="171" t="n"/>
      <c r="AG32" s="171" t="n"/>
      <c r="AH32" s="171" t="n"/>
      <c r="AI32" s="171" t="n"/>
      <c r="AJ32" s="171" t="n"/>
      <c r="AK32" s="171" t="n"/>
      <c r="AL32" s="171" t="n"/>
      <c r="AM32" s="171" t="n"/>
      <c r="AN32" s="171" t="n"/>
      <c r="AO32" s="171" t="n"/>
      <c r="AP32" s="601" t="n"/>
      <c r="AQ32" s="171" t="n"/>
      <c r="AR32" s="171" t="n"/>
    </row>
    <row r="33" hidden="1" outlineLevel="1" customFormat="1" s="171">
      <c r="A33" s="171" t="n"/>
      <c r="B33" s="568" t="n"/>
      <c r="C33" s="568" t="n"/>
      <c r="D33" s="568" t="n"/>
      <c r="E33" s="171" t="n"/>
      <c r="F33" s="171" t="n"/>
      <c r="G33" s="171" t="n"/>
      <c r="H33" s="171" t="n"/>
      <c r="I33" s="171" t="n"/>
      <c r="J33" s="171" t="n"/>
      <c r="K33" s="171" t="n"/>
      <c r="L33" s="171" t="n"/>
      <c r="M33" s="171" t="n"/>
      <c r="N33" s="171" t="n"/>
      <c r="O33" s="171" t="n"/>
      <c r="P33" s="171" t="n"/>
      <c r="Q33" s="171" t="n"/>
      <c r="R33" s="171" t="n"/>
      <c r="S33" s="568" t="n"/>
      <c r="T33" s="171" t="n"/>
      <c r="U33" s="171" t="n"/>
      <c r="V33" s="171" t="n"/>
      <c r="W33" s="171" t="n"/>
      <c r="X33" s="171" t="n"/>
      <c r="Y33" s="171" t="n"/>
      <c r="Z33" s="171" t="n"/>
      <c r="AA33" s="171" t="n"/>
      <c r="AB33" s="171" t="n"/>
      <c r="AC33" s="1192" t="n"/>
      <c r="AD33" s="171" t="n"/>
      <c r="AE33" s="171" t="n"/>
      <c r="AF33" s="171" t="n"/>
      <c r="AG33" s="171" t="n"/>
      <c r="AH33" s="171" t="n"/>
      <c r="AI33" s="171" t="n"/>
      <c r="AJ33" s="171" t="n"/>
      <c r="AK33" s="171" t="n"/>
      <c r="AL33" s="171" t="n"/>
      <c r="AM33" s="171" t="n"/>
      <c r="AN33" s="171" t="n"/>
      <c r="AO33" s="171" t="n"/>
      <c r="AP33" s="601" t="n"/>
      <c r="AQ33" s="171" t="n"/>
      <c r="AR33" s="171" t="n"/>
    </row>
    <row r="34" collapsed="1" ht="10.5" customFormat="1" customHeight="1" s="171">
      <c r="A34" s="171" t="n"/>
      <c r="B34" s="568" t="n"/>
      <c r="C34" s="568" t="n"/>
      <c r="D34" s="568" t="n"/>
      <c r="E34" s="171" t="n"/>
      <c r="F34" s="171" t="n"/>
      <c r="G34" s="171" t="n"/>
      <c r="H34" s="171" t="n"/>
      <c r="I34" s="171" t="n"/>
      <c r="J34" s="171" t="n"/>
      <c r="K34" s="171" t="n"/>
      <c r="L34" s="171" t="n"/>
      <c r="M34" s="171" t="n"/>
      <c r="N34" s="171" t="n"/>
      <c r="O34" s="171" t="n"/>
      <c r="P34" s="171" t="n"/>
      <c r="Q34" s="171" t="n"/>
      <c r="R34" s="171" t="n"/>
      <c r="S34" s="568" t="n"/>
      <c r="T34" s="171" t="n"/>
      <c r="U34" s="171" t="n"/>
      <c r="V34" s="171" t="n"/>
      <c r="W34" s="171" t="n"/>
      <c r="X34" s="171" t="n"/>
      <c r="Y34" s="171" t="n"/>
      <c r="Z34" s="171" t="n"/>
      <c r="AA34" s="171" t="n"/>
      <c r="AB34" s="171" t="n"/>
      <c r="AC34" s="1192" t="n"/>
      <c r="AD34" s="171" t="n"/>
      <c r="AE34" s="171" t="n"/>
      <c r="AF34" s="171" t="n"/>
      <c r="AG34" s="171" t="n"/>
      <c r="AH34" s="171" t="n"/>
      <c r="AI34" s="171" t="n"/>
      <c r="AJ34" s="171" t="n"/>
      <c r="AK34" s="171" t="n"/>
      <c r="AL34" s="575" t="n"/>
      <c r="AM34" s="171" t="n"/>
      <c r="AN34" s="171" t="n"/>
      <c r="AO34" s="171" t="n"/>
      <c r="AP34" s="601" t="n"/>
      <c r="AQ34" s="171" t="n"/>
      <c r="AR34" s="171" t="n"/>
    </row>
    <row r="35" ht="32.25" customHeight="1" s="1181">
      <c r="A35" s="38" t="n"/>
      <c r="B35" s="38" t="n"/>
      <c r="C35" s="38" t="n"/>
      <c r="D35" s="38" t="n"/>
      <c r="E35" s="38" t="n"/>
      <c r="F35" s="38" t="n"/>
      <c r="G35" s="38" t="n"/>
      <c r="H35" s="38" t="n"/>
      <c r="I35" s="38" t="n"/>
      <c r="J35" s="38" t="n"/>
      <c r="K35" s="38" t="n"/>
      <c r="L35" s="38" t="n"/>
      <c r="M35" s="38" t="n"/>
      <c r="N35" s="38" t="n"/>
      <c r="O35" s="38" t="n"/>
      <c r="P35" s="38" t="n"/>
      <c r="Q35" s="38" t="n"/>
      <c r="R35" s="38" t="n"/>
      <c r="S35" s="580" t="n"/>
      <c r="T35" s="38" t="n"/>
      <c r="U35" s="38" t="n"/>
      <c r="V35" s="38" t="n"/>
      <c r="W35" s="38" t="n"/>
      <c r="X35" s="38" t="n"/>
      <c r="Y35" s="38" t="n"/>
      <c r="Z35" s="592" t="inlineStr">
        <is>
          <t>企业财务快报（财政局）</t>
        </is>
      </c>
      <c r="AC35" s="1192" t="n"/>
      <c r="AD35" s="38" t="n"/>
      <c r="AE35" s="620" t="n"/>
      <c r="AF35" s="38" t="n"/>
      <c r="AG35" s="38" t="n"/>
      <c r="AH35" s="38" t="n"/>
      <c r="AI35" s="38" t="n"/>
      <c r="AJ35" s="38" t="n"/>
      <c r="AK35" s="38" t="n"/>
      <c r="AL35" s="38" t="n"/>
      <c r="AM35" s="38" t="n"/>
      <c r="AN35" s="38" t="n"/>
      <c r="AO35" s="38" t="n"/>
      <c r="AP35" s="38" t="n"/>
      <c r="AQ35" s="38" t="n"/>
      <c r="AR35" s="38" t="n"/>
    </row>
    <row r="36" ht="15.2" customFormat="1" customHeight="1" s="575">
      <c r="A36" s="575" t="n"/>
      <c r="B36" s="575" t="n"/>
      <c r="C36" s="575" t="n"/>
      <c r="D36" s="575" t="n"/>
      <c r="E36" s="575" t="n"/>
      <c r="F36" s="575" t="n"/>
      <c r="G36" s="575" t="n"/>
      <c r="H36" s="575" t="n"/>
      <c r="I36" s="575" t="n"/>
      <c r="J36" s="575" t="n"/>
      <c r="K36" s="575" t="n"/>
      <c r="L36" s="575" t="n"/>
      <c r="M36" s="575" t="n"/>
      <c r="N36" s="575" t="n"/>
      <c r="O36" s="575" t="n"/>
      <c r="P36" s="575" t="n"/>
      <c r="Q36" s="575" t="n"/>
      <c r="R36" s="575" t="n"/>
      <c r="S36" s="726" t="n"/>
      <c r="T36" s="575" t="n"/>
      <c r="U36" s="575" t="n"/>
      <c r="V36" s="575" t="n"/>
      <c r="W36" s="575" t="n"/>
      <c r="X36" s="190">
        <f>IF(_epmOfflineCondition_,"编制单位：内蒙古京能苏尼特风力发电有限公司（内蒙古分公司）","编制单位："&amp;EPMMemberDesc($C6))</f>
        <v/>
      </c>
      <c r="Y36" s="116" t="inlineStr">
        <is>
          <t>操作提示：表单默认币种LC（本位币），外币记账单位，可点击左侧币种切换，点击EPM选项卡中的“刷新”按钮</t>
        </is>
      </c>
      <c r="Z36" s="116" t="n"/>
      <c r="AA36" s="575" t="n"/>
      <c r="AB36" s="451" t="n"/>
      <c r="AC36" s="1192" t="n"/>
      <c r="AD36" s="575" t="n"/>
      <c r="AE36" s="575" t="n"/>
      <c r="AF36" s="575" t="n"/>
      <c r="AG36" s="575" t="n"/>
      <c r="AH36" s="575" t="n"/>
      <c r="AI36" s="575" t="n"/>
      <c r="AJ36" s="575" t="n"/>
      <c r="AK36" s="575" t="n"/>
      <c r="AL36" s="575" t="n"/>
      <c r="AM36" s="575" t="n"/>
      <c r="AN36" s="575" t="n"/>
      <c r="AO36" s="575" t="n"/>
      <c r="AP36" s="575" t="n"/>
      <c r="AQ36" s="575" t="n"/>
      <c r="AR36" s="575" t="n"/>
    </row>
    <row r="37" ht="15.2" customFormat="1" customHeight="1" s="575">
      <c r="A37" s="575" t="n"/>
      <c r="B37" s="575" t="n"/>
      <c r="C37" s="575" t="n"/>
      <c r="D37" s="575" t="n"/>
      <c r="E37" s="575" t="n"/>
      <c r="F37" s="575" t="n"/>
      <c r="G37" s="575" t="n"/>
      <c r="H37" s="575" t="n"/>
      <c r="I37" s="575" t="n"/>
      <c r="J37" s="575" t="n"/>
      <c r="K37" s="575" t="n"/>
      <c r="L37" s="575" t="n"/>
      <c r="M37" s="575" t="n"/>
      <c r="N37" s="575" t="n"/>
      <c r="O37" s="575" t="n"/>
      <c r="P37" s="575" t="n"/>
      <c r="Q37" s="575" t="n"/>
      <c r="R37" s="575" t="n"/>
      <c r="S37" s="726" t="n"/>
      <c r="T37" s="575" t="n"/>
      <c r="U37" s="575" t="n"/>
      <c r="V37" s="575" t="n"/>
      <c r="W37" s="575" t="n"/>
      <c r="X37" s="190">
        <f>"编制月份："&amp;$I$3&amp;"年"&amp;$I$8&amp;"月"</f>
        <v/>
      </c>
      <c r="Y37" s="116" t="inlineStr">
        <is>
          <t>币种：</t>
        </is>
      </c>
      <c r="Z37" s="521" t="inlineStr">
        <is>
          <t>LC</t>
        </is>
      </c>
      <c r="AA37" s="716" t="n"/>
      <c r="AB37" s="223" t="inlineStr">
        <is>
          <t>金额单位：元</t>
        </is>
      </c>
      <c r="AC37" s="1192" t="n"/>
      <c r="AD37" s="575" t="n"/>
      <c r="AE37" s="575" t="n"/>
      <c r="AF37" s="575" t="n"/>
      <c r="AG37" s="575" t="n"/>
      <c r="AH37" s="575" t="n"/>
      <c r="AI37" s="575" t="n"/>
      <c r="AJ37" s="575" t="n"/>
      <c r="AK37" s="575" t="n"/>
      <c r="AL37" s="575" t="n"/>
      <c r="AM37" s="575" t="n"/>
      <c r="AN37" s="575" t="n"/>
      <c r="AO37" s="575" t="n"/>
      <c r="AP37" s="575" t="n"/>
      <c r="AQ37" s="575" t="n"/>
      <c r="AR37" s="575" t="n"/>
    </row>
    <row r="38" ht="10.15" customFormat="1" customHeight="1" s="575">
      <c r="A38" s="575" t="n"/>
      <c r="B38" s="575" t="n"/>
      <c r="C38" s="575" t="n"/>
      <c r="D38" s="575" t="n"/>
      <c r="E38" s="575" t="n"/>
      <c r="F38" s="575" t="n"/>
      <c r="G38" s="575" t="n"/>
      <c r="H38" s="575" t="n"/>
      <c r="I38" s="575" t="n"/>
      <c r="J38" s="575" t="n"/>
      <c r="K38" s="575" t="n"/>
      <c r="L38" s="575" t="n"/>
      <c r="M38" s="575" t="n"/>
      <c r="N38" s="575" t="n"/>
      <c r="O38" s="575" t="n"/>
      <c r="P38" s="575" t="n"/>
      <c r="Q38" s="575" t="n"/>
      <c r="R38" s="575" t="n"/>
      <c r="S38" s="726" t="n"/>
      <c r="T38" s="575" t="n"/>
      <c r="U38" s="575" t="n"/>
      <c r="V38" s="575" t="n"/>
      <c r="W38" s="575" t="n"/>
      <c r="X38" s="190" t="n"/>
      <c r="Y38" s="190" t="n"/>
      <c r="Z38" s="575" t="n"/>
      <c r="AA38" s="575" t="n"/>
      <c r="AB38" s="451" t="n"/>
      <c r="AC38" s="1192" t="n"/>
      <c r="AD38" s="621" t="n"/>
      <c r="AE38" s="575" t="n"/>
      <c r="AF38" s="575" t="n"/>
      <c r="AG38" s="575" t="n"/>
      <c r="AH38" s="575" t="n"/>
      <c r="AI38" s="575" t="n"/>
      <c r="AJ38" s="575" t="n"/>
      <c r="AK38" s="575" t="n"/>
      <c r="AL38" s="575" t="n"/>
      <c r="AM38" s="575" t="n"/>
      <c r="AN38" s="575" t="n"/>
      <c r="AO38" s="575" t="n"/>
      <c r="AP38" s="575" t="n"/>
      <c r="AQ38" s="575" t="n"/>
      <c r="AR38" s="575" t="n"/>
    </row>
    <row r="39" ht="18.75" customFormat="1" customHeight="1" s="575">
      <c r="A39" s="575" t="n"/>
      <c r="B39" s="575" t="n"/>
      <c r="C39" s="575" t="n"/>
      <c r="D39" s="575" t="n"/>
      <c r="E39" s="575" t="n"/>
      <c r="F39" s="575" t="n"/>
      <c r="G39" s="575" t="n"/>
      <c r="H39" s="575" t="n"/>
      <c r="I39" s="575" t="n"/>
      <c r="J39" s="575" t="n"/>
      <c r="K39" s="575" t="n"/>
      <c r="L39" s="575" t="n"/>
      <c r="M39" s="575" t="n"/>
      <c r="N39" s="575" t="n"/>
      <c r="O39" s="575" t="n"/>
      <c r="P39" s="575" t="n"/>
      <c r="Q39" s="575" t="n"/>
      <c r="R39" s="575" t="n"/>
      <c r="S39" s="726" t="n"/>
      <c r="T39" s="575" t="n"/>
      <c r="U39" s="575" t="n"/>
      <c r="V39" s="575" t="n"/>
      <c r="W39" s="575" t="n"/>
      <c r="X39" s="450" t="inlineStr">
        <is>
          <t>项        目</t>
        </is>
      </c>
      <c r="Y39" s="450" t="inlineStr">
        <is>
          <t>行次</t>
        </is>
      </c>
      <c r="Z39" s="466" t="inlineStr">
        <is>
          <t>本月数</t>
        </is>
      </c>
      <c r="AA39" s="466" t="inlineStr">
        <is>
          <t>本年累计</t>
        </is>
      </c>
      <c r="AB39" s="466" t="inlineStr">
        <is>
          <t>上年同期</t>
        </is>
      </c>
      <c r="AC39" s="551" t="inlineStr">
        <is>
          <t>本年累计(存数）</t>
        </is>
      </c>
      <c r="AD39" s="171" t="n"/>
      <c r="AE39" s="575" t="n"/>
      <c r="AF39" s="575" t="n"/>
      <c r="AG39" s="575" t="n"/>
      <c r="AH39" s="575" t="n"/>
      <c r="AI39" s="575" t="n"/>
      <c r="AJ39" s="575" t="n"/>
      <c r="AK39" s="575" t="n"/>
      <c r="AL39" s="575" t="n"/>
      <c r="AM39" s="575" t="n"/>
      <c r="AN39" s="575" t="n"/>
      <c r="AO39" s="575" t="n"/>
      <c r="AP39" s="575" t="n"/>
      <c r="AQ39" s="575" t="n"/>
      <c r="AR39" s="575" t="n"/>
    </row>
    <row r="40" ht="10.9" customFormat="1" customHeight="1" s="575">
      <c r="A40" s="575" t="n"/>
      <c r="B40" s="575" t="n"/>
      <c r="C40" s="575" t="n"/>
      <c r="D40" s="575" t="n"/>
      <c r="E40" s="575" t="n"/>
      <c r="F40" s="575" t="n"/>
      <c r="G40" s="575" t="n"/>
      <c r="H40" s="575" t="n"/>
      <c r="I40" s="575" t="n"/>
      <c r="J40" s="575" t="n"/>
      <c r="K40" s="575" t="n"/>
      <c r="L40" s="575" t="n"/>
      <c r="M40" s="575" t="n"/>
      <c r="N40" s="575" t="n"/>
      <c r="O40" s="575" t="n"/>
      <c r="P40" s="575" t="n"/>
      <c r="Q40" s="575" t="n"/>
      <c r="R40" s="575" t="n"/>
      <c r="S40" s="726" t="n"/>
      <c r="T40" s="575" t="n"/>
      <c r="U40" s="575" t="n"/>
      <c r="V40" s="575" t="n"/>
      <c r="W40" s="575" t="n"/>
      <c r="X40" s="1184" t="n"/>
      <c r="Y40" s="1184" t="n"/>
      <c r="Z40" s="1211" t="n"/>
      <c r="AA40" s="1211" t="n"/>
      <c r="AB40" s="1211" t="n"/>
      <c r="AC40" s="1211" t="n"/>
      <c r="AD40" s="171" t="n"/>
      <c r="AE40" s="575" t="n"/>
      <c r="AF40" s="575" t="n"/>
      <c r="AG40" s="575" t="n"/>
      <c r="AH40" s="575" t="n"/>
      <c r="AI40" s="575" t="n"/>
      <c r="AJ40" s="575" t="n"/>
      <c r="AK40" s="575" t="n"/>
      <c r="AL40" s="575" t="n"/>
      <c r="AM40" s="575" t="n"/>
      <c r="AN40" s="575" t="n"/>
      <c r="AO40" s="575" t="n"/>
      <c r="AP40" s="575" t="n"/>
      <c r="AQ40" s="575" t="n"/>
      <c r="AR40" s="575" t="n"/>
    </row>
    <row r="41" hidden="1" outlineLevel="1" ht="14.25" customFormat="1" customHeight="1" s="576">
      <c r="A41" s="576" t="n"/>
      <c r="B41" s="576" t="n"/>
      <c r="C41" s="576" t="n"/>
      <c r="D41" s="576" t="n"/>
      <c r="E41" s="576" t="n"/>
      <c r="F41" s="576" t="n"/>
      <c r="G41" s="576" t="n"/>
      <c r="H41" s="576" t="n"/>
      <c r="I41" s="576" t="n"/>
      <c r="J41" s="576" t="n"/>
      <c r="K41" s="576" t="n"/>
      <c r="L41" s="576" t="n"/>
      <c r="M41" s="576" t="n"/>
      <c r="N41" s="576" t="n"/>
      <c r="O41" s="576" t="n"/>
      <c r="P41" s="576" t="n"/>
      <c r="Q41" s="576" t="n"/>
      <c r="R41" s="576" t="n"/>
      <c r="S41" s="576" t="n"/>
      <c r="T41" s="576" t="n"/>
      <c r="U41" s="576" t="n"/>
      <c r="V41" s="576" t="n"/>
      <c r="W41" s="576" t="n"/>
      <c r="X41" s="451" t="inlineStr">
        <is>
          <t>time</t>
        </is>
      </c>
      <c r="Y41" s="726" t="n"/>
      <c r="Z41" s="469">
        <f>IF(_epmOfflineCondition_,"2025.03",EPMOlapMemberO($I$11,"[C_TIME].[PARENTH1].[2025.03]","2025.03 - 2025.03","","000"))</f>
        <v/>
      </c>
      <c r="AA41" s="469">
        <f>IF(_epmOfflineCondition_,"2025.03",EPMOlapMemberO($I$11,"[C_TIME].[PARENTH1].[2025.03]","2025.03 - 2025.03","","000"))</f>
        <v/>
      </c>
      <c r="AB41" s="469">
        <f>IF(_epmOfflineCondition_,"2024.03",EPMOlapMemberO(AD26,"[C_TIME].[PARENTH1].[2024.03]","2024.03 - 2024.03","","000"))</f>
        <v/>
      </c>
      <c r="AC41" s="1192" t="n"/>
      <c r="AD41" s="171" t="n"/>
      <c r="AE41" s="575" t="n"/>
      <c r="AF41" s="726" t="n"/>
      <c r="AG41" s="726" t="n"/>
      <c r="AH41" s="726" t="n"/>
      <c r="AI41" s="726" t="n"/>
      <c r="AJ41" s="726" t="n"/>
      <c r="AK41" s="726" t="n"/>
      <c r="AL41" s="726" t="n"/>
      <c r="AM41" s="576" t="n"/>
      <c r="AN41" s="576" t="n"/>
      <c r="AO41" s="576" t="n"/>
      <c r="AP41" s="576" t="n"/>
      <c r="AQ41" s="576" t="n"/>
      <c r="AR41" s="576" t="n"/>
    </row>
    <row r="42" hidden="1" outlineLevel="1" ht="14.25" customFormat="1" customHeight="1" s="575">
      <c r="A42" s="575" t="n"/>
      <c r="B42" s="575" t="n"/>
      <c r="C42" s="575" t="n"/>
      <c r="D42" s="575" t="n"/>
      <c r="E42" s="575" t="n"/>
      <c r="F42" s="575" t="n"/>
      <c r="G42" s="575" t="n"/>
      <c r="H42" s="575" t="n"/>
      <c r="I42" s="575" t="n"/>
      <c r="J42" s="575" t="n"/>
      <c r="K42" s="575" t="n"/>
      <c r="L42" s="575" t="n"/>
      <c r="M42" s="575" t="n"/>
      <c r="N42" s="575" t="n"/>
      <c r="O42" s="575" t="n"/>
      <c r="P42" s="575" t="n"/>
      <c r="Q42" s="575" t="n"/>
      <c r="R42" s="575" t="n"/>
      <c r="S42" s="726" t="n"/>
      <c r="T42" s="575" t="n"/>
      <c r="U42" s="575" t="n"/>
      <c r="V42" s="575" t="n"/>
      <c r="W42" s="575" t="n"/>
      <c r="X42" s="451" t="inlineStr">
        <is>
          <t>category</t>
        </is>
      </c>
      <c r="Y42" s="451" t="n"/>
      <c r="Z42" s="595">
        <f>IF(_epmOfflineCondition_,"C1001",EPMOlapMemberO($Z$25,"[C_CATEGORY].[PARENTH1].[C1001]","C1001 - 实际数/决算数","","000"))</f>
        <v/>
      </c>
      <c r="AA42" s="595">
        <f>IF(_epmOfflineCondition_,"C1001",EPMOlapMemberO($Z$25,"[C_CATEGORY].[PARENTH1].[C1001]","C1001 - 实际数/决算数","","000"))</f>
        <v/>
      </c>
      <c r="AB42" s="595">
        <f>IF(_epmOfflineCondition_,"C1001",EPMOlapMemberO($Z$25,"[C_CATEGORY].[PARENTH1].[C1001]","C1001 - 实际数/决算数","","000"))</f>
        <v/>
      </c>
      <c r="AC42" s="1192" t="n"/>
      <c r="AD42" s="171" t="n"/>
      <c r="AE42" s="575" t="n"/>
      <c r="AF42" s="575" t="n"/>
      <c r="AG42" s="575" t="n"/>
      <c r="AH42" s="575" t="n"/>
      <c r="AI42" s="575" t="n"/>
      <c r="AJ42" s="575" t="n"/>
      <c r="AK42" s="575" t="n"/>
      <c r="AL42" s="575" t="n"/>
      <c r="AM42" s="575" t="n"/>
      <c r="AN42" s="575" t="n"/>
      <c r="AO42" s="575" t="n"/>
      <c r="AP42" s="575" t="n"/>
      <c r="AQ42" s="575" t="n"/>
      <c r="AR42" s="575" t="n"/>
    </row>
    <row r="43" hidden="1" outlineLevel="1" ht="13.5" customFormat="1" customHeight="1" s="575">
      <c r="A43" s="575" t="n"/>
      <c r="B43" s="575" t="n"/>
      <c r="C43" s="575" t="n"/>
      <c r="D43" s="575" t="n"/>
      <c r="E43" s="575" t="n"/>
      <c r="F43" s="575" t="n"/>
      <c r="G43" s="575" t="n"/>
      <c r="H43" s="575" t="n"/>
      <c r="I43" s="575" t="n"/>
      <c r="J43" s="575" t="n"/>
      <c r="K43" s="575" t="n"/>
      <c r="L43" s="575" t="n"/>
      <c r="M43" s="575" t="n"/>
      <c r="N43" s="575" t="n"/>
      <c r="O43" s="575" t="n"/>
      <c r="P43" s="575" t="n"/>
      <c r="Q43" s="575" t="n"/>
      <c r="R43" s="575" t="n"/>
      <c r="S43" s="726" t="n"/>
      <c r="T43" s="575" t="n"/>
      <c r="U43" s="575" t="n"/>
      <c r="V43" s="575" t="n"/>
      <c r="W43" s="575" t="n"/>
      <c r="X43" s="451" t="inlineStr">
        <is>
          <t>audittrail</t>
        </is>
      </c>
      <c r="Y43" s="451" t="n"/>
      <c r="Z43" s="595">
        <f>IF(_epmOfflineCondition_,"DLC",EPMOlapMemberO($Z$31,"[C_AUDITTRAIL].[PARENTH1].[DLC]","DLC - 单体报表","","000"))</f>
        <v/>
      </c>
      <c r="AA43" s="595">
        <f>IF(_epmOfflineCondition_,"DLC",EPMOlapMemberO($Z$31,"[C_AUDITTRAIL].[PARENTH1].[DLC]","DLC - 单体报表","","000"))</f>
        <v/>
      </c>
      <c r="AB43" s="595">
        <f>IF(_epmOfflineCondition_,"DLC",EPMOlapMemberO($Z$31,"[C_AUDITTRAIL].[PARENTH1].[DLC]","DLC - 单体报表","","000"))</f>
        <v/>
      </c>
      <c r="AC43" s="1192" t="n"/>
      <c r="AD43" s="171" t="n"/>
      <c r="AE43" s="575" t="n"/>
      <c r="AF43" s="575" t="n"/>
      <c r="AG43" s="575" t="n"/>
      <c r="AH43" s="575" t="n"/>
      <c r="AI43" s="575" t="n"/>
      <c r="AJ43" s="575" t="n"/>
      <c r="AK43" s="575" t="n"/>
      <c r="AL43" s="575" t="n"/>
      <c r="AM43" s="575" t="n"/>
      <c r="AN43" s="575" t="n"/>
      <c r="AO43" s="575" t="n"/>
      <c r="AP43" s="575" t="n"/>
      <c r="AQ43" s="575" t="n"/>
      <c r="AR43" s="575" t="n"/>
    </row>
    <row r="44" hidden="1" outlineLevel="1" ht="13.5" customFormat="1" customHeight="1" s="575">
      <c r="A44" s="575" t="n"/>
      <c r="B44" s="575" t="n"/>
      <c r="C44" s="575" t="n"/>
      <c r="D44" s="575" t="n"/>
      <c r="E44" s="575" t="n"/>
      <c r="F44" s="575" t="n"/>
      <c r="G44" s="575" t="n"/>
      <c r="H44" s="575" t="n"/>
      <c r="I44" s="575" t="n"/>
      <c r="J44" s="575" t="n"/>
      <c r="K44" s="575" t="n"/>
      <c r="L44" s="575" t="n"/>
      <c r="M44" s="575" t="n"/>
      <c r="N44" s="575" t="n"/>
      <c r="O44" s="575" t="n"/>
      <c r="P44" s="575" t="n"/>
      <c r="Q44" s="575" t="n"/>
      <c r="R44" s="575" t="n"/>
      <c r="S44" s="726" t="n"/>
      <c r="T44" s="575" t="n"/>
      <c r="U44" s="575" t="n"/>
      <c r="V44" s="583" t="n"/>
      <c r="W44" s="575" t="n"/>
      <c r="X44" s="451" t="inlineStr">
        <is>
          <t>flow</t>
        </is>
      </c>
      <c r="Y44" s="451" t="n"/>
      <c r="Z44" s="595">
        <f>IF(_epmOfflineCondition_,"FMOV",EPMOlapMemberO($AE$28,"[C_FLOW].[PARENTH1].[FMOV]","FMOV - 本期变动","","000"))</f>
        <v/>
      </c>
      <c r="AA44" s="595">
        <f>IF(_epmOfflineCondition_,"FEND",EPMOlapMemberO($AD$28,"[C_FLOW].[PARENTH1].[FEND]","FEND - 期末金额","","000"))</f>
        <v/>
      </c>
      <c r="AB44" s="595">
        <f>IF(_epmOfflineCondition_,"FEND",EPMOlapMemberO($AD$28,"[C_FLOW].[PARENTH1].[FEND]","FEND - 期末金额","","000"))</f>
        <v/>
      </c>
      <c r="AC44" s="1192" t="n"/>
      <c r="AD44" s="171" t="n"/>
      <c r="AE44" s="575" t="n"/>
      <c r="AF44" s="575" t="n"/>
      <c r="AG44" s="575" t="n"/>
      <c r="AH44" s="575" t="n"/>
      <c r="AI44" s="575" t="n"/>
      <c r="AJ44" s="575" t="n"/>
      <c r="AK44" s="575" t="n"/>
      <c r="AL44" s="575" t="n"/>
      <c r="AM44" s="575" t="n"/>
      <c r="AN44" s="575" t="n"/>
      <c r="AO44" s="575" t="n"/>
      <c r="AP44" s="575" t="n"/>
      <c r="AQ44" s="575" t="n"/>
      <c r="AR44" s="575" t="n"/>
    </row>
    <row r="45" hidden="1" outlineLevel="1" ht="13.5" customFormat="1" customHeight="1" s="575">
      <c r="A45" s="575" t="n"/>
      <c r="B45" s="575" t="n"/>
      <c r="C45" s="575" t="n"/>
      <c r="D45" s="575" t="n"/>
      <c r="E45" s="575" t="n"/>
      <c r="F45" s="575" t="n"/>
      <c r="G45" s="575" t="n"/>
      <c r="H45" s="575" t="n"/>
      <c r="I45" s="575" t="n"/>
      <c r="J45" s="575" t="n"/>
      <c r="K45" s="575" t="n"/>
      <c r="L45" s="1192">
        <f>IF(_epmOfflineCondition_,0,EPMRetrieveData(,$D$21,$D$22,$D$25,$D$26,$D$27,$D$28,$D$29,$AB$41,$AB$42,$AB$43,$AB$45,$Z$32,Q45))</f>
        <v/>
      </c>
      <c r="M45" s="716" t="inlineStr">
        <is>
          <t>上年同期</t>
        </is>
      </c>
      <c r="N45" s="1192">
        <f>IF(_epmOfflineCondition_,0,EPMRetrieveData(,,$D$21,$D$22,$D$25,$D$26,$D$27,$D$28,$D$29,$Z$41,$Z$42,$Z$43,$Z$32,$Z$45,Q45))</f>
        <v/>
      </c>
      <c r="O45" s="716" t="inlineStr">
        <is>
          <t>本月</t>
        </is>
      </c>
      <c r="P45" s="716">
        <f>IF(_epmOfflineCondition_,0,EPMRetrieveData(,,$D$21,$D$22,$D$25,$D$26,$D$27,$D$28,$D$29,$AA$41,$AA$42,$AA$43,$Z$32,$AA$45,Q45))</f>
        <v/>
      </c>
      <c r="Q45" s="716" t="inlineStr">
        <is>
          <t>A0020213</t>
        </is>
      </c>
      <c r="R45" s="716" t="inlineStr">
        <is>
          <t>本年</t>
        </is>
      </c>
      <c r="S45" s="726" t="n"/>
      <c r="T45" s="575" t="n"/>
      <c r="U45" s="575" t="n"/>
      <c r="V45" s="575" t="n"/>
      <c r="W45" s="575" t="n"/>
      <c r="X45" s="451" t="inlineStr">
        <is>
          <t>measures</t>
        </is>
      </c>
      <c r="Y45" s="451" t="n"/>
      <c r="Z45" s="595">
        <f>IF(_epmOfflineCondition_,"Periodic",EPMOlapMemberO($AB$27,"[MEASURES].[].[PERIODIC]","PERIODIC - Periodic","","000"))</f>
        <v/>
      </c>
      <c r="AA45" s="595">
        <f>IF(_epmOfflineCondition_,"YTD",EPMOlapMemberO($AA$27,"[MEASURES].[].[YTD]","YTD - Year To Date","","000"))</f>
        <v/>
      </c>
      <c r="AB45" s="595">
        <f>IF(_epmOfflineCondition_,"YTD",EPMOlapMemberO($AA$27,"[MEASURES].[].[YTD]","YTD - Year To Date","","000"))</f>
        <v/>
      </c>
      <c r="AC45" s="1192" t="n"/>
      <c r="AD45" s="171" t="n"/>
      <c r="AE45" s="575" t="n"/>
      <c r="AF45" s="575" t="n"/>
      <c r="AG45" s="575" t="n"/>
      <c r="AH45" s="575" t="n"/>
      <c r="AI45" s="575" t="n"/>
      <c r="AJ45" s="575" t="n"/>
      <c r="AK45" s="575" t="n"/>
      <c r="AL45" s="575" t="n"/>
      <c r="AM45" s="575" t="n"/>
      <c r="AN45" s="575" t="n"/>
      <c r="AO45" s="575" t="n"/>
      <c r="AP45" s="575" t="n"/>
      <c r="AQ45" s="575" t="n"/>
      <c r="AR45" s="575" t="n"/>
    </row>
    <row r="46" collapsed="1" ht="16.15" customFormat="1" customHeight="1" s="575">
      <c r="A46" s="575" t="n"/>
      <c r="B46" s="575" t="n"/>
      <c r="C46" s="575" t="n"/>
      <c r="D46" s="575" t="n"/>
      <c r="E46" s="575" t="n"/>
      <c r="F46" s="575" t="n"/>
      <c r="G46" s="575" t="n"/>
      <c r="H46" s="575" t="n"/>
      <c r="I46" s="575" t="n"/>
      <c r="J46" s="575" t="n"/>
      <c r="K46" s="575" t="n"/>
      <c r="L46" s="1192">
        <f>IF(_epmOfflineCondition_,0,EPMRetrieveData(,$D$21,$D$22,$D$25,$D$26,$D$27,$D$28,$D$29,$AB$41,$AB$42,$AB$43,$AB$45,$Z$32,Q46))</f>
        <v/>
      </c>
      <c r="M46" s="1192">
        <f>L48+L46+L47-L45</f>
        <v/>
      </c>
      <c r="N46" s="1192">
        <f>IF(_epmOfflineCondition_,0,EPMRetrieveData(,,$D$21,$D$22,$D$25,$D$26,$D$27,$D$28,$D$29,$Z$41,$Z$42,$Z$43,$Z$32,$Z$45,Q46))</f>
        <v/>
      </c>
      <c r="O46" s="1192">
        <f>N48+N46+N47-N45</f>
        <v/>
      </c>
      <c r="P46" s="716">
        <f>IF(_epmOfflineCondition_,0,EPMRetrieveData(,,$D$21,$D$22,$D$25,$D$26,$D$27,$D$28,$D$29,$AA$41,$AA$42,$AA$43,$Z$32,$AA$45,Q46))</f>
        <v/>
      </c>
      <c r="Q46" s="514" t="inlineStr">
        <is>
          <t>A0020202</t>
        </is>
      </c>
      <c r="R46" s="716">
        <f>P48+P46+P47-P45</f>
        <v/>
      </c>
      <c r="S46" s="726">
        <f>IF(_epmOfflineCondition_,"一、营业总收入",EPMMemberDesc(U46))</f>
        <v/>
      </c>
      <c r="T46" s="575" t="n"/>
      <c r="U46" s="575" t="inlineStr">
        <is>
          <t>A00201</t>
        </is>
      </c>
      <c r="V46" s="584">
        <f>IF(_epmOfflineCondition_,"A00201",EPMOlapMemberO(U46,"[C_ACCOUNT].[PARENTH1].[A00201]","A00201 - 一、营业总收入","","000"))</f>
        <v/>
      </c>
      <c r="W46" s="726" t="n"/>
      <c r="X46" s="585" t="inlineStr">
        <is>
          <t>1. 营业总收入</t>
        </is>
      </c>
      <c r="Y46" s="1312">
        <f>ROW()-45</f>
        <v/>
      </c>
      <c r="Z46" s="1349">
        <f>IF(_epmOfflineCondition_,34684648.3,EPMRetrieveData(,$Z$41,$Z$42,$Z$43,$Z$32,$Z$45,$D21,$D$22,$D$25,$D$26,$D$27,$D$28,$D$29,V46))</f>
        <v/>
      </c>
      <c r="AA46" s="1349">
        <f>IF(_epmOfflineCondition_,94272738.5,EPMRetrieveData(,$AA$41,$AA$42,$AA$43,$AA$45,$Z$32,$D$21,$D$22,$D$25,$D$26,$D$27,$D$28,$D$29,V46))</f>
        <v/>
      </c>
      <c r="AB46" s="1349">
        <f>IF(_epmOfflineCondition_,23180467.01,EPMRetrieveData(,$AB$41,$AB$42,$AB$43,$AB$45,$Z$32,$D$21,$D$22,$D$25,$D$26,$D$27,$D$28,$D$29,V46))</f>
        <v/>
      </c>
      <c r="AC46" s="1192" t="n"/>
      <c r="AD46" s="116" t="inlineStr">
        <is>
          <t>操作注意事项：</t>
        </is>
      </c>
      <c r="AE46" s="575" t="n"/>
      <c r="AF46" s="575" t="n"/>
      <c r="AG46" s="575" t="n"/>
      <c r="AH46" s="575" t="n"/>
      <c r="AI46" s="575" t="n"/>
      <c r="AJ46" s="575" t="n"/>
      <c r="AK46" s="575" t="n"/>
      <c r="AL46" s="575" t="n"/>
      <c r="AM46" s="575" t="n"/>
      <c r="AN46" s="575" t="n"/>
      <c r="AO46" s="575" t="n"/>
      <c r="AP46" s="575" t="n"/>
      <c r="AQ46" s="575" t="n"/>
      <c r="AR46" s="575" t="n"/>
    </row>
    <row r="47" ht="16.15" customFormat="1" customHeight="1" s="575">
      <c r="A47" s="575" t="n"/>
      <c r="B47" s="575" t="n"/>
      <c r="C47" s="575" t="n"/>
      <c r="D47" s="575" t="n"/>
      <c r="E47" s="575" t="n"/>
      <c r="F47" s="575" t="n"/>
      <c r="G47" s="575" t="n"/>
      <c r="H47" s="575" t="n"/>
      <c r="I47" s="575" t="n"/>
      <c r="J47" s="575" t="n"/>
      <c r="K47" s="575" t="n"/>
      <c r="L47" s="1192">
        <f>IF(_epmOfflineCondition_,0,EPMRetrieveData(,$D$21,$D$22,$D$25,$D$26,$D$27,$D$28,$D$29,$AB$41,$AB$42,$AB$43,$AB$45,$Z$32,Q47))</f>
        <v/>
      </c>
      <c r="M47" s="1192">
        <f>L48</f>
        <v/>
      </c>
      <c r="N47" s="1192">
        <f>IF(_epmOfflineCondition_,0,EPMRetrieveData(,,$D$21,$D$22,$D$25,$D$26,$D$27,$D$28,$D$29,$Z$41,$Z$42,$Z$43,$Z$32,$Z$45,Q47))</f>
        <v/>
      </c>
      <c r="O47" s="1192">
        <f>N48</f>
        <v/>
      </c>
      <c r="P47" s="716">
        <f>IF(_epmOfflineCondition_,0,EPMRetrieveData(,,$D$21,$D$22,$D$25,$D$26,$D$27,$D$28,$D$29,$AA$41,$AA$42,$AA$43,$Z$32,$AA$45,Q47))</f>
        <v/>
      </c>
      <c r="Q47" s="514" t="inlineStr">
        <is>
          <t>A0020203</t>
        </is>
      </c>
      <c r="R47" s="716" t="n"/>
      <c r="S47" s="726">
        <f>IF(_epmOfflineCondition_,"主营业务收入",EPMMemberDesc(U47))</f>
        <v/>
      </c>
      <c r="T47" s="575" t="n"/>
      <c r="U47" s="575" t="inlineStr">
        <is>
          <t>A6001</t>
        </is>
      </c>
      <c r="V47" s="586">
        <f>IF(_epmOfflineCondition_,"A6001",EPMOlapMemberO(U47,"[C_ACCOUNT].[PARENTH1].[A6001]","A6001 - 主营业务收入","","000"))</f>
        <v/>
      </c>
      <c r="W47" s="726" t="n"/>
      <c r="X47" s="585" t="inlineStr">
        <is>
          <t xml:space="preserve">  其中：主营业务收入</t>
        </is>
      </c>
      <c r="Y47" s="1312">
        <f>ROW()-45</f>
        <v/>
      </c>
      <c r="Z47" s="1349">
        <f>IF(_epmOfflineCondition_,34684648.3,EPMRetrieveData(,$Z$41,$Z$42,$Z$43,$Z$32,$Z$45,$D22,$D$22,$D$25,$D$26,$D$27,$D$28,$D$29,V47))</f>
        <v/>
      </c>
      <c r="AA47" s="1349">
        <f>IF(_epmOfflineCondition_,94272738.5,EPMRetrieveData(,$AA$41,$AA$42,$AA$43,$AA$45,$Z$32,$D$21,$D$22,$D$25,$D$26,$D$27,$D$28,$D$29,V47))</f>
        <v/>
      </c>
      <c r="AB47" s="1349">
        <f>IF(_epmOfflineCondition_,23180467.01,EPMRetrieveData(,$AB$41,$AB$42,$AB$43,$AB$45,$Z$32,$D$21,$D$22,$D$25,$D$26,$D$27,$D$28,$D$29,V47))</f>
        <v/>
      </c>
      <c r="AC47" s="1192" t="n"/>
      <c r="AD47" s="116" t="inlineStr">
        <is>
          <t>🔺单体：上下文Scope选择G_DUMMY，Entity选择本单体，外币单位切换币种；单体选LC</t>
        </is>
      </c>
      <c r="AE47" s="575" t="n"/>
      <c r="AF47" s="575" t="n"/>
      <c r="AG47" s="575" t="n"/>
      <c r="AH47" s="575" t="n"/>
      <c r="AI47" s="575" t="n"/>
      <c r="AJ47" s="575" t="n"/>
      <c r="AK47" s="575" t="n"/>
      <c r="AL47" s="575" t="n"/>
      <c r="AM47" s="575" t="n"/>
      <c r="AN47" s="575" t="n"/>
      <c r="AO47" s="575" t="n"/>
      <c r="AP47" s="575" t="n"/>
      <c r="AQ47" s="575" t="n"/>
      <c r="AR47" s="575" t="n"/>
    </row>
    <row r="48" ht="16.15" customFormat="1" customHeight="1" s="575">
      <c r="A48" s="575" t="n"/>
      <c r="B48" s="575" t="n"/>
      <c r="C48" s="575" t="n"/>
      <c r="D48" s="575" t="n"/>
      <c r="E48" s="575" t="n"/>
      <c r="F48" s="575" t="n"/>
      <c r="G48" s="575" t="n"/>
      <c r="H48" s="575" t="n"/>
      <c r="I48" s="575" t="n"/>
      <c r="J48" s="575" t="n"/>
      <c r="K48" s="575" t="n"/>
      <c r="L48" s="1192">
        <f>IF(_epmOfflineCondition_,0,EPMRetrieveData(,$D$21,$D$22,$D$25,$D$26,$D$27,$D$28,$D$29,$AB$41,$AB$42,$AB$43,$AB$45,$Z$32,Q48))</f>
        <v/>
      </c>
      <c r="M48" s="716" t="n"/>
      <c r="N48" s="1192">
        <f>IF(_epmOfflineCondition_,10784449.51,EPMRetrieveData(,,$D$21,$D$22,$D$25,$D$26,$D$27,$D$28,$D$29,$Z$41,$Z$42,$Z$43,$Z$32,$Z$45,Q48))</f>
        <v/>
      </c>
      <c r="O48" s="716" t="n"/>
      <c r="P48" s="716">
        <f>IF(_epmOfflineCondition_,27496863.46,EPMRetrieveData(,,$D$21,$D$22,$D$25,$D$26,$D$27,$D$28,$D$29,$AA$41,$AA$42,$AA$43,$Z$32,$AA$45,Q48))</f>
        <v/>
      </c>
      <c r="Q48" s="716" t="inlineStr">
        <is>
          <t>A0020201</t>
        </is>
      </c>
      <c r="R48" s="716" t="n"/>
      <c r="S48" s="726">
        <f>IF(_epmOfflineCondition_,"   其中：营业成本",EPMMemberDesc(U48))</f>
        <v/>
      </c>
      <c r="T48" s="575" t="n"/>
      <c r="U48" s="575" t="inlineStr">
        <is>
          <t>A0020201</t>
        </is>
      </c>
      <c r="V48" s="587">
        <f>IF(_epmOfflineCondition_,"A0020201",EPMOlapMemberO(U48,"[C_ACCOUNT].[PARENTH1].[A0020201]","A0020201 -    其中：营业成本","","000"))</f>
        <v/>
      </c>
      <c r="W48" s="726" t="n"/>
      <c r="X48" s="585" t="inlineStr">
        <is>
          <t>2. 营业成本</t>
        </is>
      </c>
      <c r="Y48" s="1312">
        <f>ROW()-45</f>
        <v/>
      </c>
      <c r="Z48" s="1349">
        <f>O46</f>
        <v/>
      </c>
      <c r="AA48" s="1349">
        <f>R46</f>
        <v/>
      </c>
      <c r="AB48" s="1349">
        <f>M46</f>
        <v/>
      </c>
      <c r="AC48" s="1192" t="n"/>
      <c r="AD48" s="116" t="inlineStr">
        <is>
          <t>🔺合并层：上下文Scope选择对应的合并范围Gxxxxxx,合并选CNY</t>
        </is>
      </c>
      <c r="AE48" s="575" t="n"/>
      <c r="AF48" s="575" t="n"/>
      <c r="AG48" s="575" t="n"/>
      <c r="AH48" s="575" t="n"/>
      <c r="AI48" s="575" t="n"/>
      <c r="AJ48" s="575" t="n"/>
      <c r="AK48" s="575" t="n"/>
      <c r="AL48" s="575" t="n"/>
      <c r="AM48" s="575" t="n"/>
      <c r="AN48" s="575" t="n"/>
      <c r="AO48" s="575" t="n"/>
      <c r="AP48" s="575" t="n"/>
      <c r="AQ48" s="575" t="n"/>
      <c r="AR48" s="575" t="n"/>
    </row>
    <row r="49" ht="16.15" customFormat="1" customHeight="1" s="575">
      <c r="A49" s="575" t="n"/>
      <c r="B49" s="575" t="n"/>
      <c r="C49" s="575" t="n"/>
      <c r="D49" s="575" t="n"/>
      <c r="E49" s="575" t="n"/>
      <c r="F49" s="575" t="n"/>
      <c r="G49" s="575" t="n"/>
      <c r="H49" s="575" t="n"/>
      <c r="I49" s="575" t="n"/>
      <c r="J49" s="575" t="n"/>
      <c r="K49" s="575" t="n"/>
      <c r="L49" s="575" t="n"/>
      <c r="M49" s="575" t="n"/>
      <c r="N49" s="575" t="n"/>
      <c r="O49" s="575" t="n"/>
      <c r="P49" s="575" t="n"/>
      <c r="Q49" s="575" t="n"/>
      <c r="R49" s="575" t="n"/>
      <c r="S49" s="726">
        <f>IF(_epmOfflineCondition_,"　　    税金及附加",EPMMemberDesc(U49))</f>
        <v/>
      </c>
      <c r="T49" s="575" t="n"/>
      <c r="U49" s="575" t="inlineStr">
        <is>
          <t>A0020204</t>
        </is>
      </c>
      <c r="V49" s="587">
        <f>IF(_epmOfflineCondition_,"A0020204",EPMOlapMemberO(U49,"[C_ACCOUNT].[PARENTH1].[A0020204]","A0020204 - 　　    税金及附加","","000"))</f>
        <v/>
      </c>
      <c r="W49" s="726" t="n"/>
      <c r="X49" s="585" t="inlineStr">
        <is>
          <t>3. 税金及附加</t>
        </is>
      </c>
      <c r="Y49" s="1312">
        <f>ROW()-45</f>
        <v/>
      </c>
      <c r="Z49" s="1349">
        <f>IF(_epmOfflineCondition_,1797689.16,EPMRetrieveData(,$Z$41,$Z$42,$Z$43,$Z$32,$Z$45,$D24,$D$22,$D$25,$D$26,$D$27,$D$28,$D$29,V49))</f>
        <v/>
      </c>
      <c r="AA49" s="1349">
        <f>IF(_epmOfflineCondition_,1815565.59,EPMRetrieveData(,$AA$41,$AA$42,$AA$43,$AA$45,$Z$32,$D$21,$D$22,$D$25,$D$26,$D$27,$D$28,$D$29,V49))</f>
        <v/>
      </c>
      <c r="AB49" s="1349">
        <f>IF(_epmOfflineCondition_,6954.13,EPMRetrieveData(,$AB$41,$AB$42,$AB$43,$AB$45,$Z$32,$D$21,$D$22,$D$25,$D$26,$D$27,$D$28,$D$29,V49))</f>
        <v/>
      </c>
      <c r="AC49" s="1192" t="n"/>
      <c r="AD49" s="575" t="n"/>
      <c r="AE49" s="575" t="n"/>
      <c r="AF49" s="575" t="n"/>
      <c r="AG49" s="575" t="n"/>
      <c r="AH49" s="575" t="n"/>
      <c r="AI49" s="575" t="n"/>
      <c r="AJ49" s="575" t="n"/>
      <c r="AK49" s="575" t="n"/>
      <c r="AL49" s="575" t="n"/>
      <c r="AM49" s="575" t="n"/>
      <c r="AN49" s="575" t="n"/>
      <c r="AO49" s="575" t="n"/>
      <c r="AP49" s="575" t="n"/>
      <c r="AQ49" s="575" t="n"/>
      <c r="AR49" s="575" t="n"/>
    </row>
    <row r="50" ht="16.15" customFormat="1" customHeight="1" s="575">
      <c r="A50" s="575" t="n"/>
      <c r="B50" s="575" t="n"/>
      <c r="C50" s="575" t="n"/>
      <c r="D50" s="575" t="n"/>
      <c r="E50" s="575" t="n"/>
      <c r="F50" s="575" t="n"/>
      <c r="G50" s="575" t="n"/>
      <c r="H50" s="575" t="n"/>
      <c r="I50" s="575" t="n"/>
      <c r="J50" s="575" t="n"/>
      <c r="K50" s="575" t="n"/>
      <c r="L50" s="575" t="n"/>
      <c r="M50" s="575" t="n"/>
      <c r="N50" s="575" t="n"/>
      <c r="O50" s="575" t="n"/>
      <c r="P50" s="575" t="n"/>
      <c r="Q50" s="575" t="n"/>
      <c r="R50" s="575" t="n"/>
      <c r="S50" s="726">
        <f>IF(_epmOfflineCondition_,"           销售费用",EPMMemberDesc(U50))</f>
        <v/>
      </c>
      <c r="T50" s="575" t="n"/>
      <c r="U50" s="575" t="inlineStr">
        <is>
          <t>A0020205</t>
        </is>
      </c>
      <c r="V50" s="587">
        <f>IF(_epmOfflineCondition_,"A0020205",EPMOlapMemberO(U50,"[C_ACCOUNT].[PARENTH1].[A0020205]","A0020205 -            销售费用","","000"))</f>
        <v/>
      </c>
      <c r="W50" s="726" t="n"/>
      <c r="X50" s="585" t="inlineStr">
        <is>
          <t>4. 销售费用</t>
        </is>
      </c>
      <c r="Y50" s="1312">
        <f>ROW()-45</f>
        <v/>
      </c>
      <c r="Z50" s="1349">
        <f>IF(_epmOfflineCondition_,0,EPMRetrieveData(,$Z$41,$Z$42,$Z$43,$Z$32,$Z$45,$D25,$D$22,$D$25,$D$26,$D$27,$D$28,$D$29,V50))</f>
        <v/>
      </c>
      <c r="AA50" s="1349">
        <f>IF(_epmOfflineCondition_,0,EPMRetrieveData(,$AA$41,$AA$42,$AA$43,$AA$45,$Z$32,$D$21,$D$22,$D$25,$D$26,$D$27,$D$28,$D$29,V50))</f>
        <v/>
      </c>
      <c r="AB50" s="1349">
        <f>IF(_epmOfflineCondition_,0,EPMRetrieveData(,$AB$41,$AB$42,$AB$43,$AB$45,$Z$32,$D$21,$D$22,$D$25,$D$26,$D$27,$D$28,$D$29,V50))</f>
        <v/>
      </c>
      <c r="AC50" s="1192" t="n"/>
      <c r="AD50" s="171" t="n"/>
      <c r="AE50" s="575" t="n"/>
      <c r="AF50" s="575" t="n"/>
      <c r="AG50" s="575" t="n"/>
      <c r="AH50" s="575" t="n"/>
      <c r="AI50" s="575" t="n"/>
      <c r="AJ50" s="575" t="n"/>
      <c r="AK50" s="575" t="n"/>
      <c r="AL50" s="575" t="n"/>
      <c r="AM50" s="575" t="n"/>
      <c r="AN50" s="575" t="n"/>
      <c r="AO50" s="575" t="n"/>
      <c r="AP50" s="575" t="n"/>
      <c r="AQ50" s="575" t="n"/>
      <c r="AR50" s="575" t="n"/>
    </row>
    <row r="51" ht="16.15" customFormat="1" customHeight="1" s="575">
      <c r="A51" s="575" t="n"/>
      <c r="B51" s="575" t="n"/>
      <c r="C51" s="575" t="n"/>
      <c r="D51" s="575" t="n"/>
      <c r="E51" s="575" t="n"/>
      <c r="F51" s="575" t="n"/>
      <c r="G51" s="575" t="n"/>
      <c r="H51" s="575" t="n"/>
      <c r="I51" s="575" t="n"/>
      <c r="J51" s="575" t="n"/>
      <c r="K51" s="575" t="n"/>
      <c r="L51" s="575" t="n"/>
      <c r="M51" s="575" t="n"/>
      <c r="N51" s="575" t="n"/>
      <c r="O51" s="575" t="n"/>
      <c r="P51" s="575" t="n"/>
      <c r="Q51" s="575" t="n"/>
      <c r="R51" s="575" t="n"/>
      <c r="S51" s="726">
        <f>IF(_epmOfflineCondition_,"　　    管理费用",EPMMemberDesc(U51))</f>
        <v/>
      </c>
      <c r="T51" s="575" t="n"/>
      <c r="U51" s="575" t="inlineStr">
        <is>
          <t>A0020206</t>
        </is>
      </c>
      <c r="V51" s="587">
        <f>IF(_epmOfflineCondition_,"A0020206",EPMOlapMemberO(U51,"[C_ACCOUNT].[PARENTH1].[A0020206]","A0020206 - 　　    管理费用","","000"))</f>
        <v/>
      </c>
      <c r="W51" s="726" t="n"/>
      <c r="X51" s="585" t="inlineStr">
        <is>
          <t>5. 管理费用</t>
        </is>
      </c>
      <c r="Y51" s="1312">
        <f>ROW()-45</f>
        <v/>
      </c>
      <c r="Z51" s="1349">
        <f>IF(_epmOfflineCondition_,0,EPMRetrieveData(,$Z$41,$Z$42,$Z$43,$Z$32,$Z$45,$D26,$D$22,$D$25,$D$26,$D$27,$D$28,$D$29,V51))</f>
        <v/>
      </c>
      <c r="AA51" s="1349">
        <f>IF(_epmOfflineCondition_,0,EPMRetrieveData(,$AA$41,$AA$42,$AA$43,$AA$45,$Z$32,$D$21,$D$22,$D$25,$D$26,$D$27,$D$28,$D$29,V51))</f>
        <v/>
      </c>
      <c r="AB51" s="1349">
        <f>IF(_epmOfflineCondition_,0,EPMRetrieveData(,$AB$41,$AB$42,$AB$43,$AB$45,$Z$32,$D$21,$D$22,$D$25,$D$26,$D$27,$D$28,$D$29,V51))</f>
        <v/>
      </c>
      <c r="AC51" s="1192" t="n"/>
      <c r="AD51" s="171" t="n"/>
      <c r="AE51" s="575" t="n"/>
      <c r="AF51" s="575" t="n"/>
      <c r="AG51" s="575" t="n"/>
      <c r="AH51" s="575" t="n"/>
      <c r="AI51" s="575" t="n"/>
      <c r="AJ51" s="575" t="n"/>
      <c r="AK51" s="575" t="n"/>
      <c r="AL51" s="575" t="n"/>
      <c r="AM51" s="575" t="n"/>
      <c r="AN51" s="575" t="n"/>
      <c r="AO51" s="575" t="n"/>
      <c r="AP51" s="575" t="n"/>
      <c r="AQ51" s="575" t="n"/>
      <c r="AR51" s="575" t="n"/>
    </row>
    <row r="52" ht="16.15" customFormat="1" customHeight="1" s="575">
      <c r="A52" s="575" t="n"/>
      <c r="B52" s="575" t="n"/>
      <c r="C52" s="575" t="n"/>
      <c r="D52" s="575" t="n"/>
      <c r="E52" s="575" t="n"/>
      <c r="F52" s="575" t="n"/>
      <c r="G52" s="575" t="n"/>
      <c r="H52" s="575" t="n"/>
      <c r="I52" s="575" t="n"/>
      <c r="J52" s="575" t="n"/>
      <c r="K52" s="575" t="n"/>
      <c r="L52" s="575" t="n"/>
      <c r="M52" s="575" t="n"/>
      <c r="N52" s="575" t="n"/>
      <c r="O52" s="575" t="n"/>
      <c r="P52" s="575" t="n"/>
      <c r="Q52" s="575" t="n"/>
      <c r="R52" s="575" t="n"/>
      <c r="S52" s="726">
        <f>IF(_epmOfflineCondition_,"           研发费用",EPMMemberDesc(U52))</f>
        <v/>
      </c>
      <c r="T52" s="575" t="n"/>
      <c r="U52" s="575" t="inlineStr">
        <is>
          <t>A0020207</t>
        </is>
      </c>
      <c r="V52" s="587">
        <f>IF(_epmOfflineCondition_,"A0020207",EPMOlapMemberO(U52,"[C_ACCOUNT].[PARENTH1].[A0020207]","A0020207 -            研发费用","","000"))</f>
        <v/>
      </c>
      <c r="W52" s="726" t="n"/>
      <c r="X52" s="585" t="inlineStr">
        <is>
          <t>6. 研发费用</t>
        </is>
      </c>
      <c r="Y52" s="1312">
        <f>ROW()-45</f>
        <v/>
      </c>
      <c r="Z52" s="1349">
        <f>IF(_epmOfflineCondition_,0,EPMRetrieveData(,$Z$41,$Z$42,$Z$43,$Z$32,$Z$45,$D27,$D$22,$D$25,$D$26,$D$27,$D$28,$D$29,V52))</f>
        <v/>
      </c>
      <c r="AA52" s="1349">
        <f>IF(_epmOfflineCondition_,0,EPMRetrieveData(,$AA$41,$AA$42,$AA$43,$AA$45,$Z$32,$D$21,$D$22,$D$25,$D$26,$D$27,$D$28,$D$29,V52))</f>
        <v/>
      </c>
      <c r="AB52" s="1349">
        <f>IF(_epmOfflineCondition_,0,EPMRetrieveData(,$AB$41,$AB$42,$AB$43,$AB$45,$Z$32,$D$21,$D$22,$D$25,$D$26,$D$27,$D$28,$D$29,V52))</f>
        <v/>
      </c>
      <c r="AC52" s="1192" t="n"/>
      <c r="AD52" s="171" t="n"/>
      <c r="AE52" s="575" t="n"/>
      <c r="AF52" s="575" t="n"/>
      <c r="AG52" s="575" t="n"/>
      <c r="AH52" s="575" t="n"/>
      <c r="AI52" s="575" t="n"/>
      <c r="AJ52" s="575" t="n"/>
      <c r="AK52" s="575" t="n"/>
      <c r="AL52" s="575" t="n"/>
      <c r="AM52" s="575" t="n"/>
      <c r="AN52" s="575" t="n"/>
      <c r="AO52" s="575" t="n"/>
      <c r="AP52" s="575" t="n"/>
      <c r="AQ52" s="575" t="n"/>
      <c r="AR52" s="575" t="n"/>
    </row>
    <row r="53" ht="16.15" customFormat="1" customHeight="1" s="575">
      <c r="A53" s="575" t="n"/>
      <c r="B53" s="575" t="n"/>
      <c r="C53" s="575" t="n"/>
      <c r="D53" s="575" t="n"/>
      <c r="E53" s="575" t="n"/>
      <c r="F53" s="575" t="n"/>
      <c r="G53" s="575" t="n"/>
      <c r="H53" s="575" t="n"/>
      <c r="I53" s="575" t="n"/>
      <c r="J53" s="575" t="n"/>
      <c r="K53" s="575" t="n"/>
      <c r="L53" s="575" t="n"/>
      <c r="M53" s="575" t="n"/>
      <c r="N53" s="575" t="n"/>
      <c r="O53" s="575" t="n"/>
      <c r="P53" s="575" t="n"/>
      <c r="Q53" s="575" t="n"/>
      <c r="R53" s="575" t="n"/>
      <c r="S53" s="726">
        <f>IF(_epmOfflineCondition_,"　　    财务费用",EPMMemberDesc(U53))</f>
        <v/>
      </c>
      <c r="T53" s="575" t="n"/>
      <c r="U53" s="575" t="inlineStr">
        <is>
          <t>A0020208</t>
        </is>
      </c>
      <c r="V53" s="587">
        <f>IF(_epmOfflineCondition_,"A0020208",EPMOlapMemberO(U53,"[C_ACCOUNT].[PARENTH1].[A0020208]","A0020208 - 　　    财务费用","","000"))</f>
        <v/>
      </c>
      <c r="W53" s="726" t="n"/>
      <c r="X53" s="585" t="inlineStr">
        <is>
          <t>7. 财务费用</t>
        </is>
      </c>
      <c r="Y53" s="1312">
        <f>ROW()-45</f>
        <v/>
      </c>
      <c r="Z53" s="1349">
        <f>IF(_epmOfflineCondition_,2263016.19,EPMRetrieveData(,$Z$41,$Z$42,$Z$43,$Z$32,$Z$45,$D28,$D$22,$D$25,$D$26,$D$27,$D$28,$D$29,V53))</f>
        <v/>
      </c>
      <c r="AA53" s="1349">
        <f>IF(_epmOfflineCondition_,6988516.48,EPMRetrieveData(,$AA$41,$AA$42,$AA$43,$AA$45,$Z$32,$D$21,$D$22,$D$25,$D$26,$D$27,$D$28,$D$29,V53))</f>
        <v/>
      </c>
      <c r="AB53" s="1349">
        <f>IF(_epmOfflineCondition_,0,EPMRetrieveData(,$AB$41,$AB$42,$AB$43,$AB$45,$Z$32,$D$21,$D$22,$D$25,$D$26,$D$27,$D$28,$D$29,V53))</f>
        <v/>
      </c>
      <c r="AC53" s="1192" t="n"/>
      <c r="AD53" s="171" t="n"/>
      <c r="AE53" s="575" t="n"/>
      <c r="AF53" s="575" t="n"/>
      <c r="AG53" s="575" t="n"/>
      <c r="AH53" s="575" t="n"/>
      <c r="AI53" s="575" t="n"/>
      <c r="AJ53" s="575" t="n"/>
      <c r="AK53" s="575" t="n"/>
      <c r="AL53" s="575" t="n"/>
      <c r="AM53" s="575" t="n"/>
      <c r="AN53" s="575" t="n"/>
      <c r="AO53" s="575" t="n"/>
      <c r="AP53" s="575" t="n"/>
      <c r="AQ53" s="575" t="n"/>
      <c r="AR53" s="575" t="n"/>
    </row>
    <row r="54" ht="16.15" customFormat="1" customHeight="1" s="575">
      <c r="A54" s="575" t="n"/>
      <c r="B54" s="575" t="n"/>
      <c r="C54" s="575" t="n"/>
      <c r="D54" s="575" t="n"/>
      <c r="E54" s="575" t="n"/>
      <c r="F54" s="575" t="n"/>
      <c r="G54" s="575" t="n"/>
      <c r="H54" s="575" t="n"/>
      <c r="I54" s="575" t="n"/>
      <c r="J54" s="575" t="n"/>
      <c r="K54" s="575" t="n"/>
      <c r="L54" s="575" t="n"/>
      <c r="M54" s="575" t="n"/>
      <c r="N54" s="575" t="n"/>
      <c r="O54" s="575" t="n"/>
      <c r="P54" s="575" t="n"/>
      <c r="Q54" s="575" t="n"/>
      <c r="R54" s="575" t="n"/>
      <c r="S54" s="726">
        <f>IF(_epmOfflineCondition_,"财务费用-利息费用",EPMMemberDesc(U54))</f>
        <v/>
      </c>
      <c r="T54" s="575" t="n"/>
      <c r="U54" s="575" t="inlineStr">
        <is>
          <t>A660302</t>
        </is>
      </c>
      <c r="V54" s="586">
        <f>IF(_epmOfflineCondition_,"A660302",EPMOlapMemberO(U54,"[C_ACCOUNT].[PARENTH1].[A660302]","A660302 - 财务费用-利息费用","","000"))</f>
        <v/>
      </c>
      <c r="W54" s="726" t="n"/>
      <c r="X54" s="588" t="inlineStr">
        <is>
          <t xml:space="preserve">    其中：利息费用</t>
        </is>
      </c>
      <c r="Y54" s="1312">
        <f>ROW()-45</f>
        <v/>
      </c>
      <c r="Z54" s="1349">
        <f>IF(_epmOfflineCondition_,2290986.12,EPMRetrieveData(,$Z$41,$Z$42,$Z$43,$Z$32,$Z$45,$D29,$D$22,$D$25,$D$26,$D$27,$D$28,$D$29,V54))</f>
        <v/>
      </c>
      <c r="AA54" s="1349">
        <f>IF(_epmOfflineCondition_,7012916.67,EPMRetrieveData(,$AA$41,$AA$42,$AA$43,$AA$45,$Z$32,$D$21,$D$22,$D$25,$D$26,$D$27,$D$28,$D$29,V54))</f>
        <v/>
      </c>
      <c r="AB54" s="1349">
        <f>IF(_epmOfflineCondition_,0,EPMRetrieveData(,$AB$41,$AB$42,$AB$43,$AB$45,$Z$32,$D$21,$D$22,$D$25,$D$26,$D$27,$D$28,$D$29,V54))</f>
        <v/>
      </c>
      <c r="AC54" s="1192" t="n"/>
      <c r="AD54" s="171" t="n"/>
      <c r="AE54" s="575" t="n"/>
      <c r="AF54" s="575" t="n"/>
      <c r="AG54" s="575" t="n"/>
      <c r="AH54" s="575" t="n"/>
      <c r="AI54" s="575" t="n"/>
      <c r="AJ54" s="575" t="n"/>
      <c r="AK54" s="575" t="n"/>
      <c r="AL54" s="575" t="n"/>
      <c r="AM54" s="575" t="n"/>
      <c r="AN54" s="575" t="n"/>
      <c r="AO54" s="575" t="n"/>
      <c r="AP54" s="575" t="n"/>
      <c r="AQ54" s="575" t="n"/>
      <c r="AR54" s="575" t="n"/>
    </row>
    <row r="55" ht="16.15" customFormat="1" customHeight="1" s="575">
      <c r="A55" s="575" t="n"/>
      <c r="B55" s="575" t="n"/>
      <c r="C55" s="575" t="n"/>
      <c r="D55" s="575" t="n"/>
      <c r="E55" s="575" t="n"/>
      <c r="F55" s="575" t="n"/>
      <c r="G55" s="575" t="n"/>
      <c r="H55" s="575" t="n"/>
      <c r="I55" s="575" t="n"/>
      <c r="J55" s="575" t="n"/>
      <c r="K55" s="575" t="n"/>
      <c r="L55" s="575" t="n"/>
      <c r="M55" s="575" t="n"/>
      <c r="N55" s="575" t="n"/>
      <c r="O55" s="575" t="n"/>
      <c r="P55" s="575" t="n"/>
      <c r="Q55" s="575" t="n"/>
      <c r="R55" s="575" t="n"/>
      <c r="S55" s="726">
        <f>IF(_epmOfflineCondition_,"财务费用-汇兑损益",EPMMemberDesc(U55))</f>
        <v/>
      </c>
      <c r="T55" s="575" t="n"/>
      <c r="U55" s="575" t="inlineStr">
        <is>
          <t>A6603030000</t>
        </is>
      </c>
      <c r="V55" s="589">
        <f>IF(_epmOfflineCondition_,"A6603030000",EPMOlapMemberO(U55,"[C_ACCOUNT].[PARENTH1].[A6603030000]","A6603030000 - 财务费用-汇兑损益","","000"))</f>
        <v/>
      </c>
      <c r="W55" s="726" t="n"/>
      <c r="X55" s="457" t="inlineStr">
        <is>
          <t xml:space="preserve">            汇兑净损失（净收益以“-”号填列）</t>
        </is>
      </c>
      <c r="Y55" s="1312">
        <f>ROW()-45</f>
        <v/>
      </c>
      <c r="Z55" s="1349">
        <f>IF(_epmOfflineCondition_,0,EPMRetrieveData(,$Z$41,$Z$42,$Z$43,$Z$32,$Z$45,$D30,$D$22,$D$25,$D$26,$D$27,$D$28,$D$29,V55))</f>
        <v/>
      </c>
      <c r="AA55" s="1349">
        <f>IF(_epmOfflineCondition_,0,EPMRetrieveData(,$AA$41,$AA$42,$AA$43,$AA$45,$Z$32,$D$21,$D$22,$D$25,$D$26,$D$27,$D$28,$D$29,V55))</f>
        <v/>
      </c>
      <c r="AB55" s="1349">
        <f>IF(_epmOfflineCondition_,0,EPMRetrieveData(,$AB$41,$AB$42,$AB$43,$AB$45,$Z$32,$D$21,$D$22,$D$25,$D$26,$D$27,$D$28,$D$29,V55))</f>
        <v/>
      </c>
      <c r="AC55" s="1192" t="n"/>
      <c r="AD55" s="171" t="n"/>
      <c r="AE55" s="575" t="n"/>
      <c r="AF55" s="575" t="n"/>
      <c r="AG55" s="575" t="n"/>
      <c r="AH55" s="575" t="n"/>
      <c r="AI55" s="575" t="n"/>
      <c r="AJ55" s="575" t="n"/>
      <c r="AK55" s="575" t="n"/>
      <c r="AL55" s="575" t="n"/>
      <c r="AM55" s="575" t="n"/>
      <c r="AN55" s="575" t="n"/>
      <c r="AO55" s="575" t="n"/>
      <c r="AP55" s="575" t="n"/>
      <c r="AQ55" s="575" t="n"/>
      <c r="AR55" s="575" t="n"/>
    </row>
    <row r="56" ht="16.15" customFormat="1" customHeight="1" s="575">
      <c r="A56" s="575" t="n"/>
      <c r="B56" s="575" t="n"/>
      <c r="C56" s="575" t="n"/>
      <c r="D56" s="575" t="n"/>
      <c r="E56" s="575" t="n"/>
      <c r="F56" s="575" t="n"/>
      <c r="G56" s="575" t="n"/>
      <c r="H56" s="575" t="n"/>
      <c r="I56" s="575" t="n"/>
      <c r="J56" s="575" t="n"/>
      <c r="K56" s="575" t="n"/>
      <c r="L56" s="575" t="n"/>
      <c r="M56" s="575" t="n"/>
      <c r="N56" s="575" t="n"/>
      <c r="O56" s="575" t="n"/>
      <c r="P56" s="575" t="n"/>
      <c r="Q56" s="575" t="n"/>
      <c r="R56" s="575" t="n"/>
      <c r="S56" s="726">
        <f>IF(_epmOfflineCondition_,"    加：其他收益",EPMMemberDesc(U56))</f>
        <v/>
      </c>
      <c r="T56" s="575" t="n"/>
      <c r="U56" s="575" t="inlineStr">
        <is>
          <t>A0020211</t>
        </is>
      </c>
      <c r="V56" s="584">
        <f>IF(_epmOfflineCondition_,"A0020211",EPMOlapMemberO(U56,"[C_ACCOUNT].[PARENTH1].[A0020211]","A0020211 -     加：其他收益","","000"))</f>
        <v/>
      </c>
      <c r="W56" s="726" t="n"/>
      <c r="X56" s="585" t="inlineStr">
        <is>
          <t>8. 其他收益</t>
        </is>
      </c>
      <c r="Y56" s="1312">
        <f>ROW()-45</f>
        <v/>
      </c>
      <c r="Z56" s="1349">
        <f>IF(_epmOfflineCondition_,0,EPMRetrieveData(,$Z$41,$Z$42,$Z$43,$Z$32,$Z$45,$D31,$D$22,$D$25,$D$26,$D$27,$D$28,$D$29,V56))</f>
        <v/>
      </c>
      <c r="AA56" s="1349">
        <f>IF(_epmOfflineCondition_,0,EPMRetrieveData(,$AA$41,$AA$42,$AA$43,$AA$45,$Z$32,$D$21,$D$22,$D$25,$D$26,$D$27,$D$28,$D$29,V56))</f>
        <v/>
      </c>
      <c r="AB56" s="1349">
        <f>IF(_epmOfflineCondition_,0,EPMRetrieveData(,$AB$41,$AB$42,$AB$43,$AB$45,$Z$32,$D$21,$D$22,$D$25,$D$26,$D$27,$D$28,$D$29,V56))</f>
        <v/>
      </c>
      <c r="AC56" s="726" t="n"/>
      <c r="AD56" s="575" t="n"/>
      <c r="AE56" s="575" t="n"/>
      <c r="AF56" s="575" t="n"/>
      <c r="AG56" s="575" t="n"/>
      <c r="AH56" s="575" t="n"/>
      <c r="AI56" s="575" t="n"/>
      <c r="AJ56" s="575" t="n"/>
      <c r="AK56" s="575" t="n"/>
      <c r="AL56" s="575" t="n"/>
      <c r="AM56" s="575" t="n"/>
      <c r="AN56" s="575" t="n"/>
      <c r="AO56" s="575" t="n"/>
      <c r="AP56" s="575" t="n"/>
      <c r="AQ56" s="575" t="n"/>
      <c r="AR56" s="575" t="n"/>
    </row>
    <row r="57" ht="16.15" customFormat="1" customHeight="1" s="575">
      <c r="A57" s="575" t="n"/>
      <c r="B57" s="575" t="n"/>
      <c r="C57" s="575" t="n"/>
      <c r="D57" s="575" t="n"/>
      <c r="E57" s="575" t="n"/>
      <c r="F57" s="575" t="n"/>
      <c r="G57" s="575" t="n"/>
      <c r="H57" s="575" t="n"/>
      <c r="I57" s="575" t="n"/>
      <c r="J57" s="575" t="n"/>
      <c r="K57" s="575" t="n"/>
      <c r="L57" s="575" t="n"/>
      <c r="M57" s="575" t="n"/>
      <c r="N57" s="575" t="n"/>
      <c r="O57" s="575" t="n"/>
      <c r="P57" s="575" t="n"/>
      <c r="Q57" s="575" t="n"/>
      <c r="R57" s="575" t="n"/>
      <c r="S57" s="726">
        <f>IF(_epmOfflineCondition_,"　      投资收益（损失以“-”号填列）",EPMMemberDesc(U57))</f>
        <v/>
      </c>
      <c r="T57" s="575" t="n"/>
      <c r="U57" s="575" t="inlineStr">
        <is>
          <t>A0020212</t>
        </is>
      </c>
      <c r="V57" s="584">
        <f>IF(_epmOfflineCondition_,"A0020212",EPMOlapMemberO(U57,"[C_ACCOUNT].[PARENTH1].[A0020212]","A0020212 - 　      投资收益（损失以“-""号填列）","","000"))</f>
        <v/>
      </c>
      <c r="W57" s="726" t="n"/>
      <c r="X57" s="585" t="inlineStr">
        <is>
          <t>9. 投资收益（损失以“-”号填列）</t>
        </is>
      </c>
      <c r="Y57" s="1312">
        <f>ROW()-45</f>
        <v/>
      </c>
      <c r="Z57" s="1349">
        <f>IF(_epmOfflineCondition_,0,EPMRetrieveData(,$Z$41,$Z$42,$Z$43,$Z$32,$Z$45,$D32,$D$22,$D$25,$D$26,$D$27,$D$28,$D$29,V57))</f>
        <v/>
      </c>
      <c r="AA57" s="1349">
        <f>IF(_epmOfflineCondition_,0,EPMRetrieveData(,$AA$41,$AA$42,$AA$43,$AA$45,$Z$32,$D$21,$D$22,$D$25,$D$26,$D$27,$D$28,$D$29,V57))</f>
        <v/>
      </c>
      <c r="AB57" s="1349">
        <f>IF(_epmOfflineCondition_,0,EPMRetrieveData(,$AB$41,$AB$42,$AB$43,$AB$45,$Z$32,$D$21,$D$22,$D$25,$D$26,$D$27,$D$28,$D$29,V57))</f>
        <v/>
      </c>
      <c r="AC57" s="1192" t="n"/>
      <c r="AD57" s="171" t="n"/>
      <c r="AE57" s="575" t="n"/>
      <c r="AF57" s="575" t="n"/>
      <c r="AG57" s="575" t="n"/>
      <c r="AH57" s="575" t="n"/>
      <c r="AI57" s="575" t="n"/>
      <c r="AJ57" s="575" t="n"/>
      <c r="AK57" s="575" t="n"/>
      <c r="AL57" s="575" t="n"/>
      <c r="AM57" s="575" t="n"/>
      <c r="AN57" s="575" t="n"/>
      <c r="AO57" s="575" t="n"/>
      <c r="AP57" s="575" t="n"/>
      <c r="AQ57" s="575" t="n"/>
      <c r="AR57" s="575" t="n"/>
    </row>
    <row r="58" ht="16.15" customFormat="1" customHeight="1" s="575">
      <c r="A58" s="575" t="n"/>
      <c r="B58" s="575" t="n"/>
      <c r="C58" s="575" t="n"/>
      <c r="D58" s="575" t="n"/>
      <c r="E58" s="575" t="n"/>
      <c r="F58" s="575" t="n"/>
      <c r="G58" s="575" t="n"/>
      <c r="H58" s="575" t="n"/>
      <c r="I58" s="575" t="n"/>
      <c r="J58" s="575" t="n"/>
      <c r="K58" s="575" t="n"/>
      <c r="L58" s="575" t="n"/>
      <c r="M58" s="575" t="n"/>
      <c r="N58" s="575" t="n"/>
      <c r="O58" s="575" t="n"/>
      <c r="P58" s="575" t="n"/>
      <c r="Q58" s="575" t="n"/>
      <c r="R58" s="575" t="n"/>
      <c r="S58" s="726">
        <f>IF(_epmOfflineCondition_,"          其中：对联营企业和合营企业的投资收益",EPMMemberDesc(U58))</f>
        <v/>
      </c>
      <c r="T58" s="575" t="n"/>
      <c r="U58" s="575" t="inlineStr">
        <is>
          <t>A002021201</t>
        </is>
      </c>
      <c r="V58" s="586">
        <f>IF(_epmOfflineCondition_,"A002021201",EPMOlapMemberO(U58,"[C_ACCOUNT].[PARENTH1].[A002021201]","A002021201 -           其中：对联营企业和合营企业的投资收益","","000"))</f>
        <v/>
      </c>
      <c r="W58" s="726" t="n"/>
      <c r="X58" s="588" t="inlineStr">
        <is>
          <t>其中：对联营企业和合营企业的投资收益</t>
        </is>
      </c>
      <c r="Y58" s="1312">
        <f>ROW()-45</f>
        <v/>
      </c>
      <c r="Z58" s="1349">
        <f>IF(_epmOfflineCondition_,0,EPMRetrieveData(,$Z$41,$Z$42,$Z$43,$Z$32,$Z$45,$D33,$D$22,$D$25,$D$26,$D$27,$D$28,$D$29,V58))</f>
        <v/>
      </c>
      <c r="AA58" s="1349">
        <f>IF(_epmOfflineCondition_,0,EPMRetrieveData(,$AA$41,$AA$42,$AA$43,$AA$45,$Z$32,$D$21,$D$22,$D$25,$D$26,$D$27,$D$28,$D$29,V58))</f>
        <v/>
      </c>
      <c r="AB58" s="1349">
        <f>IF(_epmOfflineCondition_,0,EPMRetrieveData(,$AB$41,$AB$42,$AB$43,$AB$45,$Z$32,$D$21,$D$22,$D$25,$D$26,$D$27,$D$28,$D$29,V58))</f>
        <v/>
      </c>
      <c r="AC58" s="1192" t="n"/>
      <c r="AD58" s="171" t="n"/>
      <c r="AE58" s="575" t="n"/>
      <c r="AF58" s="575" t="n"/>
      <c r="AG58" s="575" t="n"/>
      <c r="AH58" s="575" t="n"/>
      <c r="AI58" s="575" t="n"/>
      <c r="AJ58" s="575" t="n"/>
      <c r="AK58" s="575" t="n"/>
      <c r="AL58" s="575" t="n"/>
      <c r="AM58" s="575" t="n"/>
      <c r="AN58" s="575" t="n"/>
      <c r="AO58" s="575" t="n"/>
      <c r="AP58" s="575" t="n"/>
      <c r="AQ58" s="575" t="n"/>
      <c r="AR58" s="575" t="n"/>
    </row>
    <row r="59" ht="16.15" customFormat="1" customHeight="1" s="575">
      <c r="A59" s="575" t="n"/>
      <c r="B59" s="575" t="n"/>
      <c r="C59" s="575" t="n"/>
      <c r="D59" s="575" t="n"/>
      <c r="E59" s="575" t="n"/>
      <c r="F59" s="575" t="n"/>
      <c r="G59" s="575" t="n"/>
      <c r="H59" s="575" t="n"/>
      <c r="I59" s="575" t="n"/>
      <c r="J59" s="575" t="n"/>
      <c r="K59" s="575" t="n"/>
      <c r="L59" s="575" t="n"/>
      <c r="M59" s="575" t="n"/>
      <c r="N59" s="575" t="n"/>
      <c r="O59" s="575" t="n"/>
      <c r="P59" s="575" t="n"/>
      <c r="Q59" s="575" t="n"/>
      <c r="R59" s="575" t="n"/>
      <c r="S59" s="726">
        <f>IF(_epmOfflineCondition_,"        公允价值变动收益（损失以“-”号填列）",EPMMemberDesc(U59))</f>
        <v/>
      </c>
      <c r="T59" s="575" t="n"/>
      <c r="U59" s="575" t="inlineStr">
        <is>
          <t>A0020215</t>
        </is>
      </c>
      <c r="V59" s="584">
        <f>IF(_epmOfflineCondition_,"A0020215",EPMOlapMemberO(U59,"[C_ACCOUNT].[PARENTH1].[A0020215]","A0020215 -         公允价值变动收益（损失以“-""号填列）","","000"))</f>
        <v/>
      </c>
      <c r="W59" s="726" t="n"/>
      <c r="X59" s="585" t="inlineStr">
        <is>
          <t>10. 公允价值变动收益（损失以“-”号填列）</t>
        </is>
      </c>
      <c r="Y59" s="1312">
        <f>ROW()-45</f>
        <v/>
      </c>
      <c r="Z59" s="1349">
        <f>IF(_epmOfflineCondition_,0,EPMRetrieveData(,$Z$41,$Z$42,$Z$43,$Z$32,$Z$45,$D34,$D$22,$D$25,$D$26,$D$27,$D$28,$D$29,V59))</f>
        <v/>
      </c>
      <c r="AA59" s="1349">
        <f>IF(_epmOfflineCondition_,0,EPMRetrieveData(,$AA$41,$AA$42,$AA$43,$AA$45,$Z$32,$D$21,$D$22,$D$25,$D$26,$D$27,$D$28,$D$29,V59))</f>
        <v/>
      </c>
      <c r="AB59" s="1349">
        <f>IF(_epmOfflineCondition_,0,EPMRetrieveData(,$AB$41,$AB$42,$AB$43,$AB$45,$Z$32,$D$21,$D$22,$D$25,$D$26,$D$27,$D$28,$D$29,V59))</f>
        <v/>
      </c>
      <c r="AC59" s="1192" t="n"/>
      <c r="AD59" s="171" t="n"/>
      <c r="AE59" s="575" t="n"/>
      <c r="AF59" s="575" t="n"/>
      <c r="AG59" s="575" t="n"/>
      <c r="AH59" s="575" t="n"/>
      <c r="AI59" s="575" t="n"/>
      <c r="AJ59" s="575" t="n"/>
      <c r="AK59" s="575" t="n"/>
      <c r="AL59" s="575" t="n"/>
      <c r="AM59" s="575" t="n"/>
      <c r="AN59" s="575" t="n"/>
      <c r="AO59" s="575" t="n"/>
      <c r="AP59" s="575" t="n"/>
      <c r="AQ59" s="575" t="n"/>
      <c r="AR59" s="575" t="n"/>
    </row>
    <row r="60" ht="16.15" customFormat="1" customHeight="1" s="575">
      <c r="A60" s="575" t="n"/>
      <c r="B60" s="575" t="n"/>
      <c r="C60" s="575" t="n"/>
      <c r="D60" s="575" t="n"/>
      <c r="E60" s="575" t="n"/>
      <c r="F60" s="575" t="n"/>
      <c r="G60" s="575" t="n"/>
      <c r="H60" s="575" t="n"/>
      <c r="I60" s="575" t="n"/>
      <c r="J60" s="575" t="n"/>
      <c r="K60" s="575" t="n"/>
      <c r="L60" s="575" t="n"/>
      <c r="M60" s="575" t="n"/>
      <c r="N60" s="575" t="n"/>
      <c r="O60" s="575" t="n"/>
      <c r="P60" s="575" t="n"/>
      <c r="Q60" s="575" t="n"/>
      <c r="R60" s="575" t="n"/>
      <c r="S60" s="726">
        <f>IF(_epmOfflineCondition_,"        信用减值损失（损失以“-”号填列）",EPMMemberDesc(U60))</f>
        <v/>
      </c>
      <c r="T60" s="575" t="n"/>
      <c r="U60" s="575" t="inlineStr">
        <is>
          <t>A0020210</t>
        </is>
      </c>
      <c r="V60" s="584">
        <f>IF(_epmOfflineCondition_,"A0020210",EPMOlapMemberO(U60,"[C_ACCOUNT].[PARENTH1].[A0020210]","A0020210 -         信用减值损失（损失以“-""号填列）","","000"))</f>
        <v/>
      </c>
      <c r="W60" s="726" t="n"/>
      <c r="X60" s="585" t="inlineStr">
        <is>
          <t>11. 信用减值损失（损失以“-”号填列）</t>
        </is>
      </c>
      <c r="Y60" s="1312">
        <f>ROW()-45</f>
        <v/>
      </c>
      <c r="Z60" s="1349">
        <f>IF(_epmOfflineCondition_,0,EPMRetrieveData(,$Z$41,$Z$42,$Z$43,$Z$32,$Z$45,$D35,$D$22,$D$25,$D$26,$D$27,$D$28,$D$29,V60))</f>
        <v/>
      </c>
      <c r="AA60" s="1349">
        <f>IF(_epmOfflineCondition_,0,EPMRetrieveData(,$AA$41,$AA$42,$AA$43,$AA$45,$Z$32,$D$21,$D$22,$D$25,$D$26,$D$27,$D$28,$D$29,V60))</f>
        <v/>
      </c>
      <c r="AB60" s="1349">
        <f>IF(_epmOfflineCondition_,0,EPMRetrieveData(,$AB$41,$AB$42,$AB$43,$AB$45,$Z$32,$D$21,$D$22,$D$25,$D$26,$D$27,$D$28,$D$29,V60))</f>
        <v/>
      </c>
      <c r="AC60" s="1192" t="n"/>
      <c r="AD60" s="171" t="n"/>
      <c r="AE60" s="575" t="n"/>
      <c r="AF60" s="575" t="n"/>
      <c r="AG60" s="575" t="n"/>
      <c r="AH60" s="575" t="n"/>
      <c r="AI60" s="575" t="n"/>
      <c r="AJ60" s="575" t="n"/>
      <c r="AK60" s="575" t="n"/>
      <c r="AL60" s="575" t="n"/>
      <c r="AM60" s="575" t="n"/>
      <c r="AN60" s="575" t="n"/>
      <c r="AO60" s="575" t="n"/>
      <c r="AP60" s="575" t="n"/>
      <c r="AQ60" s="575" t="n"/>
      <c r="AR60" s="575" t="n"/>
    </row>
    <row r="61" ht="16.15" customFormat="1" customHeight="1" s="575">
      <c r="A61" s="575" t="n"/>
      <c r="B61" s="575" t="n"/>
      <c r="C61" s="575" t="n"/>
      <c r="D61" s="575" t="n"/>
      <c r="E61" s="575" t="n"/>
      <c r="F61" s="575" t="n"/>
      <c r="G61" s="575" t="n"/>
      <c r="H61" s="575" t="n"/>
      <c r="I61" s="575" t="n"/>
      <c r="J61" s="575" t="n"/>
      <c r="K61" s="575" t="n"/>
      <c r="L61" s="575" t="n"/>
      <c r="M61" s="575" t="n"/>
      <c r="N61" s="575" t="n"/>
      <c r="O61" s="575" t="n"/>
      <c r="P61" s="575" t="n"/>
      <c r="Q61" s="575" t="n"/>
      <c r="R61" s="575" t="n"/>
      <c r="S61" s="726">
        <f>IF(_epmOfflineCondition_,"        资产减值损失（损失以“-”号填列）",EPMMemberDesc(U61))</f>
        <v/>
      </c>
      <c r="T61" s="575" t="n"/>
      <c r="U61" s="575" t="inlineStr">
        <is>
          <t>A0020209</t>
        </is>
      </c>
      <c r="V61" s="584">
        <f>IF(_epmOfflineCondition_,"A0020209",EPMOlapMemberO(U61,"[C_ACCOUNT].[PARENTH1].[A0020209]","A0020209 -         资产减值损失（损失以“-""号填列）","","000"))</f>
        <v/>
      </c>
      <c r="W61" s="726" t="n"/>
      <c r="X61" s="585" t="inlineStr">
        <is>
          <t>12. 资产减值损失（损失以“-”号填列）</t>
        </is>
      </c>
      <c r="Y61" s="1312">
        <f>ROW()-45</f>
        <v/>
      </c>
      <c r="Z61" s="1349">
        <f>IF(_epmOfflineCondition_,0,EPMRetrieveData(,$Z$41,$Z$42,$Z$43,$Z$32,$Z$45,$D36,$D$22,$D$25,$D$26,$D$27,$D$28,$D$29,V61))</f>
        <v/>
      </c>
      <c r="AA61" s="1349">
        <f>IF(_epmOfflineCondition_,0,EPMRetrieveData(,$AA$41,$AA$42,$AA$43,$AA$45,$Z$32,$D$21,$D$22,$D$25,$D$26,$D$27,$D$28,$D$29,V61))</f>
        <v/>
      </c>
      <c r="AB61" s="1349">
        <f>IF(_epmOfflineCondition_,0,EPMRetrieveData(,$AB$41,$AB$42,$AB$43,$AB$45,$Z$32,$D$21,$D$22,$D$25,$D$26,$D$27,$D$28,$D$29,V61))</f>
        <v/>
      </c>
      <c r="AC61" s="1192" t="n"/>
      <c r="AD61" s="171" t="n"/>
      <c r="AE61" s="575" t="n"/>
      <c r="AF61" s="575" t="n"/>
      <c r="AG61" s="575" t="n"/>
      <c r="AH61" s="575" t="n"/>
      <c r="AI61" s="575" t="n"/>
      <c r="AJ61" s="575" t="n"/>
      <c r="AK61" s="575" t="n"/>
      <c r="AL61" s="575" t="n"/>
      <c r="AM61" s="575" t="n"/>
      <c r="AN61" s="575" t="n"/>
      <c r="AO61" s="575" t="n"/>
      <c r="AP61" s="575" t="n"/>
      <c r="AQ61" s="575" t="n"/>
      <c r="AR61" s="575" t="n"/>
    </row>
    <row r="62" ht="16.15" customFormat="1" customHeight="1" s="575">
      <c r="A62" s="575" t="n"/>
      <c r="B62" s="575" t="n"/>
      <c r="C62" s="575" t="n"/>
      <c r="D62" s="575" t="n"/>
      <c r="E62" s="575" t="n"/>
      <c r="F62" s="575" t="n"/>
      <c r="G62" s="575" t="n"/>
      <c r="H62" s="575" t="n"/>
      <c r="I62" s="575" t="n"/>
      <c r="J62" s="575" t="n"/>
      <c r="K62" s="575" t="n"/>
      <c r="L62" s="575" t="n"/>
      <c r="M62" s="575" t="n"/>
      <c r="N62" s="575" t="n"/>
      <c r="O62" s="575" t="n"/>
      <c r="P62" s="575" t="n"/>
      <c r="Q62" s="575" t="n"/>
      <c r="R62" s="575" t="n"/>
      <c r="S62" s="726">
        <f>IF(_epmOfflineCondition_,"        资产处置收益（损失以“-”号填列）",EPMMemberDesc(U62))</f>
        <v/>
      </c>
      <c r="T62" s="575" t="n"/>
      <c r="U62" s="575" t="inlineStr">
        <is>
          <t>A0020216</t>
        </is>
      </c>
      <c r="V62" s="584">
        <f>IF(_epmOfflineCondition_,"A0020216",EPMOlapMemberO(U62,"[C_ACCOUNT].[PARENTH1].[A0020216]","A0020216 -         资产处置收益（损失以“-""号填列）","","000"))</f>
        <v/>
      </c>
      <c r="W62" s="726" t="n"/>
      <c r="X62" s="585" t="inlineStr">
        <is>
          <t>13. 资产处置收益（损失以“-”号填列）</t>
        </is>
      </c>
      <c r="Y62" s="1312">
        <f>ROW()-45</f>
        <v/>
      </c>
      <c r="Z62" s="1349">
        <f>IF(_epmOfflineCondition_,0,EPMRetrieveData(,$Z$41,$Z$42,$Z$43,$Z$32,$Z$45,$D37,$D$22,$D$25,$D$26,$D$27,$D$28,$D$29,V62))</f>
        <v/>
      </c>
      <c r="AA62" s="1349">
        <f>IF(_epmOfflineCondition_,0,EPMRetrieveData(,$AA$41,$AA$42,$AA$43,$AA$45,$Z$32,$D$21,$D$22,$D$25,$D$26,$D$27,$D$28,$D$29,V62))</f>
        <v/>
      </c>
      <c r="AB62" s="1349">
        <f>IF(_epmOfflineCondition_,0,EPMRetrieveData(,$AB$41,$AB$42,$AB$43,$AB$45,$Z$32,$D$21,$D$22,$D$25,$D$26,$D$27,$D$28,$D$29,V62))</f>
        <v/>
      </c>
      <c r="AC62" s="1192" t="n"/>
      <c r="AD62" s="171" t="n"/>
      <c r="AE62" s="575" t="n"/>
      <c r="AF62" s="575" t="n"/>
      <c r="AG62" s="575" t="n"/>
      <c r="AH62" s="575" t="n"/>
      <c r="AI62" s="575" t="n"/>
      <c r="AJ62" s="575" t="n"/>
      <c r="AK62" s="575" t="n"/>
      <c r="AL62" s="575" t="n"/>
      <c r="AM62" s="575" t="n"/>
      <c r="AN62" s="575" t="n"/>
      <c r="AO62" s="575" t="n"/>
      <c r="AP62" s="575" t="n"/>
      <c r="AQ62" s="575" t="n"/>
      <c r="AR62" s="575" t="n"/>
    </row>
    <row r="63" ht="16.15" customFormat="1" customHeight="1" s="575">
      <c r="A63" s="575" t="n"/>
      <c r="B63" s="575" t="n"/>
      <c r="C63" s="575" t="n"/>
      <c r="D63" s="575" t="n"/>
      <c r="E63" s="575" t="n"/>
      <c r="F63" s="575" t="n"/>
      <c r="G63" s="575" t="n"/>
      <c r="H63" s="575" t="n"/>
      <c r="I63" s="575" t="n"/>
      <c r="J63" s="575" t="n"/>
      <c r="K63" s="575" t="n"/>
      <c r="L63" s="575" t="n"/>
      <c r="M63" s="575" t="n"/>
      <c r="N63" s="575" t="n"/>
      <c r="O63" s="575" t="n"/>
      <c r="P63" s="575" t="n"/>
      <c r="Q63" s="575" t="n"/>
      <c r="R63" s="575" t="inlineStr">
        <is>
          <t>A0020301</t>
        </is>
      </c>
      <c r="S63" s="726">
        <f>IF(_epmOfflineCondition_,"三、营业利润（亏损以“-”号填列）",EPMMemberDesc(U63))</f>
        <v/>
      </c>
      <c r="T63" s="575" t="n"/>
      <c r="U63" s="575" t="inlineStr">
        <is>
          <t>A00203</t>
        </is>
      </c>
      <c r="V63" s="590">
        <f>IF(_epmOfflineCondition_,"A00203",EPMOlapMemberO(U63,"[C_ACCOUNT].[PARENTH1].[A00203]","A00203 - 三、营业利润（亏损以“-""号填列）","","000"))</f>
        <v/>
      </c>
      <c r="W63" s="726" t="n"/>
      <c r="X63" s="585" t="inlineStr">
        <is>
          <t>14. 营业利润（亏损以“－”号填列）</t>
        </is>
      </c>
      <c r="Y63" s="1312">
        <f>ROW()-45</f>
        <v/>
      </c>
      <c r="Z63" s="1349">
        <f>IF(_epmOfflineCondition_,19839493.44,EPMRetrieveData(,$Z$41,$Z$42,$Z$43,$Z$32,$Z$45,$D38,$D$22,$D$25,$D$26,$D$27,$D$28,$D$29,V63))</f>
        <v/>
      </c>
      <c r="AA63" s="1349">
        <f>IF(_epmOfflineCondition_,57971792.97,EPMRetrieveData(,$AA$41,$AA$42,$AA$43,$AA$45,$Z$32,$D$21,$D$22,$D$25,$D$26,$D$27,$D$28,$D$29,V63))</f>
        <v/>
      </c>
      <c r="AB63" s="1349">
        <f>IF(_epmOfflineCondition_,23173512.88,EPMRetrieveData(,$AB$41,$AB$42,$AB$43,$AB$45,$Z$32,$D$21,$D$22,$D$25,$D$26,$D$27,$D$28,$D$29,V63))</f>
        <v/>
      </c>
      <c r="AC63" s="1192" t="n"/>
      <c r="AD63" s="171" t="n"/>
      <c r="AE63" s="575" t="n"/>
      <c r="AF63" s="575" t="n"/>
      <c r="AG63" s="575" t="n"/>
      <c r="AH63" s="575" t="n"/>
      <c r="AI63" s="575" t="n"/>
      <c r="AJ63" s="575" t="n"/>
      <c r="AK63" s="575" t="n"/>
      <c r="AL63" s="575" t="n"/>
      <c r="AM63" s="575" t="n"/>
      <c r="AN63" s="575" t="n"/>
      <c r="AO63" s="575" t="n"/>
      <c r="AP63" s="575" t="n"/>
      <c r="AQ63" s="575" t="n"/>
      <c r="AR63" s="575" t="n"/>
    </row>
    <row r="64" ht="16.15" customFormat="1" customHeight="1" s="575">
      <c r="A64" s="575" t="n"/>
      <c r="B64" s="575" t="n"/>
      <c r="C64" s="575" t="n"/>
      <c r="D64" s="575" t="n"/>
      <c r="E64" s="575" t="n"/>
      <c r="F64" s="575" t="n"/>
      <c r="G64" s="575" t="n"/>
      <c r="H64" s="575" t="n"/>
      <c r="I64" s="575" t="n"/>
      <c r="J64" s="575" t="n"/>
      <c r="K64" s="575" t="n"/>
      <c r="L64" s="575" t="n"/>
      <c r="M64" s="575" t="n"/>
      <c r="N64" s="575" t="n"/>
      <c r="O64" s="575" t="n"/>
      <c r="P64" s="575" t="n"/>
      <c r="Q64" s="575" t="n"/>
      <c r="R64" s="575" t="inlineStr">
        <is>
          <t>A0020302</t>
        </is>
      </c>
      <c r="S64" s="726">
        <f>IF(_epmOfflineCondition_,"15.营业外收支净额",EPMMemberDesc(U64))</f>
        <v/>
      </c>
      <c r="T64" s="575" t="n"/>
      <c r="U64" s="575" t="inlineStr">
        <is>
          <t>A07812</t>
        </is>
      </c>
      <c r="V64" s="591">
        <f>IF(_epmOfflineCondition_,"A07812",EPMOlapMemberO(U64,"[C_ACCOUNT].[PARENTH1].[A07812]","A07812 - 15.营业外收支净额","","000"))</f>
        <v/>
      </c>
      <c r="W64" s="726" t="n"/>
      <c r="X64" s="585" t="inlineStr">
        <is>
          <t>15. 营业外收支净额</t>
        </is>
      </c>
      <c r="Y64" s="1312">
        <f>ROW()-45</f>
        <v/>
      </c>
      <c r="Z64" s="1349">
        <f>IF(_epmOfflineCondition_,0,EPMRetrieveData(,,$D$21,$D$22,$D$25,$D$26,$D$27,$D$28,$D$29,$Z$41,$Z$42,$Z$43,$Z$32,$Z$45,R63)-EPMRetrieveData(,,$D$21,$D$22,$D$25,$D$26,$D$27,$D$28,$D$29,$Z$41,$Z$42,$Z$43,$Z$32,$Z$45,R64))</f>
        <v/>
      </c>
      <c r="AA64" s="1349">
        <f>IF(_epmOfflineCondition_,0,EPMRetrieveData(,,$D$21,$D$22,$D$25,$D$26,$D$27,$D$28,$D$29,$AA$41,$AA$42,$AA$43,$Z$32,$AA$45,R63)-EPMRetrieveData(,,$D$21,$D$22,$D$25,$D$26,$D$27,$D$28,$D$29,$AA$41,$AA$42,$AA$43,$Z$32,$AA$45,R64))</f>
        <v/>
      </c>
      <c r="AB64" s="1349">
        <f>IF(_epmOfflineCondition_,0,EPMRetrieveData(,,$D$21,$D$22,$D$25,$D$26,$D$27,$D$28,$D$29,$AB$41,$AB$42,$AB$43,$Z$32,$AB$45,R63)-EPMRetrieveData(,,$D$21,$D$22,$D$25,$D$26,$D$27,$D$28,$D$29,$AB$41,$AB$42,$AB$43,$Z$32,$AB$45,R64))</f>
        <v/>
      </c>
      <c r="AC64" s="1192" t="n"/>
      <c r="AD64" s="171" t="n"/>
      <c r="AE64" s="575" t="n"/>
      <c r="AF64" s="575" t="n"/>
      <c r="AG64" s="575" t="n"/>
      <c r="AH64" s="575" t="n"/>
      <c r="AI64" s="575" t="n"/>
      <c r="AJ64" s="575" t="n"/>
      <c r="AK64" s="575" t="n"/>
      <c r="AL64" s="575" t="n"/>
      <c r="AM64" s="575" t="n"/>
      <c r="AN64" s="575" t="n"/>
      <c r="AO64" s="575" t="n"/>
      <c r="AP64" s="575" t="n"/>
      <c r="AQ64" s="575" t="n"/>
      <c r="AR64" s="575" t="n"/>
    </row>
    <row r="65" ht="16.15" customFormat="1" customHeight="1" s="575">
      <c r="A65" s="575" t="n"/>
      <c r="B65" s="575" t="n"/>
      <c r="C65" s="575" t="n"/>
      <c r="D65" s="575" t="n"/>
      <c r="E65" s="575" t="n"/>
      <c r="F65" s="575" t="n"/>
      <c r="G65" s="575" t="n"/>
      <c r="H65" s="575" t="n"/>
      <c r="I65" s="575" t="n"/>
      <c r="J65" s="575" t="n"/>
      <c r="K65" s="575" t="n"/>
      <c r="L65" s="575" t="n"/>
      <c r="M65" s="575" t="n"/>
      <c r="N65" s="575" t="n"/>
      <c r="O65" s="575" t="n"/>
      <c r="P65" s="575" t="n"/>
      <c r="Q65" s="575" t="n"/>
      <c r="R65" s="575" t="n"/>
      <c r="S65" s="726">
        <f>IF(_epmOfflineCondition_,"营业外收入-政府补助",EPMMemberDesc(U65))</f>
        <v/>
      </c>
      <c r="T65" s="575" t="n"/>
      <c r="U65" s="575" t="inlineStr">
        <is>
          <t>A6301040000</t>
        </is>
      </c>
      <c r="V65" s="584">
        <f>IF(_epmOfflineCondition_,"A6301040000",EPMOlapMemberO(U65,"[C_ACCOUNT].[PARENTH1].[A6301040000]","A6301040000 - 营业外收入-政府补助","","000"))</f>
        <v/>
      </c>
      <c r="W65" s="726" t="n"/>
      <c r="X65" s="457" t="inlineStr">
        <is>
          <t xml:space="preserve">   其中：政府补助</t>
        </is>
      </c>
      <c r="Y65" s="1312">
        <f>ROW()-45</f>
        <v/>
      </c>
      <c r="Z65" s="1349">
        <f>IF(_epmOfflineCondition_,0,EPMRetrieveData(,$Z$41,$Z$42,$Z$43,$Z$32,$Z$45,$D40,$D$22,$D$25,$D$26,$D$27,$D$28,$D$29,V65))</f>
        <v/>
      </c>
      <c r="AA65" s="1349">
        <f>IF(_epmOfflineCondition_,0,EPMRetrieveData(,$AA$41,$AA$42,$AA$43,$AA$45,$Z$32,$D$21,$D$22,$D$25,$D$26,$D$27,$D$28,$D$29,V65))</f>
        <v/>
      </c>
      <c r="AB65" s="1349">
        <f>IF(_epmOfflineCondition_,0,EPMRetrieveData(,$AB$41,$AB$42,$AB$43,$AB$45,$Z$32,$D$21,$D$22,$D$25,$D$26,$D$27,$D$28,$D$29,V65))</f>
        <v/>
      </c>
      <c r="AC65" s="1192" t="n"/>
      <c r="AD65" s="171" t="n"/>
      <c r="AE65" s="575" t="n"/>
      <c r="AF65" s="575" t="n"/>
      <c r="AG65" s="575" t="n"/>
      <c r="AH65" s="575" t="n"/>
      <c r="AI65" s="575" t="n"/>
      <c r="AJ65" s="575" t="n"/>
      <c r="AK65" s="575" t="n"/>
      <c r="AL65" s="575" t="n"/>
      <c r="AM65" s="575" t="n"/>
      <c r="AN65" s="575" t="n"/>
      <c r="AO65" s="575" t="n"/>
      <c r="AP65" s="575" t="n"/>
      <c r="AQ65" s="575" t="n"/>
      <c r="AR65" s="575" t="n"/>
    </row>
    <row r="66" ht="16.15" customFormat="1" customHeight="1" s="575">
      <c r="A66" s="575" t="n"/>
      <c r="B66" s="575" t="n"/>
      <c r="C66" s="575" t="n"/>
      <c r="D66" s="575" t="n"/>
      <c r="E66" s="575" t="n"/>
      <c r="F66" s="575" t="n"/>
      <c r="G66" s="575" t="n"/>
      <c r="H66" s="575" t="n"/>
      <c r="I66" s="575" t="n"/>
      <c r="J66" s="575" t="n"/>
      <c r="K66" s="575" t="n"/>
      <c r="L66" s="575" t="n"/>
      <c r="M66" s="575" t="n"/>
      <c r="N66" s="575" t="n"/>
      <c r="O66" s="575" t="n"/>
      <c r="P66" s="575" t="n"/>
      <c r="Q66" s="575" t="n"/>
      <c r="R66" s="575" t="n"/>
      <c r="S66" s="726">
        <f>IF(_epmOfflineCondition_,"四、利润总额（亏损总额以“-”号填列）",EPMMemberDesc(U66))</f>
        <v/>
      </c>
      <c r="T66" s="575" t="n"/>
      <c r="U66" s="575" t="inlineStr">
        <is>
          <t>A00204</t>
        </is>
      </c>
      <c r="V66" s="611">
        <f>IF(_epmOfflineCondition_,"A00204",EPMOlapMemberO(U66,"[C_ACCOUNT].[PARENTH1].[A00204]","A00204 - 四、利润总额（亏损总额以“-""号填列）","","000"))</f>
        <v/>
      </c>
      <c r="W66" s="726" t="n"/>
      <c r="X66" s="585" t="inlineStr">
        <is>
          <t>16. 利润总额（亏损以“－”号填列）</t>
        </is>
      </c>
      <c r="Y66" s="1312">
        <f>ROW()-45</f>
        <v/>
      </c>
      <c r="Z66" s="1349">
        <f>IF(_epmOfflineCondition_,19839493.44,EPMRetrieveData(,$Z$41,$Z$42,$Z$43,$Z$32,$Z$45,$D41,$D$22,$D$25,$D$26,$D$27,$D$28,$D$29,V66))</f>
        <v/>
      </c>
      <c r="AA66" s="1349">
        <f>IF(_epmOfflineCondition_,57971792.97,EPMRetrieveData(,$AA$41,$AA$42,$AA$43,$AA$45,$Z$32,$D$21,$D$22,$D$25,$D$26,$D$27,$D$28,$D$29,V66))</f>
        <v/>
      </c>
      <c r="AB66" s="1349">
        <f>IF(_epmOfflineCondition_,23173512.88,EPMRetrieveData(,$AB$41,$AB$42,$AB$43,$AB$45,$Z$32,$D$21,$D$22,$D$25,$D$26,$D$27,$D$28,$D$29,V66))</f>
        <v/>
      </c>
      <c r="AC66" s="1192" t="n"/>
      <c r="AD66" s="171" t="n"/>
      <c r="AE66" s="575" t="n"/>
      <c r="AF66" s="575" t="n"/>
      <c r="AG66" s="575" t="n"/>
      <c r="AH66" s="575" t="n"/>
      <c r="AI66" s="575" t="n"/>
      <c r="AJ66" s="575" t="n"/>
      <c r="AK66" s="575" t="n"/>
      <c r="AL66" s="575" t="n"/>
      <c r="AM66" s="575" t="n"/>
      <c r="AN66" s="575" t="n"/>
      <c r="AO66" s="575" t="n"/>
      <c r="AP66" s="575" t="n"/>
      <c r="AQ66" s="575" t="n"/>
      <c r="AR66" s="575" t="n"/>
    </row>
    <row r="67" ht="16.15" customFormat="1" customHeight="1" s="575">
      <c r="A67" s="575" t="n"/>
      <c r="B67" s="575" t="n"/>
      <c r="C67" s="575" t="n"/>
      <c r="D67" s="575" t="n"/>
      <c r="E67" s="575" t="n"/>
      <c r="F67" s="575" t="n"/>
      <c r="G67" s="575" t="n"/>
      <c r="H67" s="575" t="n"/>
      <c r="I67" s="575" t="n"/>
      <c r="J67" s="575" t="n"/>
      <c r="K67" s="575" t="n"/>
      <c r="L67" s="575" t="n"/>
      <c r="M67" s="575" t="n"/>
      <c r="N67" s="575" t="n"/>
      <c r="O67" s="575" t="n"/>
      <c r="P67" s="575" t="n"/>
      <c r="Q67" s="575" t="n"/>
      <c r="R67" s="575" t="n"/>
      <c r="S67" s="726">
        <f>IF(_epmOfflineCondition_,"五、净利润（净亏损以“-”号填列）",EPMMemberDesc(U67))</f>
        <v/>
      </c>
      <c r="T67" s="575" t="n"/>
      <c r="U67" s="575" t="inlineStr">
        <is>
          <t>A00205</t>
        </is>
      </c>
      <c r="V67" s="612">
        <f>IF(_epmOfflineCondition_,"A00205",EPMOlapMemberO(U67,"[C_ACCOUNT].[PARENTH1].[A00205]","A00205 - 五、净利润（净亏损以“-""号填列）","","000"))</f>
        <v/>
      </c>
      <c r="W67" s="726" t="n"/>
      <c r="X67" s="585" t="inlineStr">
        <is>
          <t>17. 净利润（亏损以“－”号填列）</t>
        </is>
      </c>
      <c r="Y67" s="1312">
        <f>ROW()-45</f>
        <v/>
      </c>
      <c r="Z67" s="1349">
        <f>IF(_epmOfflineCondition_,19839493.44,EPMRetrieveData(,$Z$41,$Z$42,$Z$43,$Z$32,$Z$45,$D42,$D$22,$D$25,$D$26,$D$27,$D$28,$D$29,V67))</f>
        <v/>
      </c>
      <c r="AA67" s="1349">
        <f>IF(_epmOfflineCondition_,57971792.97,EPMRetrieveData(,$AA$41,$AA$42,$AA$43,$AA$45,$Z$32,$D$21,$D$22,$D$25,$D$26,$D$27,$D$28,$D$29,V67))</f>
        <v/>
      </c>
      <c r="AB67" s="1349">
        <f>IF(_epmOfflineCondition_,23173512.88,EPMRetrieveData(,$AB$41,$AB$42,$AB$43,$AB$45,$Z$32,$D$21,$D$22,$D$25,$D$26,$D$27,$D$28,$D$29,V67))</f>
        <v/>
      </c>
      <c r="AC67" s="1192" t="n"/>
      <c r="AD67" s="171" t="n"/>
      <c r="AE67" s="575" t="n"/>
      <c r="AF67" s="575" t="n"/>
      <c r="AG67" s="575" t="n"/>
      <c r="AH67" s="575" t="n"/>
      <c r="AI67" s="575" t="n"/>
      <c r="AJ67" s="575" t="n"/>
      <c r="AK67" s="575" t="n"/>
      <c r="AL67" s="575" t="n"/>
      <c r="AM67" s="575" t="n"/>
      <c r="AN67" s="575" t="n"/>
      <c r="AO67" s="575" t="n"/>
      <c r="AP67" s="575" t="n"/>
      <c r="AQ67" s="575" t="n"/>
      <c r="AR67" s="575" t="n"/>
    </row>
    <row r="68" ht="16.15" customFormat="1" customHeight="1" s="575">
      <c r="A68" s="575" t="n"/>
      <c r="B68" s="575" t="n"/>
      <c r="C68" s="575" t="n"/>
      <c r="D68" s="575" t="n"/>
      <c r="E68" s="575" t="n"/>
      <c r="F68" s="575" t="n"/>
      <c r="G68" s="575" t="n"/>
      <c r="H68" s="575" t="n"/>
      <c r="I68" s="575" t="n"/>
      <c r="J68" s="575" t="n"/>
      <c r="K68" s="575" t="n"/>
      <c r="L68" s="575" t="n"/>
      <c r="M68" s="575" t="n"/>
      <c r="N68" s="575" t="n"/>
      <c r="O68" s="575" t="n"/>
      <c r="P68" s="575" t="n"/>
      <c r="Q68" s="575" t="n"/>
      <c r="R68" s="575" t="n"/>
      <c r="S68" s="726">
        <f>IF(_epmOfflineCondition_,"　　归属于母公司所有者的净利润",EPMMemberDesc(U68))</f>
        <v/>
      </c>
      <c r="T68" s="575" t="n"/>
      <c r="U68" s="575" t="inlineStr">
        <is>
          <t>A0020504</t>
        </is>
      </c>
      <c r="V68" s="616">
        <f>IF(_epmOfflineCondition_,"A0020504",EPMOlapMemberO(U68,"[C_ACCOUNT].[PARENTH1].[A0020504]","A0020504 - 　　归属于母公司所有者的净利润","","000"))</f>
        <v/>
      </c>
      <c r="W68" s="726" t="n"/>
      <c r="X68" s="457" t="inlineStr">
        <is>
          <t xml:space="preserve">   其中：归属于母公司所有者的净利润</t>
        </is>
      </c>
      <c r="Y68" s="1312">
        <f>ROW()-45</f>
        <v/>
      </c>
      <c r="Z68" s="1349">
        <f>IF(_epmOfflineCondition_,19839493.44,EPMRetrieveData(,$Z$41,$Z$42,$Z$43,$Z$32,$Z$45,$D43,$D$22,$D$25,$D$26,$D$27,$D$28,$D$29,V68))</f>
        <v/>
      </c>
      <c r="AA68" s="1349">
        <f>IF(_epmOfflineCondition_,57971792.97,EPMRetrieveData(,$AA$41,$AA$42,$AA$43,$AA$45,$Z$32,$D$21,$D$22,$D$25,$D$26,$D$27,$D$28,$D$29,V68))</f>
        <v/>
      </c>
      <c r="AB68" s="1349">
        <f>IF(_epmOfflineCondition_,23173512.88,EPMRetrieveData(,$AB$41,$AB$42,$AB$43,$AB$45,$Z$32,$D$21,$D$22,$D$25,$D$26,$D$27,$D$28,$D$29,V68))</f>
        <v/>
      </c>
      <c r="AC68" s="1192" t="n"/>
      <c r="AD68" s="171" t="n"/>
      <c r="AE68" s="575" t="n"/>
      <c r="AF68" s="575" t="n"/>
      <c r="AG68" s="575" t="n"/>
      <c r="AH68" s="575" t="n"/>
      <c r="AI68" s="575" t="n"/>
      <c r="AJ68" s="575" t="n"/>
      <c r="AK68" s="575" t="n"/>
      <c r="AL68" s="575" t="n"/>
      <c r="AM68" s="575" t="n"/>
      <c r="AN68" s="575" t="n"/>
      <c r="AO68" s="575" t="n"/>
      <c r="AP68" s="575" t="n"/>
      <c r="AQ68" s="575" t="n"/>
      <c r="AR68" s="575" t="n"/>
    </row>
    <row r="69" customFormat="1" s="575">
      <c r="A69" s="575" t="n"/>
      <c r="B69" s="575" t="n"/>
      <c r="C69" s="575" t="n"/>
      <c r="D69" s="575" t="n"/>
      <c r="E69" s="575" t="n"/>
      <c r="F69" s="575" t="n"/>
      <c r="G69" s="575" t="n"/>
      <c r="H69" s="575" t="n"/>
      <c r="I69" s="575" t="n"/>
      <c r="J69" s="575" t="n"/>
      <c r="K69" s="575" t="n"/>
      <c r="L69" s="575" t="n"/>
      <c r="M69" s="575" t="n"/>
      <c r="N69" s="575" t="n"/>
      <c r="O69" s="575" t="n"/>
      <c r="P69" s="575" t="n"/>
      <c r="Q69" s="575" t="n"/>
      <c r="R69" s="575" t="n"/>
      <c r="S69" s="726">
        <f>IF(_epmOfflineCondition_,"　        资产总计",EPMMemberDesc(U69))</f>
        <v/>
      </c>
      <c r="T69" s="575" t="n"/>
      <c r="U69" s="575" t="inlineStr">
        <is>
          <t>A00101</t>
        </is>
      </c>
      <c r="V69" s="591">
        <f>IF(_epmOfflineCondition_,"A00101",EPMOlapMemberO(U69,"[C_ACCOUNT].[PARENTH1].[A00101]","A00101 - 　        资产总计","","000"))</f>
        <v/>
      </c>
      <c r="W69" s="726" t="n"/>
      <c r="X69" s="585" t="inlineStr">
        <is>
          <t>18. 资产总额</t>
        </is>
      </c>
      <c r="Y69" s="1312">
        <f>ROW()-45</f>
        <v/>
      </c>
      <c r="Z69" s="1356">
        <f>"— —"</f>
        <v/>
      </c>
      <c r="AA69" s="1349" t="inlineStr"/>
      <c r="AB69" s="1349" t="inlineStr"/>
      <c r="AC69" s="1192" t="n"/>
      <c r="AD69" s="171" t="n"/>
      <c r="AE69" s="575" t="n"/>
      <c r="AF69" s="575" t="n"/>
      <c r="AG69" s="575" t="n"/>
      <c r="AH69" s="575" t="n"/>
      <c r="AI69" s="575" t="n"/>
      <c r="AJ69" s="575" t="n"/>
      <c r="AK69" s="575" t="n"/>
      <c r="AL69" s="575" t="n"/>
      <c r="AM69" s="575" t="n"/>
      <c r="AN69" s="575" t="n"/>
      <c r="AO69" s="575" t="n"/>
      <c r="AP69" s="575" t="n"/>
      <c r="AQ69" s="575" t="n"/>
      <c r="AR69" s="575" t="n"/>
    </row>
    <row r="70" ht="16.15" customFormat="1" customHeight="1" s="575">
      <c r="A70" s="575" t="n"/>
      <c r="B70" s="575" t="n"/>
      <c r="C70" s="575" t="n"/>
      <c r="D70" s="575" t="n"/>
      <c r="E70" s="575" t="n"/>
      <c r="F70" s="575" t="n"/>
      <c r="G70" s="575" t="n"/>
      <c r="H70" s="575" t="n"/>
      <c r="I70" s="575" t="n"/>
      <c r="J70" s="575" t="n"/>
      <c r="K70" s="575" t="n"/>
      <c r="L70" s="575" t="n"/>
      <c r="M70" s="575" t="n"/>
      <c r="N70" s="575" t="n"/>
      <c r="O70" s="575" t="n"/>
      <c r="P70" s="575" t="n"/>
      <c r="Q70" s="575" t="n"/>
      <c r="R70" s="575" t="n"/>
      <c r="S70" s="726">
        <f>IF(_epmOfflineCondition_,"　       流动资产合计",EPMMemberDesc(U70))</f>
        <v/>
      </c>
      <c r="T70" s="575" t="n"/>
      <c r="U70" s="575" t="inlineStr">
        <is>
          <t>A0010101</t>
        </is>
      </c>
      <c r="V70" s="616">
        <f>IF(_epmOfflineCondition_,"A0010101",EPMOlapMemberO(U70,"[C_ACCOUNT].[PARENTH1].[A0010101]","A0010101 - 　       流动资产合计","","000"))</f>
        <v/>
      </c>
      <c r="W70" s="726" t="n"/>
      <c r="X70" s="585" t="inlineStr">
        <is>
          <t>19. 流动资产</t>
        </is>
      </c>
      <c r="Y70" s="1312">
        <f>ROW()-45</f>
        <v/>
      </c>
      <c r="Z70" s="1356">
        <f>"— —"</f>
        <v/>
      </c>
      <c r="AA70" s="1349" t="inlineStr"/>
      <c r="AB70" s="1349" t="inlineStr"/>
      <c r="AC70" s="1192" t="n"/>
      <c r="AD70" s="171" t="n"/>
      <c r="AE70" s="575" t="n"/>
      <c r="AF70" s="575" t="n"/>
      <c r="AG70" s="575" t="n"/>
      <c r="AH70" s="575" t="n"/>
      <c r="AI70" s="575" t="n"/>
      <c r="AJ70" s="575" t="n"/>
      <c r="AK70" s="575" t="n"/>
      <c r="AL70" s="575" t="n"/>
      <c r="AM70" s="575" t="n"/>
      <c r="AN70" s="575" t="n"/>
      <c r="AO70" s="575" t="n"/>
      <c r="AP70" s="575" t="n"/>
      <c r="AQ70" s="575" t="n"/>
      <c r="AR70" s="575" t="n"/>
    </row>
    <row r="71" ht="16.15" customFormat="1" customHeight="1" s="575">
      <c r="A71" s="575" t="n"/>
      <c r="B71" s="575" t="n"/>
      <c r="C71" s="575" t="n"/>
      <c r="D71" s="575" t="n"/>
      <c r="E71" s="575" t="n"/>
      <c r="F71" s="575" t="n"/>
      <c r="G71" s="575" t="n"/>
      <c r="H71" s="575" t="n"/>
      <c r="I71" s="575" t="n"/>
      <c r="J71" s="575" t="n"/>
      <c r="K71" s="575" t="n"/>
      <c r="L71" s="575" t="n"/>
      <c r="M71" s="575" t="n"/>
      <c r="N71" s="575" t="n"/>
      <c r="O71" s="575" t="n"/>
      <c r="P71" s="575" t="n"/>
      <c r="Q71" s="575" t="n"/>
      <c r="R71" s="575" t="n"/>
      <c r="S71" s="726">
        <f>IF(_epmOfflineCondition_,"  货币资金",EPMMemberDesc(U71))</f>
        <v/>
      </c>
      <c r="T71" s="575" t="n"/>
      <c r="U71" s="575" t="inlineStr">
        <is>
          <t>A001010101</t>
        </is>
      </c>
      <c r="V71" s="612">
        <f>IF(_epmOfflineCondition_,"A001010101",EPMOlapMemberO(U71,"[C_ACCOUNT].[PARENTH1].[A001010101]","A001010101 -   货币资金","","000"))</f>
        <v/>
      </c>
      <c r="W71" s="726" t="n"/>
      <c r="X71" s="457" t="inlineStr">
        <is>
          <t xml:space="preserve">   其中：货币资金</t>
        </is>
      </c>
      <c r="Y71" s="1312">
        <f>ROW()-45</f>
        <v/>
      </c>
      <c r="Z71" s="1356">
        <f>"— —"</f>
        <v/>
      </c>
      <c r="AA71" s="1349" t="inlineStr"/>
      <c r="AB71" s="1349" t="inlineStr"/>
      <c r="AC71" s="1192" t="n"/>
      <c r="AD71" s="171" t="n"/>
      <c r="AE71" s="575" t="n"/>
      <c r="AF71" s="575" t="n"/>
      <c r="AG71" s="575" t="n"/>
      <c r="AH71" s="575" t="n"/>
      <c r="AI71" s="575" t="n"/>
      <c r="AJ71" s="575" t="n"/>
      <c r="AK71" s="575" t="n"/>
      <c r="AL71" s="575" t="n"/>
      <c r="AM71" s="575" t="n"/>
      <c r="AN71" s="575" t="n"/>
      <c r="AO71" s="575" t="n"/>
      <c r="AP71" s="575" t="n"/>
      <c r="AQ71" s="575" t="n"/>
      <c r="AR71" s="575" t="n"/>
    </row>
    <row r="72" ht="16.15" customFormat="1" customHeight="1" s="575">
      <c r="A72" s="575" t="n"/>
      <c r="B72" s="575" t="n"/>
      <c r="C72" s="575" t="n"/>
      <c r="D72" s="575" t="n"/>
      <c r="E72" s="575" t="n"/>
      <c r="F72" s="575" t="n"/>
      <c r="G72" s="575" t="n"/>
      <c r="H72" s="575" t="n"/>
      <c r="I72" s="575" t="n"/>
      <c r="J72" s="575" t="n"/>
      <c r="K72" s="575" t="n"/>
      <c r="L72" s="575" t="n"/>
      <c r="M72" s="575" t="n"/>
      <c r="N72" s="575" t="n"/>
      <c r="O72" s="575" t="n"/>
      <c r="P72" s="575" t="n"/>
      <c r="Q72" s="575" t="n"/>
      <c r="R72" s="575" t="n"/>
      <c r="S72" s="726">
        <f>IF(_epmOfflineCondition_,"  应收票据",EPMMemberDesc(U72))</f>
        <v/>
      </c>
      <c r="T72" s="575" t="n"/>
      <c r="U72" s="575" t="inlineStr">
        <is>
          <t>A001010106</t>
        </is>
      </c>
      <c r="V72" s="612">
        <f>IF(_epmOfflineCondition_,"A001010106",EPMOlapMemberO(U72,"[C_ACCOUNT].[PARENTH1].[A001010106]","A001010106 -   应收票据","","000"))</f>
        <v/>
      </c>
      <c r="W72" s="726" t="n"/>
      <c r="X72" s="614" t="inlineStr">
        <is>
          <t xml:space="preserve">           应收票据</t>
        </is>
      </c>
      <c r="Y72" s="1312">
        <f>ROW()-45</f>
        <v/>
      </c>
      <c r="Z72" s="1356">
        <f>"— —"</f>
        <v/>
      </c>
      <c r="AA72" s="1349" t="n"/>
      <c r="AB72" s="1349" t="n"/>
      <c r="AC72" s="1192" t="n"/>
      <c r="AD72" s="171" t="n"/>
      <c r="AE72" s="575" t="n"/>
      <c r="AF72" s="575" t="n"/>
      <c r="AG72" s="575" t="n"/>
      <c r="AH72" s="575" t="n"/>
      <c r="AI72" s="575" t="n"/>
      <c r="AJ72" s="575" t="n"/>
      <c r="AK72" s="575" t="n"/>
      <c r="AL72" s="575" t="n"/>
      <c r="AM72" s="575" t="n"/>
      <c r="AN72" s="575" t="n"/>
      <c r="AO72" s="575" t="n"/>
      <c r="AP72" s="575" t="n"/>
      <c r="AQ72" s="575" t="n"/>
      <c r="AR72" s="575" t="n"/>
    </row>
    <row r="73" ht="16.15" customFormat="1" customHeight="1" s="575">
      <c r="A73" s="575" t="n"/>
      <c r="B73" s="575" t="n"/>
      <c r="C73" s="575" t="n"/>
      <c r="D73" s="575" t="n"/>
      <c r="E73" s="575" t="n"/>
      <c r="F73" s="575" t="n"/>
      <c r="G73" s="575" t="n"/>
      <c r="H73" s="575" t="n"/>
      <c r="I73" s="575" t="n"/>
      <c r="J73" s="575" t="n"/>
      <c r="K73" s="575" t="n"/>
      <c r="L73" s="575" t="n"/>
      <c r="M73" s="575" t="n"/>
      <c r="N73" s="575" t="n"/>
      <c r="O73" s="575" t="n"/>
      <c r="P73" s="575" t="n"/>
      <c r="Q73" s="575" t="n"/>
      <c r="R73" s="575" t="n"/>
      <c r="S73" s="726">
        <f>IF(_epmOfflineCondition_,"  应收账款",EPMMemberDesc(U73))</f>
        <v/>
      </c>
      <c r="T73" s="575" t="n"/>
      <c r="U73" s="575" t="inlineStr">
        <is>
          <t>A001010107</t>
        </is>
      </c>
      <c r="V73" s="612">
        <f>IF(_epmOfflineCondition_,"A001010107",EPMOlapMemberO(U73,"[C_ACCOUNT].[PARENTH1].[A001010107]","A001010107 -   应收账款","","000"))</f>
        <v/>
      </c>
      <c r="W73" s="726" t="n"/>
      <c r="X73" s="614" t="inlineStr">
        <is>
          <t xml:space="preserve">           应收账款</t>
        </is>
      </c>
      <c r="Y73" s="1312">
        <f>ROW()-45</f>
        <v/>
      </c>
      <c r="Z73" s="1356">
        <f>"— —"</f>
        <v/>
      </c>
      <c r="AA73" s="1349" t="inlineStr"/>
      <c r="AB73" s="1349" t="inlineStr"/>
      <c r="AC73" s="1192" t="n"/>
      <c r="AD73" s="171" t="n"/>
      <c r="AE73" s="575" t="n"/>
      <c r="AF73" s="575" t="n"/>
      <c r="AG73" s="575" t="n"/>
      <c r="AH73" s="575" t="n"/>
      <c r="AI73" s="575" t="n"/>
      <c r="AJ73" s="575" t="n"/>
      <c r="AK73" s="575" t="n"/>
      <c r="AL73" s="575" t="n"/>
      <c r="AM73" s="575" t="n"/>
      <c r="AN73" s="575" t="n"/>
      <c r="AO73" s="575" t="n"/>
      <c r="AP73" s="575" t="n"/>
      <c r="AQ73" s="575" t="n"/>
      <c r="AR73" s="575" t="n"/>
    </row>
    <row r="74" ht="16.15" customFormat="1" customHeight="1" s="575">
      <c r="A74" s="575" t="n"/>
      <c r="B74" s="575" t="n"/>
      <c r="C74" s="575" t="n"/>
      <c r="D74" s="575" t="n"/>
      <c r="E74" s="575" t="n"/>
      <c r="F74" s="575" t="n"/>
      <c r="G74" s="575" t="n"/>
      <c r="H74" s="575" t="n"/>
      <c r="I74" s="575" t="n"/>
      <c r="J74" s="575" t="n"/>
      <c r="K74" s="575" t="n"/>
      <c r="L74" s="575" t="n"/>
      <c r="M74" s="575" t="n"/>
      <c r="N74" s="575" t="n"/>
      <c r="O74" s="575" t="n"/>
      <c r="P74" s="575" t="n"/>
      <c r="Q74" s="575" t="n"/>
      <c r="R74" s="575" t="n"/>
      <c r="S74" s="726">
        <f>IF(_epmOfflineCondition_,"  存货",EPMMemberDesc(U74))</f>
        <v/>
      </c>
      <c r="T74" s="575" t="n"/>
      <c r="U74" s="575" t="inlineStr">
        <is>
          <t>A001010113</t>
        </is>
      </c>
      <c r="V74" s="612">
        <f>IF(_epmOfflineCondition_,"A001010113",EPMOlapMemberO(U74,"[C_ACCOUNT].[PARENTH1].[A001010113]","A001010113 -   存货","","000"))</f>
        <v/>
      </c>
      <c r="W74" s="726" t="n"/>
      <c r="X74" s="614" t="inlineStr">
        <is>
          <t xml:space="preserve">           存货</t>
        </is>
      </c>
      <c r="Y74" s="1312">
        <f>ROW()-45</f>
        <v/>
      </c>
      <c r="Z74" s="1356">
        <f>"— —"</f>
        <v/>
      </c>
      <c r="AA74" s="1349" t="n"/>
      <c r="AB74" s="1349" t="n"/>
      <c r="AC74" s="1192" t="n"/>
      <c r="AD74" s="171" t="n"/>
      <c r="AE74" s="575" t="n"/>
      <c r="AF74" s="575" t="n"/>
      <c r="AG74" s="575" t="n"/>
      <c r="AH74" s="575" t="n"/>
      <c r="AI74" s="575" t="n"/>
      <c r="AJ74" s="575" t="n"/>
      <c r="AK74" s="575" t="n"/>
      <c r="AL74" s="575" t="n"/>
      <c r="AM74" s="575" t="n"/>
      <c r="AN74" s="575" t="n"/>
      <c r="AO74" s="575" t="n"/>
      <c r="AP74" s="575" t="n"/>
      <c r="AQ74" s="575" t="n"/>
      <c r="AR74" s="575" t="n"/>
    </row>
    <row r="75" ht="16.15" customFormat="1" customHeight="1" s="575">
      <c r="A75" s="575" t="n"/>
      <c r="B75" s="575" t="n"/>
      <c r="C75" s="575" t="n"/>
      <c r="D75" s="575" t="n"/>
      <c r="E75" s="575" t="n"/>
      <c r="F75" s="575" t="n"/>
      <c r="G75" s="575" t="n"/>
      <c r="H75" s="575" t="n"/>
      <c r="I75" s="575" t="n"/>
      <c r="J75" s="575" t="n"/>
      <c r="K75" s="575" t="n"/>
      <c r="L75" s="575" t="n"/>
      <c r="M75" s="575" t="n"/>
      <c r="N75" s="575" t="n"/>
      <c r="O75" s="575" t="n"/>
      <c r="P75" s="575" t="n"/>
      <c r="Q75" s="575" t="n"/>
      <c r="R75" s="575" t="n"/>
      <c r="S75" s="726">
        <f>IF(_epmOfflineCondition_,"     其中：原材料",EPMMemberDesc(U75))</f>
        <v/>
      </c>
      <c r="T75" s="575" t="n"/>
      <c r="U75" s="575" t="inlineStr">
        <is>
          <t>A00101011301</t>
        </is>
      </c>
      <c r="V75" s="611">
        <f>IF(_epmOfflineCondition_,"A00101011301",EPMOlapMemberO(U75,"[C_ACCOUNT].[PARENTH1].[A00101011301]","A00101011301 -      其中：原材料","","000"))</f>
        <v/>
      </c>
      <c r="W75" s="726" t="n"/>
      <c r="X75" s="458" t="inlineStr">
        <is>
          <t xml:space="preserve">         其中：原材料</t>
        </is>
      </c>
      <c r="Y75" s="1312">
        <f>ROW()-45</f>
        <v/>
      </c>
      <c r="Z75" s="1356">
        <f>"— —"</f>
        <v/>
      </c>
      <c r="AA75" s="1349" t="n"/>
      <c r="AB75" s="1349" t="n"/>
      <c r="AC75" s="1192" t="n"/>
      <c r="AD75" s="171" t="n"/>
      <c r="AE75" s="575" t="n"/>
      <c r="AF75" s="575" t="n"/>
      <c r="AG75" s="575" t="n"/>
      <c r="AH75" s="575" t="n"/>
      <c r="AI75" s="575" t="n"/>
      <c r="AJ75" s="575" t="n"/>
      <c r="AK75" s="575" t="n"/>
      <c r="AL75" s="575" t="n"/>
      <c r="AM75" s="575" t="n"/>
      <c r="AN75" s="575" t="n"/>
      <c r="AO75" s="575" t="n"/>
      <c r="AP75" s="575" t="n"/>
      <c r="AQ75" s="575" t="n"/>
      <c r="AR75" s="575" t="n"/>
    </row>
    <row r="76" ht="16.15" customFormat="1" customHeight="1" s="575">
      <c r="A76" s="575" t="n"/>
      <c r="B76" s="575" t="n"/>
      <c r="C76" s="575" t="n"/>
      <c r="D76" s="575" t="n"/>
      <c r="E76" s="575" t="n"/>
      <c r="F76" s="575" t="n"/>
      <c r="G76" s="575" t="n"/>
      <c r="H76" s="575" t="n"/>
      <c r="I76" s="575" t="n"/>
      <c r="J76" s="575" t="n"/>
      <c r="K76" s="575" t="n"/>
      <c r="L76" s="575" t="n"/>
      <c r="M76" s="575" t="n"/>
      <c r="N76" s="575" t="n"/>
      <c r="O76" s="575" t="n"/>
      <c r="P76" s="575" t="n"/>
      <c r="Q76" s="575" t="n"/>
      <c r="R76" s="575" t="n"/>
      <c r="S76" s="726">
        <f>IF(_epmOfflineCondition_,"               库存商品（产成品）",EPMMemberDesc(U76))</f>
        <v/>
      </c>
      <c r="T76" s="575" t="n"/>
      <c r="U76" s="575" t="inlineStr">
        <is>
          <t>A00101011303</t>
        </is>
      </c>
      <c r="V76" s="611">
        <f>IF(_epmOfflineCondition_,"A00101011303",EPMOlapMemberO(U76,"[C_ACCOUNT].[PARENTH1].[A00101011303]","A00101011303 -                库存商品（产成品）","","000"))</f>
        <v/>
      </c>
      <c r="W76" s="726" t="n"/>
      <c r="X76" s="458" t="inlineStr">
        <is>
          <t xml:space="preserve">                    库存商品(产成品)</t>
        </is>
      </c>
      <c r="Y76" s="1312">
        <f>ROW()-45</f>
        <v/>
      </c>
      <c r="Z76" s="1356">
        <f>"— —"</f>
        <v/>
      </c>
      <c r="AA76" s="1349" t="n"/>
      <c r="AB76" s="1349" t="n"/>
      <c r="AC76" s="1192" t="n"/>
      <c r="AD76" s="171" t="n"/>
      <c r="AE76" s="575" t="n"/>
      <c r="AF76" s="575" t="n"/>
      <c r="AG76" s="575" t="n"/>
      <c r="AH76" s="575" t="n"/>
      <c r="AI76" s="575" t="n"/>
      <c r="AJ76" s="575" t="n"/>
      <c r="AK76" s="575" t="n"/>
      <c r="AL76" s="575" t="n"/>
      <c r="AM76" s="575" t="n"/>
      <c r="AN76" s="575" t="n"/>
      <c r="AO76" s="575" t="n"/>
      <c r="AP76" s="575" t="n"/>
      <c r="AQ76" s="575" t="n"/>
      <c r="AR76" s="575" t="n"/>
    </row>
    <row r="77" ht="16.15" customFormat="1" customHeight="1" s="575">
      <c r="A77" s="575" t="n"/>
      <c r="B77" s="575" t="n"/>
      <c r="C77" s="575" t="n"/>
      <c r="D77" s="575" t="n"/>
      <c r="E77" s="575" t="n"/>
      <c r="F77" s="575" t="n"/>
      <c r="G77" s="575" t="n"/>
      <c r="H77" s="575" t="n"/>
      <c r="I77" s="575" t="n"/>
      <c r="J77" s="575" t="n"/>
      <c r="K77" s="575" t="n"/>
      <c r="L77" s="575" t="n"/>
      <c r="M77" s="575" t="n"/>
      <c r="N77" s="575" t="n"/>
      <c r="O77" s="575" t="n"/>
      <c r="P77" s="575" t="n"/>
      <c r="Q77" s="575" t="n"/>
      <c r="R77" s="575" t="n"/>
      <c r="S77" s="726">
        <f>IF(_epmOfflineCondition_,"  合同资产",EPMMemberDesc(U77))</f>
        <v/>
      </c>
      <c r="T77" s="575" t="n"/>
      <c r="U77" s="575" t="inlineStr">
        <is>
          <t>A001010114</t>
        </is>
      </c>
      <c r="V77" s="612">
        <f>IF(_epmOfflineCondition_,"A001010114",EPMOlapMemberO(U77,"[C_ACCOUNT].[PARENTH1].[A001010114]","A001010114 -   合同资产","","000"))</f>
        <v/>
      </c>
      <c r="W77" s="726" t="n"/>
      <c r="X77" s="614" t="inlineStr">
        <is>
          <t xml:space="preserve">           合同资产</t>
        </is>
      </c>
      <c r="Y77" s="1312">
        <f>ROW()-45</f>
        <v/>
      </c>
      <c r="Z77" s="1356">
        <f>"— —"</f>
        <v/>
      </c>
      <c r="AA77" s="1349" t="n"/>
      <c r="AB77" s="1349" t="n"/>
      <c r="AC77" s="1192" t="n"/>
      <c r="AD77" s="171" t="n"/>
      <c r="AE77" s="575" t="n"/>
      <c r="AF77" s="575" t="n"/>
      <c r="AG77" s="575" t="n"/>
      <c r="AH77" s="575" t="n"/>
      <c r="AI77" s="575" t="n"/>
      <c r="AJ77" s="575" t="n"/>
      <c r="AK77" s="575" t="n"/>
      <c r="AL77" s="575" t="n"/>
      <c r="AM77" s="575" t="n"/>
      <c r="AN77" s="575" t="n"/>
      <c r="AO77" s="575" t="n"/>
      <c r="AP77" s="575" t="n"/>
      <c r="AQ77" s="575" t="n"/>
      <c r="AR77" s="575" t="n"/>
    </row>
    <row r="78" ht="16.15" customFormat="1" customHeight="1" s="575">
      <c r="A78" s="575" t="n"/>
      <c r="B78" s="575" t="n"/>
      <c r="C78" s="575" t="n"/>
      <c r="D78" s="575" t="n"/>
      <c r="E78" s="575" t="n"/>
      <c r="F78" s="575" t="n"/>
      <c r="G78" s="575" t="n"/>
      <c r="H78" s="575" t="n"/>
      <c r="I78" s="575" t="n"/>
      <c r="J78" s="575" t="n"/>
      <c r="K78" s="575" t="n"/>
      <c r="L78" s="575" t="n"/>
      <c r="M78" s="575" t="n"/>
      <c r="N78" s="575" t="n"/>
      <c r="O78" s="575" t="n"/>
      <c r="P78" s="575" t="n"/>
      <c r="Q78" s="575" t="n"/>
      <c r="R78" s="575" t="n"/>
      <c r="S78" s="726">
        <f>IF(_epmOfflineCondition_,"　       负债合计",EPMMemberDesc(U78))</f>
        <v/>
      </c>
      <c r="T78" s="575" t="n"/>
      <c r="U78" s="575" t="inlineStr">
        <is>
          <t>A00102</t>
        </is>
      </c>
      <c r="V78" s="616">
        <f>IF(_epmOfflineCondition_,"A00102",EPMOlapMemberO(U78,"[C_ACCOUNT].[PARENTH1].[A00102]","A00102 - 　       负债合计","","000"))</f>
        <v/>
      </c>
      <c r="W78" s="726" t="n"/>
      <c r="X78" s="585" t="inlineStr">
        <is>
          <t>20. 负债总额</t>
        </is>
      </c>
      <c r="Y78" s="1312">
        <f>ROW()-45</f>
        <v/>
      </c>
      <c r="Z78" s="1356">
        <f>"— —"</f>
        <v/>
      </c>
      <c r="AA78" s="1349" t="inlineStr"/>
      <c r="AB78" s="1349" t="inlineStr"/>
      <c r="AC78" s="1192" t="n"/>
      <c r="AD78" s="171" t="n"/>
      <c r="AE78" s="575" t="n"/>
      <c r="AF78" s="575" t="n"/>
      <c r="AG78" s="575" t="n"/>
      <c r="AH78" s="575" t="n"/>
      <c r="AI78" s="575" t="n"/>
      <c r="AJ78" s="575" t="n"/>
      <c r="AK78" s="575" t="n"/>
      <c r="AL78" s="575" t="n"/>
      <c r="AM78" s="575" t="n"/>
      <c r="AN78" s="575" t="n"/>
      <c r="AO78" s="575" t="n"/>
      <c r="AP78" s="575" t="n"/>
      <c r="AQ78" s="575" t="n"/>
      <c r="AR78" s="575" t="n"/>
    </row>
    <row r="79" ht="16.15" customFormat="1" customHeight="1" s="575">
      <c r="A79" s="575" t="n"/>
      <c r="B79" s="575" t="n"/>
      <c r="C79" s="575" t="n"/>
      <c r="D79" s="575" t="n"/>
      <c r="E79" s="575" t="n"/>
      <c r="F79" s="575" t="n"/>
      <c r="G79" s="575" t="n"/>
      <c r="H79" s="575" t="n"/>
      <c r="I79" s="575" t="n"/>
      <c r="J79" s="575" t="n"/>
      <c r="K79" s="575" t="n"/>
      <c r="L79" s="575" t="n"/>
      <c r="M79" s="575" t="n"/>
      <c r="N79" s="575" t="n"/>
      <c r="O79" s="575" t="n"/>
      <c r="P79" s="575" t="n"/>
      <c r="Q79" s="575" t="n"/>
      <c r="R79" s="575" t="n"/>
      <c r="S79" s="726">
        <f>IF(_epmOfflineCondition_,"　       流动负债合计",EPMMemberDesc(U79))</f>
        <v/>
      </c>
      <c r="T79" s="575" t="n"/>
      <c r="U79" s="575" t="inlineStr">
        <is>
          <t>A0010201</t>
        </is>
      </c>
      <c r="V79" s="612">
        <f>IF(_epmOfflineCondition_,"A0010201",EPMOlapMemberO(U79,"[C_ACCOUNT].[PARENTH1].[A0010201]","A0010201 - 　       流动负债合计","","000"))</f>
        <v/>
      </c>
      <c r="W79" s="726" t="n"/>
      <c r="X79" s="585" t="inlineStr">
        <is>
          <t>21. 流动负债</t>
        </is>
      </c>
      <c r="Y79" s="1312">
        <f>ROW()-45</f>
        <v/>
      </c>
      <c r="Z79" s="1356">
        <f>"— —"</f>
        <v/>
      </c>
      <c r="AA79" s="1349" t="inlineStr"/>
      <c r="AB79" s="1349" t="inlineStr"/>
      <c r="AC79" s="1192" t="n"/>
      <c r="AD79" s="171" t="n"/>
      <c r="AE79" s="575" t="n"/>
      <c r="AF79" s="575" t="n"/>
      <c r="AG79" s="575" t="n"/>
      <c r="AH79" s="575" t="n"/>
      <c r="AI79" s="575" t="n"/>
      <c r="AJ79" s="575" t="n"/>
      <c r="AK79" s="575" t="n"/>
      <c r="AL79" s="575" t="n"/>
      <c r="AM79" s="575" t="n"/>
      <c r="AN79" s="575" t="n"/>
      <c r="AO79" s="575" t="n"/>
      <c r="AP79" s="575" t="n"/>
      <c r="AQ79" s="575" t="n"/>
      <c r="AR79" s="575" t="n"/>
    </row>
    <row r="80" ht="16.15" customFormat="1" customHeight="1" s="575">
      <c r="A80" s="575" t="n"/>
      <c r="B80" s="575" t="n"/>
      <c r="C80" s="575" t="n"/>
      <c r="D80" s="575" t="n"/>
      <c r="E80" s="575" t="n"/>
      <c r="F80" s="575" t="n"/>
      <c r="G80" s="575" t="n"/>
      <c r="H80" s="575" t="n"/>
      <c r="I80" s="575" t="n"/>
      <c r="J80" s="575" t="n"/>
      <c r="K80" s="575" t="n"/>
      <c r="L80" s="575" t="n"/>
      <c r="M80" s="575" t="n"/>
      <c r="N80" s="602" t="inlineStr">
        <is>
          <t>22. 带息负债总额</t>
        </is>
      </c>
      <c r="R80" s="575" t="n"/>
      <c r="S80" s="726">
        <f>IF(_epmOfflineCondition_,"   应付票据",EPMMemberDesc(U80))</f>
        <v/>
      </c>
      <c r="T80" s="575" t="n"/>
      <c r="U80" s="575" t="inlineStr">
        <is>
          <t>A001020107</t>
        </is>
      </c>
      <c r="V80" s="611">
        <f>IF(_epmOfflineCondition_,"A001020107",EPMOlapMemberO(U80,"[C_ACCOUNT].[PARENTH1].[A001020107]","A001020107 -    应付票据","","000"))</f>
        <v/>
      </c>
      <c r="W80" s="726" t="n"/>
      <c r="X80" s="457" t="inlineStr">
        <is>
          <t xml:space="preserve">   其中：应付票据</t>
        </is>
      </c>
      <c r="Y80" s="1312">
        <f>ROW()-45</f>
        <v/>
      </c>
      <c r="Z80" s="1356">
        <f>"— —"</f>
        <v/>
      </c>
      <c r="AA80" s="1349" t="n"/>
      <c r="AB80" s="1349" t="n"/>
      <c r="AC80" s="1192" t="n"/>
      <c r="AD80" s="171" t="n"/>
      <c r="AE80" s="575" t="n"/>
      <c r="AF80" s="575" t="n"/>
      <c r="AG80" s="575" t="n"/>
      <c r="AH80" s="575" t="n"/>
      <c r="AI80" s="575" t="n"/>
      <c r="AJ80" s="575" t="n"/>
      <c r="AK80" s="575" t="n"/>
      <c r="AL80" s="575" t="n"/>
      <c r="AM80" s="575" t="n"/>
      <c r="AN80" s="575" t="n"/>
      <c r="AO80" s="575" t="n"/>
      <c r="AP80" s="575" t="n"/>
      <c r="AQ80" s="575" t="n"/>
      <c r="AR80" s="575" t="n"/>
    </row>
    <row r="81" ht="16.15" customFormat="1" customHeight="1" s="575">
      <c r="A81" s="575" t="n"/>
      <c r="B81" s="575" t="n"/>
      <c r="C81" s="575" t="n"/>
      <c r="D81" s="575" t="n"/>
      <c r="E81" s="575" t="n"/>
      <c r="F81" s="575" t="n"/>
      <c r="G81" s="575" t="n"/>
      <c r="H81" s="575" t="n"/>
      <c r="I81" s="575" t="n"/>
      <c r="J81" s="575" t="n"/>
      <c r="K81" s="575" t="n"/>
      <c r="L81" s="575" t="n"/>
      <c r="M81" s="575" t="n"/>
      <c r="N81" s="434" t="inlineStr">
        <is>
          <t>上年同期</t>
        </is>
      </c>
      <c r="O81" s="603" t="inlineStr">
        <is>
          <t>本年累计</t>
        </is>
      </c>
      <c r="P81" s="603" t="inlineStr">
        <is>
          <t>本月</t>
        </is>
      </c>
      <c r="Q81" s="434" t="inlineStr">
        <is>
          <t>科目</t>
        </is>
      </c>
      <c r="R81" s="575" t="n"/>
      <c r="S81" s="726">
        <f>IF(_epmOfflineCondition_,"   应付账款",EPMMemberDesc(U81))</f>
        <v/>
      </c>
      <c r="T81" s="575" t="n"/>
      <c r="U81" s="575" t="inlineStr">
        <is>
          <t>A001020108</t>
        </is>
      </c>
      <c r="V81" s="611">
        <f>IF(_epmOfflineCondition_,"A001020108",EPMOlapMemberO(U81,"[C_ACCOUNT].[PARENTH1].[A001020108]","A001020108 -    应付账款","","000"))</f>
        <v/>
      </c>
      <c r="W81" s="726" t="n"/>
      <c r="X81" s="614" t="inlineStr">
        <is>
          <t xml:space="preserve">           应付账款</t>
        </is>
      </c>
      <c r="Y81" s="1312">
        <f>ROW()-45</f>
        <v/>
      </c>
      <c r="Z81" s="1356">
        <f>"— —"</f>
        <v/>
      </c>
      <c r="AA81" s="1349" t="inlineStr"/>
      <c r="AB81" s="1349" t="inlineStr"/>
      <c r="AC81" s="1192" t="n"/>
      <c r="AD81" s="171" t="n"/>
      <c r="AE81" s="575" t="n"/>
      <c r="AF81" s="575" t="n"/>
      <c r="AG81" s="575" t="n"/>
      <c r="AH81" s="575" t="n"/>
      <c r="AI81" s="575" t="n"/>
      <c r="AJ81" s="575" t="n"/>
      <c r="AK81" s="575" t="n"/>
      <c r="AL81" s="575" t="n"/>
      <c r="AM81" s="575" t="n"/>
      <c r="AN81" s="575" t="n"/>
      <c r="AO81" s="575" t="n"/>
      <c r="AP81" s="575" t="n"/>
      <c r="AQ81" s="575" t="n"/>
      <c r="AR81" s="575" t="n"/>
    </row>
    <row r="82" ht="16.15" customFormat="1" customHeight="1" s="575">
      <c r="A82" s="575" t="n"/>
      <c r="B82" s="575" t="n"/>
      <c r="C82" s="575" t="n"/>
      <c r="D82" s="575" t="n"/>
      <c r="E82" s="575" t="n"/>
      <c r="F82" s="575" t="n"/>
      <c r="G82" s="575" t="n"/>
      <c r="H82" s="575" t="n"/>
      <c r="I82" s="575" t="n"/>
      <c r="J82" s="575" t="n"/>
      <c r="K82" s="575" t="n"/>
      <c r="L82" s="575" t="n"/>
      <c r="M82" s="575" t="n"/>
      <c r="N82" s="1348">
        <f>IF(_epmOfflineCondition_,130000000,EPMRetrieveData(,,$D$21,$D$22,$D$25,$D$26,$D$27,$D$28,$D$29,$AB$41,$AA$42,$AA$43,$AA$44,$AA$45,Q82))</f>
        <v/>
      </c>
      <c r="O82" s="1348">
        <f>IF(_epmOfflineCondition_,190000000,EPMRetrieveData(,,$D$21,$D$22,$D$25,$D$26,$D$27,$D$28,$D$29,$AA$41,$AA$42,$AA$43,$AA$44,$AA$45,Q82))</f>
        <v/>
      </c>
      <c r="P82" s="1348">
        <f>IF(_epmOfflineCondition_,0,EPMRetrieveData(,,$D$21,$D$22,$D$25,$D$26,$D$27,$D$28,$D$29,$Z$41,$Z$42,$Z$43,$Z$28,$Z$45,Q82))</f>
        <v/>
      </c>
      <c r="Q82" s="575" t="inlineStr">
        <is>
          <t>A01201</t>
        </is>
      </c>
      <c r="R82" s="575" t="inlineStr">
        <is>
          <t>带息负债总额</t>
        </is>
      </c>
      <c r="S82" s="726">
        <f>IF(_epmOfflineCondition_,"带息负债总额",EPMMemberDesc(U82))</f>
        <v/>
      </c>
      <c r="T82" s="575" t="n"/>
      <c r="U82" s="575" t="inlineStr">
        <is>
          <t>A09603</t>
        </is>
      </c>
      <c r="V82" s="726">
        <f>IF(_epmOfflineCondition_,"A09603",EPMOlapMemberO(U82,"[C_ACCOUNT].[PARENTH1].[A09603]","A09603 - 带息负债总额","","000"))</f>
        <v/>
      </c>
      <c r="W82" s="726" t="n"/>
      <c r="X82" s="585" t="inlineStr">
        <is>
          <t>22. 带息负债总额</t>
        </is>
      </c>
      <c r="Y82" s="1312">
        <f>ROW()-45</f>
        <v/>
      </c>
      <c r="Z82" s="1356">
        <f>"— —"</f>
        <v/>
      </c>
      <c r="AA82" s="1357" t="inlineStr"/>
      <c r="AB82" s="1349" t="inlineStr"/>
      <c r="AC82" s="1192">
        <f>IF(_epmOfflineCondition_,1460000000,EPMSaveDataOnly(AA82,,$D$21,$E$22,$E$25,$E$26,$E$27,$E$28,$E$29,$AA$41,$AA$42,$Z$29,$Z$28,$AA$45,V82))</f>
        <v/>
      </c>
      <c r="AD82" s="171" t="n"/>
      <c r="AE82" s="575" t="n"/>
      <c r="AF82" s="575" t="n"/>
      <c r="AG82" s="575" t="n"/>
      <c r="AH82" s="575" t="n"/>
      <c r="AI82" s="575" t="n"/>
      <c r="AJ82" s="575" t="n"/>
      <c r="AK82" s="575" t="n"/>
      <c r="AL82" s="575" t="n"/>
      <c r="AM82" s="575" t="n"/>
      <c r="AN82" s="575" t="n"/>
      <c r="AO82" s="575" t="n"/>
      <c r="AP82" s="575" t="n"/>
      <c r="AQ82" s="575" t="n"/>
      <c r="AR82" s="575" t="n"/>
    </row>
    <row r="83" ht="16.15" customFormat="1" customHeight="1" s="575">
      <c r="A83" s="575" t="n"/>
      <c r="B83" s="575" t="n"/>
      <c r="C83" s="575" t="n"/>
      <c r="D83" s="575" t="n"/>
      <c r="E83" s="575" t="n"/>
      <c r="F83" s="575" t="n"/>
      <c r="G83" s="575" t="n"/>
      <c r="H83" s="575" t="n"/>
      <c r="I83" s="575" t="n"/>
      <c r="J83" s="575" t="n"/>
      <c r="K83" s="575" t="n"/>
      <c r="L83" s="575" t="n"/>
      <c r="M83" s="575" t="n"/>
      <c r="N83" s="1348">
        <f>IF(_epmOfflineCondition_,0,EPMRetrieveData(,,$D$21,$D$22,$D$25,$D$26,$D$27,$D$28,$D$29,$AB$41,$AA$42,$AA$43,$AA$44,$AA$45,Q83))</f>
        <v/>
      </c>
      <c r="O83" s="1348">
        <f>IF(_epmOfflineCondition_,0,EPMRetrieveData(,,$D$21,$D$22,$D$25,$D$26,$D$27,$D$28,$D$29,$AA$41,$AA$42,$AA$43,$AA$44,$AA$45,Q83))</f>
        <v/>
      </c>
      <c r="P83" s="1348">
        <f>IF(_epmOfflineCondition_,0,EPMRetrieveData(,,$D$21,$D$22,$D$25,$D$26,$D$27,$D$28,$D$29,$Z$41,$Z$42,$Z$43,$Z$28,$Z$45,Q83))</f>
        <v/>
      </c>
      <c r="Q83" s="575" t="inlineStr">
        <is>
          <t>A01202</t>
        </is>
      </c>
      <c r="R83" s="607" t="inlineStr">
        <is>
          <t>带息负债总额</t>
        </is>
      </c>
      <c r="S83" s="726">
        <f>IF(_epmOfflineCondition_,"   其中：银行借款",EPMMemberDesc(U83))</f>
        <v/>
      </c>
      <c r="T83" s="575" t="n"/>
      <c r="U83" s="607" t="inlineStr">
        <is>
          <t>A07811</t>
        </is>
      </c>
      <c r="V83" s="616">
        <f>IF(_epmOfflineCondition_,"A07811",EPMOlapMemberO(U83,"[C_ACCOUNT].[PARENTH1].[A07811]","A07811 -    其中：银行借款","","000"))</f>
        <v/>
      </c>
      <c r="W83" s="726" t="n"/>
      <c r="X83" s="457" t="inlineStr">
        <is>
          <t xml:space="preserve">   其中：银行借款</t>
        </is>
      </c>
      <c r="Y83" s="1312">
        <f>ROW()-45</f>
        <v/>
      </c>
      <c r="Z83" s="1356">
        <f>"— —"</f>
        <v/>
      </c>
      <c r="AA83" s="1357" t="inlineStr"/>
      <c r="AB83" s="1349" t="inlineStr"/>
      <c r="AC83" s="1192">
        <f>IF(_epmOfflineCondition_,1460000000,EPMSaveDataOnly(AA83,,$D$21,$E$22,$E$25,$E$26,$E$27,$E$28,$E$29,$AA$41,$AA$42,$Z$29,$Z$28,$AA$45,V83))</f>
        <v/>
      </c>
      <c r="AD83" s="171" t="n"/>
      <c r="AE83" s="575" t="n"/>
      <c r="AF83" s="575" t="n"/>
      <c r="AG83" s="575" t="n"/>
      <c r="AH83" s="575" t="n"/>
      <c r="AI83" s="575" t="n"/>
      <c r="AJ83" s="575" t="n"/>
      <c r="AK83" s="575" t="n"/>
      <c r="AL83" s="575" t="n"/>
      <c r="AM83" s="575" t="n"/>
      <c r="AN83" s="575" t="n"/>
      <c r="AO83" s="575" t="n"/>
      <c r="AP83" s="575" t="n"/>
      <c r="AQ83" s="575" t="n"/>
      <c r="AR83" s="575" t="n"/>
    </row>
    <row r="84" ht="16.15" customFormat="1" customHeight="1" s="575">
      <c r="A84" s="575" t="n"/>
      <c r="B84" s="575" t="n"/>
      <c r="C84" s="575" t="n"/>
      <c r="D84" s="575" t="n"/>
      <c r="E84" s="575" t="n"/>
      <c r="F84" s="575" t="n"/>
      <c r="G84" s="575" t="n"/>
      <c r="H84" s="575" t="n"/>
      <c r="I84" s="575" t="n"/>
      <c r="J84" s="575" t="n"/>
      <c r="K84" s="575" t="n"/>
      <c r="L84" s="575" t="n"/>
      <c r="M84" s="575" t="n"/>
      <c r="N84" s="1348">
        <f>IF(_epmOfflineCondition_,0,EPMRetrieveData(,,$D$21,$D$22,$D$25,$D$26,$D$27,$D$28,$D$29,$AB$41,$AA$42,$AA$43,$AA$44,$AA$45,Q84))</f>
        <v/>
      </c>
      <c r="O84" s="1348">
        <f>IF(_epmOfflineCondition_,0,EPMRetrieveData(,,$D$21,$D$22,$D$25,$D$26,$D$27,$D$28,$D$29,$AA$41,$AA$42,$AA$43,$AA$44,$AA$45,Q84))</f>
        <v/>
      </c>
      <c r="P84" s="1348">
        <f>IF(_epmOfflineCondition_,0,EPMRetrieveData(,,$D$21,$D$22,$D$25,$D$26,$D$27,$D$28,$D$29,$Z$41,$Z$42,$Z$43,$Z$28,$Z$45,Q84))</f>
        <v/>
      </c>
      <c r="Q84" s="575" t="inlineStr">
        <is>
          <t>A012010101</t>
        </is>
      </c>
      <c r="R84" s="726" t="inlineStr">
        <is>
          <t>其中：银行借款</t>
        </is>
      </c>
      <c r="S84" s="726">
        <f>IF(_epmOfflineCondition_,"  应付债券",EPMMemberDesc(U84))</f>
        <v/>
      </c>
      <c r="T84" s="575" t="n"/>
      <c r="U84" s="575" t="inlineStr">
        <is>
          <t>A001020202</t>
        </is>
      </c>
      <c r="V84" s="611">
        <f>IF(_epmOfflineCondition_,"A001020202",EPMOlapMemberO(U84,"[C_ACCOUNT].[PARENTH1].[A001020202]","A001020202 -   应付债券","","000"))</f>
        <v/>
      </c>
      <c r="W84" s="726" t="n"/>
      <c r="X84" s="614" t="inlineStr">
        <is>
          <t xml:space="preserve">           应付债券</t>
        </is>
      </c>
      <c r="Y84" s="1312">
        <f>ROW()-45</f>
        <v/>
      </c>
      <c r="Z84" s="1356">
        <f>"— —"</f>
        <v/>
      </c>
      <c r="AA84" s="1349" t="n"/>
      <c r="AB84" s="1349" t="n"/>
      <c r="AC84" s="1192" t="n"/>
      <c r="AD84" s="171" t="n"/>
      <c r="AE84" s="575" t="n"/>
      <c r="AF84" s="575" t="n"/>
      <c r="AG84" s="575" t="n"/>
      <c r="AH84" s="575" t="n"/>
      <c r="AI84" s="575" t="n"/>
      <c r="AJ84" s="575" t="n"/>
      <c r="AK84" s="575" t="n"/>
      <c r="AL84" s="575" t="n"/>
      <c r="AM84" s="575" t="n"/>
      <c r="AN84" s="575" t="n"/>
      <c r="AO84" s="575" t="n"/>
      <c r="AP84" s="575" t="n"/>
      <c r="AQ84" s="575" t="n"/>
      <c r="AR84" s="575" t="n"/>
    </row>
    <row r="85" ht="16.15" customFormat="1" customHeight="1" s="575">
      <c r="A85" s="575" t="n"/>
      <c r="B85" s="575" t="n"/>
      <c r="C85" s="575" t="n"/>
      <c r="D85" s="575" t="n"/>
      <c r="E85" s="575" t="n"/>
      <c r="F85" s="575" t="n"/>
      <c r="G85" s="575" t="n"/>
      <c r="H85" s="575" t="n"/>
      <c r="I85" s="575" t="n"/>
      <c r="J85" s="575" t="n"/>
      <c r="K85" s="575" t="n"/>
      <c r="L85" s="575" t="n"/>
      <c r="M85" s="575" t="n"/>
      <c r="N85" s="1348">
        <f>IF(_epmOfflineCondition_,310000000,EPMRetrieveData(,,$D$21,$D$22,$D$25,$D$26,$D$27,$D$28,$D$29,$AB$41,$AA$42,$AA$43,$AA$44,$AA$45,Q85))</f>
        <v/>
      </c>
      <c r="O85" s="1348">
        <f>IF(_epmOfflineCondition_,310000000,EPMRetrieveData(,,$D$21,$D$22,$D$25,$D$26,$D$27,$D$28,$D$29,$AA$41,$AA$42,$AA$43,$AA$44,$AA$45,Q85))</f>
        <v/>
      </c>
      <c r="P85" s="1348">
        <f>IF(_epmOfflineCondition_,0,EPMRetrieveData(,,$D$21,$D$22,$D$25,$D$26,$D$27,$D$28,$D$29,$Z$41,$Z$42,$Z$43,$Z$28,$Z$45,Q85))</f>
        <v/>
      </c>
      <c r="Q85" s="575" t="inlineStr">
        <is>
          <t>A012020101</t>
        </is>
      </c>
      <c r="R85" s="726" t="inlineStr">
        <is>
          <t>其中：银行借款</t>
        </is>
      </c>
      <c r="S85" s="726">
        <f>IF(_epmOfflineCondition_,"        所有者权益合计",EPMMemberDesc(U85))</f>
        <v/>
      </c>
      <c r="T85" s="575" t="n"/>
      <c r="U85" s="575" t="inlineStr">
        <is>
          <t>A00103</t>
        </is>
      </c>
      <c r="V85" s="616">
        <f>IF(_epmOfflineCondition_,"A00103",EPMOlapMemberO(U85,"[C_ACCOUNT].[PARENTH1].[A00103]","A00103 -         所有者权益合计","","000"))</f>
        <v/>
      </c>
      <c r="W85" s="726" t="n"/>
      <c r="X85" s="585" t="inlineStr">
        <is>
          <t>23. 所有者权益总额</t>
        </is>
      </c>
      <c r="Y85" s="1312">
        <f>ROW()-45</f>
        <v/>
      </c>
      <c r="Z85" s="1356">
        <f>"— —"</f>
        <v/>
      </c>
      <c r="AA85" s="1349" t="inlineStr"/>
      <c r="AB85" s="1349" t="inlineStr"/>
      <c r="AC85" s="1192" t="n"/>
      <c r="AD85" s="171" t="n"/>
      <c r="AE85" s="575" t="n"/>
      <c r="AF85" s="575" t="n"/>
      <c r="AG85" s="575" t="n"/>
      <c r="AH85" s="575" t="n"/>
      <c r="AI85" s="575" t="n"/>
      <c r="AJ85" s="575" t="n"/>
      <c r="AK85" s="575" t="n"/>
      <c r="AL85" s="575" t="n"/>
      <c r="AM85" s="575" t="n"/>
      <c r="AN85" s="575" t="n"/>
      <c r="AO85" s="575" t="n"/>
      <c r="AP85" s="575" t="n"/>
      <c r="AQ85" s="575" t="n"/>
      <c r="AR85" s="575" t="n"/>
    </row>
    <row r="86" ht="16.15" customFormat="1" customHeight="1" s="575">
      <c r="A86" s="575" t="n"/>
      <c r="B86" s="575" t="n"/>
      <c r="C86" s="575" t="n"/>
      <c r="D86" s="575" t="n"/>
      <c r="E86" s="575" t="n"/>
      <c r="F86" s="575" t="n"/>
      <c r="G86" s="575" t="n"/>
      <c r="H86" s="575" t="n"/>
      <c r="I86" s="575" t="n"/>
      <c r="J86" s="575" t="n"/>
      <c r="K86" s="575" t="n"/>
      <c r="L86" s="575" t="n"/>
      <c r="M86" s="575" t="n"/>
      <c r="N86" s="1348" t="n"/>
      <c r="O86" s="1348" t="n"/>
      <c r="P86" s="1348" t="n"/>
      <c r="Q86" s="575" t="n"/>
      <c r="R86" s="726" t="n"/>
      <c r="S86" s="726">
        <f>IF(_epmOfflineCondition_,"  其他权益工具",EPMMemberDesc(U86))</f>
        <v/>
      </c>
      <c r="T86" s="575" t="n"/>
      <c r="U86" s="575" t="inlineStr">
        <is>
          <t>A0010302</t>
        </is>
      </c>
      <c r="V86" s="611">
        <f>IF(_epmOfflineCondition_,"A0010302",EPMOlapMemberO(U86,"[C_ACCOUNT].[PARENTH1].[A0010302]","A0010302 -   其他权益工具","","000"))</f>
        <v/>
      </c>
      <c r="W86" s="726" t="n"/>
      <c r="X86" s="457" t="inlineStr">
        <is>
          <t xml:space="preserve">   其中：其他权益工具</t>
        </is>
      </c>
      <c r="Y86" s="1312">
        <f>ROW()-45</f>
        <v/>
      </c>
      <c r="Z86" s="1356">
        <f>"— —"</f>
        <v/>
      </c>
      <c r="AA86" s="1349" t="n"/>
      <c r="AB86" s="1349" t="n"/>
      <c r="AC86" s="1192" t="n"/>
      <c r="AD86" s="171" t="n"/>
      <c r="AE86" s="575" t="n"/>
      <c r="AF86" s="575" t="n"/>
      <c r="AG86" s="575" t="n"/>
      <c r="AH86" s="575" t="n"/>
      <c r="AI86" s="575" t="n"/>
      <c r="AJ86" s="575" t="n"/>
      <c r="AK86" s="575" t="n"/>
      <c r="AL86" s="575" t="n"/>
      <c r="AM86" s="575" t="n"/>
      <c r="AN86" s="575" t="n"/>
      <c r="AO86" s="575" t="n"/>
      <c r="AP86" s="575" t="n"/>
      <c r="AQ86" s="575" t="n"/>
      <c r="AR86" s="575" t="n"/>
    </row>
    <row r="87" ht="16.15" customFormat="1" customHeight="1" s="575">
      <c r="A87" s="575" t="n"/>
      <c r="B87" s="575" t="n"/>
      <c r="C87" s="575" t="n"/>
      <c r="D87" s="575" t="n"/>
      <c r="E87" s="575" t="n"/>
      <c r="F87" s="575" t="n"/>
      <c r="G87" s="575" t="n"/>
      <c r="H87" s="575" t="n"/>
      <c r="I87" s="575" t="n"/>
      <c r="J87" s="575" t="n"/>
      <c r="K87" s="575" t="n"/>
      <c r="L87" s="575" t="n"/>
      <c r="M87" s="575" t="n"/>
      <c r="N87" s="1348" t="n"/>
      <c r="O87" s="1348" t="n"/>
      <c r="P87" s="1348" t="n"/>
      <c r="Q87" s="575" t="n"/>
      <c r="R87" s="726" t="n"/>
      <c r="S87" s="726">
        <f>IF(_epmOfflineCondition_,"                 永续债",EPMMemberDesc(U87))</f>
        <v/>
      </c>
      <c r="T87" s="575" t="n"/>
      <c r="U87" s="575" t="inlineStr">
        <is>
          <t>A001030202</t>
        </is>
      </c>
      <c r="V87" s="590">
        <f>IF(_epmOfflineCondition_,"A001030202",EPMOlapMemberO(U87,"[C_ACCOUNT].[PARENTH1].[A001030202]","A001030202 -                  永续债","","000"))</f>
        <v/>
      </c>
      <c r="W87" s="726" t="n"/>
      <c r="X87" s="585" t="inlineStr">
        <is>
          <t xml:space="preserve">         其中：永续债</t>
        </is>
      </c>
      <c r="Y87" s="1312">
        <f>ROW()-45</f>
        <v/>
      </c>
      <c r="Z87" s="1356">
        <f>"— —"</f>
        <v/>
      </c>
      <c r="AA87" s="1349" t="n"/>
      <c r="AB87" s="1349" t="n"/>
      <c r="AC87" s="1192" t="n"/>
      <c r="AD87" s="171" t="n"/>
      <c r="AE87" s="575" t="n"/>
      <c r="AF87" s="575" t="n"/>
      <c r="AG87" s="575" t="n"/>
      <c r="AH87" s="575" t="n"/>
      <c r="AI87" s="575" t="n"/>
      <c r="AJ87" s="575" t="n"/>
      <c r="AK87" s="575" t="n"/>
      <c r="AL87" s="575" t="n"/>
      <c r="AM87" s="575" t="n"/>
      <c r="AN87" s="575" t="n"/>
      <c r="AO87" s="575" t="n"/>
      <c r="AP87" s="575" t="n"/>
      <c r="AQ87" s="575" t="n"/>
      <c r="AR87" s="575" t="n"/>
    </row>
    <row r="88" ht="16.15" customFormat="1" customHeight="1" s="575">
      <c r="A88" s="575" t="n"/>
      <c r="B88" s="575" t="n"/>
      <c r="C88" s="575" t="n"/>
      <c r="D88" s="575" t="n"/>
      <c r="E88" s="575" t="n"/>
      <c r="F88" s="575" t="n"/>
      <c r="G88" s="575" t="n"/>
      <c r="H88" s="575" t="n"/>
      <c r="I88" s="575" t="n"/>
      <c r="J88" s="575" t="n"/>
      <c r="K88" s="575" t="n"/>
      <c r="L88" s="575" t="n"/>
      <c r="M88" s="575" t="n"/>
      <c r="N88" s="1348" t="n"/>
      <c r="O88" s="1348" t="n"/>
      <c r="P88" s="1348" t="n"/>
      <c r="Q88" s="575" t="n"/>
      <c r="R88" s="726" t="n"/>
      <c r="S88" s="726">
        <f>IF(_epmOfflineCondition_,"      其中：优先股",EPMMemberDesc(U88))</f>
        <v/>
      </c>
      <c r="T88" s="575" t="n"/>
      <c r="U88" s="575" t="inlineStr">
        <is>
          <t>A001030201</t>
        </is>
      </c>
      <c r="V88" s="590">
        <f>IF(_epmOfflineCondition_,"A001030201",EPMOlapMemberO(U88,"[C_ACCOUNT].[PARENTH1].[A001030201]","A001030201 -       其中：优先股","","000"))</f>
        <v/>
      </c>
      <c r="W88" s="726" t="n"/>
      <c r="X88" s="585" t="inlineStr">
        <is>
          <t xml:space="preserve">               优先股</t>
        </is>
      </c>
      <c r="Y88" s="1312">
        <f>ROW()-45</f>
        <v/>
      </c>
      <c r="Z88" s="1356">
        <f>"— —"</f>
        <v/>
      </c>
      <c r="AA88" s="1349" t="n"/>
      <c r="AB88" s="1349" t="n"/>
      <c r="AC88" s="1192" t="n"/>
      <c r="AD88" s="171" t="n"/>
      <c r="AE88" s="575" t="n"/>
      <c r="AF88" s="575" t="n"/>
      <c r="AG88" s="575" t="n"/>
      <c r="AH88" s="575" t="n"/>
      <c r="AI88" s="575" t="n"/>
      <c r="AJ88" s="575" t="n"/>
      <c r="AK88" s="575" t="n"/>
      <c r="AL88" s="575" t="n"/>
      <c r="AM88" s="575" t="n"/>
      <c r="AN88" s="575" t="n"/>
      <c r="AO88" s="575" t="n"/>
      <c r="AP88" s="575" t="n"/>
      <c r="AQ88" s="575" t="n"/>
      <c r="AR88" s="575" t="n"/>
    </row>
    <row r="89" ht="16.15" customFormat="1" customHeight="1" s="575">
      <c r="A89" s="575" t="n"/>
      <c r="B89" s="575" t="n"/>
      <c r="C89" s="575" t="n"/>
      <c r="D89" s="575" t="n"/>
      <c r="E89" s="575" t="n"/>
      <c r="F89" s="575" t="n"/>
      <c r="G89" s="575" t="n"/>
      <c r="H89" s="575" t="n"/>
      <c r="I89" s="575" t="n"/>
      <c r="J89" s="575" t="n"/>
      <c r="K89" s="575" t="n"/>
      <c r="L89" s="575" t="n"/>
      <c r="M89" s="575" t="n"/>
      <c r="N89" s="575" t="n"/>
      <c r="O89" s="575" t="n"/>
      <c r="P89" s="575" t="n"/>
      <c r="Q89" s="575" t="n"/>
      <c r="R89" s="575" t="n"/>
      <c r="S89" s="726">
        <f>IF(_epmOfflineCondition_,"　归属于母公司所有者权益合计",EPMMemberDesc(U89))</f>
        <v/>
      </c>
      <c r="T89" s="575" t="n"/>
      <c r="U89" s="575" t="inlineStr">
        <is>
          <t>A0010310</t>
        </is>
      </c>
      <c r="V89" s="612">
        <f>IF(_epmOfflineCondition_,"A0010310",EPMOlapMemberO(U89,"[C_ACCOUNT].[PARENTH1].[A0010310]","A0010310 - 　归属于母公司所有者权益合计","","000"))</f>
        <v/>
      </c>
      <c r="W89" s="726" t="n"/>
      <c r="X89" s="585" t="inlineStr">
        <is>
          <t xml:space="preserve">   归属于母公司的所有者权益（或股东权益）总额</t>
        </is>
      </c>
      <c r="Y89" s="1312">
        <f>ROW()-45</f>
        <v/>
      </c>
      <c r="Z89" s="1356">
        <f>"— —"</f>
        <v/>
      </c>
      <c r="AA89" s="1349" t="inlineStr"/>
      <c r="AB89" s="1349" t="inlineStr"/>
      <c r="AC89" s="1192" t="n"/>
      <c r="AD89" s="575" t="n"/>
      <c r="AE89" s="575" t="n"/>
      <c r="AF89" s="575" t="n"/>
      <c r="AG89" s="575" t="n"/>
      <c r="AH89" s="575" t="n"/>
      <c r="AI89" s="575" t="n"/>
      <c r="AJ89" s="575" t="n"/>
      <c r="AK89" s="575" t="n"/>
      <c r="AL89" s="575" t="n"/>
      <c r="AM89" s="575" t="n"/>
      <c r="AN89" s="575" t="n"/>
      <c r="AO89" s="575" t="n"/>
      <c r="AP89" s="575" t="n"/>
      <c r="AQ89" s="575" t="n"/>
      <c r="AR89" s="575" t="n"/>
    </row>
    <row r="90" ht="16.15" customFormat="1" customHeight="1" s="575">
      <c r="A90" s="575" t="n"/>
      <c r="B90" s="575" t="n"/>
      <c r="C90" s="575" t="n"/>
      <c r="D90" s="575" t="n"/>
      <c r="E90" s="575" t="n"/>
      <c r="F90" s="575" t="n"/>
      <c r="G90" s="575" t="n"/>
      <c r="H90" s="575" t="n"/>
      <c r="I90" s="575" t="n"/>
      <c r="J90" s="575" t="n"/>
      <c r="K90" s="575" t="n"/>
      <c r="L90" s="575" t="n"/>
      <c r="M90" s="575" t="n"/>
      <c r="N90" s="575" t="n"/>
      <c r="O90" s="575" t="n"/>
      <c r="P90" s="575" t="n"/>
      <c r="Q90" s="575" t="n"/>
      <c r="R90" s="575" t="n"/>
      <c r="S90" s="726">
        <f>IF(_epmOfflineCondition_,"              经营活动产生的现金流量净额",EPMMemberDesc(U90))</f>
        <v/>
      </c>
      <c r="T90" s="575" t="n"/>
      <c r="U90" s="575" t="inlineStr">
        <is>
          <t>A0030120</t>
        </is>
      </c>
      <c r="V90" s="612">
        <f>IF(_epmOfflineCondition_,"A0030120",EPMOlapMemberO(U90,"[C_ACCOUNT].[PARENTH1].[A0030120]","A0030120 -               经营活动产生的现金流量净额","","000"))</f>
        <v/>
      </c>
      <c r="W90" s="726" t="n"/>
      <c r="X90" s="585" t="inlineStr">
        <is>
          <t>24. 经营活动产生的现金流量净额</t>
        </is>
      </c>
      <c r="Y90" s="1312">
        <f>ROW()-45</f>
        <v/>
      </c>
      <c r="Z90" s="1349" t="inlineStr"/>
      <c r="AA90" s="1349" t="inlineStr"/>
      <c r="AB90" s="1349" t="n"/>
      <c r="AC90" s="1192" t="n"/>
      <c r="AD90" s="575" t="n"/>
      <c r="AE90" s="575" t="n"/>
      <c r="AF90" s="575" t="n"/>
      <c r="AG90" s="575" t="n"/>
      <c r="AH90" s="575" t="n"/>
      <c r="AI90" s="575" t="n"/>
      <c r="AJ90" s="575" t="n"/>
      <c r="AK90" s="575" t="n"/>
      <c r="AL90" s="575" t="n"/>
      <c r="AM90" s="575" t="n"/>
      <c r="AN90" s="575" t="n"/>
      <c r="AO90" s="575" t="n"/>
      <c r="AP90" s="575" t="n"/>
      <c r="AQ90" s="575" t="n"/>
      <c r="AR90" s="575" t="n"/>
    </row>
    <row r="91" ht="16.15" customFormat="1" customHeight="1" s="575">
      <c r="A91" s="575" t="n"/>
      <c r="B91" s="575" t="n"/>
      <c r="C91" s="575" t="n"/>
      <c r="D91" s="575" t="n"/>
      <c r="E91" s="575" t="n"/>
      <c r="F91" s="575" t="n"/>
      <c r="G91" s="575" t="n"/>
      <c r="H91" s="575" t="n"/>
      <c r="I91" s="575" t="n"/>
      <c r="J91" s="575" t="n"/>
      <c r="K91" s="575" t="n"/>
      <c r="L91" s="575" t="n"/>
      <c r="M91" s="575" t="n"/>
      <c r="N91" s="575" t="n"/>
      <c r="O91" s="575" t="n"/>
      <c r="P91" s="575" t="n"/>
      <c r="Q91" s="575" t="n"/>
      <c r="R91" s="575" t="n"/>
      <c r="S91" s="726">
        <f>IF(_epmOfflineCondition_,"25. 资本化利息支出",EPMMemberDesc(U91))</f>
        <v/>
      </c>
      <c r="T91" s="575" t="n"/>
      <c r="U91" s="575" t="inlineStr">
        <is>
          <t>A07818</t>
        </is>
      </c>
      <c r="V91" s="591">
        <f>IF(_epmOfflineCondition_,"A07818",EPMOlapMemberO(U91,"[C_ACCOUNT].[PARENTH1].[A07818]","A07818 - 25. 资本化利息支出","","000"))</f>
        <v/>
      </c>
      <c r="W91" s="726" t="n"/>
      <c r="X91" s="585" t="inlineStr">
        <is>
          <t>25. 资本化利息支出</t>
        </is>
      </c>
      <c r="Y91" s="1312">
        <f>ROW()-45</f>
        <v/>
      </c>
      <c r="Z91" s="1349" t="n"/>
      <c r="AA91" s="1357" t="n"/>
      <c r="AB91" s="1349" t="inlineStr"/>
      <c r="AC91" s="1192">
        <f>IF(_epmOfflineCondition_,0,EPMSaveDataOnly(AA91,,$D$21,$E$22,$E$25,$E$26,$E$27,$E$28,$E$29,$AA$41,$AA$42,$Z$29,$Z$28,$AA$45,V91))</f>
        <v/>
      </c>
      <c r="AD91" s="575" t="n"/>
      <c r="AE91" s="575" t="n"/>
      <c r="AF91" s="575" t="n"/>
      <c r="AG91" s="575" t="n"/>
      <c r="AH91" s="575" t="n"/>
      <c r="AI91" s="575" t="n"/>
      <c r="AJ91" s="575" t="n"/>
      <c r="AK91" s="575" t="n"/>
      <c r="AL91" s="575" t="n"/>
      <c r="AM91" s="575" t="n"/>
      <c r="AN91" s="575" t="n"/>
      <c r="AO91" s="575" t="n"/>
      <c r="AP91" s="575" t="n"/>
      <c r="AQ91" s="575" t="n"/>
      <c r="AR91" s="575" t="n"/>
    </row>
    <row r="92" ht="16.15" customFormat="1" customHeight="1" s="575">
      <c r="A92" s="575" t="n"/>
      <c r="B92" s="575" t="n"/>
      <c r="C92" s="575" t="n"/>
      <c r="D92" s="575" t="n"/>
      <c r="E92" s="575" t="n"/>
      <c r="F92" s="575" t="n"/>
      <c r="G92" s="575" t="n"/>
      <c r="H92" s="575" t="n"/>
      <c r="I92" s="575" t="n"/>
      <c r="J92" s="575" t="n"/>
      <c r="K92" s="575" t="n"/>
      <c r="L92" s="575" t="n"/>
      <c r="M92" s="575" t="n"/>
      <c r="N92" s="575" t="n"/>
      <c r="O92" s="575" t="n"/>
      <c r="P92" s="575" t="n"/>
      <c r="Q92" s="716" t="inlineStr">
        <is>
          <t>A0840101</t>
        </is>
      </c>
      <c r="R92" s="716">
        <f>IF(_epmOfflineCondition_,"应交款项明细-增值税",EPMMemberDesc(Q92))</f>
        <v/>
      </c>
      <c r="S92" s="726">
        <f>IF(_epmOfflineCondition_,"应交款项明细-应交税费",EPMMemberDesc(U92))</f>
        <v/>
      </c>
      <c r="T92" s="575" t="n"/>
      <c r="U92" s="726" t="inlineStr">
        <is>
          <t>A08401</t>
        </is>
      </c>
      <c r="V92" s="591">
        <f>IF(_epmOfflineCondition_,"A08401",EPMOlapMemberO(U92,"[C_ACCOUNT].[PARENTH1].[A08401]","A08401 - 应交款项明细-应交税费","","000"))</f>
        <v/>
      </c>
      <c r="W92" s="726" t="n"/>
      <c r="X92" s="585" t="inlineStr">
        <is>
          <t>26. 应交税费总额</t>
        </is>
      </c>
      <c r="Y92" s="1312">
        <f>ROW()-45</f>
        <v/>
      </c>
      <c r="Z92" s="1349">
        <f>IF(_epmOfflineCondition_,1797689.16,EPMRetrieveData(,,$D$21,$D$22,$D$25,$D$26,$D$27,$D$28,$D$29,$Z$41,$Z$42,$Z$43,$Z$28,$Z$45,Q92)*2+EPMRetrieveData(,,$D$21,$D$22,$D$25,$D$26,$D$27,$D$28,$D$29,$Z$41,$Z$42,$Z$43,$Z$28,$Z$45,V92))</f>
        <v/>
      </c>
      <c r="AA92" s="1349">
        <f>IF(_epmOfflineCondition_,1815785.99,EPMRetrieveData(,,$D$21,$D$22,$D$25,$D$26,$D$27,$D$28,$D$29,$AA$41,$AA$42,$AA$43,$Z$28,$AA$45,V92)+EPMRetrieveData(,,$D$21,$D$22,$D$25,$D$26,$D$27,$D$28,$D$29,$AA$41,$AA$42,$AA$43,$Z$28,$AA$45,Q92)*2)</f>
        <v/>
      </c>
      <c r="AB92" s="1349">
        <f>IF(_epmOfflineCondition_,60166.68,EPMRetrieveData(,,$D$21,$D$22,$D$25,$D$26,$D$27,$D$28,$D$29,$AB$41,$AB$42,$AB$43,$Z$28,$AB$45,V92)+EPMRetrieveData(,,$D$21,$D$22,$D$25,$D$26,$D$27,$D$28,$D$29,$AB$41,$AB$42,$AB$43,$Z$28,$AB$45,R92)*2)</f>
        <v/>
      </c>
      <c r="AC92" s="1192" t="n"/>
      <c r="AD92" s="575" t="n"/>
      <c r="AE92" s="575" t="n"/>
      <c r="AF92" s="575" t="n"/>
      <c r="AG92" s="575" t="n"/>
      <c r="AH92" s="575" t="n"/>
      <c r="AI92" s="575" t="n"/>
      <c r="AJ92" s="575" t="n"/>
      <c r="AK92" s="575" t="n"/>
      <c r="AL92" s="575" t="n"/>
      <c r="AM92" s="575" t="n"/>
      <c r="AN92" s="575" t="n"/>
      <c r="AO92" s="575" t="n"/>
      <c r="AP92" s="575" t="n"/>
      <c r="AQ92" s="575" t="n"/>
      <c r="AR92" s="575" t="n"/>
    </row>
    <row r="93" ht="16.15" customFormat="1" customHeight="1" s="575">
      <c r="A93" s="575" t="n"/>
      <c r="B93" s="575" t="n"/>
      <c r="C93" s="575" t="n"/>
      <c r="D93" s="575" t="n"/>
      <c r="E93" s="575" t="n"/>
      <c r="F93" s="575" t="n"/>
      <c r="G93" s="575" t="n"/>
      <c r="H93" s="575" t="n"/>
      <c r="I93" s="575" t="n"/>
      <c r="J93" s="575" t="n"/>
      <c r="K93" s="575" t="n"/>
      <c r="L93" s="575" t="n"/>
      <c r="M93" s="575" t="n"/>
      <c r="N93" s="575" t="n"/>
      <c r="O93" s="575" t="n"/>
      <c r="P93" s="575" t="n"/>
      <c r="Q93" s="575" t="n"/>
      <c r="R93" s="575" t="n"/>
      <c r="S93" s="726">
        <f>IF(_epmOfflineCondition_,"应交款项明细-增值税",EPMMemberDesc(U93))</f>
        <v/>
      </c>
      <c r="T93" s="575" t="n"/>
      <c r="U93" s="726" t="inlineStr">
        <is>
          <t>A0840101</t>
        </is>
      </c>
      <c r="V93" s="616">
        <f>IF(_epmOfflineCondition_,"A0840101",EPMOlapMemberO(U93,"[C_ACCOUNT].[PARENTH1].[A0840101]","A0840101 - 应交款项明细-增值税","","000"))</f>
        <v/>
      </c>
      <c r="W93" s="726" t="n"/>
      <c r="X93" s="457" t="inlineStr">
        <is>
          <t xml:space="preserve">   其中：应交增值税</t>
        </is>
      </c>
      <c r="Y93" s="1312">
        <f>ROW()-45</f>
        <v/>
      </c>
      <c r="Z93" s="1349">
        <f>IF(_epmOfflineCondition_,0,EPMRetrieveData(,,$D$21,$D$22,$D$25,$D$26,$D$27,$D$28,$D$29,$Z$41,$Z$42,$Z$43,$Z$28,$Z$45,V93))</f>
        <v/>
      </c>
      <c r="AA93" s="1349">
        <f>IF(_epmOfflineCondition_,0,EPMRetrieveData(,,$D$21,$D$22,$D$25,$D$26,$D$27,$D$28,$D$29,$AA$41,$AA$42,$AA$43,$Z$28,$AA$45,V93))</f>
        <v/>
      </c>
      <c r="AB93" s="1349">
        <f>IF(_epmOfflineCondition_,0,EPMRetrieveData(,,$D$21,$D$22,$D$25,$D$26,$D$27,$D$28,$D$29,$AB$41,$AB$42,$AB$43,$Z$28,$AB$45,V93))</f>
        <v/>
      </c>
      <c r="AC93" s="1192" t="n"/>
      <c r="AD93" s="575" t="n"/>
      <c r="AE93" s="575" t="n"/>
      <c r="AF93" s="575" t="n"/>
      <c r="AG93" s="575" t="n"/>
      <c r="AH93" s="575" t="n"/>
      <c r="AI93" s="575" t="n"/>
      <c r="AJ93" s="575" t="n"/>
      <c r="AK93" s="575" t="n"/>
      <c r="AL93" s="575" t="n"/>
      <c r="AM93" s="575" t="n"/>
      <c r="AN93" s="575" t="n"/>
      <c r="AO93" s="575" t="n"/>
      <c r="AP93" s="575" t="n"/>
      <c r="AQ93" s="575" t="n"/>
      <c r="AR93" s="575" t="n"/>
    </row>
    <row r="94" ht="16.15" customFormat="1" customHeight="1" s="575">
      <c r="A94" s="575" t="n"/>
      <c r="B94" s="575" t="n"/>
      <c r="C94" s="575" t="n"/>
      <c r="D94" s="575" t="n"/>
      <c r="E94" s="575" t="n"/>
      <c r="F94" s="575" t="n"/>
      <c r="G94" s="575" t="n"/>
      <c r="H94" s="575" t="n"/>
      <c r="I94" s="575" t="n"/>
      <c r="J94" s="575" t="n"/>
      <c r="K94" s="575" t="n"/>
      <c r="L94" s="575" t="n"/>
      <c r="M94" s="575" t="n"/>
      <c r="N94" s="575" t="n"/>
      <c r="O94" s="575" t="n"/>
      <c r="P94" s="575" t="n"/>
      <c r="Q94" s="575" t="n"/>
      <c r="R94" s="575" t="n"/>
      <c r="S94" s="726">
        <f>IF(_epmOfflineCondition_,"应交款项明细-消费税",EPMMemberDesc(U94))</f>
        <v/>
      </c>
      <c r="T94" s="575" t="n"/>
      <c r="U94" s="726" t="inlineStr">
        <is>
          <t>A0840102</t>
        </is>
      </c>
      <c r="V94" s="616">
        <f>IF(_epmOfflineCondition_,"A0840102",EPMOlapMemberO(U94,"[C_ACCOUNT].[PARENTH1].[A0840102]","A0840102 - 应交款项明细-消费税","","000"))</f>
        <v/>
      </c>
      <c r="W94" s="726" t="n"/>
      <c r="X94" s="614" t="inlineStr">
        <is>
          <t xml:space="preserve">           应交消费税</t>
        </is>
      </c>
      <c r="Y94" s="1312">
        <f>ROW()-45</f>
        <v/>
      </c>
      <c r="Z94" s="1349">
        <f>IF(_epmOfflineCondition_,0,EPMRetrieveData(,,$D$21,$D$22,$D$25,$D$26,$D$27,$D$28,$D$29,$Z$41,$Z$42,$Z$43,$Z$28,$Z$45,V94))</f>
        <v/>
      </c>
      <c r="AA94" s="1349">
        <f>IF(_epmOfflineCondition_,0,EPMRetrieveData(,,$D$21,$D$22,$D$25,$D$26,$D$27,$D$28,$D$29,$AA$41,$AA$42,$AA$43,$Z$28,$AA$45,V94))</f>
        <v/>
      </c>
      <c r="AB94" s="1349">
        <f>IF(_epmOfflineCondition_,0,EPMRetrieveData(,,$D$21,$D$22,$D$25,$D$26,$D$27,$D$28,$D$29,$AB$41,$AB$42,$AB$43,$Z$28,$AB$45,V94))</f>
        <v/>
      </c>
      <c r="AC94" s="1192" t="n"/>
      <c r="AD94" s="575" t="n"/>
      <c r="AE94" s="575" t="n"/>
      <c r="AF94" s="575" t="n"/>
      <c r="AG94" s="575" t="n"/>
      <c r="AH94" s="575" t="n"/>
      <c r="AI94" s="575" t="n"/>
      <c r="AJ94" s="575" t="n"/>
      <c r="AK94" s="575" t="n"/>
      <c r="AL94" s="575" t="n"/>
      <c r="AM94" s="575" t="n"/>
      <c r="AN94" s="575" t="n"/>
      <c r="AO94" s="575" t="n"/>
      <c r="AP94" s="575" t="n"/>
      <c r="AQ94" s="575" t="n"/>
      <c r="AR94" s="575" t="n"/>
    </row>
    <row r="95" ht="16.15" customFormat="1" customHeight="1" s="575">
      <c r="A95" s="575" t="n"/>
      <c r="B95" s="575" t="n"/>
      <c r="C95" s="575" t="n"/>
      <c r="D95" s="575" t="n"/>
      <c r="E95" s="575" t="n"/>
      <c r="F95" s="575" t="n"/>
      <c r="G95" s="575" t="n"/>
      <c r="H95" s="575" t="n"/>
      <c r="I95" s="575" t="n"/>
      <c r="J95" s="575" t="n"/>
      <c r="K95" s="575" t="n"/>
      <c r="L95" s="575" t="n"/>
      <c r="M95" s="575" t="n"/>
      <c r="N95" s="575" t="n"/>
      <c r="O95" s="575" t="n"/>
      <c r="P95" s="575" t="n"/>
      <c r="Q95" s="575" t="n"/>
      <c r="R95" s="575" t="n"/>
      <c r="S95" s="726">
        <f>IF(_epmOfflineCondition_,"应交款项明细-企业所得税",EPMMemberDesc(U95))</f>
        <v/>
      </c>
      <c r="T95" s="575" t="n"/>
      <c r="U95" s="726" t="inlineStr">
        <is>
          <t>A0840109</t>
        </is>
      </c>
      <c r="V95" s="616">
        <f>IF(_epmOfflineCondition_,"A0840109",EPMOlapMemberO(U95,"[C_ACCOUNT].[PARENTH1].[A0840109]","A0840109 - 应交款项明细-企业所得税","","000"))</f>
        <v/>
      </c>
      <c r="W95" s="726" t="n"/>
      <c r="X95" s="614" t="inlineStr">
        <is>
          <t xml:space="preserve">           应交所得税</t>
        </is>
      </c>
      <c r="Y95" s="1312">
        <f>ROW()-45</f>
        <v/>
      </c>
      <c r="Z95" s="1349">
        <f>IF(_epmOfflineCondition_,0,EPMRetrieveData(,,$D$21,$D$22,$D$25,$D$26,$D$27,$D$28,$D$29,$Z$41,$Z$42,$Z$43,$Z$28,$Z$45,V95))</f>
        <v/>
      </c>
      <c r="AA95" s="1349">
        <f>IF(_epmOfflineCondition_,0,EPMRetrieveData(,,$D$21,$D$22,$D$25,$D$26,$D$27,$D$28,$D$29,$AA$41,$AA$42,$AA$43,$Z$28,$AA$45,V95))</f>
        <v/>
      </c>
      <c r="AB95" s="1349">
        <f>IF(_epmOfflineCondition_,0,EPMRetrieveData(,,$D$21,$D$22,$D$25,$D$26,$D$27,$D$28,$D$29,$AB$41,$AB$42,$AB$43,$Z$28,$AB$45,V95))</f>
        <v/>
      </c>
      <c r="AC95" s="1192" t="n"/>
      <c r="AD95" s="575" t="n"/>
      <c r="AE95" s="575" t="n"/>
      <c r="AF95" s="575" t="n"/>
      <c r="AG95" s="575" t="n"/>
      <c r="AH95" s="575" t="n"/>
      <c r="AI95" s="575" t="n"/>
      <c r="AJ95" s="575" t="n"/>
      <c r="AK95" s="575" t="n"/>
      <c r="AL95" s="575" t="n"/>
      <c r="AM95" s="575" t="n"/>
      <c r="AN95" s="575" t="n"/>
      <c r="AO95" s="575" t="n"/>
      <c r="AP95" s="575" t="n"/>
      <c r="AQ95" s="575" t="n"/>
      <c r="AR95" s="575" t="n"/>
    </row>
    <row r="96" ht="16.15" customFormat="1" customHeight="1" s="575">
      <c r="A96" s="575" t="n"/>
      <c r="B96" s="575" t="n"/>
      <c r="C96" s="575" t="n"/>
      <c r="D96" s="575" t="n"/>
      <c r="E96" s="575" t="n"/>
      <c r="F96" s="575" t="n"/>
      <c r="G96" s="575" t="n"/>
      <c r="H96" s="575" t="n"/>
      <c r="I96" s="575" t="n"/>
      <c r="J96" s="575" t="n"/>
      <c r="K96" s="575" t="n"/>
      <c r="L96" s="575" t="n"/>
      <c r="M96" s="575" t="n"/>
      <c r="N96" s="1348" t="n"/>
      <c r="O96" s="1348" t="n"/>
      <c r="P96" s="1348" t="n"/>
      <c r="Q96" s="575" t="n"/>
      <c r="R96" s="575" t="n"/>
      <c r="S96" s="726">
        <f>IF(_epmOfflineCondition_,"应交款项明细-应交税费",EPMMemberDesc(U96))</f>
        <v/>
      </c>
      <c r="T96" s="575" t="n"/>
      <c r="U96" s="726" t="inlineStr">
        <is>
          <t>A08401</t>
        </is>
      </c>
      <c r="V96" s="591">
        <f>IF(_epmOfflineCondition_,"A08401",EPMOlapMemberO(U96,"[C_ACCOUNT].[PARENTH1].[A08401]","A08401 - 应交款项明细-应交税费","","000"))</f>
        <v/>
      </c>
      <c r="W96" s="726" t="n"/>
      <c r="X96" s="585" t="inlineStr">
        <is>
          <t>27. 已交税费总额</t>
        </is>
      </c>
      <c r="Y96" s="1312">
        <f>ROW()-45</f>
        <v/>
      </c>
      <c r="Z96" s="1349">
        <f>IF(_epmOfflineCondition_,0,EPMRetrieveData(,,$D$21,$D$22,$D$25,$D$26,$D$27,$D$28,$D$29,$Z$41,$Z$42,$Z$43,$AA$28,$Z$45,V96)*-1)</f>
        <v/>
      </c>
      <c r="AA96" s="1349">
        <f>IF(_epmOfflineCondition_,17238.62,EPMRetrieveData(,,$D$21,$D$22,$D$25,$D$26,$D$27,$D$28,$D$29,$AA$41,$AA$42,$AA$43,$AA$28,$AA$45,V96)*-1)</f>
        <v/>
      </c>
      <c r="AB96" s="1349">
        <f>IF(_epmOfflineCondition_,83572.6,EPMRetrieveData(,,$D$21,$D$22,$D$25,$D$26,$D$27,$D$28,$D$29,$AB$41,$AB$42,$AB$43,$AA$28,$AB$45,V96)*-1)</f>
        <v/>
      </c>
      <c r="AC96" s="1192" t="n"/>
      <c r="AD96" s="575" t="n"/>
      <c r="AE96" s="575" t="n"/>
      <c r="AF96" s="575" t="n"/>
      <c r="AG96" s="575" t="n"/>
      <c r="AH96" s="575" t="n"/>
      <c r="AI96" s="575" t="n"/>
      <c r="AJ96" s="575" t="n"/>
      <c r="AK96" s="575" t="n"/>
      <c r="AL96" s="575" t="n"/>
      <c r="AM96" s="575" t="n"/>
      <c r="AN96" s="575" t="n"/>
      <c r="AO96" s="575" t="n"/>
      <c r="AP96" s="575" t="n"/>
      <c r="AQ96" s="575" t="n"/>
      <c r="AR96" s="575" t="n"/>
    </row>
    <row r="97" ht="16.15" customFormat="1" customHeight="1" s="575">
      <c r="A97" s="575" t="n"/>
      <c r="B97" s="575" t="n"/>
      <c r="C97" s="575" t="n"/>
      <c r="D97" s="575" t="n"/>
      <c r="E97" s="575" t="n"/>
      <c r="F97" s="575" t="n"/>
      <c r="G97" s="575" t="n"/>
      <c r="H97" s="575" t="n"/>
      <c r="I97" s="575" t="n"/>
      <c r="J97" s="575" t="n"/>
      <c r="K97" s="575" t="n"/>
      <c r="L97" s="575" t="n"/>
      <c r="M97" s="575" t="n"/>
      <c r="N97" s="575" t="n"/>
      <c r="O97" s="575" t="n"/>
      <c r="P97" s="575" t="n"/>
      <c r="Q97" s="575" t="n"/>
      <c r="R97" s="575" t="n"/>
      <c r="S97" s="726">
        <f>IF(_epmOfflineCondition_,"应交款项明细-增值税",EPMMemberDesc(U97))</f>
        <v/>
      </c>
      <c r="T97" s="575" t="n"/>
      <c r="U97" s="726" t="inlineStr">
        <is>
          <t>A0840101</t>
        </is>
      </c>
      <c r="V97" s="616">
        <f>IF(_epmOfflineCondition_,"A0840101",EPMOlapMemberO(U97,"[C_ACCOUNT].[PARENTH1].[A0840101]","A0840101 - 应交款项明细-增值税","","000"))</f>
        <v/>
      </c>
      <c r="W97" s="726" t="n"/>
      <c r="X97" s="614" t="inlineStr">
        <is>
          <t>其中：已交增值税</t>
        </is>
      </c>
      <c r="Y97" s="1312">
        <f>ROW()-45</f>
        <v/>
      </c>
      <c r="Z97" s="1349">
        <f>IF(_epmOfflineCondition_,0,EPMRetrieveData(,,$D$21,$D$22,$D$25,$D$26,$D$27,$D$28,$D$29,$Z$41,$Z$42,$Z$43,$AA$28,$Z$45,V97))</f>
        <v/>
      </c>
      <c r="AA97" s="1349">
        <f>IF(_epmOfflineCondition_,0,ABS(EPMRetrieveData(,,$D$21,$D$22,$D$25,$D$26,$D$27,$D$28,$D$29,$AA$41,$AA$42,$AA$43,$AA$28,$AA$45,V97)))</f>
        <v/>
      </c>
      <c r="AB97" s="1349">
        <f>IF(_epmOfflineCondition_,0,ABS(EPMRetrieveData(,,$D$21,$D$22,$D$25,$D$26,$D$27,$D$28,$D$29,$AB$41,$AB$42,$AB$43,$AA$28,$AB$45,V97)))</f>
        <v/>
      </c>
      <c r="AC97" s="1192" t="n"/>
      <c r="AD97" s="575" t="n"/>
      <c r="AE97" s="575" t="n"/>
      <c r="AF97" s="575" t="n"/>
      <c r="AG97" s="575" t="n"/>
      <c r="AH97" s="575" t="n"/>
      <c r="AI97" s="575" t="n"/>
      <c r="AJ97" s="575" t="n"/>
      <c r="AK97" s="575" t="n"/>
      <c r="AL97" s="575" t="n"/>
      <c r="AM97" s="575" t="n"/>
      <c r="AN97" s="575" t="n"/>
      <c r="AO97" s="575" t="n"/>
      <c r="AP97" s="575" t="n"/>
      <c r="AQ97" s="575" t="n"/>
      <c r="AR97" s="575" t="n"/>
    </row>
    <row r="98" ht="16.15" customFormat="1" customHeight="1" s="575">
      <c r="A98" s="575" t="n"/>
      <c r="B98" s="575" t="n"/>
      <c r="C98" s="575" t="n"/>
      <c r="D98" s="575" t="n"/>
      <c r="E98" s="575" t="n"/>
      <c r="F98" s="575" t="n"/>
      <c r="G98" s="575" t="n"/>
      <c r="H98" s="575" t="n"/>
      <c r="I98" s="575" t="n"/>
      <c r="J98" s="575" t="n"/>
      <c r="K98" s="575" t="n"/>
      <c r="L98" s="575" t="n"/>
      <c r="M98" s="605" t="inlineStr">
        <is>
          <t>应发职工薪酬总额=人工成本表第一行企业人工成本总额（含劳务派遣）-本年累计应发</t>
        </is>
      </c>
      <c r="N98" s="1358">
        <f>SUM(N100:N102,N106:N115,N118,N137:N141)-N140</f>
        <v/>
      </c>
      <c r="O98" s="1358">
        <f>SUM(O100:O102,O106:O115,O118,O137:O141)-O140</f>
        <v/>
      </c>
      <c r="P98" s="1358">
        <f>SUM(P100:P102,P106:P115,P118,P137:P141)-P140</f>
        <v/>
      </c>
      <c r="Q98" s="575" t="n"/>
      <c r="R98" s="575" t="n"/>
      <c r="S98" s="726">
        <f>IF(_epmOfflineCondition_,"应交款项明细-消费税",EPMMemberDesc(U98))</f>
        <v/>
      </c>
      <c r="T98" s="575" t="n"/>
      <c r="U98" s="726" t="inlineStr">
        <is>
          <t>A0840102</t>
        </is>
      </c>
      <c r="V98" s="616">
        <f>IF(_epmOfflineCondition_,"A0840102",EPMOlapMemberO(U98,"[C_ACCOUNT].[PARENTH1].[A0840102]","A0840102 - 应交款项明细-消费税","","000"))</f>
        <v/>
      </c>
      <c r="W98" s="726" t="n"/>
      <c r="X98" s="460" t="inlineStr">
        <is>
          <t xml:space="preserve"> 已交消费税</t>
        </is>
      </c>
      <c r="Y98" s="1312">
        <f>ROW()-45</f>
        <v/>
      </c>
      <c r="Z98" s="1349">
        <f>IF(_epmOfflineCondition_,0,EPMRetrieveData(,,$D$21,$D$22,$D$25,$D$26,$D$27,$D$28,$D$29,$Z$41,$Z$42,$Z$43,$AA$28,$Z$45,V98)*-1)</f>
        <v/>
      </c>
      <c r="AA98" s="1349">
        <f>IF(_epmOfflineCondition_,0,EPMRetrieveData(,,$D$21,$D$22,$D$25,$D$26,$D$27,$D$28,$D$29,$AA$41,$AA$42,$AA$43,$AA$28,$AA$45,V98)*-1)</f>
        <v/>
      </c>
      <c r="AB98" s="1349">
        <f>IF(_epmOfflineCondition_,0,EPMRetrieveData(,,$D$21,$D$22,$D$25,$D$26,$D$27,$D$28,$D$29,$AB$41,$AB$42,$AB$43,$AA$28,$AB$45,V98)*-1)</f>
        <v/>
      </c>
      <c r="AC98" s="1192" t="n"/>
      <c r="AD98" s="575" t="n"/>
      <c r="AE98" s="1359" t="n"/>
      <c r="AF98" s="575" t="n"/>
      <c r="AG98" s="575" t="n"/>
      <c r="AH98" s="575" t="n"/>
      <c r="AI98" s="575" t="n"/>
      <c r="AJ98" s="575" t="n"/>
      <c r="AK98" s="575" t="n"/>
      <c r="AL98" s="575" t="n"/>
      <c r="AM98" s="575" t="n"/>
      <c r="AN98" s="575" t="n"/>
      <c r="AO98" s="575" t="n"/>
      <c r="AP98" s="575" t="n"/>
      <c r="AQ98" s="575" t="n"/>
      <c r="AR98" s="575" t="n"/>
    </row>
    <row r="99" ht="16.15" customFormat="1" customHeight="1" s="575">
      <c r="A99" s="575" t="n"/>
      <c r="B99" s="575" t="n"/>
      <c r="C99" s="575" t="n"/>
      <c r="D99" s="575" t="n"/>
      <c r="E99" s="575" t="n"/>
      <c r="F99" s="575" t="n"/>
      <c r="G99" s="575" t="n"/>
      <c r="H99" s="575" t="n"/>
      <c r="I99" s="575" t="n"/>
      <c r="J99" s="575" t="n"/>
      <c r="K99" s="575" t="n"/>
      <c r="L99" s="575" t="n"/>
      <c r="M99" s="575" t="n"/>
      <c r="N99" s="434" t="inlineStr">
        <is>
          <t>上年同期</t>
        </is>
      </c>
      <c r="O99" s="603" t="inlineStr">
        <is>
          <t>本年累计</t>
        </is>
      </c>
      <c r="P99" s="603" t="inlineStr">
        <is>
          <t>本月</t>
        </is>
      </c>
      <c r="Q99" s="575" t="n"/>
      <c r="R99" s="575" t="n"/>
      <c r="S99" s="726">
        <f>IF(_epmOfflineCondition_,"应交款项明细-企业所得税",EPMMemberDesc(U99))</f>
        <v/>
      </c>
      <c r="T99" s="575" t="n"/>
      <c r="U99" s="726" t="inlineStr">
        <is>
          <t>A0840109</t>
        </is>
      </c>
      <c r="V99" s="616">
        <f>IF(_epmOfflineCondition_,"A0840109",EPMOlapMemberO(U99,"[C_ACCOUNT].[PARENTH1].[A0840109]","A0840109 - 应交款项明细-企业所得税","","000"))</f>
        <v/>
      </c>
      <c r="W99" s="726" t="n"/>
      <c r="X99" s="460" t="inlineStr">
        <is>
          <t xml:space="preserve"> 已交所得税</t>
        </is>
      </c>
      <c r="Y99" s="1312">
        <f>ROW()-45</f>
        <v/>
      </c>
      <c r="Z99" s="1349">
        <f>IF(_epmOfflineCondition_,0,EPMRetrieveData(,,$D$21,$D$22,$D$25,$D$26,$D$27,$D$28,$D$29,$Z$41,$Z$42,$Z$43,$AA$28,$Z$45,V99)*-1)</f>
        <v/>
      </c>
      <c r="AA99" s="1349">
        <f>IF(_epmOfflineCondition_,0,EPMRetrieveData(,,$D$21,$D$22,$D$25,$D$26,$D$27,$D$28,$D$29,$AA$41,$AA$42,$AA$43,$AA$28,$AA$45,V99)*-1)</f>
        <v/>
      </c>
      <c r="AB99" s="1349">
        <f>IF(_epmOfflineCondition_,0,EPMRetrieveData(,,$D$21,$D$22,$D$25,$D$26,$D$27,$D$28,$D$29,$AB$41,$AB$42,$AB$43,$AA$28,$AB$45,V99)*-1)</f>
        <v/>
      </c>
      <c r="AC99" s="1192" t="n"/>
      <c r="AD99" s="575" t="n"/>
      <c r="AE99" s="575" t="n"/>
      <c r="AF99" s="575" t="n"/>
      <c r="AG99" s="575" t="n"/>
      <c r="AH99" s="575" t="n"/>
      <c r="AI99" s="575" t="n"/>
      <c r="AJ99" s="575" t="n"/>
      <c r="AK99" s="575" t="n"/>
      <c r="AL99" s="575" t="n"/>
      <c r="AM99" s="575" t="n"/>
      <c r="AN99" s="575" t="n"/>
      <c r="AO99" s="575" t="n"/>
      <c r="AP99" s="575" t="n"/>
      <c r="AQ99" s="575" t="n"/>
      <c r="AR99" s="575" t="n"/>
    </row>
    <row r="100" ht="16.15" customFormat="1" customHeight="1" s="575">
      <c r="A100" s="575" t="n"/>
      <c r="B100" s="575" t="n"/>
      <c r="C100" s="575" t="n"/>
      <c r="D100" s="575" t="n"/>
      <c r="E100" s="575" t="n"/>
      <c r="F100" s="575" t="n"/>
      <c r="G100" s="575" t="n"/>
      <c r="H100" s="575" t="n"/>
      <c r="I100" s="575" t="n"/>
      <c r="J100" s="575" t="n"/>
      <c r="K100" s="575" t="n"/>
      <c r="L100" s="575" t="n"/>
      <c r="M100" s="575" t="n"/>
      <c r="N100" s="1348">
        <f>IF(_epmOfflineCondition_,531563.5,EPMRetrieveData(,,$D$21,$D$22,$D$25,$D$26,$D$27,$D$28,$D$29,$AB$41,$AB$42,$AB$43,$Z$28,$AB$45,Q100))</f>
        <v/>
      </c>
      <c r="O100" s="1348">
        <f>IF(_epmOfflineCondition_,1108035.55,EPMRetrieveData(,,$D$21,$D$22,$D$25,$D$26,$D$27,$D$28,$D$29,$AA$41,$AA$42,$AA$43,$Z$28,$AA$45,Q100))</f>
        <v/>
      </c>
      <c r="P100" s="1348">
        <f>IF(_epmOfflineCondition_,397586.2,EPMRetrieveData(,,$D$21,$D$22,$D$25,$D$26,$D$27,$D$28,$D$29,$Z$41,$Z$42,$Z$43,$Z$28,$Z$45,Q100))</f>
        <v/>
      </c>
      <c r="Q100" s="608" t="inlineStr">
        <is>
          <t>A0070301</t>
        </is>
      </c>
      <c r="R100" s="575">
        <f>IF(_epmOfflineCondition_,"人工成本明细-应发工资总额",EPMMemberDesc(Q100))</f>
        <v/>
      </c>
      <c r="S100" s="726">
        <f>IF(_epmOfflineCondition_,"人工成本明细-应发职工人工成本总额",EPMMemberDesc(U100))</f>
        <v/>
      </c>
      <c r="T100" s="575" t="n"/>
      <c r="U100" s="726" t="inlineStr">
        <is>
          <t>A00703</t>
        </is>
      </c>
      <c r="V100" s="616" t="n"/>
      <c r="W100" s="726" t="n"/>
      <c r="X100" s="585" t="inlineStr">
        <is>
          <t>28.应发职工薪酬（不含劳务派遣费用）</t>
        </is>
      </c>
      <c r="Y100" s="1312">
        <f>ROW()-45</f>
        <v/>
      </c>
      <c r="Z100" s="1349">
        <f>SUM(P100:P102,P106:P116,P137:P141)-P140</f>
        <v/>
      </c>
      <c r="AA100" s="1349">
        <f>SUM(O100:O102,O106:O116,O137:O141)-O140</f>
        <v/>
      </c>
      <c r="AB100" s="1349">
        <f>SUM(N100:N102,N106:N116,N137:N141)-N140</f>
        <v/>
      </c>
      <c r="AC100" s="1192" t="n"/>
      <c r="AD100" s="1359" t="n"/>
      <c r="AE100" s="1359" t="n"/>
      <c r="AF100" s="1359" t="n"/>
      <c r="AG100" s="575" t="n"/>
      <c r="AH100" s="575" t="n"/>
      <c r="AI100" s="575" t="n"/>
      <c r="AJ100" s="575" t="n"/>
      <c r="AK100" s="575" t="n"/>
      <c r="AL100" s="575" t="n"/>
      <c r="AM100" s="575" t="n"/>
      <c r="AN100" s="575" t="n"/>
      <c r="AO100" s="575" t="n"/>
      <c r="AP100" s="575" t="n"/>
      <c r="AQ100" s="575" t="n"/>
      <c r="AR100" s="575" t="n"/>
    </row>
    <row r="101" ht="16.15" customFormat="1" customHeight="1" s="575">
      <c r="A101" s="575" t="n"/>
      <c r="B101" s="575" t="n"/>
      <c r="C101" s="575" t="n"/>
      <c r="D101" s="575" t="n"/>
      <c r="E101" s="575" t="n"/>
      <c r="F101" s="575" t="n"/>
      <c r="G101" s="575" t="n"/>
      <c r="H101" s="575" t="n"/>
      <c r="I101" s="575" t="n"/>
      <c r="J101" s="575" t="n"/>
      <c r="K101" s="575" t="n"/>
      <c r="L101" s="575" t="n"/>
      <c r="M101" s="575" t="n"/>
      <c r="N101" s="1348">
        <f>IF(_epmOfflineCondition_,206230,EPMRetrieveData(,,$D$21,$D$22,$D$25,$D$26,$D$27,$D$28,$D$29,$AB$41,$AB$42,$AB$43,$Z$28,$AB$45,Q101))</f>
        <v/>
      </c>
      <c r="O101" s="1348">
        <f>IF(_epmOfflineCondition_,427068.27,EPMRetrieveData(,,$D$21,$D$22,$D$25,$D$26,$D$27,$D$28,$D$29,$AA$41,$AA$42,$AA$43,$Z$28,$AA$45,Q101))</f>
        <v/>
      </c>
      <c r="P101" s="1348">
        <f>IF(_epmOfflineCondition_,124071.58,EPMRetrieveData(,,$D$21,$D$22,$D$25,$D$26,$D$27,$D$28,$D$29,$Z$41,$Z$42,$Z$43,$Z$28,$Z$45,Q101))</f>
        <v/>
      </c>
      <c r="Q101" s="608" t="inlineStr">
        <is>
          <t>A0070302</t>
        </is>
      </c>
      <c r="R101" s="575">
        <f>IF(_epmOfflineCondition_,"人工成本明细-社会保险费用",EPMMemberDesc(Q101))</f>
        <v/>
      </c>
      <c r="S101" s="726">
        <f>IF(_epmOfflineCondition_,"人工成本明细-应发工资总额",EPMMemberDesc(U101))</f>
        <v/>
      </c>
      <c r="T101" s="575" t="n"/>
      <c r="U101" s="726" t="inlineStr">
        <is>
          <t>A0070301</t>
        </is>
      </c>
      <c r="V101" s="616">
        <f>IF(_epmOfflineCondition_,"A0070301",EPMOlapMemberO(U101,"[C_ACCOUNT].[PARENTH1].[A0070301]","A0070301 - 人工成本明细-应发工资总额","","000"))</f>
        <v/>
      </c>
      <c r="W101" s="726" t="n"/>
      <c r="X101" s="457" t="inlineStr">
        <is>
          <t xml:space="preserve">   其中：应发职工工资总额</t>
        </is>
      </c>
      <c r="Y101" s="1312">
        <f>ROW()-45</f>
        <v/>
      </c>
      <c r="Z101" s="1349">
        <f>IF(_epmOfflineCondition_,397586.2,EPMRetrieveData(,,$D$21,$D$22,$D$25,$D$26,$D$27,$D$28,$D$29,$Z$41,$Z$42,$Z$43,$Z$28,$Z$45,V101))</f>
        <v/>
      </c>
      <c r="AA101" s="1349">
        <f>IF(_epmOfflineCondition_,1108035.55,EPMRetrieveData(,,$D$21,$D$22,$D$25,$D$26,$D$27,$D$28,$AA$41,$AA$42,$AA$43,$Z$28,$AA$45,V101))</f>
        <v/>
      </c>
      <c r="AB101" s="1349">
        <f>IF(_epmOfflineCondition_,531563.5,EPMRetrieveData(,,$D$21,$D$22,$D$25,$D$26,$D$27,$D$28,$D$29,$AB$41,$AB$42,$AB$43,$Z$28,$AB$45,V101))</f>
        <v/>
      </c>
      <c r="AC101" s="1192" t="n"/>
      <c r="AD101" s="1359" t="n"/>
      <c r="AE101" s="1359" t="n"/>
      <c r="AF101" s="1359" t="n"/>
      <c r="AG101" s="575" t="n"/>
      <c r="AH101" s="575" t="n"/>
      <c r="AI101" s="575" t="n"/>
      <c r="AJ101" s="575" t="n"/>
      <c r="AK101" s="575" t="n"/>
      <c r="AL101" s="575" t="n"/>
      <c r="AM101" s="575" t="n"/>
      <c r="AN101" s="575" t="n"/>
      <c r="AO101" s="575" t="n"/>
      <c r="AP101" s="575" t="n"/>
      <c r="AQ101" s="575" t="n"/>
      <c r="AR101" s="575" t="n"/>
    </row>
    <row r="102" ht="16.15" customFormat="1" customHeight="1" s="575">
      <c r="A102" s="575" t="n"/>
      <c r="B102" s="575" t="n"/>
      <c r="C102" s="575" t="n"/>
      <c r="D102" s="575" t="n"/>
      <c r="E102" s="575" t="n"/>
      <c r="F102" s="575" t="n"/>
      <c r="G102" s="575" t="n"/>
      <c r="H102" s="575" t="n"/>
      <c r="I102" s="575" t="n"/>
      <c r="J102" s="575" t="n"/>
      <c r="K102" s="575" t="n"/>
      <c r="L102" s="575" t="n"/>
      <c r="M102" s="575" t="n"/>
      <c r="N102" s="1348">
        <f>IF(_epmOfflineCondition_,0,EPMRetrieveData(,,$D$21,$D$22,$D$25,$D$26,$D$27,$D$28,$D$29,$AB$41,$AB$42,$AB$43,$Z$28,$AB$45,Q102))</f>
        <v/>
      </c>
      <c r="O102" s="1348">
        <f>IF(_epmOfflineCondition_,0,EPMRetrieveData(,,$D$21,$D$22,$D$25,$D$26,$D$27,$D$28,$D$29,$AA$41,$AA$42,$AA$43,$Z$28,$AA$45,Q102))</f>
        <v/>
      </c>
      <c r="P102" s="1348">
        <f>IF(_epmOfflineCondition_,0,EPMRetrieveData(,,$D$21,$D$22,$D$25,$D$26,$D$27,$D$28,$D$29,$Z$41,$Z$42,$Z$43,$Z$28,$Z$45,Q102))</f>
        <v/>
      </c>
      <c r="Q102" s="608" t="inlineStr">
        <is>
          <t>A0070303</t>
        </is>
      </c>
      <c r="R102" s="575">
        <f>IF(_epmOfflineCondition_,"人工成本明细-商业保险费用",EPMMemberDesc(Q102))</f>
        <v/>
      </c>
      <c r="S102" s="726">
        <f>IF(_epmOfflineCondition_,"人工成本明细-其中：应发工资总额",EPMMemberDesc(U102))</f>
        <v/>
      </c>
      <c r="T102" s="575" t="n"/>
      <c r="U102" s="726" t="inlineStr">
        <is>
          <t>A0070401</t>
        </is>
      </c>
      <c r="V102" s="616">
        <f>IF(_epmOfflineCondition_,"A0070401",EPMOlapMemberO(U102,"[C_ACCOUNT].[PARENTH1].[A0070401]","A0070401 - 人工成本明细-其中：应发工资总额","","000"))</f>
        <v/>
      </c>
      <c r="W102" s="726" t="n"/>
      <c r="X102" s="614" t="inlineStr">
        <is>
          <t xml:space="preserve">          其中：应发在岗职工工资总额</t>
        </is>
      </c>
      <c r="Y102" s="1312">
        <f>ROW()-45</f>
        <v/>
      </c>
      <c r="Z102" s="1349">
        <f>P100-P119-P120</f>
        <v/>
      </c>
      <c r="AA102" s="1349">
        <f>O100-O119-O120</f>
        <v/>
      </c>
      <c r="AB102" s="1349">
        <f>N100-N119-N120</f>
        <v/>
      </c>
      <c r="AC102" s="1192" t="n"/>
      <c r="AD102" s="1359" t="n"/>
      <c r="AE102" s="1359" t="n"/>
      <c r="AF102" s="1359" t="n"/>
      <c r="AG102" s="575" t="n"/>
      <c r="AH102" s="575" t="n"/>
      <c r="AI102" s="575" t="n"/>
      <c r="AJ102" s="575" t="n"/>
      <c r="AK102" s="575" t="n"/>
      <c r="AL102" s="575" t="n"/>
      <c r="AM102" s="575" t="n"/>
      <c r="AN102" s="575" t="n"/>
      <c r="AO102" s="575" t="n"/>
      <c r="AP102" s="575" t="n"/>
      <c r="AQ102" s="575" t="n"/>
      <c r="AR102" s="575" t="n"/>
    </row>
    <row r="103" ht="16.15" customFormat="1" customHeight="1" s="575">
      <c r="A103" s="575" t="n"/>
      <c r="B103" s="575" t="n"/>
      <c r="C103" s="575" t="n"/>
      <c r="D103" s="575" t="n"/>
      <c r="E103" s="575" t="n"/>
      <c r="F103" s="575" t="n"/>
      <c r="G103" s="575" t="n"/>
      <c r="H103" s="575" t="n"/>
      <c r="I103" s="575" t="n"/>
      <c r="J103" s="575" t="n"/>
      <c r="K103" s="575" t="n"/>
      <c r="L103" s="575" t="n"/>
      <c r="M103" s="575" t="n"/>
      <c r="N103" s="1348">
        <f>IF(_epmOfflineCondition_,531563.5,-EPMRetrieveData(,,$D$21,$D$22,$D$25,$D$26,$D$27,$D$28,$D$29,$AB$41,$AB$42,$AB$43,$AA$28,$AB$45,Q103))</f>
        <v/>
      </c>
      <c r="O103" s="1348">
        <f>IF(_epmOfflineCondition_,1108035.55,-EPMRetrieveData(,,$D$21,$D$22,$D$25,$D$26,$D$27,$D$28,$D$29,$AA$41,$AB$42,$AB$43,$AA$28,$AB$45,Q103))</f>
        <v/>
      </c>
      <c r="P103" s="1348">
        <f>IF(_epmOfflineCondition_,397586.2,-EPMRetrieveData(,,$D$21,$D$22,$D$25,$D$26,$D$27,$D$28,$D$29,$Z$41,$AB$42,$AB$43,$AA$28,$AB$45,Q103,$Z$45))</f>
        <v/>
      </c>
      <c r="Q103" s="575" t="inlineStr">
        <is>
          <t>A0070301</t>
        </is>
      </c>
      <c r="R103" s="575">
        <f>IF(_epmOfflineCondition_,"人工成本明细-应发工资总额",EPMMemberDesc(Q103))</f>
        <v/>
      </c>
      <c r="S103" s="726">
        <f>IF(_epmOfflineCondition_,"人工成本明细-应发职工人工成本总额",EPMMemberDesc(U103))</f>
        <v/>
      </c>
      <c r="T103" s="575" t="n"/>
      <c r="U103" s="726" t="inlineStr">
        <is>
          <t>A00703</t>
        </is>
      </c>
      <c r="V103" s="616" t="n"/>
      <c r="W103" s="726" t="n"/>
      <c r="X103" s="585" t="inlineStr">
        <is>
          <t>29.实际发放职工薪酬（不含劳务派遣费用）</t>
        </is>
      </c>
      <c r="Y103" s="1312">
        <f>ROW()-45</f>
        <v/>
      </c>
      <c r="Z103" s="1349">
        <f>SUM(P103:P105,P123:P133,P144:P148)-P147</f>
        <v/>
      </c>
      <c r="AA103" s="1349">
        <f>SUM(O103:O105,O123:O133,O144:O148)-O147</f>
        <v/>
      </c>
      <c r="AB103" s="1349">
        <f>SUM(N103:N105,N123:N133,N144:N148)-N147</f>
        <v/>
      </c>
      <c r="AC103" s="1192" t="n"/>
      <c r="AD103" s="1359" t="n"/>
      <c r="AE103" s="1359" t="n"/>
      <c r="AF103" s="1359" t="n"/>
      <c r="AG103" s="575" t="n"/>
      <c r="AH103" s="575" t="n"/>
      <c r="AI103" s="575" t="n"/>
      <c r="AJ103" s="575" t="n"/>
      <c r="AK103" s="575" t="n"/>
      <c r="AL103" s="575" t="n"/>
      <c r="AM103" s="575" t="n"/>
      <c r="AN103" s="575" t="n"/>
      <c r="AO103" s="575" t="n"/>
      <c r="AP103" s="575" t="n"/>
      <c r="AQ103" s="575" t="n"/>
      <c r="AR103" s="575" t="n"/>
    </row>
    <row r="104" ht="16.15" customFormat="1" customHeight="1" s="575">
      <c r="A104" s="575" t="n"/>
      <c r="B104" s="575" t="n"/>
      <c r="C104" s="575" t="n"/>
      <c r="D104" s="575" t="n"/>
      <c r="E104" s="575" t="n"/>
      <c r="F104" s="575" t="n"/>
      <c r="G104" s="575" t="n"/>
      <c r="H104" s="575" t="n"/>
      <c r="I104" s="575" t="n"/>
      <c r="J104" s="575" t="n"/>
      <c r="K104" s="575" t="n"/>
      <c r="L104" s="575" t="n"/>
      <c r="M104" s="575" t="n"/>
      <c r="N104" s="1348">
        <f>IF(_epmOfflineCondition_,206230,-EPMRetrieveData(,,$D$21,$D$22,$D$25,$D$26,$D$27,$D$28,$D$29,$AB$41,$AB$42,$AB$43,$AA$28,$AB$45,Q104))</f>
        <v/>
      </c>
      <c r="O104" s="1348">
        <f>IF(_epmOfflineCondition_,427068.27,-EPMRetrieveData(,,$D$21,$D$22,$D$25,$D$26,$D$27,$D$28,$D$29,$AA$41,$AB$42,$AB$43,$AA$28,$AB$45,Q104))</f>
        <v/>
      </c>
      <c r="P104" s="1348">
        <f>IF(_epmOfflineCondition_,124071.58,-EPMRetrieveData(,,$D$21,$D$22,$D$25,$D$26,$D$27,$D$28,$D$29,$Z$41,$AB$42,$AB$43,$AA$28,$AB$45,Q104,$Z$45))</f>
        <v/>
      </c>
      <c r="Q104" s="575" t="inlineStr">
        <is>
          <t>A0070302</t>
        </is>
      </c>
      <c r="R104" s="575">
        <f>IF(_epmOfflineCondition_,"人工成本明细-社会保险费用",EPMMemberDesc(Q104))</f>
        <v/>
      </c>
      <c r="S104" s="726">
        <f>IF(_epmOfflineCondition_,"人工成本明细-应发工资总额",EPMMemberDesc(U104))</f>
        <v/>
      </c>
      <c r="T104" s="575" t="n"/>
      <c r="U104" s="726" t="inlineStr">
        <is>
          <t>A0070301</t>
        </is>
      </c>
      <c r="V104" s="616">
        <f>IF(_epmOfflineCondition_,"A0070301",EPMOlapMemberO(U104,"[C_ACCOUNT].[PARENTH1].[A0070301]","A0070301 - 人工成本明细-应发工资总额","","000"))</f>
        <v/>
      </c>
      <c r="W104" s="726" t="n"/>
      <c r="X104" s="457" t="inlineStr">
        <is>
          <t xml:space="preserve">   其中：实际发放职工工资总额</t>
        </is>
      </c>
      <c r="Y104" s="1312">
        <f>ROW()-45</f>
        <v/>
      </c>
      <c r="Z104" s="1349">
        <f>IF(_epmOfflineCondition_,397586.2,-EPMRetrieveData(,,$D$21,$D$22,$D$25,$D$26,$D$27,$D$28,$D$29,$Z$41,$Z$42,$Z$43,$AA$28,$Z$45,V104))</f>
        <v/>
      </c>
      <c r="AA104" s="1349">
        <f>IF(_epmOfflineCondition_,1108035.55,-EPMRetrieveData(,,$D$21,$D$22,$D$25,$D$26,$D$27,$D$28,$AA$41,$AA$42,$AA$43,$AA$28,$AA$45,V104))</f>
        <v/>
      </c>
      <c r="AB104" s="1349">
        <f>IF(_epmOfflineCondition_,531563.5,-EPMRetrieveData(,,$D$21,$D$22,$D$25,$D$26,$D$27,$D$28,$D$29,$AB$41,$AB$42,$AB$43,$AA$28,$AB$45,V104))</f>
        <v/>
      </c>
      <c r="AC104" s="1192" t="n"/>
      <c r="AD104" s="1359" t="n"/>
      <c r="AE104" s="1359" t="n"/>
      <c r="AF104" s="1359" t="n"/>
      <c r="AG104" s="575" t="n"/>
      <c r="AH104" s="575" t="n"/>
      <c r="AI104" s="575" t="n"/>
      <c r="AJ104" s="575" t="n"/>
      <c r="AK104" s="575" t="n"/>
      <c r="AL104" s="575" t="n"/>
      <c r="AM104" s="575" t="n"/>
      <c r="AN104" s="575" t="n"/>
      <c r="AO104" s="575" t="n"/>
      <c r="AP104" s="575" t="n"/>
      <c r="AQ104" s="575" t="n"/>
      <c r="AR104" s="575" t="n"/>
    </row>
    <row r="105" ht="16.15" customFormat="1" customHeight="1" s="575">
      <c r="A105" s="575" t="n"/>
      <c r="B105" s="575" t="n"/>
      <c r="C105" s="575" t="n"/>
      <c r="D105" s="575" t="n"/>
      <c r="E105" s="575" t="n"/>
      <c r="F105" s="575" t="n"/>
      <c r="G105" s="575" t="n"/>
      <c r="H105" s="575" t="n"/>
      <c r="I105" s="575" t="n"/>
      <c r="J105" s="575" t="n"/>
      <c r="K105" s="575" t="n"/>
      <c r="L105" s="575" t="n"/>
      <c r="M105" s="575" t="n"/>
      <c r="N105" s="1348">
        <f>IF(_epmOfflineCondition_,0,-EPMRetrieveData(,,$D$21,$D$22,$D$25,$D$26,$D$27,$D$28,$D$29,$AB$41,$AB$42,$AB$43,$AA$28,$AB$45,Q105))</f>
        <v/>
      </c>
      <c r="O105" s="1348">
        <f>IF(_epmOfflineCondition_,0,-EPMRetrieveData(,,$D$21,$D$22,$D$25,$D$26,$D$27,$D$28,$D$29,$AA$41,$AB$42,$AB$43,$AA$28,$AB$45,Q105))</f>
        <v/>
      </c>
      <c r="P105" s="1348">
        <f>IF(_epmOfflineCondition_,0,-EPMRetrieveData(,,$D$21,$D$22,$D$25,$D$26,$D$27,$D$28,$D$29,$Z$41,$AB$42,$AB$43,$AA$28,$AB$45,Q105,$Z$45))</f>
        <v/>
      </c>
      <c r="Q105" s="575" t="inlineStr">
        <is>
          <t>A0070303</t>
        </is>
      </c>
      <c r="R105" s="575">
        <f>IF(_epmOfflineCondition_,"人工成本明细-商业保险费用",EPMMemberDesc(Q105))</f>
        <v/>
      </c>
      <c r="S105" s="726">
        <f>IF(_epmOfflineCondition_,"人工成本明细-其中：应发工资总额",EPMMemberDesc(U105))</f>
        <v/>
      </c>
      <c r="T105" s="575" t="n"/>
      <c r="U105" s="726" t="inlineStr">
        <is>
          <t>A0070401</t>
        </is>
      </c>
      <c r="V105" s="616">
        <f>IF(_epmOfflineCondition_,"A0070401",EPMOlapMemberO(U105,"[C_ACCOUNT].[PARENTH1].[A0070401]","A0070401 - 人工成本明细-其中：应发工资总额","","000"))</f>
        <v/>
      </c>
      <c r="W105" s="726" t="n"/>
      <c r="X105" s="614" t="inlineStr">
        <is>
          <t xml:space="preserve">          其中：实际发放在岗职工工资总额</t>
        </is>
      </c>
      <c r="Y105" s="1312">
        <f>ROW()-45</f>
        <v/>
      </c>
      <c r="Z105" s="1349">
        <f>P103-P134-P135</f>
        <v/>
      </c>
      <c r="AA105" s="1349">
        <f>O103-O134-O135</f>
        <v/>
      </c>
      <c r="AB105" s="1349">
        <f>N103-N134-N135</f>
        <v/>
      </c>
      <c r="AC105" s="1192" t="n"/>
      <c r="AD105" s="1359" t="n"/>
      <c r="AE105" s="1359" t="n"/>
      <c r="AF105" s="1359" t="n"/>
      <c r="AG105" s="575" t="n"/>
      <c r="AH105" s="575" t="n"/>
      <c r="AI105" s="575" t="n"/>
      <c r="AJ105" s="575" t="n"/>
      <c r="AK105" s="575" t="n"/>
      <c r="AL105" s="575" t="n"/>
      <c r="AM105" s="575" t="n"/>
      <c r="AN105" s="575" t="n"/>
      <c r="AO105" s="575" t="n"/>
      <c r="AP105" s="575" t="n"/>
      <c r="AQ105" s="575" t="n"/>
      <c r="AR105" s="575" t="n"/>
    </row>
    <row r="106" ht="16.15" customFormat="1" customHeight="1" s="575">
      <c r="A106" s="575" t="n"/>
      <c r="B106" s="575" t="n"/>
      <c r="C106" s="575" t="n"/>
      <c r="D106" s="575" t="n"/>
      <c r="E106" s="575" t="n"/>
      <c r="F106" s="575" t="n"/>
      <c r="G106" s="575" t="n"/>
      <c r="H106" s="575" t="n"/>
      <c r="I106" s="575" t="n"/>
      <c r="J106" s="575" t="n"/>
      <c r="K106" s="575" t="n"/>
      <c r="L106" s="575" t="n"/>
      <c r="M106" s="575" t="n"/>
      <c r="N106" s="1348">
        <f>IF(_epmOfflineCondition_,248103.86,EPMRetrieveData(,,$D$21,$D$22,$D$25,$D$26,$D$27,$D$28,$D$29,$AB$41,$AB$42,$AB$43,$Z$28,$AB$45,Q106))</f>
        <v/>
      </c>
      <c r="O106" s="1348">
        <f>IF(_epmOfflineCondition_,81855.46,EPMRetrieveData(,,$D$21,$D$22,$D$25,$D$26,$D$27,$D$28,$D$29,$AA$41,$AA$42,$AA$43,$Z$28,$AA$45,Q106))</f>
        <v/>
      </c>
      <c r="P106" s="1348">
        <f>IF(_epmOfflineCondition_,24389.54,EPMRetrieveData(,,$D$21,$D$22,$D$25,$D$26,$D$27,$D$28,$D$29,$Z$41,$Z$42,$Z$43,$Z$28,$Z$45,Q106))</f>
        <v/>
      </c>
      <c r="Q106" s="608" t="inlineStr">
        <is>
          <t>A0070304P</t>
        </is>
      </c>
      <c r="R106" s="575">
        <f>IF(_epmOfflineCondition_,"人工成本明细-福利费用",EPMMemberDesc(Q106))</f>
        <v/>
      </c>
      <c r="S106" s="726">
        <f>IF(_epmOfflineCondition_,"人工成本明细-全年平均职工人数（人）",EPMMemberDesc(U106))</f>
        <v/>
      </c>
      <c r="T106" s="575" t="n"/>
      <c r="U106" s="575" t="inlineStr">
        <is>
          <t>A0070702</t>
        </is>
      </c>
      <c r="V106" s="616">
        <f>IF(_epmOfflineCondition_,"A0070702",EPMOlapMemberO(U106,"[C_ACCOUNT].[PARENTH1].[A0070702]","A0070702 - 人工成本明细-全年平均职工人数（人）","","000"))</f>
        <v/>
      </c>
      <c r="W106" s="726" t="n"/>
      <c r="X106" s="585" t="inlineStr">
        <is>
          <t>30. 职工人数（人）（不含劳务派遣人员）</t>
        </is>
      </c>
      <c r="Y106" s="1312">
        <f>ROW()-45</f>
        <v/>
      </c>
      <c r="Z106" s="1356">
        <f>"— —"</f>
        <v/>
      </c>
      <c r="AA106" s="1349">
        <f>IF(_epmOfflineCondition_,21,EPMRetrieveData(,,$D$21,$D$22,$C$25,$C$26,$C$27,$C$28,$C$29,$AA$41,$AA$42,$AA$43,$Z$28,$AA$45,V106))</f>
        <v/>
      </c>
      <c r="AB106" s="1349">
        <f>IF(_epmOfflineCondition_,12,EPMRetrieveData(,,$D$21,$D$22,$C$25,$C$26,$C$27,$C$28,$C$29,$AB$41,$AB$42,$AB$43,$Z$28,$AB$45,V106))</f>
        <v/>
      </c>
      <c r="AC106" s="1192" t="n"/>
      <c r="AD106" s="575" t="n"/>
      <c r="AE106" s="575" t="n"/>
      <c r="AF106" s="575" t="n"/>
      <c r="AG106" s="575" t="n"/>
      <c r="AH106" s="575" t="n"/>
      <c r="AI106" s="575" t="n"/>
      <c r="AJ106" s="575" t="n"/>
      <c r="AK106" s="575" t="n"/>
      <c r="AL106" s="575" t="n"/>
      <c r="AM106" s="575" t="n"/>
      <c r="AN106" s="575" t="n"/>
      <c r="AO106" s="575" t="n"/>
      <c r="AP106" s="575" t="n"/>
      <c r="AQ106" s="575" t="n"/>
      <c r="AR106" s="575" t="n"/>
    </row>
    <row r="107" ht="16.15" customFormat="1" customHeight="1" s="575">
      <c r="A107" s="575" t="n"/>
      <c r="B107" s="575" t="n"/>
      <c r="C107" s="575" t="n"/>
      <c r="D107" s="575" t="n"/>
      <c r="E107" s="575" t="n"/>
      <c r="F107" s="575" t="n"/>
      <c r="G107" s="575" t="n"/>
      <c r="H107" s="575" t="n"/>
      <c r="I107" s="575" t="n"/>
      <c r="J107" s="575" t="n"/>
      <c r="K107" s="575" t="n"/>
      <c r="L107" s="575" t="n"/>
      <c r="M107" s="575" t="n"/>
      <c r="N107" s="1348">
        <f>IF(_epmOfflineCondition_,3268.32,EPMRetrieveData(,,$D$21,$D$22,$D$25,$D$26,$D$27,$D$28,$D$29,$AB$41,$AB$42,$AB$43,$Z$28,$AB$45,Q107))</f>
        <v/>
      </c>
      <c r="O107" s="1348">
        <f>IF(_epmOfflineCondition_,4259.54,EPMRetrieveData(,,$D$21,$D$22,$D$25,$D$26,$D$27,$D$28,$D$29,$AA$41,$AA$42,$AA$43,$Z$28,$AA$45,Q107))</f>
        <v/>
      </c>
      <c r="P107" s="1348">
        <f>IF(_epmOfflineCondition_,893.2,EPMRetrieveData(,,$D$21,$D$22,$D$25,$D$26,$D$27,$D$28,$D$29,$Z$41,$Z$42,$Z$43,$Z$28,$Z$45,Q107))</f>
        <v/>
      </c>
      <c r="Q107" s="608" t="inlineStr">
        <is>
          <t>A0070305</t>
        </is>
      </c>
      <c r="R107" s="575">
        <f>IF(_epmOfflineCondition_,"人工成本明细-教育培训经费",EPMMemberDesc(Q107))</f>
        <v/>
      </c>
      <c r="S107" s="726">
        <f>IF(_epmOfflineCondition_,"人工成本明细-全年平均在岗职工人数（人）",EPMMemberDesc(U107))</f>
        <v/>
      </c>
      <c r="T107" s="575" t="n"/>
      <c r="U107" s="726" t="inlineStr">
        <is>
          <t>A0070703</t>
        </is>
      </c>
      <c r="V107" s="616">
        <f>IF(_epmOfflineCondition_,"A0070703",EPMOlapMemberO(U107,"[C_ACCOUNT].[PARENTH1].[A0070703]","A0070703 - 人工成本明细-全年平均在岗职工人数（人）","","000"))</f>
        <v/>
      </c>
      <c r="W107" s="726" t="n"/>
      <c r="X107" s="457" t="inlineStr">
        <is>
          <t xml:space="preserve">   其中：在岗职工人数（人）</t>
        </is>
      </c>
      <c r="Y107" s="1312">
        <f>ROW()-45</f>
        <v/>
      </c>
      <c r="Z107" s="1356">
        <f>"— —"</f>
        <v/>
      </c>
      <c r="AA107" s="1349">
        <f>IF(_epmOfflineCondition_,21,EPMRetrieveData(,,$D$21,$D$22,$C$25,$C$26,$C$27,$C$28,$C$29,$AA$41,$AA$42,$AA$43,$Z$28,$AA$45,V107))</f>
        <v/>
      </c>
      <c r="AB107" s="1349">
        <f>IF(_epmOfflineCondition_,12,EPMRetrieveData(,,$D$21,$D$22,$C$25,$C$26,$C$27,$C$28,$C$29,$AB$41,$AB$42,$AB$43,$Z$28,$AB$45,V107))</f>
        <v/>
      </c>
      <c r="AC107" s="1192" t="n"/>
      <c r="AD107" s="575" t="n"/>
      <c r="AE107" s="575" t="n"/>
      <c r="AF107" s="575" t="n"/>
      <c r="AG107" s="575" t="n"/>
      <c r="AH107" s="575" t="n"/>
      <c r="AI107" s="575" t="n"/>
      <c r="AJ107" s="575" t="n"/>
      <c r="AK107" s="575" t="n"/>
      <c r="AL107" s="575" t="n"/>
      <c r="AM107" s="575" t="n"/>
      <c r="AN107" s="575" t="n"/>
      <c r="AO107" s="575" t="n"/>
      <c r="AP107" s="575" t="n"/>
      <c r="AQ107" s="575" t="n"/>
      <c r="AR107" s="575" t="n"/>
    </row>
    <row r="108" ht="16.15" customFormat="1" customHeight="1" s="575">
      <c r="A108" s="575" t="n"/>
      <c r="B108" s="575" t="n"/>
      <c r="C108" s="575" t="n"/>
      <c r="D108" s="575" t="n"/>
      <c r="E108" s="575" t="n"/>
      <c r="F108" s="575" t="n"/>
      <c r="G108" s="575" t="n"/>
      <c r="H108" s="575" t="n"/>
      <c r="I108" s="575" t="n"/>
      <c r="J108" s="575" t="n"/>
      <c r="K108" s="575" t="n"/>
      <c r="L108" s="575" t="n"/>
      <c r="M108" s="575" t="n"/>
      <c r="N108" s="1348">
        <f>IF(_epmOfflineCondition_,10631.27,EPMRetrieveData(,,$D$21,$D$22,$D$25,$D$26,$D$27,$D$28,$D$29,$AB$41,$AB$42,$AB$43,$Z$28,$AB$45,Q108))</f>
        <v/>
      </c>
      <c r="O108" s="1348">
        <f>IF(_epmOfflineCondition_,22160.71,EPMRetrieveData(,,$D$21,$D$22,$D$25,$D$26,$D$27,$D$28,$D$29,$AA$41,$AA$42,$AA$43,$Z$28,$AA$45,Q108))</f>
        <v/>
      </c>
      <c r="P108" s="1348">
        <f>IF(_epmOfflineCondition_,7951.72,EPMRetrieveData(,,$D$21,$D$22,$D$25,$D$26,$D$27,$D$28,$D$29,$Z$41,$Z$42,$Z$43,$Z$28,$Z$45,Q108))</f>
        <v/>
      </c>
      <c r="Q108" s="608" t="inlineStr">
        <is>
          <t>A0070306</t>
        </is>
      </c>
      <c r="R108" s="575">
        <f>IF(_epmOfflineCondition_,"人工成本明细-工会经费",EPMMemberDesc(Q108))</f>
        <v/>
      </c>
      <c r="S108" s="726">
        <f>IF(_epmOfflineCondition_,"人工成本明细-全年平均从业人员人数（人）",EPMMemberDesc(U108))</f>
        <v/>
      </c>
      <c r="T108" s="575" t="n"/>
      <c r="U108" s="726" t="inlineStr">
        <is>
          <t>A0070701</t>
        </is>
      </c>
      <c r="V108" s="616">
        <f>IF(_epmOfflineCondition_,"A0070701",EPMOlapMemberO(U108,"[C_ACCOUNT].[PARENTH1].[A0070701]","A0070701 - 人工成本明细-全年平均从业人员人数（人）","","000"))</f>
        <v/>
      </c>
      <c r="W108" s="726" t="n"/>
      <c r="X108" s="585" t="inlineStr">
        <is>
          <t>31. 从业人员人数（人）</t>
        </is>
      </c>
      <c r="Y108" s="1312">
        <f>ROW()-45</f>
        <v/>
      </c>
      <c r="Z108" s="1356">
        <f>"— —"</f>
        <v/>
      </c>
      <c r="AA108" s="1349">
        <f>IF(_epmOfflineCondition_,21,EPMRetrieveData(,,$D$21,$D$22,$C$25,$C$26,$C$27,$C$28,$C$29,$AA$41,$AA$42,$AA$43,$Z$28,$AA$45,V108))</f>
        <v/>
      </c>
      <c r="AB108" s="1349">
        <f>IF(_epmOfflineCondition_,12,EPMRetrieveData(,,$D$21,$D$22,$C$25,$C$26,$C$27,$C$28,$C$29,$AB$41,$AB$42,$AB$43,$Z$28,$AB$45,V108))</f>
        <v/>
      </c>
      <c r="AC108" s="1192" t="n"/>
      <c r="AD108" s="575" t="n"/>
      <c r="AE108" s="575" t="n"/>
      <c r="AF108" s="575" t="n"/>
      <c r="AG108" s="575" t="n"/>
      <c r="AH108" s="575" t="n"/>
      <c r="AI108" s="575" t="n"/>
      <c r="AJ108" s="575" t="n"/>
      <c r="AK108" s="575" t="n"/>
      <c r="AL108" s="575" t="n"/>
      <c r="AM108" s="575" t="n"/>
      <c r="AN108" s="575" t="n"/>
      <c r="AO108" s="575" t="n"/>
      <c r="AP108" s="575" t="n"/>
      <c r="AQ108" s="575" t="n"/>
      <c r="AR108" s="575" t="n"/>
    </row>
    <row r="109" ht="16.15" customFormat="1" customHeight="1" s="575">
      <c r="A109" s="575" t="n"/>
      <c r="B109" s="575" t="n"/>
      <c r="C109" s="575" t="n"/>
      <c r="D109" s="575" t="n"/>
      <c r="E109" s="575" t="n"/>
      <c r="F109" s="575" t="n"/>
      <c r="G109" s="575" t="n"/>
      <c r="H109" s="575" t="n"/>
      <c r="I109" s="575" t="n"/>
      <c r="J109" s="575" t="n"/>
      <c r="K109" s="575" t="n"/>
      <c r="L109" s="575" t="n"/>
      <c r="M109" s="575" t="n"/>
      <c r="N109" s="1348">
        <f>IF(_epmOfflineCondition_,0,EPMRetrieveData(,,$D$21,$D$22,$D$25,$D$26,$D$27,$D$28,$D$29,$AB$41,$AB$42,$AB$43,$Z$28,$AB$45,Q109))</f>
        <v/>
      </c>
      <c r="O109" s="1348">
        <f>IF(_epmOfflineCondition_,925.17,EPMRetrieveData(,,$D$21,$D$22,$D$25,$D$26,$D$27,$D$28,$D$29,$AA$41,$AA$42,$AA$43,$Z$28,$AA$45,Q109))</f>
        <v/>
      </c>
      <c r="P109" s="1348">
        <f>IF(_epmOfflineCondition_,925.17,EPMRetrieveData(,,$D$21,$D$22,$D$25,$D$26,$D$27,$D$28,$D$29,$Z$41,$Z$42,$Z$43,$Z$28,$Z$45,Q109))</f>
        <v/>
      </c>
      <c r="Q109" s="608" t="inlineStr">
        <is>
          <t>A0070307</t>
        </is>
      </c>
      <c r="R109" s="575">
        <f>IF(_epmOfflineCondition_,"人工成本明细-劳动保护费",EPMMemberDesc(Q109))</f>
        <v/>
      </c>
      <c r="S109" s="726">
        <f>IF(_epmOfflineCondition_,"31.固定资产投资额",EPMMemberDesc(U109))</f>
        <v/>
      </c>
      <c r="T109" s="575" t="n"/>
      <c r="U109" s="726" t="inlineStr">
        <is>
          <t>A07810</t>
        </is>
      </c>
      <c r="V109" s="591">
        <f>IF(_epmOfflineCondition_,"A07810",EPMOlapMemberO(U109,"[C_ACCOUNT].[PARENTH1].[A07810]","A07810 - 31.固定资产投资额","","000"))</f>
        <v/>
      </c>
      <c r="W109" s="726" t="n"/>
      <c r="X109" s="585" t="inlineStr">
        <is>
          <t>32. 固定资产投资额</t>
        </is>
      </c>
      <c r="Y109" s="1312">
        <f>ROW()-45</f>
        <v/>
      </c>
      <c r="Z109" s="1349" t="inlineStr"/>
      <c r="AA109" s="1357" t="inlineStr"/>
      <c r="AB109" s="1349" t="inlineStr"/>
      <c r="AC109" s="1192">
        <f>IF(_epmOfflineCondition_,5191158.38,EPMSaveDataOnly(AA109,,$D$21,$E$22,$E$25,$E$26,$E$27,$E$28,$E$29,$AA$41,$AA$42,$Z$29,$Z$28,$AA$45,V109))</f>
        <v/>
      </c>
      <c r="AD109" s="575" t="n"/>
      <c r="AE109" s="575" t="n"/>
      <c r="AF109" s="575" t="n"/>
      <c r="AG109" s="575" t="n"/>
      <c r="AH109" s="575" t="n"/>
      <c r="AI109" s="575" t="n"/>
      <c r="AJ109" s="575" t="n"/>
      <c r="AK109" s="575" t="n"/>
      <c r="AL109" s="575" t="n"/>
      <c r="AM109" s="575" t="n"/>
      <c r="AN109" s="575" t="n"/>
      <c r="AO109" s="575" t="n"/>
      <c r="AP109" s="575" t="n"/>
      <c r="AQ109" s="575" t="n"/>
      <c r="AR109" s="575" t="n"/>
    </row>
    <row r="110" ht="16.15" customFormat="1" customHeight="1" s="575">
      <c r="A110" s="575" t="n"/>
      <c r="B110" s="575" t="n"/>
      <c r="C110" s="575" t="n"/>
      <c r="D110" s="575" t="n"/>
      <c r="E110" s="575" t="n"/>
      <c r="F110" s="575" t="n"/>
      <c r="G110" s="575" t="n"/>
      <c r="H110" s="575" t="n"/>
      <c r="I110" s="575" t="n"/>
      <c r="J110" s="575" t="n"/>
      <c r="K110" s="575" t="n"/>
      <c r="L110" s="575" t="n"/>
      <c r="M110" s="575" t="n"/>
      <c r="N110" s="1348">
        <f>IF(_epmOfflineCondition_,0,EPMRetrieveData(,,$D$21,$D$22,$D$25,$D$26,$D$27,$D$28,$D$29,$AB$41,$AB$42,$AB$43,$Z$28,$AB$45,Q110))</f>
        <v/>
      </c>
      <c r="O110" s="1348">
        <f>IF(_epmOfflineCondition_,0,EPMRetrieveData(,,$D$21,$D$22,$D$25,$D$26,$D$27,$D$28,$D$29,$AA$41,$AA$42,$AA$43,$Z$28,$AA$45,Q110))</f>
        <v/>
      </c>
      <c r="P110" s="1348">
        <f>IF(_epmOfflineCondition_,0,EPMRetrieveData(,,$D$21,$D$22,$D$25,$D$26,$D$27,$D$28,$D$29,$Z$41,$Z$42,$Z$43,$Z$28,$Z$45,Q110))</f>
        <v/>
      </c>
      <c r="Q110" s="608" t="inlineStr">
        <is>
          <t>A0070311</t>
        </is>
      </c>
      <c r="R110" s="575">
        <f>IF(_epmOfflineCondition_,"人工成本明细-辞退福利",EPMMemberDesc(Q110))</f>
        <v/>
      </c>
      <c r="S110" s="726">
        <f>IF(_epmOfflineCondition_,"32. 计提折旧额",EPMMemberDesc(U110))</f>
        <v/>
      </c>
      <c r="T110" s="575" t="n"/>
      <c r="U110" s="726" t="inlineStr">
        <is>
          <t>A07813</t>
        </is>
      </c>
      <c r="V110" s="591">
        <f>IF(_epmOfflineCondition_,"A07813",EPMOlapMemberO(U110,"[C_ACCOUNT].[PARENTH1].[A07813]","A07813 - 32. 计提折旧额","","000"))</f>
        <v/>
      </c>
      <c r="W110" s="726" t="n"/>
      <c r="X110" s="585" t="inlineStr">
        <is>
          <t>33. 计提折旧额</t>
        </is>
      </c>
      <c r="Y110" s="1312">
        <f>ROW()-45</f>
        <v/>
      </c>
      <c r="Z110" s="1349" t="inlineStr"/>
      <c r="AA110" s="1357" t="inlineStr"/>
      <c r="AB110" s="1349" t="n"/>
      <c r="AC110" s="1192">
        <f>IF(_epmOfflineCondition_,21250671.92,EPMSaveDataOnly(AA110,,$D$21,$E$22,$E$25,$E$26,$E$27,$E$28,$E$29,$AA$41,$AA$42,$Z$29,$Z$28,$AA$45,V110))</f>
        <v/>
      </c>
      <c r="AD110" s="575" t="n"/>
      <c r="AE110" s="575" t="n"/>
      <c r="AF110" s="575" t="n"/>
      <c r="AG110" s="575" t="n"/>
      <c r="AH110" s="575" t="n"/>
      <c r="AI110" s="575" t="n"/>
      <c r="AJ110" s="575" t="n"/>
      <c r="AK110" s="575" t="n"/>
      <c r="AL110" s="575" t="n"/>
      <c r="AM110" s="575" t="n"/>
      <c r="AN110" s="575" t="n"/>
      <c r="AO110" s="575" t="n"/>
      <c r="AP110" s="575" t="n"/>
      <c r="AQ110" s="575" t="n"/>
      <c r="AR110" s="575" t="n"/>
    </row>
    <row r="111" ht="27" customFormat="1" customHeight="1" s="575">
      <c r="A111" s="575" t="n"/>
      <c r="B111" s="575" t="n"/>
      <c r="C111" s="575" t="n"/>
      <c r="D111" s="575" t="n"/>
      <c r="E111" s="575" t="n"/>
      <c r="F111" s="575" t="n"/>
      <c r="G111" s="575" t="n"/>
      <c r="H111" s="575" t="n"/>
      <c r="I111" s="575" t="n"/>
      <c r="J111" s="575" t="n"/>
      <c r="K111" s="575" t="n"/>
      <c r="L111" s="575" t="n"/>
      <c r="M111" s="575" t="n"/>
      <c r="N111" s="1348">
        <f>IF(_epmOfflineCondition_,0,EPMRetrieveData(,,$D$21,$D$22,$D$25,$D$26,$D$27,$D$28,$D$29,$AB$41,$AB$42,$AB$43,$Z$28,$AB$45,Q111))</f>
        <v/>
      </c>
      <c r="O111" s="1348">
        <f>IF(_epmOfflineCondition_,0,EPMRetrieveData(,,$D$21,$D$22,$D$25,$D$26,$D$27,$D$28,$D$29,$AA$41,$AA$42,$AA$43,$Z$28,$AA$45,Q111))</f>
        <v/>
      </c>
      <c r="P111" s="1348">
        <f>IF(_epmOfflineCondition_,0,EPMRetrieveData(,,$D$21,$D$22,$D$25,$D$26,$D$27,$D$28,$D$29,$Z$41,$Z$42,$Z$43,$Z$28,$Z$45,Q111))</f>
        <v/>
      </c>
      <c r="Q111" s="608" t="inlineStr">
        <is>
          <t>A0070310</t>
        </is>
      </c>
      <c r="R111" s="575">
        <f>IF(_epmOfflineCondition_,"人工成本明细-技术奖酬金及业务设计奖",EPMMemberDesc(Q111))</f>
        <v/>
      </c>
      <c r="S111" s="726">
        <f>IF(_epmOfflineCondition_,"33.劳动生产总值",EPMMemberDesc(U111))</f>
        <v/>
      </c>
      <c r="T111" s="575" t="n"/>
      <c r="U111" s="575" t="inlineStr">
        <is>
          <t>A07801</t>
        </is>
      </c>
      <c r="V111" s="591">
        <f>IF(_epmOfflineCondition_,"A07801",EPMOlapMemberO(U111,"[C_ACCOUNT].[PARENTH1].[A07801]","A07801 - 33.劳动生产总值","","000"))</f>
        <v/>
      </c>
      <c r="W111" s="726" t="n"/>
      <c r="X111" s="585" t="inlineStr">
        <is>
          <t>34. 劳动生产总值</t>
        </is>
      </c>
      <c r="Y111" s="1312">
        <f>ROW()-45</f>
        <v/>
      </c>
      <c r="Z111" s="1349">
        <f>Z63+Z65+P98+Z92-Z95+Z110</f>
        <v/>
      </c>
      <c r="AA111" s="1349">
        <f>AA63+AA65+O98+AA92-AA95+AA110</f>
        <v/>
      </c>
      <c r="AB111" s="1349">
        <f>AB63+AB65+N98+AB92-AB95+AB110</f>
        <v/>
      </c>
      <c r="AC111" s="1192" t="n"/>
      <c r="AD111" s="575" t="n"/>
      <c r="AE111" s="575" t="n"/>
      <c r="AF111" s="575" t="n"/>
      <c r="AG111" s="575" t="n"/>
      <c r="AH111" s="575" t="n"/>
      <c r="AI111" s="575" t="n"/>
      <c r="AJ111" s="575" t="n"/>
      <c r="AK111" s="575" t="n"/>
      <c r="AL111" s="575" t="n"/>
      <c r="AM111" s="575" t="n"/>
      <c r="AN111" s="575" t="n"/>
      <c r="AO111" s="575" t="n"/>
      <c r="AP111" s="575" t="n"/>
      <c r="AQ111" s="575" t="n"/>
      <c r="AR111" s="575" t="n"/>
    </row>
    <row r="112" ht="16.15" customFormat="1" customHeight="1" s="575">
      <c r="A112" s="575" t="n"/>
      <c r="B112" s="575" t="n"/>
      <c r="C112" s="575" t="n"/>
      <c r="D112" s="575" t="n"/>
      <c r="E112" s="575" t="n"/>
      <c r="F112" s="575" t="n"/>
      <c r="G112" s="575" t="n"/>
      <c r="H112" s="575" t="n"/>
      <c r="I112" s="575" t="n"/>
      <c r="J112" s="575" t="n"/>
      <c r="K112" s="575" t="n"/>
      <c r="L112" s="575" t="n"/>
      <c r="M112" s="575" t="n"/>
      <c r="N112" s="1348">
        <f>IF(_epmOfflineCondition_,0,EPMRetrieveData(,,$D$21,$D$22,$D$25,$D$26,$D$27,$D$28,$D$29,$AB$41,$AB$42,$AB$43,$Z$28,$AB$45,Q112))</f>
        <v/>
      </c>
      <c r="O112" s="1348">
        <f>IF(_epmOfflineCondition_,0,EPMRetrieveData(,,$D$21,$D$22,$D$25,$D$26,$D$27,$D$28,$D$29,$AA$41,$AA$42,$AA$43,$Z$28,$AA$45,Q112))</f>
        <v/>
      </c>
      <c r="P112" s="1348">
        <f>IF(_epmOfflineCondition_,0,EPMRetrieveData(,,$D$21,$D$22,$D$25,$D$26,$D$27,$D$28,$D$29,$Z$41,$Z$42,$Z$43,$Z$28,$Z$45,Q112))</f>
        <v/>
      </c>
      <c r="Q112" s="608" t="inlineStr">
        <is>
          <t>A0070313</t>
        </is>
      </c>
      <c r="R112" s="575">
        <f>IF(_epmOfflineCondition_,"人工成本明细-非货币性福利",EPMMemberDesc(Q112))</f>
        <v/>
      </c>
      <c r="S112" s="726">
        <f>IF(_epmOfflineCondition_,"34.工业总产值",EPMMemberDesc(U112))</f>
        <v/>
      </c>
      <c r="T112" s="575" t="n"/>
      <c r="U112" s="575" t="inlineStr">
        <is>
          <t>A07802</t>
        </is>
      </c>
      <c r="V112" s="591">
        <f>IF(_epmOfflineCondition_,"A07802",EPMOlapMemberO(U112,"[C_ACCOUNT].[PARENTH1].[A07802]","A07802 - 34.工业总产值","","000"))</f>
        <v/>
      </c>
      <c r="W112" s="726" t="n"/>
      <c r="X112" s="585" t="inlineStr">
        <is>
          <t>35. 工业总产值</t>
        </is>
      </c>
      <c r="Y112" s="1312">
        <f>ROW()-45</f>
        <v/>
      </c>
      <c r="Z112" s="1349" t="inlineStr"/>
      <c r="AA112" s="1357" t="inlineStr"/>
      <c r="AB112" s="1349" t="inlineStr"/>
      <c r="AC112" s="1192">
        <f>IF(_epmOfflineCondition_,95074562.3406478,EPMSaveDataOnly(AA112,,$D$21,$E$22,$E$25,$E$26,$E$27,$E$28,$E$29,$AA$41,$AA$42,$Z$29,$Z$28,$AA$45,V112))</f>
        <v/>
      </c>
      <c r="AD112" s="575" t="n"/>
      <c r="AE112" s="575" t="n"/>
      <c r="AF112" s="575" t="n"/>
      <c r="AG112" s="575" t="n"/>
      <c r="AH112" s="575" t="n"/>
      <c r="AI112" s="575" t="n"/>
      <c r="AJ112" s="575" t="n"/>
      <c r="AK112" s="575" t="n"/>
      <c r="AL112" s="575" t="n"/>
      <c r="AM112" s="575" t="n"/>
      <c r="AN112" s="575" t="n"/>
      <c r="AO112" s="575" t="n"/>
      <c r="AP112" s="575" t="n"/>
      <c r="AQ112" s="575" t="n"/>
      <c r="AR112" s="575" t="n"/>
    </row>
    <row r="113" ht="16.15" customFormat="1" customHeight="1" s="575">
      <c r="A113" s="575" t="n"/>
      <c r="B113" s="575" t="n"/>
      <c r="C113" s="575" t="n"/>
      <c r="D113" s="575" t="n"/>
      <c r="E113" s="575" t="n"/>
      <c r="F113" s="575" t="n"/>
      <c r="G113" s="575" t="n"/>
      <c r="H113" s="575" t="n"/>
      <c r="I113" s="575" t="n"/>
      <c r="J113" s="575" t="n"/>
      <c r="K113" s="575" t="n"/>
      <c r="L113" s="575" t="n"/>
      <c r="M113" s="575" t="n"/>
      <c r="N113" s="1348">
        <f>IF(_epmOfflineCondition_,0,EPMRetrieveData(,,$D$21,$D$22,$D$25,$D$26,$D$27,$D$28,$D$29,$AB$41,$AB$42,$AB$43,$Z$28,$AB$45,Q113))</f>
        <v/>
      </c>
      <c r="O113" s="1348">
        <f>IF(_epmOfflineCondition_,0,EPMRetrieveData(,,$D$21,$D$22,$D$25,$D$26,$D$27,$D$28,$D$29,$AA$41,$AA$42,$AA$43,$Z$28,$AA$45,Q113))</f>
        <v/>
      </c>
      <c r="P113" s="1348">
        <f>IF(_epmOfflineCondition_,0,EPMRetrieveData(,,$D$21,$D$22,$D$25,$D$26,$D$27,$D$28,$D$29,$Z$41,$Z$42,$Z$43,$Z$28,$Z$45,Q113))</f>
        <v/>
      </c>
      <c r="Q113" s="608" t="inlineStr">
        <is>
          <t>A0070312</t>
        </is>
      </c>
      <c r="R113" s="575">
        <f>IF(_epmOfflineCondition_,"人工成本明细-股份支付",EPMMemberDesc(Q113))</f>
        <v/>
      </c>
      <c r="S113" s="726">
        <f>IF(_epmOfflineCondition_,"35.工业销售产值",EPMMemberDesc(U113))</f>
        <v/>
      </c>
      <c r="T113" s="575" t="n"/>
      <c r="U113" s="575" t="inlineStr">
        <is>
          <t>A07803</t>
        </is>
      </c>
      <c r="V113" s="591">
        <f>IF(_epmOfflineCondition_,"A07803",EPMOlapMemberO(U113,"[C_ACCOUNT].[PARENTH1].[A07803]","A07803 - 35.工业销售产值","","000"))</f>
        <v/>
      </c>
      <c r="W113" s="726" t="n"/>
      <c r="X113" s="585" t="inlineStr">
        <is>
          <t>36. 工业销售产值</t>
        </is>
      </c>
      <c r="Y113" s="1312">
        <f>ROW()-45</f>
        <v/>
      </c>
      <c r="Z113" s="1349" t="inlineStr"/>
      <c r="AA113" s="1357" t="inlineStr"/>
      <c r="AB113" s="1349" t="inlineStr"/>
      <c r="AC113" s="1192">
        <f>IF(_epmOfflineCondition_,94272738.5,EPMSaveDataOnly(AA113,,$D$21,$E$22,$E$25,$E$26,$E$27,$E$28,$E$29,$AA$41,$AA$42,$Z$29,$Z$28,$AA$45,V113))</f>
        <v/>
      </c>
      <c r="AD113" s="575" t="n"/>
      <c r="AE113" s="575" t="n"/>
      <c r="AF113" s="575" t="n"/>
      <c r="AG113" s="575" t="n"/>
      <c r="AH113" s="575" t="n"/>
      <c r="AI113" s="575" t="n"/>
      <c r="AJ113" s="575" t="n"/>
      <c r="AK113" s="575" t="n"/>
      <c r="AL113" s="575" t="n"/>
      <c r="AM113" s="575" t="n"/>
      <c r="AN113" s="575" t="n"/>
      <c r="AO113" s="575" t="n"/>
      <c r="AP113" s="575" t="n"/>
      <c r="AQ113" s="575" t="n"/>
      <c r="AR113" s="575" t="n"/>
    </row>
    <row r="114" ht="16.15" customFormat="1" customHeight="1" s="575">
      <c r="A114" s="575" t="n"/>
      <c r="B114" s="575" t="n"/>
      <c r="C114" s="575" t="n"/>
      <c r="D114" s="575" t="n"/>
      <c r="E114" s="575" t="n"/>
      <c r="F114" s="575" t="n"/>
      <c r="G114" s="575" t="n"/>
      <c r="H114" s="575" t="n"/>
      <c r="I114" s="575" t="n"/>
      <c r="J114" s="575" t="n"/>
      <c r="K114" s="575" t="n"/>
      <c r="L114" s="575" t="n"/>
      <c r="M114" s="575" t="n"/>
      <c r="N114" s="1348">
        <f>IF(_epmOfflineCondition_,0,EPMRetrieveData(,,$D$21,$D$22,$D$25,$D$26,$D$27,$D$28,$D$29,$AB$41,$AB$42,$AB$43,$Z$28,$AB$45,Q114))</f>
        <v/>
      </c>
      <c r="O114" s="1348">
        <f>IF(_epmOfflineCondition_,1315152.84,EPMRetrieveData(,,$D$21,$D$22,$D$25,$D$26,$D$27,$D$28,$D$29,$AA$41,$AA$42,$AA$43,$Z$28,$AA$45,Q114))</f>
        <v/>
      </c>
      <c r="P114" s="1348">
        <f>IF(_epmOfflineCondition_,1315152.84,EPMRetrieveData(,,$D$21,$D$22,$D$25,$D$26,$D$27,$D$28,$D$29,$Z$41,$Z$42,$Z$43,$Z$28,$Z$45,Q114))</f>
        <v/>
      </c>
      <c r="Q114" s="608" t="inlineStr">
        <is>
          <t>A0070314</t>
        </is>
      </c>
      <c r="R114" s="575">
        <f>IF(_epmOfflineCondition_,"人工成本明细-其他人工成本",EPMMemberDesc(Q114))</f>
        <v/>
      </c>
      <c r="S114" s="726">
        <f>IF(_epmOfflineCondition_,"36.出口产品销售收入",EPMMemberDesc(U114))</f>
        <v/>
      </c>
      <c r="T114" s="575" t="n"/>
      <c r="U114" s="575" t="inlineStr">
        <is>
          <t>A07804</t>
        </is>
      </c>
      <c r="V114" s="591">
        <f>IF(_epmOfflineCondition_,"A07804",EPMOlapMemberO(U114,"[C_ACCOUNT].[PARENTH1].[A07804]","A07804 - 36.出口产品销售收入","","000"))</f>
        <v/>
      </c>
      <c r="W114" s="726" t="n"/>
      <c r="X114" s="585" t="inlineStr">
        <is>
          <t>37. 出口产品销售收入</t>
        </is>
      </c>
      <c r="Y114" s="1312">
        <f>ROW()-45</f>
        <v/>
      </c>
      <c r="Z114" s="1349" t="n"/>
      <c r="AA114" s="1357" t="n"/>
      <c r="AB114" s="1349" t="n"/>
      <c r="AC114" s="1192">
        <f>IF(_epmOfflineCondition_,0,EPMSaveDataOnly(AA114,,$D$21,$E$22,$E$25,$E$26,$E$27,$E$28,$E$29,$AA$41,$AA$42,$Z$29,$Z$28,$AA$45,V114))</f>
        <v/>
      </c>
      <c r="AD114" s="575" t="n"/>
      <c r="AE114" s="575" t="n"/>
      <c r="AF114" s="575" t="n"/>
      <c r="AG114" s="575" t="n"/>
      <c r="AH114" s="575" t="n"/>
      <c r="AI114" s="575" t="n"/>
      <c r="AJ114" s="575" t="n"/>
      <c r="AK114" s="575" t="n"/>
      <c r="AL114" s="575" t="n"/>
      <c r="AM114" s="575" t="n"/>
      <c r="AN114" s="575" t="n"/>
      <c r="AO114" s="575" t="n"/>
      <c r="AP114" s="575" t="n"/>
      <c r="AQ114" s="575" t="n"/>
      <c r="AR114" s="575" t="n"/>
    </row>
    <row r="115" ht="16.15" customFormat="1" customHeight="1" s="575">
      <c r="A115" s="575" t="n"/>
      <c r="B115" s="575" t="n"/>
      <c r="C115" s="575" t="n"/>
      <c r="D115" s="575" t="n"/>
      <c r="E115" s="575" t="n"/>
      <c r="F115" s="575" t="n"/>
      <c r="G115" s="575" t="n"/>
      <c r="H115" s="575" t="n"/>
      <c r="I115" s="575" t="n"/>
      <c r="J115" s="575" t="n"/>
      <c r="K115" s="575" t="n"/>
      <c r="L115" s="575" t="n"/>
      <c r="M115" s="575" t="n"/>
      <c r="N115" s="1348">
        <f>IF(_epmOfflineCondition_,77468,EPMRetrieveData(,,$D$21,$D$22,$D$25,$D$26,$D$27,$D$28,$D$29,$AB$41,$AB$42,$AB$43,$Z$28,$AB$45,Q115))</f>
        <v/>
      </c>
      <c r="O115" s="1348">
        <f>IF(_epmOfflineCondition_,136770,EPMRetrieveData(,,$D$21,$D$22,$D$25,$D$26,$D$27,$D$28,$D$29,$AA$41,$AA$42,$AA$43,$Z$28,$AA$45,Q115))</f>
        <v/>
      </c>
      <c r="P115" s="1348">
        <f>IF(_epmOfflineCondition_,45590,EPMRetrieveData(,,$D$21,$D$22,$D$25,$D$26,$D$27,$D$28,$D$29,$Z$41,$Z$42,$Z$43,$Z$28,$Z$45,Q115))</f>
        <v/>
      </c>
      <c r="Q115" s="609" t="inlineStr">
        <is>
          <t>A0070308</t>
        </is>
      </c>
      <c r="R115" s="575">
        <f>IF(_epmOfflineCondition_,"人工成本明细-其中：住房公积金",EPMMemberDesc(Q115))</f>
        <v/>
      </c>
      <c r="S115" s="726">
        <f>IF(_epmOfflineCondition_,"37.新产品产值",EPMMemberDesc(U115))</f>
        <v/>
      </c>
      <c r="T115" s="575" t="n"/>
      <c r="U115" s="575" t="inlineStr">
        <is>
          <t>A07805</t>
        </is>
      </c>
      <c r="V115" s="591">
        <f>IF(_epmOfflineCondition_,"A07805",EPMOlapMemberO(U115,"[C_ACCOUNT].[PARENTH1].[A07805]","A07805 - 37.新产品产值","","000"))</f>
        <v/>
      </c>
      <c r="W115" s="726" t="n"/>
      <c r="X115" s="585" t="inlineStr">
        <is>
          <t>38. 新产品产值</t>
        </is>
      </c>
      <c r="Y115" s="1312">
        <f>ROW()-45</f>
        <v/>
      </c>
      <c r="Z115" s="1349" t="n"/>
      <c r="AA115" s="1357" t="n"/>
      <c r="AB115" s="1349" t="n"/>
      <c r="AC115" s="1192">
        <f>IF(_epmOfflineCondition_,0,EPMSaveDataOnly(AA115,,$D$21,$E$22,$E$25,$E$26,$E$27,$E$28,$E$29,$AA$41,$AA$42,$Z$29,$Z$28,$AA$45,V115))</f>
        <v/>
      </c>
      <c r="AD115" s="575" t="n"/>
      <c r="AE115" s="575" t="n"/>
      <c r="AF115" s="575" t="n"/>
      <c r="AG115" s="575" t="n"/>
      <c r="AH115" s="575" t="n"/>
      <c r="AI115" s="575" t="n"/>
      <c r="AJ115" s="575" t="n"/>
      <c r="AK115" s="575" t="n"/>
      <c r="AL115" s="575" t="n"/>
      <c r="AM115" s="575" t="n"/>
      <c r="AN115" s="575" t="n"/>
      <c r="AO115" s="575" t="n"/>
      <c r="AP115" s="575" t="n"/>
      <c r="AQ115" s="575" t="n"/>
      <c r="AR115" s="575" t="n"/>
    </row>
    <row r="116" ht="16.15" customHeight="1" s="1181">
      <c r="A116" s="38" t="n"/>
      <c r="B116" s="38" t="n"/>
      <c r="C116" s="38" t="n"/>
      <c r="D116" s="38" t="n"/>
      <c r="E116" s="38" t="n"/>
      <c r="F116" s="38" t="n"/>
      <c r="G116" s="38" t="n"/>
      <c r="H116" s="38" t="n"/>
      <c r="I116" s="38" t="n"/>
      <c r="J116" s="38" t="n"/>
      <c r="K116" s="38" t="n"/>
      <c r="L116" s="38" t="n"/>
      <c r="M116" s="38" t="n"/>
      <c r="N116" s="1348">
        <f>IF(_epmOfflineCondition_,0,EPMRetrieveData(,,$D$21,$D$22,$D$25,$D$26,$D$27,$D$28,$D$29,$AB$41,$AB$42,$AB$43,$Z$28,$AB$45,Q116))</f>
        <v/>
      </c>
      <c r="O116" s="1348">
        <f>IF(_epmOfflineCondition_,0,EPMRetrieveData(,,$D$21,$D$22,$D$25,$D$26,$D$27,$D$28,$D$29,$AA$41,$AA$42,$AA$43,$Z$28,$AA$45,Q116))</f>
        <v/>
      </c>
      <c r="P116" s="1348">
        <f>IF(_epmOfflineCondition_,0,EPMRetrieveData(,,$D$21,$D$22,$D$25,$D$26,$D$27,$D$28,$D$29,$Z$41,$Z$42,$Z$43,$Z$28,$Z$45,Q116))</f>
        <v/>
      </c>
      <c r="Q116" s="38" t="inlineStr">
        <is>
          <t>A0070309</t>
        </is>
      </c>
      <c r="R116" s="575">
        <f>IF(_epmOfflineCondition_,"人工成本明细-其中：住房补贴",EPMMemberDesc(Q116))</f>
        <v/>
      </c>
      <c r="S116" s="726">
        <f>IF(_epmOfflineCondition_,"38.三新营业收入",EPMMemberDesc(U116))</f>
        <v/>
      </c>
      <c r="T116" s="38" t="n"/>
      <c r="U116" s="575" t="inlineStr">
        <is>
          <t>A07806</t>
        </is>
      </c>
      <c r="V116" s="591">
        <f>IF(_epmOfflineCondition_,"A07806",EPMOlapMemberO(U116,"[C_ACCOUNT].[PARENTH1].[A07806]","A07806 - 38.三新营业收入","","000"))</f>
        <v/>
      </c>
      <c r="W116" s="38" t="n"/>
      <c r="X116" s="585" t="inlineStr">
        <is>
          <t>39. 三新营业收入</t>
        </is>
      </c>
      <c r="Y116" s="1312">
        <f>ROW()-45</f>
        <v/>
      </c>
      <c r="Z116" s="1349" t="inlineStr"/>
      <c r="AA116" s="1357" t="inlineStr"/>
      <c r="AB116" s="1349" t="inlineStr"/>
      <c r="AC116" s="1192">
        <f>IF(_epmOfflineCondition_,94272738.5,EPMSaveDataOnly(AA116,,$D$21,$E$22,$E$25,$E$26,$E$27,$E$28,$E$29,$AA$41,$AA$42,$Z$29,$Z$28,$AA$45,V116))</f>
        <v/>
      </c>
      <c r="AD116" s="575" t="n"/>
      <c r="AE116" s="575" t="n"/>
      <c r="AF116" s="575" t="n"/>
      <c r="AG116" s="575" t="n"/>
      <c r="AH116" s="575" t="n"/>
      <c r="AI116" s="575" t="n"/>
      <c r="AJ116" s="575" t="n"/>
      <c r="AK116" s="575" t="n"/>
      <c r="AL116" s="38" t="n"/>
      <c r="AM116" s="38" t="n"/>
      <c r="AN116" s="38" t="n"/>
      <c r="AO116" s="38" t="n"/>
      <c r="AP116" s="38" t="n"/>
      <c r="AQ116" s="38" t="n"/>
      <c r="AR116" s="38" t="n"/>
    </row>
    <row r="117" ht="16.15" customHeight="1" s="1181">
      <c r="A117" s="38" t="n"/>
      <c r="B117" s="38" t="n"/>
      <c r="C117" s="38" t="n"/>
      <c r="D117" s="38" t="n"/>
      <c r="E117" s="38" t="n"/>
      <c r="F117" s="38" t="n"/>
      <c r="G117" s="38" t="n"/>
      <c r="H117" s="38" t="n"/>
      <c r="I117" s="38" t="n"/>
      <c r="J117" s="38" t="n"/>
      <c r="K117" s="38" t="n"/>
      <c r="L117" s="38" t="n"/>
      <c r="M117" s="38" t="n"/>
      <c r="N117" s="1348">
        <f>IF(_epmOfflineCondition_,0,EPMRetrieveData(,,$D$21,$D$22,$D$25,$D$26,$D$27,$D$28,$D$29,$AB$41,$AB$42,$AB$43,AA$28,$AB$45,Q117))</f>
        <v/>
      </c>
      <c r="O117" s="1348">
        <f>IF(_epmOfflineCondition_,0,EPMRetrieveData(,,$D$21,$D$22,$D$25,$D$26,$D$27,$D$28,$D$29,$AA$41,$AA$42,$AA$43,$AA$28,$AA$45,Q117))</f>
        <v/>
      </c>
      <c r="P117" s="1348">
        <f>IF(_epmOfflineCondition_,0,EPMRetrieveData(,,$D$21,$D$22,$D$25,$D$26,$D$27,$D$28,$D$29,$Z$41,$Z$42,$Z$43,$AA$28,$Z$45,Q117))</f>
        <v/>
      </c>
      <c r="Q117" s="384" t="inlineStr">
        <is>
          <t>A0840101</t>
        </is>
      </c>
      <c r="R117" s="575">
        <f>IF(_epmOfflineCondition_,"应交款项明细-增值税",EPMMemberDesc(Q117))</f>
        <v/>
      </c>
      <c r="S117" s="726">
        <f>IF(_epmOfflineCondition_,"38.研发（R&amp;D）经费投入",EPMMemberDesc(U117))</f>
        <v/>
      </c>
      <c r="T117" s="38" t="n"/>
      <c r="U117" s="575" t="inlineStr">
        <is>
          <t>A07807</t>
        </is>
      </c>
      <c r="V117" s="591">
        <f>IF(_epmOfflineCondition_,"A07807",EPMOlapMemberO(U117,"[C_ACCOUNT].[PARENTH1].[A07807]","A07807 - 38.研发（R&amp;D）经费投入","","000"))</f>
        <v/>
      </c>
      <c r="W117" s="38" t="n"/>
      <c r="X117" s="585" t="inlineStr">
        <is>
          <t>40. 研发（R&amp;D）经费投入</t>
        </is>
      </c>
      <c r="Y117" s="1312">
        <f>ROW()-45</f>
        <v/>
      </c>
      <c r="Z117" s="1349" t="n"/>
      <c r="AA117" s="1357" t="n"/>
      <c r="AB117" s="1349" t="n"/>
      <c r="AC117" s="1192">
        <f>IF(_epmOfflineCondition_,0,EPMSaveDataOnly(AA117,,$D$21,$E$22,$E$25,$E$26,$E$27,$E$28,$E$29,$AA$41,$AA$42,$Z$29,$Z$28,$AA$45,V117))</f>
        <v/>
      </c>
      <c r="AD117" s="575" t="n"/>
      <c r="AE117" s="575" t="n"/>
      <c r="AF117" s="575" t="n"/>
      <c r="AG117" s="575" t="n"/>
      <c r="AH117" s="575" t="n"/>
      <c r="AI117" s="575" t="n"/>
      <c r="AJ117" s="575" t="n"/>
      <c r="AK117" s="575" t="n"/>
      <c r="AL117" s="38" t="n"/>
      <c r="AM117" s="38" t="n"/>
      <c r="AN117" s="38" t="n"/>
      <c r="AO117" s="38" t="n"/>
      <c r="AP117" s="38" t="n"/>
      <c r="AQ117" s="38" t="n"/>
      <c r="AR117" s="38" t="n"/>
    </row>
    <row r="118">
      <c r="A118" s="38" t="n"/>
      <c r="B118" s="38" t="n"/>
      <c r="C118" s="38" t="n"/>
      <c r="D118" s="38" t="n"/>
      <c r="E118" s="38" t="n"/>
      <c r="F118" s="38" t="n"/>
      <c r="G118" s="38" t="n"/>
      <c r="H118" s="38" t="n"/>
      <c r="I118" s="38" t="n"/>
      <c r="J118" s="38" t="n"/>
      <c r="K118" s="38" t="n"/>
      <c r="L118" s="38" t="n"/>
      <c r="M118" s="38" t="n"/>
      <c r="N118" s="1348">
        <f>IF(_epmOfflineCondition_,0,EPMRetrieveData(,,$D$21,$D$22,$D$25,$D$26,$D$27,$D$28,$D$29,$AB$41,$AB$42,$AB$43,$Z$28,$AB$45,Q118))</f>
        <v/>
      </c>
      <c r="O118" s="1348">
        <f>IF(_epmOfflineCondition_,0,EPMRetrieveData(,,$D$21,$D$22,$D$25,$D$26,$D$27,$D$28,$D$29,$AA$41,$AA$42,$AA$43,$Z$28,$AA$45,Q118))</f>
        <v/>
      </c>
      <c r="P118" s="1348">
        <f>IF(_epmOfflineCondition_,0,EPMRetrieveData(,,$D$21,$D$22,$D$25,$D$26,$D$27,$D$28,$D$29,$Z$41,$Z$42,$Z$43,$Z$28,$Z$45,Q118))</f>
        <v/>
      </c>
      <c r="Q118" s="610" t="inlineStr">
        <is>
          <t>A00706</t>
        </is>
      </c>
      <c r="R118" s="575">
        <f>IF(_epmOfflineCondition_,"人工成本明细-劳务派遣用工支出",EPMMemberDesc(Q118))</f>
        <v/>
      </c>
      <c r="S118" s="726">
        <f>IF(_epmOfflineCondition_,"40.上市公司市值",EPMMemberDesc(U118))</f>
        <v/>
      </c>
      <c r="T118" s="38" t="n"/>
      <c r="U118" s="38" t="inlineStr">
        <is>
          <t>A07809</t>
        </is>
      </c>
      <c r="V118" s="591">
        <f>IF(_epmOfflineCondition_,"A07809",EPMOlapMemberO(U118,"[C_ACCOUNT].[PARENTH1].[A07809]","A07809 - 40.上市公司市值","","000"))</f>
        <v/>
      </c>
      <c r="W118" s="38" t="n"/>
      <c r="X118" s="585" t="inlineStr">
        <is>
          <t>41. 上市公司市值</t>
        </is>
      </c>
      <c r="Y118" s="1312">
        <f>ROW()-45</f>
        <v/>
      </c>
      <c r="Z118" s="1349" t="n"/>
      <c r="AA118" s="1357" t="n"/>
      <c r="AB118" s="1349" t="n"/>
      <c r="AC118" s="1192">
        <f>IF(_epmOfflineCondition_,0,EPMSaveDataOnly(AA118,,$D$21,$E$22,$E$25,$E$26,$E$27,$E$28,$E$29,$AA$41,$AA$42,$Z$29,$Z$28,$AA$45,V118))</f>
        <v/>
      </c>
      <c r="AD118" s="38" t="n"/>
      <c r="AE118" s="38" t="n"/>
      <c r="AF118" s="38" t="n"/>
      <c r="AG118" s="38" t="n"/>
      <c r="AH118" s="38" t="n"/>
      <c r="AI118" s="38" t="n"/>
      <c r="AJ118" s="38" t="n"/>
      <c r="AK118" s="38" t="n"/>
      <c r="AL118" s="38" t="n"/>
      <c r="AM118" s="38" t="n"/>
      <c r="AN118" s="38" t="n"/>
      <c r="AO118" s="38" t="n"/>
      <c r="AP118" s="38" t="n"/>
      <c r="AQ118" s="38" t="n"/>
      <c r="AR118" s="38" t="n"/>
    </row>
    <row r="119">
      <c r="A119" s="38" t="n"/>
      <c r="B119" s="38" t="n"/>
      <c r="C119" s="38" t="n"/>
      <c r="D119" s="38" t="n"/>
      <c r="E119" s="38" t="n"/>
      <c r="F119" s="38" t="n"/>
      <c r="G119" s="38" t="n"/>
      <c r="H119" s="38" t="n"/>
      <c r="I119" s="38" t="n"/>
      <c r="J119" s="38" t="n"/>
      <c r="K119" s="38" t="n"/>
      <c r="L119" s="38" t="n"/>
      <c r="M119" s="38" t="n"/>
      <c r="N119" s="1348">
        <f>IF(_epmOfflineCondition_,0,EPMRetrieveData(,,$D$21,$D$22,$D$25,$D$26,$D$27,$D$28,$D$29,$AB$41,$AB$42,$AB$43,Z$28,$AB$45,Q119))</f>
        <v/>
      </c>
      <c r="O119" s="1348">
        <f>IF(_epmOfflineCondition_,0,EPMRetrieveData(,,$D$21,$D$22,$D$25,$D$26,$D$27,$D$28,$D$29,$AA$41,$AA$42,$AA$43,$AB$28,$AA$45,Q119))</f>
        <v/>
      </c>
      <c r="P119" s="1348">
        <f>IF(_epmOfflineCondition_,0,EPMRetrieveData(,,$D$21,$D$22,$D$25,$D$26,$D$27,$D$28,$D$29,$Z$41,$Z$42,$Z$43,$AB$28,$Z$45,Q119))</f>
        <v/>
      </c>
      <c r="Q119" s="38" t="inlineStr">
        <is>
          <t>A0071401</t>
        </is>
      </c>
      <c r="R119" s="575">
        <f>IF(_epmOfflineCondition_,"人工成本明细-其中：内退人员工资",EPMMemberDesc(Q119))</f>
        <v/>
      </c>
      <c r="S119" s="580" t="n"/>
      <c r="T119" s="38" t="n"/>
      <c r="U119" s="38" t="n"/>
      <c r="V119" s="38" t="n"/>
      <c r="W119" s="38" t="n"/>
      <c r="X119" s="38" t="n"/>
      <c r="Y119" s="38" t="n"/>
      <c r="Z119" s="38" t="n"/>
      <c r="AA119" s="38" t="n"/>
      <c r="AB119" s="38" t="n"/>
      <c r="AC119" s="38" t="n"/>
      <c r="AD119" s="38" t="n"/>
      <c r="AE119" s="38" t="n"/>
      <c r="AF119" s="38" t="n"/>
      <c r="AG119" s="38" t="n"/>
      <c r="AH119" s="38" t="n"/>
      <c r="AI119" s="38" t="n"/>
      <c r="AJ119" s="38" t="n"/>
      <c r="AK119" s="38" t="n"/>
      <c r="AL119" s="38" t="n"/>
      <c r="AM119" s="38" t="n"/>
      <c r="AN119" s="38" t="n"/>
      <c r="AO119" s="38" t="n"/>
      <c r="AP119" s="38" t="n"/>
      <c r="AQ119" s="38" t="n"/>
      <c r="AR119" s="38" t="n"/>
    </row>
    <row r="120">
      <c r="A120" s="38" t="n"/>
      <c r="B120" s="38" t="n"/>
      <c r="C120" s="38" t="n"/>
      <c r="D120" s="38" t="n"/>
      <c r="E120" s="38" t="n"/>
      <c r="F120" s="38" t="n"/>
      <c r="G120" s="38" t="n"/>
      <c r="H120" s="38" t="n"/>
      <c r="I120" s="38" t="n"/>
      <c r="J120" s="38" t="n"/>
      <c r="K120" s="38" t="n"/>
      <c r="L120" s="38" t="n"/>
      <c r="M120" s="38" t="n"/>
      <c r="N120" s="38">
        <f>IF(_epmOfflineCondition_,0,EPMRetrieveData(,,$D$21,$D$22,$D$25,$D$26,$D$27,$D$28,$D$29,$AB$41,$AB$42,$AB$43,$Z$28,$AB$45,Q120))</f>
        <v/>
      </c>
      <c r="O120" s="38">
        <f>IF(_epmOfflineCondition_,0,EPMRetrieveData(,,$D$21,$D$22,$D$25,$D$26,$D$27,$D$28,$D$29,$AA$41,$AA$42,$AA$43,$AB$28,$AA$45,Q120))</f>
        <v/>
      </c>
      <c r="P120" s="38">
        <f>IF(_epmOfflineCondition_,0,EPMRetrieveData(,,$D$21,$D$22,$D$25,$D$26,$D$27,$D$28,$D$29,$Z$41,$Z$42,$Z$43,$Z$28,$Z$45,Q120))</f>
        <v/>
      </c>
      <c r="Q120" s="38" t="inlineStr">
        <is>
          <t>A0071601</t>
        </is>
      </c>
      <c r="R120" s="575" t="inlineStr">
        <is>
          <t>人工成本明细-其中：工资总额（不在岗）</t>
        </is>
      </c>
      <c r="S120" s="580" t="n"/>
      <c r="T120" s="38" t="n"/>
      <c r="U120" s="38" t="n"/>
      <c r="V120" s="38" t="n"/>
      <c r="W120" s="38" t="n"/>
      <c r="X120" s="38" t="n"/>
      <c r="Y120" s="38" t="n"/>
      <c r="Z120" s="38" t="n"/>
      <c r="AA120" s="38" t="n"/>
      <c r="AB120" s="38" t="n"/>
      <c r="AC120" s="38" t="n"/>
      <c r="AD120" s="38" t="n"/>
      <c r="AE120" s="38" t="n"/>
      <c r="AF120" s="38" t="n"/>
      <c r="AG120" s="38" t="n"/>
      <c r="AH120" s="38" t="n"/>
      <c r="AI120" s="38" t="n"/>
      <c r="AJ120" s="38" t="n"/>
      <c r="AK120" s="38" t="n"/>
      <c r="AL120" s="38" t="n"/>
      <c r="AM120" s="38" t="n"/>
      <c r="AN120" s="38" t="n"/>
      <c r="AO120" s="38" t="n"/>
      <c r="AP120" s="38" t="n"/>
      <c r="AQ120" s="38" t="n"/>
      <c r="AR120" s="38" t="n"/>
    </row>
    <row r="121">
      <c r="A121" s="38" t="n"/>
      <c r="B121" s="38" t="n"/>
      <c r="C121" s="38" t="n"/>
      <c r="D121" s="38" t="n"/>
      <c r="E121" s="38" t="n"/>
      <c r="F121" s="38" t="n"/>
      <c r="G121" s="38" t="n"/>
      <c r="H121" s="38" t="n"/>
      <c r="I121" s="38" t="n"/>
      <c r="J121" s="38" t="n"/>
      <c r="K121" s="38" t="n"/>
      <c r="L121" s="38" t="n"/>
      <c r="M121" s="38" t="n"/>
      <c r="N121" s="38" t="n"/>
      <c r="O121" s="38" t="n"/>
      <c r="P121" s="38" t="n"/>
      <c r="Q121" s="38" t="n"/>
      <c r="R121" s="384" t="n"/>
      <c r="S121" s="580" t="n"/>
      <c r="T121" s="38" t="n"/>
      <c r="U121" s="38" t="n"/>
      <c r="V121" s="38" t="n"/>
      <c r="W121" s="38" t="n"/>
      <c r="X121" s="38" t="n"/>
      <c r="Y121" s="38" t="n"/>
      <c r="Z121" s="1360" t="n"/>
      <c r="AA121" s="1360" t="n"/>
      <c r="AB121" s="1360" t="n"/>
      <c r="AC121" s="38" t="n"/>
      <c r="AD121" s="38" t="n"/>
      <c r="AE121" s="38" t="n"/>
      <c r="AF121" s="38" t="n"/>
      <c r="AG121" s="38" t="n"/>
      <c r="AH121" s="38" t="n"/>
      <c r="AI121" s="38" t="n"/>
      <c r="AJ121" s="38" t="n"/>
      <c r="AK121" s="38" t="n"/>
      <c r="AL121" s="38" t="n"/>
      <c r="AM121" s="38" t="n"/>
      <c r="AN121" s="38" t="n"/>
      <c r="AO121" s="38" t="n"/>
      <c r="AP121" s="38" t="n"/>
      <c r="AQ121" s="38" t="n"/>
      <c r="AR121" s="38" t="n"/>
    </row>
    <row r="122">
      <c r="A122" s="38" t="n"/>
      <c r="B122" s="38" t="n"/>
      <c r="C122" s="38" t="n"/>
      <c r="D122" s="38" t="n"/>
      <c r="E122" s="38" t="n"/>
      <c r="F122" s="38" t="n"/>
      <c r="G122" s="38" t="n"/>
      <c r="H122" s="38" t="n"/>
      <c r="I122" s="38" t="n"/>
      <c r="J122" s="38" t="n"/>
      <c r="K122" s="38" t="n"/>
      <c r="L122" s="38" t="n"/>
      <c r="M122" s="38" t="n"/>
      <c r="N122" s="38" t="n"/>
      <c r="O122" s="38" t="n"/>
      <c r="P122" s="38" t="n"/>
      <c r="Q122" s="38" t="n"/>
      <c r="R122" s="384" t="n"/>
      <c r="S122" s="580" t="n"/>
      <c r="T122" s="38" t="n"/>
      <c r="U122" s="38" t="n"/>
      <c r="V122" s="38" t="n"/>
      <c r="W122" s="38" t="n"/>
      <c r="X122" s="38" t="n"/>
      <c r="Y122" s="38" t="n"/>
      <c r="Z122" s="38" t="n"/>
      <c r="AA122" s="38" t="n"/>
      <c r="AB122" s="38" t="n"/>
      <c r="AC122" s="38" t="n"/>
      <c r="AD122" s="38" t="n"/>
      <c r="AE122" s="38" t="n"/>
      <c r="AF122" s="38" t="n"/>
      <c r="AG122" s="38" t="n"/>
      <c r="AH122" s="38" t="n"/>
      <c r="AI122" s="38" t="n"/>
      <c r="AJ122" s="38" t="n"/>
      <c r="AK122" s="38" t="n"/>
      <c r="AL122" s="38" t="n"/>
      <c r="AM122" s="38" t="n"/>
      <c r="AN122" s="38" t="n"/>
      <c r="AO122" s="38" t="n"/>
      <c r="AP122" s="38" t="n"/>
      <c r="AQ122" s="38" t="n"/>
      <c r="AR122" s="38" t="n"/>
    </row>
    <row r="123">
      <c r="A123" s="38" t="n"/>
      <c r="B123" s="38" t="n"/>
      <c r="C123" s="38" t="n"/>
      <c r="D123" s="38" t="n"/>
      <c r="E123" s="38" t="n"/>
      <c r="F123" s="38" t="n"/>
      <c r="G123" s="38" t="n"/>
      <c r="H123" s="38" t="n"/>
      <c r="I123" s="38" t="n"/>
      <c r="J123" s="38" t="n"/>
      <c r="K123" s="38" t="n"/>
      <c r="L123" s="38" t="n"/>
      <c r="M123" s="38" t="n"/>
      <c r="N123" s="38">
        <f>IF(_epmOfflineCondition_,248103.86,-EPMRetrieveData(,,$D$21,$D$22,$D$25,$D$26,$D$27,$D$28,$D$29,$AB$41,$AB$42,$AB$43,$AA$28,$AB$45,Q123))</f>
        <v/>
      </c>
      <c r="O123" s="38">
        <f>IF(_epmOfflineCondition_,81855.46,-EPMRetrieveData(,,$D$21,$D$22,$D$25,$D$26,$D$27,$D$28,$D$29,$AA$41,$AA$42,$AA$43,$AA$28,$AA$45,Q123))</f>
        <v/>
      </c>
      <c r="P123" s="38">
        <f>IF(_epmOfflineCondition_,24389.54,-EPMRetrieveData(,,$D$21,$D$22,$D$25,$D$26,$D$27,$D$28,$D$29,$Z$41,$Z$42,$Z$43,$AA$28,$Z$45,Q123))</f>
        <v/>
      </c>
      <c r="Q123" s="38" t="inlineStr">
        <is>
          <t>A0070304P</t>
        </is>
      </c>
      <c r="R123" s="575">
        <f>IF(_epmOfflineCondition_,"人工成本明细-福利费用",EPMMemberDesc(Q123))</f>
        <v/>
      </c>
      <c r="S123" s="580" t="n"/>
      <c r="T123" s="38" t="n"/>
      <c r="U123" s="38" t="n"/>
      <c r="V123" s="38" t="n"/>
      <c r="W123" s="38" t="n"/>
      <c r="X123" s="38" t="n"/>
      <c r="Y123" s="38" t="n"/>
      <c r="Z123" s="38" t="n"/>
      <c r="AA123" s="38" t="n"/>
      <c r="AB123" s="38" t="n"/>
      <c r="AC123" s="38" t="n"/>
      <c r="AD123" s="38" t="n"/>
      <c r="AE123" s="38" t="n"/>
      <c r="AF123" s="38" t="n"/>
      <c r="AG123" s="38" t="n"/>
      <c r="AH123" s="38" t="n"/>
      <c r="AI123" s="38" t="n"/>
      <c r="AJ123" s="38" t="n"/>
      <c r="AK123" s="38" t="n"/>
      <c r="AL123" s="38" t="n"/>
      <c r="AM123" s="38" t="n"/>
      <c r="AN123" s="38" t="n"/>
      <c r="AO123" s="38" t="n"/>
      <c r="AP123" s="38" t="n"/>
      <c r="AQ123" s="38" t="n"/>
      <c r="AR123" s="38" t="n"/>
    </row>
    <row r="124">
      <c r="A124" s="38" t="n"/>
      <c r="B124" s="38" t="n"/>
      <c r="C124" s="38" t="n"/>
      <c r="D124" s="38" t="n"/>
      <c r="E124" s="38" t="n"/>
      <c r="F124" s="38" t="n"/>
      <c r="G124" s="38" t="n"/>
      <c r="H124" s="38" t="n"/>
      <c r="I124" s="38" t="n"/>
      <c r="J124" s="38" t="n"/>
      <c r="K124" s="38" t="n"/>
      <c r="L124" s="38" t="n"/>
      <c r="M124" s="38" t="n"/>
      <c r="N124" s="38">
        <f>IF(_epmOfflineCondition_,3268.32,-EPMRetrieveData(,,$D$21,$D$22,$D$25,$D$26,$D$27,$D$28,$D$29,$AB$41,$AB$42,$AB$43,$AA$28,$AB$45,Q124))</f>
        <v/>
      </c>
      <c r="O124" s="38">
        <f>IF(_epmOfflineCondition_,4259.54,-EPMRetrieveData(,,$D$21,$D$22,$D$25,$D$26,$D$27,$D$28,$D$29,$AA$41,$AA$42,$AA$43,$AA$28,$AA$45,Q124))</f>
        <v/>
      </c>
      <c r="P124" s="38">
        <f>IF(_epmOfflineCondition_,893.2,-EPMRetrieveData(,,$D$21,$D$22,$D$25,$D$26,$D$27,$D$28,$D$29,$Z$41,$Z$42,$Z$43,$AA$28,$Z$45,Q124))</f>
        <v/>
      </c>
      <c r="Q124" s="38" t="inlineStr">
        <is>
          <t>A0070305</t>
        </is>
      </c>
      <c r="R124" s="575">
        <f>IF(_epmOfflineCondition_,"人工成本明细-教育培训经费",EPMMemberDesc(Q124))</f>
        <v/>
      </c>
      <c r="S124" s="580" t="n"/>
      <c r="T124" s="38" t="n"/>
      <c r="U124" s="38" t="n"/>
      <c r="V124" s="38" t="n"/>
      <c r="W124" s="38" t="n"/>
      <c r="X124" s="38" t="n"/>
      <c r="Y124" s="38" t="n"/>
      <c r="Z124" s="38" t="n"/>
      <c r="AA124" s="38" t="n"/>
      <c r="AB124" s="38" t="n"/>
      <c r="AC124" s="38" t="n"/>
      <c r="AD124" s="38" t="n"/>
      <c r="AE124" s="38" t="n"/>
      <c r="AF124" s="38" t="n"/>
      <c r="AG124" s="38" t="n"/>
      <c r="AH124" s="38" t="n"/>
      <c r="AI124" s="38" t="n"/>
      <c r="AJ124" s="38" t="n"/>
      <c r="AK124" s="38" t="n"/>
      <c r="AL124" s="38" t="n"/>
      <c r="AM124" s="38" t="n"/>
      <c r="AN124" s="38" t="n"/>
      <c r="AO124" s="38" t="n"/>
      <c r="AP124" s="38" t="n"/>
      <c r="AQ124" s="38" t="n"/>
      <c r="AR124" s="38" t="n"/>
    </row>
    <row r="125">
      <c r="A125" s="38" t="n"/>
      <c r="B125" s="38" t="n"/>
      <c r="C125" s="38" t="n"/>
      <c r="D125" s="38" t="n"/>
      <c r="E125" s="38" t="n"/>
      <c r="F125" s="38" t="n"/>
      <c r="G125" s="38" t="n"/>
      <c r="H125" s="38" t="n"/>
      <c r="I125" s="38" t="n"/>
      <c r="J125" s="38" t="n"/>
      <c r="K125" s="38" t="n"/>
      <c r="L125" s="38" t="n"/>
      <c r="M125" s="38" t="n"/>
      <c r="N125" s="38">
        <f>IF(_epmOfflineCondition_,29888.7,-EPMRetrieveData(,,$D$21,$D$22,$D$25,$D$26,$D$27,$D$28,$D$29,$AB$41,$AB$42,$AB$43,$AA$28,$AB$45,Q125))</f>
        <v/>
      </c>
      <c r="O125" s="38">
        <f>IF(_epmOfflineCondition_,47076.71,-EPMRetrieveData(,,$D$21,$D$22,$D$25,$D$26,$D$27,$D$28,$D$29,$AA$41,$AA$42,$AA$43,$AA$28,$AA$45,Q125))</f>
        <v/>
      </c>
      <c r="P125" s="38">
        <f>IF(_epmOfflineCondition_,7421.41,-EPMRetrieveData(,,$D$21,$D$22,$D$25,$D$26,$D$27,$D$28,$D$29,$Z$41,$Z$42,$Z$43,$AA$28,$Z$45,Q125))</f>
        <v/>
      </c>
      <c r="Q125" s="38" t="inlineStr">
        <is>
          <t>A0070306</t>
        </is>
      </c>
      <c r="R125" s="575">
        <f>IF(_epmOfflineCondition_,"人工成本明细-工会经费",EPMMemberDesc(Q125))</f>
        <v/>
      </c>
      <c r="S125" s="580" t="n"/>
      <c r="T125" s="38" t="n"/>
      <c r="U125" s="38" t="n"/>
      <c r="V125" s="38" t="n"/>
      <c r="W125" s="38" t="n"/>
      <c r="X125" s="38" t="n"/>
      <c r="Y125" s="38" t="n"/>
      <c r="Z125" s="38" t="n"/>
      <c r="AA125" s="38" t="n"/>
      <c r="AB125" s="38" t="n"/>
      <c r="AC125" s="38" t="n"/>
      <c r="AD125" s="38" t="n"/>
      <c r="AE125" s="38" t="n"/>
      <c r="AF125" s="38" t="n"/>
      <c r="AG125" s="38" t="n"/>
      <c r="AH125" s="38" t="n"/>
      <c r="AI125" s="38" t="n"/>
      <c r="AJ125" s="38" t="n"/>
      <c r="AK125" s="38" t="n"/>
      <c r="AL125" s="38" t="n"/>
      <c r="AM125" s="38" t="n"/>
      <c r="AN125" s="38" t="n"/>
      <c r="AO125" s="38" t="n"/>
      <c r="AP125" s="38" t="n"/>
      <c r="AQ125" s="38" t="n"/>
      <c r="AR125" s="38" t="n"/>
    </row>
    <row r="126">
      <c r="A126" s="38" t="n"/>
      <c r="B126" s="38" t="n"/>
      <c r="C126" s="38" t="n"/>
      <c r="D126" s="38" t="n"/>
      <c r="E126" s="38" t="n"/>
      <c r="F126" s="38" t="n"/>
      <c r="G126" s="38" t="n"/>
      <c r="H126" s="38" t="n"/>
      <c r="I126" s="38" t="n"/>
      <c r="J126" s="38" t="n"/>
      <c r="K126" s="38" t="n"/>
      <c r="L126" s="38" t="n"/>
      <c r="M126" s="38" t="n"/>
      <c r="N126" s="38">
        <f>IF(_epmOfflineCondition_,0,-EPMRetrieveData(,,$D$21,$D$22,$D$25,$D$26,$D$27,$D$28,$D$29,$AB$41,$AB$42,$AB$43,$AA$28,$AB$45,Q126))</f>
        <v/>
      </c>
      <c r="O126" s="38">
        <f>IF(_epmOfflineCondition_,925.17,-EPMRetrieveData(,,$D$21,$D$22,$D$25,$D$26,$D$27,$D$28,$D$29,$AA$41,$AA$42,$AA$43,$AA$28,$AA$45,Q126))</f>
        <v/>
      </c>
      <c r="P126" s="38">
        <f>IF(_epmOfflineCondition_,925.17,-EPMRetrieveData(,,$D$21,$D$22,$D$25,$D$26,$D$27,$D$28,$D$29,$Z$41,$Z$42,$Z$43,$AA$28,$Z$45,Q126))</f>
        <v/>
      </c>
      <c r="Q126" s="38" t="inlineStr">
        <is>
          <t>A0070307</t>
        </is>
      </c>
      <c r="R126" s="575">
        <f>IF(_epmOfflineCondition_,"人工成本明细-劳动保护费",EPMMemberDesc(Q126))</f>
        <v/>
      </c>
      <c r="S126" s="580" t="n"/>
      <c r="T126" s="38" t="n"/>
      <c r="U126" s="38" t="n"/>
      <c r="V126" s="38" t="n"/>
      <c r="W126" s="38" t="n"/>
      <c r="X126" s="38" t="n"/>
      <c r="Y126" s="38" t="n"/>
      <c r="Z126" s="38" t="n"/>
      <c r="AA126" s="38" t="n"/>
      <c r="AB126" s="38" t="n"/>
      <c r="AC126" s="38" t="n"/>
      <c r="AD126" s="38" t="n"/>
      <c r="AE126" s="38" t="n"/>
      <c r="AF126" s="38" t="n"/>
      <c r="AG126" s="38" t="n"/>
      <c r="AH126" s="38" t="n"/>
      <c r="AI126" s="38" t="n"/>
      <c r="AJ126" s="38" t="n"/>
      <c r="AK126" s="38" t="n"/>
      <c r="AL126" s="38" t="n"/>
      <c r="AM126" s="38" t="n"/>
      <c r="AN126" s="38" t="n"/>
      <c r="AO126" s="38" t="n"/>
      <c r="AP126" s="38" t="n"/>
      <c r="AQ126" s="38" t="n"/>
      <c r="AR126" s="38" t="n"/>
    </row>
    <row r="127">
      <c r="A127" s="38" t="n"/>
      <c r="B127" s="38" t="n"/>
      <c r="C127" s="38" t="n"/>
      <c r="D127" s="38" t="n"/>
      <c r="E127" s="38" t="n"/>
      <c r="F127" s="38" t="n"/>
      <c r="G127" s="38" t="n"/>
      <c r="H127" s="38" t="n"/>
      <c r="I127" s="38" t="n"/>
      <c r="J127" s="38" t="n"/>
      <c r="K127" s="38" t="n"/>
      <c r="L127" s="38" t="n"/>
      <c r="M127" s="38" t="n"/>
      <c r="N127" s="38">
        <f>IF(_epmOfflineCondition_,0,-EPMRetrieveData(,,$D$21,$D$22,$D$25,$D$26,$D$27,$D$28,$D$29,$AB$41,$AB$42,$AB$43,$AA$28,$AB$45,Q127))</f>
        <v/>
      </c>
      <c r="O127" s="38">
        <f>IF(_epmOfflineCondition_,0,-EPMRetrieveData(,,$D$21,$D$22,$D$25,$D$26,$D$27,$D$28,$D$29,$AA$41,$AA$42,$AA$43,$AA$28,$AA$45,Q127))</f>
        <v/>
      </c>
      <c r="P127" s="38">
        <f>IF(_epmOfflineCondition_,0,-EPMRetrieveData(,,$D$21,$D$22,$D$25,$D$26,$D$27,$D$28,$D$29,$Z$41,$Z$42,$Z$43,$AA$28,$Z$45,Q127))</f>
        <v/>
      </c>
      <c r="Q127" s="38" t="inlineStr">
        <is>
          <t>A0070311</t>
        </is>
      </c>
      <c r="R127" s="575">
        <f>IF(_epmOfflineCondition_,"人工成本明细-辞退福利",EPMMemberDesc(Q127))</f>
        <v/>
      </c>
      <c r="S127" s="580" t="n"/>
      <c r="T127" s="38" t="n"/>
      <c r="U127" s="38" t="n"/>
      <c r="V127" s="38" t="n"/>
      <c r="W127" s="38" t="n"/>
      <c r="X127" s="38" t="n"/>
      <c r="Y127" s="38" t="n"/>
      <c r="Z127" s="38" t="n"/>
      <c r="AA127" s="38" t="n"/>
      <c r="AB127" s="38" t="n"/>
      <c r="AC127" s="38" t="n"/>
      <c r="AD127" s="38" t="n"/>
      <c r="AE127" s="38" t="n"/>
      <c r="AF127" s="38" t="n"/>
      <c r="AG127" s="38" t="n"/>
      <c r="AH127" s="38" t="n"/>
      <c r="AI127" s="38" t="n"/>
      <c r="AJ127" s="38" t="n"/>
      <c r="AK127" s="38" t="n"/>
      <c r="AL127" s="38" t="n"/>
      <c r="AM127" s="38" t="n"/>
      <c r="AN127" s="38" t="n"/>
      <c r="AO127" s="38" t="n"/>
      <c r="AP127" s="38" t="n"/>
      <c r="AQ127" s="38" t="n"/>
      <c r="AR127" s="38" t="n"/>
    </row>
    <row r="128">
      <c r="A128" s="38" t="n"/>
      <c r="B128" s="38" t="n"/>
      <c r="C128" s="38" t="n"/>
      <c r="D128" s="38" t="n"/>
      <c r="E128" s="38" t="n"/>
      <c r="F128" s="38" t="n"/>
      <c r="G128" s="38" t="n"/>
      <c r="H128" s="38" t="n"/>
      <c r="I128" s="38" t="n"/>
      <c r="J128" s="38" t="n"/>
      <c r="K128" s="38" t="n"/>
      <c r="L128" s="38" t="n"/>
      <c r="M128" s="38" t="n"/>
      <c r="N128" s="38">
        <f>IF(_epmOfflineCondition_,0,-EPMRetrieveData(,,$D$21,$D$22,$D$25,$D$26,$D$27,$D$28,$D$29,$AB$41,$AB$42,$AB$43,$AA$28,$AB$45,Q128))</f>
        <v/>
      </c>
      <c r="O128" s="38">
        <f>IF(_epmOfflineCondition_,0,-EPMRetrieveData(,,$D$21,$D$22,$D$25,$D$26,$D$27,$D$28,$D$29,$AA$41,$AA$42,$AA$43,$AA$28,$AA$45,Q128))</f>
        <v/>
      </c>
      <c r="P128" s="38">
        <f>IF(_epmOfflineCondition_,0,-EPMRetrieveData(,,$D$21,$D$22,$D$25,$D$26,$D$27,$D$28,$D$29,$Z$41,$Z$42,$Z$43,$AA$28,$Z$45,Q128))</f>
        <v/>
      </c>
      <c r="Q128" s="38" t="inlineStr">
        <is>
          <t>A0070310</t>
        </is>
      </c>
      <c r="R128" s="575">
        <f>IF(_epmOfflineCondition_,"人工成本明细-技术奖酬金及业务设计奖",EPMMemberDesc(Q128))</f>
        <v/>
      </c>
      <c r="S128" s="580" t="n"/>
      <c r="T128" s="38" t="n"/>
      <c r="U128" s="38" t="n"/>
      <c r="V128" s="38" t="n"/>
      <c r="W128" s="38" t="n"/>
      <c r="X128" s="38" t="n"/>
      <c r="Y128" s="38" t="n"/>
      <c r="Z128" s="38" t="n"/>
      <c r="AA128" s="38" t="n"/>
      <c r="AB128" s="38" t="n"/>
      <c r="AC128" s="38" t="n"/>
      <c r="AD128" s="38" t="n"/>
      <c r="AE128" s="38" t="n"/>
      <c r="AF128" s="38" t="n"/>
      <c r="AG128" s="38" t="n"/>
      <c r="AH128" s="38" t="n"/>
      <c r="AI128" s="38" t="n"/>
      <c r="AJ128" s="38" t="n"/>
      <c r="AK128" s="38" t="n"/>
      <c r="AL128" s="38" t="n"/>
      <c r="AM128" s="38" t="n"/>
      <c r="AN128" s="38" t="n"/>
      <c r="AO128" s="38" t="n"/>
      <c r="AP128" s="38" t="n"/>
      <c r="AQ128" s="38" t="n"/>
      <c r="AR128" s="38" t="n"/>
    </row>
    <row r="129">
      <c r="A129" s="38" t="n"/>
      <c r="B129" s="38" t="n"/>
      <c r="C129" s="38" t="n"/>
      <c r="D129" s="38" t="n"/>
      <c r="E129" s="38" t="n"/>
      <c r="F129" s="38" t="n"/>
      <c r="G129" s="38" t="n"/>
      <c r="H129" s="38" t="n"/>
      <c r="I129" s="38" t="n"/>
      <c r="J129" s="38" t="n"/>
      <c r="K129" s="38" t="n"/>
      <c r="L129" s="38" t="n"/>
      <c r="M129" s="38" t="n"/>
      <c r="N129" s="38">
        <f>IF(_epmOfflineCondition_,0,-EPMRetrieveData(,,$D$21,$D$22,$D$25,$D$26,$D$27,$D$28,$D$29,$AB$41,$AB$42,$AB$43,$AA$28,$AB$45,Q129))</f>
        <v/>
      </c>
      <c r="O129" s="38">
        <f>IF(_epmOfflineCondition_,0,-EPMRetrieveData(,,$D$21,$D$22,$D$25,$D$26,$D$27,$D$28,$D$29,$AA$41,$AA$42,$AA$43,$AA$28,$AA$45,Q129))</f>
        <v/>
      </c>
      <c r="P129" s="38">
        <f>IF(_epmOfflineCondition_,0,-EPMRetrieveData(,,$D$21,$D$22,$D$25,$D$26,$D$27,$D$28,$D$29,$Z$41,$Z$42,$Z$43,$AA$28,$Z$45,Q129))</f>
        <v/>
      </c>
      <c r="Q129" s="38" t="inlineStr">
        <is>
          <t>A0070313</t>
        </is>
      </c>
      <c r="R129" s="575">
        <f>IF(_epmOfflineCondition_,"人工成本明细-非货币性福利",EPMMemberDesc(Q129))</f>
        <v/>
      </c>
      <c r="S129" s="580" t="n"/>
      <c r="T129" s="38" t="n"/>
      <c r="U129" s="38" t="n"/>
      <c r="V129" s="38" t="n"/>
      <c r="W129" s="38" t="n"/>
      <c r="X129" s="38" t="n"/>
      <c r="Y129" s="38" t="n"/>
      <c r="Z129" s="38" t="n"/>
      <c r="AA129" s="38" t="n"/>
      <c r="AB129" s="38" t="n"/>
      <c r="AC129" s="38" t="n"/>
      <c r="AD129" s="38" t="n"/>
      <c r="AE129" s="38" t="n"/>
      <c r="AF129" s="38" t="n"/>
      <c r="AG129" s="38" t="n"/>
      <c r="AH129" s="38" t="n"/>
      <c r="AI129" s="38" t="n"/>
      <c r="AJ129" s="38" t="n"/>
      <c r="AK129" s="38" t="n"/>
      <c r="AL129" s="38" t="n"/>
      <c r="AM129" s="38" t="n"/>
      <c r="AN129" s="38" t="n"/>
      <c r="AO129" s="38" t="n"/>
      <c r="AP129" s="38" t="n"/>
      <c r="AQ129" s="38" t="n"/>
      <c r="AR129" s="38" t="n"/>
    </row>
    <row r="130">
      <c r="A130" s="38" t="n"/>
      <c r="B130" s="38" t="n"/>
      <c r="C130" s="38" t="n"/>
      <c r="D130" s="38" t="n"/>
      <c r="E130" s="38" t="n"/>
      <c r="F130" s="38" t="n"/>
      <c r="G130" s="38" t="n"/>
      <c r="H130" s="38" t="n"/>
      <c r="I130" s="38" t="n"/>
      <c r="J130" s="38" t="n"/>
      <c r="K130" s="38" t="n"/>
      <c r="L130" s="38" t="n"/>
      <c r="M130" s="38" t="n"/>
      <c r="N130" s="38">
        <f>IF(_epmOfflineCondition_,0,-EPMRetrieveData(,,$D$21,$D$22,$D$25,$D$26,$D$27,$D$28,$D$29,$AB$41,$AB$42,$AB$43,$AA$28,$AB$45,Q130))</f>
        <v/>
      </c>
      <c r="O130" s="38">
        <f>IF(_epmOfflineCondition_,0,-EPMRetrieveData(,,$D$21,$D$22,$D$25,$D$26,$D$27,$D$28,$D$29,$AA$41,$AA$42,$AA$43,$AA$28,$AA$45,Q130))</f>
        <v/>
      </c>
      <c r="P130" s="38">
        <f>IF(_epmOfflineCondition_,0,-EPMRetrieveData(,,$D$21,$D$22,$D$25,$D$26,$D$27,$D$28,$D$29,$Z$41,$Z$42,$Z$43,$AA$28,$Z$45,Q130))</f>
        <v/>
      </c>
      <c r="Q130" s="38" t="inlineStr">
        <is>
          <t>A0070312</t>
        </is>
      </c>
      <c r="R130" s="575">
        <f>IF(_epmOfflineCondition_,"人工成本明细-股份支付",EPMMemberDesc(Q130))</f>
        <v/>
      </c>
      <c r="S130" s="580" t="n"/>
      <c r="T130" s="38" t="n"/>
      <c r="U130" s="38" t="n"/>
      <c r="V130" s="38" t="n"/>
      <c r="W130" s="38" t="n"/>
      <c r="X130" s="38" t="n"/>
      <c r="Y130" s="38" t="n"/>
      <c r="Z130" s="38" t="n"/>
      <c r="AA130" s="38" t="n"/>
      <c r="AB130" s="38" t="n"/>
      <c r="AC130" s="38" t="n"/>
      <c r="AD130" s="38" t="n"/>
      <c r="AE130" s="38" t="n"/>
      <c r="AF130" s="38" t="n"/>
      <c r="AG130" s="38" t="n"/>
      <c r="AH130" s="38" t="n"/>
      <c r="AI130" s="38" t="n"/>
      <c r="AJ130" s="38" t="n"/>
      <c r="AK130" s="38" t="n"/>
      <c r="AL130" s="38" t="n"/>
      <c r="AM130" s="38" t="n"/>
      <c r="AN130" s="38" t="n"/>
      <c r="AO130" s="38" t="n"/>
      <c r="AP130" s="38" t="n"/>
      <c r="AQ130" s="38" t="n"/>
      <c r="AR130" s="38" t="n"/>
    </row>
    <row r="131">
      <c r="A131" s="38" t="n"/>
      <c r="B131" s="38" t="n"/>
      <c r="C131" s="38" t="n"/>
      <c r="D131" s="38" t="n"/>
      <c r="E131" s="38" t="n"/>
      <c r="F131" s="38" t="n"/>
      <c r="G131" s="38" t="n"/>
      <c r="H131" s="38" t="n"/>
      <c r="I131" s="38" t="n"/>
      <c r="J131" s="38" t="n"/>
      <c r="K131" s="38" t="n"/>
      <c r="L131" s="38" t="n"/>
      <c r="M131" s="38" t="n"/>
      <c r="N131" s="38">
        <f>IF(_epmOfflineCondition_,0,-EPMRetrieveData(,,$D$21,$D$22,$D$25,$D$26,$D$27,$D$28,$D$29,$AB$41,$AB$42,$AB$43,$AA$28,$AB$45,Q131))</f>
        <v/>
      </c>
      <c r="O131" s="38">
        <f>IF(_epmOfflineCondition_,0,-EPMRetrieveData(,,$D$21,$D$22,$D$25,$D$26,$D$27,$D$28,$D$29,$AA$41,$AA$42,$AA$43,$AA$28,$AA$45,Q131))</f>
        <v/>
      </c>
      <c r="P131" s="38">
        <f>IF(_epmOfflineCondition_,0,-EPMRetrieveData(,,$D$21,$D$22,$D$25,$D$26,$D$27,$D$28,$D$29,$Z$41,$Z$42,$Z$43,$AA$28,$Z$45,Q131))</f>
        <v/>
      </c>
      <c r="Q131" s="38" t="inlineStr">
        <is>
          <t>A0070314</t>
        </is>
      </c>
      <c r="R131" s="575">
        <f>IF(_epmOfflineCondition_,"人工成本明细-其他人工成本",EPMMemberDesc(Q131))</f>
        <v/>
      </c>
      <c r="S131" s="580" t="n"/>
      <c r="T131" s="38" t="n"/>
      <c r="U131" s="38" t="n"/>
      <c r="V131" s="38" t="n"/>
      <c r="W131" s="38" t="n"/>
      <c r="X131" s="38" t="n"/>
      <c r="Y131" s="38" t="n"/>
      <c r="Z131" s="38" t="n"/>
      <c r="AA131" s="38" t="n"/>
      <c r="AB131" s="38" t="n"/>
      <c r="AC131" s="38" t="n"/>
      <c r="AD131" s="38" t="n"/>
      <c r="AE131" s="38" t="n"/>
      <c r="AF131" s="38" t="n"/>
      <c r="AG131" s="38" t="n"/>
      <c r="AH131" s="38" t="n"/>
      <c r="AI131" s="38" t="n"/>
      <c r="AJ131" s="38" t="n"/>
      <c r="AK131" s="38" t="n"/>
      <c r="AL131" s="38" t="n"/>
      <c r="AM131" s="38" t="n"/>
      <c r="AN131" s="38" t="n"/>
      <c r="AO131" s="38" t="n"/>
      <c r="AP131" s="38" t="n"/>
      <c r="AQ131" s="38" t="n"/>
      <c r="AR131" s="38" t="n"/>
    </row>
    <row r="132">
      <c r="A132" s="38" t="n"/>
      <c r="B132" s="38" t="n"/>
      <c r="C132" s="38" t="n"/>
      <c r="D132" s="38" t="n"/>
      <c r="E132" s="38" t="n"/>
      <c r="F132" s="38" t="n"/>
      <c r="G132" s="38" t="n"/>
      <c r="H132" s="38" t="n"/>
      <c r="I132" s="38" t="n"/>
      <c r="J132" s="38" t="n"/>
      <c r="K132" s="38" t="n"/>
      <c r="L132" s="38" t="n"/>
      <c r="M132" s="38" t="n"/>
      <c r="N132" s="38">
        <f>IF(_epmOfflineCondition_,77468,-EPMRetrieveData(,,$D$21,$D$22,$D$25,$D$26,$D$27,$D$28,$D$29,$AB$41,$AB$42,$AB$43,$AA$28,$AB$45,Q132))</f>
        <v/>
      </c>
      <c r="O132" s="38">
        <f>IF(_epmOfflineCondition_,136770,-EPMRetrieveData(,,$D$21,$D$22,$D$25,$D$26,$D$27,$D$28,$D$29,$AA$41,$AA$42,$AA$43,$AA$28,$AA$45,Q132))</f>
        <v/>
      </c>
      <c r="P132" s="38">
        <f>IF(_epmOfflineCondition_,45590,-EPMRetrieveData(,,$D$21,$D$22,$D$25,$D$26,$D$27,$D$28,$D$29,$Z$41,$Z$42,$Z$43,$AA$28,$Z$45,Q132))</f>
        <v/>
      </c>
      <c r="Q132" s="38" t="inlineStr">
        <is>
          <t>A0070308</t>
        </is>
      </c>
      <c r="R132" s="575">
        <f>IF(_epmOfflineCondition_,"人工成本明细-其中：住房公积金",EPMMemberDesc(Q132))</f>
        <v/>
      </c>
      <c r="S132" s="580" t="n"/>
      <c r="T132" s="38" t="n"/>
      <c r="U132" s="38" t="n"/>
      <c r="V132" s="38" t="n"/>
      <c r="W132" s="38" t="n"/>
      <c r="X132" s="38" t="n"/>
      <c r="Y132" s="38" t="n"/>
      <c r="Z132" s="38" t="n"/>
      <c r="AA132" s="38" t="n"/>
      <c r="AB132" s="38" t="n"/>
      <c r="AC132" s="38" t="n"/>
      <c r="AD132" s="38" t="n"/>
      <c r="AE132" s="38" t="n"/>
      <c r="AF132" s="38" t="n"/>
      <c r="AG132" s="38" t="n"/>
      <c r="AH132" s="38" t="n"/>
      <c r="AI132" s="38" t="n"/>
      <c r="AJ132" s="38" t="n"/>
      <c r="AK132" s="38" t="n"/>
      <c r="AL132" s="38" t="n"/>
      <c r="AM132" s="38" t="n"/>
      <c r="AN132" s="38" t="n"/>
      <c r="AO132" s="38" t="n"/>
      <c r="AP132" s="38" t="n"/>
      <c r="AQ132" s="38" t="n"/>
      <c r="AR132" s="38" t="n"/>
    </row>
    <row r="133">
      <c r="A133" s="38" t="n"/>
      <c r="B133" s="38" t="n"/>
      <c r="C133" s="38" t="n"/>
      <c r="D133" s="38" t="n"/>
      <c r="E133" s="38" t="n"/>
      <c r="F133" s="38" t="n"/>
      <c r="G133" s="38" t="n"/>
      <c r="H133" s="38" t="n"/>
      <c r="I133" s="38" t="n"/>
      <c r="J133" s="38" t="n"/>
      <c r="K133" s="38" t="n"/>
      <c r="L133" s="38" t="n"/>
      <c r="M133" s="38" t="n"/>
      <c r="N133" s="38">
        <f>IF(_epmOfflineCondition_,0,-EPMRetrieveData(,,$D$21,$D$22,$D$25,$D$26,$D$27,$D$28,$D$29,$AB$41,$AB$42,$AB$43,$AA$28,$AB$45,Q133))</f>
        <v/>
      </c>
      <c r="O133" s="38">
        <f>IF(_epmOfflineCondition_,0,-EPMRetrieveData(,,$D$21,$D$22,$D$25,$D$26,$D$27,$D$28,$D$29,$AA$41,$AA$42,$AA$43,$AA$28,$AA$45,Q133))</f>
        <v/>
      </c>
      <c r="P133" s="38">
        <f>IF(_epmOfflineCondition_,0,-EPMRetrieveData(,,$D$21,$D$22,$D$25,$D$26,$D$27,$D$28,$D$29,$Z$41,$Z$42,$Z$43,$AA$28,$Z$45,Q133))</f>
        <v/>
      </c>
      <c r="Q133" s="38" t="inlineStr">
        <is>
          <t>A0070309</t>
        </is>
      </c>
      <c r="R133" s="575">
        <f>IF(_epmOfflineCondition_,"人工成本明细-其中：住房补贴",EPMMemberDesc(Q133))</f>
        <v/>
      </c>
      <c r="S133" s="580" t="n"/>
      <c r="T133" s="38" t="n"/>
      <c r="U133" s="38" t="n"/>
      <c r="V133" s="38" t="n"/>
      <c r="W133" s="38" t="n"/>
      <c r="X133" s="38" t="n"/>
      <c r="Y133" s="38" t="n"/>
      <c r="Z133" s="38" t="n"/>
      <c r="AA133" s="38" t="n"/>
      <c r="AB133" s="38" t="n"/>
      <c r="AC133" s="38" t="n"/>
      <c r="AD133" s="38" t="n"/>
      <c r="AE133" s="38" t="n"/>
      <c r="AF133" s="38" t="n"/>
      <c r="AG133" s="38" t="n"/>
      <c r="AH133" s="38" t="n"/>
      <c r="AI133" s="38" t="n"/>
      <c r="AJ133" s="38" t="n"/>
      <c r="AK133" s="38" t="n"/>
      <c r="AL133" s="38" t="n"/>
      <c r="AM133" s="38" t="n"/>
      <c r="AN133" s="38" t="n"/>
      <c r="AO133" s="38" t="n"/>
      <c r="AP133" s="38" t="n"/>
      <c r="AQ133" s="38" t="n"/>
      <c r="AR133" s="38" t="n"/>
    </row>
    <row r="134">
      <c r="A134" s="38" t="n"/>
      <c r="B134" s="38" t="n"/>
      <c r="C134" s="38" t="n"/>
      <c r="D134" s="38" t="n"/>
      <c r="E134" s="38" t="n"/>
      <c r="F134" s="38" t="n"/>
      <c r="G134" s="38" t="n"/>
      <c r="H134" s="38" t="n"/>
      <c r="I134" s="38" t="n"/>
      <c r="J134" s="38" t="n"/>
      <c r="K134" s="38" t="n"/>
      <c r="L134" s="38" t="n"/>
      <c r="M134" s="38" t="n"/>
      <c r="N134" s="1348">
        <f>IF(_epmOfflineCondition_,0,-EPMRetrieveData(,,$D$21,$D$22,$D$25,$D$26,$D$27,$D$28,$D$29,$AB$41,$AB$42,$AB$43,AA$28,$AB$45,Q134))</f>
        <v/>
      </c>
      <c r="O134" s="1348">
        <f>IF(_epmOfflineCondition_,0,-EPMRetrieveData(,,$D$21,$D$22,$D$25,$D$26,$D$27,$D$28,$D$29,$AA$41,$AA$42,$AA$43,$AA$28,$AA$45,Q134))</f>
        <v/>
      </c>
      <c r="P134" s="1348">
        <f>IF(_epmOfflineCondition_,0,-EPMRetrieveData(,,$D$21,$D$22,$D$25,$D$26,$D$27,$D$28,$D$29,$Z$41,$Z$42,$Z$43,$AA$28,$Z$45,Q134))</f>
        <v/>
      </c>
      <c r="Q134" s="38" t="inlineStr">
        <is>
          <t>A0071401</t>
        </is>
      </c>
      <c r="R134" s="575">
        <f>IF(_epmOfflineCondition_,"人工成本明细-其中：内退人员工资",EPMMemberDesc(Q134))</f>
        <v/>
      </c>
      <c r="S134" s="580" t="n"/>
      <c r="T134" s="38" t="n"/>
      <c r="U134" s="38" t="n"/>
      <c r="V134" s="38" t="n"/>
      <c r="W134" s="38" t="n"/>
      <c r="X134" s="38" t="n"/>
      <c r="Y134" s="38" t="n"/>
      <c r="Z134" s="38" t="n"/>
      <c r="AA134" s="38" t="n"/>
      <c r="AB134" s="38" t="n"/>
      <c r="AC134" s="38" t="n"/>
      <c r="AD134" s="38" t="n"/>
      <c r="AE134" s="38" t="n"/>
      <c r="AF134" s="38" t="n"/>
      <c r="AG134" s="38" t="n"/>
      <c r="AH134" s="38" t="n"/>
      <c r="AI134" s="38" t="n"/>
      <c r="AJ134" s="38" t="n"/>
      <c r="AK134" s="38" t="n"/>
      <c r="AL134" s="38" t="n"/>
      <c r="AM134" s="38" t="n"/>
      <c r="AN134" s="38" t="n"/>
      <c r="AO134" s="38" t="n"/>
      <c r="AP134" s="38" t="n"/>
      <c r="AQ134" s="38" t="n"/>
      <c r="AR134" s="38" t="n"/>
    </row>
    <row r="135">
      <c r="A135" s="38" t="n"/>
      <c r="B135" s="38" t="n"/>
      <c r="C135" s="38" t="n"/>
      <c r="D135" s="38" t="n"/>
      <c r="E135" s="38" t="n"/>
      <c r="F135" s="38" t="n"/>
      <c r="G135" s="38" t="n"/>
      <c r="H135" s="38" t="n"/>
      <c r="I135" s="38" t="n"/>
      <c r="J135" s="38" t="n"/>
      <c r="K135" s="38" t="n"/>
      <c r="L135" s="38" t="n"/>
      <c r="M135" s="38" t="n"/>
      <c r="N135" s="1192">
        <f>IF(_epmOfflineCondition_,0,EPMRetrieveData(,,$D$21,$D$22,$D$25,$D$26,$D$27,$D$28,$D$29,$AB$41,$AB$42,$AB$43,$AA$28,$AB$45,Q135))</f>
        <v/>
      </c>
      <c r="O135" s="1192">
        <f>IF(_epmOfflineCondition_,0,EPMRetrieveData(,,$D$21,$D$22,$D$25,$D$26,$D$27,$D$28,$D$29,$AA$41,$AA$42,$AA$43,$AA$28,$AA$45,Q135))</f>
        <v/>
      </c>
      <c r="P135" s="1192">
        <f>IF(_epmOfflineCondition_,0,EPMRetrieveData(,,$D$21,$D$22,$D$25,$D$26,$D$27,$D$28,$D$29,$Z$41,$Z$42,$Z$43,$AA$28,$Z$45,Q135))</f>
        <v/>
      </c>
      <c r="Q135" s="384" t="inlineStr">
        <is>
          <t>A0071601</t>
        </is>
      </c>
      <c r="R135" s="384" t="inlineStr">
        <is>
          <t>人工成本明细-其中：工资总额（不在岗）</t>
        </is>
      </c>
      <c r="S135" s="580" t="n"/>
      <c r="T135" s="38" t="n"/>
      <c r="U135" s="38" t="n"/>
      <c r="V135" s="38" t="n"/>
      <c r="W135" s="38" t="n"/>
      <c r="X135" s="38" t="n"/>
      <c r="Y135" s="38" t="n"/>
      <c r="Z135" s="38" t="n"/>
      <c r="AA135" s="38" t="n"/>
      <c r="AB135" s="38" t="n"/>
      <c r="AC135" s="38" t="n"/>
      <c r="AD135" s="38" t="n"/>
      <c r="AE135" s="38" t="n"/>
      <c r="AF135" s="38" t="n"/>
      <c r="AG135" s="38" t="n"/>
      <c r="AH135" s="38" t="n"/>
      <c r="AI135" s="38" t="n"/>
      <c r="AJ135" s="38" t="n"/>
      <c r="AK135" s="38" t="n"/>
      <c r="AL135" s="38" t="n"/>
      <c r="AM135" s="38" t="n"/>
      <c r="AN135" s="38" t="n"/>
      <c r="AO135" s="38" t="n"/>
      <c r="AP135" s="38" t="n"/>
      <c r="AQ135" s="38" t="n"/>
      <c r="AR135" s="38" t="n"/>
    </row>
    <row r="136">
      <c r="A136" s="38" t="n"/>
      <c r="B136" s="38" t="n"/>
      <c r="C136" s="38" t="n"/>
      <c r="D136" s="38" t="n"/>
      <c r="E136" s="38" t="n"/>
      <c r="F136" s="38" t="n"/>
      <c r="G136" s="38" t="n"/>
      <c r="H136" s="38" t="n"/>
      <c r="I136" s="38" t="n"/>
      <c r="J136" s="38" t="n"/>
      <c r="K136" s="38" t="n"/>
      <c r="L136" s="38" t="n"/>
      <c r="M136" s="38" t="n"/>
      <c r="N136" s="38" t="n"/>
      <c r="O136" s="38" t="n"/>
      <c r="P136" s="38" t="n"/>
      <c r="Q136" s="38" t="n"/>
      <c r="R136" s="38" t="n"/>
      <c r="S136" s="580" t="n"/>
      <c r="T136" s="38" t="n"/>
      <c r="U136" s="38" t="n"/>
      <c r="V136" s="38" t="n"/>
      <c r="W136" s="38" t="n"/>
      <c r="X136" s="38" t="n"/>
      <c r="Y136" s="38" t="n"/>
      <c r="Z136" s="38" t="n"/>
      <c r="AA136" s="38" t="n"/>
      <c r="AB136" s="38" t="n"/>
      <c r="AC136" s="38" t="n"/>
      <c r="AD136" s="38" t="n"/>
      <c r="AE136" s="38" t="n"/>
      <c r="AF136" s="38" t="n"/>
      <c r="AG136" s="38" t="n"/>
      <c r="AH136" s="38" t="n"/>
      <c r="AI136" s="38" t="n"/>
      <c r="AJ136" s="38" t="n"/>
      <c r="AK136" s="38" t="n"/>
      <c r="AL136" s="38" t="n"/>
      <c r="AM136" s="38" t="n"/>
      <c r="AN136" s="38" t="n"/>
      <c r="AO136" s="38" t="n"/>
      <c r="AP136" s="38" t="n"/>
      <c r="AQ136" s="38" t="n"/>
      <c r="AR136" s="38" t="n"/>
    </row>
    <row r="137">
      <c r="A137" s="38" t="n"/>
      <c r="B137" s="38" t="n"/>
      <c r="C137" s="38" t="n"/>
      <c r="D137" s="38" t="n"/>
      <c r="E137" s="38" t="n"/>
      <c r="F137" s="38" t="n"/>
      <c r="G137" s="38" t="n"/>
      <c r="H137" s="38" t="n"/>
      <c r="I137" s="38" t="n"/>
      <c r="J137" s="38" t="n"/>
      <c r="K137" s="38" t="n"/>
      <c r="L137" s="38" t="n"/>
      <c r="M137" s="38" t="n"/>
      <c r="N137" s="1348">
        <f>IF(_epmOfflineCondition_,0,EPMRetrieveData(,,$D$21,$D$22,$D$25,$D$26,$D$27,$D$28,$D$29,$AB$41,$AB$42,$AB$43,$Z$28,$AB$45,Q137))</f>
        <v/>
      </c>
      <c r="O137" s="1348">
        <f>IF(_epmOfflineCondition_,0,EPMRetrieveData(,,$D$21,$D$22,$D$25,$D$26,$D$27,$D$28,$D$29,$AA$41,$AA$42,$AA$43,$Z$28,$AA$45,Q137))</f>
        <v/>
      </c>
      <c r="P137" s="1348">
        <f>IF(_epmOfflineCondition_,0,EPMRetrieveData(,,$D$21,$D$22,$D$25,$D$26,$D$27,$D$28,$D$29,$Z$41,$Z$42,$Z$43,$Z$28,$Z$45,Q137))</f>
        <v/>
      </c>
      <c r="Q137" s="609" t="inlineStr">
        <is>
          <t>A00711</t>
        </is>
      </c>
      <c r="R137" s="716">
        <f>IF(_epmOfflineCondition_,"人工成本明细-离退休人工成本",EPMMemberDesc(Q137))</f>
        <v/>
      </c>
      <c r="S137" s="580" t="n"/>
      <c r="T137" s="38" t="n"/>
      <c r="U137" s="38" t="n"/>
      <c r="V137" s="38" t="n"/>
      <c r="W137" s="38" t="n"/>
      <c r="X137" s="38" t="n"/>
      <c r="Y137" s="38" t="n"/>
      <c r="Z137" s="38" t="n"/>
      <c r="AA137" s="38" t="n"/>
      <c r="AB137" s="38" t="n"/>
      <c r="AC137" s="38" t="n"/>
      <c r="AD137" s="38" t="n"/>
      <c r="AE137" s="38" t="n"/>
      <c r="AF137" s="38" t="n"/>
      <c r="AG137" s="38" t="n"/>
      <c r="AH137" s="38" t="n"/>
      <c r="AI137" s="38" t="n"/>
      <c r="AJ137" s="38" t="n"/>
      <c r="AK137" s="38" t="n"/>
      <c r="AL137" s="38" t="n"/>
      <c r="AM137" s="38" t="n"/>
      <c r="AN137" s="38" t="n"/>
      <c r="AO137" s="38" t="n"/>
      <c r="AP137" s="38" t="n"/>
      <c r="AQ137" s="38" t="n"/>
      <c r="AR137" s="38" t="n"/>
    </row>
    <row r="138">
      <c r="A138" s="38" t="n"/>
      <c r="B138" s="38" t="n"/>
      <c r="C138" s="38" t="n"/>
      <c r="D138" s="38" t="n"/>
      <c r="E138" s="38" t="n"/>
      <c r="F138" s="38" t="n"/>
      <c r="G138" s="38" t="n"/>
      <c r="H138" s="38" t="n"/>
      <c r="I138" s="38" t="n"/>
      <c r="J138" s="38" t="n"/>
      <c r="K138" s="38" t="n"/>
      <c r="L138" s="38" t="n"/>
      <c r="M138" s="38" t="n"/>
      <c r="N138" s="1348">
        <f>IF(_epmOfflineCondition_,0,EPMRetrieveData(,,$D$21,$D$22,$D$25,$D$26,$D$27,$D$28,$D$29,$AB$41,$AB$42,$AB$43,$Z$28,$AB$45,Q138))</f>
        <v/>
      </c>
      <c r="O138" s="1348">
        <f>IF(_epmOfflineCondition_,0,EPMRetrieveData(,,$D$21,$D$22,$D$25,$D$26,$D$27,$D$28,$D$29,$AA$41,$AA$42,$AA$43,$Z$28,$AA$45,Q138))</f>
        <v/>
      </c>
      <c r="P138" s="1348">
        <f>IF(_epmOfflineCondition_,0,EPMRetrieveData(,,$D$21,$D$22,$D$25,$D$26,$D$27,$D$28,$D$29,$Z$41,$Z$42,$Z$43,$Z$28,$Z$45,Q138))</f>
        <v/>
      </c>
      <c r="Q138" s="609" t="inlineStr">
        <is>
          <t>A0071301</t>
        </is>
      </c>
      <c r="R138" s="716">
        <f>IF(_epmOfflineCondition_,"人工成本明细-其中：福利费用（离退休人员统筹外费用）",EPMMemberDesc(Q138))</f>
        <v/>
      </c>
      <c r="S138" s="580" t="n"/>
      <c r="T138" s="38" t="n"/>
      <c r="U138" s="38" t="n"/>
      <c r="V138" s="38" t="n"/>
      <c r="W138" s="38" t="n"/>
      <c r="X138" s="38" t="n"/>
      <c r="Y138" s="38" t="n"/>
      <c r="Z138" s="38" t="n"/>
      <c r="AA138" s="38" t="n"/>
      <c r="AB138" s="38" t="n"/>
      <c r="AC138" s="38" t="n"/>
      <c r="AD138" s="38" t="n"/>
      <c r="AE138" s="38" t="n"/>
      <c r="AF138" s="38" t="n"/>
      <c r="AG138" s="38" t="n"/>
      <c r="AH138" s="38" t="n"/>
      <c r="AI138" s="38" t="n"/>
      <c r="AJ138" s="38" t="n"/>
      <c r="AK138" s="38" t="n"/>
      <c r="AL138" s="38" t="n"/>
      <c r="AM138" s="38" t="n"/>
      <c r="AN138" s="38" t="n"/>
      <c r="AO138" s="38" t="n"/>
      <c r="AP138" s="38" t="n"/>
      <c r="AQ138" s="38" t="n"/>
      <c r="AR138" s="38" t="n"/>
    </row>
    <row r="139">
      <c r="A139" s="38" t="n"/>
      <c r="B139" s="38" t="n"/>
      <c r="C139" s="38" t="n"/>
      <c r="D139" s="38" t="n"/>
      <c r="E139" s="38" t="n"/>
      <c r="F139" s="38" t="n"/>
      <c r="G139" s="38" t="n"/>
      <c r="H139" s="38" t="n"/>
      <c r="I139" s="38" t="n"/>
      <c r="J139" s="38" t="n"/>
      <c r="K139" s="38" t="n"/>
      <c r="L139" s="38" t="n"/>
      <c r="M139" s="38" t="n"/>
      <c r="N139" s="1348">
        <f>IF(_epmOfflineCondition_,0,EPMRetrieveData(,,$D$21,$D$22,$D$25,$D$26,$D$27,$D$28,$D$29,$AB$41,$AB$42,$AB$43,$Z$28,$AB$45,Q139))</f>
        <v/>
      </c>
      <c r="O139" s="1348">
        <f>IF(_epmOfflineCondition_,0,EPMRetrieveData(,,$D$21,$D$22,$D$25,$D$26,$D$27,$D$28,$D$29,$AA$41,$AA$42,$AA$43,$Z$28,$AA$45,Q139))</f>
        <v/>
      </c>
      <c r="P139" s="1348">
        <f>IF(_epmOfflineCondition_,0,EPMRetrieveData(,,$D$21,$D$22,$D$25,$D$26,$D$27,$D$28,$D$29,$Z$41,$Z$42,$Z$43,$Z$28,$Z$45,Q139))</f>
        <v/>
      </c>
      <c r="Q139" s="609" t="inlineStr">
        <is>
          <t>A0071302</t>
        </is>
      </c>
      <c r="R139" s="716">
        <f>IF(_epmOfflineCondition_,"人工成本明细-其中：福利费用（离职后福利）",EPMMemberDesc(Q139))</f>
        <v/>
      </c>
      <c r="S139" s="580" t="n"/>
      <c r="T139" s="38" t="n"/>
      <c r="U139" s="38" t="n"/>
      <c r="V139" s="38" t="n"/>
      <c r="W139" s="38" t="n"/>
      <c r="X139" s="38" t="n"/>
      <c r="Y139" s="38" t="n"/>
      <c r="Z139" s="38" t="n"/>
      <c r="AA139" s="38" t="n"/>
      <c r="AB139" s="38" t="n"/>
      <c r="AC139" s="38" t="n"/>
      <c r="AD139" s="38" t="n"/>
      <c r="AE139" s="38" t="n"/>
      <c r="AF139" s="38" t="n"/>
      <c r="AG139" s="38" t="n"/>
      <c r="AH139" s="38" t="n"/>
      <c r="AI139" s="38" t="n"/>
      <c r="AJ139" s="38" t="n"/>
      <c r="AK139" s="38" t="n"/>
      <c r="AL139" s="38" t="n"/>
      <c r="AM139" s="38" t="n"/>
      <c r="AN139" s="38" t="n"/>
      <c r="AO139" s="38" t="n"/>
      <c r="AP139" s="38" t="n"/>
      <c r="AQ139" s="38" t="n"/>
      <c r="AR139" s="38" t="n"/>
    </row>
    <row r="140">
      <c r="A140" s="38" t="n"/>
      <c r="B140" s="38" t="n"/>
      <c r="C140" s="38" t="n"/>
      <c r="D140" s="38" t="n"/>
      <c r="E140" s="38" t="n"/>
      <c r="F140" s="38" t="n"/>
      <c r="G140" s="38" t="n"/>
      <c r="H140" s="38" t="n"/>
      <c r="I140" s="38" t="n"/>
      <c r="J140" s="38" t="n"/>
      <c r="K140" s="38" t="n"/>
      <c r="L140" s="38" t="n"/>
      <c r="M140" s="38" t="n"/>
      <c r="N140" s="1348">
        <f>IF(_epmOfflineCondition_,0,EPMRetrieveData(,,$D$21,$D$22,$D$25,$D$26,$D$27,$D$28,$D$29,$AB$41,$AB$42,$AB$43,$Z$28,$AB$45,Q140))</f>
        <v/>
      </c>
      <c r="O140" s="1348">
        <f>IF(_epmOfflineCondition_,0,EPMRetrieveData(,,$D$21,$D$22,$D$25,$D$26,$D$27,$D$28,$D$29,$AA$41,$AA$42,$AA$43,$Z$28,$AA$45,Q140))</f>
        <v/>
      </c>
      <c r="P140" s="1348">
        <f>IF(_epmOfflineCondition_,0,EPMRetrieveData(,,$D$21,$D$22,$D$25,$D$26,$D$27,$D$28,$D$29,$Z$41,$Z$42,$Z$43,$Z$28,$Z$45,Q140))</f>
        <v/>
      </c>
      <c r="Q140" s="609" t="inlineStr">
        <is>
          <t>A00716</t>
        </is>
      </c>
      <c r="R140" s="716">
        <f>IF(_epmOfflineCondition_,"人工成本明细-除内退及下岗职工外的不在岗职工人工成本总额",EPMMemberDesc(Q140))</f>
        <v/>
      </c>
      <c r="S140" s="580" t="n"/>
      <c r="T140" s="38" t="n"/>
      <c r="U140" s="38" t="n"/>
      <c r="V140" s="38" t="n"/>
      <c r="W140" s="38" t="n"/>
      <c r="X140" s="38" t="n"/>
      <c r="Y140" s="38" t="n"/>
      <c r="Z140" s="38" t="n"/>
      <c r="AA140" s="38" t="n"/>
      <c r="AB140" s="38" t="n"/>
      <c r="AC140" s="38" t="n"/>
      <c r="AD140" s="38" t="n"/>
      <c r="AE140" s="38" t="n"/>
      <c r="AF140" s="38" t="n"/>
      <c r="AG140" s="38" t="n"/>
      <c r="AH140" s="38" t="n"/>
      <c r="AI140" s="38" t="n"/>
      <c r="AJ140" s="38" t="n"/>
      <c r="AK140" s="38" t="n"/>
      <c r="AL140" s="38" t="n"/>
      <c r="AM140" s="38" t="n"/>
      <c r="AN140" s="38" t="n"/>
      <c r="AO140" s="38" t="n"/>
      <c r="AP140" s="38" t="n"/>
      <c r="AQ140" s="38" t="n"/>
      <c r="AR140" s="38" t="n"/>
    </row>
    <row r="141">
      <c r="A141" s="38" t="n"/>
      <c r="B141" s="38" t="n"/>
      <c r="C141" s="38" t="n"/>
      <c r="D141" s="38" t="n"/>
      <c r="E141" s="38" t="n"/>
      <c r="F141" s="38" t="n"/>
      <c r="G141" s="38" t="n"/>
      <c r="H141" s="38" t="n"/>
      <c r="I141" s="38" t="n"/>
      <c r="J141" s="38" t="n"/>
      <c r="K141" s="38" t="n"/>
      <c r="L141" s="38" t="n"/>
      <c r="M141" s="38" t="n"/>
      <c r="N141" s="1348">
        <f>IF(_epmOfflineCondition_,0,EPMRetrieveData(,,$D$21,$D$22,$D$25,$D$26,$D$27,$D$28,$D$29,$AB$41,$AB$42,$AB$43,$Z$28,$AB$45,Q141))</f>
        <v/>
      </c>
      <c r="O141" s="1348">
        <f>IF(_epmOfflineCondition_,0,EPMRetrieveData(,,$D$21,$D$22,$D$25,$D$26,$D$27,$D$28,$D$29,$AA$41,$AA$42,$AA$43,$Z$28,$AA$45,Q141))</f>
        <v/>
      </c>
      <c r="P141" s="1348">
        <f>IF(_epmOfflineCondition_,0,EPMRetrieveData(,,$D$21,$D$22,$D$25,$D$26,$D$27,$D$28,$D$29,$Z$41,$Z$42,$Z$43,$Z$28,$Z$45,Q141))</f>
        <v/>
      </c>
      <c r="Q141" s="609" t="inlineStr">
        <is>
          <t>A00712</t>
        </is>
      </c>
      <c r="R141" s="716">
        <f>IF(_epmOfflineCondition_,"人工成本明细-其他从业人员",EPMMemberDesc(Q141))</f>
        <v/>
      </c>
      <c r="S141" s="580" t="n"/>
      <c r="T141" s="38" t="n"/>
      <c r="U141" s="38" t="n"/>
      <c r="V141" s="38" t="n"/>
      <c r="W141" s="38" t="n"/>
      <c r="X141" s="38" t="n"/>
      <c r="Y141" s="38" t="n"/>
      <c r="Z141" s="38" t="n"/>
      <c r="AA141" s="38" t="n"/>
      <c r="AB141" s="38" t="n"/>
      <c r="AC141" s="38" t="n"/>
      <c r="AD141" s="38" t="n"/>
      <c r="AE141" s="38" t="n"/>
      <c r="AF141" s="38" t="n"/>
      <c r="AG141" s="38" t="n"/>
      <c r="AH141" s="38" t="n"/>
      <c r="AI141" s="38" t="n"/>
      <c r="AJ141" s="38" t="n"/>
      <c r="AK141" s="38" t="n"/>
      <c r="AL141" s="38" t="n"/>
      <c r="AM141" s="38" t="n"/>
      <c r="AN141" s="38" t="n"/>
      <c r="AO141" s="38" t="n"/>
      <c r="AP141" s="38" t="n"/>
      <c r="AQ141" s="38" t="n"/>
      <c r="AR141" s="38" t="n"/>
    </row>
    <row r="142">
      <c r="A142" s="38" t="n"/>
      <c r="B142" s="38" t="n"/>
      <c r="C142" s="38" t="n"/>
      <c r="D142" s="38" t="n"/>
      <c r="E142" s="38" t="n"/>
      <c r="F142" s="38" t="n"/>
      <c r="G142" s="38" t="n"/>
      <c r="H142" s="38" t="n"/>
      <c r="I142" s="38" t="n"/>
      <c r="J142" s="38" t="n"/>
      <c r="K142" s="38" t="n"/>
      <c r="L142" s="38" t="n"/>
      <c r="M142" s="38" t="n"/>
      <c r="N142" s="38" t="n"/>
      <c r="O142" s="38" t="n"/>
      <c r="P142" s="38" t="n"/>
      <c r="Q142" s="38" t="n"/>
      <c r="R142" s="38" t="n"/>
      <c r="S142" s="580" t="n"/>
      <c r="T142" s="38" t="n"/>
      <c r="U142" s="38" t="n"/>
      <c r="V142" s="38" t="n"/>
      <c r="W142" s="38" t="n"/>
      <c r="X142" s="38" t="n"/>
      <c r="Y142" s="38" t="n"/>
      <c r="Z142" s="38" t="n"/>
      <c r="AA142" s="38" t="n"/>
      <c r="AB142" s="38" t="n"/>
      <c r="AC142" s="38" t="n"/>
      <c r="AD142" s="38" t="n"/>
      <c r="AE142" s="38" t="n"/>
      <c r="AF142" s="38" t="n"/>
      <c r="AG142" s="38" t="n"/>
      <c r="AH142" s="38" t="n"/>
      <c r="AI142" s="38" t="n"/>
      <c r="AJ142" s="38" t="n"/>
      <c r="AK142" s="38" t="n"/>
      <c r="AL142" s="38" t="n"/>
      <c r="AM142" s="38" t="n"/>
      <c r="AN142" s="38" t="n"/>
      <c r="AO142" s="38" t="n"/>
      <c r="AP142" s="38" t="n"/>
      <c r="AQ142" s="38" t="n"/>
      <c r="AR142" s="38" t="n"/>
    </row>
    <row r="143">
      <c r="A143" s="38" t="n"/>
      <c r="B143" s="38" t="n"/>
      <c r="C143" s="38" t="n"/>
      <c r="D143" s="38" t="n"/>
      <c r="E143" s="38" t="n"/>
      <c r="F143" s="38" t="n"/>
      <c r="G143" s="38" t="n"/>
      <c r="H143" s="38" t="n"/>
      <c r="I143" s="38" t="n"/>
      <c r="J143" s="38" t="n"/>
      <c r="K143" s="38" t="n"/>
      <c r="L143" s="38" t="n"/>
      <c r="M143" s="38" t="n"/>
      <c r="N143" s="38" t="n"/>
      <c r="O143" s="38" t="n"/>
      <c r="P143" s="38" t="n"/>
      <c r="Q143" s="38" t="n"/>
      <c r="R143" s="38" t="n"/>
      <c r="S143" s="580" t="n"/>
      <c r="T143" s="38" t="n"/>
      <c r="U143" s="38" t="n"/>
      <c r="V143" s="38" t="n"/>
      <c r="W143" s="38" t="n"/>
      <c r="X143" s="38" t="n"/>
      <c r="Y143" s="38" t="n"/>
      <c r="Z143" s="38" t="n"/>
      <c r="AA143" s="38" t="n"/>
      <c r="AB143" s="38" t="n"/>
      <c r="AC143" s="38" t="n"/>
      <c r="AD143" s="38" t="n"/>
      <c r="AE143" s="38" t="n"/>
      <c r="AF143" s="38" t="n"/>
      <c r="AG143" s="38" t="n"/>
      <c r="AH143" s="38" t="n"/>
      <c r="AI143" s="38" t="n"/>
      <c r="AJ143" s="38" t="n"/>
      <c r="AK143" s="38" t="n"/>
      <c r="AL143" s="38" t="n"/>
      <c r="AM143" s="38" t="n"/>
      <c r="AN143" s="38" t="n"/>
      <c r="AO143" s="38" t="n"/>
      <c r="AP143" s="38" t="n"/>
      <c r="AQ143" s="38" t="n"/>
      <c r="AR143" s="38" t="n"/>
    </row>
    <row r="144">
      <c r="A144" s="38" t="n"/>
      <c r="B144" s="38" t="n"/>
      <c r="C144" s="38" t="n"/>
      <c r="D144" s="38" t="n"/>
      <c r="E144" s="38" t="n"/>
      <c r="F144" s="38" t="n"/>
      <c r="G144" s="38" t="n"/>
      <c r="H144" s="38" t="n"/>
      <c r="I144" s="38" t="n"/>
      <c r="J144" s="38" t="n"/>
      <c r="K144" s="38" t="n"/>
      <c r="L144" s="38" t="n"/>
      <c r="M144" s="38" t="n"/>
      <c r="N144" s="1348">
        <f>IF(_epmOfflineCondition_,0,EPMRetrieveData(,,$D$21,$D$22,$D$25,$D$26,$D$27,$D$28,$D$29,$AB$41,$AB$42,$AB$43,"F30",$AB$45,Q144)*-1)</f>
        <v/>
      </c>
      <c r="O144" s="1348">
        <f>IF(_epmOfflineCondition_,0,EPMRetrieveData(,,$D$21,$D$22,$D$25,$D$26,$D$27,$D$28,$D$29,$AA$41,$AA$42,$AA$43,"F30",$AA$45,Q144)*-1)</f>
        <v/>
      </c>
      <c r="P144" s="1348">
        <f>IF(_epmOfflineCondition_,0,EPMRetrieveData(,,$D$21,$D$22,$D$25,$D$26,$D$27,$D$28,$D$29,$Z$41,$Z$42,$Z$43,"F30",$Z$45,Q144)*-1)</f>
        <v/>
      </c>
      <c r="Q144" s="38" t="inlineStr">
        <is>
          <t>A00711</t>
        </is>
      </c>
      <c r="R144" s="716">
        <f>IF(_epmOfflineCondition_,"人工成本明细-离退休人工成本",EPMMemberDesc(Q144))</f>
        <v/>
      </c>
      <c r="S144" s="580" t="n"/>
      <c r="T144" s="38" t="n"/>
      <c r="U144" s="38" t="n"/>
      <c r="V144" s="38" t="n"/>
      <c r="W144" s="38" t="n"/>
      <c r="X144" s="38" t="n"/>
      <c r="Y144" s="38" t="n"/>
      <c r="Z144" s="38" t="n"/>
      <c r="AA144" s="38" t="n"/>
      <c r="AB144" s="38" t="n"/>
      <c r="AC144" s="38" t="n"/>
      <c r="AD144" s="38" t="n"/>
      <c r="AE144" s="38" t="n"/>
      <c r="AF144" s="38" t="n"/>
      <c r="AG144" s="38" t="n"/>
      <c r="AH144" s="38" t="n"/>
      <c r="AI144" s="38" t="n"/>
      <c r="AJ144" s="38" t="n"/>
      <c r="AK144" s="38" t="n"/>
      <c r="AL144" s="38" t="n"/>
      <c r="AM144" s="38" t="n"/>
      <c r="AN144" s="38" t="n"/>
      <c r="AO144" s="38" t="n"/>
      <c r="AP144" s="38" t="n"/>
      <c r="AQ144" s="38" t="n"/>
      <c r="AR144" s="38" t="n"/>
    </row>
    <row r="145">
      <c r="A145" s="38" t="n"/>
      <c r="B145" s="38" t="n"/>
      <c r="C145" s="38" t="n"/>
      <c r="D145" s="38" t="n"/>
      <c r="E145" s="38" t="n"/>
      <c r="F145" s="38" t="n"/>
      <c r="G145" s="38" t="n"/>
      <c r="H145" s="38" t="n"/>
      <c r="I145" s="38" t="n"/>
      <c r="J145" s="38" t="n"/>
      <c r="K145" s="38" t="n"/>
      <c r="L145" s="38" t="n"/>
      <c r="M145" s="38" t="n"/>
      <c r="N145" s="1348">
        <f>IF(_epmOfflineCondition_,0,EPMRetrieveData(,,$D$21,$D$22,$D$25,$D$26,$D$27,$D$28,$D$29,$AB$41,$AB$42,$AB$43,"F30",$AB$45,Q145)*-1)</f>
        <v/>
      </c>
      <c r="O145" s="1348">
        <f>IF(_epmOfflineCondition_,0,EPMRetrieveData(,,$D$21,$D$22,$D$25,$D$26,$D$27,$D$28,$D$29,$AA$41,$AA$42,$AA$43,"F30",$AA$45,Q145)*-1)</f>
        <v/>
      </c>
      <c r="P145" s="1348">
        <f>IF(_epmOfflineCondition_,0,EPMRetrieveData(,,$D$21,$D$22,$D$25,$D$26,$D$27,$D$28,$D$29,$Z$41,$Z$42,$Z$43,"F30",$Z$45,Q145)*-1)</f>
        <v/>
      </c>
      <c r="Q145" s="38" t="inlineStr">
        <is>
          <t>A0071301</t>
        </is>
      </c>
      <c r="R145" s="716">
        <f>IF(_epmOfflineCondition_,"人工成本明细-其中：福利费用（离退休人员统筹外费用）",EPMMemberDesc(Q145))</f>
        <v/>
      </c>
      <c r="S145" s="580" t="n"/>
      <c r="T145" s="38" t="n"/>
      <c r="U145" s="38" t="n"/>
      <c r="V145" s="38" t="n"/>
      <c r="W145" s="38" t="n"/>
      <c r="X145" s="38" t="n"/>
      <c r="Y145" s="38" t="n"/>
      <c r="Z145" s="38" t="n"/>
      <c r="AA145" s="38" t="n"/>
      <c r="AB145" s="38" t="n"/>
      <c r="AC145" s="38" t="n"/>
      <c r="AD145" s="38" t="n"/>
      <c r="AE145" s="38" t="n"/>
      <c r="AF145" s="38" t="n"/>
      <c r="AG145" s="38" t="n"/>
      <c r="AH145" s="38" t="n"/>
      <c r="AI145" s="38" t="n"/>
      <c r="AJ145" s="38" t="n"/>
      <c r="AK145" s="38" t="n"/>
      <c r="AL145" s="38" t="n"/>
      <c r="AM145" s="38" t="n"/>
      <c r="AN145" s="38" t="n"/>
      <c r="AO145" s="38" t="n"/>
      <c r="AP145" s="38" t="n"/>
      <c r="AQ145" s="38" t="n"/>
      <c r="AR145" s="38" t="n"/>
    </row>
    <row r="146">
      <c r="A146" s="38" t="n"/>
      <c r="B146" s="38" t="n"/>
      <c r="C146" s="38" t="n"/>
      <c r="D146" s="38" t="n"/>
      <c r="E146" s="38" t="n"/>
      <c r="F146" s="38" t="n"/>
      <c r="G146" s="38" t="n"/>
      <c r="H146" s="38" t="n"/>
      <c r="I146" s="38" t="n"/>
      <c r="J146" s="38" t="n"/>
      <c r="K146" s="38" t="n"/>
      <c r="L146" s="38" t="n"/>
      <c r="M146" s="38" t="n"/>
      <c r="N146" s="1348">
        <f>IF(_epmOfflineCondition_,0,EPMRetrieveData(,,$D$21,$D$22,$D$25,$D$26,$D$27,$D$28,$D$29,$AB$41,$AB$42,$AB$43,"F30",$AB$45,Q146)*-1)</f>
        <v/>
      </c>
      <c r="O146" s="1348">
        <f>IF(_epmOfflineCondition_,0,EPMRetrieveData(,,$D$21,$D$22,$D$25,$D$26,$D$27,$D$28,$D$29,$AA$41,$AA$42,$AA$43,"F30",$AA$45,Q146)*-1)</f>
        <v/>
      </c>
      <c r="P146" s="1348">
        <f>IF(_epmOfflineCondition_,0,EPMRetrieveData(,,$D$21,$D$22,$D$25,$D$26,$D$27,$D$28,$D$29,$Z$41,$Z$42,$Z$43,"F30",$Z$45,Q146)*-1)</f>
        <v/>
      </c>
      <c r="Q146" s="38" t="inlineStr">
        <is>
          <t>A0071302</t>
        </is>
      </c>
      <c r="R146" s="716">
        <f>IF(_epmOfflineCondition_,"人工成本明细-其中：福利费用（离职后福利）",EPMMemberDesc(Q146))</f>
        <v/>
      </c>
      <c r="S146" s="580" t="n"/>
      <c r="T146" s="38" t="n"/>
      <c r="U146" s="38" t="n"/>
      <c r="V146" s="38" t="n"/>
      <c r="W146" s="38" t="n"/>
      <c r="X146" s="38" t="n"/>
      <c r="Y146" s="38" t="n"/>
      <c r="Z146" s="38" t="n"/>
      <c r="AA146" s="38" t="n"/>
      <c r="AB146" s="38" t="n"/>
      <c r="AC146" s="38" t="n"/>
      <c r="AD146" s="38" t="n"/>
      <c r="AE146" s="38" t="n"/>
      <c r="AF146" s="38" t="n"/>
      <c r="AG146" s="38" t="n"/>
      <c r="AH146" s="38" t="n"/>
      <c r="AI146" s="38" t="n"/>
      <c r="AJ146" s="38" t="n"/>
      <c r="AK146" s="38" t="n"/>
      <c r="AL146" s="38" t="n"/>
      <c r="AM146" s="38" t="n"/>
      <c r="AN146" s="38" t="n"/>
      <c r="AO146" s="38" t="n"/>
      <c r="AP146" s="38" t="n"/>
      <c r="AQ146" s="38" t="n"/>
      <c r="AR146" s="38" t="n"/>
    </row>
    <row r="147">
      <c r="A147" s="38" t="n"/>
      <c r="B147" s="38" t="n"/>
      <c r="C147" s="38" t="n"/>
      <c r="D147" s="38" t="n"/>
      <c r="E147" s="38" t="n"/>
      <c r="F147" s="38" t="n"/>
      <c r="G147" s="38" t="n"/>
      <c r="H147" s="38" t="n"/>
      <c r="I147" s="38" t="n"/>
      <c r="J147" s="38" t="n"/>
      <c r="K147" s="38" t="n"/>
      <c r="L147" s="38" t="n"/>
      <c r="M147" s="38" t="n"/>
      <c r="N147" s="1348">
        <f>IF(_epmOfflineCondition_,0,EPMRetrieveData(,,$D$21,$D$22,$D$25,$D$26,$D$27,$D$28,$D$29,$AB$41,$AB$42,$AB$43,"F30",$AB$45,Q147))</f>
        <v/>
      </c>
      <c r="O147" s="1348">
        <f>IF(_epmOfflineCondition_,0,EPMRetrieveData(,,$D$21,$D$22,$D$25,$D$26,$D$27,$D$28,$D$29,$AA$41,$AA$42,$AA$43,"F30",$AA$45,Q147))</f>
        <v/>
      </c>
      <c r="P147" s="1348">
        <f>IF(_epmOfflineCondition_,0,EPMRetrieveData(,,$D$21,$D$22,$D$25,$D$26,$D$27,$D$28,$D$29,$Z$41,$Z$42,$Z$43,"F30",$Z$45,Q147))</f>
        <v/>
      </c>
      <c r="Q147" s="38" t="inlineStr">
        <is>
          <t>A00716</t>
        </is>
      </c>
      <c r="R147" s="716">
        <f>IF(_epmOfflineCondition_,"人工成本明细-除内退及下岗职工外的不在岗职工人工成本总额",EPMMemberDesc(Q147))</f>
        <v/>
      </c>
      <c r="S147" s="580" t="n"/>
      <c r="T147" s="38" t="n"/>
      <c r="U147" s="38" t="n"/>
      <c r="V147" s="38" t="n"/>
      <c r="W147" s="38" t="n"/>
      <c r="X147" s="38" t="n"/>
      <c r="Y147" s="38" t="n"/>
      <c r="Z147" s="38" t="n"/>
      <c r="AA147" s="38" t="n"/>
      <c r="AB147" s="38" t="n"/>
      <c r="AC147" s="38" t="n"/>
      <c r="AD147" s="38" t="n"/>
      <c r="AE147" s="38" t="n"/>
      <c r="AF147" s="38" t="n"/>
      <c r="AG147" s="38" t="n"/>
      <c r="AH147" s="38" t="n"/>
      <c r="AI147" s="38" t="n"/>
      <c r="AJ147" s="38" t="n"/>
      <c r="AK147" s="38" t="n"/>
      <c r="AL147" s="38" t="n"/>
      <c r="AM147" s="38" t="n"/>
      <c r="AN147" s="38" t="n"/>
      <c r="AO147" s="38" t="n"/>
      <c r="AP147" s="38" t="n"/>
      <c r="AQ147" s="38" t="n"/>
      <c r="AR147" s="38" t="n"/>
    </row>
    <row r="148">
      <c r="A148" s="38" t="n"/>
      <c r="B148" s="38" t="n"/>
      <c r="C148" s="38" t="n"/>
      <c r="D148" s="38" t="n"/>
      <c r="E148" s="38" t="n"/>
      <c r="F148" s="38" t="n"/>
      <c r="G148" s="38" t="n"/>
      <c r="H148" s="38" t="n"/>
      <c r="I148" s="38" t="n"/>
      <c r="J148" s="38" t="n"/>
      <c r="K148" s="38" t="n"/>
      <c r="L148" s="38" t="n"/>
      <c r="M148" s="38" t="n"/>
      <c r="N148" s="1348">
        <f>IF(_epmOfflineCondition_,0,EPMRetrieveData(,,$D$21,$D$22,$D$25,$D$26,$D$27,$D$28,$D$29,$AB$41,$AB$42,$AB$43,"F30",$AB$45,Q148)*-1)</f>
        <v/>
      </c>
      <c r="O148" s="1348">
        <f>IF(_epmOfflineCondition_,0,EPMRetrieveData(,,$D$21,$D$22,$D$25,$D$26,$D$27,$D$28,$D$29,$AA$41,$AA$42,$AA$43,"F30",$AA$45,Q148)*-1)</f>
        <v/>
      </c>
      <c r="P148" s="1348">
        <f>IF(_epmOfflineCondition_,0,EPMRetrieveData(,,$D$21,$D$22,$D$25,$D$26,$D$27,$D$28,$D$29,$Z$41,$Z$42,$Z$43,"F30",$Z$45,Q148)*-1)</f>
        <v/>
      </c>
      <c r="Q148" s="38" t="inlineStr">
        <is>
          <t>A00712</t>
        </is>
      </c>
      <c r="R148" s="716">
        <f>IF(_epmOfflineCondition_,"人工成本明细-其他从业人员",EPMMemberDesc(Q148))</f>
        <v/>
      </c>
      <c r="S148" s="580" t="n"/>
      <c r="T148" s="38" t="n"/>
      <c r="U148" s="38" t="n"/>
      <c r="V148" s="38" t="n"/>
      <c r="W148" s="38" t="n"/>
      <c r="X148" s="38" t="n"/>
      <c r="Y148" s="38" t="n"/>
      <c r="Z148" s="38" t="n"/>
      <c r="AA148" s="38" t="n"/>
      <c r="AB148" s="38" t="n"/>
      <c r="AC148" s="38" t="n"/>
      <c r="AD148" s="38" t="n"/>
      <c r="AE148" s="38" t="n"/>
      <c r="AF148" s="38" t="n"/>
      <c r="AG148" s="38" t="n"/>
      <c r="AH148" s="38" t="n"/>
      <c r="AI148" s="38" t="n"/>
      <c r="AJ148" s="38" t="n"/>
      <c r="AK148" s="38" t="n"/>
      <c r="AL148" s="38" t="n"/>
      <c r="AM148" s="38" t="n"/>
      <c r="AN148" s="38" t="n"/>
      <c r="AO148" s="38" t="n"/>
      <c r="AP148" s="38" t="n"/>
      <c r="AQ148" s="38" t="n"/>
      <c r="AR148" s="38" t="n"/>
    </row>
  </sheetData>
  <sheetProtection selectLockedCells="0" selectUnlockedCells="0" algorithmName="SHA-512" sheet="1" objects="0" insertRows="1" insertHyperlinks="1" autoFilter="1" scenarios="1" formatColumns="1" deleteColumns="1" insertColumns="1" pivotTables="1" deleteRows="1" formatCells="1" saltValue="jleqKBIRMq749yup6ndiog==" formatRows="1" sort="1" spinCount="100000" hashValue="okAF4055yvBK/NkYIRR58gMdBH8NSUw6twTq2al748GaVpbCHo/NFQwXqPR3YBsI7FjtycpPXzHvXznfgHVM4A=="/>
  <mergeCells count="11">
    <mergeCell ref="H2:J2"/>
    <mergeCell ref="D16:E16"/>
    <mergeCell ref="Z35:AB35"/>
    <mergeCell ref="N80:Q80"/>
    <mergeCell ref="X39:X40"/>
    <mergeCell ref="Y39:Y40"/>
    <mergeCell ref="Z39:Z40"/>
    <mergeCell ref="AA39:AA40"/>
    <mergeCell ref="AB39:AB40"/>
    <mergeCell ref="AC1:AC2"/>
    <mergeCell ref="AC39:AC40"/>
  </mergeCells>
  <dataValidations count="1">
    <dataValidation sqref="Z37" showErrorMessage="1" showInputMessage="1" allowBlank="1" type="list">
      <formula1>"LC,CNY"</formula1>
    </dataValidation>
  </dataValidations>
  <pageMargins left="0.7" right="0.7" top="0.75" bottom="0.75" header="0.3" footer="0.3"/>
  <pageSetup orientation="portrait" paperSize="9"/>
  <drawing xmlns:r="http://schemas.openxmlformats.org/officeDocument/2006/relationships" r:id="rId1"/>
</worksheet>
</file>

<file path=xl/worksheets/sheet30.xml><?xml version="1.0" encoding="utf-8"?>
<worksheet xmlns="http://schemas.openxmlformats.org/spreadsheetml/2006/main">
  <sheetPr codeName="Sheet45">
    <outlinePr showOutlineSymbols="0"/>
    <pageSetUpPr/>
  </sheetPr>
  <dimension ref="A1:AR148"/>
  <sheetViews>
    <sheetView showOutlineSymbols="0" topLeftCell="W34" zoomScale="85" zoomScaleNormal="85" workbookViewId="0">
      <pane xSplit="6" ySplit="12" topLeftCell="AC76" activePane="bottomRight" state="frozen"/>
      <selection activeCell="A1" sqref="A1"/>
      <selection pane="topRight" activeCell="A1" sqref="A1"/>
      <selection pane="bottomLeft" activeCell="A1" sqref="A1"/>
      <selection pane="bottomRight" activeCell="AG61" sqref="AG61"/>
    </sheetView>
  </sheetViews>
  <sheetFormatPr baseColWidth="8" defaultColWidth="8.625" defaultRowHeight="16.8"/>
  <cols>
    <col hidden="1" outlineLevel="2" width="8" customWidth="1" style="38" min="1" max="1"/>
    <col hidden="1" outlineLevel="2" width="15.375" customWidth="1" style="38" min="2" max="2"/>
    <col hidden="1" outlineLevel="2" width="11.375" customWidth="1" style="38" min="3" max="3"/>
    <col hidden="1" outlineLevel="2" width="12.25" customWidth="1" style="38" min="4" max="4"/>
    <col hidden="1" outlineLevel="2" width="11.75" customWidth="1" style="38" min="5" max="5"/>
    <col hidden="1" outlineLevel="2" width="7.75" customWidth="1" style="38" min="6" max="7"/>
    <col hidden="1" outlineLevel="2" width="13.125" customWidth="1" style="38" min="8" max="8"/>
    <col hidden="1" outlineLevel="2" width="7.75" customWidth="1" style="38" min="9" max="9"/>
    <col hidden="1" outlineLevel="2" width="11.125" customWidth="1" style="38" min="10" max="10"/>
    <col hidden="1" outlineLevel="2" width="7.75" customWidth="1" style="38" min="11" max="11"/>
    <col hidden="1" outlineLevel="2" width="16.75" customWidth="1" style="38" min="12" max="13"/>
    <col hidden="1" outlineLevel="2" width="20.25" customWidth="1" style="38" min="14" max="14"/>
    <col hidden="1" outlineLevel="2" width="18.125" customWidth="1" style="38" min="15" max="16"/>
    <col hidden="1" outlineLevel="2" width="11.75" customWidth="1" style="38" min="17" max="17"/>
    <col hidden="1" outlineLevel="2" width="36.75" customWidth="1" style="38" min="18" max="18"/>
    <col hidden="1" outlineLevel="1" width="32.375" customWidth="1" style="580" min="19" max="19"/>
    <col hidden="1" outlineLevel="1" width="2.375" customWidth="1" style="38" min="20" max="20"/>
    <col hidden="1" outlineLevel="1" width="12.75" customWidth="1" style="38" min="21" max="21"/>
    <col hidden="1" outlineLevel="1" width="32.375" customWidth="1" style="38" min="22" max="22"/>
    <col collapsed="1" width="1.5" customWidth="1" style="38" min="23" max="23"/>
    <col width="40.25" customWidth="1" style="38" min="24" max="24"/>
    <col width="4.5" customWidth="1" style="38" min="25" max="25"/>
    <col hidden="1" width="23.75" customWidth="1" style="38" min="26" max="26"/>
    <col hidden="1" width="16.375" customWidth="1" style="38" min="27" max="28"/>
    <col width="27" customWidth="1" style="38" min="29" max="31"/>
    <col width="20.5" customWidth="1" style="38" min="32" max="35"/>
    <col width="16.75" customWidth="1" style="38" min="36" max="36"/>
    <col width="17.375" customWidth="1" style="38" min="37" max="38"/>
    <col width="16.75" customWidth="1" style="38" min="39" max="41"/>
    <col width="17.375" customWidth="1" style="38" min="42" max="43"/>
    <col width="16.75" customWidth="1" style="38" min="44" max="46"/>
    <col width="17.375" customWidth="1" style="38" min="47" max="48"/>
    <col width="16.75" customWidth="1" style="38" min="49" max="51"/>
    <col width="17.375" customWidth="1" style="38" min="52" max="53"/>
    <col width="16.75" customWidth="1" style="38" min="54" max="56"/>
    <col width="17.375" customWidth="1" style="38" min="57" max="58"/>
    <col width="16.75" customWidth="1" style="38" min="59" max="59"/>
    <col width="8.625" customWidth="1" style="38" min="60" max="16384"/>
  </cols>
  <sheetData>
    <row r="1" hidden="1" outlineLevel="1" ht="15" customFormat="1" customHeight="1" s="171">
      <c r="A1" s="172" t="inlineStr">
        <is>
          <t>维度清单</t>
        </is>
      </c>
      <c r="B1" s="726" t="n"/>
      <c r="C1" s="566" t="n"/>
      <c r="D1" s="566" t="n"/>
      <c r="E1" s="575" t="n"/>
      <c r="F1" s="171" t="n"/>
      <c r="G1" s="171" t="n"/>
      <c r="H1" s="171" t="n"/>
      <c r="I1" s="171" t="n"/>
      <c r="J1" s="171" t="n"/>
      <c r="K1" s="171" t="n"/>
      <c r="L1" s="171" t="n"/>
      <c r="M1" s="171" t="n"/>
      <c r="N1" s="171" t="n"/>
      <c r="O1" s="171" t="n"/>
      <c r="P1" s="171" t="n"/>
      <c r="Q1" s="171" t="n"/>
      <c r="R1" s="171" t="n"/>
      <c r="S1" s="568" t="n"/>
      <c r="T1" s="171" t="n"/>
      <c r="U1" s="171" t="n"/>
      <c r="V1" s="171" t="n"/>
      <c r="W1" s="171" t="n"/>
      <c r="X1" s="171" t="n"/>
      <c r="Y1" s="171" t="n"/>
      <c r="Z1" s="171" t="n"/>
      <c r="AA1" s="171" t="n"/>
      <c r="AB1" s="171" t="n"/>
      <c r="AC1" s="551" t="n"/>
      <c r="AD1" s="171" t="n"/>
      <c r="AE1" s="171" t="n"/>
      <c r="AF1" s="171" t="n"/>
      <c r="AG1" s="171" t="n"/>
      <c r="AH1" s="171" t="n"/>
      <c r="AI1" s="171" t="n"/>
      <c r="AJ1" s="171" t="n"/>
      <c r="AK1" s="171" t="n"/>
      <c r="AL1" s="171" t="n"/>
      <c r="AM1" s="171" t="n"/>
      <c r="AN1" s="171" t="n"/>
      <c r="AO1" s="171" t="n"/>
      <c r="AP1" s="601" t="n"/>
      <c r="AQ1" s="171" t="n"/>
      <c r="AR1" s="171" t="n"/>
    </row>
    <row r="2" hidden="1" outlineLevel="1" ht="15" customFormat="1" customHeight="1" s="171">
      <c r="A2" s="174" t="inlineStr">
        <is>
          <t>维度类型</t>
        </is>
      </c>
      <c r="B2" s="174" t="inlineStr">
        <is>
          <t>维度</t>
        </is>
      </c>
      <c r="C2" s="174" t="inlineStr">
        <is>
          <t>维度CV值</t>
        </is>
      </c>
      <c r="D2" s="174" t="inlineStr">
        <is>
          <t>描述</t>
        </is>
      </c>
      <c r="E2" s="174" t="inlineStr">
        <is>
          <t>备注</t>
        </is>
      </c>
      <c r="F2" s="171" t="n"/>
      <c r="G2" s="171" t="n"/>
      <c r="H2" s="577" t="inlineStr">
        <is>
          <t>TIME</t>
        </is>
      </c>
      <c r="I2" s="1182" t="n"/>
      <c r="J2" s="1183" t="n"/>
      <c r="K2" s="171" t="n"/>
      <c r="L2" s="171" t="n"/>
      <c r="M2" s="171" t="n"/>
      <c r="N2" s="171" t="n"/>
      <c r="O2" s="171" t="n"/>
      <c r="P2" s="171" t="n"/>
      <c r="Q2" s="171" t="n"/>
      <c r="R2" s="171" t="n"/>
      <c r="S2" s="568" t="n"/>
      <c r="T2" s="171" t="n"/>
      <c r="U2" s="171" t="n"/>
      <c r="V2" s="171" t="n"/>
      <c r="W2" s="171" t="n"/>
      <c r="X2" s="171" t="n"/>
      <c r="Y2" s="171" t="n"/>
      <c r="Z2" s="171" t="n"/>
      <c r="AA2" s="171" t="n"/>
      <c r="AB2" s="171" t="n"/>
      <c r="AC2" s="1211" t="n"/>
      <c r="AD2" s="171" t="n"/>
      <c r="AE2" s="171" t="n"/>
      <c r="AF2" s="171" t="n"/>
      <c r="AG2" s="171" t="n"/>
      <c r="AH2" s="171" t="n"/>
      <c r="AI2" s="171" t="n"/>
      <c r="AJ2" s="171" t="n"/>
      <c r="AK2" s="171" t="n"/>
      <c r="AL2" s="171" t="n"/>
      <c r="AM2" s="171" t="n"/>
      <c r="AN2" s="171" t="n"/>
      <c r="AO2" s="171" t="n"/>
      <c r="AP2" s="601" t="n"/>
      <c r="AQ2" s="171" t="n"/>
      <c r="AR2" s="171" t="n"/>
    </row>
    <row r="3" hidden="1" outlineLevel="1" ht="15" customFormat="1" customHeight="1" s="171">
      <c r="A3" s="567" t="inlineStr">
        <is>
          <t>A</t>
        </is>
      </c>
      <c r="B3" s="491">
        <f>IF(_epmOfflineCondition_,"C_ACCOUNT",EPMDimensionType(,A3))</f>
        <v/>
      </c>
      <c r="C3" s="491">
        <f>IF(_epmOfflineCondition_,"A_ALL",IF(B3="","",EPMContextMember(,B3)))</f>
        <v/>
      </c>
      <c r="D3" s="491">
        <f>IF(_epmOfflineCondition_,"所有科目",EPMMemberDesc(C3))</f>
        <v/>
      </c>
      <c r="E3" s="491" t="n"/>
      <c r="F3" s="171" t="n"/>
      <c r="G3" s="171" t="n"/>
      <c r="H3" s="578" t="inlineStr">
        <is>
          <t>年变量</t>
        </is>
      </c>
      <c r="I3" s="578">
        <f>IF(_epmOfflineCondition_,"2025",EPMMemberProperty(,EPMContextMember(,"C_TIME"),"YEAR"))</f>
        <v/>
      </c>
      <c r="J3" s="578" t="n"/>
      <c r="K3" s="171" t="n"/>
      <c r="L3" s="171" t="n"/>
      <c r="M3" s="171" t="n"/>
      <c r="N3" s="171" t="n"/>
      <c r="O3" s="171" t="n"/>
      <c r="P3" s="171" t="n"/>
      <c r="Q3" s="171" t="n"/>
      <c r="R3" s="171" t="n"/>
      <c r="S3" s="568" t="n"/>
      <c r="T3" s="171" t="n"/>
      <c r="U3" s="171" t="n"/>
      <c r="V3" s="171" t="n"/>
      <c r="W3" s="171" t="n"/>
      <c r="X3" s="171" t="n"/>
      <c r="Y3" s="171" t="n"/>
      <c r="Z3" s="171" t="n"/>
      <c r="AA3" s="171" t="n"/>
      <c r="AB3" s="171" t="n"/>
      <c r="AC3" s="13" t="n"/>
      <c r="AD3" s="171" t="n"/>
      <c r="AE3" s="171" t="n"/>
      <c r="AF3" s="171" t="n"/>
      <c r="AG3" s="171" t="n"/>
      <c r="AH3" s="171" t="n"/>
      <c r="AI3" s="171" t="n"/>
      <c r="AJ3" s="171" t="n"/>
      <c r="AK3" s="171" t="n"/>
      <c r="AL3" s="171" t="n"/>
      <c r="AM3" s="171" t="n"/>
      <c r="AN3" s="171" t="n"/>
      <c r="AO3" s="171" t="n"/>
      <c r="AP3" s="601" t="n"/>
      <c r="AQ3" s="171" t="n"/>
      <c r="AR3" s="171" t="n"/>
    </row>
    <row r="4" hidden="1" outlineLevel="1" ht="15" customFormat="1" customHeight="1" s="171">
      <c r="A4" s="567" t="inlineStr">
        <is>
          <t>C</t>
        </is>
      </c>
      <c r="B4" s="491">
        <f>IF(_epmOfflineCondition_,"C_CATEGORY",EPMDimensionType(,A4))</f>
        <v/>
      </c>
      <c r="C4" s="491">
        <f>IF(_epmOfflineCondition_,"C1001",IF(B4="","",EPMContextMember(,B4)))</f>
        <v/>
      </c>
      <c r="D4" s="491">
        <f>IF(_epmOfflineCondition_,"实际数/决算数",EPMMemberDesc(C4))</f>
        <v/>
      </c>
      <c r="E4" s="491" t="n"/>
      <c r="F4" s="171" t="n"/>
      <c r="G4" s="171" t="n"/>
      <c r="H4" s="578" t="inlineStr">
        <is>
          <t>预算年</t>
        </is>
      </c>
      <c r="I4" s="578">
        <f>"V_"&amp;$I$3</f>
        <v/>
      </c>
      <c r="J4" s="578">
        <f>$I$3&amp;".TOTAL"</f>
        <v/>
      </c>
      <c r="K4" s="171" t="n"/>
      <c r="L4" s="171" t="n"/>
      <c r="M4" s="171" t="n"/>
      <c r="N4" s="171" t="n"/>
      <c r="O4" s="171" t="n"/>
      <c r="P4" s="171" t="n"/>
      <c r="Q4" s="171" t="n"/>
      <c r="R4" s="171" t="n"/>
      <c r="S4" s="568" t="n"/>
      <c r="T4" s="171" t="n"/>
      <c r="U4" s="171" t="n"/>
      <c r="V4" s="171" t="n"/>
      <c r="W4" s="171" t="n"/>
      <c r="X4" s="171" t="n"/>
      <c r="Y4" s="171" t="n"/>
      <c r="Z4" s="171" t="n"/>
      <c r="AA4" s="171" t="n"/>
      <c r="AB4" s="171" t="n"/>
      <c r="AC4" s="13" t="n"/>
      <c r="AD4" s="171" t="n"/>
      <c r="AE4" s="171" t="n"/>
      <c r="AF4" s="171" t="n"/>
      <c r="AG4" s="171" t="n"/>
      <c r="AH4" s="171" t="n"/>
      <c r="AI4" s="171" t="n"/>
      <c r="AJ4" s="171" t="n"/>
      <c r="AK4" s="171" t="n"/>
      <c r="AL4" s="171" t="n"/>
      <c r="AM4" s="171" t="n"/>
      <c r="AN4" s="171" t="n"/>
      <c r="AO4" s="171" t="n"/>
      <c r="AP4" s="601" t="n"/>
      <c r="AQ4" s="171" t="n"/>
      <c r="AR4" s="171" t="n"/>
    </row>
    <row r="5" hidden="1" outlineLevel="1" ht="15" customFormat="1" customHeight="1" s="171">
      <c r="A5" s="567" t="inlineStr">
        <is>
          <t>T</t>
        </is>
      </c>
      <c r="B5" s="491">
        <f>IF(_epmOfflineCondition_,"C_TIME",EPMDimensionType(,A5))</f>
        <v/>
      </c>
      <c r="C5" s="491">
        <f>IF(_epmOfflineCondition_,"2025.03",IF(B5="","",EPMContextMember(,B5)))</f>
        <v/>
      </c>
      <c r="D5" s="491">
        <f>IF(_epmOfflineCondition_,"2025.03",EPMMemberDesc(C5))</f>
        <v/>
      </c>
      <c r="E5" s="491" t="n"/>
      <c r="F5" s="171" t="n"/>
      <c r="G5" s="171" t="n"/>
      <c r="H5" s="578" t="inlineStr">
        <is>
          <t>前一年</t>
        </is>
      </c>
      <c r="I5" s="578">
        <f>"V_"&amp;$I$3-1</f>
        <v/>
      </c>
      <c r="J5" s="578">
        <f>$I$3-1&amp;".TOTAL"</f>
        <v/>
      </c>
      <c r="K5" s="171" t="n"/>
      <c r="L5" s="171" t="n"/>
      <c r="M5" s="171" t="n"/>
      <c r="N5" s="171" t="n"/>
      <c r="O5" s="171" t="n"/>
      <c r="P5" s="171" t="n"/>
      <c r="Q5" s="171" t="n"/>
      <c r="R5" s="171" t="n"/>
      <c r="S5" s="568" t="n"/>
      <c r="T5" s="171" t="n"/>
      <c r="U5" s="171" t="n"/>
      <c r="V5" s="171" t="n"/>
      <c r="W5" s="171" t="n"/>
      <c r="X5" s="171" t="n"/>
      <c r="Y5" s="171" t="n"/>
      <c r="Z5" s="171" t="n"/>
      <c r="AA5" s="171" t="n"/>
      <c r="AB5" s="171" t="n"/>
      <c r="AC5" s="13" t="n"/>
      <c r="AD5" s="171" t="n"/>
      <c r="AE5" s="171" t="n"/>
      <c r="AF5" s="171" t="n"/>
      <c r="AG5" s="171" t="n"/>
      <c r="AH5" s="171" t="n"/>
      <c r="AI5" s="171" t="n"/>
      <c r="AJ5" s="171" t="n"/>
      <c r="AK5" s="171" t="n"/>
      <c r="AL5" s="171" t="n"/>
      <c r="AM5" s="171" t="n"/>
      <c r="AN5" s="171" t="n"/>
      <c r="AO5" s="171" t="n"/>
      <c r="AP5" s="601" t="n"/>
      <c r="AQ5" s="171" t="n"/>
      <c r="AR5" s="171" t="n"/>
    </row>
    <row r="6" hidden="1" outlineLevel="1" ht="15" customFormat="1" customHeight="1" s="171">
      <c r="A6" s="567" t="inlineStr">
        <is>
          <t>E</t>
        </is>
      </c>
      <c r="B6" s="491">
        <f>IF(_epmOfflineCondition_,"C_ENTITY",EPMDimensionType(,A6))</f>
        <v/>
      </c>
      <c r="C6" s="491">
        <f>IF(_epmOfflineCondition_,"E100787",IF(B6="","",EPMContextMember(,B6)))</f>
        <v/>
      </c>
      <c r="D6" s="491">
        <f>IF(_epmOfflineCondition_,"内蒙古京能苏尼特风力发电有限公司（内蒙古分公司）",EPMMemberDesc(C6))</f>
        <v/>
      </c>
      <c r="E6" s="491" t="n"/>
      <c r="F6" s="171" t="n"/>
      <c r="G6" s="171" t="n"/>
      <c r="H6" s="578" t="inlineStr">
        <is>
          <t>前两年</t>
        </is>
      </c>
      <c r="I6" s="578">
        <f>"V_"&amp;$I$3-2</f>
        <v/>
      </c>
      <c r="J6" s="578">
        <f>$I$3-2&amp;".TOTAL"</f>
        <v/>
      </c>
      <c r="K6" s="171" t="n"/>
      <c r="L6" s="171" t="n"/>
      <c r="M6" s="171" t="n"/>
      <c r="N6" s="171" t="n"/>
      <c r="O6" s="171" t="n"/>
      <c r="P6" s="171" t="n"/>
      <c r="Q6" s="171" t="n"/>
      <c r="R6" s="171" t="n"/>
      <c r="S6" s="568" t="n"/>
      <c r="T6" s="171" t="n"/>
      <c r="U6" s="171" t="n"/>
      <c r="V6" s="171" t="n"/>
      <c r="W6" s="171" t="n"/>
      <c r="X6" s="171" t="n"/>
      <c r="Y6" s="171" t="n"/>
      <c r="Z6" s="171" t="n"/>
      <c r="AA6" s="171" t="n"/>
      <c r="AB6" s="171" t="n"/>
      <c r="AC6" s="13" t="n"/>
      <c r="AD6" s="171" t="n"/>
      <c r="AE6" s="171" t="n"/>
      <c r="AF6" s="171" t="n"/>
      <c r="AG6" s="171" t="n"/>
      <c r="AH6" s="171" t="n"/>
      <c r="AI6" s="171" t="n"/>
      <c r="AJ6" s="171" t="n"/>
      <c r="AK6" s="171" t="n"/>
      <c r="AL6" s="171" t="n"/>
      <c r="AM6" s="171" t="n"/>
      <c r="AN6" s="171" t="n"/>
      <c r="AO6" s="171" t="n"/>
      <c r="AP6" s="601" t="n"/>
      <c r="AQ6" s="171" t="n"/>
      <c r="AR6" s="171" t="n"/>
    </row>
    <row r="7" hidden="1" outlineLevel="1" ht="15" customFormat="1" customHeight="1" s="171">
      <c r="A7" s="567" t="inlineStr">
        <is>
          <t>R</t>
        </is>
      </c>
      <c r="B7" s="491">
        <f>IF(_epmOfflineCondition_,"C_RPTCURRENCY",EPMDimensionType(,A7))</f>
        <v/>
      </c>
      <c r="C7" s="491">
        <f>IF(_epmOfflineCondition_,"AUD",IF(B7="","",EPMContextMember(,B7)))</f>
        <v/>
      </c>
      <c r="D7" s="491">
        <f>IF(_epmOfflineCondition_,"澳元",EPMMemberDesc(C7))</f>
        <v/>
      </c>
      <c r="E7" s="491" t="n"/>
      <c r="F7" s="171" t="n"/>
      <c r="G7" s="171" t="n"/>
      <c r="H7" s="171" t="n"/>
      <c r="I7" s="171" t="n"/>
      <c r="J7" s="171" t="n"/>
      <c r="K7" s="171" t="n"/>
      <c r="L7" s="171" t="n"/>
      <c r="M7" s="171" t="n"/>
      <c r="N7" s="171" t="n"/>
      <c r="O7" s="171" t="n"/>
      <c r="P7" s="171" t="n"/>
      <c r="Q7" s="171" t="n"/>
      <c r="R7" s="171" t="n"/>
      <c r="S7" s="568" t="n"/>
      <c r="T7" s="171" t="n"/>
      <c r="U7" s="171" t="n"/>
      <c r="V7" s="171" t="n"/>
      <c r="W7" s="171" t="n"/>
      <c r="X7" s="171" t="n"/>
      <c r="Y7" s="171" t="n"/>
      <c r="Z7" s="171" t="n"/>
      <c r="AA7" s="171" t="n"/>
      <c r="AB7" s="171" t="n"/>
      <c r="AC7" s="13" t="n"/>
      <c r="AD7" s="171" t="n"/>
      <c r="AE7" s="171" t="n"/>
      <c r="AF7" s="171" t="n"/>
      <c r="AG7" s="171" t="n"/>
      <c r="AH7" s="171" t="n"/>
      <c r="AI7" s="171" t="n"/>
      <c r="AJ7" s="171" t="n"/>
      <c r="AK7" s="171" t="n"/>
      <c r="AL7" s="171" t="n"/>
      <c r="AM7" s="171" t="n"/>
      <c r="AN7" s="171" t="n"/>
      <c r="AO7" s="171" t="n"/>
      <c r="AP7" s="601" t="n"/>
      <c r="AQ7" s="171" t="n"/>
      <c r="AR7" s="171" t="n"/>
    </row>
    <row r="8" hidden="1" outlineLevel="1" ht="15" customFormat="1" customHeight="1" s="171">
      <c r="A8" s="567" t="inlineStr">
        <is>
          <t>D</t>
        </is>
      </c>
      <c r="B8" s="491">
        <f>IF(_epmOfflineCondition_,"C_AUDITTRAIL",EPMDimensionType(,A8))</f>
        <v/>
      </c>
      <c r="C8" s="491">
        <f>IF(_epmOfflineCondition_,"DTOTAL",IF(B8="","",EPMContextMember(,B8)))</f>
        <v/>
      </c>
      <c r="D8" s="491">
        <f>IF(_epmOfflineCondition_,"全部审计线索",EPMMemberDesc(C8))</f>
        <v/>
      </c>
      <c r="E8" s="491" t="n"/>
      <c r="F8" s="171" t="n"/>
      <c r="G8" s="171" t="n"/>
      <c r="H8" s="578" t="inlineStr">
        <is>
          <t>本月</t>
        </is>
      </c>
      <c r="I8" s="578">
        <f>IF(_epmOfflineCondition_,"03",RIGHT("0"&amp;EPMMemberProperty(,EPMContextMember(,"C_TIME"),"MONTHNUM"),2))</f>
        <v/>
      </c>
      <c r="J8" s="171" t="n"/>
      <c r="K8" s="171" t="n"/>
      <c r="L8" s="171" t="n"/>
      <c r="M8" s="171" t="n"/>
      <c r="N8" s="171" t="n"/>
      <c r="O8" s="171" t="n"/>
      <c r="P8" s="171" t="n"/>
      <c r="Q8" s="171" t="n"/>
      <c r="R8" s="171" t="n"/>
      <c r="S8" s="568" t="n"/>
      <c r="T8" s="171" t="n"/>
      <c r="U8" s="171" t="n"/>
      <c r="V8" s="171" t="n"/>
      <c r="W8" s="171" t="n"/>
      <c r="X8" s="171" t="n"/>
      <c r="Y8" s="171" t="n"/>
      <c r="Z8" s="171" t="n"/>
      <c r="AA8" s="171" t="n"/>
      <c r="AB8" s="171" t="n"/>
      <c r="AC8" s="1192" t="n"/>
      <c r="AD8" s="171" t="n"/>
      <c r="AE8" s="171" t="n"/>
      <c r="AF8" s="171" t="n"/>
      <c r="AG8" s="171" t="n"/>
      <c r="AH8" s="171" t="n"/>
      <c r="AI8" s="171" t="n"/>
      <c r="AJ8" s="171" t="n"/>
      <c r="AK8" s="171" t="n"/>
      <c r="AL8" s="171" t="n"/>
      <c r="AM8" s="171" t="n"/>
      <c r="AN8" s="171" t="n"/>
      <c r="AO8" s="171" t="n"/>
      <c r="AP8" s="601" t="n"/>
      <c r="AQ8" s="171" t="n"/>
      <c r="AR8" s="171" t="n"/>
    </row>
    <row r="9" hidden="1" outlineLevel="1" ht="15" customFormat="1" customHeight="1" s="171">
      <c r="A9" s="567" t="inlineStr">
        <is>
          <t>S</t>
        </is>
      </c>
      <c r="B9" s="491">
        <f>IF(_epmOfflineCondition_,"C_FLOW",EPMDimensionType(,A9))</f>
        <v/>
      </c>
      <c r="C9" s="491">
        <f>IF(_epmOfflineCondition_,"FTOTAL",IF(B9="","",EPMContextMember(,B9)))</f>
        <v/>
      </c>
      <c r="D9" s="491">
        <f>IF(_epmOfflineCondition_,"全部变动",EPMMemberDesc(C9))</f>
        <v/>
      </c>
      <c r="E9" s="491" t="n"/>
      <c r="F9" s="171" t="n"/>
      <c r="G9" s="171" t="n"/>
      <c r="H9" s="578" t="inlineStr">
        <is>
          <t>上月</t>
        </is>
      </c>
      <c r="I9" s="579">
        <f>RIGHT("0"&amp;IF(I8="01",12,I8-1),2)</f>
        <v/>
      </c>
      <c r="J9" s="171" t="n"/>
      <c r="K9" s="171" t="n"/>
      <c r="L9" s="171" t="n"/>
      <c r="M9" s="171" t="n"/>
      <c r="N9" s="171" t="n"/>
      <c r="O9" s="171" t="n"/>
      <c r="P9" s="171" t="n"/>
      <c r="Q9" s="171" t="n"/>
      <c r="R9" s="171" t="n"/>
      <c r="S9" s="568" t="n"/>
      <c r="T9" s="171" t="n"/>
      <c r="U9" s="171" t="n"/>
      <c r="V9" s="171" t="n"/>
      <c r="W9" s="171" t="n"/>
      <c r="X9" s="171" t="n"/>
      <c r="Y9" s="171" t="n"/>
      <c r="Z9" s="171" t="n"/>
      <c r="AA9" s="171" t="n"/>
      <c r="AB9" s="171" t="n"/>
      <c r="AC9" s="1192" t="n"/>
      <c r="AD9" s="171" t="n"/>
      <c r="AE9" s="171" t="n"/>
      <c r="AF9" s="171" t="n"/>
      <c r="AG9" s="171" t="n"/>
      <c r="AH9" s="171" t="n"/>
      <c r="AI9" s="171" t="n"/>
      <c r="AJ9" s="171" t="n"/>
      <c r="AK9" s="171" t="n"/>
      <c r="AL9" s="171" t="n"/>
      <c r="AM9" s="171" t="n"/>
      <c r="AN9" s="171" t="n"/>
      <c r="AO9" s="171" t="n"/>
      <c r="AP9" s="601" t="n"/>
      <c r="AQ9" s="171" t="n"/>
      <c r="AR9" s="171" t="n"/>
    </row>
    <row r="10" hidden="1" outlineLevel="1" ht="15" customFormat="1" customHeight="1" s="171">
      <c r="A10" s="567" t="inlineStr">
        <is>
          <t>I</t>
        </is>
      </c>
      <c r="B10" s="491">
        <f>IF(_epmOfflineCondition_,"C_INTERCO",EPMDimensionType(,A10))</f>
        <v/>
      </c>
      <c r="C10" s="491">
        <f>IF(_epmOfflineCondition_,"I_ALL",IF(B10="","",EPMContextMember(,B10)))</f>
        <v/>
      </c>
      <c r="D10" s="491">
        <f>IF(_epmOfflineCondition_,"全部贸易伙伴",EPMMemberDesc(C10))</f>
        <v/>
      </c>
      <c r="E10" s="491" t="n"/>
      <c r="F10" s="171" t="n"/>
      <c r="G10" s="171" t="n"/>
      <c r="H10" s="578" t="inlineStr">
        <is>
          <t>上年</t>
        </is>
      </c>
      <c r="I10" s="579">
        <f>$I$3-1</f>
        <v/>
      </c>
      <c r="J10" s="171" t="n"/>
      <c r="K10" s="171" t="n"/>
      <c r="L10" s="171" t="n"/>
      <c r="M10" s="171" t="n"/>
      <c r="N10" s="171" t="n"/>
      <c r="O10" s="171" t="n"/>
      <c r="P10" s="171" t="n"/>
      <c r="Q10" s="171" t="n"/>
      <c r="R10" s="171" t="n"/>
      <c r="S10" s="568" t="n"/>
      <c r="T10" s="171" t="n"/>
      <c r="U10" s="171" t="n"/>
      <c r="V10" s="171" t="n"/>
      <c r="W10" s="171" t="n"/>
      <c r="X10" s="171" t="n"/>
      <c r="Y10" s="171" t="n"/>
      <c r="Z10" s="171" t="n"/>
      <c r="AA10" s="171" t="n"/>
      <c r="AB10" s="171" t="n"/>
      <c r="AC10" s="1192" t="n"/>
      <c r="AD10" s="171" t="n"/>
      <c r="AE10" s="171" t="n"/>
      <c r="AF10" s="171" t="n"/>
      <c r="AG10" s="171" t="n"/>
      <c r="AH10" s="171" t="n"/>
      <c r="AI10" s="171" t="n"/>
      <c r="AJ10" s="171" t="n"/>
      <c r="AK10" s="171" t="n"/>
      <c r="AL10" s="171" t="n"/>
      <c r="AM10" s="171" t="n"/>
      <c r="AN10" s="171" t="n"/>
      <c r="AO10" s="171" t="n"/>
      <c r="AP10" s="601" t="n"/>
      <c r="AQ10" s="171" t="n"/>
      <c r="AR10" s="171" t="n"/>
    </row>
    <row r="11" hidden="1" outlineLevel="1" ht="15" customFormat="1" customHeight="1" s="171">
      <c r="A11" s="567" t="inlineStr">
        <is>
          <t>G</t>
        </is>
      </c>
      <c r="B11" s="491">
        <f>IF(_epmOfflineCondition_,"C_SCOPE",EPMDimensionType(,A11))</f>
        <v/>
      </c>
      <c r="C11" s="491">
        <f>IF(_epmOfflineCondition_,"G_DUMMY",IF(B11="","",EPMContextMember(,B11)))</f>
        <v/>
      </c>
      <c r="D11" s="491">
        <f>IF(_epmOfflineCondition_,"合并范围无关",EPMMemberDesc(C11))</f>
        <v/>
      </c>
      <c r="E11" s="176">
        <f>IF(OR(RIGHT(C11,1)="P",RIGHT(C11,1)="S"),LEFT(C11,LEN(C11)-1),C11)</f>
        <v/>
      </c>
      <c r="F11" s="171" t="n"/>
      <c r="G11" s="171" t="n"/>
      <c r="H11" s="578" t="inlineStr">
        <is>
          <t xml:space="preserve">本年月 </t>
        </is>
      </c>
      <c r="I11" s="578">
        <f>I3&amp;"."&amp;I8</f>
        <v/>
      </c>
      <c r="J11" s="171" t="n"/>
      <c r="K11" s="171" t="n"/>
      <c r="L11" s="171" t="n"/>
      <c r="M11" s="171" t="n"/>
      <c r="N11" s="171" t="n"/>
      <c r="O11" s="171" t="n"/>
      <c r="P11" s="171" t="n"/>
      <c r="Q11" s="171" t="n"/>
      <c r="R11" s="171" t="n"/>
      <c r="S11" s="568" t="n"/>
      <c r="T11" s="171" t="n"/>
      <c r="U11" s="171" t="n"/>
      <c r="V11" s="171" t="n"/>
      <c r="W11" s="171" t="n"/>
      <c r="X11" s="171" t="n"/>
      <c r="Y11" s="171" t="n"/>
      <c r="Z11" s="171" t="n"/>
      <c r="AA11" s="171" t="n"/>
      <c r="AB11" s="171" t="n"/>
      <c r="AC11" s="1192" t="n"/>
      <c r="AD11" s="171" t="n"/>
      <c r="AE11" s="171" t="n"/>
      <c r="AF11" s="171" t="n"/>
      <c r="AG11" s="171" t="n"/>
      <c r="AH11" s="171" t="n"/>
      <c r="AI11" s="171" t="n"/>
      <c r="AJ11" s="171" t="n"/>
      <c r="AK11" s="171" t="n"/>
      <c r="AL11" s="171" t="n"/>
      <c r="AM11" s="171" t="n"/>
      <c r="AN11" s="171" t="n"/>
      <c r="AO11" s="171" t="n"/>
      <c r="AP11" s="601" t="n"/>
      <c r="AQ11" s="171" t="n"/>
      <c r="AR11" s="171" t="n"/>
    </row>
    <row r="12" hidden="1" outlineLevel="1" ht="15" customFormat="1" customHeight="1" s="171">
      <c r="A12" s="567" t="inlineStr">
        <is>
          <t>U8</t>
        </is>
      </c>
      <c r="B12" s="491">
        <f>IF(_epmOfflineCondition_,"C_PROJECT",EPMDimensionType(,A12))</f>
        <v/>
      </c>
      <c r="C12" s="491">
        <f>IF(_epmOfflineCondition_,"ZP_ALL",IF(B12="","",EPMContextMember(,B12)))</f>
        <v/>
      </c>
      <c r="D12" s="491">
        <f>IF(_epmOfflineCondition_,"项目合计",EPMMemberDesc(C12))</f>
        <v/>
      </c>
      <c r="E12" s="491" t="n"/>
      <c r="F12" s="171" t="n"/>
      <c r="G12" s="171" t="n"/>
      <c r="H12" s="578" t="inlineStr">
        <is>
          <t>上年月</t>
        </is>
      </c>
      <c r="I12" s="578">
        <f>IF(I8="01",I10&amp;"."&amp;I9,I3&amp;"."&amp;I9)</f>
        <v/>
      </c>
      <c r="J12" s="171" t="n"/>
      <c r="K12" s="171" t="n"/>
      <c r="L12" s="171" t="n"/>
      <c r="M12" s="171" t="n"/>
      <c r="N12" s="171" t="n"/>
      <c r="O12" s="171" t="n"/>
      <c r="P12" s="171" t="n"/>
      <c r="Q12" s="171" t="n"/>
      <c r="R12" s="171" t="n"/>
      <c r="S12" s="568" t="n"/>
      <c r="T12" s="171" t="n"/>
      <c r="U12" s="171" t="n"/>
      <c r="V12" s="171" t="n"/>
      <c r="W12" s="171" t="n"/>
      <c r="X12" s="171" t="n"/>
      <c r="Y12" s="171" t="n"/>
      <c r="Z12" s="171" t="n"/>
      <c r="AA12" s="171" t="n"/>
      <c r="AB12" s="171" t="n"/>
      <c r="AC12" s="1192" t="n"/>
      <c r="AD12" s="171" t="n"/>
      <c r="AE12" s="171" t="n"/>
      <c r="AF12" s="171" t="n"/>
      <c r="AG12" s="171" t="n"/>
      <c r="AH12" s="171" t="n"/>
      <c r="AI12" s="171" t="n"/>
      <c r="AJ12" s="171" t="n"/>
      <c r="AK12" s="171" t="n"/>
      <c r="AL12" s="171" t="n"/>
      <c r="AM12" s="171" t="n"/>
      <c r="AN12" s="171" t="n"/>
      <c r="AO12" s="171" t="n"/>
      <c r="AP12" s="601" t="n"/>
      <c r="AQ12" s="171" t="n"/>
      <c r="AR12" s="171" t="n"/>
    </row>
    <row r="13" hidden="1" outlineLevel="1" ht="15" customFormat="1" customHeight="1" s="171">
      <c r="A13" s="567" t="inlineStr">
        <is>
          <t>U9</t>
        </is>
      </c>
      <c r="B13" s="491">
        <f>IF(_epmOfflineCondition_,"C_ITEM",EPMDimensionType(,A13))</f>
        <v/>
      </c>
      <c r="C13" s="491">
        <f>IF(_epmOfflineCondition_,"ZI_ALL",IF(B13="","",EPMContextMember(,B13)))</f>
        <v/>
      </c>
      <c r="D13" s="491">
        <f>IF(_epmOfflineCondition_,"全部ITEM",EPMMemberDesc(C13))</f>
        <v/>
      </c>
      <c r="E13" s="491" t="n"/>
      <c r="F13" s="171" t="n"/>
      <c r="G13" s="171" t="n"/>
      <c r="H13" s="578" t="inlineStr">
        <is>
          <t xml:space="preserve">上年同期 </t>
        </is>
      </c>
      <c r="I13" s="578">
        <f>I10&amp;"."&amp;I8</f>
        <v/>
      </c>
      <c r="J13" s="171" t="n"/>
      <c r="K13" s="171" t="n"/>
      <c r="L13" s="171" t="n"/>
      <c r="M13" s="171" t="n"/>
      <c r="N13" s="171" t="n"/>
      <c r="O13" s="171" t="n"/>
      <c r="P13" s="171" t="n"/>
      <c r="Q13" s="171" t="n"/>
      <c r="R13" s="171" t="n"/>
      <c r="S13" s="568" t="n"/>
      <c r="T13" s="171" t="n"/>
      <c r="U13" s="171" t="n"/>
      <c r="V13" s="171" t="n"/>
      <c r="W13" s="171" t="n"/>
      <c r="X13" s="171" t="n"/>
      <c r="Y13" s="171" t="n"/>
      <c r="Z13" s="171" t="n"/>
      <c r="AA13" s="171" t="n"/>
      <c r="AB13" s="171" t="n"/>
      <c r="AC13" s="1192" t="n"/>
      <c r="AD13" s="171" t="n"/>
      <c r="AE13" s="171" t="n"/>
      <c r="AF13" s="171" t="n"/>
      <c r="AG13" s="171" t="n"/>
      <c r="AH13" s="171" t="n"/>
      <c r="AI13" s="171" t="n"/>
      <c r="AJ13" s="171" t="n"/>
      <c r="AK13" s="171" t="n"/>
      <c r="AL13" s="171" t="n"/>
      <c r="AM13" s="171" t="n"/>
      <c r="AN13" s="171" t="n"/>
      <c r="AO13" s="171" t="n"/>
      <c r="AP13" s="601" t="n"/>
      <c r="AQ13" s="171" t="n"/>
      <c r="AR13" s="171" t="n"/>
    </row>
    <row r="14" hidden="1" outlineLevel="1" ht="15" customFormat="1" customHeight="1" s="171">
      <c r="A14" s="567" t="inlineStr">
        <is>
          <t>U10</t>
        </is>
      </c>
      <c r="B14" s="491">
        <f>IF(_epmOfflineCondition_,"C_MISK",EPMDimensionType(,A14))</f>
        <v/>
      </c>
      <c r="C14" s="491">
        <f>IF(_epmOfflineCondition_,"ZM_ALL",IF(B14="","",EPMContextMember(,B14)))</f>
        <v/>
      </c>
      <c r="D14" s="491">
        <f>IF(_epmOfflineCondition_,"ALL",EPMMemberDesc(C14))</f>
        <v/>
      </c>
      <c r="E14" s="491" t="n"/>
      <c r="F14" s="171" t="n"/>
      <c r="G14" s="171" t="n"/>
      <c r="H14" s="171" t="n"/>
      <c r="I14" s="171" t="n"/>
      <c r="J14" s="171" t="n"/>
      <c r="K14" s="171" t="n"/>
      <c r="L14" s="171" t="n"/>
      <c r="M14" s="171" t="n"/>
      <c r="N14" s="171" t="n"/>
      <c r="O14" s="171" t="n"/>
      <c r="P14" s="171" t="n"/>
      <c r="Q14" s="171" t="n"/>
      <c r="R14" s="171" t="n"/>
      <c r="S14" s="568" t="n"/>
      <c r="T14" s="171" t="n"/>
      <c r="U14" s="171" t="n"/>
      <c r="V14" s="171" t="n"/>
      <c r="W14" s="171" t="n"/>
      <c r="X14" s="171" t="n"/>
      <c r="Y14" s="171" t="n"/>
      <c r="Z14" s="171" t="n"/>
      <c r="AA14" s="171" t="n"/>
      <c r="AB14" s="171" t="n"/>
      <c r="AC14" s="1192" t="n"/>
      <c r="AD14" s="171" t="n"/>
      <c r="AE14" s="171" t="n"/>
      <c r="AF14" s="171" t="n"/>
      <c r="AG14" s="171" t="n"/>
      <c r="AH14" s="171" t="n"/>
      <c r="AI14" s="171" t="n"/>
      <c r="AJ14" s="171" t="n"/>
      <c r="AK14" s="171" t="n"/>
      <c r="AL14" s="171" t="n"/>
      <c r="AM14" s="171" t="n"/>
      <c r="AN14" s="171" t="n"/>
      <c r="AO14" s="171" t="n"/>
      <c r="AP14" s="601" t="n"/>
      <c r="AQ14" s="171" t="n"/>
      <c r="AR14" s="171" t="n"/>
    </row>
    <row r="15" hidden="1" outlineLevel="1" ht="15" customFormat="1" customHeight="1" s="171">
      <c r="A15" s="171" t="n"/>
      <c r="B15" s="568" t="n"/>
      <c r="C15" s="568" t="n"/>
      <c r="D15" s="568" t="n"/>
      <c r="E15" s="171" t="n"/>
      <c r="F15" s="171" t="n"/>
      <c r="G15" s="171" t="n"/>
      <c r="H15" s="13">
        <f>E11</f>
        <v/>
      </c>
      <c r="I15" s="171" t="n"/>
      <c r="J15" s="171" t="n"/>
      <c r="K15" s="171" t="n"/>
      <c r="L15" s="171" t="n"/>
      <c r="M15" s="171" t="n"/>
      <c r="N15" s="171" t="n"/>
      <c r="O15" s="171" t="n"/>
      <c r="P15" s="171" t="n"/>
      <c r="Q15" s="171" t="n"/>
      <c r="R15" s="171" t="n"/>
      <c r="S15" s="568" t="n"/>
      <c r="T15" s="171" t="n"/>
      <c r="U15" s="171" t="n"/>
      <c r="V15" s="171" t="n"/>
      <c r="W15" s="171" t="n"/>
      <c r="X15" s="171" t="n"/>
      <c r="Y15" s="171" t="n"/>
      <c r="Z15" s="171" t="n"/>
      <c r="AA15" s="171" t="n"/>
      <c r="AB15" s="171" t="n"/>
      <c r="AC15" s="1192" t="n"/>
      <c r="AD15" s="171" t="n"/>
      <c r="AE15" s="171" t="n"/>
      <c r="AF15" s="171" t="n"/>
      <c r="AG15" s="171" t="n"/>
      <c r="AH15" s="171" t="n"/>
      <c r="AI15" s="171" t="n"/>
      <c r="AJ15" s="171" t="n"/>
      <c r="AK15" s="171" t="n"/>
      <c r="AL15" s="171" t="n"/>
      <c r="AM15" s="171" t="n"/>
      <c r="AN15" s="171" t="n"/>
      <c r="AO15" s="171" t="n"/>
      <c r="AP15" s="601" t="n"/>
      <c r="AQ15" s="171" t="n"/>
      <c r="AR15" s="171" t="n"/>
    </row>
    <row r="16" hidden="1" outlineLevel="1" ht="15" customFormat="1" customHeight="1" s="171">
      <c r="A16" s="171" t="n"/>
      <c r="B16" s="171" t="n"/>
      <c r="C16" s="171" t="n"/>
      <c r="D16" s="174" t="inlineStr">
        <is>
          <t>页轴</t>
        </is>
      </c>
      <c r="E16" s="1183" t="n"/>
      <c r="F16" s="171" t="n"/>
      <c r="G16" s="171" t="n"/>
      <c r="H16" s="13">
        <f>IF(_epmOfflineCondition_,"E_DUMMY",EPMMemberProperty(,H15,"GENTITY"))</f>
        <v/>
      </c>
      <c r="I16" s="171" t="n"/>
      <c r="J16" s="171" t="n"/>
      <c r="K16" s="171" t="n"/>
      <c r="L16" s="171" t="n"/>
      <c r="M16" s="171" t="n"/>
      <c r="N16" s="171" t="n"/>
      <c r="O16" s="171" t="n"/>
      <c r="P16" s="171" t="n"/>
      <c r="Q16" s="171" t="n"/>
      <c r="R16" s="171" t="n"/>
      <c r="S16" s="568" t="n"/>
      <c r="T16" s="171" t="n"/>
      <c r="U16" s="171" t="n"/>
      <c r="V16" s="171" t="n"/>
      <c r="W16" s="171" t="n"/>
      <c r="X16" s="171" t="n"/>
      <c r="Y16" s="171" t="n"/>
      <c r="Z16" s="171" t="n"/>
      <c r="AA16" s="171" t="n"/>
      <c r="AB16" s="171" t="n"/>
      <c r="AC16" s="1192" t="n"/>
      <c r="AD16" s="171" t="n"/>
      <c r="AE16" s="171" t="n"/>
      <c r="AF16" s="171" t="n"/>
      <c r="AG16" s="171" t="n"/>
      <c r="AH16" s="171" t="n"/>
      <c r="AI16" s="171" t="n"/>
      <c r="AJ16" s="171" t="n"/>
      <c r="AK16" s="171" t="n"/>
      <c r="AL16" s="171" t="n"/>
      <c r="AM16" s="171" t="n"/>
      <c r="AN16" s="171" t="n"/>
      <c r="AO16" s="171" t="n"/>
      <c r="AP16" s="601" t="n"/>
      <c r="AQ16" s="171" t="n"/>
      <c r="AR16" s="171" t="n"/>
    </row>
    <row r="17" hidden="1" outlineLevel="1" ht="15" customFormat="1" customHeight="1" s="171">
      <c r="A17" s="174" t="inlineStr">
        <is>
          <t>维度类型</t>
        </is>
      </c>
      <c r="B17" s="174" t="inlineStr">
        <is>
          <t>维度</t>
        </is>
      </c>
      <c r="C17" s="569" t="inlineStr">
        <is>
          <t>页轴替换</t>
        </is>
      </c>
      <c r="D17" s="174" t="inlineStr">
        <is>
          <t>报表001</t>
        </is>
      </c>
      <c r="E17" s="174" t="inlineStr">
        <is>
          <t>报表002</t>
        </is>
      </c>
      <c r="F17" s="171" t="n"/>
      <c r="G17" s="171" t="n"/>
      <c r="H17" s="13">
        <f>IF(H15="G_DUMMY",C6,IF(H15="G100405","E100405G","E_ALL"))</f>
        <v/>
      </c>
      <c r="I17" s="171" t="n"/>
      <c r="J17" s="171" t="n"/>
      <c r="K17" s="171" t="n"/>
      <c r="L17" s="171" t="n"/>
      <c r="M17" s="171" t="n"/>
      <c r="N17" s="171" t="n"/>
      <c r="O17" s="171" t="n"/>
      <c r="P17" s="171" t="n"/>
      <c r="Q17" s="171" t="n"/>
      <c r="R17" s="171" t="n"/>
      <c r="S17" s="568" t="n"/>
      <c r="T17" s="171" t="n"/>
      <c r="U17" s="171" t="n"/>
      <c r="V17" s="171" t="n"/>
      <c r="W17" s="171" t="n"/>
      <c r="X17" s="171" t="n"/>
      <c r="Y17" s="171" t="n"/>
      <c r="Z17" s="171" t="n"/>
      <c r="AA17" s="171" t="n"/>
      <c r="AB17" s="171" t="n"/>
      <c r="AC17" s="1192" t="n"/>
      <c r="AD17" s="171" t="n"/>
      <c r="AE17" s="171" t="n"/>
      <c r="AF17" s="171" t="n"/>
      <c r="AG17" s="171" t="n"/>
      <c r="AH17" s="171" t="n"/>
      <c r="AI17" s="171" t="n"/>
      <c r="AJ17" s="171" t="n"/>
      <c r="AK17" s="171" t="n"/>
      <c r="AL17" s="171" t="n"/>
      <c r="AM17" s="171" t="n"/>
      <c r="AN17" s="171" t="n"/>
      <c r="AO17" s="171" t="n"/>
      <c r="AP17" s="601" t="n"/>
      <c r="AQ17" s="171" t="n"/>
      <c r="AR17" s="171" t="n"/>
    </row>
    <row r="18" hidden="1" outlineLevel="1" ht="15" customFormat="1" customHeight="1" s="171">
      <c r="A18" s="567" t="inlineStr">
        <is>
          <t>A</t>
        </is>
      </c>
      <c r="B18" s="491">
        <f>IF(_epmOfflineCondition_,"C_ACCOUNT",EPMDimensionType(,A18))</f>
        <v/>
      </c>
      <c r="C18" s="182" t="inlineStr">
        <is>
          <t>A_ALL</t>
        </is>
      </c>
      <c r="D18" s="570" t="n"/>
      <c r="E18" s="171" t="n"/>
      <c r="F18" s="171" t="n"/>
      <c r="G18" s="171" t="n"/>
      <c r="H18" s="171" t="n"/>
      <c r="I18" s="171" t="n"/>
      <c r="J18" s="171" t="n"/>
      <c r="K18" s="171" t="n"/>
      <c r="L18" s="171" t="n"/>
      <c r="M18" s="171" t="n"/>
      <c r="N18" s="171" t="n"/>
      <c r="O18" s="171" t="n"/>
      <c r="P18" s="171" t="n"/>
      <c r="Q18" s="171" t="n"/>
      <c r="R18" s="171" t="n"/>
      <c r="S18" s="568" t="n"/>
      <c r="T18" s="171" t="n"/>
      <c r="U18" s="171" t="n"/>
      <c r="V18" s="171" t="n"/>
      <c r="W18" s="171" t="n"/>
      <c r="X18" s="171" t="n"/>
      <c r="Y18" s="171" t="n"/>
      <c r="Z18" s="171" t="n"/>
      <c r="AA18" s="171" t="n"/>
      <c r="AB18" s="171" t="n"/>
      <c r="AC18" s="1192" t="n"/>
      <c r="AD18" s="171" t="n"/>
      <c r="AE18" s="171" t="n"/>
      <c r="AF18" s="171" t="n"/>
      <c r="AG18" s="171" t="n"/>
      <c r="AH18" s="171" t="n"/>
      <c r="AI18" s="171" t="n"/>
      <c r="AJ18" s="171" t="n"/>
      <c r="AK18" s="171" t="n"/>
      <c r="AL18" s="171" t="n"/>
      <c r="AM18" s="171" t="n"/>
      <c r="AN18" s="171" t="n"/>
      <c r="AO18" s="171" t="n"/>
      <c r="AP18" s="601" t="n"/>
      <c r="AQ18" s="171" t="n"/>
      <c r="AR18" s="171" t="n"/>
    </row>
    <row r="19" hidden="1" outlineLevel="1" ht="15" customFormat="1" customHeight="1" s="171">
      <c r="A19" s="567" t="inlineStr">
        <is>
          <t>C</t>
        </is>
      </c>
      <c r="B19" s="491">
        <f>IF(_epmOfflineCondition_,"C_CATEGORY",EPMDimensionType(,A19))</f>
        <v/>
      </c>
      <c r="C19" s="595" t="inlineStr">
        <is>
          <t>C_DUMMY</t>
        </is>
      </c>
      <c r="D19" s="570" t="n"/>
      <c r="E19" s="171" t="n"/>
      <c r="F19" s="171" t="n"/>
      <c r="G19" s="171" t="n"/>
      <c r="H19" s="171" t="n"/>
      <c r="I19" s="171" t="n"/>
      <c r="J19" s="171" t="n"/>
      <c r="K19" s="171" t="n"/>
      <c r="L19" s="171" t="n"/>
      <c r="M19" s="171" t="n"/>
      <c r="N19" s="171" t="n"/>
      <c r="O19" s="171" t="n"/>
      <c r="P19" s="171" t="n"/>
      <c r="Q19" s="171" t="n"/>
      <c r="R19" s="171" t="n"/>
      <c r="S19" s="568" t="n"/>
      <c r="T19" s="171" t="n"/>
      <c r="U19" s="171" t="n"/>
      <c r="V19" s="171" t="n"/>
      <c r="W19" s="171" t="n"/>
      <c r="X19" s="171" t="n"/>
      <c r="Y19" s="171" t="n"/>
      <c r="Z19" s="171" t="n"/>
      <c r="AA19" s="171" t="n"/>
      <c r="AB19" s="171" t="n"/>
      <c r="AC19" s="1192" t="n"/>
      <c r="AD19" s="171" t="n"/>
      <c r="AE19" s="171" t="n"/>
      <c r="AF19" s="171" t="n"/>
      <c r="AG19" s="171" t="n"/>
      <c r="AH19" s="171" t="n"/>
      <c r="AI19" s="171" t="n"/>
      <c r="AJ19" s="171" t="n"/>
      <c r="AK19" s="171" t="n"/>
      <c r="AL19" s="171" t="n"/>
      <c r="AM19" s="171" t="n"/>
      <c r="AN19" s="171" t="n"/>
      <c r="AO19" s="171" t="n"/>
      <c r="AP19" s="601" t="n"/>
      <c r="AQ19" s="171" t="n"/>
      <c r="AR19" s="171" t="n"/>
    </row>
    <row r="20" hidden="1" outlineLevel="1" ht="15" customFormat="1" customHeight="1" s="171">
      <c r="A20" s="567" t="inlineStr">
        <is>
          <t>T</t>
        </is>
      </c>
      <c r="B20" s="491">
        <f>IF(_epmOfflineCondition_,"C_TIME",EPMDimensionType(,A20))</f>
        <v/>
      </c>
      <c r="C20" s="523" t="inlineStr">
        <is>
          <t>T_DUMMY</t>
        </is>
      </c>
      <c r="D20" s="570" t="n"/>
      <c r="E20" s="171" t="n"/>
      <c r="F20" s="38" t="n"/>
      <c r="G20" s="38" t="n"/>
      <c r="H20" s="171" t="n"/>
      <c r="I20" s="171" t="n"/>
      <c r="J20" s="171" t="n"/>
      <c r="K20" s="171" t="n"/>
      <c r="L20" s="171" t="n"/>
      <c r="M20" s="171" t="n"/>
      <c r="N20" s="171" t="n"/>
      <c r="O20" s="171" t="n"/>
      <c r="P20" s="171" t="n"/>
      <c r="Q20" s="171" t="n"/>
      <c r="R20" s="171" t="n"/>
      <c r="S20" s="568" t="n"/>
      <c r="T20" s="171" t="n"/>
      <c r="U20" s="171" t="n"/>
      <c r="V20" s="171" t="n"/>
      <c r="W20" s="171" t="n"/>
      <c r="X20" s="171" t="n"/>
      <c r="Y20" s="171" t="n"/>
      <c r="Z20" s="38" t="n"/>
      <c r="AA20" s="38" t="n"/>
      <c r="AB20" s="171" t="n"/>
      <c r="AC20" s="1192" t="n"/>
      <c r="AD20" s="171" t="n"/>
      <c r="AE20" s="171" t="n"/>
      <c r="AF20" s="171" t="n"/>
      <c r="AG20" s="171" t="n"/>
      <c r="AH20" s="171" t="n"/>
      <c r="AI20" s="171" t="n"/>
      <c r="AJ20" s="171" t="n"/>
      <c r="AK20" s="171" t="n"/>
      <c r="AL20" s="171" t="n"/>
      <c r="AM20" s="171" t="n"/>
      <c r="AN20" s="171" t="n"/>
      <c r="AO20" s="171" t="n"/>
      <c r="AP20" s="601" t="n"/>
      <c r="AQ20" s="171" t="n"/>
      <c r="AR20" s="171" t="n"/>
    </row>
    <row r="21" hidden="1" outlineLevel="1" ht="15" customFormat="1" customHeight="1" s="171">
      <c r="A21" s="567" t="inlineStr">
        <is>
          <t>E</t>
        </is>
      </c>
      <c r="B21" s="491">
        <f>IF(_epmOfflineCondition_,"C_ENTITY",EPMDimensionType(,A21))</f>
        <v/>
      </c>
      <c r="C21" s="491">
        <f>H17</f>
        <v/>
      </c>
      <c r="D21" s="573">
        <f>IF(_epmOfflineCondition_,"E100787",EPMOlapMemberO(C21,"[C_ENTITY].[PARENTH1].[E100787]","E100787 - 内蒙古京能苏尼特风力发电有限公司（内蒙古分公司）","","000"))</f>
        <v/>
      </c>
      <c r="E21" s="171" t="n"/>
      <c r="F21" s="38" t="n"/>
      <c r="G21" s="38" t="n"/>
      <c r="H21" s="171" t="n"/>
      <c r="I21" s="171" t="n"/>
      <c r="J21" s="171" t="n"/>
      <c r="K21" s="171" t="n"/>
      <c r="L21" s="171" t="n"/>
      <c r="M21" s="171" t="n"/>
      <c r="N21" s="171" t="n"/>
      <c r="O21" s="171" t="n"/>
      <c r="P21" s="171" t="n"/>
      <c r="Q21" s="171" t="n"/>
      <c r="R21" s="171" t="n"/>
      <c r="S21" s="568" t="n"/>
      <c r="T21" s="171" t="n"/>
      <c r="U21" s="171" t="n"/>
      <c r="V21" s="171" t="n"/>
      <c r="W21" s="171" t="n"/>
      <c r="X21" s="171" t="n"/>
      <c r="Y21" s="171" t="n"/>
      <c r="Z21" s="38" t="n"/>
      <c r="AA21" s="38" t="n"/>
      <c r="AB21" s="171" t="n"/>
      <c r="AC21" s="1192" t="n"/>
      <c r="AD21" s="171" t="n"/>
      <c r="AE21" s="171" t="n"/>
      <c r="AF21" s="171" t="n"/>
      <c r="AG21" s="171" t="n"/>
      <c r="AH21" s="171" t="n"/>
      <c r="AI21" s="171" t="n"/>
      <c r="AJ21" s="171" t="n"/>
      <c r="AK21" s="171" t="n"/>
      <c r="AL21" s="171" t="n"/>
      <c r="AM21" s="171" t="n"/>
      <c r="AN21" s="171" t="n"/>
      <c r="AO21" s="171" t="n"/>
      <c r="AP21" s="601" t="n"/>
      <c r="AQ21" s="171" t="n"/>
      <c r="AR21" s="171" t="n"/>
    </row>
    <row r="22" hidden="1" outlineLevel="1" ht="15" customFormat="1" customHeight="1" s="171">
      <c r="A22" s="567" t="inlineStr">
        <is>
          <t>R</t>
        </is>
      </c>
      <c r="B22" s="491">
        <f>IF(_epmOfflineCondition_,"C_RPTCURRENCY",EPMDimensionType(,A22))</f>
        <v/>
      </c>
      <c r="C22" s="176">
        <f>IF(E11="G_DUMMY",Z37,"CNY")</f>
        <v/>
      </c>
      <c r="D22" s="573">
        <f>IF(_epmOfflineCondition_,"LC",EPMOlapMemberO(C22,"[C_RPTCURRENCY].[].[LC]","LC - 本位币","","000"))</f>
        <v/>
      </c>
      <c r="E22" s="13" t="inlineStr">
        <is>
          <t>LC</t>
        </is>
      </c>
      <c r="F22" s="38" t="n"/>
      <c r="G22" s="38" t="n"/>
      <c r="H22" s="171" t="n"/>
      <c r="I22" s="171" t="n"/>
      <c r="J22" s="171" t="n"/>
      <c r="K22" s="171" t="n"/>
      <c r="L22" s="171" t="n"/>
      <c r="M22" s="171" t="n"/>
      <c r="N22" s="171" t="n"/>
      <c r="O22" s="171" t="n"/>
      <c r="P22" s="171" t="n"/>
      <c r="Q22" s="171" t="n"/>
      <c r="R22" s="171" t="n"/>
      <c r="S22" s="568" t="n"/>
      <c r="T22" s="171" t="n"/>
      <c r="U22" s="171" t="n"/>
      <c r="V22" s="171" t="n"/>
      <c r="W22" s="171" t="n"/>
      <c r="X22" s="171" t="n"/>
      <c r="Y22" s="171" t="n"/>
      <c r="Z22" s="38" t="n"/>
      <c r="AA22" s="38" t="n"/>
      <c r="AB22" s="171" t="n"/>
      <c r="AC22" s="1192" t="n"/>
      <c r="AD22" s="171" t="n"/>
      <c r="AE22" s="171" t="n"/>
      <c r="AF22" s="171" t="n"/>
      <c r="AG22" s="171" t="n"/>
      <c r="AH22" s="171" t="n"/>
      <c r="AI22" s="171" t="n"/>
      <c r="AJ22" s="171" t="n"/>
      <c r="AK22" s="171" t="n"/>
      <c r="AL22" s="171" t="n"/>
      <c r="AM22" s="171" t="n"/>
      <c r="AN22" s="171" t="n"/>
      <c r="AO22" s="171" t="n"/>
      <c r="AP22" s="601" t="n"/>
      <c r="AQ22" s="171" t="n"/>
      <c r="AR22" s="171" t="n"/>
    </row>
    <row r="23" hidden="1" outlineLevel="1" ht="15" customFormat="1" customHeight="1" s="171">
      <c r="A23" s="567" t="inlineStr">
        <is>
          <t>D</t>
        </is>
      </c>
      <c r="B23" s="491">
        <f>IF(_epmOfflineCondition_,"C_AUDITTRAIL",EPMDimensionType(,A23))</f>
        <v/>
      </c>
      <c r="C23" s="491">
        <f>IF(_epmOfflineCondition_,"DTOTAL",IF(B23="","",EPMContextMember(,B23)))</f>
        <v/>
      </c>
      <c r="D23" s="573" t="n"/>
      <c r="E23" s="13" t="n"/>
      <c r="F23" s="38" t="n"/>
      <c r="G23" s="38" t="n"/>
      <c r="H23" s="171" t="n"/>
      <c r="I23" s="171" t="n"/>
      <c r="J23" s="171" t="n"/>
      <c r="K23" s="171" t="n"/>
      <c r="L23" s="171" t="n"/>
      <c r="M23" s="171" t="n"/>
      <c r="N23" s="171" t="n"/>
      <c r="O23" s="171" t="n"/>
      <c r="P23" s="171" t="n"/>
      <c r="Q23" s="171" t="n"/>
      <c r="R23" s="171" t="n"/>
      <c r="S23" s="568" t="n"/>
      <c r="T23" s="171" t="n"/>
      <c r="U23" s="171" t="n"/>
      <c r="V23" s="171" t="n"/>
      <c r="W23" s="171" t="n"/>
      <c r="X23" s="171" t="n"/>
      <c r="Y23" s="171" t="n"/>
      <c r="Z23" s="38" t="n"/>
      <c r="AA23" s="38" t="n"/>
      <c r="AB23" s="171" t="n"/>
      <c r="AC23" s="1192" t="n"/>
      <c r="AD23" s="171" t="n"/>
      <c r="AE23" s="171" t="n"/>
      <c r="AF23" s="171" t="n"/>
      <c r="AG23" s="171" t="n"/>
      <c r="AH23" s="171" t="n"/>
      <c r="AI23" s="171" t="n"/>
      <c r="AJ23" s="171" t="n"/>
      <c r="AK23" s="171" t="n"/>
      <c r="AL23" s="171" t="n"/>
      <c r="AM23" s="171" t="n"/>
      <c r="AN23" s="171" t="n"/>
      <c r="AO23" s="171" t="n"/>
      <c r="AP23" s="601" t="n"/>
      <c r="AQ23" s="171" t="n"/>
      <c r="AR23" s="171" t="n"/>
    </row>
    <row r="24" hidden="1" outlineLevel="1" ht="15" customFormat="1" customHeight="1" s="171">
      <c r="A24" s="567" t="inlineStr">
        <is>
          <t>S</t>
        </is>
      </c>
      <c r="B24" s="491">
        <f>IF(_epmOfflineCondition_,"C_FLOW",EPMDimensionType(,A24))</f>
        <v/>
      </c>
      <c r="C24" s="491">
        <f>IF(_epmOfflineCondition_,"FTOTAL",IF(B24="","",EPMContextMember(,B24)))</f>
        <v/>
      </c>
      <c r="D24" s="573" t="n"/>
      <c r="E24" s="13" t="n"/>
      <c r="F24" s="38" t="n"/>
      <c r="G24" s="38" t="n"/>
      <c r="H24" s="171" t="n"/>
      <c r="I24" s="171" t="n"/>
      <c r="J24" s="171" t="n"/>
      <c r="K24" s="171" t="n"/>
      <c r="L24" s="171" t="n"/>
      <c r="M24" s="171" t="n"/>
      <c r="N24" s="171" t="n"/>
      <c r="O24" s="171" t="n"/>
      <c r="P24" s="171" t="n"/>
      <c r="Q24" s="171" t="n"/>
      <c r="R24" s="171" t="n"/>
      <c r="S24" s="568" t="n"/>
      <c r="T24" s="171" t="n"/>
      <c r="U24" s="171" t="n"/>
      <c r="V24" s="171" t="n"/>
      <c r="W24" s="171" t="n"/>
      <c r="X24" s="171" t="n"/>
      <c r="Y24" s="171" t="n"/>
      <c r="Z24" s="38" t="n"/>
      <c r="AA24" s="38" t="n"/>
      <c r="AB24" s="171" t="n"/>
      <c r="AC24" s="1192" t="n"/>
      <c r="AD24" s="171" t="n"/>
      <c r="AE24" s="171" t="n"/>
      <c r="AF24" s="171" t="n"/>
      <c r="AG24" s="171" t="n"/>
      <c r="AH24" s="171" t="n"/>
      <c r="AI24" s="171" t="n"/>
      <c r="AJ24" s="171" t="n"/>
      <c r="AK24" s="171" t="n"/>
      <c r="AL24" s="171" t="n"/>
      <c r="AM24" s="171" t="n"/>
      <c r="AN24" s="171" t="n"/>
      <c r="AO24" s="171" t="n"/>
      <c r="AP24" s="601" t="n"/>
      <c r="AQ24" s="171" t="n"/>
      <c r="AR24" s="171" t="n"/>
    </row>
    <row r="25" hidden="1" outlineLevel="1" ht="15" customFormat="1" customHeight="1" s="171">
      <c r="A25" s="567" t="inlineStr">
        <is>
          <t>I</t>
        </is>
      </c>
      <c r="B25" s="491">
        <f>IF(_epmOfflineCondition_,"C_INTERCO",EPMDimensionType(,A25))</f>
        <v/>
      </c>
      <c r="C25" s="491" t="inlineStr">
        <is>
          <t>I_ALL</t>
        </is>
      </c>
      <c r="D25" s="573">
        <f>IF(_epmOfflineCondition_,"I_ALL",EPMOlapMemberO(C25,"[C_INTERCO].[PARENTH1].[I_ALL]","I_ALL - 全部贸易伙伴","","000"))</f>
        <v/>
      </c>
      <c r="E25" s="13" t="inlineStr">
        <is>
          <t>I_DUMMY</t>
        </is>
      </c>
      <c r="F25" s="38" t="n"/>
      <c r="G25" s="38" t="n"/>
      <c r="H25" s="171" t="n"/>
      <c r="I25" s="171" t="n"/>
      <c r="J25" s="171" t="n"/>
      <c r="K25" s="171" t="n"/>
      <c r="L25" s="171" t="n"/>
      <c r="M25" s="171" t="n"/>
      <c r="N25" s="171" t="n"/>
      <c r="O25" s="171" t="n"/>
      <c r="P25" s="171" t="n"/>
      <c r="Q25" s="171" t="n"/>
      <c r="R25" s="171" t="n"/>
      <c r="S25" s="568" t="n"/>
      <c r="T25" s="171" t="n"/>
      <c r="U25" s="171" t="n"/>
      <c r="V25" s="171" t="n"/>
      <c r="W25" s="171" t="n"/>
      <c r="X25" s="569" t="inlineStr">
        <is>
          <t>CATEGORY</t>
        </is>
      </c>
      <c r="Y25" s="171" t="n"/>
      <c r="Z25" s="569" t="inlineStr">
        <is>
          <t>C1001</t>
        </is>
      </c>
      <c r="AA25" s="569" t="inlineStr">
        <is>
          <t>C1001</t>
        </is>
      </c>
      <c r="AB25" s="569">
        <f>$C$4</f>
        <v/>
      </c>
      <c r="AC25" s="1192" t="n"/>
      <c r="AD25" s="569">
        <f>$C$4</f>
        <v/>
      </c>
      <c r="AE25" s="171" t="n"/>
      <c r="AF25" s="38" t="n"/>
      <c r="AG25" s="171" t="n"/>
      <c r="AH25" s="171" t="n"/>
      <c r="AI25" s="171" t="n"/>
      <c r="AJ25" s="171" t="n"/>
      <c r="AK25" s="171" t="n"/>
      <c r="AL25" s="171" t="n"/>
      <c r="AM25" s="171" t="n"/>
      <c r="AN25" s="601" t="n"/>
      <c r="AO25" s="601" t="n"/>
      <c r="AP25" s="601" t="n"/>
      <c r="AQ25" s="601" t="n"/>
      <c r="AR25" s="601" t="n"/>
    </row>
    <row r="26" hidden="1" outlineLevel="1" ht="15" customFormat="1" customHeight="1" s="171">
      <c r="A26" s="567" t="inlineStr">
        <is>
          <t>G</t>
        </is>
      </c>
      <c r="B26" s="491">
        <f>IF(_epmOfflineCondition_,"C_SCOPE",EPMDimensionType(,A26))</f>
        <v/>
      </c>
      <c r="C26" s="491">
        <f>E11</f>
        <v/>
      </c>
      <c r="D26" s="573">
        <f>IF(_epmOfflineCondition_,"G_DUMMY",EPMOlapMemberO(C26,"[C_SCOPE].[PARENTH1].[G_DUMMY]","G_DUMMY - 合并范围无关","","000"))</f>
        <v/>
      </c>
      <c r="E26" s="182" t="inlineStr">
        <is>
          <t>G_DUMMY</t>
        </is>
      </c>
      <c r="F26" s="38" t="n"/>
      <c r="G26" s="38" t="n"/>
      <c r="H26" s="171" t="n"/>
      <c r="I26" s="171" t="n"/>
      <c r="J26" s="171" t="n"/>
      <c r="K26" s="171" t="n"/>
      <c r="L26" s="171" t="n"/>
      <c r="M26" s="171" t="n"/>
      <c r="N26" s="171" t="n"/>
      <c r="O26" s="171" t="n"/>
      <c r="P26" s="171" t="n"/>
      <c r="Q26" s="171" t="n"/>
      <c r="R26" s="171" t="n"/>
      <c r="S26" s="568" t="n"/>
      <c r="T26" s="171" t="n"/>
      <c r="U26" s="171" t="n"/>
      <c r="V26" s="171" t="n"/>
      <c r="W26" s="171" t="n"/>
      <c r="X26" s="581" t="inlineStr">
        <is>
          <t>TIME</t>
        </is>
      </c>
      <c r="Y26" s="171" t="n"/>
      <c r="Z26" s="581">
        <f>$I$11</f>
        <v/>
      </c>
      <c r="AA26" s="581">
        <f>$I$11</f>
        <v/>
      </c>
      <c r="AB26" s="581">
        <f>$I$11</f>
        <v/>
      </c>
      <c r="AC26" s="1192" t="n"/>
      <c r="AD26" s="582">
        <f>$I$13</f>
        <v/>
      </c>
      <c r="AE26" s="171" t="n"/>
      <c r="AF26" s="38" t="n"/>
      <c r="AG26" s="171" t="n"/>
      <c r="AH26" s="171" t="n"/>
      <c r="AI26" s="171" t="n"/>
      <c r="AJ26" s="171" t="n"/>
      <c r="AK26" s="171" t="n"/>
      <c r="AL26" s="171" t="n"/>
      <c r="AM26" s="171" t="n"/>
      <c r="AN26" s="601" t="n"/>
      <c r="AO26" s="601" t="n"/>
      <c r="AP26" s="601" t="n"/>
      <c r="AQ26" s="601" t="n"/>
      <c r="AR26" s="601" t="n"/>
    </row>
    <row r="27" hidden="1" outlineLevel="1" ht="15" customFormat="1" customHeight="1" s="171">
      <c r="A27" s="567" t="inlineStr">
        <is>
          <t>U8</t>
        </is>
      </c>
      <c r="B27" s="491">
        <f>IF(_epmOfflineCondition_,"C_PROJECT",EPMDimensionType(,A27))</f>
        <v/>
      </c>
      <c r="C27" s="570" t="inlineStr">
        <is>
          <t>ZP_ALL</t>
        </is>
      </c>
      <c r="D27" s="573">
        <f>IF(_epmOfflineCondition_,"ZP_ALL",EPMOlapMemberO(C27,"[C_PROJECT].[PARENTH1].[ZP_ALL]","ZP_ALL - 项目合计","","000"))</f>
        <v/>
      </c>
      <c r="E27" s="13" t="inlineStr">
        <is>
          <t>ZP_DUMMY</t>
        </is>
      </c>
      <c r="F27" s="38" t="n"/>
      <c r="G27" s="38" t="n"/>
      <c r="H27" s="171" t="n"/>
      <c r="I27" s="171" t="n"/>
      <c r="J27" s="171" t="n"/>
      <c r="K27" s="171" t="n"/>
      <c r="L27" s="171" t="n"/>
      <c r="M27" s="171" t="n"/>
      <c r="N27" s="171" t="n"/>
      <c r="O27" s="171" t="n"/>
      <c r="P27" s="171" t="n"/>
      <c r="Q27" s="171" t="n"/>
      <c r="R27" s="171" t="n"/>
      <c r="S27" s="568" t="n"/>
      <c r="T27" s="171" t="n"/>
      <c r="U27" s="171" t="n"/>
      <c r="V27" s="171" t="n"/>
      <c r="W27" s="171" t="n"/>
      <c r="X27" s="582" t="inlineStr">
        <is>
          <t>MEASURES</t>
        </is>
      </c>
      <c r="Y27" s="171" t="n"/>
      <c r="Z27" s="582" t="inlineStr">
        <is>
          <t>YTD</t>
        </is>
      </c>
      <c r="AA27" s="582" t="inlineStr">
        <is>
          <t>YTD</t>
        </is>
      </c>
      <c r="AB27" s="582" t="inlineStr">
        <is>
          <t>Periodic</t>
        </is>
      </c>
      <c r="AC27" s="1192" t="n"/>
      <c r="AD27" s="582" t="inlineStr">
        <is>
          <t>Periodic</t>
        </is>
      </c>
      <c r="AE27" s="582" t="n"/>
      <c r="AF27" s="582" t="n"/>
      <c r="AG27" s="171" t="n"/>
      <c r="AH27" s="171" t="n"/>
      <c r="AI27" s="171" t="n"/>
      <c r="AJ27" s="171" t="n"/>
      <c r="AK27" s="171" t="n"/>
      <c r="AL27" s="171" t="n"/>
      <c r="AM27" s="171" t="n"/>
      <c r="AN27" s="601" t="n"/>
      <c r="AO27" s="601" t="n"/>
      <c r="AP27" s="601" t="n"/>
      <c r="AQ27" s="601" t="n"/>
      <c r="AR27" s="601" t="n"/>
    </row>
    <row r="28" hidden="1" outlineLevel="1" ht="15" customFormat="1" customHeight="1" s="171">
      <c r="A28" s="567" t="inlineStr">
        <is>
          <t>U9</t>
        </is>
      </c>
      <c r="B28" s="491">
        <f>IF(_epmOfflineCondition_,"C_ITEM",EPMDimensionType(,A28))</f>
        <v/>
      </c>
      <c r="C28" s="570" t="inlineStr">
        <is>
          <t>ZI_ALL</t>
        </is>
      </c>
      <c r="D28" s="573">
        <f>IF(_epmOfflineCondition_,"ZI_ALL",EPMOlapMemberO(C28,"[C_ITEM].[PARENTH1].[ZI_ALL]","ZI_ALL - 全部ITEM","","000"))</f>
        <v/>
      </c>
      <c r="E28" s="13" t="inlineStr">
        <is>
          <t>ZI_DUMMY</t>
        </is>
      </c>
      <c r="F28" s="38" t="n"/>
      <c r="G28" s="38" t="n"/>
      <c r="H28" s="171" t="n"/>
      <c r="I28" s="171" t="n"/>
      <c r="J28" s="171" t="n"/>
      <c r="K28" s="171" t="n"/>
      <c r="L28" s="171" t="n"/>
      <c r="M28" s="171" t="n"/>
      <c r="N28" s="171" t="n"/>
      <c r="O28" s="171" t="n"/>
      <c r="P28" s="171" t="n"/>
      <c r="Q28" s="171" t="n"/>
      <c r="R28" s="171" t="n"/>
      <c r="S28" s="568" t="n"/>
      <c r="T28" s="171" t="n"/>
      <c r="U28" s="171" t="n"/>
      <c r="V28" s="171" t="n"/>
      <c r="W28" s="171" t="n"/>
      <c r="X28" s="582" t="inlineStr">
        <is>
          <t>FLOW</t>
        </is>
      </c>
      <c r="Y28" s="171" t="n"/>
      <c r="Z28" s="582" t="inlineStr">
        <is>
          <t>F20</t>
        </is>
      </c>
      <c r="AA28" s="582" t="inlineStr">
        <is>
          <t>F30</t>
        </is>
      </c>
      <c r="AB28" s="582" t="inlineStr">
        <is>
          <t>F20</t>
        </is>
      </c>
      <c r="AC28" s="1192" t="n"/>
      <c r="AD28" s="582" t="inlineStr">
        <is>
          <t>FEND</t>
        </is>
      </c>
      <c r="AE28" s="582" t="inlineStr">
        <is>
          <t>FMOV</t>
        </is>
      </c>
      <c r="AF28" s="582" t="inlineStr">
        <is>
          <t>FEND</t>
        </is>
      </c>
      <c r="AG28" s="171" t="n"/>
      <c r="AH28" s="171" t="n"/>
      <c r="AI28" s="171" t="n"/>
      <c r="AJ28" s="171" t="n"/>
      <c r="AK28" s="171" t="n"/>
      <c r="AL28" s="171" t="n"/>
      <c r="AM28" s="171" t="n"/>
      <c r="AN28" s="171" t="n"/>
      <c r="AO28" s="171" t="n"/>
      <c r="AP28" s="601" t="n"/>
      <c r="AQ28" s="601" t="n"/>
      <c r="AR28" s="171" t="n"/>
    </row>
    <row r="29" hidden="1" outlineLevel="1" ht="15" customFormat="1" customHeight="1" s="171">
      <c r="A29" s="567" t="inlineStr">
        <is>
          <t>U10</t>
        </is>
      </c>
      <c r="B29" s="491">
        <f>IF(_epmOfflineCondition_,"C_MISK",EPMDimensionType(,A29))</f>
        <v/>
      </c>
      <c r="C29" s="574" t="inlineStr">
        <is>
          <t>ZM_ALL</t>
        </is>
      </c>
      <c r="D29" s="573">
        <f>IF(_epmOfflineCondition_,"ZM_ALL",EPMOlapMemberO(C29,"[C_MISK].[PARENTH1].[ZM_ALL]","ZM_ALL - ALL","","000"))</f>
        <v/>
      </c>
      <c r="E29" s="13" t="inlineStr">
        <is>
          <t>ZM_DUMMY</t>
        </is>
      </c>
      <c r="F29" s="38" t="n"/>
      <c r="G29" s="38" t="n"/>
      <c r="H29" s="171" t="n"/>
      <c r="I29" s="171" t="n"/>
      <c r="J29" s="171" t="n"/>
      <c r="K29" s="171" t="n"/>
      <c r="L29" s="171" t="n"/>
      <c r="M29" s="171" t="n"/>
      <c r="N29" s="171" t="n"/>
      <c r="O29" s="171" t="n"/>
      <c r="P29" s="171" t="n"/>
      <c r="Q29" s="171" t="n"/>
      <c r="R29" s="171" t="n"/>
      <c r="S29" s="568" t="n"/>
      <c r="T29" s="171" t="n"/>
      <c r="U29" s="171" t="n"/>
      <c r="V29" s="171" t="n"/>
      <c r="W29" s="171" t="n"/>
      <c r="X29" s="582" t="inlineStr">
        <is>
          <t>AUDITTRAIL</t>
        </is>
      </c>
      <c r="Y29" s="171" t="n"/>
      <c r="Z29" s="582" t="inlineStr">
        <is>
          <t>D1110</t>
        </is>
      </c>
      <c r="AA29" s="582" t="inlineStr">
        <is>
          <t>DLC_RC</t>
        </is>
      </c>
      <c r="AB29" s="582" t="inlineStr">
        <is>
          <t>DLC</t>
        </is>
      </c>
      <c r="AC29" s="1192" t="n"/>
      <c r="AD29" s="582" t="inlineStr">
        <is>
          <t>DLC</t>
        </is>
      </c>
      <c r="AE29" s="582" t="inlineStr">
        <is>
          <t>DLC_ADJ</t>
        </is>
      </c>
      <c r="AF29" s="38" t="inlineStr">
        <is>
          <t>D_DUMMY</t>
        </is>
      </c>
      <c r="AG29" s="171" t="n"/>
      <c r="AH29" s="171" t="n"/>
      <c r="AI29" s="171" t="n"/>
      <c r="AJ29" s="171" t="n"/>
      <c r="AK29" s="171" t="n"/>
      <c r="AL29" s="171" t="n"/>
      <c r="AM29" s="171" t="n"/>
      <c r="AN29" s="171" t="n"/>
      <c r="AO29" s="171" t="n"/>
      <c r="AP29" s="601" t="n"/>
      <c r="AQ29" s="171" t="n"/>
      <c r="AR29" s="171" t="n"/>
    </row>
    <row r="30" hidden="1" outlineLevel="1" ht="15" customFormat="1" customHeight="1" s="171">
      <c r="A30" s="567" t="n"/>
      <c r="B30" s="567">
        <f>IF(_epmOfflineCondition_,"",EPMDimensionType(,A30))</f>
        <v/>
      </c>
      <c r="C30" s="595" t="inlineStr">
        <is>
          <t>PERIODIC</t>
        </is>
      </c>
      <c r="D30" s="573" t="n"/>
      <c r="E30" s="171" t="n"/>
      <c r="F30" s="38" t="n"/>
      <c r="G30" s="38" t="n"/>
      <c r="H30" s="171" t="n"/>
      <c r="I30" s="171" t="n"/>
      <c r="J30" s="171" t="n"/>
      <c r="K30" s="171" t="n"/>
      <c r="L30" s="171" t="n"/>
      <c r="M30" s="171" t="n"/>
      <c r="N30" s="171" t="n"/>
      <c r="O30" s="171" t="n"/>
      <c r="P30" s="171" t="n"/>
      <c r="Q30" s="171" t="n"/>
      <c r="R30" s="171" t="n"/>
      <c r="S30" s="568" t="n"/>
      <c r="T30" s="171" t="n"/>
      <c r="U30" s="171" t="n"/>
      <c r="V30" s="171" t="n"/>
      <c r="W30" s="171" t="n"/>
      <c r="X30" s="171" t="n"/>
      <c r="Y30" s="171" t="n"/>
      <c r="Z30" s="171">
        <f>IF(_epmOfflineCondition_,"平台表单手工输入",EPMMemberDesc(Z29))</f>
        <v/>
      </c>
      <c r="AA30" s="171">
        <f>IF(_epmOfflineCondition_,"单体重分类",EPMMemberDesc(AA29))</f>
        <v/>
      </c>
      <c r="AB30" s="171">
        <f>IF(_epmOfflineCondition_,"单体报表",EPMMemberDesc(AB29))</f>
        <v/>
      </c>
      <c r="AC30" s="1192" t="n"/>
      <c r="AD30" s="171">
        <f>IF(_epmOfflineCondition_,"单体报表",EPMMemberDesc(AD29))</f>
        <v/>
      </c>
      <c r="AE30" s="171">
        <f>IF(_epmOfflineCondition_,"单体调整",EPMMemberDesc(AE29))</f>
        <v/>
      </c>
      <c r="AF30" s="38" t="n"/>
      <c r="AG30" s="171" t="n"/>
      <c r="AH30" s="171" t="n"/>
      <c r="AI30" s="171" t="n"/>
      <c r="AJ30" s="171" t="n"/>
      <c r="AK30" s="171" t="n"/>
      <c r="AL30" s="171" t="n"/>
      <c r="AM30" s="171" t="n"/>
      <c r="AN30" s="171" t="n"/>
      <c r="AO30" s="171" t="n"/>
      <c r="AP30" s="601" t="n"/>
      <c r="AQ30" s="171" t="n"/>
      <c r="AR30" s="171" t="n"/>
    </row>
    <row r="31" hidden="1" outlineLevel="1" ht="15" customFormat="1" customHeight="1" s="171">
      <c r="A31" s="171" t="n"/>
      <c r="B31" s="568" t="n"/>
      <c r="C31" s="568" t="n"/>
      <c r="D31" s="568" t="n"/>
      <c r="E31" s="171" t="n"/>
      <c r="F31" s="171" t="n"/>
      <c r="G31" s="171" t="n"/>
      <c r="H31" s="171" t="n"/>
      <c r="I31" s="171" t="n"/>
      <c r="J31" s="171" t="n"/>
      <c r="K31" s="171" t="n"/>
      <c r="L31" s="171" t="n"/>
      <c r="M31" s="171" t="n"/>
      <c r="N31" s="171" t="n"/>
      <c r="O31" s="171" t="n"/>
      <c r="P31" s="171" t="n"/>
      <c r="Q31" s="171" t="n"/>
      <c r="R31" s="171" t="n"/>
      <c r="S31" s="568" t="n"/>
      <c r="T31" s="171" t="n"/>
      <c r="U31" s="171" t="n"/>
      <c r="V31" s="171" t="n"/>
      <c r="W31" s="171" t="n"/>
      <c r="X31" s="171" t="n"/>
      <c r="Y31" s="171" t="n"/>
      <c r="Z31" s="38">
        <f>IF(Z37="LC","DLC","DALL")</f>
        <v/>
      </c>
      <c r="AA31" s="38" t="n"/>
      <c r="AB31" s="171" t="n"/>
      <c r="AC31" s="1192" t="n"/>
      <c r="AD31" s="171" t="n"/>
      <c r="AE31" s="171" t="n"/>
      <c r="AF31" s="171" t="n"/>
      <c r="AG31" s="171" t="n"/>
      <c r="AH31" s="171" t="n"/>
      <c r="AI31" s="171" t="n"/>
      <c r="AJ31" s="171" t="n"/>
      <c r="AK31" s="171" t="n"/>
      <c r="AL31" s="171" t="n"/>
      <c r="AM31" s="171" t="n"/>
      <c r="AN31" s="171" t="n"/>
      <c r="AO31" s="171" t="n"/>
      <c r="AP31" s="601" t="n"/>
      <c r="AQ31" s="171" t="n"/>
      <c r="AR31" s="171" t="n"/>
    </row>
    <row r="32" hidden="1" outlineLevel="1" ht="15" customFormat="1" customHeight="1" s="171">
      <c r="A32" s="171" t="n"/>
      <c r="B32" s="568" t="n"/>
      <c r="C32" s="568" t="n"/>
      <c r="D32" s="568" t="n"/>
      <c r="E32" s="171" t="n"/>
      <c r="F32" s="171" t="n"/>
      <c r="G32" s="171" t="n"/>
      <c r="H32" s="171" t="n"/>
      <c r="I32" s="171" t="n"/>
      <c r="J32" s="171" t="n"/>
      <c r="K32" s="171" t="n"/>
      <c r="L32" s="171" t="n"/>
      <c r="M32" s="171" t="n"/>
      <c r="N32" s="171" t="n"/>
      <c r="O32" s="171" t="n"/>
      <c r="P32" s="171" t="n"/>
      <c r="Q32" s="171" t="n"/>
      <c r="R32" s="171" t="n"/>
      <c r="S32" s="568" t="n"/>
      <c r="T32" s="171" t="n"/>
      <c r="U32" s="171" t="n"/>
      <c r="V32" s="171" t="n"/>
      <c r="W32" s="171" t="n"/>
      <c r="X32" s="171" t="n"/>
      <c r="Y32" s="171" t="n"/>
      <c r="Z32" s="171" t="inlineStr">
        <is>
          <t>FMOV_OP</t>
        </is>
      </c>
      <c r="AA32" s="171" t="n"/>
      <c r="AB32" s="171" t="n"/>
      <c r="AC32" s="1192" t="n"/>
      <c r="AD32" s="171" t="n"/>
      <c r="AE32" s="171" t="n"/>
      <c r="AF32" s="171" t="n"/>
      <c r="AG32" s="171" t="n"/>
      <c r="AH32" s="171" t="n"/>
      <c r="AI32" s="171" t="n"/>
      <c r="AJ32" s="171" t="n"/>
      <c r="AK32" s="171" t="n"/>
      <c r="AL32" s="171" t="n"/>
      <c r="AM32" s="171" t="n"/>
      <c r="AN32" s="171" t="n"/>
      <c r="AO32" s="171" t="n"/>
      <c r="AP32" s="601" t="n"/>
      <c r="AQ32" s="171" t="n"/>
      <c r="AR32" s="171" t="n"/>
    </row>
    <row r="33" hidden="1" outlineLevel="1" ht="15" customFormat="1" customHeight="1" s="171">
      <c r="A33" s="171" t="n"/>
      <c r="B33" s="568" t="n"/>
      <c r="C33" s="568" t="n"/>
      <c r="D33" s="568" t="n"/>
      <c r="E33" s="171" t="n"/>
      <c r="F33" s="171" t="n"/>
      <c r="G33" s="171" t="n"/>
      <c r="H33" s="171" t="n"/>
      <c r="I33" s="171" t="n"/>
      <c r="J33" s="171" t="n"/>
      <c r="K33" s="171" t="n"/>
      <c r="L33" s="171" t="n"/>
      <c r="M33" s="171" t="n"/>
      <c r="N33" s="171" t="n"/>
      <c r="O33" s="171" t="n"/>
      <c r="P33" s="171" t="n"/>
      <c r="Q33" s="171" t="n"/>
      <c r="R33" s="171" t="n"/>
      <c r="S33" s="568" t="n"/>
      <c r="T33" s="171" t="n"/>
      <c r="U33" s="171" t="n"/>
      <c r="V33" s="171" t="n"/>
      <c r="W33" s="171" t="n"/>
      <c r="X33" s="171" t="n"/>
      <c r="Y33" s="171" t="n"/>
      <c r="Z33" s="171" t="n"/>
      <c r="AA33" s="171" t="n"/>
      <c r="AB33" s="171" t="n"/>
      <c r="AC33" s="1192" t="n"/>
      <c r="AD33" s="171" t="n"/>
      <c r="AE33" s="171" t="n"/>
      <c r="AF33" s="171" t="n"/>
      <c r="AG33" s="171" t="n"/>
      <c r="AH33" s="171" t="n"/>
      <c r="AI33" s="171" t="n"/>
      <c r="AJ33" s="171" t="n"/>
      <c r="AK33" s="171" t="n"/>
      <c r="AL33" s="171" t="n"/>
      <c r="AM33" s="171" t="n"/>
      <c r="AN33" s="171" t="n"/>
      <c r="AO33" s="171" t="n"/>
      <c r="AP33" s="601" t="n"/>
      <c r="AQ33" s="171" t="n"/>
      <c r="AR33" s="171" t="n"/>
    </row>
    <row r="34" collapsed="1" ht="10.5" customFormat="1" customHeight="1" s="171">
      <c r="A34" s="171" t="n"/>
      <c r="B34" s="568" t="n"/>
      <c r="C34" s="568" t="n"/>
      <c r="D34" s="568" t="n"/>
      <c r="E34" s="171" t="n"/>
      <c r="F34" s="171" t="n"/>
      <c r="G34" s="171" t="n"/>
      <c r="H34" s="171" t="n"/>
      <c r="I34" s="171" t="n"/>
      <c r="J34" s="171" t="n"/>
      <c r="K34" s="171" t="n"/>
      <c r="L34" s="171" t="n"/>
      <c r="M34" s="171" t="n"/>
      <c r="N34" s="171" t="n"/>
      <c r="O34" s="171" t="n"/>
      <c r="P34" s="171" t="n"/>
      <c r="Q34" s="171" t="n"/>
      <c r="R34" s="171" t="n"/>
      <c r="S34" s="568" t="n"/>
      <c r="T34" s="171" t="n"/>
      <c r="U34" s="171" t="n"/>
      <c r="V34" s="171" t="n"/>
      <c r="W34" s="171" t="n"/>
      <c r="X34" s="171" t="n"/>
      <c r="Y34" s="171" t="n"/>
      <c r="Z34" s="171" t="n"/>
      <c r="AA34" s="171" t="n"/>
      <c r="AB34" s="171" t="n"/>
      <c r="AC34" s="1192" t="n"/>
      <c r="AD34" s="171" t="n"/>
      <c r="AE34" s="171" t="n"/>
      <c r="AF34" s="171" t="n"/>
      <c r="AG34" s="171" t="n"/>
      <c r="AH34" s="171" t="n"/>
      <c r="AI34" s="171" t="n"/>
      <c r="AJ34" s="171" t="n"/>
      <c r="AK34" s="171" t="n"/>
      <c r="AL34" s="575" t="n"/>
      <c r="AM34" s="171" t="n"/>
      <c r="AN34" s="171" t="n"/>
      <c r="AO34" s="171" t="n"/>
      <c r="AP34" s="601" t="n"/>
      <c r="AQ34" s="171" t="n"/>
      <c r="AR34" s="171" t="n"/>
    </row>
    <row r="35" ht="32.25" customHeight="1" s="1181">
      <c r="A35" s="38" t="n"/>
      <c r="B35" s="38" t="n"/>
      <c r="C35" s="38" t="n"/>
      <c r="D35" s="38" t="n"/>
      <c r="E35" s="38" t="n"/>
      <c r="F35" s="38" t="n"/>
      <c r="G35" s="38" t="n"/>
      <c r="H35" s="38" t="n"/>
      <c r="I35" s="38" t="n"/>
      <c r="J35" s="38" t="n"/>
      <c r="K35" s="38" t="n"/>
      <c r="L35" s="38" t="n"/>
      <c r="M35" s="38" t="n"/>
      <c r="N35" s="38" t="n"/>
      <c r="O35" s="38" t="n"/>
      <c r="P35" s="38" t="n"/>
      <c r="Q35" s="38" t="n"/>
      <c r="R35" s="38" t="n"/>
      <c r="S35" s="580" t="n"/>
      <c r="T35" s="38" t="n"/>
      <c r="U35" s="38" t="n"/>
      <c r="V35" s="38" t="n"/>
      <c r="W35" s="38" t="n"/>
      <c r="X35" s="38" t="n"/>
      <c r="Y35" s="38" t="n"/>
      <c r="Z35" s="592" t="inlineStr">
        <is>
          <t>企业财务快报（财政局）</t>
        </is>
      </c>
      <c r="AC35" s="592" t="inlineStr">
        <is>
          <t>企业财务快报（财政局）</t>
        </is>
      </c>
      <c r="AF35" s="38" t="n"/>
      <c r="AG35" s="38" t="n"/>
      <c r="AH35" s="38" t="n"/>
      <c r="AI35" s="38" t="n"/>
      <c r="AJ35" s="38" t="n"/>
      <c r="AK35" s="38" t="n"/>
      <c r="AL35" s="38" t="n"/>
      <c r="AM35" s="38" t="n"/>
      <c r="AN35" s="38" t="n"/>
      <c r="AO35" s="38" t="n"/>
      <c r="AP35" s="38" t="n"/>
      <c r="AQ35" s="38" t="n"/>
      <c r="AR35" s="38" t="n"/>
    </row>
    <row r="36" ht="15.2" customFormat="1" customHeight="1" s="575">
      <c r="A36" s="575" t="n"/>
      <c r="B36" s="575" t="n"/>
      <c r="C36" s="575" t="n"/>
      <c r="D36" s="575" t="n"/>
      <c r="E36" s="575" t="n"/>
      <c r="F36" s="575" t="n"/>
      <c r="G36" s="575" t="n"/>
      <c r="H36" s="575" t="n"/>
      <c r="I36" s="575" t="n"/>
      <c r="J36" s="575" t="n"/>
      <c r="K36" s="575" t="n"/>
      <c r="L36" s="575" t="n"/>
      <c r="M36" s="575" t="n"/>
      <c r="N36" s="575" t="n"/>
      <c r="O36" s="575" t="n"/>
      <c r="P36" s="575" t="n"/>
      <c r="Q36" s="575" t="n"/>
      <c r="R36" s="575" t="n"/>
      <c r="S36" s="726" t="n"/>
      <c r="T36" s="575" t="n"/>
      <c r="U36" s="575" t="n"/>
      <c r="V36" s="575" t="n"/>
      <c r="W36" s="575" t="n"/>
      <c r="X36" s="190">
        <f>IF(_epmOfflineCondition_,"编制单位：内蒙古京能苏尼特风力发电有限公司（内蒙古分公司）","编制单位："&amp;EPMMemberDesc($D$6))</f>
        <v/>
      </c>
      <c r="Y36" s="116" t="inlineStr">
        <is>
          <t>操作提示：表单默认币种LC（本位币），外币记账单位，可点击左侧币种切换，点击EPM选项卡中的“刷新”按钮</t>
        </is>
      </c>
      <c r="Z36" s="116" t="n"/>
      <c r="AA36" s="575" t="n"/>
      <c r="AB36" s="451" t="n"/>
      <c r="AC36" s="575" t="n"/>
      <c r="AD36" s="116" t="n"/>
      <c r="AE36" s="575" t="n"/>
      <c r="AF36" s="575" t="n"/>
      <c r="AG36" s="575" t="n"/>
      <c r="AH36" s="575" t="n"/>
      <c r="AI36" s="575" t="n"/>
      <c r="AJ36" s="575" t="n"/>
      <c r="AK36" s="575" t="n"/>
      <c r="AL36" s="575" t="n"/>
      <c r="AM36" s="575" t="n"/>
      <c r="AN36" s="575" t="n"/>
      <c r="AO36" s="575" t="n"/>
      <c r="AP36" s="575" t="n"/>
      <c r="AQ36" s="575" t="n"/>
      <c r="AR36" s="575" t="n"/>
    </row>
    <row r="37" ht="15.2" customFormat="1" customHeight="1" s="575">
      <c r="A37" s="575" t="n"/>
      <c r="B37" s="575" t="n"/>
      <c r="C37" s="575" t="n"/>
      <c r="D37" s="575" t="n"/>
      <c r="E37" s="575" t="n"/>
      <c r="F37" s="575" t="n"/>
      <c r="G37" s="575" t="n"/>
      <c r="H37" s="575" t="n"/>
      <c r="I37" s="575" t="n"/>
      <c r="J37" s="575" t="n"/>
      <c r="K37" s="575" t="n"/>
      <c r="L37" s="575" t="n"/>
      <c r="M37" s="575" t="n"/>
      <c r="N37" s="575" t="n"/>
      <c r="O37" s="575" t="n"/>
      <c r="P37" s="575" t="n"/>
      <c r="Q37" s="575" t="n"/>
      <c r="R37" s="575" t="n"/>
      <c r="S37" s="726" t="n"/>
      <c r="T37" s="575" t="n"/>
      <c r="U37" s="575" t="n"/>
      <c r="V37" s="575" t="n"/>
      <c r="W37" s="575" t="n"/>
      <c r="X37" s="190">
        <f>"编制月份："&amp;$I$3&amp;"年"&amp;$I$8&amp;"月"</f>
        <v/>
      </c>
      <c r="Y37" s="116" t="inlineStr">
        <is>
          <t>币种：</t>
        </is>
      </c>
      <c r="Z37" s="521">
        <f>AC37</f>
        <v/>
      </c>
      <c r="AA37" s="716" t="n"/>
      <c r="AB37" s="223" t="inlineStr">
        <is>
          <t>金额单位：元</t>
        </is>
      </c>
      <c r="AC37" s="521" t="inlineStr">
        <is>
          <t>LC</t>
        </is>
      </c>
      <c r="AD37" s="716" t="n"/>
      <c r="AE37" s="223" t="inlineStr">
        <is>
          <t>金额单位：万元</t>
        </is>
      </c>
      <c r="AF37" s="575" t="n"/>
      <c r="AG37" s="575" t="n"/>
      <c r="AH37" s="575" t="n"/>
      <c r="AI37" s="575" t="n"/>
      <c r="AJ37" s="575" t="n"/>
      <c r="AK37" s="575" t="n"/>
      <c r="AL37" s="575" t="n"/>
      <c r="AM37" s="575" t="n"/>
      <c r="AN37" s="575" t="n"/>
      <c r="AO37" s="575" t="n"/>
      <c r="AP37" s="575" t="n"/>
      <c r="AQ37" s="575" t="n"/>
      <c r="AR37" s="575" t="n"/>
    </row>
    <row r="38" ht="10.15" customFormat="1" customHeight="1" s="575">
      <c r="A38" s="575" t="n"/>
      <c r="B38" s="575" t="n"/>
      <c r="C38" s="575" t="n"/>
      <c r="D38" s="575" t="n"/>
      <c r="E38" s="575" t="n"/>
      <c r="F38" s="575" t="n"/>
      <c r="G38" s="575" t="n"/>
      <c r="H38" s="575" t="n"/>
      <c r="I38" s="575" t="n"/>
      <c r="J38" s="575" t="n"/>
      <c r="K38" s="575" t="n"/>
      <c r="L38" s="575" t="n"/>
      <c r="M38" s="575" t="n"/>
      <c r="N38" s="575" t="n"/>
      <c r="O38" s="575" t="n"/>
      <c r="P38" s="575" t="n"/>
      <c r="Q38" s="575" t="n"/>
      <c r="R38" s="575" t="n"/>
      <c r="S38" s="726" t="n"/>
      <c r="T38" s="575" t="n"/>
      <c r="U38" s="575" t="n"/>
      <c r="V38" s="575" t="n"/>
      <c r="W38" s="575" t="n"/>
      <c r="X38" s="190" t="n"/>
      <c r="Y38" s="190" t="n"/>
      <c r="Z38" s="575" t="n"/>
      <c r="AA38" s="575" t="n"/>
      <c r="AB38" s="451" t="n"/>
      <c r="AC38" s="451" t="n"/>
      <c r="AD38" s="451" t="n"/>
      <c r="AE38" s="451" t="n"/>
      <c r="AF38" s="575" t="n"/>
      <c r="AG38" s="575" t="n"/>
      <c r="AH38" s="575" t="n"/>
      <c r="AI38" s="575" t="n"/>
      <c r="AJ38" s="575" t="n"/>
      <c r="AK38" s="575" t="n"/>
      <c r="AL38" s="575" t="n"/>
      <c r="AM38" s="575" t="n"/>
      <c r="AN38" s="575" t="n"/>
      <c r="AO38" s="575" t="n"/>
      <c r="AP38" s="575" t="n"/>
      <c r="AQ38" s="575" t="n"/>
      <c r="AR38" s="575" t="n"/>
    </row>
    <row r="39" ht="8.65" customFormat="1" customHeight="1" s="575">
      <c r="A39" s="575" t="n"/>
      <c r="B39" s="575" t="n"/>
      <c r="C39" s="575" t="n"/>
      <c r="D39" s="575" t="n"/>
      <c r="E39" s="575" t="n"/>
      <c r="F39" s="575" t="n"/>
      <c r="G39" s="575" t="n"/>
      <c r="H39" s="575" t="n"/>
      <c r="I39" s="575" t="n"/>
      <c r="J39" s="575" t="n"/>
      <c r="K39" s="575" t="n"/>
      <c r="L39" s="575" t="n"/>
      <c r="M39" s="575" t="n"/>
      <c r="N39" s="575" t="n"/>
      <c r="O39" s="575" t="n"/>
      <c r="P39" s="575" t="n"/>
      <c r="Q39" s="575" t="n"/>
      <c r="R39" s="575" t="n"/>
      <c r="S39" s="726" t="n"/>
      <c r="T39" s="575" t="n"/>
      <c r="U39" s="575" t="n"/>
      <c r="V39" s="575" t="n"/>
      <c r="W39" s="575" t="n"/>
      <c r="X39" s="450" t="inlineStr">
        <is>
          <t>项        目</t>
        </is>
      </c>
      <c r="Y39" s="450" t="inlineStr">
        <is>
          <t>行次</t>
        </is>
      </c>
      <c r="Z39" s="466" t="inlineStr">
        <is>
          <t>本月数</t>
        </is>
      </c>
      <c r="AA39" s="466" t="inlineStr">
        <is>
          <t>本年累计</t>
        </is>
      </c>
      <c r="AB39" s="466" t="inlineStr">
        <is>
          <t>上年同期</t>
        </is>
      </c>
      <c r="AC39" s="522" t="inlineStr">
        <is>
          <t>本月数</t>
        </is>
      </c>
      <c r="AD39" s="522" t="inlineStr">
        <is>
          <t>本年累计</t>
        </is>
      </c>
      <c r="AE39" s="522" t="inlineStr">
        <is>
          <t>上年同期</t>
        </is>
      </c>
      <c r="AF39" s="575" t="n"/>
      <c r="AG39" s="575" t="n"/>
      <c r="AH39" s="575" t="n"/>
      <c r="AI39" s="575" t="n"/>
      <c r="AJ39" s="575" t="n"/>
      <c r="AK39" s="575" t="n"/>
      <c r="AL39" s="575" t="n"/>
      <c r="AM39" s="575" t="n"/>
      <c r="AN39" s="575" t="n"/>
      <c r="AO39" s="575" t="n"/>
      <c r="AP39" s="575" t="n"/>
      <c r="AQ39" s="575" t="n"/>
      <c r="AR39" s="575" t="n"/>
    </row>
    <row r="40" ht="10.9" customFormat="1" customHeight="1" s="575">
      <c r="A40" s="575" t="n"/>
      <c r="B40" s="575" t="n"/>
      <c r="C40" s="575" t="n"/>
      <c r="D40" s="575" t="n"/>
      <c r="E40" s="575" t="n"/>
      <c r="F40" s="575" t="n"/>
      <c r="G40" s="575" t="n"/>
      <c r="H40" s="575" t="n"/>
      <c r="I40" s="575" t="n"/>
      <c r="J40" s="575" t="n"/>
      <c r="K40" s="575" t="n"/>
      <c r="L40" s="575" t="n"/>
      <c r="M40" s="575" t="n"/>
      <c r="N40" s="575" t="n"/>
      <c r="O40" s="575" t="n"/>
      <c r="P40" s="575" t="n"/>
      <c r="Q40" s="575" t="n"/>
      <c r="R40" s="575" t="n"/>
      <c r="S40" s="726" t="n"/>
      <c r="T40" s="575" t="n"/>
      <c r="U40" s="575" t="n"/>
      <c r="V40" s="575" t="n"/>
      <c r="W40" s="575" t="n"/>
      <c r="X40" s="1184" t="n"/>
      <c r="Y40" s="1184" t="n"/>
      <c r="Z40" s="1211" t="n"/>
      <c r="AA40" s="1211" t="n"/>
      <c r="AB40" s="1211" t="n"/>
      <c r="AC40" s="1184" t="n"/>
      <c r="AD40" s="1184" t="n"/>
      <c r="AE40" s="1184" t="n"/>
      <c r="AF40" s="575" t="n"/>
      <c r="AG40" s="575" t="n"/>
      <c r="AH40" s="575" t="n"/>
      <c r="AI40" s="575" t="n"/>
      <c r="AJ40" s="575" t="n"/>
      <c r="AK40" s="575" t="n"/>
      <c r="AL40" s="575" t="n"/>
      <c r="AM40" s="575" t="n"/>
      <c r="AN40" s="575" t="n"/>
      <c r="AO40" s="575" t="n"/>
      <c r="AP40" s="575" t="n"/>
      <c r="AQ40" s="575" t="n"/>
      <c r="AR40" s="575" t="n"/>
    </row>
    <row r="41" hidden="1" outlineLevel="1" ht="14.25" customFormat="1" customHeight="1" s="576">
      <c r="A41" s="576" t="n"/>
      <c r="B41" s="576" t="n"/>
      <c r="C41" s="576" t="n"/>
      <c r="D41" s="576" t="n"/>
      <c r="E41" s="576" t="n"/>
      <c r="F41" s="576" t="n"/>
      <c r="G41" s="576" t="n"/>
      <c r="H41" s="576" t="n"/>
      <c r="I41" s="576" t="n"/>
      <c r="J41" s="576" t="n"/>
      <c r="K41" s="576" t="n"/>
      <c r="L41" s="576" t="n"/>
      <c r="M41" s="576" t="n"/>
      <c r="N41" s="576" t="n"/>
      <c r="O41" s="576" t="n"/>
      <c r="P41" s="576" t="n"/>
      <c r="Q41" s="576" t="n"/>
      <c r="R41" s="576" t="n"/>
      <c r="S41" s="576" t="n"/>
      <c r="T41" s="576" t="n"/>
      <c r="U41" s="576" t="n"/>
      <c r="V41" s="576" t="n"/>
      <c r="W41" s="576" t="n"/>
      <c r="X41" s="451" t="inlineStr">
        <is>
          <t>time</t>
        </is>
      </c>
      <c r="Y41" s="726" t="n"/>
      <c r="Z41" s="469">
        <f>IF(_epmOfflineCondition_,"2025.03",EPMOlapMemberO($I$11,"[C_TIME].[PARENTH1].[2025.03]","2025.03 - 2025.03","","000"))</f>
        <v/>
      </c>
      <c r="AA41" s="469">
        <f>IF(_epmOfflineCondition_,"2025.03",EPMOlapMemberO($I$11,"[C_TIME].[PARENTH1].[2025.03]","2025.03 - 2025.03","","000"))</f>
        <v/>
      </c>
      <c r="AB41" s="469">
        <f>IF(_epmOfflineCondition_,"2024.03",EPMOlapMemberO(AD26,"[C_TIME].[PARENTH1].[2024.03]","2024.03 - 2024.03","","000"))</f>
        <v/>
      </c>
      <c r="AC41" s="599" t="n"/>
      <c r="AD41" s="599" t="n"/>
      <c r="AE41" s="599" t="n"/>
      <c r="AF41" s="726" t="n"/>
      <c r="AG41" s="726" t="n"/>
      <c r="AH41" s="726" t="n"/>
      <c r="AI41" s="726" t="n"/>
      <c r="AJ41" s="726" t="n"/>
      <c r="AK41" s="726" t="n"/>
      <c r="AL41" s="726" t="n"/>
      <c r="AM41" s="576" t="n"/>
      <c r="AN41" s="576" t="n"/>
      <c r="AO41" s="576" t="n"/>
      <c r="AP41" s="576" t="n"/>
      <c r="AQ41" s="576" t="n"/>
      <c r="AR41" s="576" t="n"/>
    </row>
    <row r="42" hidden="1" outlineLevel="1" ht="14.25" customFormat="1" customHeight="1" s="575">
      <c r="A42" s="575" t="n"/>
      <c r="B42" s="575" t="n"/>
      <c r="C42" s="575" t="n"/>
      <c r="D42" s="575" t="n"/>
      <c r="E42" s="575" t="n"/>
      <c r="F42" s="575" t="n"/>
      <c r="G42" s="575" t="n"/>
      <c r="H42" s="575" t="n"/>
      <c r="I42" s="575" t="n"/>
      <c r="J42" s="575" t="n"/>
      <c r="K42" s="575" t="n"/>
      <c r="L42" s="575" t="n"/>
      <c r="M42" s="575" t="n"/>
      <c r="N42" s="575" t="n"/>
      <c r="O42" s="575" t="n"/>
      <c r="P42" s="575" t="n"/>
      <c r="Q42" s="575" t="n"/>
      <c r="R42" s="575" t="n"/>
      <c r="S42" s="726" t="n"/>
      <c r="T42" s="575" t="n"/>
      <c r="U42" s="575" t="n"/>
      <c r="V42" s="575" t="n"/>
      <c r="W42" s="575" t="n"/>
      <c r="X42" s="451" t="inlineStr">
        <is>
          <t>category</t>
        </is>
      </c>
      <c r="Y42" s="451" t="n"/>
      <c r="Z42" s="595">
        <f>IF(_epmOfflineCondition_,"C1001",EPMOlapMemberO($Z$25,"[C_CATEGORY].[PARENTH1].[C1001]","C1001 - 实际数/决算数","","000"))</f>
        <v/>
      </c>
      <c r="AA42" s="595">
        <f>IF(_epmOfflineCondition_,"C1001",EPMOlapMemberO($Z$25,"[C_CATEGORY].[PARENTH1].[C1001]","C1001 - 实际数/决算数","","000"))</f>
        <v/>
      </c>
      <c r="AB42" s="595">
        <f>IF(_epmOfflineCondition_,"C1001",EPMOlapMemberO($Z$25,"[C_CATEGORY].[PARENTH1].[C1001]","C1001 - 实际数/决算数","","000"))</f>
        <v/>
      </c>
      <c r="AC42" s="575" t="n"/>
      <c r="AD42" s="575" t="n"/>
      <c r="AE42" s="575" t="n"/>
      <c r="AF42" s="575" t="n"/>
      <c r="AG42" s="575" t="n"/>
      <c r="AH42" s="575" t="n"/>
      <c r="AI42" s="575" t="n"/>
      <c r="AJ42" s="575" t="n"/>
      <c r="AK42" s="575" t="n"/>
      <c r="AL42" s="575" t="n"/>
      <c r="AM42" s="575" t="n"/>
      <c r="AN42" s="575" t="n"/>
      <c r="AO42" s="575" t="n"/>
      <c r="AP42" s="575" t="n"/>
      <c r="AQ42" s="575" t="n"/>
      <c r="AR42" s="575" t="n"/>
    </row>
    <row r="43" hidden="1" outlineLevel="1" ht="13.5" customFormat="1" customHeight="1" s="575">
      <c r="A43" s="575" t="n"/>
      <c r="B43" s="575" t="n"/>
      <c r="C43" s="575" t="n"/>
      <c r="D43" s="575" t="n"/>
      <c r="E43" s="575" t="n"/>
      <c r="F43" s="575" t="n"/>
      <c r="G43" s="575" t="n"/>
      <c r="H43" s="575" t="n"/>
      <c r="I43" s="575" t="n"/>
      <c r="J43" s="575" t="n"/>
      <c r="K43" s="575" t="n"/>
      <c r="L43" s="575" t="n"/>
      <c r="M43" s="575" t="n"/>
      <c r="N43" s="575" t="n"/>
      <c r="O43" s="575" t="n"/>
      <c r="P43" s="575" t="n"/>
      <c r="Q43" s="575" t="n"/>
      <c r="R43" s="575" t="n"/>
      <c r="S43" s="726" t="n"/>
      <c r="T43" s="575" t="n"/>
      <c r="U43" s="575" t="n"/>
      <c r="V43" s="575" t="n"/>
      <c r="W43" s="575" t="n"/>
      <c r="X43" s="451" t="inlineStr">
        <is>
          <t>audittrail</t>
        </is>
      </c>
      <c r="Y43" s="451" t="n"/>
      <c r="Z43" s="595">
        <f>IF(_epmOfflineCondition_,"DLC",EPMOlapMemberO($Z$31,"[C_AUDITTRAIL].[PARENTH1].[DLC]","DLC - 单体报表","","000"))</f>
        <v/>
      </c>
      <c r="AA43" s="595">
        <f>IF(_epmOfflineCondition_,"DLC",EPMOlapMemberO($Z$31,"[C_AUDITTRAIL].[PARENTH1].[DLC]","DLC - 单体报表","","000"))</f>
        <v/>
      </c>
      <c r="AB43" s="595">
        <f>IF(_epmOfflineCondition_,"DLC",EPMOlapMemberO($Z$31,"[C_AUDITTRAIL].[PARENTH1].[DLC]","DLC - 单体报表","","000"))</f>
        <v/>
      </c>
      <c r="AC43" s="575" t="n"/>
      <c r="AD43" s="575" t="n"/>
      <c r="AE43" s="575" t="n"/>
      <c r="AF43" s="575" t="n"/>
      <c r="AG43" s="575" t="n"/>
      <c r="AH43" s="575" t="n"/>
      <c r="AI43" s="575" t="n"/>
      <c r="AJ43" s="575" t="n"/>
      <c r="AK43" s="575" t="n"/>
      <c r="AL43" s="575" t="n"/>
      <c r="AM43" s="575" t="n"/>
      <c r="AN43" s="575" t="n"/>
      <c r="AO43" s="575" t="n"/>
      <c r="AP43" s="575" t="n"/>
      <c r="AQ43" s="575" t="n"/>
      <c r="AR43" s="575" t="n"/>
    </row>
    <row r="44" hidden="1" outlineLevel="1" ht="13.5" customFormat="1" customHeight="1" s="575">
      <c r="A44" s="575" t="n"/>
      <c r="B44" s="575" t="n"/>
      <c r="C44" s="575" t="n"/>
      <c r="D44" s="575" t="n"/>
      <c r="E44" s="575" t="n"/>
      <c r="F44" s="575" t="n"/>
      <c r="G44" s="575" t="n"/>
      <c r="H44" s="575" t="n"/>
      <c r="I44" s="575" t="n"/>
      <c r="J44" s="575" t="n"/>
      <c r="K44" s="575" t="n"/>
      <c r="L44" s="575" t="n"/>
      <c r="M44" s="575" t="n"/>
      <c r="N44" s="575" t="n"/>
      <c r="O44" s="575" t="n"/>
      <c r="P44" s="575" t="n"/>
      <c r="Q44" s="575" t="n"/>
      <c r="R44" s="575" t="n"/>
      <c r="S44" s="726" t="n"/>
      <c r="T44" s="575" t="n"/>
      <c r="U44" s="575" t="n"/>
      <c r="V44" s="583" t="n"/>
      <c r="W44" s="575" t="n"/>
      <c r="X44" s="451" t="inlineStr">
        <is>
          <t>flow</t>
        </is>
      </c>
      <c r="Y44" s="451" t="n"/>
      <c r="Z44" s="595">
        <f>IF(_epmOfflineCondition_,"FMOV",EPMOlapMemberO($AE$28,"[C_FLOW].[PARENTH1].[FMOV]","FMOV - 本期变动","","000"))</f>
        <v/>
      </c>
      <c r="AA44" s="595">
        <f>IF(_epmOfflineCondition_,"FEND",EPMOlapMemberO($AD$28,"[C_FLOW].[PARENTH1].[FEND]","FEND - 期末金额","","000"))</f>
        <v/>
      </c>
      <c r="AB44" s="595">
        <f>IF(_epmOfflineCondition_,"FEND",EPMOlapMemberO($AD$28,"[C_FLOW].[PARENTH1].[FEND]","FEND - 期末金额","","000"))</f>
        <v/>
      </c>
      <c r="AC44" s="575" t="n"/>
      <c r="AD44" s="575" t="n"/>
      <c r="AE44" s="575" t="n"/>
      <c r="AF44" s="575" t="n"/>
      <c r="AG44" s="575" t="n"/>
      <c r="AH44" s="575" t="n"/>
      <c r="AI44" s="575" t="n"/>
      <c r="AJ44" s="575" t="n"/>
      <c r="AK44" s="575" t="n"/>
      <c r="AL44" s="575" t="n"/>
      <c r="AM44" s="575" t="n"/>
      <c r="AN44" s="575" t="n"/>
      <c r="AO44" s="575" t="n"/>
      <c r="AP44" s="575" t="n"/>
      <c r="AQ44" s="575" t="n"/>
      <c r="AR44" s="575" t="n"/>
    </row>
    <row r="45" hidden="1" outlineLevel="1" ht="13.5" customFormat="1" customHeight="1" s="575">
      <c r="A45" s="575" t="n"/>
      <c r="B45" s="575" t="n"/>
      <c r="C45" s="575" t="n"/>
      <c r="D45" s="575" t="n"/>
      <c r="E45" s="575" t="n"/>
      <c r="F45" s="575" t="n"/>
      <c r="G45" s="575" t="n"/>
      <c r="H45" s="575" t="n"/>
      <c r="I45" s="575" t="n"/>
      <c r="J45" s="575" t="n"/>
      <c r="K45" s="575" t="n"/>
      <c r="L45" s="1192">
        <f>IF(_epmOfflineCondition_,0,EPMRetrieveData(,$D$21,$D$22,$D$25,$D$26,$D$27,$D$28,$D$29,$AB$41,$AB$42,$AB$43,$AB$45,$Z$32,Q45))</f>
        <v/>
      </c>
      <c r="M45" s="716" t="inlineStr">
        <is>
          <t>上年同期</t>
        </is>
      </c>
      <c r="N45" s="1192">
        <f>IF(_epmOfflineCondition_,0,EPMRetrieveData(,,$D$21,$D$22,$D$25,$D$26,$D$27,$D$28,$D$29,$Z$41,$Z$42,$Z$43,$Z$32,$Z$45,Q45))</f>
        <v/>
      </c>
      <c r="O45" s="716" t="inlineStr">
        <is>
          <t>本月</t>
        </is>
      </c>
      <c r="P45" s="716">
        <f>IF(_epmOfflineCondition_,0,EPMRetrieveData(,,$D$21,$D$22,$D$25,$D$26,$D$27,$D$28,$D$29,$AA$41,$AA$42,$AA$43,$Z$32,$AA$45,Q45))</f>
        <v/>
      </c>
      <c r="Q45" s="716" t="inlineStr">
        <is>
          <t>A0020213</t>
        </is>
      </c>
      <c r="R45" s="716" t="inlineStr">
        <is>
          <t>本年</t>
        </is>
      </c>
      <c r="S45" s="726" t="n"/>
      <c r="T45" s="575" t="n"/>
      <c r="U45" s="575" t="n"/>
      <c r="V45" s="575" t="n"/>
      <c r="W45" s="575" t="n"/>
      <c r="X45" s="451" t="inlineStr">
        <is>
          <t>measures</t>
        </is>
      </c>
      <c r="Y45" s="451" t="n"/>
      <c r="Z45" s="595">
        <f>IF(_epmOfflineCondition_,"Periodic",EPMOlapMemberO($AB$27,"[MEASURES].[].[PERIODIC]","PERIODIC - Periodic","","000"))</f>
        <v/>
      </c>
      <c r="AA45" s="595">
        <f>IF(_epmOfflineCondition_,"YTD",EPMOlapMemberO($AA$27,"[MEASURES].[].[YTD]","YTD - Year To Date","","000"))</f>
        <v/>
      </c>
      <c r="AB45" s="595">
        <f>IF(_epmOfflineCondition_,"YTD",EPMOlapMemberO($AA$27,"[MEASURES].[].[YTD]","YTD - Year To Date","","000"))</f>
        <v/>
      </c>
      <c r="AC45" s="575" t="n"/>
      <c r="AD45" s="575" t="n"/>
      <c r="AE45" s="575" t="n"/>
      <c r="AF45" s="575" t="n"/>
      <c r="AG45" s="575" t="n"/>
      <c r="AH45" s="575" t="n"/>
      <c r="AI45" s="575" t="n"/>
      <c r="AJ45" s="575" t="n"/>
      <c r="AK45" s="575" t="n"/>
      <c r="AL45" s="575" t="n"/>
      <c r="AM45" s="575" t="n"/>
      <c r="AN45" s="575" t="n"/>
      <c r="AO45" s="575" t="n"/>
      <c r="AP45" s="575" t="n"/>
      <c r="AQ45" s="575" t="n"/>
      <c r="AR45" s="575" t="n"/>
    </row>
    <row r="46" collapsed="1" ht="16.15" customFormat="1" customHeight="1" s="575">
      <c r="A46" s="575" t="n"/>
      <c r="B46" s="575" t="n"/>
      <c r="C46" s="575" t="n"/>
      <c r="D46" s="575" t="n"/>
      <c r="E46" s="575" t="n"/>
      <c r="F46" s="575" t="n"/>
      <c r="G46" s="575" t="n"/>
      <c r="H46" s="575" t="n"/>
      <c r="I46" s="575" t="n"/>
      <c r="J46" s="575" t="n"/>
      <c r="K46" s="575" t="n"/>
      <c r="L46" s="1192">
        <f>IF(_epmOfflineCondition_,0,EPMRetrieveData(,$D$21,$D$22,$D$25,$D$26,$D$27,$D$28,$D$29,$AB$41,$AB$42,$AB$43,$AB$45,$Z$32,Q46))</f>
        <v/>
      </c>
      <c r="M46" s="1192">
        <f>L48+L46+L47-L45</f>
        <v/>
      </c>
      <c r="N46" s="1192">
        <f>IF(_epmOfflineCondition_,0,EPMRetrieveData(,,$D$21,$D$22,$D$25,$D$26,$D$27,$D$28,$D$29,$Z$41,$Z$42,$Z$43,$Z$32,$Z$45,Q46))</f>
        <v/>
      </c>
      <c r="O46" s="1192">
        <f>N48+N46+N47-N45</f>
        <v/>
      </c>
      <c r="P46" s="716">
        <f>IF(_epmOfflineCondition_,0,EPMRetrieveData(,,$D$21,$D$22,$D$25,$D$26,$D$27,$D$28,$D$29,$AA$41,$AA$42,$AA$43,$Z$32,$AA$45,Q46))</f>
        <v/>
      </c>
      <c r="Q46" s="514" t="inlineStr">
        <is>
          <t>A0020202</t>
        </is>
      </c>
      <c r="R46" s="716">
        <f>P48+P46+P47-P45</f>
        <v/>
      </c>
      <c r="S46" s="726">
        <f>IF(_epmOfflineCondition_,"一、营业总收入",EPMMemberDesc(U46))</f>
        <v/>
      </c>
      <c r="T46" s="575" t="n"/>
      <c r="U46" s="575" t="inlineStr">
        <is>
          <t>A00201</t>
        </is>
      </c>
      <c r="V46" s="584">
        <f>IF(_epmOfflineCondition_,"A00201",EPMOlapMemberO(U46,"[C_ACCOUNT].[PARENTH1].[A00201]","A00201 - 一、营业总收入","","000"))</f>
        <v/>
      </c>
      <c r="W46" s="726" t="n"/>
      <c r="X46" s="585" t="inlineStr">
        <is>
          <t>1. 营业总收入</t>
        </is>
      </c>
      <c r="Y46" s="1312">
        <f>ROW()-45</f>
        <v/>
      </c>
      <c r="Z46" s="1336">
        <f>IF(_epmOfflineCondition_,34684648.3,EPMRetrieveData(,$Z$41,$Z$42,$Z$43,$Z$45,$Z$32,$D$21,$D$22,$D$25,$D$26,$D$27,$D$28,$D$29,U46))</f>
        <v/>
      </c>
      <c r="AA46" s="1336">
        <f>IF(_epmOfflineCondition_,94272738.5,EPMRetrieveData(,$AA$41,$AA$42,$AA$43,$AA$45,$Z$32,$D$21,$D$22,$D$25,$D$26,$D$27,$D$28,$D$29,U46))</f>
        <v/>
      </c>
      <c r="AB46" s="1336">
        <f>IF(_epmOfflineCondition_,23180467.01,EPMRetrieveData(,$AB$41,$AB$42,$AB$43,$AB$45,$Z$32,$D$21,$D$22,$D$25,$D$26,$D$27,$D$28,$D$29,U46))</f>
        <v/>
      </c>
      <c r="AC46" s="1361">
        <f>ROUND(Z46/10000,2)</f>
        <v/>
      </c>
      <c r="AD46" s="1361">
        <f>ROUND(AA46/10000,2)</f>
        <v/>
      </c>
      <c r="AE46" s="1361">
        <f>ROUND(AB46/10000,2)</f>
        <v/>
      </c>
      <c r="AF46" s="116" t="inlineStr">
        <is>
          <t>操作注意事项：</t>
        </is>
      </c>
      <c r="AG46" s="575" t="n"/>
      <c r="AH46" s="575" t="n"/>
      <c r="AI46" s="575" t="n"/>
      <c r="AJ46" s="575" t="n"/>
      <c r="AK46" s="575" t="n"/>
      <c r="AL46" s="575" t="n"/>
      <c r="AM46" s="575" t="n"/>
      <c r="AN46" s="575" t="n"/>
      <c r="AO46" s="575" t="n"/>
      <c r="AP46" s="575" t="n"/>
      <c r="AQ46" s="575" t="n"/>
      <c r="AR46" s="575" t="n"/>
    </row>
    <row r="47" ht="16.15" customFormat="1" customHeight="1" s="575">
      <c r="A47" s="575" t="n"/>
      <c r="B47" s="575" t="n"/>
      <c r="C47" s="575" t="n"/>
      <c r="D47" s="575" t="n"/>
      <c r="E47" s="575" t="n"/>
      <c r="F47" s="575" t="n"/>
      <c r="G47" s="575" t="n"/>
      <c r="H47" s="575" t="n"/>
      <c r="I47" s="575" t="n"/>
      <c r="J47" s="575" t="n"/>
      <c r="K47" s="575" t="n"/>
      <c r="L47" s="1192">
        <f>IF(_epmOfflineCondition_,0,EPMRetrieveData(,$D$21,$D$22,$D$25,$D$26,$D$27,$D$28,$D$29,$AB$41,$AB$42,$AB$43,$AB$45,$Z$32,Q47))</f>
        <v/>
      </c>
      <c r="M47" s="1192">
        <f>L48</f>
        <v/>
      </c>
      <c r="N47" s="1192">
        <f>IF(_epmOfflineCondition_,0,EPMRetrieveData(,,$D$21,$D$22,$D$25,$D$26,$D$27,$D$28,$D$29,$Z$41,$Z$42,$Z$43,$Z$32,$Z$45,Q47))</f>
        <v/>
      </c>
      <c r="O47" s="1192">
        <f>N48</f>
        <v/>
      </c>
      <c r="P47" s="716">
        <f>IF(_epmOfflineCondition_,0,EPMRetrieveData(,,$D$21,$D$22,$D$25,$D$26,$D$27,$D$28,$D$29,$AA$41,$AA$42,$AA$43,$Z$32,$AA$45,Q47))</f>
        <v/>
      </c>
      <c r="Q47" s="514" t="inlineStr">
        <is>
          <t>A0020203</t>
        </is>
      </c>
      <c r="R47" s="716" t="n"/>
      <c r="S47" s="726">
        <f>IF(_epmOfflineCondition_,"主营业务收入",EPMMemberDesc(U47))</f>
        <v/>
      </c>
      <c r="T47" s="575" t="n"/>
      <c r="U47" s="575" t="inlineStr">
        <is>
          <t>A6001</t>
        </is>
      </c>
      <c r="V47" s="586">
        <f>IF(_epmOfflineCondition_,"A6001",EPMOlapMemberO(U47,"[C_ACCOUNT].[PARENTH1].[A6001]","A6001 - 主营业务收入","","000"))</f>
        <v/>
      </c>
      <c r="W47" s="726" t="n"/>
      <c r="X47" s="585" t="inlineStr">
        <is>
          <t xml:space="preserve">  其中：主营业务收入</t>
        </is>
      </c>
      <c r="Y47" s="1312">
        <f>ROW()-45</f>
        <v/>
      </c>
      <c r="Z47" s="1336">
        <f>IF(_epmOfflineCondition_,34684648.3,EPMRetrieveData(,$Z$41,$Z$42,$Z$43,$Z$45,$Z$32,$D$21,$D$22,$D$25,$D$26,$D$27,$D$28,$D$29,U47))</f>
        <v/>
      </c>
      <c r="AA47" s="1336">
        <f>IF(_epmOfflineCondition_,94272738.5,EPMRetrieveData(,$AA$41,$AA$42,$AA$43,$AA$45,$Z$32,$D$21,$D$22,$D$25,$D$26,$D$27,$D$28,$D$29,U47))</f>
        <v/>
      </c>
      <c r="AB47" s="1336">
        <f>IF(_epmOfflineCondition_,23180467.01,EPMRetrieveData(,$AB$41,$AB$42,$AB$43,$AB$45,$Z$32,$D$21,$D$22,$D$25,$D$26,$D$27,$D$28,$D$29,U47))</f>
        <v/>
      </c>
      <c r="AC47" s="1361">
        <f>ROUND(Z47/10000,2)</f>
        <v/>
      </c>
      <c r="AD47" s="1361">
        <f>ROUND(AA47/10000,2)</f>
        <v/>
      </c>
      <c r="AE47" s="1361">
        <f>ROUND(AB47/10000,2)</f>
        <v/>
      </c>
      <c r="AF47" s="116" t="inlineStr">
        <is>
          <t>🔺单体：上下文Scope选择G_DUMMY，Entity选择本单体，外币单位切换币种；单体选LC</t>
        </is>
      </c>
      <c r="AG47" s="575" t="n"/>
      <c r="AH47" s="575" t="n"/>
      <c r="AI47" s="575" t="n"/>
      <c r="AJ47" s="575" t="n"/>
      <c r="AK47" s="575" t="n"/>
      <c r="AL47" s="575" t="n"/>
      <c r="AM47" s="575" t="n"/>
      <c r="AN47" s="575" t="n"/>
      <c r="AO47" s="575" t="n"/>
      <c r="AP47" s="575" t="n"/>
      <c r="AQ47" s="575" t="n"/>
      <c r="AR47" s="575" t="n"/>
    </row>
    <row r="48" ht="16.15" customFormat="1" customHeight="1" s="575">
      <c r="A48" s="575" t="n"/>
      <c r="B48" s="575" t="n"/>
      <c r="C48" s="575" t="n"/>
      <c r="D48" s="575" t="n"/>
      <c r="E48" s="575" t="n"/>
      <c r="F48" s="575" t="n"/>
      <c r="G48" s="575" t="n"/>
      <c r="H48" s="575" t="n"/>
      <c r="I48" s="575" t="n"/>
      <c r="J48" s="575" t="n"/>
      <c r="K48" s="575" t="n"/>
      <c r="L48" s="1192">
        <f>IF(_epmOfflineCondition_,0,EPMRetrieveData(,$D$21,$D$22,$D$25,$D$26,$D$27,$D$28,$D$29,$AB$41,$AB$42,$AB$43,$AB$45,$Z$32,Q48))</f>
        <v/>
      </c>
      <c r="M48" s="716" t="n"/>
      <c r="N48" s="1192">
        <f>IF(_epmOfflineCondition_,10784449.51,EPMRetrieveData(,,$D$21,$D$22,$D$25,$D$26,$D$27,$D$28,$D$29,$Z$41,$Z$42,$Z$43,$Z$32,$Z$45,Q48))</f>
        <v/>
      </c>
      <c r="O48" s="716" t="n"/>
      <c r="P48" s="716">
        <f>IF(_epmOfflineCondition_,27496863.46,EPMRetrieveData(,,$D$21,$D$22,$D$25,$D$26,$D$27,$D$28,$D$29,$AA$41,$AA$42,$AA$43,$Z$32,$AA$45,Q48))</f>
        <v/>
      </c>
      <c r="Q48" s="716" t="inlineStr">
        <is>
          <t>A0020201</t>
        </is>
      </c>
      <c r="R48" s="716" t="n"/>
      <c r="S48" s="726">
        <f>IF(_epmOfflineCondition_,"   其中：营业成本",EPMMemberDesc(U48))</f>
        <v/>
      </c>
      <c r="T48" s="575" t="n"/>
      <c r="U48" s="575" t="inlineStr">
        <is>
          <t>A0020201</t>
        </is>
      </c>
      <c r="V48" s="587">
        <f>IF(_epmOfflineCondition_,"A0020201",EPMOlapMemberO(U48,"[C_ACCOUNT].[PARENTH1].[A0020201]","A0020201 -    其中：营业成本","","000"))</f>
        <v/>
      </c>
      <c r="W48" s="726" t="n"/>
      <c r="X48" s="585" t="inlineStr">
        <is>
          <t>2. 营业成本</t>
        </is>
      </c>
      <c r="Y48" s="1312">
        <f>ROW()-45</f>
        <v/>
      </c>
      <c r="Z48" s="1349">
        <f>O46</f>
        <v/>
      </c>
      <c r="AA48" s="1349">
        <f>R46</f>
        <v/>
      </c>
      <c r="AB48" s="1349">
        <f>M46</f>
        <v/>
      </c>
      <c r="AC48" s="1361">
        <f>ROUND(Z48/10000,2)</f>
        <v/>
      </c>
      <c r="AD48" s="1361">
        <f>ROUND(AA48/10000,2)</f>
        <v/>
      </c>
      <c r="AE48" s="1361">
        <f>ROUND(AB48/10000,2)</f>
        <v/>
      </c>
      <c r="AF48" s="116" t="inlineStr">
        <is>
          <t>🔺合并层：上下文Scope选择对应的合并范围Gxxxxxx,合并选CNY</t>
        </is>
      </c>
      <c r="AG48" s="575" t="n"/>
      <c r="AH48" s="575" t="n"/>
      <c r="AI48" s="575" t="n"/>
      <c r="AJ48" s="575" t="n"/>
      <c r="AK48" s="575" t="n"/>
      <c r="AL48" s="575" t="n"/>
      <c r="AM48" s="575" t="n"/>
      <c r="AN48" s="575" t="n"/>
      <c r="AO48" s="575" t="n"/>
      <c r="AP48" s="575" t="n"/>
      <c r="AQ48" s="575" t="n"/>
      <c r="AR48" s="575" t="n"/>
    </row>
    <row r="49" ht="16.15" customFormat="1" customHeight="1" s="575">
      <c r="A49" s="575" t="n"/>
      <c r="B49" s="575" t="n"/>
      <c r="C49" s="575" t="n"/>
      <c r="D49" s="575" t="n"/>
      <c r="E49" s="575" t="n"/>
      <c r="F49" s="575" t="n"/>
      <c r="G49" s="575" t="n"/>
      <c r="H49" s="575" t="n"/>
      <c r="I49" s="575" t="n"/>
      <c r="J49" s="575" t="n"/>
      <c r="K49" s="575" t="n"/>
      <c r="L49" s="575" t="n"/>
      <c r="M49" s="575" t="n"/>
      <c r="N49" s="575" t="n"/>
      <c r="O49" s="575" t="n"/>
      <c r="P49" s="575" t="n"/>
      <c r="Q49" s="575" t="n"/>
      <c r="R49" s="575" t="n"/>
      <c r="S49" s="726">
        <f>IF(_epmOfflineCondition_,"　　    税金及附加",EPMMemberDesc(U49))</f>
        <v/>
      </c>
      <c r="T49" s="575" t="n"/>
      <c r="U49" s="575" t="inlineStr">
        <is>
          <t>A0020204</t>
        </is>
      </c>
      <c r="V49" s="587">
        <f>IF(_epmOfflineCondition_,"A0020204",EPMOlapMemberO(U49,"[C_ACCOUNT].[PARENTH1].[A0020204]","A0020204 - 　　    税金及附加","","000"))</f>
        <v/>
      </c>
      <c r="W49" s="726" t="n"/>
      <c r="X49" s="585" t="inlineStr">
        <is>
          <t>3. 税金及附加</t>
        </is>
      </c>
      <c r="Y49" s="1312">
        <f>ROW()-45</f>
        <v/>
      </c>
      <c r="Z49" s="1336">
        <f>IF(_epmOfflineCondition_,1797689.16,EPMRetrieveData(,$Z$41,$Z$42,$Z$43,$Z$45,$Z$32,$D$21,$D$22,$D$25,$D$26,$D$27,$D$28,$D$29,U49))</f>
        <v/>
      </c>
      <c r="AA49" s="1336">
        <f>IF(_epmOfflineCondition_,1815565.59,EPMRetrieveData(,$AA$41,$AA$42,$AA$43,$AA$45,$Z$32,$D$21,$D$22,$D$25,$D$26,$D$27,$D$28,$D$29,U49))</f>
        <v/>
      </c>
      <c r="AB49" s="1336">
        <f>IF(_epmOfflineCondition_,6954.13,EPMRetrieveData(,$AB$41,$AB$42,$AB$43,$AB$45,$Z$32,$D$21,$D$22,$D$25,$D$26,$D$27,$D$28,$D$29,U49))</f>
        <v/>
      </c>
      <c r="AC49" s="1361">
        <f>ROUND(Z49/10000,2)</f>
        <v/>
      </c>
      <c r="AD49" s="1361">
        <f>ROUND(AA49/10000,2)</f>
        <v/>
      </c>
      <c r="AE49" s="1361">
        <f>ROUND(AB49/10000,2)</f>
        <v/>
      </c>
      <c r="AF49" s="575" t="n"/>
      <c r="AG49" s="575" t="n"/>
      <c r="AH49" s="575" t="n"/>
      <c r="AI49" s="575" t="n"/>
      <c r="AJ49" s="575" t="n"/>
      <c r="AK49" s="575" t="n"/>
      <c r="AL49" s="575" t="n"/>
      <c r="AM49" s="575" t="n"/>
      <c r="AN49" s="575" t="n"/>
      <c r="AO49" s="575" t="n"/>
      <c r="AP49" s="575" t="n"/>
      <c r="AQ49" s="575" t="n"/>
      <c r="AR49" s="575" t="n"/>
    </row>
    <row r="50" ht="16.15" customFormat="1" customHeight="1" s="575">
      <c r="A50" s="575" t="n"/>
      <c r="B50" s="575" t="n"/>
      <c r="C50" s="575" t="n"/>
      <c r="D50" s="575" t="n"/>
      <c r="E50" s="575" t="n"/>
      <c r="F50" s="575" t="n"/>
      <c r="G50" s="575" t="n"/>
      <c r="H50" s="575" t="n"/>
      <c r="I50" s="575" t="n"/>
      <c r="J50" s="575" t="n"/>
      <c r="K50" s="575" t="n"/>
      <c r="L50" s="575" t="n"/>
      <c r="M50" s="575" t="n"/>
      <c r="N50" s="575" t="n"/>
      <c r="O50" s="575" t="n"/>
      <c r="P50" s="575" t="n"/>
      <c r="Q50" s="575" t="n"/>
      <c r="R50" s="575" t="n"/>
      <c r="S50" s="726">
        <f>IF(_epmOfflineCondition_,"           销售费用",EPMMemberDesc(U50))</f>
        <v/>
      </c>
      <c r="T50" s="575" t="n"/>
      <c r="U50" s="575" t="inlineStr">
        <is>
          <t>A0020205</t>
        </is>
      </c>
      <c r="V50" s="587">
        <f>IF(_epmOfflineCondition_,"A0020205",EPMOlapMemberO(U50,"[C_ACCOUNT].[PARENTH1].[A0020205]","A0020205 -            销售费用","","000"))</f>
        <v/>
      </c>
      <c r="W50" s="726" t="n"/>
      <c r="X50" s="585" t="inlineStr">
        <is>
          <t>4. 销售费用</t>
        </is>
      </c>
      <c r="Y50" s="1312">
        <f>ROW()-45</f>
        <v/>
      </c>
      <c r="Z50" s="1336">
        <f>IF(_epmOfflineCondition_,0,EPMRetrieveData(,$Z$41,$Z$42,$Z$43,$Z$45,$Z$32,$D$21,$D$22,$D$25,$D$26,$D$27,$D$28,$D$29,U50))</f>
        <v/>
      </c>
      <c r="AA50" s="1336">
        <f>IF(_epmOfflineCondition_,0,EPMRetrieveData(,$AA$41,$AA$42,$AA$43,$AA$45,$Z$32,$D$21,$D$22,$D$25,$D$26,$D$27,$D$28,$D$29,U50))</f>
        <v/>
      </c>
      <c r="AB50" s="1336">
        <f>IF(_epmOfflineCondition_,0,EPMRetrieveData(,$AB$41,$AB$42,$AB$43,$AB$45,$Z$32,$D$21,$D$22,$D$25,$D$26,$D$27,$D$28,$D$29,U50))</f>
        <v/>
      </c>
      <c r="AC50" s="1361">
        <f>ROUND(Z50/10000,2)</f>
        <v/>
      </c>
      <c r="AD50" s="1361">
        <f>ROUND(AA50/10000,2)</f>
        <v/>
      </c>
      <c r="AE50" s="1361">
        <f>ROUND(AB50/10000,2)</f>
        <v/>
      </c>
      <c r="AF50" s="575" t="n"/>
      <c r="AG50" s="575" t="n"/>
      <c r="AH50" s="575" t="n"/>
      <c r="AI50" s="575" t="n"/>
      <c r="AJ50" s="575" t="n"/>
      <c r="AK50" s="575" t="n"/>
      <c r="AL50" s="575" t="n"/>
      <c r="AM50" s="575" t="n"/>
      <c r="AN50" s="575" t="n"/>
      <c r="AO50" s="575" t="n"/>
      <c r="AP50" s="575" t="n"/>
      <c r="AQ50" s="575" t="n"/>
      <c r="AR50" s="575" t="n"/>
    </row>
    <row r="51" ht="16.15" customFormat="1" customHeight="1" s="575">
      <c r="A51" s="575" t="n"/>
      <c r="B51" s="575" t="n"/>
      <c r="C51" s="575" t="n"/>
      <c r="D51" s="575" t="n"/>
      <c r="E51" s="575" t="n"/>
      <c r="F51" s="575" t="n"/>
      <c r="G51" s="575" t="n"/>
      <c r="H51" s="575" t="n"/>
      <c r="I51" s="575" t="n"/>
      <c r="J51" s="575" t="n"/>
      <c r="K51" s="575" t="n"/>
      <c r="L51" s="575" t="n"/>
      <c r="M51" s="575" t="n"/>
      <c r="N51" s="575" t="n"/>
      <c r="O51" s="575" t="n"/>
      <c r="P51" s="575" t="n"/>
      <c r="Q51" s="575" t="n"/>
      <c r="R51" s="575" t="n"/>
      <c r="S51" s="726">
        <f>IF(_epmOfflineCondition_,"　　    管理费用",EPMMemberDesc(U51))</f>
        <v/>
      </c>
      <c r="T51" s="575" t="n"/>
      <c r="U51" s="575" t="inlineStr">
        <is>
          <t>A0020206</t>
        </is>
      </c>
      <c r="V51" s="587">
        <f>IF(_epmOfflineCondition_,"A0020206",EPMOlapMemberO(U51,"[C_ACCOUNT].[PARENTH1].[A0020206]","A0020206 - 　　    管理费用","","000"))</f>
        <v/>
      </c>
      <c r="W51" s="726" t="n"/>
      <c r="X51" s="585" t="inlineStr">
        <is>
          <t>5. 管理费用</t>
        </is>
      </c>
      <c r="Y51" s="1312">
        <f>ROW()-45</f>
        <v/>
      </c>
      <c r="Z51" s="1336">
        <f>IF(_epmOfflineCondition_,0,EPMRetrieveData(,$Z$41,$Z$42,$Z$43,$Z$45,$Z$32,$D$21,$D$22,$D$25,$D$26,$D$27,$D$28,$D$29,U51))</f>
        <v/>
      </c>
      <c r="AA51" s="1336">
        <f>IF(_epmOfflineCondition_,0,EPMRetrieveData(,$AA$41,$AA$42,$AA$43,$AA$45,$Z$32,$D$21,$D$22,$D$25,$D$26,$D$27,$D$28,$D$29,U51))</f>
        <v/>
      </c>
      <c r="AB51" s="1336">
        <f>IF(_epmOfflineCondition_,0,EPMRetrieveData(,$AB$41,$AB$42,$AB$43,$AB$45,$Z$32,$D$21,$D$22,$D$25,$D$26,$D$27,$D$28,$D$29,U51))</f>
        <v/>
      </c>
      <c r="AC51" s="1361">
        <f>ROUND(Z51/10000,2)</f>
        <v/>
      </c>
      <c r="AD51" s="1361">
        <f>ROUND(AA51/10000,2)</f>
        <v/>
      </c>
      <c r="AE51" s="1361">
        <f>ROUND(AB51/10000,2)</f>
        <v/>
      </c>
      <c r="AF51" s="575" t="n"/>
      <c r="AG51" s="575" t="n"/>
      <c r="AH51" s="575" t="n"/>
      <c r="AI51" s="575" t="n"/>
      <c r="AJ51" s="575" t="n"/>
      <c r="AK51" s="575" t="n"/>
      <c r="AL51" s="575" t="n"/>
      <c r="AM51" s="575" t="n"/>
      <c r="AN51" s="575" t="n"/>
      <c r="AO51" s="575" t="n"/>
      <c r="AP51" s="575" t="n"/>
      <c r="AQ51" s="575" t="n"/>
      <c r="AR51" s="575" t="n"/>
    </row>
    <row r="52" ht="16.15" customFormat="1" customHeight="1" s="575">
      <c r="A52" s="575" t="n"/>
      <c r="B52" s="575" t="n"/>
      <c r="C52" s="575" t="n"/>
      <c r="D52" s="575" t="n"/>
      <c r="E52" s="575" t="n"/>
      <c r="F52" s="575" t="n"/>
      <c r="G52" s="575" t="n"/>
      <c r="H52" s="575" t="n"/>
      <c r="I52" s="575" t="n"/>
      <c r="J52" s="575" t="n"/>
      <c r="K52" s="575" t="n"/>
      <c r="L52" s="575" t="n"/>
      <c r="M52" s="575" t="n"/>
      <c r="N52" s="575" t="n"/>
      <c r="O52" s="575" t="n"/>
      <c r="P52" s="575" t="n"/>
      <c r="Q52" s="575" t="n"/>
      <c r="R52" s="575" t="n"/>
      <c r="S52" s="726">
        <f>IF(_epmOfflineCondition_,"           研发费用",EPMMemberDesc(U52))</f>
        <v/>
      </c>
      <c r="T52" s="575" t="n"/>
      <c r="U52" s="575" t="inlineStr">
        <is>
          <t>A0020207</t>
        </is>
      </c>
      <c r="V52" s="587">
        <f>IF(_epmOfflineCondition_,"A0020207",EPMOlapMemberO(U52,"[C_ACCOUNT].[PARENTH1].[A0020207]","A0020207 -            研发费用","","000"))</f>
        <v/>
      </c>
      <c r="W52" s="726" t="n"/>
      <c r="X52" s="585" t="inlineStr">
        <is>
          <t>6. 研发费用</t>
        </is>
      </c>
      <c r="Y52" s="1312">
        <f>ROW()-45</f>
        <v/>
      </c>
      <c r="Z52" s="1336">
        <f>IF(_epmOfflineCondition_,0,EPMRetrieveData(,$Z$41,$Z$42,$Z$43,$Z$45,$Z$32,$D$21,$D$22,$D$25,$D$26,$D$27,$D$28,$D$29,U52))</f>
        <v/>
      </c>
      <c r="AA52" s="1336">
        <f>IF(_epmOfflineCondition_,0,EPMRetrieveData(,$AA$41,$AA$42,$AA$43,$AA$45,$Z$32,$D$21,$D$22,$D$25,$D$26,$D$27,$D$28,$D$29,U52))</f>
        <v/>
      </c>
      <c r="AB52" s="1336">
        <f>IF(_epmOfflineCondition_,0,EPMRetrieveData(,$AB$41,$AB$42,$AB$43,$AB$45,$Z$32,$D$21,$D$22,$D$25,$D$26,$D$27,$D$28,$D$29,U52))</f>
        <v/>
      </c>
      <c r="AC52" s="1361">
        <f>ROUND(Z52/10000,2)</f>
        <v/>
      </c>
      <c r="AD52" s="1361">
        <f>ROUND(AA52/10000,2)</f>
        <v/>
      </c>
      <c r="AE52" s="1361">
        <f>ROUND(AB52/10000,2)</f>
        <v/>
      </c>
      <c r="AF52" s="575" t="n"/>
      <c r="AG52" s="575" t="n"/>
      <c r="AH52" s="575" t="n"/>
      <c r="AI52" s="575" t="n"/>
      <c r="AJ52" s="575" t="n"/>
      <c r="AK52" s="575" t="n"/>
      <c r="AL52" s="575" t="n"/>
      <c r="AM52" s="575" t="n"/>
      <c r="AN52" s="575" t="n"/>
      <c r="AO52" s="575" t="n"/>
      <c r="AP52" s="575" t="n"/>
      <c r="AQ52" s="575" t="n"/>
      <c r="AR52" s="575" t="n"/>
    </row>
    <row r="53" ht="16.15" customFormat="1" customHeight="1" s="575">
      <c r="A53" s="575" t="n"/>
      <c r="B53" s="575" t="n"/>
      <c r="C53" s="575" t="n"/>
      <c r="D53" s="575" t="n"/>
      <c r="E53" s="575" t="n"/>
      <c r="F53" s="575" t="n"/>
      <c r="G53" s="575" t="n"/>
      <c r="H53" s="575" t="n"/>
      <c r="I53" s="575" t="n"/>
      <c r="J53" s="575" t="n"/>
      <c r="K53" s="575" t="n"/>
      <c r="L53" s="575" t="n"/>
      <c r="M53" s="575" t="n"/>
      <c r="N53" s="575" t="n"/>
      <c r="O53" s="575" t="n"/>
      <c r="P53" s="575" t="n"/>
      <c r="Q53" s="575" t="n"/>
      <c r="R53" s="575" t="n"/>
      <c r="S53" s="726">
        <f>IF(_epmOfflineCondition_,"　　    财务费用",EPMMemberDesc(U53))</f>
        <v/>
      </c>
      <c r="T53" s="575" t="n"/>
      <c r="U53" s="575" t="inlineStr">
        <is>
          <t>A0020208</t>
        </is>
      </c>
      <c r="V53" s="587">
        <f>IF(_epmOfflineCondition_,"A0020208",EPMOlapMemberO(U53,"[C_ACCOUNT].[PARENTH1].[A0020208]","A0020208 - 　　    财务费用","","000"))</f>
        <v/>
      </c>
      <c r="W53" s="726" t="n"/>
      <c r="X53" s="585" t="inlineStr">
        <is>
          <t>7. 财务费用</t>
        </is>
      </c>
      <c r="Y53" s="1312">
        <f>ROW()-45</f>
        <v/>
      </c>
      <c r="Z53" s="1336">
        <f>IF(_epmOfflineCondition_,2263016.19,EPMRetrieveData(,$Z$41,$Z$42,$Z$43,$Z$45,$Z$32,$D$21,$D$22,$D$25,$D$26,$D$27,$D$28,$D$29,U53))</f>
        <v/>
      </c>
      <c r="AA53" s="1336">
        <f>IF(_epmOfflineCondition_,6988516.48,EPMRetrieveData(,$AA$41,$AA$42,$AA$43,$AA$45,$Z$32,$D$21,$D$22,$D$25,$D$26,$D$27,$D$28,$D$29,U53))</f>
        <v/>
      </c>
      <c r="AB53" s="1336">
        <f>IF(_epmOfflineCondition_,0,EPMRetrieveData(,$AB$41,$AB$42,$AB$43,$AB$45,$Z$32,$D$21,$D$22,$D$25,$D$26,$D$27,$D$28,$D$29,U53))</f>
        <v/>
      </c>
      <c r="AC53" s="1361">
        <f>ROUND(Z53/10000,2)</f>
        <v/>
      </c>
      <c r="AD53" s="1361">
        <f>ROUND(AA53/10000,2)</f>
        <v/>
      </c>
      <c r="AE53" s="1361">
        <f>ROUND(AB53/10000,2)</f>
        <v/>
      </c>
      <c r="AF53" s="575" t="n"/>
      <c r="AG53" s="575" t="n"/>
      <c r="AH53" s="575" t="n"/>
      <c r="AI53" s="575" t="n"/>
      <c r="AJ53" s="575" t="n"/>
      <c r="AK53" s="575" t="n"/>
      <c r="AL53" s="575" t="n"/>
      <c r="AM53" s="575" t="n"/>
      <c r="AN53" s="575" t="n"/>
      <c r="AO53" s="575" t="n"/>
      <c r="AP53" s="575" t="n"/>
      <c r="AQ53" s="575" t="n"/>
      <c r="AR53" s="575" t="n"/>
    </row>
    <row r="54" ht="16.15" customFormat="1" customHeight="1" s="575">
      <c r="A54" s="575" t="n"/>
      <c r="B54" s="575" t="n"/>
      <c r="C54" s="575" t="n"/>
      <c r="D54" s="575" t="n"/>
      <c r="E54" s="575" t="n"/>
      <c r="F54" s="575" t="n"/>
      <c r="G54" s="575" t="n"/>
      <c r="H54" s="575" t="n"/>
      <c r="I54" s="575" t="n"/>
      <c r="J54" s="575" t="n"/>
      <c r="K54" s="575" t="n"/>
      <c r="L54" s="575" t="n"/>
      <c r="M54" s="575" t="n"/>
      <c r="N54" s="575" t="n"/>
      <c r="O54" s="575" t="n"/>
      <c r="P54" s="575" t="n"/>
      <c r="Q54" s="575" t="n"/>
      <c r="R54" s="575" t="n"/>
      <c r="S54" s="726">
        <f>IF(_epmOfflineCondition_,"财务费用-利息费用",EPMMemberDesc(U54))</f>
        <v/>
      </c>
      <c r="T54" s="575" t="n"/>
      <c r="U54" s="575" t="inlineStr">
        <is>
          <t>A660302</t>
        </is>
      </c>
      <c r="V54" s="586">
        <f>IF(_epmOfflineCondition_,"A660302",EPMOlapMemberO(U54,"[C_ACCOUNT].[PARENTH1].[A660302]","A660302 - 财务费用-利息费用","","000"))</f>
        <v/>
      </c>
      <c r="W54" s="726" t="n"/>
      <c r="X54" s="588" t="inlineStr">
        <is>
          <t xml:space="preserve">    其中：利息费用</t>
        </is>
      </c>
      <c r="Y54" s="1312">
        <f>ROW()-45</f>
        <v/>
      </c>
      <c r="Z54" s="1336">
        <f>IF(_epmOfflineCondition_,2290986.12,EPMRetrieveData(,$Z$41,$Z$42,$Z$43,$Z$45,$Z$32,$D$21,$D$22,$D$25,$D$26,$D$27,$D$28,$D$29,U54))</f>
        <v/>
      </c>
      <c r="AA54" s="1336">
        <f>IF(_epmOfflineCondition_,7012916.67,EPMRetrieveData(,$AA$41,$AA$42,$AA$43,$AA$45,$Z$32,$D$21,$D$22,$D$25,$D$26,$D$27,$D$28,$D$29,U54))</f>
        <v/>
      </c>
      <c r="AB54" s="1336">
        <f>IF(_epmOfflineCondition_,0,EPMRetrieveData(,$AB$41,$AB$42,$AB$43,$AB$45,$Z$32,$D$21,$D$22,$D$25,$D$26,$D$27,$D$28,$D$29,U54))</f>
        <v/>
      </c>
      <c r="AC54" s="1361">
        <f>ROUND(Z54/10000,2)</f>
        <v/>
      </c>
      <c r="AD54" s="1361">
        <f>ROUND(AA54/10000,2)</f>
        <v/>
      </c>
      <c r="AE54" s="1361">
        <f>ROUND(AB54/10000,2)</f>
        <v/>
      </c>
      <c r="AF54" s="575" t="n"/>
      <c r="AG54" s="575" t="n"/>
      <c r="AH54" s="575" t="n"/>
      <c r="AI54" s="575" t="n"/>
      <c r="AJ54" s="575" t="n"/>
      <c r="AK54" s="575" t="n"/>
      <c r="AL54" s="575" t="n"/>
      <c r="AM54" s="575" t="n"/>
      <c r="AN54" s="575" t="n"/>
      <c r="AO54" s="575" t="n"/>
      <c r="AP54" s="575" t="n"/>
      <c r="AQ54" s="575" t="n"/>
      <c r="AR54" s="575" t="n"/>
    </row>
    <row r="55" ht="16.15" customFormat="1" customHeight="1" s="575">
      <c r="A55" s="575" t="n"/>
      <c r="B55" s="575" t="n"/>
      <c r="C55" s="575" t="n"/>
      <c r="D55" s="575" t="n"/>
      <c r="E55" s="575" t="n"/>
      <c r="F55" s="575" t="n"/>
      <c r="G55" s="575" t="n"/>
      <c r="H55" s="575" t="n"/>
      <c r="I55" s="575" t="n"/>
      <c r="J55" s="575" t="n"/>
      <c r="K55" s="575" t="n"/>
      <c r="L55" s="575" t="n"/>
      <c r="M55" s="575" t="n"/>
      <c r="N55" s="575" t="n"/>
      <c r="O55" s="575" t="n"/>
      <c r="P55" s="575" t="n"/>
      <c r="Q55" s="575" t="n"/>
      <c r="R55" s="575" t="n"/>
      <c r="S55" s="726">
        <f>IF(_epmOfflineCondition_,"财务费用-汇兑损益",EPMMemberDesc(U55))</f>
        <v/>
      </c>
      <c r="T55" s="575" t="n"/>
      <c r="U55" s="575" t="inlineStr">
        <is>
          <t>A6603030000</t>
        </is>
      </c>
      <c r="V55" s="589">
        <f>IF(_epmOfflineCondition_,"A6603030000",EPMOlapMemberO(U55,"[C_ACCOUNT].[PARENTH1].[A6603030000]","A6603030000 - 财务费用-汇兑损益","","000"))</f>
        <v/>
      </c>
      <c r="W55" s="726" t="n"/>
      <c r="X55" s="457" t="inlineStr">
        <is>
          <t xml:space="preserve">            汇兑净损失（净收益以“-”号填列）</t>
        </is>
      </c>
      <c r="Y55" s="1312">
        <f>ROW()-45</f>
        <v/>
      </c>
      <c r="Z55" s="1336">
        <f>IF(_epmOfflineCondition_,0,EPMRetrieveData(,$Z$41,$Z$42,$Z$43,$Z$45,$Z$32,$D$21,$D$22,$D$25,$D$26,$D$27,$D$28,$D$29,U55))</f>
        <v/>
      </c>
      <c r="AA55" s="1336">
        <f>IF(_epmOfflineCondition_,0,EPMRetrieveData(,$AA$41,$AA$42,$AA$43,$AA$45,$Z$32,$D$21,$D$22,$D$25,$D$26,$D$27,$D$28,$D$29,U55))</f>
        <v/>
      </c>
      <c r="AB55" s="1336">
        <f>IF(_epmOfflineCondition_,0,EPMRetrieveData(,$AB$41,$AB$42,$AB$43,$AB$45,$Z$32,$D$21,$D$22,$D$25,$D$26,$D$27,$D$28,$D$29,U55))</f>
        <v/>
      </c>
      <c r="AC55" s="1361">
        <f>ROUND(Z55/10000,2)</f>
        <v/>
      </c>
      <c r="AD55" s="1361">
        <f>ROUND(AA55/10000,2)</f>
        <v/>
      </c>
      <c r="AE55" s="1361">
        <f>ROUND(AB55/10000,2)</f>
        <v/>
      </c>
      <c r="AF55" s="575" t="n"/>
      <c r="AG55" s="575" t="n"/>
      <c r="AH55" s="575" t="n"/>
      <c r="AI55" s="575" t="n"/>
      <c r="AJ55" s="575" t="n"/>
      <c r="AK55" s="575" t="n"/>
      <c r="AL55" s="575" t="n"/>
      <c r="AM55" s="575" t="n"/>
      <c r="AN55" s="575" t="n"/>
      <c r="AO55" s="575" t="n"/>
      <c r="AP55" s="575" t="n"/>
      <c r="AQ55" s="575" t="n"/>
      <c r="AR55" s="575" t="n"/>
    </row>
    <row r="56" ht="16.15" customFormat="1" customHeight="1" s="575">
      <c r="A56" s="575" t="n"/>
      <c r="B56" s="575" t="n"/>
      <c r="C56" s="575" t="n"/>
      <c r="D56" s="575" t="n"/>
      <c r="E56" s="575" t="n"/>
      <c r="F56" s="575" t="n"/>
      <c r="G56" s="575" t="n"/>
      <c r="H56" s="575" t="n"/>
      <c r="I56" s="575" t="n"/>
      <c r="J56" s="575" t="n"/>
      <c r="K56" s="575" t="n"/>
      <c r="L56" s="575" t="n"/>
      <c r="M56" s="575" t="n"/>
      <c r="N56" s="575" t="n"/>
      <c r="O56" s="575" t="n"/>
      <c r="P56" s="575" t="n"/>
      <c r="Q56" s="575" t="n"/>
      <c r="R56" s="575" t="n"/>
      <c r="S56" s="726">
        <f>IF(_epmOfflineCondition_,"    加：其他收益",EPMMemberDesc(U56))</f>
        <v/>
      </c>
      <c r="T56" s="575" t="n"/>
      <c r="U56" s="575" t="inlineStr">
        <is>
          <t>A0020211</t>
        </is>
      </c>
      <c r="V56" s="584">
        <f>IF(_epmOfflineCondition_,"A0020211",EPMOlapMemberO(U56,"[C_ACCOUNT].[PARENTH1].[A0020211]","A0020211 -     加：其他收益","","000"))</f>
        <v/>
      </c>
      <c r="W56" s="726" t="n"/>
      <c r="X56" s="585" t="inlineStr">
        <is>
          <t>8. 其他收益</t>
        </is>
      </c>
      <c r="Y56" s="1312">
        <f>ROW()-45</f>
        <v/>
      </c>
      <c r="Z56" s="1336">
        <f>IF(_epmOfflineCondition_,0,EPMRetrieveData(,$Z$41,$Z$42,$Z$43,$Z$45,$Z$32,$D$21,$D$22,$D$25,$D$26,$D$27,$D$28,$D$29,U56))</f>
        <v/>
      </c>
      <c r="AA56" s="1336">
        <f>IF(_epmOfflineCondition_,0,EPMRetrieveData(,$AA$41,$AA$42,$AA$43,$AA$45,$Z$32,$D$21,$D$22,$D$25,$D$26,$D$27,$D$28,$D$29,U56))</f>
        <v/>
      </c>
      <c r="AB56" s="1336">
        <f>IF(_epmOfflineCondition_,0,EPMRetrieveData(,$AB$41,$AB$42,$AB$43,$AB$45,$Z$32,$D$21,$D$22,$D$25,$D$26,$D$27,$D$28,$D$29,U56))</f>
        <v/>
      </c>
      <c r="AC56" s="1361">
        <f>ROUND(Z56/10000,2)</f>
        <v/>
      </c>
      <c r="AD56" s="1361">
        <f>ROUND(AA56/10000,2)</f>
        <v/>
      </c>
      <c r="AE56" s="1361">
        <f>ROUND(AB56/10000,2)</f>
        <v/>
      </c>
      <c r="AF56" s="575" t="n"/>
      <c r="AG56" s="575" t="n"/>
      <c r="AH56" s="575" t="n"/>
      <c r="AI56" s="575" t="n"/>
      <c r="AJ56" s="575" t="n"/>
      <c r="AK56" s="575" t="n"/>
      <c r="AL56" s="575" t="n"/>
      <c r="AM56" s="575" t="n"/>
      <c r="AN56" s="575" t="n"/>
      <c r="AO56" s="575" t="n"/>
      <c r="AP56" s="575" t="n"/>
      <c r="AQ56" s="575" t="n"/>
      <c r="AR56" s="575" t="n"/>
    </row>
    <row r="57" ht="16.15" customFormat="1" customHeight="1" s="575">
      <c r="A57" s="575" t="n"/>
      <c r="B57" s="575" t="n"/>
      <c r="C57" s="575" t="n"/>
      <c r="D57" s="575" t="n"/>
      <c r="E57" s="575" t="n"/>
      <c r="F57" s="575" t="n"/>
      <c r="G57" s="575" t="n"/>
      <c r="H57" s="575" t="n"/>
      <c r="I57" s="575" t="n"/>
      <c r="J57" s="575" t="n"/>
      <c r="K57" s="575" t="n"/>
      <c r="L57" s="575" t="n"/>
      <c r="M57" s="575" t="n"/>
      <c r="N57" s="575" t="n"/>
      <c r="O57" s="575" t="n"/>
      <c r="P57" s="575" t="n"/>
      <c r="Q57" s="575" t="n"/>
      <c r="R57" s="575" t="n"/>
      <c r="S57" s="726">
        <f>IF(_epmOfflineCondition_,"　      投资收益（损失以“-”号填列）",EPMMemberDesc(U57))</f>
        <v/>
      </c>
      <c r="T57" s="575" t="n"/>
      <c r="U57" s="575" t="inlineStr">
        <is>
          <t>A0020212</t>
        </is>
      </c>
      <c r="V57" s="584">
        <f>IF(_epmOfflineCondition_,"A0020212",EPMOlapMemberO(U57,"[C_ACCOUNT].[PARENTH1].[A0020212]","A0020212 - 　      投资收益（损失以“-""号填列）","","000"))</f>
        <v/>
      </c>
      <c r="W57" s="726" t="n"/>
      <c r="X57" s="585" t="inlineStr">
        <is>
          <t>9. 投资收益（损失以“-”号填列）</t>
        </is>
      </c>
      <c r="Y57" s="1312">
        <f>ROW()-45</f>
        <v/>
      </c>
      <c r="Z57" s="1336">
        <f>IF(_epmOfflineCondition_,0,EPMRetrieveData(,$Z$41,$Z$42,$Z$43,$Z$45,$Z$32,$D$21,$D$22,$D$25,$D$26,$D$27,$D$28,$D$29,U57))</f>
        <v/>
      </c>
      <c r="AA57" s="1336">
        <f>IF(_epmOfflineCondition_,0,EPMRetrieveData(,$AA$41,$AA$42,$AA$43,$AA$45,$Z$32,$D$21,$D$22,$D$25,$D$26,$D$27,$D$28,$D$29,U57))</f>
        <v/>
      </c>
      <c r="AB57" s="1336">
        <f>IF(_epmOfflineCondition_,0,EPMRetrieveData(,$AB$41,$AB$42,$AB$43,$AB$45,$Z$32,$D$21,$D$22,$D$25,$D$26,$D$27,$D$28,$D$29,U57))</f>
        <v/>
      </c>
      <c r="AC57" s="1361">
        <f>ROUND(Z57/10000,2)</f>
        <v/>
      </c>
      <c r="AD57" s="1361">
        <f>ROUND(AA57/10000,2)</f>
        <v/>
      </c>
      <c r="AE57" s="1361">
        <f>ROUND(AB57/10000,2)</f>
        <v/>
      </c>
      <c r="AF57" s="575" t="n"/>
      <c r="AG57" s="575" t="n"/>
      <c r="AH57" s="575" t="n"/>
      <c r="AI57" s="575" t="n"/>
      <c r="AJ57" s="575" t="n"/>
      <c r="AK57" s="575" t="n"/>
      <c r="AL57" s="575" t="n"/>
      <c r="AM57" s="575" t="n"/>
      <c r="AN57" s="575" t="n"/>
      <c r="AO57" s="575" t="n"/>
      <c r="AP57" s="575" t="n"/>
      <c r="AQ57" s="575" t="n"/>
      <c r="AR57" s="575" t="n"/>
    </row>
    <row r="58" ht="16.15" customFormat="1" customHeight="1" s="575">
      <c r="A58" s="575" t="n"/>
      <c r="B58" s="575" t="n"/>
      <c r="C58" s="575" t="n"/>
      <c r="D58" s="575" t="n"/>
      <c r="E58" s="575" t="n"/>
      <c r="F58" s="575" t="n"/>
      <c r="G58" s="575" t="n"/>
      <c r="H58" s="575" t="n"/>
      <c r="I58" s="575" t="n"/>
      <c r="J58" s="575" t="n"/>
      <c r="K58" s="575" t="n"/>
      <c r="L58" s="575" t="n"/>
      <c r="M58" s="575" t="n"/>
      <c r="N58" s="575" t="n"/>
      <c r="O58" s="575" t="n"/>
      <c r="P58" s="575" t="n"/>
      <c r="Q58" s="575" t="n"/>
      <c r="R58" s="575" t="n"/>
      <c r="S58" s="726">
        <f>IF(_epmOfflineCondition_,"          其中：对联营企业和合营企业的投资收益",EPMMemberDesc(U58))</f>
        <v/>
      </c>
      <c r="T58" s="575" t="n"/>
      <c r="U58" s="575" t="inlineStr">
        <is>
          <t>A002021201</t>
        </is>
      </c>
      <c r="V58" s="586">
        <f>IF(_epmOfflineCondition_,"A002021201",EPMOlapMemberO(U58,"[C_ACCOUNT].[PARENTH1].[A002021201]","A002021201 -           其中：对联营企业和合营企业的投资收益","","000"))</f>
        <v/>
      </c>
      <c r="W58" s="726" t="n"/>
      <c r="X58" s="588" t="inlineStr">
        <is>
          <t>其中：对联营企业和合营企业的投资收益</t>
        </is>
      </c>
      <c r="Y58" s="1312">
        <f>ROW()-45</f>
        <v/>
      </c>
      <c r="Z58" s="1336">
        <f>IF(_epmOfflineCondition_,0,EPMRetrieveData(,$Z$41,$Z$42,$Z$43,$Z$45,$Z$32,$D$21,$D$22,$D$25,$D$26,$D$27,$D$28,$D$29,U58))</f>
        <v/>
      </c>
      <c r="AA58" s="1336">
        <f>IF(_epmOfflineCondition_,0,EPMRetrieveData(,$AA$41,$AA$42,$AA$43,$AA$45,$Z$32,$D$21,$D$22,$D$25,$D$26,$D$27,$D$28,$D$29,U58))</f>
        <v/>
      </c>
      <c r="AB58" s="1336">
        <f>IF(_epmOfflineCondition_,0,EPMRetrieveData(,$AB$41,$AB$42,$AB$43,$AB$45,$Z$32,$D$21,$D$22,$D$25,$D$26,$D$27,$D$28,$D$29,U58))</f>
        <v/>
      </c>
      <c r="AC58" s="1361">
        <f>ROUND(Z58/10000,2)</f>
        <v/>
      </c>
      <c r="AD58" s="1361">
        <f>ROUND(AA58/10000,2)</f>
        <v/>
      </c>
      <c r="AE58" s="1361">
        <f>ROUND(AB58/10000,2)</f>
        <v/>
      </c>
      <c r="AF58" s="575" t="n"/>
      <c r="AG58" s="575" t="n"/>
      <c r="AH58" s="575" t="n"/>
      <c r="AI58" s="575" t="n"/>
      <c r="AJ58" s="575" t="n"/>
      <c r="AK58" s="575" t="n"/>
      <c r="AL58" s="575" t="n"/>
      <c r="AM58" s="575" t="n"/>
      <c r="AN58" s="575" t="n"/>
      <c r="AO58" s="575" t="n"/>
      <c r="AP58" s="575" t="n"/>
      <c r="AQ58" s="575" t="n"/>
      <c r="AR58" s="575" t="n"/>
    </row>
    <row r="59" ht="16.15" customFormat="1" customHeight="1" s="575">
      <c r="A59" s="575" t="n"/>
      <c r="B59" s="575" t="n"/>
      <c r="C59" s="575" t="n"/>
      <c r="D59" s="575" t="n"/>
      <c r="E59" s="575" t="n"/>
      <c r="F59" s="575" t="n"/>
      <c r="G59" s="575" t="n"/>
      <c r="H59" s="575" t="n"/>
      <c r="I59" s="575" t="n"/>
      <c r="J59" s="575" t="n"/>
      <c r="K59" s="575" t="n"/>
      <c r="L59" s="575" t="n"/>
      <c r="M59" s="575" t="n"/>
      <c r="N59" s="575" t="n"/>
      <c r="O59" s="575" t="n"/>
      <c r="P59" s="575" t="n"/>
      <c r="Q59" s="575" t="n"/>
      <c r="R59" s="575" t="n"/>
      <c r="S59" s="726">
        <f>IF(_epmOfflineCondition_,"        公允价值变动收益（损失以“-”号填列）",EPMMemberDesc(U59))</f>
        <v/>
      </c>
      <c r="T59" s="575" t="n"/>
      <c r="U59" s="575" t="inlineStr">
        <is>
          <t>A0020215</t>
        </is>
      </c>
      <c r="V59" s="584">
        <f>IF(_epmOfflineCondition_,"A0020215",EPMOlapMemberO(U59,"[C_ACCOUNT].[PARENTH1].[A0020215]","A0020215 -         公允价值变动收益（损失以“-""号填列）","","000"))</f>
        <v/>
      </c>
      <c r="W59" s="726" t="n"/>
      <c r="X59" s="585" t="inlineStr">
        <is>
          <t>10. 公允价值变动收益（损失以“-”号填列）</t>
        </is>
      </c>
      <c r="Y59" s="1312">
        <f>ROW()-45</f>
        <v/>
      </c>
      <c r="Z59" s="1336">
        <f>IF(_epmOfflineCondition_,0,EPMRetrieveData(,$Z$41,$Z$42,$Z$43,$Z$45,$Z$32,$D$21,$D$22,$D$25,$D$26,$D$27,$D$28,$D$29,U59))</f>
        <v/>
      </c>
      <c r="AA59" s="1336">
        <f>IF(_epmOfflineCondition_,0,EPMRetrieveData(,$AA$41,$AA$42,$AA$43,$AA$45,$Z$32,$D$21,$D$22,$D$25,$D$26,$D$27,$D$28,$D$29,U59))</f>
        <v/>
      </c>
      <c r="AB59" s="1336">
        <f>IF(_epmOfflineCondition_,0,EPMRetrieveData(,$AB$41,$AB$42,$AB$43,$AB$45,$Z$32,$D$21,$D$22,$D$25,$D$26,$D$27,$D$28,$D$29,U59))</f>
        <v/>
      </c>
      <c r="AC59" s="1361">
        <f>ROUND(Z59/10000,2)</f>
        <v/>
      </c>
      <c r="AD59" s="1361">
        <f>ROUND(AA59/10000,2)</f>
        <v/>
      </c>
      <c r="AE59" s="1361">
        <f>ROUND(AB59/10000,2)</f>
        <v/>
      </c>
      <c r="AF59" s="575" t="n"/>
      <c r="AG59" s="575" t="n"/>
      <c r="AH59" s="575" t="n"/>
      <c r="AI59" s="575" t="n"/>
      <c r="AJ59" s="575" t="n"/>
      <c r="AK59" s="575" t="n"/>
      <c r="AL59" s="575" t="n"/>
      <c r="AM59" s="575" t="n"/>
      <c r="AN59" s="575" t="n"/>
      <c r="AO59" s="575" t="n"/>
      <c r="AP59" s="575" t="n"/>
      <c r="AQ59" s="575" t="n"/>
      <c r="AR59" s="575" t="n"/>
    </row>
    <row r="60" ht="16.15" customFormat="1" customHeight="1" s="575">
      <c r="A60" s="575" t="n"/>
      <c r="B60" s="575" t="n"/>
      <c r="C60" s="575" t="n"/>
      <c r="D60" s="575" t="n"/>
      <c r="E60" s="575" t="n"/>
      <c r="F60" s="575" t="n"/>
      <c r="G60" s="575" t="n"/>
      <c r="H60" s="575" t="n"/>
      <c r="I60" s="575" t="n"/>
      <c r="J60" s="575" t="n"/>
      <c r="K60" s="575" t="n"/>
      <c r="L60" s="575" t="n"/>
      <c r="M60" s="575" t="n"/>
      <c r="N60" s="575" t="n"/>
      <c r="O60" s="575" t="n"/>
      <c r="P60" s="575" t="n"/>
      <c r="Q60" s="575" t="n"/>
      <c r="R60" s="575" t="n"/>
      <c r="S60" s="726">
        <f>IF(_epmOfflineCondition_,"        信用减值损失（损失以“-”号填列）",EPMMemberDesc(U60))</f>
        <v/>
      </c>
      <c r="T60" s="575" t="n"/>
      <c r="U60" s="575" t="inlineStr">
        <is>
          <t>A0020210</t>
        </is>
      </c>
      <c r="V60" s="584">
        <f>IF(_epmOfflineCondition_,"A0020210",EPMOlapMemberO(U60,"[C_ACCOUNT].[PARENTH1].[A0020210]","A0020210 -         信用减值损失（损失以“-""号填列）","","000"))</f>
        <v/>
      </c>
      <c r="W60" s="726" t="n"/>
      <c r="X60" s="585" t="inlineStr">
        <is>
          <t>11. 信用减值损失（损失以“-”号填列）</t>
        </is>
      </c>
      <c r="Y60" s="1312">
        <f>ROW()-45</f>
        <v/>
      </c>
      <c r="Z60" s="1336">
        <f>IF(_epmOfflineCondition_,0,EPMRetrieveData(,$Z$41,$Z$42,$Z$43,$Z$45,$Z$32,$D$21,$D$22,$D$25,$D$26,$D$27,$D$28,$D$29,U60))</f>
        <v/>
      </c>
      <c r="AA60" s="1336">
        <f>IF(_epmOfflineCondition_,0,EPMRetrieveData(,$AA$41,$AA$42,$AA$43,$AA$45,$Z$32,$D$21,$D$22,$D$25,$D$26,$D$27,$D$28,$D$29,U60))</f>
        <v/>
      </c>
      <c r="AB60" s="1336">
        <f>IF(_epmOfflineCondition_,0,EPMRetrieveData(,$AB$41,$AB$42,$AB$43,$AB$45,$Z$32,$D$21,$D$22,$D$25,$D$26,$D$27,$D$28,$D$29,U60))</f>
        <v/>
      </c>
      <c r="AC60" s="1361">
        <f>ROUND(Z60/10000,2)</f>
        <v/>
      </c>
      <c r="AD60" s="1361">
        <f>ROUND(AA60/10000,2)</f>
        <v/>
      </c>
      <c r="AE60" s="1361">
        <f>ROUND(AB60/10000,2)</f>
        <v/>
      </c>
      <c r="AF60" s="575" t="n"/>
      <c r="AG60" s="575" t="n"/>
      <c r="AH60" s="575" t="n"/>
      <c r="AI60" s="575" t="n"/>
      <c r="AJ60" s="575" t="n"/>
      <c r="AK60" s="575" t="n"/>
      <c r="AL60" s="575" t="n"/>
      <c r="AM60" s="575" t="n"/>
      <c r="AN60" s="575" t="n"/>
      <c r="AO60" s="575" t="n"/>
      <c r="AP60" s="575" t="n"/>
      <c r="AQ60" s="575" t="n"/>
      <c r="AR60" s="575" t="n"/>
    </row>
    <row r="61" ht="16.15" customFormat="1" customHeight="1" s="575">
      <c r="A61" s="575" t="n"/>
      <c r="B61" s="575" t="n"/>
      <c r="C61" s="575" t="n"/>
      <c r="D61" s="575" t="n"/>
      <c r="E61" s="575" t="n"/>
      <c r="F61" s="575" t="n"/>
      <c r="G61" s="575" t="n"/>
      <c r="H61" s="575" t="n"/>
      <c r="I61" s="575" t="n"/>
      <c r="J61" s="575" t="n"/>
      <c r="K61" s="575" t="n"/>
      <c r="L61" s="575" t="n"/>
      <c r="M61" s="575" t="n"/>
      <c r="N61" s="575" t="n"/>
      <c r="O61" s="575" t="n"/>
      <c r="P61" s="575" t="n"/>
      <c r="Q61" s="575" t="n"/>
      <c r="R61" s="575" t="n"/>
      <c r="S61" s="726">
        <f>IF(_epmOfflineCondition_,"        资产减值损失（损失以“-”号填列）",EPMMemberDesc(U61))</f>
        <v/>
      </c>
      <c r="T61" s="575" t="n"/>
      <c r="U61" s="575" t="inlineStr">
        <is>
          <t>A0020209</t>
        </is>
      </c>
      <c r="V61" s="584">
        <f>IF(_epmOfflineCondition_,"A0020209",EPMOlapMemberO(U61,"[C_ACCOUNT].[PARENTH1].[A0020209]","A0020209 -         资产减值损失（损失以“-""号填列）","","000"))</f>
        <v/>
      </c>
      <c r="W61" s="726" t="n"/>
      <c r="X61" s="585" t="inlineStr">
        <is>
          <t>12. 资产减值损失（损失以“-”号填列）</t>
        </is>
      </c>
      <c r="Y61" s="1312">
        <f>ROW()-45</f>
        <v/>
      </c>
      <c r="Z61" s="1336">
        <f>IF(_epmOfflineCondition_,0,EPMRetrieveData(,$Z$41,$Z$42,$Z$43,$Z$45,$Z$32,$D$21,$D$22,$D$25,$D$26,$D$27,$D$28,$D$29,U61))</f>
        <v/>
      </c>
      <c r="AA61" s="1336">
        <f>IF(_epmOfflineCondition_,0,EPMRetrieveData(,$AA$41,$AA$42,$AA$43,$AA$45,$Z$32,$D$21,$D$22,$D$25,$D$26,$D$27,$D$28,$D$29,U61))</f>
        <v/>
      </c>
      <c r="AB61" s="1336">
        <f>IF(_epmOfflineCondition_,0,EPMRetrieveData(,$AB$41,$AB$42,$AB$43,$AB$45,$Z$32,$D$21,$D$22,$D$25,$D$26,$D$27,$D$28,$D$29,U61))</f>
        <v/>
      </c>
      <c r="AC61" s="1361">
        <f>ROUND(Z61/10000,2)</f>
        <v/>
      </c>
      <c r="AD61" s="1361">
        <f>ROUND(AA61/10000,2)</f>
        <v/>
      </c>
      <c r="AE61" s="1361">
        <f>ROUND(AB61/10000,2)</f>
        <v/>
      </c>
      <c r="AF61" s="575" t="n"/>
      <c r="AG61" s="575" t="n"/>
      <c r="AH61" s="575" t="n"/>
      <c r="AI61" s="575" t="n"/>
      <c r="AJ61" s="575" t="n"/>
      <c r="AK61" s="575" t="n"/>
      <c r="AL61" s="575" t="n"/>
      <c r="AM61" s="575" t="n"/>
      <c r="AN61" s="575" t="n"/>
      <c r="AO61" s="575" t="n"/>
      <c r="AP61" s="575" t="n"/>
      <c r="AQ61" s="575" t="n"/>
      <c r="AR61" s="575" t="n"/>
    </row>
    <row r="62" ht="16.15" customFormat="1" customHeight="1" s="575">
      <c r="A62" s="575" t="n"/>
      <c r="B62" s="575" t="n"/>
      <c r="C62" s="575" t="n"/>
      <c r="D62" s="575" t="n"/>
      <c r="E62" s="575" t="n"/>
      <c r="F62" s="575" t="n"/>
      <c r="G62" s="575" t="n"/>
      <c r="H62" s="575" t="n"/>
      <c r="I62" s="575" t="n"/>
      <c r="J62" s="575" t="n"/>
      <c r="K62" s="575" t="n"/>
      <c r="L62" s="575" t="n"/>
      <c r="M62" s="575" t="n"/>
      <c r="N62" s="575" t="n"/>
      <c r="O62" s="575" t="n"/>
      <c r="P62" s="575" t="n"/>
      <c r="Q62" s="575" t="n"/>
      <c r="R62" s="575" t="n"/>
      <c r="S62" s="726">
        <f>IF(_epmOfflineCondition_,"        资产处置收益（损失以“-”号填列）",EPMMemberDesc(U62))</f>
        <v/>
      </c>
      <c r="T62" s="575" t="n"/>
      <c r="U62" s="575" t="inlineStr">
        <is>
          <t>A0020216</t>
        </is>
      </c>
      <c r="V62" s="584">
        <f>IF(_epmOfflineCondition_,"A0020216",EPMOlapMemberO(U62,"[C_ACCOUNT].[PARENTH1].[A0020216]","A0020216 -         资产处置收益（损失以“-""号填列）","","000"))</f>
        <v/>
      </c>
      <c r="W62" s="726" t="n"/>
      <c r="X62" s="585" t="inlineStr">
        <is>
          <t>13. 资产处置收益（损失以“-”号填列）</t>
        </is>
      </c>
      <c r="Y62" s="1312">
        <f>ROW()-45</f>
        <v/>
      </c>
      <c r="Z62" s="1336">
        <f>IF(_epmOfflineCondition_,0,EPMRetrieveData(,$Z$41,$Z$42,$Z$43,$Z$45,$Z$32,$D$21,$D$22,$D$25,$D$26,$D$27,$D$28,$D$29,U62))</f>
        <v/>
      </c>
      <c r="AA62" s="1336">
        <f>IF(_epmOfflineCondition_,0,EPMRetrieveData(,$AA$41,$AA$42,$AA$43,$AA$45,$Z$32,$D$21,$D$22,$D$25,$D$26,$D$27,$D$28,$D$29,U62))</f>
        <v/>
      </c>
      <c r="AB62" s="1336">
        <f>IF(_epmOfflineCondition_,0,EPMRetrieveData(,$AB$41,$AB$42,$AB$43,$AB$45,$Z$32,$D$21,$D$22,$D$25,$D$26,$D$27,$D$28,$D$29,U62))</f>
        <v/>
      </c>
      <c r="AC62" s="1361">
        <f>ROUND(Z62/10000,2)</f>
        <v/>
      </c>
      <c r="AD62" s="1361">
        <f>ROUND(AA62/10000,2)</f>
        <v/>
      </c>
      <c r="AE62" s="1361">
        <f>ROUND(AB62/10000,2)</f>
        <v/>
      </c>
      <c r="AF62" s="575" t="n"/>
      <c r="AG62" s="575" t="n"/>
      <c r="AH62" s="575" t="n"/>
      <c r="AI62" s="575" t="n"/>
      <c r="AJ62" s="575" t="n"/>
      <c r="AK62" s="575" t="n"/>
      <c r="AL62" s="575" t="n"/>
      <c r="AM62" s="575" t="n"/>
      <c r="AN62" s="575" t="n"/>
      <c r="AO62" s="575" t="n"/>
      <c r="AP62" s="575" t="n"/>
      <c r="AQ62" s="575" t="n"/>
      <c r="AR62" s="575" t="n"/>
    </row>
    <row r="63" ht="16.15" customFormat="1" customHeight="1" s="575">
      <c r="A63" s="575" t="n"/>
      <c r="B63" s="575" t="n"/>
      <c r="C63" s="575" t="n"/>
      <c r="D63" s="575" t="n"/>
      <c r="E63" s="575" t="n"/>
      <c r="F63" s="575" t="n"/>
      <c r="G63" s="575" t="n"/>
      <c r="H63" s="575" t="n"/>
      <c r="I63" s="575" t="n"/>
      <c r="J63" s="575" t="n"/>
      <c r="K63" s="575" t="n"/>
      <c r="L63" s="575" t="n"/>
      <c r="M63" s="575" t="n"/>
      <c r="N63" s="575" t="n"/>
      <c r="O63" s="575" t="n"/>
      <c r="P63" s="575" t="n"/>
      <c r="Q63" s="575" t="n"/>
      <c r="R63" s="575" t="inlineStr">
        <is>
          <t>A0020301</t>
        </is>
      </c>
      <c r="S63" s="726">
        <f>IF(_epmOfflineCondition_,"三、营业利润（亏损以“-”号填列）",EPMMemberDesc(U63))</f>
        <v/>
      </c>
      <c r="T63" s="575" t="n"/>
      <c r="U63" s="575" t="inlineStr">
        <is>
          <t>A00203</t>
        </is>
      </c>
      <c r="V63" s="590">
        <f>IF(_epmOfflineCondition_,"A00203",EPMOlapMemberO(U63,"[C_ACCOUNT].[PARENTH1].[A00203]","A00203 - 三、营业利润（亏损以“-""号填列）","","000"))</f>
        <v/>
      </c>
      <c r="W63" s="726" t="n"/>
      <c r="X63" s="585" t="inlineStr">
        <is>
          <t>14. 营业利润（亏损以“－”号填列）</t>
        </is>
      </c>
      <c r="Y63" s="1312">
        <f>ROW()-45</f>
        <v/>
      </c>
      <c r="Z63" s="1336">
        <f>IF(_epmOfflineCondition_,19839493.44,EPMRetrieveData(,$Z$41,$Z$42,$Z$43,$Z$45,$Z$32,$D$21,$D$22,$D$25,$D$26,$D$27,$D$28,$D$29,U63))</f>
        <v/>
      </c>
      <c r="AA63" s="1336">
        <f>IF(_epmOfflineCondition_,57971792.97,EPMRetrieveData(,$AA$41,$AA$42,$AA$43,$AA$45,$Z$32,$D$21,$D$22,$D$25,$D$26,$D$27,$D$28,$D$29,U63))</f>
        <v/>
      </c>
      <c r="AB63" s="1336">
        <f>IF(_epmOfflineCondition_,23173512.88,EPMRetrieveData(,$AB$41,$AB$42,$AB$43,$AB$45,$Z$32,$D$21,$D$22,$D$25,$D$26,$D$27,$D$28,$D$29,U63))</f>
        <v/>
      </c>
      <c r="AC63" s="1361">
        <f>ROUND(Z63/10000,2)</f>
        <v/>
      </c>
      <c r="AD63" s="1361">
        <f>ROUND(AA63/10000,2)</f>
        <v/>
      </c>
      <c r="AE63" s="1361">
        <f>ROUND(AB63/10000,2)</f>
        <v/>
      </c>
      <c r="AF63" s="575" t="n"/>
      <c r="AG63" s="575" t="n"/>
      <c r="AH63" s="575" t="n"/>
      <c r="AI63" s="575" t="n"/>
      <c r="AJ63" s="575" t="n"/>
      <c r="AK63" s="575" t="n"/>
      <c r="AL63" s="575" t="n"/>
      <c r="AM63" s="575" t="n"/>
      <c r="AN63" s="575" t="n"/>
      <c r="AO63" s="575" t="n"/>
      <c r="AP63" s="575" t="n"/>
      <c r="AQ63" s="575" t="n"/>
      <c r="AR63" s="575" t="n"/>
    </row>
    <row r="64" ht="16.15" customFormat="1" customHeight="1" s="575">
      <c r="A64" s="575" t="n"/>
      <c r="B64" s="575" t="n"/>
      <c r="C64" s="575" t="n"/>
      <c r="D64" s="575" t="n"/>
      <c r="E64" s="575" t="n"/>
      <c r="F64" s="575" t="n"/>
      <c r="G64" s="575" t="n"/>
      <c r="H64" s="575" t="n"/>
      <c r="I64" s="575" t="n"/>
      <c r="J64" s="575" t="n"/>
      <c r="K64" s="575" t="n"/>
      <c r="L64" s="575" t="n"/>
      <c r="M64" s="575" t="n"/>
      <c r="N64" s="575" t="n"/>
      <c r="O64" s="575" t="n"/>
      <c r="P64" s="575" t="n"/>
      <c r="Q64" s="575" t="n"/>
      <c r="R64" s="575" t="inlineStr">
        <is>
          <t>A0020302</t>
        </is>
      </c>
      <c r="S64" s="726">
        <f>IF(_epmOfflineCondition_,"15.营业外收支净额",EPMMemberDesc(U64))</f>
        <v/>
      </c>
      <c r="T64" s="575" t="n"/>
      <c r="U64" s="575" t="inlineStr">
        <is>
          <t>A07812</t>
        </is>
      </c>
      <c r="V64" s="591">
        <f>IF(_epmOfflineCondition_,"A07812",EPMOlapMemberO(U64,"[C_ACCOUNT].[PARENTH1].[A07812]","A07812 - 15.营业外收支净额","","000"))</f>
        <v/>
      </c>
      <c r="W64" s="726" t="n"/>
      <c r="X64" s="585" t="inlineStr">
        <is>
          <t>15. 营业外收支净额</t>
        </is>
      </c>
      <c r="Y64" s="1312">
        <f>ROW()-45</f>
        <v/>
      </c>
      <c r="Z64" s="1349">
        <f>IF(_epmOfflineCondition_,0,EPMRetrieveData(,,$D$21,$D$22,$D$25,$D$26,$D$27,$D$28,$D$29,$Z$41,$Z$42,$Z$43,$Z$32,$Z$45,R63)-EPMRetrieveData(,,$D$21,$D$22,$D$25,$D$26,$D$27,$D$28,$D$29,$Z$41,$Z$42,$Z$43,$Z$32,$Z$45,R64))</f>
        <v/>
      </c>
      <c r="AA64" s="1349">
        <f>IF(_epmOfflineCondition_,0,EPMRetrieveData(,,$D$21,$D$22,$D$25,$D$26,$D$27,$D$28,$D$29,$AA$41,$AA$42,$AA$43,$Z$32,$AA$45,R63)-EPMRetrieveData(,,$D$21,$D$22,$D$25,$D$26,$D$27,$D$28,$D$29,$AA$41,$AA$42,$AA$43,$Z$32,$AA$45,R64))</f>
        <v/>
      </c>
      <c r="AB64" s="1349">
        <f>IF(_epmOfflineCondition_,0,EPMRetrieveData(,,$D$21,$D$22,$D$25,$D$26,$D$27,$D$28,$D$29,$AB$41,$AB$42,$AB$43,$Z$32,$AB$45,R63)-EPMRetrieveData(,,$D$21,$D$22,$D$25,$D$26,$D$27,$D$28,$D$29,$AB$41,$AB$42,$AB$43,$Z$32,$AB$45,R64))</f>
        <v/>
      </c>
      <c r="AC64" s="1361">
        <f>ROUND(Z64/10000,2)</f>
        <v/>
      </c>
      <c r="AD64" s="1361">
        <f>ROUND(AA64/10000,2)</f>
        <v/>
      </c>
      <c r="AE64" s="1361">
        <f>ROUND(AB64/10000,2)</f>
        <v/>
      </c>
      <c r="AF64" s="575" t="n"/>
      <c r="AG64" s="575" t="n"/>
      <c r="AH64" s="575" t="n"/>
      <c r="AI64" s="575" t="n"/>
      <c r="AJ64" s="575" t="n"/>
      <c r="AK64" s="575" t="n"/>
      <c r="AL64" s="575" t="n"/>
      <c r="AM64" s="575" t="n"/>
      <c r="AN64" s="575" t="n"/>
      <c r="AO64" s="575" t="n"/>
      <c r="AP64" s="575" t="n"/>
      <c r="AQ64" s="575" t="n"/>
      <c r="AR64" s="575" t="n"/>
    </row>
    <row r="65" ht="16.15" customFormat="1" customHeight="1" s="575">
      <c r="A65" s="575" t="n"/>
      <c r="B65" s="575" t="n"/>
      <c r="C65" s="575" t="n"/>
      <c r="D65" s="575" t="n"/>
      <c r="E65" s="575" t="n"/>
      <c r="F65" s="575" t="n"/>
      <c r="G65" s="575" t="n"/>
      <c r="H65" s="575" t="n"/>
      <c r="I65" s="575" t="n"/>
      <c r="J65" s="575" t="n"/>
      <c r="K65" s="575" t="n"/>
      <c r="L65" s="575" t="n"/>
      <c r="M65" s="575" t="n"/>
      <c r="N65" s="575" t="n"/>
      <c r="O65" s="575" t="n"/>
      <c r="P65" s="575" t="n"/>
      <c r="Q65" s="575" t="n"/>
      <c r="R65" s="575" t="n"/>
      <c r="S65" s="726">
        <f>IF(_epmOfflineCondition_,"营业外收入-政府补助",EPMMemberDesc(U65))</f>
        <v/>
      </c>
      <c r="T65" s="575" t="n"/>
      <c r="U65" s="575" t="inlineStr">
        <is>
          <t>A6301040000</t>
        </is>
      </c>
      <c r="V65" s="584">
        <f>IF(_epmOfflineCondition_,"A6301040000",EPMOlapMemberO(U65,"[C_ACCOUNT].[PARENTH1].[A6301040000]","A6301040000 - 营业外收入-政府补助","","000"))</f>
        <v/>
      </c>
      <c r="W65" s="726" t="n"/>
      <c r="X65" s="457" t="inlineStr">
        <is>
          <t xml:space="preserve">   其中：政府补助</t>
        </is>
      </c>
      <c r="Y65" s="1312">
        <f>ROW()-45</f>
        <v/>
      </c>
      <c r="Z65" s="1336">
        <f>IF(_epmOfflineCondition_,0,EPMRetrieveData(,$Z$41,$Z$42,$Z$43,$Z$45,$Z$32,$D$21,$D$22,$D$25,$D$26,$D$27,$D$28,$D$29,U65))</f>
        <v/>
      </c>
      <c r="AA65" s="1336">
        <f>IF(_epmOfflineCondition_,0,EPMRetrieveData(,$AA$41,$AA$42,$AA$43,$AA$45,$Z$32,$D$21,$D$22,$D$25,$D$26,$D$27,$D$28,$D$29,U65))</f>
        <v/>
      </c>
      <c r="AB65" s="1336">
        <f>IF(_epmOfflineCondition_,0,EPMRetrieveData(,$AB$41,$AB$42,$AB$43,$AB$45,$Z$32,$D$21,$D$22,$D$25,$D$26,$D$27,$D$28,$D$29,U65))</f>
        <v/>
      </c>
      <c r="AC65" s="1361">
        <f>ROUND(Z65/10000,2)</f>
        <v/>
      </c>
      <c r="AD65" s="1361">
        <f>ROUND(AA65/10000,2)</f>
        <v/>
      </c>
      <c r="AE65" s="1361">
        <f>ROUND(AB65/10000,2)</f>
        <v/>
      </c>
      <c r="AF65" s="575" t="n"/>
      <c r="AG65" s="575" t="n"/>
      <c r="AH65" s="575" t="n"/>
      <c r="AI65" s="575" t="n"/>
      <c r="AJ65" s="575" t="n"/>
      <c r="AK65" s="575" t="n"/>
      <c r="AL65" s="575" t="n"/>
      <c r="AM65" s="575" t="n"/>
      <c r="AN65" s="575" t="n"/>
      <c r="AO65" s="575" t="n"/>
      <c r="AP65" s="575" t="n"/>
      <c r="AQ65" s="575" t="n"/>
      <c r="AR65" s="575" t="n"/>
    </row>
    <row r="66" ht="16.15" customFormat="1" customHeight="1" s="575">
      <c r="A66" s="575" t="n"/>
      <c r="B66" s="575" t="n"/>
      <c r="C66" s="575" t="n"/>
      <c r="D66" s="575" t="n"/>
      <c r="E66" s="575" t="n"/>
      <c r="F66" s="575" t="n"/>
      <c r="G66" s="575" t="n"/>
      <c r="H66" s="575" t="n"/>
      <c r="I66" s="575" t="n"/>
      <c r="J66" s="575" t="n"/>
      <c r="K66" s="575" t="n"/>
      <c r="L66" s="575" t="n"/>
      <c r="M66" s="575" t="n"/>
      <c r="N66" s="575" t="n"/>
      <c r="O66" s="575" t="n"/>
      <c r="P66" s="575" t="n"/>
      <c r="Q66" s="575" t="n"/>
      <c r="R66" s="575" t="n"/>
      <c r="S66" s="726">
        <f>IF(_epmOfflineCondition_,"四、利润总额（亏损总额以“-”号填列）",EPMMemberDesc(U66))</f>
        <v/>
      </c>
      <c r="T66" s="575" t="n"/>
      <c r="U66" s="575" t="inlineStr">
        <is>
          <t>A00204</t>
        </is>
      </c>
      <c r="V66" s="611">
        <f>IF(_epmOfflineCondition_,"A00204",EPMOlapMemberO(U66,"[C_ACCOUNT].[PARENTH1].[A00204]","A00204 - 四、利润总额（亏损总额以“-""号填列）","","000"))</f>
        <v/>
      </c>
      <c r="W66" s="726" t="n"/>
      <c r="X66" s="585" t="inlineStr">
        <is>
          <t>16. 利润总额（亏损以“－”号填列）</t>
        </is>
      </c>
      <c r="Y66" s="1312">
        <f>ROW()-45</f>
        <v/>
      </c>
      <c r="Z66" s="1336">
        <f>IF(_epmOfflineCondition_,19839493.44,EPMRetrieveData(,$Z$41,$Z$42,$Z$43,$Z$45,$Z$32,$D$21,$D$22,$D$25,$D$26,$D$27,$D$28,$D$29,U66))</f>
        <v/>
      </c>
      <c r="AA66" s="1336">
        <f>IF(_epmOfflineCondition_,57971792.97,EPMRetrieveData(,$AA$41,$AA$42,$AA$43,$AA$45,$Z$32,$D$21,$D$22,$D$25,$D$26,$D$27,$D$28,$D$29,U66))</f>
        <v/>
      </c>
      <c r="AB66" s="1336">
        <f>IF(_epmOfflineCondition_,23173512.88,EPMRetrieveData(,$AB$41,$AB$42,$AB$43,$AB$45,$Z$32,$D$21,$D$22,$D$25,$D$26,$D$27,$D$28,$D$29,U66))</f>
        <v/>
      </c>
      <c r="AC66" s="1361">
        <f>ROUND(Z66/10000,2)</f>
        <v/>
      </c>
      <c r="AD66" s="1361">
        <f>ROUND(AA66/10000,2)</f>
        <v/>
      </c>
      <c r="AE66" s="1361">
        <f>ROUND(AB66/10000,2)</f>
        <v/>
      </c>
      <c r="AF66" s="575" t="n"/>
      <c r="AG66" s="575" t="n"/>
      <c r="AH66" s="575" t="n"/>
      <c r="AI66" s="575" t="n"/>
      <c r="AJ66" s="575" t="n"/>
      <c r="AK66" s="575" t="n"/>
      <c r="AL66" s="575" t="n"/>
      <c r="AM66" s="575" t="n"/>
      <c r="AN66" s="575" t="n"/>
      <c r="AO66" s="575" t="n"/>
      <c r="AP66" s="575" t="n"/>
      <c r="AQ66" s="575" t="n"/>
      <c r="AR66" s="575" t="n"/>
    </row>
    <row r="67" ht="16.15" customFormat="1" customHeight="1" s="575">
      <c r="A67" s="575" t="n"/>
      <c r="B67" s="575" t="n"/>
      <c r="C67" s="575" t="n"/>
      <c r="D67" s="575" t="n"/>
      <c r="E67" s="575" t="n"/>
      <c r="F67" s="575" t="n"/>
      <c r="G67" s="575" t="n"/>
      <c r="H67" s="575" t="n"/>
      <c r="I67" s="575" t="n"/>
      <c r="J67" s="575" t="n"/>
      <c r="K67" s="575" t="n"/>
      <c r="L67" s="575" t="n"/>
      <c r="M67" s="575" t="n"/>
      <c r="N67" s="575" t="n"/>
      <c r="O67" s="575" t="n"/>
      <c r="P67" s="575" t="n"/>
      <c r="Q67" s="575" t="n"/>
      <c r="R67" s="575" t="n"/>
      <c r="S67" s="726">
        <f>IF(_epmOfflineCondition_,"五、净利润（净亏损以“-”号填列）",EPMMemberDesc(U67))</f>
        <v/>
      </c>
      <c r="T67" s="575" t="n"/>
      <c r="U67" s="575" t="inlineStr">
        <is>
          <t>A00205</t>
        </is>
      </c>
      <c r="V67" s="612">
        <f>IF(_epmOfflineCondition_,"A00205",EPMOlapMemberO(U67,"[C_ACCOUNT].[PARENTH1].[A00205]","A00205 - 五、净利润（净亏损以“-""号填列）","","000"))</f>
        <v/>
      </c>
      <c r="W67" s="726" t="n"/>
      <c r="X67" s="585" t="inlineStr">
        <is>
          <t>17. 净利润（亏损以“－”号填列）</t>
        </is>
      </c>
      <c r="Y67" s="1312">
        <f>ROW()-45</f>
        <v/>
      </c>
      <c r="Z67" s="1336">
        <f>IF(_epmOfflineCondition_,19839493.44,EPMRetrieveData(,$Z$41,$Z$42,$Z$43,$Z$45,$Z$32,$D$21,$D$22,$D$25,$D$26,$D$27,$D$28,$D$29,U67))</f>
        <v/>
      </c>
      <c r="AA67" s="1336">
        <f>IF(_epmOfflineCondition_,57971792.97,EPMRetrieveData(,$AA$41,$AA$42,$AA$43,$AA$45,$Z$32,$D$21,$D$22,$D$25,$D$26,$D$27,$D$28,$D$29,U67))</f>
        <v/>
      </c>
      <c r="AB67" s="1336">
        <f>IF(_epmOfflineCondition_,23173512.88,EPMRetrieveData(,$AB$41,$AB$42,$AB$43,$AB$45,$Z$32,$D$21,$D$22,$D$25,$D$26,$D$27,$D$28,$D$29,U67))</f>
        <v/>
      </c>
      <c r="AC67" s="1361">
        <f>ROUND(Z67/10000,2)</f>
        <v/>
      </c>
      <c r="AD67" s="1361">
        <f>ROUND(AA67/10000,2)</f>
        <v/>
      </c>
      <c r="AE67" s="1361">
        <f>ROUND(AB67/10000,2)</f>
        <v/>
      </c>
      <c r="AF67" s="575" t="n"/>
      <c r="AG67" s="575" t="n"/>
      <c r="AH67" s="575" t="n"/>
      <c r="AI67" s="575" t="n"/>
      <c r="AJ67" s="575" t="n"/>
      <c r="AK67" s="575" t="n"/>
      <c r="AL67" s="575" t="n"/>
      <c r="AM67" s="575" t="n"/>
      <c r="AN67" s="575" t="n"/>
      <c r="AO67" s="575" t="n"/>
      <c r="AP67" s="575" t="n"/>
      <c r="AQ67" s="575" t="n"/>
      <c r="AR67" s="575" t="n"/>
    </row>
    <row r="68" ht="16.15" customFormat="1" customHeight="1" s="575">
      <c r="A68" s="575" t="n"/>
      <c r="B68" s="575" t="n"/>
      <c r="C68" s="575" t="n"/>
      <c r="D68" s="575" t="n"/>
      <c r="E68" s="575" t="n"/>
      <c r="F68" s="575" t="n"/>
      <c r="G68" s="575" t="n"/>
      <c r="H68" s="575" t="n"/>
      <c r="I68" s="575" t="n"/>
      <c r="J68" s="575" t="n"/>
      <c r="K68" s="575" t="n"/>
      <c r="L68" s="575" t="n"/>
      <c r="M68" s="575" t="n"/>
      <c r="N68" s="575" t="n"/>
      <c r="O68" s="575" t="n"/>
      <c r="P68" s="575" t="n"/>
      <c r="Q68" s="575" t="n"/>
      <c r="R68" s="575" t="n"/>
      <c r="S68" s="726">
        <f>IF(_epmOfflineCondition_,"　　归属于母公司所有者的净利润",EPMMemberDesc(U68))</f>
        <v/>
      </c>
      <c r="T68" s="575" t="n"/>
      <c r="U68" s="575" t="inlineStr">
        <is>
          <t>A0020504</t>
        </is>
      </c>
      <c r="V68" s="616">
        <f>IF(_epmOfflineCondition_,"A0020504",EPMOlapMemberO(U68,"[C_ACCOUNT].[PARENTH1].[A0020504]","A0020504 - 　　归属于母公司所有者的净利润","","000"))</f>
        <v/>
      </c>
      <c r="W68" s="726" t="n"/>
      <c r="X68" s="457" t="inlineStr">
        <is>
          <t xml:space="preserve">   其中：归属于母公司所有者的净利润</t>
        </is>
      </c>
      <c r="Y68" s="1312">
        <f>ROW()-45</f>
        <v/>
      </c>
      <c r="Z68" s="1336">
        <f>IF(_epmOfflineCondition_,19839493.44,EPMRetrieveData(,$Z$41,$Z$42,$Z$43,$Z$45,$Z$32,$D$21,$D$22,$D$25,$D$26,$D$27,$D$28,$D$29,U68))</f>
        <v/>
      </c>
      <c r="AA68" s="1336">
        <f>IF(_epmOfflineCondition_,57971792.97,EPMRetrieveData(,$AA$41,$AA$42,$AA$43,$AA$45,$Z$32,$D$21,$D$22,$D$25,$D$26,$D$27,$D$28,$D$29,U68))</f>
        <v/>
      </c>
      <c r="AB68" s="1336">
        <f>IF(_epmOfflineCondition_,23173512.88,EPMRetrieveData(,$AB$41,$AB$42,$AB$43,$AB$45,$Z$32,$D$21,$D$22,$D$25,$D$26,$D$27,$D$28,$D$29,U68))</f>
        <v/>
      </c>
      <c r="AC68" s="1361">
        <f>ROUND(Z68/10000,2)</f>
        <v/>
      </c>
      <c r="AD68" s="1361">
        <f>ROUND(AA68/10000,2)</f>
        <v/>
      </c>
      <c r="AE68" s="1361">
        <f>ROUND(AB68/10000,2)</f>
        <v/>
      </c>
      <c r="AF68" s="575" t="n"/>
      <c r="AG68" s="575" t="n"/>
      <c r="AH68" s="575" t="n"/>
      <c r="AI68" s="575" t="n"/>
      <c r="AJ68" s="575" t="n"/>
      <c r="AK68" s="575" t="n"/>
      <c r="AL68" s="575" t="n"/>
      <c r="AM68" s="575" t="n"/>
      <c r="AN68" s="575" t="n"/>
      <c r="AO68" s="575" t="n"/>
      <c r="AP68" s="575" t="n"/>
      <c r="AQ68" s="575" t="n"/>
      <c r="AR68" s="575" t="n"/>
    </row>
    <row r="69" ht="16.15" customFormat="1" customHeight="1" s="575">
      <c r="A69" s="575" t="n"/>
      <c r="B69" s="575" t="n"/>
      <c r="C69" s="575" t="n"/>
      <c r="D69" s="575" t="n"/>
      <c r="E69" s="575" t="n"/>
      <c r="F69" s="575" t="n"/>
      <c r="G69" s="575" t="n"/>
      <c r="H69" s="575" t="n"/>
      <c r="I69" s="575" t="n"/>
      <c r="J69" s="575" t="n"/>
      <c r="K69" s="575" t="n"/>
      <c r="L69" s="575" t="n"/>
      <c r="M69" s="575" t="n"/>
      <c r="N69" s="575" t="n"/>
      <c r="O69" s="575" t="n"/>
      <c r="P69" s="575" t="n"/>
      <c r="Q69" s="575" t="n"/>
      <c r="R69" s="575" t="n"/>
      <c r="S69" s="726">
        <f>IF(_epmOfflineCondition_,"　        资产总计",EPMMemberDesc(U69))</f>
        <v/>
      </c>
      <c r="T69" s="575" t="n"/>
      <c r="U69" s="575" t="inlineStr">
        <is>
          <t>A00101</t>
        </is>
      </c>
      <c r="V69" s="591">
        <f>IF(_epmOfflineCondition_,"A00101",EPMOlapMemberO(U69,"[C_ACCOUNT].[PARENTH1].[A00101]","A00101 - 　        资产总计","","000"))</f>
        <v/>
      </c>
      <c r="W69" s="726" t="n"/>
      <c r="X69" s="585" t="inlineStr">
        <is>
          <t>18. 资产总额</t>
        </is>
      </c>
      <c r="Y69" s="1312">
        <f>ROW()-45</f>
        <v/>
      </c>
      <c r="Z69" s="1316">
        <f>"— —"</f>
        <v/>
      </c>
      <c r="AA69" s="1336" t="inlineStr"/>
      <c r="AB69" s="1336" t="inlineStr"/>
      <c r="AC69" s="1362">
        <f>"— —"</f>
        <v/>
      </c>
      <c r="AD69" s="1361">
        <f>ROUND(AA69/10000,2)</f>
        <v/>
      </c>
      <c r="AE69" s="1361">
        <f>ROUND(AB69/10000,2)</f>
        <v/>
      </c>
      <c r="AF69" s="575" t="n"/>
      <c r="AG69" s="575" t="n"/>
      <c r="AH69" s="575" t="n"/>
      <c r="AI69" s="575" t="n"/>
      <c r="AJ69" s="575" t="n"/>
      <c r="AK69" s="575" t="n"/>
      <c r="AL69" s="575" t="n"/>
      <c r="AM69" s="575" t="n"/>
      <c r="AN69" s="575" t="n"/>
      <c r="AO69" s="575" t="n"/>
      <c r="AP69" s="575" t="n"/>
      <c r="AQ69" s="575" t="n"/>
      <c r="AR69" s="575" t="n"/>
    </row>
    <row r="70" ht="16.15" customFormat="1" customHeight="1" s="575">
      <c r="A70" s="575" t="n"/>
      <c r="B70" s="575" t="n"/>
      <c r="C70" s="575" t="n"/>
      <c r="D70" s="575" t="n"/>
      <c r="E70" s="575" t="n"/>
      <c r="F70" s="575" t="n"/>
      <c r="G70" s="575" t="n"/>
      <c r="H70" s="575" t="n"/>
      <c r="I70" s="575" t="n"/>
      <c r="J70" s="575" t="n"/>
      <c r="K70" s="575" t="n"/>
      <c r="L70" s="575" t="n"/>
      <c r="M70" s="575" t="n"/>
      <c r="N70" s="575" t="n"/>
      <c r="O70" s="575" t="n"/>
      <c r="P70" s="575" t="n"/>
      <c r="Q70" s="575" t="n"/>
      <c r="R70" s="575" t="n"/>
      <c r="S70" s="726">
        <f>IF(_epmOfflineCondition_,"　       流动资产合计",EPMMemberDesc(U70))</f>
        <v/>
      </c>
      <c r="T70" s="575" t="n"/>
      <c r="U70" s="575" t="inlineStr">
        <is>
          <t>A0010101</t>
        </is>
      </c>
      <c r="V70" s="616">
        <f>IF(_epmOfflineCondition_,"A0010101",EPMOlapMemberO(U70,"[C_ACCOUNT].[PARENTH1].[A0010101]","A0010101 - 　       流动资产合计","","000"))</f>
        <v/>
      </c>
      <c r="W70" s="726" t="n"/>
      <c r="X70" s="585" t="inlineStr">
        <is>
          <t>19. 流动资产</t>
        </is>
      </c>
      <c r="Y70" s="1312">
        <f>ROW()-45</f>
        <v/>
      </c>
      <c r="Z70" s="1316">
        <f>"— —"</f>
        <v/>
      </c>
      <c r="AA70" s="1336" t="inlineStr"/>
      <c r="AB70" s="1336" t="inlineStr"/>
      <c r="AC70" s="1362">
        <f>"— —"</f>
        <v/>
      </c>
      <c r="AD70" s="1361">
        <f>ROUND(AA70/10000,2)</f>
        <v/>
      </c>
      <c r="AE70" s="1361">
        <f>ROUND(AB70/10000,2)</f>
        <v/>
      </c>
      <c r="AF70" s="575" t="n"/>
      <c r="AG70" s="575" t="n"/>
      <c r="AH70" s="575" t="n"/>
      <c r="AI70" s="575" t="n"/>
      <c r="AJ70" s="575" t="n"/>
      <c r="AK70" s="575" t="n"/>
      <c r="AL70" s="575" t="n"/>
      <c r="AM70" s="575" t="n"/>
      <c r="AN70" s="575" t="n"/>
      <c r="AO70" s="575" t="n"/>
      <c r="AP70" s="575" t="n"/>
      <c r="AQ70" s="575" t="n"/>
      <c r="AR70" s="575" t="n"/>
    </row>
    <row r="71" ht="16.15" customFormat="1" customHeight="1" s="575">
      <c r="A71" s="575" t="n"/>
      <c r="B71" s="575" t="n"/>
      <c r="C71" s="575" t="n"/>
      <c r="D71" s="575" t="n"/>
      <c r="E71" s="575" t="n"/>
      <c r="F71" s="575" t="n"/>
      <c r="G71" s="575" t="n"/>
      <c r="H71" s="575" t="n"/>
      <c r="I71" s="575" t="n"/>
      <c r="J71" s="575" t="n"/>
      <c r="K71" s="575" t="n"/>
      <c r="L71" s="575" t="n"/>
      <c r="M71" s="575" t="n"/>
      <c r="N71" s="575" t="n"/>
      <c r="O71" s="575" t="n"/>
      <c r="P71" s="575" t="n"/>
      <c r="Q71" s="575" t="n"/>
      <c r="R71" s="575" t="n"/>
      <c r="S71" s="726">
        <f>IF(_epmOfflineCondition_,"  货币资金",EPMMemberDesc(U71))</f>
        <v/>
      </c>
      <c r="T71" s="575" t="n"/>
      <c r="U71" s="575" t="inlineStr">
        <is>
          <t>A001010101</t>
        </is>
      </c>
      <c r="V71" s="612">
        <f>IF(_epmOfflineCondition_,"A001010101",EPMOlapMemberO(U71,"[C_ACCOUNT].[PARENTH1].[A001010101]","A001010101 -   货币资金","","000"))</f>
        <v/>
      </c>
      <c r="W71" s="726" t="n"/>
      <c r="X71" s="457" t="inlineStr">
        <is>
          <t xml:space="preserve">   其中：货币资金</t>
        </is>
      </c>
      <c r="Y71" s="1312">
        <f>ROW()-45</f>
        <v/>
      </c>
      <c r="Z71" s="1316">
        <f>"— —"</f>
        <v/>
      </c>
      <c r="AA71" s="1336" t="inlineStr"/>
      <c r="AB71" s="1336" t="inlineStr"/>
      <c r="AC71" s="1362">
        <f>"— —"</f>
        <v/>
      </c>
      <c r="AD71" s="1361">
        <f>ROUND(AA71/10000,2)</f>
        <v/>
      </c>
      <c r="AE71" s="1361">
        <f>ROUND(AB71/10000,2)</f>
        <v/>
      </c>
      <c r="AF71" s="575" t="n"/>
      <c r="AG71" s="575" t="n"/>
      <c r="AH71" s="575" t="n"/>
      <c r="AI71" s="575" t="n"/>
      <c r="AJ71" s="575" t="n"/>
      <c r="AK71" s="575" t="n"/>
      <c r="AL71" s="575" t="n"/>
      <c r="AM71" s="575" t="n"/>
      <c r="AN71" s="575" t="n"/>
      <c r="AO71" s="575" t="n"/>
      <c r="AP71" s="575" t="n"/>
      <c r="AQ71" s="575" t="n"/>
      <c r="AR71" s="575" t="n"/>
    </row>
    <row r="72" ht="16.15" customFormat="1" customHeight="1" s="575">
      <c r="A72" s="575" t="n"/>
      <c r="B72" s="575" t="n"/>
      <c r="C72" s="575" t="n"/>
      <c r="D72" s="575" t="n"/>
      <c r="E72" s="575" t="n"/>
      <c r="F72" s="575" t="n"/>
      <c r="G72" s="575" t="n"/>
      <c r="H72" s="575" t="n"/>
      <c r="I72" s="575" t="n"/>
      <c r="J72" s="575" t="n"/>
      <c r="K72" s="575" t="n"/>
      <c r="L72" s="575" t="n"/>
      <c r="M72" s="575" t="n"/>
      <c r="N72" s="575" t="n"/>
      <c r="O72" s="575" t="n"/>
      <c r="P72" s="575" t="n"/>
      <c r="Q72" s="575" t="n"/>
      <c r="R72" s="575" t="n"/>
      <c r="S72" s="726">
        <f>IF(_epmOfflineCondition_,"  应收票据",EPMMemberDesc(U72))</f>
        <v/>
      </c>
      <c r="T72" s="575" t="n"/>
      <c r="U72" s="575" t="inlineStr">
        <is>
          <t>A001010106</t>
        </is>
      </c>
      <c r="V72" s="612">
        <f>IF(_epmOfflineCondition_,"A001010106",EPMOlapMemberO(U72,"[C_ACCOUNT].[PARENTH1].[A001010106]","A001010106 -   应收票据","","000"))</f>
        <v/>
      </c>
      <c r="W72" s="726" t="n"/>
      <c r="X72" s="614" t="inlineStr">
        <is>
          <t xml:space="preserve">           应收票据</t>
        </is>
      </c>
      <c r="Y72" s="1312">
        <f>ROW()-45</f>
        <v/>
      </c>
      <c r="Z72" s="1316">
        <f>"— —"</f>
        <v/>
      </c>
      <c r="AA72" s="1336" t="n"/>
      <c r="AB72" s="1336" t="n"/>
      <c r="AC72" s="1362">
        <f>"— —"</f>
        <v/>
      </c>
      <c r="AD72" s="1361">
        <f>ROUND(AA72/10000,2)</f>
        <v/>
      </c>
      <c r="AE72" s="1361">
        <f>ROUND(AB72/10000,2)</f>
        <v/>
      </c>
      <c r="AF72" s="575" t="n"/>
      <c r="AG72" s="575" t="n"/>
      <c r="AH72" s="575" t="n"/>
      <c r="AI72" s="575" t="n"/>
      <c r="AJ72" s="575" t="n"/>
      <c r="AK72" s="575" t="n"/>
      <c r="AL72" s="575" t="n"/>
      <c r="AM72" s="575" t="n"/>
      <c r="AN72" s="575" t="n"/>
      <c r="AO72" s="575" t="n"/>
      <c r="AP72" s="575" t="n"/>
      <c r="AQ72" s="575" t="n"/>
      <c r="AR72" s="575" t="n"/>
    </row>
    <row r="73" ht="16.15" customFormat="1" customHeight="1" s="575">
      <c r="A73" s="575" t="n"/>
      <c r="B73" s="575" t="n"/>
      <c r="C73" s="575" t="n"/>
      <c r="D73" s="575" t="n"/>
      <c r="E73" s="575" t="n"/>
      <c r="F73" s="575" t="n"/>
      <c r="G73" s="575" t="n"/>
      <c r="H73" s="575" t="n"/>
      <c r="I73" s="575" t="n"/>
      <c r="J73" s="575" t="n"/>
      <c r="K73" s="575" t="n"/>
      <c r="L73" s="575" t="n"/>
      <c r="M73" s="575" t="n"/>
      <c r="N73" s="575" t="n"/>
      <c r="O73" s="575" t="n"/>
      <c r="P73" s="575" t="n"/>
      <c r="Q73" s="575" t="n"/>
      <c r="R73" s="575" t="n"/>
      <c r="S73" s="726">
        <f>IF(_epmOfflineCondition_,"  应收账款",EPMMemberDesc(U73))</f>
        <v/>
      </c>
      <c r="T73" s="575" t="n"/>
      <c r="U73" s="575" t="inlineStr">
        <is>
          <t>A001010107</t>
        </is>
      </c>
      <c r="V73" s="612">
        <f>IF(_epmOfflineCondition_,"A001010107",EPMOlapMemberO(U73,"[C_ACCOUNT].[PARENTH1].[A001010107]","A001010107 -   应收账款","","000"))</f>
        <v/>
      </c>
      <c r="W73" s="726" t="n"/>
      <c r="X73" s="614" t="inlineStr">
        <is>
          <t xml:space="preserve">           应收账款</t>
        </is>
      </c>
      <c r="Y73" s="1312">
        <f>ROW()-45</f>
        <v/>
      </c>
      <c r="Z73" s="1316">
        <f>"— —"</f>
        <v/>
      </c>
      <c r="AA73" s="1336" t="inlineStr"/>
      <c r="AB73" s="1336" t="inlineStr"/>
      <c r="AC73" s="1362">
        <f>"— —"</f>
        <v/>
      </c>
      <c r="AD73" s="1361">
        <f>ROUND(AA73/10000,2)</f>
        <v/>
      </c>
      <c r="AE73" s="1361">
        <f>ROUND(AB73/10000,2)</f>
        <v/>
      </c>
      <c r="AF73" s="575" t="n"/>
      <c r="AG73" s="575" t="n"/>
      <c r="AH73" s="575" t="n"/>
      <c r="AI73" s="575" t="n"/>
      <c r="AJ73" s="575" t="n"/>
      <c r="AK73" s="575" t="n"/>
      <c r="AL73" s="575" t="n"/>
      <c r="AM73" s="575" t="n"/>
      <c r="AN73" s="575" t="n"/>
      <c r="AO73" s="575" t="n"/>
      <c r="AP73" s="575" t="n"/>
      <c r="AQ73" s="575" t="n"/>
      <c r="AR73" s="575" t="n"/>
    </row>
    <row r="74" ht="16.15" customFormat="1" customHeight="1" s="575">
      <c r="A74" s="575" t="n"/>
      <c r="B74" s="575" t="n"/>
      <c r="C74" s="575" t="n"/>
      <c r="D74" s="575" t="n"/>
      <c r="E74" s="575" t="n"/>
      <c r="F74" s="575" t="n"/>
      <c r="G74" s="575" t="n"/>
      <c r="H74" s="575" t="n"/>
      <c r="I74" s="575" t="n"/>
      <c r="J74" s="575" t="n"/>
      <c r="K74" s="575" t="n"/>
      <c r="L74" s="575" t="n"/>
      <c r="M74" s="575" t="n"/>
      <c r="N74" s="575" t="n"/>
      <c r="O74" s="575" t="n"/>
      <c r="P74" s="575" t="n"/>
      <c r="Q74" s="575" t="n"/>
      <c r="R74" s="575" t="n"/>
      <c r="S74" s="726">
        <f>IF(_epmOfflineCondition_,"  存货",EPMMemberDesc(U74))</f>
        <v/>
      </c>
      <c r="T74" s="575" t="n"/>
      <c r="U74" s="575" t="inlineStr">
        <is>
          <t>A001010113</t>
        </is>
      </c>
      <c r="V74" s="612">
        <f>IF(_epmOfflineCondition_,"A001010113",EPMOlapMemberO(U74,"[C_ACCOUNT].[PARENTH1].[A001010113]","A001010113 -   存货","","000"))</f>
        <v/>
      </c>
      <c r="W74" s="726" t="n"/>
      <c r="X74" s="614" t="inlineStr">
        <is>
          <t xml:space="preserve">           存货</t>
        </is>
      </c>
      <c r="Y74" s="1312">
        <f>ROW()-45</f>
        <v/>
      </c>
      <c r="Z74" s="1316">
        <f>"— —"</f>
        <v/>
      </c>
      <c r="AA74" s="1336" t="n"/>
      <c r="AB74" s="1336" t="n"/>
      <c r="AC74" s="1362">
        <f>"— —"</f>
        <v/>
      </c>
      <c r="AD74" s="1361">
        <f>ROUND(AA74/10000,2)</f>
        <v/>
      </c>
      <c r="AE74" s="1361">
        <f>ROUND(AB74/10000,2)</f>
        <v/>
      </c>
      <c r="AF74" s="575" t="n"/>
      <c r="AG74" s="575" t="n"/>
      <c r="AH74" s="575" t="n"/>
      <c r="AI74" s="575" t="n"/>
      <c r="AJ74" s="575" t="n"/>
      <c r="AK74" s="575" t="n"/>
      <c r="AL74" s="575" t="n"/>
      <c r="AM74" s="575" t="n"/>
      <c r="AN74" s="575" t="n"/>
      <c r="AO74" s="575" t="n"/>
      <c r="AP74" s="575" t="n"/>
      <c r="AQ74" s="575" t="n"/>
      <c r="AR74" s="575" t="n"/>
    </row>
    <row r="75" ht="16.15" customFormat="1" customHeight="1" s="575">
      <c r="A75" s="575" t="n"/>
      <c r="B75" s="575" t="n"/>
      <c r="C75" s="575" t="n"/>
      <c r="D75" s="575" t="n"/>
      <c r="E75" s="575" t="n"/>
      <c r="F75" s="575" t="n"/>
      <c r="G75" s="575" t="n"/>
      <c r="H75" s="575" t="n"/>
      <c r="I75" s="575" t="n"/>
      <c r="J75" s="575" t="n"/>
      <c r="K75" s="575" t="n"/>
      <c r="L75" s="575" t="n"/>
      <c r="M75" s="575" t="n"/>
      <c r="N75" s="575" t="n"/>
      <c r="O75" s="575" t="n"/>
      <c r="P75" s="575" t="n"/>
      <c r="Q75" s="575" t="n"/>
      <c r="R75" s="575" t="n"/>
      <c r="S75" s="726">
        <f>IF(_epmOfflineCondition_,"     其中：原材料",EPMMemberDesc(U75))</f>
        <v/>
      </c>
      <c r="T75" s="575" t="n"/>
      <c r="U75" s="575" t="inlineStr">
        <is>
          <t>A00101011301</t>
        </is>
      </c>
      <c r="V75" s="611">
        <f>IF(_epmOfflineCondition_,"A00101011301",EPMOlapMemberO(U75,"[C_ACCOUNT].[PARENTH1].[A00101011301]","A00101011301 -      其中：原材料","","000"))</f>
        <v/>
      </c>
      <c r="W75" s="726" t="n"/>
      <c r="X75" s="458" t="inlineStr">
        <is>
          <t xml:space="preserve">         其中：原材料</t>
        </is>
      </c>
      <c r="Y75" s="1312">
        <f>ROW()-45</f>
        <v/>
      </c>
      <c r="Z75" s="1316">
        <f>"— —"</f>
        <v/>
      </c>
      <c r="AA75" s="1336" t="n"/>
      <c r="AB75" s="1336" t="n"/>
      <c r="AC75" s="1362">
        <f>"— —"</f>
        <v/>
      </c>
      <c r="AD75" s="1361">
        <f>ROUND(AA75/10000,2)</f>
        <v/>
      </c>
      <c r="AE75" s="1361">
        <f>ROUND(AB75/10000,2)</f>
        <v/>
      </c>
      <c r="AF75" s="575" t="n"/>
      <c r="AG75" s="575" t="n"/>
      <c r="AH75" s="575" t="n"/>
      <c r="AI75" s="575" t="n"/>
      <c r="AJ75" s="575" t="n"/>
      <c r="AK75" s="575" t="n"/>
      <c r="AL75" s="575" t="n"/>
      <c r="AM75" s="575" t="n"/>
      <c r="AN75" s="575" t="n"/>
      <c r="AO75" s="575" t="n"/>
      <c r="AP75" s="575" t="n"/>
      <c r="AQ75" s="575" t="n"/>
      <c r="AR75" s="575" t="n"/>
    </row>
    <row r="76" ht="16.15" customFormat="1" customHeight="1" s="575">
      <c r="A76" s="575" t="n"/>
      <c r="B76" s="575" t="n"/>
      <c r="C76" s="575" t="n"/>
      <c r="D76" s="575" t="n"/>
      <c r="E76" s="575" t="n"/>
      <c r="F76" s="575" t="n"/>
      <c r="G76" s="575" t="n"/>
      <c r="H76" s="575" t="n"/>
      <c r="I76" s="575" t="n"/>
      <c r="J76" s="575" t="n"/>
      <c r="K76" s="575" t="n"/>
      <c r="L76" s="575" t="n"/>
      <c r="M76" s="575" t="n"/>
      <c r="N76" s="575" t="n"/>
      <c r="O76" s="575" t="n"/>
      <c r="P76" s="575" t="n"/>
      <c r="Q76" s="575" t="n"/>
      <c r="R76" s="575" t="n"/>
      <c r="S76" s="726">
        <f>IF(_epmOfflineCondition_,"               库存商品（产成品）",EPMMemberDesc(U76))</f>
        <v/>
      </c>
      <c r="T76" s="575" t="n"/>
      <c r="U76" s="575" t="inlineStr">
        <is>
          <t>A00101011303</t>
        </is>
      </c>
      <c r="V76" s="611">
        <f>IF(_epmOfflineCondition_,"A00101011303",EPMOlapMemberO(U76,"[C_ACCOUNT].[PARENTH1].[A00101011303]","A00101011303 -                库存商品（产成品）","","000"))</f>
        <v/>
      </c>
      <c r="W76" s="726" t="n"/>
      <c r="X76" s="458" t="inlineStr">
        <is>
          <t xml:space="preserve">                    库存商品(产成品)</t>
        </is>
      </c>
      <c r="Y76" s="1312">
        <f>ROW()-45</f>
        <v/>
      </c>
      <c r="Z76" s="1316">
        <f>"— —"</f>
        <v/>
      </c>
      <c r="AA76" s="1336" t="n"/>
      <c r="AB76" s="1336" t="n"/>
      <c r="AC76" s="1362">
        <f>"— —"</f>
        <v/>
      </c>
      <c r="AD76" s="1361">
        <f>ROUND(AA76/10000,2)</f>
        <v/>
      </c>
      <c r="AE76" s="1361">
        <f>ROUND(AB76/10000,2)</f>
        <v/>
      </c>
      <c r="AF76" s="575" t="n"/>
      <c r="AG76" s="575" t="n"/>
      <c r="AH76" s="575" t="n"/>
      <c r="AI76" s="575" t="n"/>
      <c r="AJ76" s="575" t="n"/>
      <c r="AK76" s="575" t="n"/>
      <c r="AL76" s="575" t="n"/>
      <c r="AM76" s="575" t="n"/>
      <c r="AN76" s="575" t="n"/>
      <c r="AO76" s="575" t="n"/>
      <c r="AP76" s="575" t="n"/>
      <c r="AQ76" s="575" t="n"/>
      <c r="AR76" s="575" t="n"/>
    </row>
    <row r="77" ht="16.15" customFormat="1" customHeight="1" s="575">
      <c r="A77" s="575" t="n"/>
      <c r="B77" s="575" t="n"/>
      <c r="C77" s="575" t="n"/>
      <c r="D77" s="575" t="n"/>
      <c r="E77" s="575" t="n"/>
      <c r="F77" s="575" t="n"/>
      <c r="G77" s="575" t="n"/>
      <c r="H77" s="575" t="n"/>
      <c r="I77" s="575" t="n"/>
      <c r="J77" s="575" t="n"/>
      <c r="K77" s="575" t="n"/>
      <c r="L77" s="575" t="n"/>
      <c r="M77" s="575" t="n"/>
      <c r="N77" s="575" t="n"/>
      <c r="O77" s="575" t="n"/>
      <c r="P77" s="575" t="n"/>
      <c r="Q77" s="575" t="n"/>
      <c r="R77" s="575" t="n"/>
      <c r="S77" s="726">
        <f>IF(_epmOfflineCondition_,"  合同资产",EPMMemberDesc(U77))</f>
        <v/>
      </c>
      <c r="T77" s="575" t="n"/>
      <c r="U77" s="575" t="inlineStr">
        <is>
          <t>A001010114</t>
        </is>
      </c>
      <c r="V77" s="612">
        <f>IF(_epmOfflineCondition_,"A001010114",EPMOlapMemberO(U77,"[C_ACCOUNT].[PARENTH1].[A001010114]","A001010114 -   合同资产","","000"))</f>
        <v/>
      </c>
      <c r="W77" s="726" t="n"/>
      <c r="X77" s="614" t="inlineStr">
        <is>
          <t xml:space="preserve">           合同资产</t>
        </is>
      </c>
      <c r="Y77" s="1312">
        <f>ROW()-45</f>
        <v/>
      </c>
      <c r="Z77" s="1316">
        <f>"— —"</f>
        <v/>
      </c>
      <c r="AA77" s="1336" t="n"/>
      <c r="AB77" s="1336" t="n"/>
      <c r="AC77" s="1362">
        <f>"— —"</f>
        <v/>
      </c>
      <c r="AD77" s="1361">
        <f>ROUND(AA77/10000,2)</f>
        <v/>
      </c>
      <c r="AE77" s="1361">
        <f>ROUND(AB77/10000,2)</f>
        <v/>
      </c>
      <c r="AF77" s="575" t="n"/>
      <c r="AG77" s="575" t="n"/>
      <c r="AH77" s="575" t="n"/>
      <c r="AI77" s="575" t="n"/>
      <c r="AJ77" s="575" t="n"/>
      <c r="AK77" s="575" t="n"/>
      <c r="AL77" s="575" t="n"/>
      <c r="AM77" s="575" t="n"/>
      <c r="AN77" s="575" t="n"/>
      <c r="AO77" s="575" t="n"/>
      <c r="AP77" s="575" t="n"/>
      <c r="AQ77" s="575" t="n"/>
      <c r="AR77" s="575" t="n"/>
    </row>
    <row r="78" ht="16.15" customFormat="1" customHeight="1" s="575">
      <c r="A78" s="575" t="n"/>
      <c r="B78" s="575" t="n"/>
      <c r="C78" s="575" t="n"/>
      <c r="D78" s="575" t="n"/>
      <c r="E78" s="575" t="n"/>
      <c r="F78" s="575" t="n"/>
      <c r="G78" s="575" t="n"/>
      <c r="H78" s="575" t="n"/>
      <c r="I78" s="575" t="n"/>
      <c r="J78" s="575" t="n"/>
      <c r="K78" s="575" t="n"/>
      <c r="L78" s="575" t="n"/>
      <c r="M78" s="575" t="n"/>
      <c r="N78" s="575" t="n"/>
      <c r="O78" s="575" t="n"/>
      <c r="P78" s="575" t="n"/>
      <c r="Q78" s="575" t="n"/>
      <c r="R78" s="575" t="n"/>
      <c r="S78" s="726">
        <f>IF(_epmOfflineCondition_,"　       负债合计",EPMMemberDesc(U78))</f>
        <v/>
      </c>
      <c r="T78" s="575" t="n"/>
      <c r="U78" s="575" t="inlineStr">
        <is>
          <t>A00102</t>
        </is>
      </c>
      <c r="V78" s="616">
        <f>IF(_epmOfflineCondition_,"A00102",EPMOlapMemberO(U78,"[C_ACCOUNT].[PARENTH1].[A00102]","A00102 - 　       负债合计","","000"))</f>
        <v/>
      </c>
      <c r="W78" s="726" t="n"/>
      <c r="X78" s="585" t="inlineStr">
        <is>
          <t>20. 负债总额</t>
        </is>
      </c>
      <c r="Y78" s="1312">
        <f>ROW()-45</f>
        <v/>
      </c>
      <c r="Z78" s="1316">
        <f>"— —"</f>
        <v/>
      </c>
      <c r="AA78" s="1336" t="inlineStr"/>
      <c r="AB78" s="1336" t="inlineStr"/>
      <c r="AC78" s="1362">
        <f>"— —"</f>
        <v/>
      </c>
      <c r="AD78" s="1361">
        <f>ROUND(AA78/10000,2)</f>
        <v/>
      </c>
      <c r="AE78" s="1361">
        <f>ROUND(AB78/10000,2)</f>
        <v/>
      </c>
      <c r="AF78" s="575" t="n"/>
      <c r="AG78" s="575" t="n"/>
      <c r="AH78" s="575" t="n"/>
      <c r="AI78" s="575" t="n"/>
      <c r="AJ78" s="575" t="n"/>
      <c r="AK78" s="575" t="n"/>
      <c r="AL78" s="575" t="n"/>
      <c r="AM78" s="575" t="n"/>
      <c r="AN78" s="575" t="n"/>
      <c r="AO78" s="575" t="n"/>
      <c r="AP78" s="575" t="n"/>
      <c r="AQ78" s="575" t="n"/>
      <c r="AR78" s="575" t="n"/>
    </row>
    <row r="79" ht="16.15" customFormat="1" customHeight="1" s="575">
      <c r="A79" s="575" t="n"/>
      <c r="B79" s="575" t="n"/>
      <c r="C79" s="575" t="n"/>
      <c r="D79" s="575" t="n"/>
      <c r="E79" s="575" t="n"/>
      <c r="F79" s="575" t="n"/>
      <c r="G79" s="575" t="n"/>
      <c r="H79" s="575" t="n"/>
      <c r="I79" s="575" t="n"/>
      <c r="J79" s="575" t="n"/>
      <c r="K79" s="575" t="n"/>
      <c r="L79" s="575" t="n"/>
      <c r="M79" s="575" t="n"/>
      <c r="N79" s="575" t="n"/>
      <c r="O79" s="575" t="n"/>
      <c r="P79" s="575" t="n"/>
      <c r="Q79" s="575" t="n"/>
      <c r="R79" s="575" t="n"/>
      <c r="S79" s="726">
        <f>IF(_epmOfflineCondition_,"　       流动负债合计",EPMMemberDesc(U79))</f>
        <v/>
      </c>
      <c r="T79" s="575" t="n"/>
      <c r="U79" s="575" t="inlineStr">
        <is>
          <t>A0010201</t>
        </is>
      </c>
      <c r="V79" s="612">
        <f>IF(_epmOfflineCondition_,"A0010201",EPMOlapMemberO(U79,"[C_ACCOUNT].[PARENTH1].[A0010201]","A0010201 - 　       流动负债合计","","000"))</f>
        <v/>
      </c>
      <c r="W79" s="726" t="n"/>
      <c r="X79" s="585" t="inlineStr">
        <is>
          <t>21. 流动负债</t>
        </is>
      </c>
      <c r="Y79" s="1312">
        <f>ROW()-45</f>
        <v/>
      </c>
      <c r="Z79" s="1316">
        <f>"— —"</f>
        <v/>
      </c>
      <c r="AA79" s="1336" t="inlineStr"/>
      <c r="AB79" s="1336" t="inlineStr"/>
      <c r="AC79" s="1362">
        <f>"— —"</f>
        <v/>
      </c>
      <c r="AD79" s="1361">
        <f>ROUND(AA79/10000,2)</f>
        <v/>
      </c>
      <c r="AE79" s="1361">
        <f>ROUND(AB79/10000,2)</f>
        <v/>
      </c>
      <c r="AF79" s="575" t="n"/>
      <c r="AG79" s="575" t="n"/>
      <c r="AH79" s="575" t="n"/>
      <c r="AI79" s="575" t="n"/>
      <c r="AJ79" s="575" t="n"/>
      <c r="AK79" s="575" t="n"/>
      <c r="AL79" s="575" t="n"/>
      <c r="AM79" s="575" t="n"/>
      <c r="AN79" s="575" t="n"/>
      <c r="AO79" s="575" t="n"/>
      <c r="AP79" s="575" t="n"/>
      <c r="AQ79" s="575" t="n"/>
      <c r="AR79" s="575" t="n"/>
    </row>
    <row r="80" ht="16.15" customFormat="1" customHeight="1" s="575">
      <c r="A80" s="575" t="n"/>
      <c r="B80" s="575" t="n"/>
      <c r="C80" s="575" t="n"/>
      <c r="D80" s="575" t="n"/>
      <c r="E80" s="575" t="n"/>
      <c r="F80" s="575" t="n"/>
      <c r="G80" s="575" t="n"/>
      <c r="H80" s="575" t="n"/>
      <c r="I80" s="575" t="n"/>
      <c r="J80" s="575" t="n"/>
      <c r="K80" s="575" t="n"/>
      <c r="L80" s="575" t="n"/>
      <c r="M80" s="575" t="n"/>
      <c r="N80" s="602" t="inlineStr">
        <is>
          <t>22. 带息负债总额</t>
        </is>
      </c>
      <c r="R80" s="575" t="n"/>
      <c r="S80" s="726">
        <f>IF(_epmOfflineCondition_,"   应付票据",EPMMemberDesc(U80))</f>
        <v/>
      </c>
      <c r="T80" s="575" t="n"/>
      <c r="U80" s="575" t="inlineStr">
        <is>
          <t>A001020107</t>
        </is>
      </c>
      <c r="V80" s="611">
        <f>IF(_epmOfflineCondition_,"A001020107",EPMOlapMemberO(U80,"[C_ACCOUNT].[PARENTH1].[A001020107]","A001020107 -    应付票据","","000"))</f>
        <v/>
      </c>
      <c r="W80" s="726" t="n"/>
      <c r="X80" s="457" t="inlineStr">
        <is>
          <t xml:space="preserve">   其中：应付票据</t>
        </is>
      </c>
      <c r="Y80" s="1312">
        <f>ROW()-45</f>
        <v/>
      </c>
      <c r="Z80" s="1316">
        <f>"— —"</f>
        <v/>
      </c>
      <c r="AA80" s="1336" t="n"/>
      <c r="AB80" s="1336" t="n"/>
      <c r="AC80" s="1362">
        <f>"— —"</f>
        <v/>
      </c>
      <c r="AD80" s="1361">
        <f>ROUND(AA80/10000,2)</f>
        <v/>
      </c>
      <c r="AE80" s="1361">
        <f>ROUND(AB80/10000,2)</f>
        <v/>
      </c>
      <c r="AF80" s="575" t="n"/>
      <c r="AG80" s="575" t="n"/>
      <c r="AH80" s="575" t="n"/>
      <c r="AI80" s="575" t="n"/>
      <c r="AJ80" s="575" t="n"/>
      <c r="AK80" s="575" t="n"/>
      <c r="AL80" s="575" t="n"/>
      <c r="AM80" s="575" t="n"/>
      <c r="AN80" s="575" t="n"/>
      <c r="AO80" s="575" t="n"/>
      <c r="AP80" s="575" t="n"/>
      <c r="AQ80" s="575" t="n"/>
      <c r="AR80" s="575" t="n"/>
    </row>
    <row r="81" ht="16.15" customFormat="1" customHeight="1" s="575">
      <c r="A81" s="575" t="n"/>
      <c r="B81" s="575" t="n"/>
      <c r="C81" s="575" t="n"/>
      <c r="D81" s="575" t="n"/>
      <c r="E81" s="575" t="n"/>
      <c r="F81" s="575" t="n"/>
      <c r="G81" s="575" t="n"/>
      <c r="H81" s="575" t="n"/>
      <c r="I81" s="575" t="n"/>
      <c r="J81" s="575" t="n"/>
      <c r="K81" s="575" t="n"/>
      <c r="L81" s="575" t="n"/>
      <c r="M81" s="575" t="n"/>
      <c r="N81" s="434" t="inlineStr">
        <is>
          <t>上年同期</t>
        </is>
      </c>
      <c r="O81" s="603" t="inlineStr">
        <is>
          <t>本年累计</t>
        </is>
      </c>
      <c r="P81" s="603" t="inlineStr">
        <is>
          <t>本月</t>
        </is>
      </c>
      <c r="Q81" s="434" t="inlineStr">
        <is>
          <t>科目</t>
        </is>
      </c>
      <c r="R81" s="575" t="n"/>
      <c r="S81" s="726">
        <f>IF(_epmOfflineCondition_,"   应付账款",EPMMemberDesc(U81))</f>
        <v/>
      </c>
      <c r="T81" s="575" t="n"/>
      <c r="U81" s="575" t="inlineStr">
        <is>
          <t>A001020108</t>
        </is>
      </c>
      <c r="V81" s="611">
        <f>IF(_epmOfflineCondition_,"A001020108",EPMOlapMemberO(U81,"[C_ACCOUNT].[PARENTH1].[A001020108]","A001020108 -    应付账款","","000"))</f>
        <v/>
      </c>
      <c r="W81" s="726" t="n"/>
      <c r="X81" s="614" t="inlineStr">
        <is>
          <t xml:space="preserve">           应付账款</t>
        </is>
      </c>
      <c r="Y81" s="1312">
        <f>ROW()-45</f>
        <v/>
      </c>
      <c r="Z81" s="1316">
        <f>"— —"</f>
        <v/>
      </c>
      <c r="AA81" s="1336" t="inlineStr"/>
      <c r="AB81" s="1336" t="inlineStr"/>
      <c r="AC81" s="1362">
        <f>"— —"</f>
        <v/>
      </c>
      <c r="AD81" s="1361">
        <f>ROUND(AA81/10000,2)</f>
        <v/>
      </c>
      <c r="AE81" s="1361">
        <f>ROUND(AB81/10000,2)</f>
        <v/>
      </c>
      <c r="AF81" s="575" t="n"/>
      <c r="AG81" s="575" t="n"/>
      <c r="AH81" s="575" t="n"/>
      <c r="AI81" s="575" t="n"/>
      <c r="AJ81" s="575" t="n"/>
      <c r="AK81" s="575" t="n"/>
      <c r="AL81" s="575" t="n"/>
      <c r="AM81" s="575" t="n"/>
      <c r="AN81" s="575" t="n"/>
      <c r="AO81" s="575" t="n"/>
      <c r="AP81" s="575" t="n"/>
      <c r="AQ81" s="575" t="n"/>
      <c r="AR81" s="575" t="n"/>
    </row>
    <row r="82" ht="16.15" customFormat="1" customHeight="1" s="575">
      <c r="A82" s="575" t="n"/>
      <c r="B82" s="575" t="n"/>
      <c r="C82" s="575" t="n"/>
      <c r="D82" s="575" t="n"/>
      <c r="E82" s="575" t="n"/>
      <c r="F82" s="575" t="n"/>
      <c r="G82" s="575" t="n"/>
      <c r="H82" s="575" t="n"/>
      <c r="I82" s="575" t="n"/>
      <c r="J82" s="575" t="n"/>
      <c r="K82" s="575" t="n"/>
      <c r="L82" s="575" t="n"/>
      <c r="M82" s="575" t="n"/>
      <c r="N82" s="1348">
        <f>IF(_epmOfflineCondition_,1470000000,EPMRetrieveData(,,$D$21,$D$22,$D$25,$D$26,$D$27,$D$28,$D$29,$AB$41,$AA$42,$AA$43,$AA$44,$AA$45,U82))</f>
        <v/>
      </c>
      <c r="O82" s="1348">
        <f>IF(_epmOfflineCondition_,190000000,EPMRetrieveData(,,$D$21,$D$22,$D$25,$D$26,$D$27,$D$28,$D$29,$AA$41,$AA$42,$AA$43,$AA$44,$AA$45,Q82))</f>
        <v/>
      </c>
      <c r="P82" s="1348">
        <f>IF(_epmOfflineCondition_,0,EPMRetrieveData(,,$D$21,$D$22,$D$25,$D$26,$D$27,$D$28,$D$29,$Z$41,$Z$42,$Z$43,$Z$28,$Z$45,Q82))</f>
        <v/>
      </c>
      <c r="Q82" s="575" t="inlineStr">
        <is>
          <t>A01201</t>
        </is>
      </c>
      <c r="R82" s="575" t="inlineStr">
        <is>
          <t>带息负债总额</t>
        </is>
      </c>
      <c r="S82" s="726">
        <f>IF(_epmOfflineCondition_,"带息负债总额",EPMMemberDesc(U82))</f>
        <v/>
      </c>
      <c r="T82" s="575" t="n"/>
      <c r="U82" s="575" t="inlineStr">
        <is>
          <t>A09603</t>
        </is>
      </c>
      <c r="V82" s="726">
        <f>IF(_epmOfflineCondition_,"A09603",EPMOlapMemberO(U82,"[C_ACCOUNT].[PARENTH1].[A09603]","A09603 - 带息负债总额","","000"))</f>
        <v/>
      </c>
      <c r="W82" s="726" t="n"/>
      <c r="X82" s="585" t="inlineStr">
        <is>
          <t>22. 带息负债总额</t>
        </is>
      </c>
      <c r="Y82" s="1312">
        <f>ROW()-45</f>
        <v/>
      </c>
      <c r="Z82" s="1316">
        <f>"— —"</f>
        <v/>
      </c>
      <c r="AA82" s="1363" t="inlineStr"/>
      <c r="AB82" s="1336" t="inlineStr"/>
      <c r="AC82" s="1362">
        <f>"— —"</f>
        <v/>
      </c>
      <c r="AD82" s="1361">
        <f>ROUND(AA82/10000,2)</f>
        <v/>
      </c>
      <c r="AE82" s="1361">
        <f>ROUND(AB82/10000,2)</f>
        <v/>
      </c>
      <c r="AF82" s="575" t="n"/>
      <c r="AG82" s="575" t="n"/>
      <c r="AH82" s="575" t="n"/>
      <c r="AI82" s="575" t="n"/>
      <c r="AJ82" s="575" t="n"/>
      <c r="AK82" s="575" t="n"/>
      <c r="AL82" s="575" t="n"/>
      <c r="AM82" s="575" t="n"/>
      <c r="AN82" s="575" t="n"/>
      <c r="AO82" s="575" t="n"/>
      <c r="AP82" s="575" t="n"/>
      <c r="AQ82" s="575" t="n"/>
      <c r="AR82" s="575" t="n"/>
    </row>
    <row r="83" ht="16.15" customFormat="1" customHeight="1" s="575">
      <c r="A83" s="575" t="n"/>
      <c r="B83" s="575" t="n"/>
      <c r="C83" s="575" t="n"/>
      <c r="D83" s="575" t="n"/>
      <c r="E83" s="575" t="n"/>
      <c r="F83" s="575" t="n"/>
      <c r="G83" s="575" t="n"/>
      <c r="H83" s="575" t="n"/>
      <c r="I83" s="575" t="n"/>
      <c r="J83" s="575" t="n"/>
      <c r="K83" s="575" t="n"/>
      <c r="L83" s="575" t="n"/>
      <c r="M83" s="575" t="n"/>
      <c r="N83" s="1348">
        <f>IF(_epmOfflineCondition_,0,EPMRetrieveData(,,$D$21,$D$22,$D$25,$D$26,$D$27,$D$28,$D$29,$AB$41,$AA$42,$AA$43,$AA$44,$AA$45,Q83))</f>
        <v/>
      </c>
      <c r="O83" s="1348">
        <f>IF(_epmOfflineCondition_,0,EPMRetrieveData(,,$D$21,$D$22,$D$25,$D$26,$D$27,$D$28,$D$29,$AA$41,$AA$42,$AA$43,$AA$44,$AA$45,Q83))</f>
        <v/>
      </c>
      <c r="P83" s="1348">
        <f>IF(_epmOfflineCondition_,0,EPMRetrieveData(,,$D$21,$D$22,$D$25,$D$26,$D$27,$D$28,$D$29,$Z$41,$Z$42,$Z$43,$Z$28,$Z$45,Q83))</f>
        <v/>
      </c>
      <c r="Q83" s="575" t="inlineStr">
        <is>
          <t>A01202</t>
        </is>
      </c>
      <c r="R83" s="607" t="inlineStr">
        <is>
          <t>带息负债总额</t>
        </is>
      </c>
      <c r="S83" s="726">
        <f>IF(_epmOfflineCondition_,"   其中：银行借款",EPMMemberDesc(U83))</f>
        <v/>
      </c>
      <c r="T83" s="575" t="n"/>
      <c r="U83" s="607" t="inlineStr">
        <is>
          <t>A07811</t>
        </is>
      </c>
      <c r="V83" s="616">
        <f>IF(_epmOfflineCondition_,"A07811",EPMOlapMemberO(U83,"[C_ACCOUNT].[PARENTH1].[A07811]","A07811 -    其中：银行借款","","000"))</f>
        <v/>
      </c>
      <c r="W83" s="726" t="n"/>
      <c r="X83" s="457" t="inlineStr">
        <is>
          <t xml:space="preserve">   其中：银行借款</t>
        </is>
      </c>
      <c r="Y83" s="1312">
        <f>ROW()-45</f>
        <v/>
      </c>
      <c r="Z83" s="1316">
        <f>"— —"</f>
        <v/>
      </c>
      <c r="AA83" s="1363" t="inlineStr"/>
      <c r="AB83" s="1336" t="inlineStr"/>
      <c r="AC83" s="1362">
        <f>"— —"</f>
        <v/>
      </c>
      <c r="AD83" s="1361">
        <f>ROUND(AA83/10000,2)</f>
        <v/>
      </c>
      <c r="AE83" s="1361">
        <f>ROUND(AB83/10000,2)</f>
        <v/>
      </c>
      <c r="AF83" s="575" t="n"/>
      <c r="AG83" s="575" t="n"/>
      <c r="AH83" s="575" t="n"/>
      <c r="AI83" s="575" t="n"/>
      <c r="AJ83" s="575" t="n"/>
      <c r="AK83" s="575" t="n"/>
      <c r="AL83" s="575" t="n"/>
      <c r="AM83" s="575" t="n"/>
      <c r="AN83" s="575" t="n"/>
      <c r="AO83" s="575" t="n"/>
      <c r="AP83" s="575" t="n"/>
      <c r="AQ83" s="575" t="n"/>
      <c r="AR83" s="575" t="n"/>
    </row>
    <row r="84" ht="16.15" customFormat="1" customHeight="1" s="575">
      <c r="A84" s="575" t="n"/>
      <c r="B84" s="575" t="n"/>
      <c r="C84" s="575" t="n"/>
      <c r="D84" s="575" t="n"/>
      <c r="E84" s="575" t="n"/>
      <c r="F84" s="575" t="n"/>
      <c r="G84" s="575" t="n"/>
      <c r="H84" s="575" t="n"/>
      <c r="I84" s="575" t="n"/>
      <c r="J84" s="575" t="n"/>
      <c r="K84" s="575" t="n"/>
      <c r="L84" s="575" t="n"/>
      <c r="M84" s="575" t="n"/>
      <c r="N84" s="1348">
        <f>IF(_epmOfflineCondition_,0,EPMRetrieveData(,,$D$21,$D$22,$D$25,$D$26,$D$27,$D$28,$D$29,$AB$41,$AA$42,$AA$43,$AA$44,$AA$45,Q84))</f>
        <v/>
      </c>
      <c r="O84" s="1348">
        <f>IF(_epmOfflineCondition_,0,EPMRetrieveData(,,$D$21,$D$22,$D$25,$D$26,$D$27,$D$28,$D$29,$AA$41,$AA$42,$AA$43,$AA$44,$AA$45,Q84))</f>
        <v/>
      </c>
      <c r="P84" s="1348">
        <f>IF(_epmOfflineCondition_,0,EPMRetrieveData(,,$D$21,$D$22,$D$25,$D$26,$D$27,$D$28,$D$29,$Z$41,$Z$42,$Z$43,$Z$28,$Z$45,Q84))</f>
        <v/>
      </c>
      <c r="Q84" s="575" t="inlineStr">
        <is>
          <t>A012010101</t>
        </is>
      </c>
      <c r="R84" s="726" t="inlineStr">
        <is>
          <t>其中：银行借款</t>
        </is>
      </c>
      <c r="S84" s="726">
        <f>IF(_epmOfflineCondition_,"  应付债券",EPMMemberDesc(U84))</f>
        <v/>
      </c>
      <c r="T84" s="575" t="n"/>
      <c r="U84" s="575" t="inlineStr">
        <is>
          <t>A001020202</t>
        </is>
      </c>
      <c r="V84" s="611">
        <f>IF(_epmOfflineCondition_,"A001020202",EPMOlapMemberO(U84,"[C_ACCOUNT].[PARENTH1].[A001020202]","A001020202 -   应付债券","","000"))</f>
        <v/>
      </c>
      <c r="W84" s="726" t="n"/>
      <c r="X84" s="614" t="inlineStr">
        <is>
          <t xml:space="preserve">           应付债券</t>
        </is>
      </c>
      <c r="Y84" s="1312">
        <f>ROW()-45</f>
        <v/>
      </c>
      <c r="Z84" s="1316">
        <f>"— —"</f>
        <v/>
      </c>
      <c r="AA84" s="1336" t="n"/>
      <c r="AB84" s="1336" t="n"/>
      <c r="AC84" s="1362">
        <f>"— —"</f>
        <v/>
      </c>
      <c r="AD84" s="1361">
        <f>ROUND(AA84/10000,2)</f>
        <v/>
      </c>
      <c r="AE84" s="1361">
        <f>ROUND(AB84/10000,2)</f>
        <v/>
      </c>
      <c r="AF84" s="575" t="n"/>
      <c r="AG84" s="575" t="n"/>
      <c r="AH84" s="575" t="n"/>
      <c r="AI84" s="575" t="n"/>
      <c r="AJ84" s="575" t="n"/>
      <c r="AK84" s="575" t="n"/>
      <c r="AL84" s="575" t="n"/>
      <c r="AM84" s="575" t="n"/>
      <c r="AN84" s="575" t="n"/>
      <c r="AO84" s="575" t="n"/>
      <c r="AP84" s="575" t="n"/>
      <c r="AQ84" s="575" t="n"/>
      <c r="AR84" s="575" t="n"/>
    </row>
    <row r="85" ht="16.15" customFormat="1" customHeight="1" s="575">
      <c r="A85" s="575" t="n"/>
      <c r="B85" s="575" t="n"/>
      <c r="C85" s="575" t="n"/>
      <c r="D85" s="575" t="n"/>
      <c r="E85" s="575" t="n"/>
      <c r="F85" s="575" t="n"/>
      <c r="G85" s="575" t="n"/>
      <c r="H85" s="575" t="n"/>
      <c r="I85" s="575" t="n"/>
      <c r="J85" s="575" t="n"/>
      <c r="K85" s="575" t="n"/>
      <c r="L85" s="575" t="n"/>
      <c r="M85" s="575" t="n"/>
      <c r="N85" s="1348">
        <f>IF(_epmOfflineCondition_,310000000,EPMRetrieveData(,,$D$21,$D$22,$D$25,$D$26,$D$27,$D$28,$D$29,$AB$41,$AA$42,$AA$43,$AA$44,$AA$45,Q85))</f>
        <v/>
      </c>
      <c r="O85" s="1348">
        <f>IF(_epmOfflineCondition_,310000000,EPMRetrieveData(,,$D$21,$D$22,$D$25,$D$26,$D$27,$D$28,$D$29,$AA$41,$AA$42,$AA$43,$AA$44,$AA$45,Q85))</f>
        <v/>
      </c>
      <c r="P85" s="1348">
        <f>IF(_epmOfflineCondition_,0,EPMRetrieveData(,,$D$21,$D$22,$D$25,$D$26,$D$27,$D$28,$D$29,$Z$41,$Z$42,$Z$43,$Z$28,$Z$45,Q85))</f>
        <v/>
      </c>
      <c r="Q85" s="575" t="inlineStr">
        <is>
          <t>A012020101</t>
        </is>
      </c>
      <c r="R85" s="726" t="inlineStr">
        <is>
          <t>其中：银行借款</t>
        </is>
      </c>
      <c r="S85" s="726">
        <f>IF(_epmOfflineCondition_,"        所有者权益合计",EPMMemberDesc(U85))</f>
        <v/>
      </c>
      <c r="T85" s="575" t="n"/>
      <c r="U85" s="575" t="inlineStr">
        <is>
          <t>A00103</t>
        </is>
      </c>
      <c r="V85" s="616">
        <f>IF(_epmOfflineCondition_,"A00103",EPMOlapMemberO(U85,"[C_ACCOUNT].[PARENTH1].[A00103]","A00103 -         所有者权益合计","","000"))</f>
        <v/>
      </c>
      <c r="W85" s="726" t="n"/>
      <c r="X85" s="585" t="inlineStr">
        <is>
          <t>23. 所有者权益总额</t>
        </is>
      </c>
      <c r="Y85" s="1312">
        <f>ROW()-45</f>
        <v/>
      </c>
      <c r="Z85" s="1316">
        <f>"— —"</f>
        <v/>
      </c>
      <c r="AA85" s="1336" t="inlineStr"/>
      <c r="AB85" s="1336" t="inlineStr"/>
      <c r="AC85" s="1362">
        <f>"— —"</f>
        <v/>
      </c>
      <c r="AD85" s="1361">
        <f>ROUND(AA85/10000,2)</f>
        <v/>
      </c>
      <c r="AE85" s="1361">
        <f>ROUND(AB85/10000,2)</f>
        <v/>
      </c>
      <c r="AF85" s="575" t="n"/>
      <c r="AG85" s="575" t="n"/>
      <c r="AH85" s="575" t="n"/>
      <c r="AI85" s="575" t="n"/>
      <c r="AJ85" s="575" t="n"/>
      <c r="AK85" s="575" t="n"/>
      <c r="AL85" s="575" t="n"/>
      <c r="AM85" s="575" t="n"/>
      <c r="AN85" s="575" t="n"/>
      <c r="AO85" s="575" t="n"/>
      <c r="AP85" s="575" t="n"/>
      <c r="AQ85" s="575" t="n"/>
      <c r="AR85" s="575" t="n"/>
    </row>
    <row r="86" ht="16.15" customFormat="1" customHeight="1" s="575">
      <c r="A86" s="575" t="n"/>
      <c r="B86" s="575" t="n"/>
      <c r="C86" s="575" t="n"/>
      <c r="D86" s="575" t="n"/>
      <c r="E86" s="575" t="n"/>
      <c r="F86" s="575" t="n"/>
      <c r="G86" s="575" t="n"/>
      <c r="H86" s="575" t="n"/>
      <c r="I86" s="575" t="n"/>
      <c r="J86" s="575" t="n"/>
      <c r="K86" s="575" t="n"/>
      <c r="L86" s="575" t="n"/>
      <c r="M86" s="575" t="n"/>
      <c r="N86" s="1348" t="n"/>
      <c r="O86" s="1348" t="n"/>
      <c r="P86" s="1348" t="n"/>
      <c r="Q86" s="575" t="n"/>
      <c r="R86" s="726" t="n"/>
      <c r="S86" s="726">
        <f>IF(_epmOfflineCondition_,"  其他权益工具",EPMMemberDesc(U86))</f>
        <v/>
      </c>
      <c r="T86" s="575" t="n"/>
      <c r="U86" s="575" t="inlineStr">
        <is>
          <t>A0010302</t>
        </is>
      </c>
      <c r="V86" s="611">
        <f>IF(_epmOfflineCondition_,"A0010302",EPMOlapMemberO(U86,"[C_ACCOUNT].[PARENTH1].[A0010302]","A0010302 -   其他权益工具","","000"))</f>
        <v/>
      </c>
      <c r="W86" s="726" t="n"/>
      <c r="X86" s="457" t="inlineStr">
        <is>
          <t xml:space="preserve">   其中：其他权益工具</t>
        </is>
      </c>
      <c r="Y86" s="1312">
        <f>ROW()-45</f>
        <v/>
      </c>
      <c r="Z86" s="1316">
        <f>"— —"</f>
        <v/>
      </c>
      <c r="AA86" s="1336" t="n"/>
      <c r="AB86" s="1336" t="n"/>
      <c r="AC86" s="1362">
        <f>"— —"</f>
        <v/>
      </c>
      <c r="AD86" s="1361">
        <f>ROUND(AA86/10000,2)</f>
        <v/>
      </c>
      <c r="AE86" s="1361">
        <f>ROUND(AB86/10000,2)</f>
        <v/>
      </c>
      <c r="AF86" s="575" t="n"/>
      <c r="AG86" s="575" t="n"/>
      <c r="AH86" s="575" t="n"/>
      <c r="AI86" s="575" t="n"/>
      <c r="AJ86" s="575" t="n"/>
      <c r="AK86" s="575" t="n"/>
      <c r="AL86" s="575" t="n"/>
      <c r="AM86" s="575" t="n"/>
      <c r="AN86" s="575" t="n"/>
      <c r="AO86" s="575" t="n"/>
      <c r="AP86" s="575" t="n"/>
      <c r="AQ86" s="575" t="n"/>
      <c r="AR86" s="575" t="n"/>
    </row>
    <row r="87" ht="16.15" customFormat="1" customHeight="1" s="575">
      <c r="A87" s="575" t="n"/>
      <c r="B87" s="575" t="n"/>
      <c r="C87" s="575" t="n"/>
      <c r="D87" s="575" t="n"/>
      <c r="E87" s="575" t="n"/>
      <c r="F87" s="575" t="n"/>
      <c r="G87" s="575" t="n"/>
      <c r="H87" s="575" t="n"/>
      <c r="I87" s="575" t="n"/>
      <c r="J87" s="575" t="n"/>
      <c r="K87" s="575" t="n"/>
      <c r="L87" s="575" t="n"/>
      <c r="M87" s="575" t="n"/>
      <c r="N87" s="1348" t="n"/>
      <c r="O87" s="1348" t="n"/>
      <c r="P87" s="1348" t="n"/>
      <c r="Q87" s="575" t="n"/>
      <c r="R87" s="726" t="n"/>
      <c r="S87" s="726">
        <f>IF(_epmOfflineCondition_,"                 永续债",EPMMemberDesc(U87))</f>
        <v/>
      </c>
      <c r="T87" s="575" t="n"/>
      <c r="U87" s="575" t="inlineStr">
        <is>
          <t>A001030202</t>
        </is>
      </c>
      <c r="V87" s="590">
        <f>IF(_epmOfflineCondition_,"A001030202",EPMOlapMemberO(U87,"[C_ACCOUNT].[PARENTH1].[A001030202]","A001030202 -                  永续债","","000"))</f>
        <v/>
      </c>
      <c r="W87" s="726" t="n"/>
      <c r="X87" s="585" t="inlineStr">
        <is>
          <t xml:space="preserve">         其中：永续债</t>
        </is>
      </c>
      <c r="Y87" s="1312">
        <f>ROW()-45</f>
        <v/>
      </c>
      <c r="Z87" s="1316">
        <f>"— —"</f>
        <v/>
      </c>
      <c r="AA87" s="1336" t="n"/>
      <c r="AB87" s="1336" t="n"/>
      <c r="AC87" s="1362">
        <f>"— —"</f>
        <v/>
      </c>
      <c r="AD87" s="1361">
        <f>ROUND(AA87/10000,2)</f>
        <v/>
      </c>
      <c r="AE87" s="1361">
        <f>ROUND(AB87/10000,2)</f>
        <v/>
      </c>
      <c r="AF87" s="575" t="n"/>
      <c r="AG87" s="575" t="n"/>
      <c r="AH87" s="575" t="n"/>
      <c r="AI87" s="575" t="n"/>
      <c r="AJ87" s="575" t="n"/>
      <c r="AK87" s="575" t="n"/>
      <c r="AL87" s="575" t="n"/>
      <c r="AM87" s="575" t="n"/>
      <c r="AN87" s="575" t="n"/>
      <c r="AO87" s="575" t="n"/>
      <c r="AP87" s="575" t="n"/>
      <c r="AQ87" s="575" t="n"/>
      <c r="AR87" s="575" t="n"/>
    </row>
    <row r="88" ht="16.15" customFormat="1" customHeight="1" s="575">
      <c r="A88" s="575" t="n"/>
      <c r="B88" s="575" t="n"/>
      <c r="C88" s="575" t="n"/>
      <c r="D88" s="575" t="n"/>
      <c r="E88" s="575" t="n"/>
      <c r="F88" s="575" t="n"/>
      <c r="G88" s="575" t="n"/>
      <c r="H88" s="575" t="n"/>
      <c r="I88" s="575" t="n"/>
      <c r="J88" s="575" t="n"/>
      <c r="K88" s="575" t="n"/>
      <c r="L88" s="575" t="n"/>
      <c r="M88" s="575" t="n"/>
      <c r="N88" s="1348" t="n"/>
      <c r="O88" s="1348" t="n"/>
      <c r="P88" s="1348" t="n"/>
      <c r="Q88" s="575" t="n"/>
      <c r="R88" s="726" t="n"/>
      <c r="S88" s="726">
        <f>IF(_epmOfflineCondition_,"      其中：优先股",EPMMemberDesc(U88))</f>
        <v/>
      </c>
      <c r="T88" s="575" t="n"/>
      <c r="U88" s="575" t="inlineStr">
        <is>
          <t>A001030201</t>
        </is>
      </c>
      <c r="V88" s="590">
        <f>IF(_epmOfflineCondition_,"A001030201",EPMOlapMemberO(U88,"[C_ACCOUNT].[PARENTH1].[A001030201]","A001030201 -       其中：优先股","","000"))</f>
        <v/>
      </c>
      <c r="W88" s="726" t="n"/>
      <c r="X88" s="585" t="inlineStr">
        <is>
          <t xml:space="preserve">               优先股</t>
        </is>
      </c>
      <c r="Y88" s="1312">
        <f>ROW()-45</f>
        <v/>
      </c>
      <c r="Z88" s="1316">
        <f>"— —"</f>
        <v/>
      </c>
      <c r="AA88" s="1336" t="n"/>
      <c r="AB88" s="1336" t="n"/>
      <c r="AC88" s="1362">
        <f>"— —"</f>
        <v/>
      </c>
      <c r="AD88" s="1361">
        <f>ROUND(AA88/10000,2)</f>
        <v/>
      </c>
      <c r="AE88" s="1361">
        <f>ROUND(AB88/10000,2)</f>
        <v/>
      </c>
      <c r="AF88" s="575" t="n"/>
      <c r="AG88" s="575" t="n"/>
      <c r="AH88" s="575" t="n"/>
      <c r="AI88" s="575" t="n"/>
      <c r="AJ88" s="575" t="n"/>
      <c r="AK88" s="575" t="n"/>
      <c r="AL88" s="575" t="n"/>
      <c r="AM88" s="575" t="n"/>
      <c r="AN88" s="575" t="n"/>
      <c r="AO88" s="575" t="n"/>
      <c r="AP88" s="575" t="n"/>
      <c r="AQ88" s="575" t="n"/>
      <c r="AR88" s="575" t="n"/>
    </row>
    <row r="89" ht="16.15" customFormat="1" customHeight="1" s="575">
      <c r="A89" s="575" t="n"/>
      <c r="B89" s="575" t="n"/>
      <c r="C89" s="575" t="n"/>
      <c r="D89" s="575" t="n"/>
      <c r="E89" s="575" t="n"/>
      <c r="F89" s="575" t="n"/>
      <c r="G89" s="575" t="n"/>
      <c r="H89" s="575" t="n"/>
      <c r="I89" s="575" t="n"/>
      <c r="J89" s="575" t="n"/>
      <c r="K89" s="575" t="n"/>
      <c r="L89" s="575" t="n"/>
      <c r="M89" s="575" t="n"/>
      <c r="N89" s="575" t="n"/>
      <c r="O89" s="575" t="n"/>
      <c r="P89" s="575" t="n"/>
      <c r="Q89" s="575" t="n"/>
      <c r="R89" s="575" t="n"/>
      <c r="S89" s="726">
        <f>IF(_epmOfflineCondition_,"　归属于母公司所有者权益合计",EPMMemberDesc(U89))</f>
        <v/>
      </c>
      <c r="T89" s="575" t="n"/>
      <c r="U89" s="575" t="inlineStr">
        <is>
          <t>A0010310</t>
        </is>
      </c>
      <c r="V89" s="612">
        <f>IF(_epmOfflineCondition_,"A0010310",EPMOlapMemberO(U89,"[C_ACCOUNT].[PARENTH1].[A0010310]","A0010310 - 　归属于母公司所有者权益合计","","000"))</f>
        <v/>
      </c>
      <c r="W89" s="726" t="n"/>
      <c r="X89" s="585" t="inlineStr">
        <is>
          <t xml:space="preserve">   归属于母公司的所有者权益（或股东权益）总额</t>
        </is>
      </c>
      <c r="Y89" s="1312">
        <f>ROW()-45</f>
        <v/>
      </c>
      <c r="Z89" s="1316">
        <f>"— —"</f>
        <v/>
      </c>
      <c r="AA89" s="1336" t="inlineStr"/>
      <c r="AB89" s="1336" t="inlineStr"/>
      <c r="AC89" s="1362">
        <f>"— —"</f>
        <v/>
      </c>
      <c r="AD89" s="1361">
        <f>ROUND(AA89/10000,2)</f>
        <v/>
      </c>
      <c r="AE89" s="1361">
        <f>ROUND(AB89/10000,2)</f>
        <v/>
      </c>
      <c r="AF89" s="575" t="n"/>
      <c r="AG89" s="575" t="n"/>
      <c r="AH89" s="575" t="n"/>
      <c r="AI89" s="575" t="n"/>
      <c r="AJ89" s="575" t="n"/>
      <c r="AK89" s="575" t="n"/>
      <c r="AL89" s="575" t="n"/>
      <c r="AM89" s="575" t="n"/>
      <c r="AN89" s="575" t="n"/>
      <c r="AO89" s="575" t="n"/>
      <c r="AP89" s="575" t="n"/>
      <c r="AQ89" s="575" t="n"/>
      <c r="AR89" s="575" t="n"/>
    </row>
    <row r="90" ht="16.15" customFormat="1" customHeight="1" s="575">
      <c r="A90" s="575" t="n"/>
      <c r="B90" s="575" t="n"/>
      <c r="C90" s="575" t="n"/>
      <c r="D90" s="575" t="n"/>
      <c r="E90" s="575" t="n"/>
      <c r="F90" s="575" t="n"/>
      <c r="G90" s="575" t="n"/>
      <c r="H90" s="575" t="n"/>
      <c r="I90" s="575" t="n"/>
      <c r="J90" s="575" t="n"/>
      <c r="K90" s="575" t="n"/>
      <c r="L90" s="575" t="n"/>
      <c r="M90" s="575" t="n"/>
      <c r="N90" s="575" t="n"/>
      <c r="O90" s="575" t="n"/>
      <c r="P90" s="575" t="n"/>
      <c r="Q90" s="575" t="n"/>
      <c r="R90" s="575" t="n"/>
      <c r="S90" s="726">
        <f>IF(_epmOfflineCondition_,"              经营活动产生的现金流量净额",EPMMemberDesc(U90))</f>
        <v/>
      </c>
      <c r="T90" s="575" t="n"/>
      <c r="U90" s="575" t="inlineStr">
        <is>
          <t>A0030120</t>
        </is>
      </c>
      <c r="V90" s="612">
        <f>IF(_epmOfflineCondition_,"A0030120",EPMOlapMemberO(U90,"[C_ACCOUNT].[PARENTH1].[A0030120]","A0030120 -               经营活动产生的现金流量净额","","000"))</f>
        <v/>
      </c>
      <c r="W90" s="726" t="n"/>
      <c r="X90" s="585" t="inlineStr">
        <is>
          <t>24. 经营活动产生的现金流量净额</t>
        </is>
      </c>
      <c r="Y90" s="1312">
        <f>ROW()-45</f>
        <v/>
      </c>
      <c r="Z90" s="1336" t="inlineStr"/>
      <c r="AA90" s="1336" t="inlineStr"/>
      <c r="AB90" s="1336" t="n"/>
      <c r="AC90" s="1361">
        <f>ROUND(Z90/10000,2)</f>
        <v/>
      </c>
      <c r="AD90" s="1361">
        <f>ROUND(AA90/10000,2)</f>
        <v/>
      </c>
      <c r="AE90" s="1361">
        <f>ROUND(AB90/10000,2)</f>
        <v/>
      </c>
      <c r="AF90" s="575" t="n"/>
      <c r="AG90" s="575" t="n"/>
      <c r="AH90" s="575" t="n"/>
      <c r="AI90" s="575" t="n"/>
      <c r="AJ90" s="575" t="n"/>
      <c r="AK90" s="575" t="n"/>
      <c r="AL90" s="575" t="n"/>
      <c r="AM90" s="575" t="n"/>
      <c r="AN90" s="575" t="n"/>
      <c r="AO90" s="575" t="n"/>
      <c r="AP90" s="575" t="n"/>
      <c r="AQ90" s="575" t="n"/>
      <c r="AR90" s="575" t="n"/>
    </row>
    <row r="91" ht="16.15" customFormat="1" customHeight="1" s="575">
      <c r="A91" s="575" t="n"/>
      <c r="B91" s="575" t="n"/>
      <c r="C91" s="575" t="n"/>
      <c r="D91" s="575" t="n"/>
      <c r="E91" s="575" t="n"/>
      <c r="F91" s="575" t="n"/>
      <c r="G91" s="575" t="n"/>
      <c r="H91" s="575" t="n"/>
      <c r="I91" s="575" t="n"/>
      <c r="J91" s="575" t="n"/>
      <c r="K91" s="575" t="n"/>
      <c r="L91" s="575" t="n"/>
      <c r="M91" s="575" t="n"/>
      <c r="N91" s="575" t="n"/>
      <c r="O91" s="575" t="n"/>
      <c r="P91" s="575" t="n"/>
      <c r="Q91" s="575" t="n"/>
      <c r="R91" s="575" t="n"/>
      <c r="S91" s="726">
        <f>IF(_epmOfflineCondition_,"25. 资本化利息支出",EPMMemberDesc(U91))</f>
        <v/>
      </c>
      <c r="T91" s="575" t="n"/>
      <c r="U91" s="575" t="inlineStr">
        <is>
          <t>A07818</t>
        </is>
      </c>
      <c r="V91" s="591">
        <f>IF(_epmOfflineCondition_,"A07818",EPMOlapMemberO(U91,"[C_ACCOUNT].[PARENTH1].[A07818]","A07818 - 25. 资本化利息支出","","000"))</f>
        <v/>
      </c>
      <c r="W91" s="726" t="n"/>
      <c r="X91" s="585" t="inlineStr">
        <is>
          <t>25. 资本化利息支出</t>
        </is>
      </c>
      <c r="Y91" s="1312">
        <f>ROW()-45</f>
        <v/>
      </c>
      <c r="Z91" s="1336" t="n"/>
      <c r="AA91" s="1363" t="n"/>
      <c r="AB91" s="1336" t="inlineStr"/>
      <c r="AC91" s="1361">
        <f>ROUND(Z91/10000,2)</f>
        <v/>
      </c>
      <c r="AD91" s="1361">
        <f>ROUND(AA91/10000,2)</f>
        <v/>
      </c>
      <c r="AE91" s="1361">
        <f>ROUND(AB91/10000,2)</f>
        <v/>
      </c>
      <c r="AF91" s="575" t="n"/>
      <c r="AG91" s="575" t="n"/>
      <c r="AH91" s="575" t="n"/>
      <c r="AI91" s="575" t="n"/>
      <c r="AJ91" s="575" t="n"/>
      <c r="AK91" s="575" t="n"/>
      <c r="AL91" s="575" t="n"/>
      <c r="AM91" s="575" t="n"/>
      <c r="AN91" s="575" t="n"/>
      <c r="AO91" s="575" t="n"/>
      <c r="AP91" s="575" t="n"/>
      <c r="AQ91" s="575" t="n"/>
      <c r="AR91" s="575" t="n"/>
    </row>
    <row r="92" ht="16.15" customFormat="1" customHeight="1" s="575">
      <c r="A92" s="575" t="n"/>
      <c r="B92" s="575" t="n"/>
      <c r="C92" s="575" t="n"/>
      <c r="D92" s="575" t="n"/>
      <c r="E92" s="575" t="n"/>
      <c r="F92" s="575" t="n"/>
      <c r="G92" s="575" t="n"/>
      <c r="H92" s="575" t="n"/>
      <c r="I92" s="575" t="n"/>
      <c r="J92" s="575" t="n"/>
      <c r="K92" s="575" t="n"/>
      <c r="L92" s="575" t="n"/>
      <c r="M92" s="575" t="n"/>
      <c r="N92" s="575" t="n"/>
      <c r="O92" s="575" t="n"/>
      <c r="P92" s="575" t="n"/>
      <c r="Q92" s="716" t="inlineStr">
        <is>
          <t>A0840101</t>
        </is>
      </c>
      <c r="R92" s="716">
        <f>IF(_epmOfflineCondition_,"应交款项明细-增值税",EPMMemberDesc(Q92))</f>
        <v/>
      </c>
      <c r="S92" s="726">
        <f>IF(_epmOfflineCondition_,"应交款项明细-应交税费",EPMMemberDesc(U92))</f>
        <v/>
      </c>
      <c r="T92" s="575" t="n"/>
      <c r="U92" s="726" t="inlineStr">
        <is>
          <t>A08401</t>
        </is>
      </c>
      <c r="V92" s="591">
        <f>IF(_epmOfflineCondition_,"A08401",EPMOlapMemberO(U92,"[C_ACCOUNT].[PARENTH1].[A08401]","A08401 - 应交款项明细-应交税费","","000"))</f>
        <v/>
      </c>
      <c r="W92" s="726" t="n"/>
      <c r="X92" s="585" t="inlineStr">
        <is>
          <t>26. 应交税费总额</t>
        </is>
      </c>
      <c r="Y92" s="1312">
        <f>ROW()-45</f>
        <v/>
      </c>
      <c r="Z92" s="1336">
        <f>IF(_epmOfflineCondition_,1797689.16,EPMRetrieveData(,,$D$21,$D$22,$D$25,$D$26,$D$27,$D$28,$D$29,$Z$41,$Z$42,$Z$43,$Z$28,$Z$45,Q92)*2+EPMRetrieveData(,,$D$21,$D$22,$D$25,$D$26,$D$27,$D$28,$D$29,$Z$41,$Z$42,$Z$43,$Z$28,$Z$45,V92))</f>
        <v/>
      </c>
      <c r="AA92" s="1336">
        <f>IF(_epmOfflineCondition_,1815785.99,EPMRetrieveData(,,$D$21,$D$22,$D$25,$D$26,$D$27,$D$28,$D$29,$AA$41,$AA$42,$AA$43,$Z$28,$AA$45,V92)+EPMRetrieveData(,,$D$21,$D$22,$D$25,$D$26,$D$27,$D$28,$D$29,$AA$41,$AA$42,$AA$43,$Z$28,$AA$45,Q92)*2)</f>
        <v/>
      </c>
      <c r="AB92" s="1336">
        <f>IF(_epmOfflineCondition_,60166.68,EPMRetrieveData(,,$D$21,$D$22,$D$25,$D$26,$D$27,$D$28,$D$29,$AB$41,$AB$42,$AB$43,$Z$28,$AB$45,V92)+EPMRetrieveData(,,$D$21,$D$22,$D$25,$D$26,$D$27,$D$28,$D$29,$AB$41,$AB$42,$AB$43,$Z$28,$AB$45,Q92)*2)</f>
        <v/>
      </c>
      <c r="AC92" s="1361">
        <f>ROUND(Z92/10000,2)</f>
        <v/>
      </c>
      <c r="AD92" s="1361">
        <f>ROUND(AA92/10000,2)</f>
        <v/>
      </c>
      <c r="AE92" s="1361">
        <f>ROUND(AB92/10000,2)</f>
        <v/>
      </c>
      <c r="AF92" s="575" t="n"/>
      <c r="AG92" s="575" t="n"/>
      <c r="AH92" s="575" t="n"/>
      <c r="AI92" s="575" t="n"/>
      <c r="AJ92" s="575" t="n"/>
      <c r="AK92" s="575" t="n"/>
      <c r="AL92" s="575" t="n"/>
      <c r="AM92" s="575" t="n"/>
      <c r="AN92" s="575" t="n"/>
      <c r="AO92" s="575" t="n"/>
      <c r="AP92" s="575" t="n"/>
      <c r="AQ92" s="575" t="n"/>
      <c r="AR92" s="575" t="n"/>
    </row>
    <row r="93" ht="16.15" customFormat="1" customHeight="1" s="575">
      <c r="A93" s="575" t="n"/>
      <c r="B93" s="575" t="n"/>
      <c r="C93" s="575" t="n"/>
      <c r="D93" s="575" t="n"/>
      <c r="E93" s="575" t="n"/>
      <c r="F93" s="575" t="n"/>
      <c r="G93" s="575" t="n"/>
      <c r="H93" s="575" t="n"/>
      <c r="I93" s="575" t="n"/>
      <c r="J93" s="575" t="n"/>
      <c r="K93" s="575" t="n"/>
      <c r="L93" s="575" t="n"/>
      <c r="M93" s="575" t="n"/>
      <c r="N93" s="575" t="n"/>
      <c r="O93" s="575" t="n"/>
      <c r="P93" s="575" t="n"/>
      <c r="Q93" s="575" t="n"/>
      <c r="R93" s="575" t="n"/>
      <c r="S93" s="726">
        <f>IF(_epmOfflineCondition_,"应交款项明细-增值税",EPMMemberDesc(U93))</f>
        <v/>
      </c>
      <c r="T93" s="575" t="n"/>
      <c r="U93" s="726" t="inlineStr">
        <is>
          <t>A0840101</t>
        </is>
      </c>
      <c r="V93" s="616">
        <f>IF(_epmOfflineCondition_,"A0840101",EPMOlapMemberO(U93,"[C_ACCOUNT].[PARENTH1].[A0840101]","A0840101 - 应交款项明细-增值税","","000"))</f>
        <v/>
      </c>
      <c r="W93" s="726" t="n"/>
      <c r="X93" s="457" t="inlineStr">
        <is>
          <t xml:space="preserve">   其中：应交增值税</t>
        </is>
      </c>
      <c r="Y93" s="1312">
        <f>ROW()-45</f>
        <v/>
      </c>
      <c r="Z93" s="1336">
        <f>IF(_epmOfflineCondition_,0,EPMRetrieveData(,,$D$21,$D$22,$D$25,$D$26,$D$27,$D$28,$D$29,$Z$41,$Z$42,$Z$43,$Z$28,$Z$45,V93))</f>
        <v/>
      </c>
      <c r="AA93" s="1336">
        <f>IF(_epmOfflineCondition_,0,EPMRetrieveData(,,$D$21,$D$22,$D$25,$D$26,$D$27,$D$28,$D$29,$AA$41,$AA$42,$AA$43,$Z$28,$AA$45,V93))</f>
        <v/>
      </c>
      <c r="AB93" s="1336">
        <f>IF(_epmOfflineCondition_,0,EPMRetrieveData(,,$D$21,$D$22,$D$25,$D$26,$D$27,$D$28,$D$29,$AB$41,$AB$42,$AB$43,$Z$28,$AB$45,V93))</f>
        <v/>
      </c>
      <c r="AC93" s="1361">
        <f>ROUND(Z93/10000,2)</f>
        <v/>
      </c>
      <c r="AD93" s="1361">
        <f>ROUND(AA93/10000,2)</f>
        <v/>
      </c>
      <c r="AE93" s="1361">
        <f>ROUND(AB93/10000,2)</f>
        <v/>
      </c>
      <c r="AF93" s="575" t="n"/>
      <c r="AG93" s="575" t="n"/>
      <c r="AH93" s="575" t="n"/>
      <c r="AI93" s="575" t="n"/>
      <c r="AJ93" s="575" t="n"/>
      <c r="AK93" s="575" t="n"/>
      <c r="AL93" s="575" t="n"/>
      <c r="AM93" s="575" t="n"/>
      <c r="AN93" s="575" t="n"/>
      <c r="AO93" s="575" t="n"/>
      <c r="AP93" s="575" t="n"/>
      <c r="AQ93" s="575" t="n"/>
      <c r="AR93" s="575" t="n"/>
    </row>
    <row r="94" ht="16.15" customFormat="1" customHeight="1" s="575">
      <c r="A94" s="575" t="n"/>
      <c r="B94" s="575" t="n"/>
      <c r="C94" s="575" t="n"/>
      <c r="D94" s="575" t="n"/>
      <c r="E94" s="575" t="n"/>
      <c r="F94" s="575" t="n"/>
      <c r="G94" s="575" t="n"/>
      <c r="H94" s="575" t="n"/>
      <c r="I94" s="575" t="n"/>
      <c r="J94" s="575" t="n"/>
      <c r="K94" s="575" t="n"/>
      <c r="L94" s="575" t="n"/>
      <c r="M94" s="575" t="n"/>
      <c r="N94" s="575" t="n"/>
      <c r="O94" s="575" t="n"/>
      <c r="P94" s="575" t="n"/>
      <c r="Q94" s="575" t="n"/>
      <c r="R94" s="575" t="n"/>
      <c r="S94" s="726">
        <f>IF(_epmOfflineCondition_,"应交款项明细-消费税",EPMMemberDesc(U94))</f>
        <v/>
      </c>
      <c r="T94" s="575" t="n"/>
      <c r="U94" s="726" t="inlineStr">
        <is>
          <t>A0840102</t>
        </is>
      </c>
      <c r="V94" s="616">
        <f>IF(_epmOfflineCondition_,"A0840102",EPMOlapMemberO(U94,"[C_ACCOUNT].[PARENTH1].[A0840102]","A0840102 - 应交款项明细-消费税","","000"))</f>
        <v/>
      </c>
      <c r="W94" s="726" t="n"/>
      <c r="X94" s="614" t="inlineStr">
        <is>
          <t xml:space="preserve">           应交消费税</t>
        </is>
      </c>
      <c r="Y94" s="1312">
        <f>ROW()-45</f>
        <v/>
      </c>
      <c r="Z94" s="1336">
        <f>IF(_epmOfflineCondition_,0,EPMRetrieveData(,,$D$21,$D$22,$D$25,$D$26,$D$27,$D$28,$D$29,$Z$41,$Z$42,$Z$43,$Z$28,$Z$45,V94))</f>
        <v/>
      </c>
      <c r="AA94" s="1336">
        <f>IF(_epmOfflineCondition_,0,EPMRetrieveData(,,$D$21,$D$22,$D$25,$D$26,$D$27,$D$28,$D$29,$AA$41,$AA$42,$AA$43,$Z$28,$AA$45,V94))</f>
        <v/>
      </c>
      <c r="AB94" s="1336">
        <f>IF(_epmOfflineCondition_,0,EPMRetrieveData(,,$D$21,$D$22,$D$25,$D$26,$D$27,$D$28,$D$29,$AB$41,$AB$42,$AB$43,$Z$28,$AB$45,V94))</f>
        <v/>
      </c>
      <c r="AC94" s="1361">
        <f>ROUND(Z94/10000,2)</f>
        <v/>
      </c>
      <c r="AD94" s="1361">
        <f>ROUND(AA94/10000,2)</f>
        <v/>
      </c>
      <c r="AE94" s="1361">
        <f>ROUND(AB94/10000,2)</f>
        <v/>
      </c>
      <c r="AF94" s="575" t="n"/>
      <c r="AG94" s="575" t="n"/>
      <c r="AH94" s="575" t="n"/>
      <c r="AI94" s="575" t="n"/>
      <c r="AJ94" s="575" t="n"/>
      <c r="AK94" s="575" t="n"/>
      <c r="AL94" s="575" t="n"/>
      <c r="AM94" s="575" t="n"/>
      <c r="AN94" s="575" t="n"/>
      <c r="AO94" s="575" t="n"/>
      <c r="AP94" s="575" t="n"/>
      <c r="AQ94" s="575" t="n"/>
      <c r="AR94" s="575" t="n"/>
    </row>
    <row r="95" ht="16.15" customFormat="1" customHeight="1" s="575">
      <c r="A95" s="575" t="n"/>
      <c r="B95" s="575" t="n"/>
      <c r="C95" s="575" t="n"/>
      <c r="D95" s="575" t="n"/>
      <c r="E95" s="575" t="n"/>
      <c r="F95" s="575" t="n"/>
      <c r="G95" s="575" t="n"/>
      <c r="H95" s="575" t="n"/>
      <c r="I95" s="575" t="n"/>
      <c r="J95" s="575" t="n"/>
      <c r="K95" s="575" t="n"/>
      <c r="L95" s="575" t="n"/>
      <c r="M95" s="575" t="n"/>
      <c r="N95" s="575" t="n"/>
      <c r="O95" s="575" t="n"/>
      <c r="P95" s="575" t="n"/>
      <c r="Q95" s="575" t="n"/>
      <c r="R95" s="575" t="n"/>
      <c r="S95" s="726">
        <f>IF(_epmOfflineCondition_,"应交款项明细-企业所得税",EPMMemberDesc(U95))</f>
        <v/>
      </c>
      <c r="T95" s="575" t="n"/>
      <c r="U95" s="726" t="inlineStr">
        <is>
          <t>A0840109</t>
        </is>
      </c>
      <c r="V95" s="616">
        <f>IF(_epmOfflineCondition_,"A0840109",EPMOlapMemberO(U95,"[C_ACCOUNT].[PARENTH1].[A0840109]","A0840109 - 应交款项明细-企业所得税","","000"))</f>
        <v/>
      </c>
      <c r="W95" s="726" t="n"/>
      <c r="X95" s="614" t="inlineStr">
        <is>
          <t xml:space="preserve">           应交所得税</t>
        </is>
      </c>
      <c r="Y95" s="1312">
        <f>ROW()-45</f>
        <v/>
      </c>
      <c r="Z95" s="1336">
        <f>IF(_epmOfflineCondition_,0,EPMRetrieveData(,,$D$21,$D$22,$D$25,$D$26,$D$27,$D$28,$D$29,$Z$41,$Z$42,$Z$43,$Z$28,$Z$45,V95))</f>
        <v/>
      </c>
      <c r="AA95" s="1336">
        <f>IF(_epmOfflineCondition_,0,EPMRetrieveData(,,$D$21,$D$22,$D$25,$D$26,$D$27,$D$28,$D$29,$AA$41,$AA$42,$AA$43,$Z$28,$AA$45,V95))</f>
        <v/>
      </c>
      <c r="AB95" s="1336">
        <f>IF(_epmOfflineCondition_,0,EPMRetrieveData(,,$D$21,$D$22,$D$25,$D$26,$D$27,$D$28,$D$29,$AB$41,$AB$42,$AB$43,$Z$28,$AB$45,V95))</f>
        <v/>
      </c>
      <c r="AC95" s="1361">
        <f>ROUND(Z95/10000,2)</f>
        <v/>
      </c>
      <c r="AD95" s="1361">
        <f>ROUND(AA95/10000,2)</f>
        <v/>
      </c>
      <c r="AE95" s="1361">
        <f>ROUND(AB95/10000,2)</f>
        <v/>
      </c>
      <c r="AF95" s="575" t="n"/>
      <c r="AG95" s="575" t="n"/>
      <c r="AH95" s="575" t="n"/>
      <c r="AI95" s="575" t="n"/>
      <c r="AJ95" s="575" t="n"/>
      <c r="AK95" s="575" t="n"/>
      <c r="AL95" s="575" t="n"/>
      <c r="AM95" s="575" t="n"/>
      <c r="AN95" s="575" t="n"/>
      <c r="AO95" s="575" t="n"/>
      <c r="AP95" s="575" t="n"/>
      <c r="AQ95" s="575" t="n"/>
      <c r="AR95" s="575" t="n"/>
    </row>
    <row r="96" ht="16.15" customFormat="1" customHeight="1" s="575">
      <c r="A96" s="575" t="n"/>
      <c r="B96" s="575" t="n"/>
      <c r="C96" s="575" t="n"/>
      <c r="D96" s="575" t="n"/>
      <c r="E96" s="575" t="n"/>
      <c r="F96" s="575" t="n"/>
      <c r="G96" s="575" t="n"/>
      <c r="H96" s="575" t="n"/>
      <c r="I96" s="575" t="n"/>
      <c r="J96" s="575" t="n"/>
      <c r="K96" s="575" t="n"/>
      <c r="L96" s="575" t="n"/>
      <c r="M96" s="575" t="n"/>
      <c r="N96" s="1348" t="n"/>
      <c r="O96" s="1348" t="n"/>
      <c r="P96" s="1348" t="n"/>
      <c r="Q96" s="575" t="n"/>
      <c r="R96" s="575" t="n"/>
      <c r="S96" s="726">
        <f>IF(_epmOfflineCondition_,"应交款项明细-应交税费",EPMMemberDesc(U96))</f>
        <v/>
      </c>
      <c r="T96" s="575" t="n"/>
      <c r="U96" s="726" t="inlineStr">
        <is>
          <t>A08401</t>
        </is>
      </c>
      <c r="V96" s="591">
        <f>IF(_epmOfflineCondition_,"A08401",EPMOlapMemberO(U96,"[C_ACCOUNT].[PARENTH1].[A08401]","A08401 - 应交款项明细-应交税费","","000"))</f>
        <v/>
      </c>
      <c r="W96" s="726" t="n"/>
      <c r="X96" s="585" t="inlineStr">
        <is>
          <t>27. 已交税费总额</t>
        </is>
      </c>
      <c r="Y96" s="1312">
        <f>ROW()-45</f>
        <v/>
      </c>
      <c r="Z96" s="1336">
        <f>IF(_epmOfflineCondition_,0,EPMRetrieveData(,,$D$21,$D$22,$D$25,$D$26,$D$27,$D$28,$D$29,$Z$41,$Z$42,$Z$43,$AA$28,$Z$45,V96)*-1)</f>
        <v/>
      </c>
      <c r="AA96" s="1336">
        <f>IF(_epmOfflineCondition_,17238.62,EPMRetrieveData(,,$D$21,$D$22,$D$25,$D$26,$D$27,$D$28,$D$29,$AA$41,$AA$42,$AA$43,$AA$28,$AA$45,V96)*-1)</f>
        <v/>
      </c>
      <c r="AB96" s="1336">
        <f>IF(_epmOfflineCondition_,83572.6,EPMRetrieveData(,,$D$21,$D$22,$D$25,$D$26,$D$27,$D$28,$D$29,$AB$41,$AB$42,$AB$43,$AA$28,$AB$45,V96)*-1)</f>
        <v/>
      </c>
      <c r="AC96" s="1361">
        <f>ROUND(Z96/10000,2)</f>
        <v/>
      </c>
      <c r="AD96" s="1361">
        <f>ROUND(AA96/10000,2)</f>
        <v/>
      </c>
      <c r="AE96" s="1361">
        <f>ROUND(AB96/10000,2)</f>
        <v/>
      </c>
      <c r="AF96" s="575" t="n"/>
      <c r="AG96" s="575" t="n"/>
      <c r="AH96" s="575" t="n"/>
      <c r="AI96" s="575" t="n"/>
      <c r="AJ96" s="575" t="n"/>
      <c r="AK96" s="575" t="n"/>
      <c r="AL96" s="575" t="n"/>
      <c r="AM96" s="575" t="n"/>
      <c r="AN96" s="575" t="n"/>
      <c r="AO96" s="575" t="n"/>
      <c r="AP96" s="575" t="n"/>
      <c r="AQ96" s="575" t="n"/>
      <c r="AR96" s="575" t="n"/>
    </row>
    <row r="97" ht="16.15" customFormat="1" customHeight="1" s="575">
      <c r="A97" s="575" t="n"/>
      <c r="B97" s="575" t="n"/>
      <c r="C97" s="575" t="n"/>
      <c r="D97" s="575" t="n"/>
      <c r="E97" s="575" t="n"/>
      <c r="F97" s="575" t="n"/>
      <c r="G97" s="575" t="n"/>
      <c r="H97" s="575" t="n"/>
      <c r="I97" s="575" t="n"/>
      <c r="J97" s="575" t="n"/>
      <c r="K97" s="575" t="n"/>
      <c r="L97" s="575" t="n"/>
      <c r="M97" s="575" t="n"/>
      <c r="N97" s="575" t="n"/>
      <c r="O97" s="575" t="n"/>
      <c r="P97" s="575" t="n"/>
      <c r="Q97" s="575" t="n"/>
      <c r="R97" s="575" t="n"/>
      <c r="S97" s="726">
        <f>IF(_epmOfflineCondition_,"应交款项明细-增值税",EPMMemberDesc(U97))</f>
        <v/>
      </c>
      <c r="T97" s="575" t="n"/>
      <c r="U97" s="726" t="inlineStr">
        <is>
          <t>A0840101</t>
        </is>
      </c>
      <c r="V97" s="616">
        <f>IF(_epmOfflineCondition_,"A0840101",EPMOlapMemberO(U97,"[C_ACCOUNT].[PARENTH1].[A0840101]","A0840101 - 应交款项明细-增值税","","000"))</f>
        <v/>
      </c>
      <c r="W97" s="726" t="n"/>
      <c r="X97" s="614" t="inlineStr">
        <is>
          <t>其中：已交增值税</t>
        </is>
      </c>
      <c r="Y97" s="1312">
        <f>ROW()-45</f>
        <v/>
      </c>
      <c r="Z97" s="1336">
        <f>IF(_epmOfflineCondition_,0,EPMRetrieveData(,,$D$21,$D$22,$D$25,$D$26,$D$27,$D$28,$D$29,$Z$41,$Z$42,$Z$43,$AA$28,$Z$45,V97))</f>
        <v/>
      </c>
      <c r="AA97" s="1336">
        <f>IF(_epmOfflineCondition_,0,ABS(EPMRetrieveData(,,$D$21,$D$22,$D$25,$D$26,$D$27,$D$28,$D$29,$AA$41,$AA$42,$AA$43,$AA$28,$AA$45,V97)))</f>
        <v/>
      </c>
      <c r="AB97" s="1336">
        <f>IF(_epmOfflineCondition_,0,ABS(EPMRetrieveData(,,$D$21,$D$22,$D$25,$D$26,$D$27,$D$28,$D$29,$AB$41,$AB$42,$AB$43,$AA$28,$AB$45,V97)))</f>
        <v/>
      </c>
      <c r="AC97" s="1361">
        <f>ROUND(Z97/10000,2)</f>
        <v/>
      </c>
      <c r="AD97" s="1361">
        <f>ROUND(AA97/10000,2)</f>
        <v/>
      </c>
      <c r="AE97" s="1361">
        <f>ROUND(AB97/10000,2)</f>
        <v/>
      </c>
      <c r="AF97" s="575" t="n"/>
      <c r="AG97" s="575" t="n"/>
      <c r="AH97" s="575" t="n"/>
      <c r="AI97" s="575" t="n"/>
      <c r="AJ97" s="575" t="n"/>
      <c r="AK97" s="575" t="n"/>
      <c r="AL97" s="575" t="n"/>
      <c r="AM97" s="575" t="n"/>
      <c r="AN97" s="575" t="n"/>
      <c r="AO97" s="575" t="n"/>
      <c r="AP97" s="575" t="n"/>
      <c r="AQ97" s="575" t="n"/>
      <c r="AR97" s="575" t="n"/>
    </row>
    <row r="98" ht="16.15" customFormat="1" customHeight="1" s="575">
      <c r="A98" s="575" t="n"/>
      <c r="B98" s="575" t="n"/>
      <c r="C98" s="575" t="n"/>
      <c r="D98" s="575" t="n"/>
      <c r="E98" s="575" t="n"/>
      <c r="F98" s="575" t="n"/>
      <c r="G98" s="575" t="n"/>
      <c r="H98" s="575" t="n"/>
      <c r="I98" s="575" t="n"/>
      <c r="J98" s="575" t="n"/>
      <c r="K98" s="575" t="n"/>
      <c r="L98" s="575" t="n"/>
      <c r="M98" s="605" t="inlineStr">
        <is>
          <t>应发职工薪酬总额=人工成本表第一行企业人工成本总额（含劳务派遣）-本年累计应发</t>
        </is>
      </c>
      <c r="N98" s="1358">
        <f>SUM(N100:N102,N106:N115,N118,N137:N141)-N140</f>
        <v/>
      </c>
      <c r="O98" s="1358">
        <f>SUM(O100:O102,O106:O115,O118,O137:O141)-O140</f>
        <v/>
      </c>
      <c r="P98" s="1358">
        <f>SUM(P100:P102,P106:P115,P118,P137:P141)-P140</f>
        <v/>
      </c>
      <c r="Q98" s="575" t="n"/>
      <c r="R98" s="575" t="n"/>
      <c r="S98" s="726">
        <f>IF(_epmOfflineCondition_,"应交款项明细-消费税",EPMMemberDesc(U98))</f>
        <v/>
      </c>
      <c r="T98" s="575" t="n"/>
      <c r="U98" s="726" t="inlineStr">
        <is>
          <t>A0840102</t>
        </is>
      </c>
      <c r="V98" s="616">
        <f>IF(_epmOfflineCondition_,"A0840102",EPMOlapMemberO(U98,"[C_ACCOUNT].[PARENTH1].[A0840102]","A0840102 - 应交款项明细-消费税","","000"))</f>
        <v/>
      </c>
      <c r="W98" s="726" t="n"/>
      <c r="X98" s="460" t="inlineStr">
        <is>
          <t xml:space="preserve"> 已交消费税</t>
        </is>
      </c>
      <c r="Y98" s="1312">
        <f>ROW()-45</f>
        <v/>
      </c>
      <c r="Z98" s="1336">
        <f>IF(_epmOfflineCondition_,0,EPMRetrieveData(,,$D$21,$D$22,$D$25,$D$26,$D$27,$D$28,$D$29,$Z$41,$Z$42,$Z$43,$AA$28,$Z$45,V98)*-1)</f>
        <v/>
      </c>
      <c r="AA98" s="1336">
        <f>IF(_epmOfflineCondition_,0,EPMRetrieveData(,,$D$21,$D$22,$D$25,$D$26,$D$27,$D$28,$D$29,$AA$41,$AA$42,$AA$43,$AA$28,$AA$45,V98)*-1)</f>
        <v/>
      </c>
      <c r="AB98" s="1336">
        <f>IF(_epmOfflineCondition_,0,EPMRetrieveData(,,$D$21,$D$22,$D$25,$D$26,$D$27,$D$28,$D$29,$AB$41,$AB$42,$AB$43,$AA$28,$AB$45,V98)*-1)</f>
        <v/>
      </c>
      <c r="AC98" s="1361">
        <f>ROUND(Z98/10000,2)</f>
        <v/>
      </c>
      <c r="AD98" s="1361">
        <f>ROUND(AA98/10000,2)</f>
        <v/>
      </c>
      <c r="AE98" s="1361">
        <f>ROUND(AB98/10000,2)</f>
        <v/>
      </c>
      <c r="AF98" s="575" t="n"/>
      <c r="AG98" s="575" t="n"/>
      <c r="AH98" s="575" t="n"/>
      <c r="AI98" s="575" t="n"/>
      <c r="AJ98" s="575" t="n"/>
      <c r="AK98" s="575" t="n"/>
      <c r="AL98" s="575" t="n"/>
      <c r="AM98" s="575" t="n"/>
      <c r="AN98" s="575" t="n"/>
      <c r="AO98" s="575" t="n"/>
      <c r="AP98" s="575" t="n"/>
      <c r="AQ98" s="575" t="n"/>
      <c r="AR98" s="575" t="n"/>
    </row>
    <row r="99" ht="16.15" customFormat="1" customHeight="1" s="575">
      <c r="A99" s="575" t="n"/>
      <c r="B99" s="575" t="n"/>
      <c r="C99" s="575" t="n"/>
      <c r="D99" s="575" t="n"/>
      <c r="E99" s="575" t="n"/>
      <c r="F99" s="575" t="n"/>
      <c r="G99" s="575" t="n"/>
      <c r="H99" s="575" t="n"/>
      <c r="I99" s="575" t="n"/>
      <c r="J99" s="575" t="n"/>
      <c r="K99" s="575" t="n"/>
      <c r="L99" s="575" t="n"/>
      <c r="M99" s="575" t="n"/>
      <c r="N99" s="434" t="inlineStr">
        <is>
          <t>上年同期</t>
        </is>
      </c>
      <c r="O99" s="603" t="inlineStr">
        <is>
          <t>本年累计</t>
        </is>
      </c>
      <c r="P99" s="603" t="inlineStr">
        <is>
          <t>本月</t>
        </is>
      </c>
      <c r="Q99" s="575" t="n"/>
      <c r="R99" s="575" t="n"/>
      <c r="S99" s="726">
        <f>IF(_epmOfflineCondition_,"应交款项明细-企业所得税",EPMMemberDesc(U99))</f>
        <v/>
      </c>
      <c r="T99" s="575" t="n"/>
      <c r="U99" s="726" t="inlineStr">
        <is>
          <t>A0840109</t>
        </is>
      </c>
      <c r="V99" s="616">
        <f>IF(_epmOfflineCondition_,"A0840109",EPMOlapMemberO(U99,"[C_ACCOUNT].[PARENTH1].[A0840109]","A0840109 - 应交款项明细-企业所得税","","000"))</f>
        <v/>
      </c>
      <c r="W99" s="726" t="n"/>
      <c r="X99" s="460" t="inlineStr">
        <is>
          <t xml:space="preserve"> 已交所得税</t>
        </is>
      </c>
      <c r="Y99" s="1312">
        <f>ROW()-45</f>
        <v/>
      </c>
      <c r="Z99" s="1336">
        <f>IF(_epmOfflineCondition_,0,EPMRetrieveData(,,$D$21,$D$22,$D$25,$D$26,$D$27,$D$28,$D$29,$Z$41,$Z$42,$Z$43,$AA$28,$Z$45,V99)*-1)</f>
        <v/>
      </c>
      <c r="AA99" s="1336">
        <f>IF(_epmOfflineCondition_,0,EPMRetrieveData(,,$D$21,$D$22,$D$25,$D$26,$D$27,$D$28,$D$29,$AA$41,$AA$42,$AA$43,$AA$28,$AA$45,V99)*-1)</f>
        <v/>
      </c>
      <c r="AB99" s="1336">
        <f>IF(_epmOfflineCondition_,0,EPMRetrieveData(,,$D$21,$D$22,$D$25,$D$26,$D$27,$D$28,$D$29,$AB$41,$AB$42,$AB$43,$AA$28,$AB$45,V99)*-1)</f>
        <v/>
      </c>
      <c r="AC99" s="1361">
        <f>ROUND(Z99/10000,2)</f>
        <v/>
      </c>
      <c r="AD99" s="1361">
        <f>ROUND(AA99/10000,2)</f>
        <v/>
      </c>
      <c r="AE99" s="1361">
        <f>ROUND(AB99/10000,2)</f>
        <v/>
      </c>
      <c r="AF99" s="575" t="n"/>
      <c r="AG99" s="575" t="n"/>
      <c r="AH99" s="575" t="n"/>
      <c r="AI99" s="575" t="n"/>
      <c r="AJ99" s="575" t="n"/>
      <c r="AK99" s="575" t="n"/>
      <c r="AL99" s="575" t="n"/>
      <c r="AM99" s="575" t="n"/>
      <c r="AN99" s="575" t="n"/>
      <c r="AO99" s="575" t="n"/>
      <c r="AP99" s="575" t="n"/>
      <c r="AQ99" s="575" t="n"/>
      <c r="AR99" s="575" t="n"/>
    </row>
    <row r="100" ht="16.15" customFormat="1" customHeight="1" s="575">
      <c r="A100" s="575" t="n"/>
      <c r="B100" s="575" t="n"/>
      <c r="C100" s="575" t="n"/>
      <c r="D100" s="575" t="n"/>
      <c r="E100" s="575" t="n"/>
      <c r="F100" s="575" t="n"/>
      <c r="G100" s="575" t="n"/>
      <c r="H100" s="575" t="n"/>
      <c r="I100" s="575" t="n"/>
      <c r="J100" s="575" t="n"/>
      <c r="K100" s="575" t="n"/>
      <c r="L100" s="575" t="n"/>
      <c r="M100" s="575" t="n"/>
      <c r="N100" s="1348">
        <f>IF(_epmOfflineCondition_,531563.5,EPMRetrieveData(,,$D$21,$D$22,$D$25,$D$26,$D$27,$D$28,$D$29,$AB$41,$AB$42,$AB$43,$Z$28,$AB$45,Q100))</f>
        <v/>
      </c>
      <c r="O100" s="1348">
        <f>IF(_epmOfflineCondition_,1108035.55,EPMRetrieveData(,,$D$21,$D$22,$D$25,$D$26,$D$27,$D$28,$D$29,$AA$41,$AA$42,$AA$43,$Z$28,$AA$45,Q100))</f>
        <v/>
      </c>
      <c r="P100" s="1348">
        <f>IF(_epmOfflineCondition_,397586.2,EPMRetrieveData(,,$D$21,$D$22,$D$25,$D$26,$D$27,$D$28,$D$29,$Z$41,$Z$42,$Z$43,$Z$28,$Z$45,Q100))</f>
        <v/>
      </c>
      <c r="Q100" s="608" t="inlineStr">
        <is>
          <t>A0070301</t>
        </is>
      </c>
      <c r="R100" s="575">
        <f>IF(_epmOfflineCondition_,"人工成本明细-应发工资总额",EPMMemberDesc(Q100))</f>
        <v/>
      </c>
      <c r="S100" s="726">
        <f>IF(_epmOfflineCondition_,"人工成本明细-应发职工人工成本总额",EPMMemberDesc(U100))</f>
        <v/>
      </c>
      <c r="T100" s="575" t="n"/>
      <c r="U100" s="726" t="inlineStr">
        <is>
          <t>A00703</t>
        </is>
      </c>
      <c r="V100" s="616" t="n"/>
      <c r="W100" s="726" t="n"/>
      <c r="X100" s="585" t="inlineStr">
        <is>
          <t>28.应发职工薪酬（不含劳务派遣费用）</t>
        </is>
      </c>
      <c r="Y100" s="1312">
        <f>ROW()-45</f>
        <v/>
      </c>
      <c r="Z100" s="1349">
        <f>SUM(P100:P102,P106:P116,P137:P141)-P140</f>
        <v/>
      </c>
      <c r="AA100" s="1349">
        <f>SUM(O100:O102,O106:O116,O137:O141)-O140</f>
        <v/>
      </c>
      <c r="AB100" s="1349">
        <f>SUM(N100:N102,N106:N116,N137:N141)-N140</f>
        <v/>
      </c>
      <c r="AC100" s="1361">
        <f>ROUND(Z100/10000,2)</f>
        <v/>
      </c>
      <c r="AD100" s="1361">
        <f>ROUND(AA100/10000,2)</f>
        <v/>
      </c>
      <c r="AE100" s="1361">
        <f>ROUND(AB100/10000,2)</f>
        <v/>
      </c>
      <c r="AF100" s="575" t="n"/>
      <c r="AG100" s="575" t="n"/>
      <c r="AH100" s="575" t="n"/>
      <c r="AI100" s="575" t="n"/>
      <c r="AJ100" s="575" t="n"/>
      <c r="AK100" s="575" t="n"/>
      <c r="AL100" s="575" t="n"/>
      <c r="AM100" s="575" t="n"/>
      <c r="AN100" s="575" t="n"/>
      <c r="AO100" s="575" t="n"/>
      <c r="AP100" s="575" t="n"/>
      <c r="AQ100" s="575" t="n"/>
      <c r="AR100" s="575" t="n"/>
    </row>
    <row r="101" ht="16.15" customFormat="1" customHeight="1" s="575">
      <c r="A101" s="575" t="n"/>
      <c r="B101" s="575" t="n"/>
      <c r="C101" s="575" t="n"/>
      <c r="D101" s="575" t="n"/>
      <c r="E101" s="575" t="n"/>
      <c r="F101" s="575" t="n"/>
      <c r="G101" s="575" t="n"/>
      <c r="H101" s="575" t="n"/>
      <c r="I101" s="575" t="n"/>
      <c r="J101" s="575" t="n"/>
      <c r="K101" s="575" t="n"/>
      <c r="L101" s="575" t="n"/>
      <c r="M101" s="575" t="n"/>
      <c r="N101" s="1348">
        <f>IF(_epmOfflineCondition_,206230,EPMRetrieveData(,,$D$21,$D$22,$D$25,$D$26,$D$27,$D$28,$D$29,$AB$41,$AB$42,$AB$43,$Z$28,$AB$45,Q101))</f>
        <v/>
      </c>
      <c r="O101" s="1348">
        <f>IF(_epmOfflineCondition_,427068.27,EPMRetrieveData(,,$D$21,$D$22,$D$25,$D$26,$D$27,$D$28,$D$29,$AA$41,$AA$42,$AA$43,$Z$28,$AA$45,Q101))</f>
        <v/>
      </c>
      <c r="P101" s="1348">
        <f>IF(_epmOfflineCondition_,124071.58,EPMRetrieveData(,,$D$21,$D$22,$D$25,$D$26,$D$27,$D$28,$D$29,$Z$41,$Z$42,$Z$43,$Z$28,$Z$45,Q101))</f>
        <v/>
      </c>
      <c r="Q101" s="608" t="inlineStr">
        <is>
          <t>A0070302</t>
        </is>
      </c>
      <c r="R101" s="575">
        <f>IF(_epmOfflineCondition_,"人工成本明细-社会保险费用",EPMMemberDesc(Q101))</f>
        <v/>
      </c>
      <c r="S101" s="726">
        <f>IF(_epmOfflineCondition_,"人工成本明细-应发工资总额",EPMMemberDesc(U101))</f>
        <v/>
      </c>
      <c r="T101" s="575" t="n"/>
      <c r="U101" s="726" t="inlineStr">
        <is>
          <t>A0070301</t>
        </is>
      </c>
      <c r="V101" s="616">
        <f>IF(_epmOfflineCondition_,"A0070301",EPMOlapMemberO(U101,"[C_ACCOUNT].[PARENTH1].[A0070301]","A0070301 - 人工成本明细-应发工资总额","","000"))</f>
        <v/>
      </c>
      <c r="W101" s="726" t="n"/>
      <c r="X101" s="457" t="inlineStr">
        <is>
          <t xml:space="preserve">   其中：应发职工工资总额</t>
        </is>
      </c>
      <c r="Y101" s="1312">
        <f>ROW()-45</f>
        <v/>
      </c>
      <c r="Z101" s="1336">
        <f>IF(_epmOfflineCondition_,397586.2,EPMRetrieveData(,,$D$21,$D$22,$D$25,$D$26,$D$27,$D$28,$D$29,$Z$41,$Z$42,$Z$43,$Z$28,$Z$45,V101))</f>
        <v/>
      </c>
      <c r="AA101" s="1336">
        <f>IF(_epmOfflineCondition_,1108035.55,EPMRetrieveData(,,$D$21,$D$22,$D$25,$D$26,$D$27,$D$28,$AA$41,$AA$42,$AA$43,$Z$28,$AA$45,V101))</f>
        <v/>
      </c>
      <c r="AB101" s="1336">
        <f>IF(_epmOfflineCondition_,531563.5,EPMRetrieveData(,,$D$21,$D$22,$D$25,$D$26,$D$27,$D$28,$D$29,$AB$41,$AB$42,$AB$43,$Z$28,$AB$45,V101))</f>
        <v/>
      </c>
      <c r="AC101" s="1361">
        <f>ROUND(Z101/10000,2)</f>
        <v/>
      </c>
      <c r="AD101" s="1361">
        <f>ROUND(AA101/10000,2)</f>
        <v/>
      </c>
      <c r="AE101" s="1361">
        <f>ROUND(AB101/10000,2)</f>
        <v/>
      </c>
      <c r="AF101" s="575" t="n"/>
      <c r="AG101" s="575" t="n"/>
      <c r="AH101" s="575" t="n"/>
      <c r="AI101" s="575" t="n"/>
      <c r="AJ101" s="575" t="n"/>
      <c r="AK101" s="575" t="n"/>
      <c r="AL101" s="575" t="n"/>
      <c r="AM101" s="575" t="n"/>
      <c r="AN101" s="575" t="n"/>
      <c r="AO101" s="575" t="n"/>
      <c r="AP101" s="575" t="n"/>
      <c r="AQ101" s="575" t="n"/>
      <c r="AR101" s="575" t="n"/>
    </row>
    <row r="102" ht="16.15" customFormat="1" customHeight="1" s="575">
      <c r="A102" s="575" t="n"/>
      <c r="B102" s="575" t="n"/>
      <c r="C102" s="575" t="n"/>
      <c r="D102" s="575" t="n"/>
      <c r="E102" s="575" t="n"/>
      <c r="F102" s="575" t="n"/>
      <c r="G102" s="575" t="n"/>
      <c r="H102" s="575" t="n"/>
      <c r="I102" s="575" t="n"/>
      <c r="J102" s="575" t="n"/>
      <c r="K102" s="575" t="n"/>
      <c r="L102" s="575" t="n"/>
      <c r="M102" s="575" t="n"/>
      <c r="N102" s="1348">
        <f>IF(_epmOfflineCondition_,0,EPMRetrieveData(,,$D$21,$D$22,$D$25,$D$26,$D$27,$D$28,$D$29,$AB$41,$AB$42,$AB$43,$Z$28,$AB$45,Q102))</f>
        <v/>
      </c>
      <c r="O102" s="1348">
        <f>IF(_epmOfflineCondition_,0,EPMRetrieveData(,,$D$21,$D$22,$D$25,$D$26,$D$27,$D$28,$D$29,$AA$41,$AA$42,$AA$43,$Z$28,$AA$45,Q102))</f>
        <v/>
      </c>
      <c r="P102" s="1348">
        <f>IF(_epmOfflineCondition_,0,EPMRetrieveData(,,$D$21,$D$22,$D$25,$D$26,$D$27,$D$28,$D$29,$Z$41,$Z$42,$Z$43,$Z$28,$Z$45,Q102))</f>
        <v/>
      </c>
      <c r="Q102" s="608" t="inlineStr">
        <is>
          <t>A0070303</t>
        </is>
      </c>
      <c r="R102" s="575">
        <f>IF(_epmOfflineCondition_,"人工成本明细-商业保险费用",EPMMemberDesc(Q102))</f>
        <v/>
      </c>
      <c r="S102" s="726">
        <f>IF(_epmOfflineCondition_,"人工成本明细-其中：应发工资总额",EPMMemberDesc(U102))</f>
        <v/>
      </c>
      <c r="T102" s="575" t="n"/>
      <c r="U102" s="726" t="inlineStr">
        <is>
          <t>A0070401</t>
        </is>
      </c>
      <c r="V102" s="616">
        <f>IF(_epmOfflineCondition_,"A0070401",EPMOlapMemberO(U102,"[C_ACCOUNT].[PARENTH1].[A0070401]","A0070401 - 人工成本明细-其中：应发工资总额","","000"))</f>
        <v/>
      </c>
      <c r="W102" s="726" t="n"/>
      <c r="X102" s="614" t="inlineStr">
        <is>
          <t xml:space="preserve">          其中：应发在岗职工工资总额</t>
        </is>
      </c>
      <c r="Y102" s="1312">
        <f>ROW()-45</f>
        <v/>
      </c>
      <c r="Z102" s="1336">
        <f>P100-P119-P120</f>
        <v/>
      </c>
      <c r="AA102" s="1336">
        <f>O100-O119-O120</f>
        <v/>
      </c>
      <c r="AB102" s="1336">
        <f>N100-N119-N120</f>
        <v/>
      </c>
      <c r="AC102" s="1361">
        <f>ROUND(Z102/10000,2)</f>
        <v/>
      </c>
      <c r="AD102" s="1361">
        <f>ROUND(AA102/10000,2)</f>
        <v/>
      </c>
      <c r="AE102" s="1361">
        <f>ROUND(AB102/10000,2)</f>
        <v/>
      </c>
      <c r="AF102" s="575" t="n"/>
      <c r="AG102" s="575" t="n"/>
      <c r="AH102" s="575" t="n"/>
      <c r="AI102" s="575" t="n"/>
      <c r="AJ102" s="575" t="n"/>
      <c r="AK102" s="575" t="n"/>
      <c r="AL102" s="575" t="n"/>
      <c r="AM102" s="575" t="n"/>
      <c r="AN102" s="575" t="n"/>
      <c r="AO102" s="575" t="n"/>
      <c r="AP102" s="575" t="n"/>
      <c r="AQ102" s="575" t="n"/>
      <c r="AR102" s="575" t="n"/>
    </row>
    <row r="103" ht="16.15" customFormat="1" customHeight="1" s="575">
      <c r="A103" s="575" t="n"/>
      <c r="B103" s="575" t="n"/>
      <c r="C103" s="575" t="n"/>
      <c r="D103" s="575" t="n"/>
      <c r="E103" s="575" t="n"/>
      <c r="F103" s="575" t="n"/>
      <c r="G103" s="575" t="n"/>
      <c r="H103" s="575" t="n"/>
      <c r="I103" s="575" t="n"/>
      <c r="J103" s="575" t="n"/>
      <c r="K103" s="575" t="n"/>
      <c r="L103" s="575" t="n"/>
      <c r="M103" s="575" t="n"/>
      <c r="N103" s="1348">
        <f>IF(_epmOfflineCondition_,531563.5,-EPMRetrieveData(,,$D$21,$D$22,$D$25,$D$26,$D$27,$D$28,$D$29,$AB$41,$AB$42,$AB$43,$AA$28,$AB$45,Q103))</f>
        <v/>
      </c>
      <c r="O103" s="1348">
        <f>IF(_epmOfflineCondition_,1108035.55,-EPMRetrieveData(,,$D$21,$D$22,$D$25,$D$26,$D$27,$D$28,$D$29,$AA$41,$AB$42,$AB$43,$AA$28,$AB$45,Q103))</f>
        <v/>
      </c>
      <c r="P103" s="1348">
        <f>IF(_epmOfflineCondition_,397586.2,-EPMRetrieveData(,,$D$21,$D$22,$D$25,$D$26,$D$27,$D$28,$D$29,$Z$41,$AB$42,$AB$43,$AA$28,$AB$45,Q103,$Z$45))</f>
        <v/>
      </c>
      <c r="Q103" s="575" t="inlineStr">
        <is>
          <t>A0070301</t>
        </is>
      </c>
      <c r="R103" s="575">
        <f>IF(_epmOfflineCondition_,"人工成本明细-应发工资总额",EPMMemberDesc(Q103))</f>
        <v/>
      </c>
      <c r="S103" s="726">
        <f>IF(_epmOfflineCondition_,"人工成本明细-应发职工人工成本总额",EPMMemberDesc(U103))</f>
        <v/>
      </c>
      <c r="T103" s="575" t="n"/>
      <c r="U103" s="726" t="inlineStr">
        <is>
          <t>A00703</t>
        </is>
      </c>
      <c r="V103" s="616" t="n"/>
      <c r="W103" s="726" t="n"/>
      <c r="X103" s="585" t="inlineStr">
        <is>
          <t>29.实际发放职工薪酬（不含劳务派遣费用）</t>
        </is>
      </c>
      <c r="Y103" s="1312">
        <f>ROW()-45</f>
        <v/>
      </c>
      <c r="Z103" s="1349">
        <f>SUM(P103:P105,P123:P133,P144:P148)-P147</f>
        <v/>
      </c>
      <c r="AA103" s="1349">
        <f>SUM(O103:O105,O123:O133,O144:O148)-O147</f>
        <v/>
      </c>
      <c r="AB103" s="1349">
        <f>SUM(N103:N105,N123:N133,N144:N148)-N147</f>
        <v/>
      </c>
      <c r="AC103" s="1361">
        <f>ROUND(Z103/10000,2)</f>
        <v/>
      </c>
      <c r="AD103" s="1361">
        <f>ROUND(AA103/10000,2)</f>
        <v/>
      </c>
      <c r="AE103" s="1361">
        <f>ROUND(AB103/10000,2)</f>
        <v/>
      </c>
      <c r="AF103" s="575" t="n"/>
      <c r="AG103" s="575" t="n"/>
      <c r="AH103" s="575" t="n"/>
      <c r="AI103" s="575" t="n"/>
      <c r="AJ103" s="575" t="n"/>
      <c r="AK103" s="575" t="n"/>
      <c r="AL103" s="575" t="n"/>
      <c r="AM103" s="575" t="n"/>
      <c r="AN103" s="575" t="n"/>
      <c r="AO103" s="575" t="n"/>
      <c r="AP103" s="575" t="n"/>
      <c r="AQ103" s="575" t="n"/>
      <c r="AR103" s="575" t="n"/>
    </row>
    <row r="104" ht="16.15" customFormat="1" customHeight="1" s="575">
      <c r="A104" s="575" t="n"/>
      <c r="B104" s="575" t="n"/>
      <c r="C104" s="575" t="n"/>
      <c r="D104" s="575" t="n"/>
      <c r="E104" s="575" t="n"/>
      <c r="F104" s="575" t="n"/>
      <c r="G104" s="575" t="n"/>
      <c r="H104" s="575" t="n"/>
      <c r="I104" s="575" t="n"/>
      <c r="J104" s="575" t="n"/>
      <c r="K104" s="575" t="n"/>
      <c r="L104" s="575" t="n"/>
      <c r="M104" s="575" t="n"/>
      <c r="N104" s="1348">
        <f>IF(_epmOfflineCondition_,206230,-EPMRetrieveData(,,$D$21,$D$22,$D$25,$D$26,$D$27,$D$28,$D$29,$AB$41,$AB$42,$AB$43,$AA$28,$AB$45,Q104))</f>
        <v/>
      </c>
      <c r="O104" s="1348">
        <f>IF(_epmOfflineCondition_,427068.27,-EPMRetrieveData(,,$D$21,$D$22,$D$25,$D$26,$D$27,$D$28,$D$29,$AA$41,$AB$42,$AB$43,$AA$28,$AB$45,Q104))</f>
        <v/>
      </c>
      <c r="P104" s="1348">
        <f>IF(_epmOfflineCondition_,124071.58,-EPMRetrieveData(,,$D$21,$D$22,$D$25,$D$26,$D$27,$D$28,$D$29,$Z$41,$AB$42,$AB$43,$AA$28,$AB$45,Q104,$Z$45))</f>
        <v/>
      </c>
      <c r="Q104" s="575" t="inlineStr">
        <is>
          <t>A0070302</t>
        </is>
      </c>
      <c r="R104" s="575">
        <f>IF(_epmOfflineCondition_,"人工成本明细-社会保险费用",EPMMemberDesc(Q104))</f>
        <v/>
      </c>
      <c r="S104" s="726">
        <f>IF(_epmOfflineCondition_,"人工成本明细-应发工资总额",EPMMemberDesc(U104))</f>
        <v/>
      </c>
      <c r="T104" s="575" t="n"/>
      <c r="U104" s="726" t="inlineStr">
        <is>
          <t>A0070301</t>
        </is>
      </c>
      <c r="V104" s="616">
        <f>IF(_epmOfflineCondition_,"A0070301",EPMOlapMemberO(U104,"[C_ACCOUNT].[PARENTH1].[A0070301]","A0070301 - 人工成本明细-应发工资总额","","000"))</f>
        <v/>
      </c>
      <c r="W104" s="726" t="n"/>
      <c r="X104" s="457" t="inlineStr">
        <is>
          <t xml:space="preserve">   其中：实际发放职工工资总额</t>
        </is>
      </c>
      <c r="Y104" s="1312">
        <f>ROW()-45</f>
        <v/>
      </c>
      <c r="Z104" s="1349">
        <f>IF(_epmOfflineCondition_,397586.2,-EPMRetrieveData(,,$D$21,$D$22,$D$25,$D$26,$D$27,$D$28,$D$29,$Z$41,$Z$42,$Z$43,$AA$28,$Z$45,V104))</f>
        <v/>
      </c>
      <c r="AA104" s="1349">
        <f>IF(_epmOfflineCondition_,1108035.55,-EPMRetrieveData(,,$D$21,$D$22,$D$25,$D$26,$D$27,$D$28,$AA$41,$AA$42,$AA$43,$AA$28,$AA$45,V104))</f>
        <v/>
      </c>
      <c r="AB104" s="1349">
        <f>IF(_epmOfflineCondition_,531563.5,-EPMRetrieveData(,,$D$21,$D$22,$D$25,$D$26,$D$27,$D$28,$D$29,$AB$41,$AB$42,$AB$43,$AA$28,$AB$45,V104))</f>
        <v/>
      </c>
      <c r="AC104" s="1361">
        <f>ROUND(Z104/10000,2)</f>
        <v/>
      </c>
      <c r="AD104" s="1361">
        <f>ROUND(AA104/10000,2)</f>
        <v/>
      </c>
      <c r="AE104" s="1361">
        <f>ROUND(AB104/10000,2)</f>
        <v/>
      </c>
      <c r="AF104" s="575" t="n"/>
      <c r="AG104" s="575" t="n"/>
      <c r="AH104" s="575" t="n"/>
      <c r="AI104" s="575" t="n"/>
      <c r="AJ104" s="575" t="n"/>
      <c r="AK104" s="575" t="n"/>
      <c r="AL104" s="575" t="n"/>
      <c r="AM104" s="575" t="n"/>
      <c r="AN104" s="575" t="n"/>
      <c r="AO104" s="575" t="n"/>
      <c r="AP104" s="575" t="n"/>
      <c r="AQ104" s="575" t="n"/>
      <c r="AR104" s="575" t="n"/>
    </row>
    <row r="105" ht="16.15" customFormat="1" customHeight="1" s="575">
      <c r="A105" s="575" t="n"/>
      <c r="B105" s="575" t="n"/>
      <c r="C105" s="575" t="n"/>
      <c r="D105" s="575" t="n"/>
      <c r="E105" s="575" t="n"/>
      <c r="F105" s="575" t="n"/>
      <c r="G105" s="575" t="n"/>
      <c r="H105" s="575" t="n"/>
      <c r="I105" s="575" t="n"/>
      <c r="J105" s="575" t="n"/>
      <c r="K105" s="575" t="n"/>
      <c r="L105" s="575" t="n"/>
      <c r="M105" s="575" t="n"/>
      <c r="N105" s="1348">
        <f>IF(_epmOfflineCondition_,0,-EPMRetrieveData(,,$D$21,$D$22,$D$25,$D$26,$D$27,$D$28,$D$29,$AB$41,$AB$42,$AB$43,$AA$28,$AB$45,Q105))</f>
        <v/>
      </c>
      <c r="O105" s="1348">
        <f>IF(_epmOfflineCondition_,0,-EPMRetrieveData(,,$D$21,$D$22,$D$25,$D$26,$D$27,$D$28,$D$29,$AA$41,$AB$42,$AB$43,$AA$28,$AB$45,Q105))</f>
        <v/>
      </c>
      <c r="P105" s="1348">
        <f>IF(_epmOfflineCondition_,0,-EPMRetrieveData(,,$D$21,$D$22,$D$25,$D$26,$D$27,$D$28,$D$29,$Z$41,$AB$42,$AB$43,$AA$28,$AB$45,Q105,$Z$45))</f>
        <v/>
      </c>
      <c r="Q105" s="575" t="inlineStr">
        <is>
          <t>A0070303</t>
        </is>
      </c>
      <c r="R105" s="575">
        <f>IF(_epmOfflineCondition_,"人工成本明细-商业保险费用",EPMMemberDesc(Q105))</f>
        <v/>
      </c>
      <c r="S105" s="726">
        <f>IF(_epmOfflineCondition_,"人工成本明细-其中：应发工资总额",EPMMemberDesc(U105))</f>
        <v/>
      </c>
      <c r="T105" s="575" t="n"/>
      <c r="U105" s="726" t="inlineStr">
        <is>
          <t>A0070401</t>
        </is>
      </c>
      <c r="V105" s="616">
        <f>IF(_epmOfflineCondition_,"A0070401",EPMOlapMemberO(U105,"[C_ACCOUNT].[PARENTH1].[A0070401]","A0070401 - 人工成本明细-其中：应发工资总额","","000"))</f>
        <v/>
      </c>
      <c r="W105" s="726" t="n"/>
      <c r="X105" s="614" t="inlineStr">
        <is>
          <t xml:space="preserve">          其中：实际发放在岗职工工资总额</t>
        </is>
      </c>
      <c r="Y105" s="1312">
        <f>ROW()-45</f>
        <v/>
      </c>
      <c r="Z105" s="1349">
        <f>P103-P134-P135</f>
        <v/>
      </c>
      <c r="AA105" s="1349">
        <f>O103-O134-O135</f>
        <v/>
      </c>
      <c r="AB105" s="1349">
        <f>N103-N134-N135</f>
        <v/>
      </c>
      <c r="AC105" s="1361">
        <f>ROUND(Z105/10000,2)</f>
        <v/>
      </c>
      <c r="AD105" s="1361">
        <f>ROUND(AA105/10000,2)</f>
        <v/>
      </c>
      <c r="AE105" s="1361">
        <f>ROUND(AB105/10000,2)</f>
        <v/>
      </c>
      <c r="AF105" s="575" t="n"/>
      <c r="AG105" s="575" t="n"/>
      <c r="AH105" s="575" t="n"/>
      <c r="AI105" s="575" t="n"/>
      <c r="AJ105" s="575" t="n"/>
      <c r="AK105" s="575" t="n"/>
      <c r="AL105" s="575" t="n"/>
      <c r="AM105" s="575" t="n"/>
      <c r="AN105" s="575" t="n"/>
      <c r="AO105" s="575" t="n"/>
      <c r="AP105" s="575" t="n"/>
      <c r="AQ105" s="575" t="n"/>
      <c r="AR105" s="575" t="n"/>
    </row>
    <row r="106" ht="16.15" customFormat="1" customHeight="1" s="575">
      <c r="A106" s="575" t="n"/>
      <c r="B106" s="575" t="n"/>
      <c r="C106" s="575" t="n"/>
      <c r="D106" s="575" t="n"/>
      <c r="E106" s="575" t="n"/>
      <c r="F106" s="575" t="n"/>
      <c r="G106" s="575" t="n"/>
      <c r="H106" s="575" t="n"/>
      <c r="I106" s="575" t="n"/>
      <c r="J106" s="575" t="n"/>
      <c r="K106" s="575" t="n"/>
      <c r="L106" s="575" t="n"/>
      <c r="M106" s="575" t="n"/>
      <c r="N106" s="1348">
        <f>IF(_epmOfflineCondition_,248103.86,EPMRetrieveData(,,$D$21,$D$22,$D$25,$D$26,$D$27,$D$28,$D$29,$AB$41,$AB$42,$AB$43,$Z$28,$AB$45,Q106))</f>
        <v/>
      </c>
      <c r="O106" s="1348">
        <f>IF(_epmOfflineCondition_,81855.46,EPMRetrieveData(,,$D$21,$D$22,$D$25,$D$26,$D$27,$D$28,$D$29,$AA$41,$AA$42,$AA$43,$Z$28,$AA$45,Q106))</f>
        <v/>
      </c>
      <c r="P106" s="1348">
        <f>IF(_epmOfflineCondition_,24389.54,EPMRetrieveData(,,$D$21,$D$22,$D$25,$D$26,$D$27,$D$28,$D$29,$Z$41,$Z$42,$Z$43,$Z$28,$Z$45,Q106))</f>
        <v/>
      </c>
      <c r="Q106" s="608" t="inlineStr">
        <is>
          <t>A0070304P</t>
        </is>
      </c>
      <c r="R106" s="575">
        <f>IF(_epmOfflineCondition_,"人工成本明细-福利费用",EPMMemberDesc(Q106))</f>
        <v/>
      </c>
      <c r="S106" s="726">
        <f>IF(_epmOfflineCondition_,"人工成本明细-全年平均职工人数（人）",EPMMemberDesc(U106))</f>
        <v/>
      </c>
      <c r="T106" s="575" t="n"/>
      <c r="U106" s="575" t="inlineStr">
        <is>
          <t>A0070702</t>
        </is>
      </c>
      <c r="V106" s="616">
        <f>IF(_epmOfflineCondition_,"A0070702",EPMOlapMemberO(U106,"[C_ACCOUNT].[PARENTH1].[A0070702]","A0070702 - 人工成本明细-全年平均职工人数（人）","","000"))</f>
        <v/>
      </c>
      <c r="W106" s="726" t="n"/>
      <c r="X106" s="585" t="inlineStr">
        <is>
          <t>30. 职工人数（人）（不含劳务派遣人员）</t>
        </is>
      </c>
      <c r="Y106" s="1312">
        <f>ROW()-45</f>
        <v/>
      </c>
      <c r="Z106" s="1316">
        <f>"— —"</f>
        <v/>
      </c>
      <c r="AA106" s="1336">
        <f>IF(_epmOfflineCondition_,21,EPMRetrieveData(,,$D$21,$D$22,$C$25,$C$26,$C$27,$C$28,$C$29,$AA$41,$AA$42,$AA$43,$Z$28,$AA$45,V106))</f>
        <v/>
      </c>
      <c r="AB106" s="1336">
        <f>IF(_epmOfflineCondition_,12,EPMRetrieveData(,,$D$21,$D$22,$C$25,$C$26,$C$27,$C$28,$C$29,$AB$41,$AB$42,$AB$43,$Z$28,$AB$45,V106))</f>
        <v/>
      </c>
      <c r="AC106" s="1362">
        <f>"— —"</f>
        <v/>
      </c>
      <c r="AD106" s="1361">
        <f>AA106</f>
        <v/>
      </c>
      <c r="AE106" s="1361">
        <f>ROUND(AB106,2)</f>
        <v/>
      </c>
      <c r="AF106" s="575" t="n"/>
      <c r="AG106" s="575" t="n"/>
      <c r="AH106" s="575" t="n"/>
      <c r="AI106" s="575" t="n"/>
      <c r="AJ106" s="575" t="n"/>
      <c r="AK106" s="575" t="n"/>
      <c r="AL106" s="575" t="n"/>
      <c r="AM106" s="575" t="n"/>
      <c r="AN106" s="575" t="n"/>
      <c r="AO106" s="575" t="n"/>
      <c r="AP106" s="575" t="n"/>
      <c r="AQ106" s="575" t="n"/>
      <c r="AR106" s="575" t="n"/>
    </row>
    <row r="107" ht="16.15" customFormat="1" customHeight="1" s="575">
      <c r="A107" s="575" t="n"/>
      <c r="B107" s="575" t="n"/>
      <c r="C107" s="575" t="n"/>
      <c r="D107" s="575" t="n"/>
      <c r="E107" s="575" t="n"/>
      <c r="F107" s="575" t="n"/>
      <c r="G107" s="575" t="n"/>
      <c r="H107" s="575" t="n"/>
      <c r="I107" s="575" t="n"/>
      <c r="J107" s="575" t="n"/>
      <c r="K107" s="575" t="n"/>
      <c r="L107" s="575" t="n"/>
      <c r="M107" s="575" t="n"/>
      <c r="N107" s="1348">
        <f>IF(_epmOfflineCondition_,3268.32,EPMRetrieveData(,,$D$21,$D$22,$D$25,$D$26,$D$27,$D$28,$D$29,$AB$41,$AB$42,$AB$43,$Z$28,$AB$45,Q107))</f>
        <v/>
      </c>
      <c r="O107" s="1348">
        <f>IF(_epmOfflineCondition_,4259.54,EPMRetrieveData(,,$D$21,$D$22,$D$25,$D$26,$D$27,$D$28,$D$29,$AA$41,$AA$42,$AA$43,$Z$28,$AA$45,Q107))</f>
        <v/>
      </c>
      <c r="P107" s="1348">
        <f>IF(_epmOfflineCondition_,893.2,EPMRetrieveData(,,$D$21,$D$22,$D$25,$D$26,$D$27,$D$28,$D$29,$Z$41,$Z$42,$Z$43,$Z$28,$Z$45,Q107))</f>
        <v/>
      </c>
      <c r="Q107" s="608" t="inlineStr">
        <is>
          <t>A0070305</t>
        </is>
      </c>
      <c r="R107" s="575">
        <f>IF(_epmOfflineCondition_,"人工成本明细-教育培训经费",EPMMemberDesc(Q107))</f>
        <v/>
      </c>
      <c r="S107" s="726">
        <f>IF(_epmOfflineCondition_,"人工成本明细-全年平均在岗职工人数（人）",EPMMemberDesc(U107))</f>
        <v/>
      </c>
      <c r="T107" s="575" t="n"/>
      <c r="U107" s="726" t="inlineStr">
        <is>
          <t>A0070703</t>
        </is>
      </c>
      <c r="V107" s="616">
        <f>IF(_epmOfflineCondition_,"A0070703",EPMOlapMemberO(U107,"[C_ACCOUNT].[PARENTH1].[A0070703]","A0070703 - 人工成本明细-全年平均在岗职工人数（人）","","000"))</f>
        <v/>
      </c>
      <c r="W107" s="726" t="n"/>
      <c r="X107" s="457" t="inlineStr">
        <is>
          <t xml:space="preserve">   其中：在岗职工人数（人）</t>
        </is>
      </c>
      <c r="Y107" s="1312">
        <f>ROW()-45</f>
        <v/>
      </c>
      <c r="Z107" s="1316">
        <f>"— —"</f>
        <v/>
      </c>
      <c r="AA107" s="1336">
        <f>IF(_epmOfflineCondition_,21,EPMRetrieveData(,,$D$21,$D$22,$C$25,$C$26,$C$27,$C$28,$C$29,$AA$41,$AA$42,$AA$43,$Z$28,$AA$45,V107))</f>
        <v/>
      </c>
      <c r="AB107" s="1336">
        <f>IF(_epmOfflineCondition_,12,EPMRetrieveData(,,$D$21,$D$22,$C$25,$C$26,$C$27,$C$28,$C$29,$AB$41,$AB$42,$AB$43,$Z$28,$AB$45,V107))</f>
        <v/>
      </c>
      <c r="AC107" s="1362">
        <f>"— —"</f>
        <v/>
      </c>
      <c r="AD107" s="1361">
        <f>AA107</f>
        <v/>
      </c>
      <c r="AE107" s="1361">
        <f>ROUND(AB107,2)</f>
        <v/>
      </c>
      <c r="AF107" s="575" t="n"/>
      <c r="AG107" s="575" t="n"/>
      <c r="AH107" s="575" t="n"/>
      <c r="AI107" s="575" t="n"/>
      <c r="AJ107" s="575" t="n"/>
      <c r="AK107" s="575" t="n"/>
      <c r="AL107" s="575" t="n"/>
      <c r="AM107" s="575" t="n"/>
      <c r="AN107" s="575" t="n"/>
      <c r="AO107" s="575" t="n"/>
      <c r="AP107" s="575" t="n"/>
      <c r="AQ107" s="575" t="n"/>
      <c r="AR107" s="575" t="n"/>
    </row>
    <row r="108" ht="16.15" customFormat="1" customHeight="1" s="575">
      <c r="A108" s="575" t="n"/>
      <c r="B108" s="575" t="n"/>
      <c r="C108" s="575" t="n"/>
      <c r="D108" s="575" t="n"/>
      <c r="E108" s="575" t="n"/>
      <c r="F108" s="575" t="n"/>
      <c r="G108" s="575" t="n"/>
      <c r="H108" s="575" t="n"/>
      <c r="I108" s="575" t="n"/>
      <c r="J108" s="575" t="n"/>
      <c r="K108" s="575" t="n"/>
      <c r="L108" s="575" t="n"/>
      <c r="M108" s="575" t="n"/>
      <c r="N108" s="1348">
        <f>IF(_epmOfflineCondition_,10631.27,EPMRetrieveData(,,$D$21,$D$22,$D$25,$D$26,$D$27,$D$28,$D$29,$AB$41,$AB$42,$AB$43,$Z$28,$AB$45,Q108))</f>
        <v/>
      </c>
      <c r="O108" s="1348">
        <f>IF(_epmOfflineCondition_,22160.71,EPMRetrieveData(,,$D$21,$D$22,$D$25,$D$26,$D$27,$D$28,$D$29,$AA$41,$AA$42,$AA$43,$Z$28,$AA$45,Q108))</f>
        <v/>
      </c>
      <c r="P108" s="1348">
        <f>IF(_epmOfflineCondition_,7951.72,EPMRetrieveData(,,$D$21,$D$22,$D$25,$D$26,$D$27,$D$28,$D$29,$Z$41,$Z$42,$Z$43,$Z$28,$Z$45,Q108))</f>
        <v/>
      </c>
      <c r="Q108" s="608" t="inlineStr">
        <is>
          <t>A0070306</t>
        </is>
      </c>
      <c r="R108" s="575">
        <f>IF(_epmOfflineCondition_,"人工成本明细-工会经费",EPMMemberDesc(Q108))</f>
        <v/>
      </c>
      <c r="S108" s="726">
        <f>IF(_epmOfflineCondition_,"人工成本明细-全年平均从业人员人数（人）",EPMMemberDesc(U108))</f>
        <v/>
      </c>
      <c r="T108" s="575" t="n"/>
      <c r="U108" s="726" t="inlineStr">
        <is>
          <t>A0070701</t>
        </is>
      </c>
      <c r="V108" s="616">
        <f>IF(_epmOfflineCondition_,"A0070701",EPMOlapMemberO(U108,"[C_ACCOUNT].[PARENTH1].[A0070701]","A0070701 - 人工成本明细-全年平均从业人员人数（人）","","000"))</f>
        <v/>
      </c>
      <c r="W108" s="726" t="n"/>
      <c r="X108" s="585" t="inlineStr">
        <is>
          <t>31. 从业人员人数（人）</t>
        </is>
      </c>
      <c r="Y108" s="1312">
        <f>ROW()-45</f>
        <v/>
      </c>
      <c r="Z108" s="1316">
        <f>"— —"</f>
        <v/>
      </c>
      <c r="AA108" s="1336">
        <f>IF(_epmOfflineCondition_,21,EPMRetrieveData(,,$D$21,$D$22,$C$25,$C$26,$C$27,$C$28,$C$29,$AA$41,$AA$42,$AA$43,$Z$28,$AA$45,V108))</f>
        <v/>
      </c>
      <c r="AB108" s="1336">
        <f>IF(_epmOfflineCondition_,12,EPMRetrieveData(,,$D$21,$D$22,$C$25,$C$26,$C$27,$C$28,$C$29,$AB$41,$AB$42,$AB$43,$Z$28,$AB$45,V108))</f>
        <v/>
      </c>
      <c r="AC108" s="1362">
        <f>"— —"</f>
        <v/>
      </c>
      <c r="AD108" s="1361">
        <f>AA108</f>
        <v/>
      </c>
      <c r="AE108" s="1361">
        <f>ROUND(AB108,2)</f>
        <v/>
      </c>
      <c r="AF108" s="575" t="n"/>
      <c r="AG108" s="575" t="n"/>
      <c r="AH108" s="575" t="n"/>
      <c r="AI108" s="575" t="n"/>
      <c r="AJ108" s="575" t="n"/>
      <c r="AK108" s="575" t="n"/>
      <c r="AL108" s="575" t="n"/>
      <c r="AM108" s="575" t="n"/>
      <c r="AN108" s="575" t="n"/>
      <c r="AO108" s="575" t="n"/>
      <c r="AP108" s="575" t="n"/>
      <c r="AQ108" s="575" t="n"/>
      <c r="AR108" s="575" t="n"/>
    </row>
    <row r="109" ht="16.15" customFormat="1" customHeight="1" s="575">
      <c r="A109" s="575" t="n"/>
      <c r="B109" s="575" t="n"/>
      <c r="C109" s="575" t="n"/>
      <c r="D109" s="575" t="n"/>
      <c r="E109" s="575" t="n"/>
      <c r="F109" s="575" t="n"/>
      <c r="G109" s="575" t="n"/>
      <c r="H109" s="575" t="n"/>
      <c r="I109" s="575" t="n"/>
      <c r="J109" s="575" t="n"/>
      <c r="K109" s="575" t="n"/>
      <c r="L109" s="575" t="n"/>
      <c r="M109" s="575" t="n"/>
      <c r="N109" s="1348">
        <f>IF(_epmOfflineCondition_,0,EPMRetrieveData(,,$D$21,$D$22,$D$25,$D$26,$D$27,$D$28,$D$29,$AB$41,$AB$42,$AB$43,$Z$28,$AB$45,Q109))</f>
        <v/>
      </c>
      <c r="O109" s="1348">
        <f>IF(_epmOfflineCondition_,925.17,EPMRetrieveData(,,$D$21,$D$22,$D$25,$D$26,$D$27,$D$28,$D$29,$AA$41,$AA$42,$AA$43,$Z$28,$AA$45,Q109))</f>
        <v/>
      </c>
      <c r="P109" s="1348">
        <f>IF(_epmOfflineCondition_,925.17,EPMRetrieveData(,,$D$21,$D$22,$D$25,$D$26,$D$27,$D$28,$D$29,$Z$41,$Z$42,$Z$43,$Z$28,$Z$45,Q109))</f>
        <v/>
      </c>
      <c r="Q109" s="608" t="inlineStr">
        <is>
          <t>A0070307</t>
        </is>
      </c>
      <c r="R109" s="575">
        <f>IF(_epmOfflineCondition_,"人工成本明细-劳动保护费",EPMMemberDesc(Q109))</f>
        <v/>
      </c>
      <c r="S109" s="726">
        <f>IF(_epmOfflineCondition_,"31.固定资产投资额",EPMMemberDesc(U109))</f>
        <v/>
      </c>
      <c r="T109" s="575" t="n"/>
      <c r="U109" s="726" t="inlineStr">
        <is>
          <t>A07810</t>
        </is>
      </c>
      <c r="V109" s="591">
        <f>IF(_epmOfflineCondition_,"A07810",EPMOlapMemberO(U109,"[C_ACCOUNT].[PARENTH1].[A07810]","A07810 - 31.固定资产投资额","","000"))</f>
        <v/>
      </c>
      <c r="W109" s="726" t="n"/>
      <c r="X109" s="585" t="inlineStr">
        <is>
          <t>32. 固定资产投资额</t>
        </is>
      </c>
      <c r="Y109" s="1312">
        <f>ROW()-45</f>
        <v/>
      </c>
      <c r="Z109" s="1336" t="inlineStr"/>
      <c r="AA109" s="1363" t="inlineStr"/>
      <c r="AB109" s="1336" t="inlineStr"/>
      <c r="AC109" s="1361">
        <f>ROUND(Z109/10000,2)</f>
        <v/>
      </c>
      <c r="AD109" s="1361">
        <f>ROUND(AA109/10000,2)</f>
        <v/>
      </c>
      <c r="AE109" s="1361">
        <f>ROUND(AB109/10000,2)</f>
        <v/>
      </c>
      <c r="AF109" s="575" t="n"/>
      <c r="AG109" s="575" t="n"/>
      <c r="AH109" s="575" t="n"/>
      <c r="AI109" s="575" t="n"/>
      <c r="AJ109" s="575" t="n"/>
      <c r="AK109" s="575" t="n"/>
      <c r="AL109" s="575" t="n"/>
      <c r="AM109" s="575" t="n"/>
      <c r="AN109" s="575" t="n"/>
      <c r="AO109" s="575" t="n"/>
      <c r="AP109" s="575" t="n"/>
      <c r="AQ109" s="575" t="n"/>
      <c r="AR109" s="575" t="n"/>
    </row>
    <row r="110" ht="16.15" customFormat="1" customHeight="1" s="575">
      <c r="A110" s="575" t="n"/>
      <c r="B110" s="575" t="n"/>
      <c r="C110" s="575" t="n"/>
      <c r="D110" s="575" t="n"/>
      <c r="E110" s="575" t="n"/>
      <c r="F110" s="575" t="n"/>
      <c r="G110" s="575" t="n"/>
      <c r="H110" s="575" t="n"/>
      <c r="I110" s="575" t="n"/>
      <c r="J110" s="575" t="n"/>
      <c r="K110" s="575" t="n"/>
      <c r="L110" s="575" t="n"/>
      <c r="M110" s="575" t="n"/>
      <c r="N110" s="1348">
        <f>IF(_epmOfflineCondition_,0,EPMRetrieveData(,,$D$21,$D$22,$D$25,$D$26,$D$27,$D$28,$D$29,$AB$41,$AB$42,$AB$43,$Z$28,$AB$45,Q110))</f>
        <v/>
      </c>
      <c r="O110" s="1348">
        <f>IF(_epmOfflineCondition_,0,EPMRetrieveData(,,$D$21,$D$22,$D$25,$D$26,$D$27,$D$28,$D$29,$AA$41,$AA$42,$AA$43,$Z$28,$AA$45,Q110))</f>
        <v/>
      </c>
      <c r="P110" s="1348">
        <f>IF(_epmOfflineCondition_,0,EPMRetrieveData(,,$D$21,$D$22,$D$25,$D$26,$D$27,$D$28,$D$29,$Z$41,$Z$42,$Z$43,$Z$28,$Z$45,Q110))</f>
        <v/>
      </c>
      <c r="Q110" s="608" t="inlineStr">
        <is>
          <t>A0070311</t>
        </is>
      </c>
      <c r="R110" s="575">
        <f>IF(_epmOfflineCondition_,"人工成本明细-辞退福利",EPMMemberDesc(Q110))</f>
        <v/>
      </c>
      <c r="S110" s="726">
        <f>IF(_epmOfflineCondition_,"32. 计提折旧额",EPMMemberDesc(U110))</f>
        <v/>
      </c>
      <c r="T110" s="575" t="n"/>
      <c r="U110" s="726" t="inlineStr">
        <is>
          <t>A07813</t>
        </is>
      </c>
      <c r="V110" s="591">
        <f>IF(_epmOfflineCondition_,"A07813",EPMOlapMemberO(U110,"[C_ACCOUNT].[PARENTH1].[A07813]","A07813 - 32. 计提折旧额","","000"))</f>
        <v/>
      </c>
      <c r="W110" s="726" t="n"/>
      <c r="X110" s="585" t="inlineStr">
        <is>
          <t>33. 计提折旧额</t>
        </is>
      </c>
      <c r="Y110" s="1312">
        <f>ROW()-45</f>
        <v/>
      </c>
      <c r="Z110" s="1336" t="inlineStr"/>
      <c r="AA110" s="1363" t="inlineStr"/>
      <c r="AB110" s="1336" t="n"/>
      <c r="AC110" s="1361">
        <f>ROUND(Z110/10000,2)</f>
        <v/>
      </c>
      <c r="AD110" s="1361">
        <f>ROUND(AA110/10000,2)</f>
        <v/>
      </c>
      <c r="AE110" s="1361">
        <f>ROUND(AB110/10000,2)</f>
        <v/>
      </c>
      <c r="AF110" s="575" t="n"/>
      <c r="AG110" s="575" t="n"/>
      <c r="AH110" s="575" t="n"/>
      <c r="AI110" s="575" t="n"/>
      <c r="AJ110" s="575" t="n"/>
      <c r="AK110" s="575" t="n"/>
      <c r="AL110" s="575" t="n"/>
      <c r="AM110" s="575" t="n"/>
      <c r="AN110" s="575" t="n"/>
      <c r="AO110" s="575" t="n"/>
      <c r="AP110" s="575" t="n"/>
      <c r="AQ110" s="575" t="n"/>
      <c r="AR110" s="575" t="n"/>
    </row>
    <row r="111" ht="32.45" customFormat="1" customHeight="1" s="575">
      <c r="A111" s="575" t="n"/>
      <c r="B111" s="575" t="n"/>
      <c r="C111" s="575" t="n"/>
      <c r="D111" s="575" t="n"/>
      <c r="E111" s="575" t="n"/>
      <c r="F111" s="575" t="n"/>
      <c r="G111" s="575" t="n"/>
      <c r="H111" s="575" t="n"/>
      <c r="I111" s="575" t="n"/>
      <c r="J111" s="575" t="n"/>
      <c r="K111" s="575" t="n"/>
      <c r="L111" s="575" t="n"/>
      <c r="M111" s="575" t="n"/>
      <c r="N111" s="1348">
        <f>IF(_epmOfflineCondition_,0,EPMRetrieveData(,,$D$21,$D$22,$D$25,$D$26,$D$27,$D$28,$D$29,$AB$41,$AB$42,$AB$43,$Z$28,$AB$45,Q111))</f>
        <v/>
      </c>
      <c r="O111" s="1348">
        <f>IF(_epmOfflineCondition_,0,EPMRetrieveData(,,$D$21,$D$22,$D$25,$D$26,$D$27,$D$28,$D$29,$AA$41,$AA$42,$AA$43,$Z$28,$AA$45,Q111))</f>
        <v/>
      </c>
      <c r="P111" s="1348">
        <f>IF(_epmOfflineCondition_,0,EPMRetrieveData(,,$D$21,$D$22,$D$25,$D$26,$D$27,$D$28,$D$29,$Z$41,$Z$42,$Z$43,$Z$28,$Z$45,Q111))</f>
        <v/>
      </c>
      <c r="Q111" s="608" t="inlineStr">
        <is>
          <t>A0070310</t>
        </is>
      </c>
      <c r="R111" s="575">
        <f>IF(_epmOfflineCondition_,"人工成本明细-技术奖酬金及业务设计奖",EPMMemberDesc(Q111))</f>
        <v/>
      </c>
      <c r="S111" s="726">
        <f>IF(_epmOfflineCondition_,"33.劳动生产总值",EPMMemberDesc(U111))</f>
        <v/>
      </c>
      <c r="T111" s="575" t="n"/>
      <c r="U111" s="575" t="inlineStr">
        <is>
          <t>A07801</t>
        </is>
      </c>
      <c r="V111" s="591">
        <f>IF(_epmOfflineCondition_,"A07801",EPMOlapMemberO(U111,"[C_ACCOUNT].[PARENTH1].[A07801]","A07801 - 33.劳动生产总值","","000"))</f>
        <v/>
      </c>
      <c r="W111" s="726" t="n"/>
      <c r="X111" s="585" t="inlineStr">
        <is>
          <t>34. 劳动生产总值</t>
        </is>
      </c>
      <c r="Y111" s="1312">
        <f>ROW()-45</f>
        <v/>
      </c>
      <c r="Z111" s="1349">
        <f>Z63+Z65+P98+Z92-Z95+Z110</f>
        <v/>
      </c>
      <c r="AA111" s="1349">
        <f>AA63+AA65+O98+AA92-AA95+AA110</f>
        <v/>
      </c>
      <c r="AB111" s="1349">
        <f>AB63+AB65+N98+AB92-AB95+AB110</f>
        <v/>
      </c>
      <c r="AC111" s="1361">
        <f>ROUND(Z111/10000,2)</f>
        <v/>
      </c>
      <c r="AD111" s="1361">
        <f>ROUND(AA111/10000,2)</f>
        <v/>
      </c>
      <c r="AE111" s="1361">
        <f>ROUND(AB111/10000,2)</f>
        <v/>
      </c>
      <c r="AF111" s="575" t="n"/>
      <c r="AG111" s="575" t="n"/>
      <c r="AH111" s="575" t="n"/>
      <c r="AI111" s="575" t="n"/>
      <c r="AJ111" s="575" t="n"/>
      <c r="AK111" s="575" t="n"/>
      <c r="AL111" s="575" t="n"/>
      <c r="AM111" s="575" t="n"/>
      <c r="AN111" s="575" t="n"/>
      <c r="AO111" s="575" t="n"/>
      <c r="AP111" s="575" t="n"/>
      <c r="AQ111" s="575" t="n"/>
      <c r="AR111" s="575" t="n"/>
    </row>
    <row r="112" ht="16.15" customFormat="1" customHeight="1" s="575">
      <c r="A112" s="575" t="n"/>
      <c r="B112" s="575" t="n"/>
      <c r="C112" s="575" t="n"/>
      <c r="D112" s="575" t="n"/>
      <c r="E112" s="575" t="n"/>
      <c r="F112" s="575" t="n"/>
      <c r="G112" s="575" t="n"/>
      <c r="H112" s="575" t="n"/>
      <c r="I112" s="575" t="n"/>
      <c r="J112" s="575" t="n"/>
      <c r="K112" s="575" t="n"/>
      <c r="L112" s="575" t="n"/>
      <c r="M112" s="575" t="n"/>
      <c r="N112" s="1348">
        <f>IF(_epmOfflineCondition_,0,EPMRetrieveData(,,$D$21,$D$22,$D$25,$D$26,$D$27,$D$28,$D$29,$AB$41,$AB$42,$AB$43,$Z$28,$AB$45,Q112))</f>
        <v/>
      </c>
      <c r="O112" s="1348">
        <f>IF(_epmOfflineCondition_,0,EPMRetrieveData(,,$D$21,$D$22,$D$25,$D$26,$D$27,$D$28,$D$29,$AA$41,$AA$42,$AA$43,$Z$28,$AA$45,Q112))</f>
        <v/>
      </c>
      <c r="P112" s="1348">
        <f>IF(_epmOfflineCondition_,0,EPMRetrieveData(,,$D$21,$D$22,$D$25,$D$26,$D$27,$D$28,$D$29,$Z$41,$Z$42,$Z$43,$Z$28,$Z$45,Q112))</f>
        <v/>
      </c>
      <c r="Q112" s="608" t="inlineStr">
        <is>
          <t>A0070313</t>
        </is>
      </c>
      <c r="R112" s="575">
        <f>IF(_epmOfflineCondition_,"人工成本明细-非货币性福利",EPMMemberDesc(Q112))</f>
        <v/>
      </c>
      <c r="S112" s="726">
        <f>IF(_epmOfflineCondition_,"34.工业总产值",EPMMemberDesc(U112))</f>
        <v/>
      </c>
      <c r="T112" s="575" t="n"/>
      <c r="U112" s="575" t="inlineStr">
        <is>
          <t>A07802</t>
        </is>
      </c>
      <c r="V112" s="591">
        <f>IF(_epmOfflineCondition_,"A07802",EPMOlapMemberO(U112,"[C_ACCOUNT].[PARENTH1].[A07802]","A07802 - 34.工业总产值","","000"))</f>
        <v/>
      </c>
      <c r="W112" s="726" t="n"/>
      <c r="X112" s="585" t="inlineStr">
        <is>
          <t>35. 工业总产值</t>
        </is>
      </c>
      <c r="Y112" s="1312">
        <f>ROW()-45</f>
        <v/>
      </c>
      <c r="Z112" s="1336" t="inlineStr"/>
      <c r="AA112" s="1363" t="inlineStr"/>
      <c r="AB112" s="1336" t="inlineStr"/>
      <c r="AC112" s="1361">
        <f>ROUND(Z112/10000,2)</f>
        <v/>
      </c>
      <c r="AD112" s="1361">
        <f>ROUND(AA112/10000,2)</f>
        <v/>
      </c>
      <c r="AE112" s="1361">
        <f>ROUND(AB112/10000,2)</f>
        <v/>
      </c>
      <c r="AF112" s="575" t="n"/>
      <c r="AG112" s="575" t="n"/>
      <c r="AH112" s="575" t="n"/>
      <c r="AI112" s="575" t="n"/>
      <c r="AJ112" s="575" t="n"/>
      <c r="AK112" s="575" t="n"/>
      <c r="AL112" s="575" t="n"/>
      <c r="AM112" s="575" t="n"/>
      <c r="AN112" s="575" t="n"/>
      <c r="AO112" s="575" t="n"/>
      <c r="AP112" s="575" t="n"/>
      <c r="AQ112" s="575" t="n"/>
      <c r="AR112" s="575" t="n"/>
    </row>
    <row r="113" ht="16.15" customFormat="1" customHeight="1" s="575">
      <c r="A113" s="575" t="n"/>
      <c r="B113" s="575" t="n"/>
      <c r="C113" s="575" t="n"/>
      <c r="D113" s="575" t="n"/>
      <c r="E113" s="575" t="n"/>
      <c r="F113" s="575" t="n"/>
      <c r="G113" s="575" t="n"/>
      <c r="H113" s="575" t="n"/>
      <c r="I113" s="575" t="n"/>
      <c r="J113" s="575" t="n"/>
      <c r="K113" s="575" t="n"/>
      <c r="L113" s="575" t="n"/>
      <c r="M113" s="575" t="n"/>
      <c r="N113" s="1348">
        <f>IF(_epmOfflineCondition_,0,EPMRetrieveData(,,$D$21,$D$22,$D$25,$D$26,$D$27,$D$28,$D$29,$AB$41,$AB$42,$AB$43,$Z$28,$AB$45,Q113))</f>
        <v/>
      </c>
      <c r="O113" s="1348">
        <f>IF(_epmOfflineCondition_,0,EPMRetrieveData(,,$D$21,$D$22,$D$25,$D$26,$D$27,$D$28,$D$29,$AA$41,$AA$42,$AA$43,$Z$28,$AA$45,Q113))</f>
        <v/>
      </c>
      <c r="P113" s="1348">
        <f>IF(_epmOfflineCondition_,0,EPMRetrieveData(,,$D$21,$D$22,$D$25,$D$26,$D$27,$D$28,$D$29,$Z$41,$Z$42,$Z$43,$Z$28,$Z$45,Q113))</f>
        <v/>
      </c>
      <c r="Q113" s="608" t="inlineStr">
        <is>
          <t>A0070312</t>
        </is>
      </c>
      <c r="R113" s="575">
        <f>IF(_epmOfflineCondition_,"人工成本明细-股份支付",EPMMemberDesc(Q113))</f>
        <v/>
      </c>
      <c r="S113" s="726">
        <f>IF(_epmOfflineCondition_,"35.工业销售产值",EPMMemberDesc(U113))</f>
        <v/>
      </c>
      <c r="T113" s="575" t="n"/>
      <c r="U113" s="575" t="inlineStr">
        <is>
          <t>A07803</t>
        </is>
      </c>
      <c r="V113" s="591">
        <f>IF(_epmOfflineCondition_,"A07803",EPMOlapMemberO(U113,"[C_ACCOUNT].[PARENTH1].[A07803]","A07803 - 35.工业销售产值","","000"))</f>
        <v/>
      </c>
      <c r="W113" s="726" t="n"/>
      <c r="X113" s="585" t="inlineStr">
        <is>
          <t>36. 工业销售产值</t>
        </is>
      </c>
      <c r="Y113" s="1312">
        <f>ROW()-45</f>
        <v/>
      </c>
      <c r="Z113" s="1336" t="inlineStr"/>
      <c r="AA113" s="1363" t="inlineStr"/>
      <c r="AB113" s="1336" t="inlineStr"/>
      <c r="AC113" s="1361">
        <f>ROUND(Z113/10000,2)</f>
        <v/>
      </c>
      <c r="AD113" s="1361">
        <f>ROUND(AA113/10000,2)</f>
        <v/>
      </c>
      <c r="AE113" s="1361">
        <f>ROUND(AB113/10000,2)</f>
        <v/>
      </c>
      <c r="AF113" s="575" t="n"/>
      <c r="AG113" s="575" t="n"/>
      <c r="AH113" s="575" t="n"/>
      <c r="AI113" s="575" t="n"/>
      <c r="AJ113" s="575" t="n"/>
      <c r="AK113" s="575" t="n"/>
      <c r="AL113" s="575" t="n"/>
      <c r="AM113" s="575" t="n"/>
      <c r="AN113" s="575" t="n"/>
      <c r="AO113" s="575" t="n"/>
      <c r="AP113" s="575" t="n"/>
      <c r="AQ113" s="575" t="n"/>
      <c r="AR113" s="575" t="n"/>
    </row>
    <row r="114" ht="16.15" customFormat="1" customHeight="1" s="575">
      <c r="A114" s="575" t="n"/>
      <c r="B114" s="575" t="n"/>
      <c r="C114" s="575" t="n"/>
      <c r="D114" s="575" t="n"/>
      <c r="E114" s="575" t="n"/>
      <c r="F114" s="575" t="n"/>
      <c r="G114" s="575" t="n"/>
      <c r="H114" s="575" t="n"/>
      <c r="I114" s="575" t="n"/>
      <c r="J114" s="575" t="n"/>
      <c r="K114" s="575" t="n"/>
      <c r="L114" s="575" t="n"/>
      <c r="M114" s="575" t="n"/>
      <c r="N114" s="1348">
        <f>IF(_epmOfflineCondition_,0,EPMRetrieveData(,,$D$21,$D$22,$D$25,$D$26,$D$27,$D$28,$D$29,$AB$41,$AB$42,$AB$43,$Z$28,$AB$45,Q114))</f>
        <v/>
      </c>
      <c r="O114" s="1348">
        <f>IF(_epmOfflineCondition_,1315152.84,EPMRetrieveData(,,$D$21,$D$22,$D$25,$D$26,$D$27,$D$28,$D$29,$AA$41,$AA$42,$AA$43,$Z$28,$AA$45,Q114))</f>
        <v/>
      </c>
      <c r="P114" s="1348">
        <f>IF(_epmOfflineCondition_,1315152.84,EPMRetrieveData(,,$D$21,$D$22,$D$25,$D$26,$D$27,$D$28,$D$29,$Z$41,$Z$42,$Z$43,$Z$28,$Z$45,Q114))</f>
        <v/>
      </c>
      <c r="Q114" s="608" t="inlineStr">
        <is>
          <t>A0070314</t>
        </is>
      </c>
      <c r="R114" s="575">
        <f>IF(_epmOfflineCondition_,"人工成本明细-其他人工成本",EPMMemberDesc(Q114))</f>
        <v/>
      </c>
      <c r="S114" s="726">
        <f>IF(_epmOfflineCondition_,"36.出口产品销售收入",EPMMemberDesc(U114))</f>
        <v/>
      </c>
      <c r="T114" s="575" t="n"/>
      <c r="U114" s="575" t="inlineStr">
        <is>
          <t>A07804</t>
        </is>
      </c>
      <c r="V114" s="591">
        <f>IF(_epmOfflineCondition_,"A07804",EPMOlapMemberO(U114,"[C_ACCOUNT].[PARENTH1].[A07804]","A07804 - 36.出口产品销售收入","","000"))</f>
        <v/>
      </c>
      <c r="W114" s="726" t="n"/>
      <c r="X114" s="585" t="inlineStr">
        <is>
          <t>37. 出口产品销售收入</t>
        </is>
      </c>
      <c r="Y114" s="1312">
        <f>ROW()-45</f>
        <v/>
      </c>
      <c r="Z114" s="1336" t="n"/>
      <c r="AA114" s="1363" t="n"/>
      <c r="AB114" s="1336" t="n"/>
      <c r="AC114" s="1361">
        <f>ROUND(Z114/10000,2)</f>
        <v/>
      </c>
      <c r="AD114" s="1361">
        <f>ROUND(AA114/10000,2)</f>
        <v/>
      </c>
      <c r="AE114" s="1361">
        <f>ROUND(AB114/10000,2)</f>
        <v/>
      </c>
      <c r="AF114" s="575" t="n"/>
      <c r="AG114" s="575" t="n"/>
      <c r="AH114" s="575" t="n"/>
      <c r="AI114" s="575" t="n"/>
      <c r="AJ114" s="575" t="n"/>
      <c r="AK114" s="575" t="n"/>
      <c r="AL114" s="575" t="n"/>
      <c r="AM114" s="575" t="n"/>
      <c r="AN114" s="575" t="n"/>
      <c r="AO114" s="575" t="n"/>
      <c r="AP114" s="575" t="n"/>
      <c r="AQ114" s="575" t="n"/>
      <c r="AR114" s="575" t="n"/>
    </row>
    <row r="115" ht="16.15" customFormat="1" customHeight="1" s="575">
      <c r="A115" s="575" t="n"/>
      <c r="B115" s="575" t="n"/>
      <c r="C115" s="575" t="n"/>
      <c r="D115" s="575" t="n"/>
      <c r="E115" s="575" t="n"/>
      <c r="F115" s="575" t="n"/>
      <c r="G115" s="575" t="n"/>
      <c r="H115" s="575" t="n"/>
      <c r="I115" s="575" t="n"/>
      <c r="J115" s="575" t="n"/>
      <c r="K115" s="575" t="n"/>
      <c r="L115" s="575" t="n"/>
      <c r="M115" s="575" t="n"/>
      <c r="N115" s="1348">
        <f>IF(_epmOfflineCondition_,77468,EPMRetrieveData(,,$D$21,$D$22,$D$25,$D$26,$D$27,$D$28,$D$29,$AB$41,$AB$42,$AB$43,$Z$28,$AB$45,Q115))</f>
        <v/>
      </c>
      <c r="O115" s="1348">
        <f>IF(_epmOfflineCondition_,136770,EPMRetrieveData(,,$D$21,$D$22,$D$25,$D$26,$D$27,$D$28,$D$29,$AA$41,$AA$42,$AA$43,$Z$28,$AA$45,Q115))</f>
        <v/>
      </c>
      <c r="P115" s="1348">
        <f>IF(_epmOfflineCondition_,45590,EPMRetrieveData(,,$D$21,$D$22,$D$25,$D$26,$D$27,$D$28,$D$29,$Z$41,$Z$42,$Z$43,$Z$28,$Z$45,Q115))</f>
        <v/>
      </c>
      <c r="Q115" s="609" t="inlineStr">
        <is>
          <t>A0070308</t>
        </is>
      </c>
      <c r="R115" s="575">
        <f>IF(_epmOfflineCondition_,"人工成本明细-其中：住房公积金",EPMMemberDesc(Q115))</f>
        <v/>
      </c>
      <c r="S115" s="726">
        <f>IF(_epmOfflineCondition_,"37.新产品产值",EPMMemberDesc(U115))</f>
        <v/>
      </c>
      <c r="T115" s="575" t="n"/>
      <c r="U115" s="575" t="inlineStr">
        <is>
          <t>A07805</t>
        </is>
      </c>
      <c r="V115" s="591">
        <f>IF(_epmOfflineCondition_,"A07805",EPMOlapMemberO(U115,"[C_ACCOUNT].[PARENTH1].[A07805]","A07805 - 37.新产品产值","","000"))</f>
        <v/>
      </c>
      <c r="W115" s="726" t="n"/>
      <c r="X115" s="585" t="inlineStr">
        <is>
          <t>38. 新产品产值</t>
        </is>
      </c>
      <c r="Y115" s="1312">
        <f>ROW()-45</f>
        <v/>
      </c>
      <c r="Z115" s="1336" t="n"/>
      <c r="AA115" s="1363" t="n"/>
      <c r="AB115" s="1336" t="n"/>
      <c r="AC115" s="1361">
        <f>ROUND(Z115/10000,2)</f>
        <v/>
      </c>
      <c r="AD115" s="1361">
        <f>ROUND(AA115/10000,2)</f>
        <v/>
      </c>
      <c r="AE115" s="1361">
        <f>ROUND(AB115/10000,2)</f>
        <v/>
      </c>
      <c r="AF115" s="575" t="n"/>
      <c r="AG115" s="575" t="n"/>
      <c r="AH115" s="575" t="n"/>
      <c r="AI115" s="575" t="n"/>
      <c r="AJ115" s="575" t="n"/>
      <c r="AK115" s="575" t="n"/>
      <c r="AL115" s="575" t="n"/>
      <c r="AM115" s="575" t="n"/>
      <c r="AN115" s="575" t="n"/>
      <c r="AO115" s="575" t="n"/>
      <c r="AP115" s="575" t="n"/>
      <c r="AQ115" s="575" t="n"/>
      <c r="AR115" s="575" t="n"/>
    </row>
    <row r="116" ht="16.15" customHeight="1" s="1181">
      <c r="A116" s="38" t="n"/>
      <c r="B116" s="38" t="n"/>
      <c r="C116" s="38" t="n"/>
      <c r="D116" s="38" t="n"/>
      <c r="E116" s="38" t="n"/>
      <c r="F116" s="38" t="n"/>
      <c r="G116" s="38" t="n"/>
      <c r="H116" s="38" t="n"/>
      <c r="I116" s="38" t="n"/>
      <c r="J116" s="38" t="n"/>
      <c r="K116" s="38" t="n"/>
      <c r="L116" s="38" t="n"/>
      <c r="M116" s="38" t="n"/>
      <c r="N116" s="1348">
        <f>IF(_epmOfflineCondition_,0,EPMRetrieveData(,,$D$21,$D$22,$D$25,$D$26,$D$27,$D$28,$D$29,$AB$41,$AB$42,$AB$43,$Z$28,$AB$45,Q116))</f>
        <v/>
      </c>
      <c r="O116" s="1348">
        <f>IF(_epmOfflineCondition_,0,EPMRetrieveData(,,$D$21,$D$22,$D$25,$D$26,$D$27,$D$28,$D$29,$AA$41,$AA$42,$AA$43,$Z$28,$AA$45,Q116))</f>
        <v/>
      </c>
      <c r="P116" s="1348">
        <f>IF(_epmOfflineCondition_,0,EPMRetrieveData(,,$D$21,$D$22,$D$25,$D$26,$D$27,$D$28,$D$29,$Z$41,$Z$42,$Z$43,$Z$28,$Z$45,Q116))</f>
        <v/>
      </c>
      <c r="Q116" s="38" t="inlineStr">
        <is>
          <t>A0070309</t>
        </is>
      </c>
      <c r="R116" s="575">
        <f>IF(_epmOfflineCondition_,"人工成本明细-其中：住房补贴",EPMMemberDesc(Q116))</f>
        <v/>
      </c>
      <c r="S116" s="726">
        <f>IF(_epmOfflineCondition_,"38.三新营业收入",EPMMemberDesc(U116))</f>
        <v/>
      </c>
      <c r="T116" s="38" t="n"/>
      <c r="U116" s="575" t="inlineStr">
        <is>
          <t>A07806</t>
        </is>
      </c>
      <c r="V116" s="591">
        <f>IF(_epmOfflineCondition_,"A07806",EPMOlapMemberO(U116,"[C_ACCOUNT].[PARENTH1].[A07806]","A07806 - 38.三新营业收入","","000"))</f>
        <v/>
      </c>
      <c r="W116" s="38" t="n"/>
      <c r="X116" s="585" t="inlineStr">
        <is>
          <t>39. 三新营业收入</t>
        </is>
      </c>
      <c r="Y116" s="1312">
        <f>ROW()-45</f>
        <v/>
      </c>
      <c r="Z116" s="1336" t="inlineStr"/>
      <c r="AA116" s="1363" t="inlineStr"/>
      <c r="AB116" s="1336" t="inlineStr"/>
      <c r="AC116" s="1361">
        <f>ROUND(Z116/10000,2)</f>
        <v/>
      </c>
      <c r="AD116" s="1361">
        <f>ROUND(AA116/10000,2)</f>
        <v/>
      </c>
      <c r="AE116" s="1361">
        <f>ROUND(AB116/10000,2)</f>
        <v/>
      </c>
      <c r="AF116" s="575" t="n"/>
      <c r="AG116" s="575" t="n"/>
      <c r="AH116" s="575" t="n"/>
      <c r="AI116" s="575" t="n"/>
      <c r="AJ116" s="575" t="n"/>
      <c r="AK116" s="575" t="n"/>
      <c r="AL116" s="38" t="n"/>
      <c r="AM116" s="38" t="n"/>
      <c r="AN116" s="38" t="n"/>
      <c r="AO116" s="38" t="n"/>
      <c r="AP116" s="38" t="n"/>
      <c r="AQ116" s="38" t="n"/>
      <c r="AR116" s="38" t="n"/>
    </row>
    <row r="117" ht="16.15" customHeight="1" s="1181">
      <c r="A117" s="38" t="n"/>
      <c r="B117" s="38" t="n"/>
      <c r="C117" s="38" t="n"/>
      <c r="D117" s="38" t="n"/>
      <c r="E117" s="38" t="n"/>
      <c r="F117" s="38" t="n"/>
      <c r="G117" s="38" t="n"/>
      <c r="H117" s="38" t="n"/>
      <c r="I117" s="38" t="n"/>
      <c r="J117" s="38" t="n"/>
      <c r="K117" s="38" t="n"/>
      <c r="L117" s="38" t="n"/>
      <c r="M117" s="38" t="n"/>
      <c r="N117" s="1348">
        <f>IF(_epmOfflineCondition_,0,EPMRetrieveData(,,$D$21,$D$22,$D$25,$D$26,$D$27,$D$28,$D$29,$AB$41,$AB$42,$AB$43,AA$28,$AB$45,Q117))</f>
        <v/>
      </c>
      <c r="O117" s="1348">
        <f>IF(_epmOfflineCondition_,0,EPMRetrieveData(,,$D$21,$D$22,$D$25,$D$26,$D$27,$D$28,$D$29,$AA$41,$AA$42,$AA$43,$AA$28,$AA$45,Q117))</f>
        <v/>
      </c>
      <c r="P117" s="1348">
        <f>IF(_epmOfflineCondition_,0,EPMRetrieveData(,,$D$21,$D$22,$D$25,$D$26,$D$27,$D$28,$D$29,$Z$41,$Z$42,$Z$43,$AA$28,$Z$45,Q117))</f>
        <v/>
      </c>
      <c r="Q117" s="384" t="inlineStr">
        <is>
          <t>A0840101</t>
        </is>
      </c>
      <c r="R117" s="575">
        <f>IF(_epmOfflineCondition_,"应交款项明细-增值税",EPMMemberDesc(Q117))</f>
        <v/>
      </c>
      <c r="S117" s="726">
        <f>IF(_epmOfflineCondition_,"38.研发（R&amp;D）经费投入",EPMMemberDesc(U117))</f>
        <v/>
      </c>
      <c r="T117" s="38" t="n"/>
      <c r="U117" s="575" t="inlineStr">
        <is>
          <t>A07807</t>
        </is>
      </c>
      <c r="V117" s="591">
        <f>IF(_epmOfflineCondition_,"A07807",EPMOlapMemberO(U117,"[C_ACCOUNT].[PARENTH1].[A07807]","A07807 - 38.研发（R&amp;D）经费投入","","000"))</f>
        <v/>
      </c>
      <c r="W117" s="38" t="n"/>
      <c r="X117" s="585" t="inlineStr">
        <is>
          <t>40. 研发（R&amp;D）经费投入</t>
        </is>
      </c>
      <c r="Y117" s="1312">
        <f>ROW()-45</f>
        <v/>
      </c>
      <c r="Z117" s="1336" t="n"/>
      <c r="AA117" s="1363" t="n"/>
      <c r="AB117" s="1336" t="n"/>
      <c r="AC117" s="1361">
        <f>ROUND(Z117/10000,2)</f>
        <v/>
      </c>
      <c r="AD117" s="1361">
        <f>ROUND(AA117/10000,2)</f>
        <v/>
      </c>
      <c r="AE117" s="1361">
        <f>ROUND(AB117/10000,2)</f>
        <v/>
      </c>
      <c r="AF117" s="575" t="n"/>
      <c r="AG117" s="575" t="n"/>
      <c r="AH117" s="575" t="n"/>
      <c r="AI117" s="575" t="n"/>
      <c r="AJ117" s="575" t="n"/>
      <c r="AK117" s="575" t="n"/>
      <c r="AL117" s="38" t="n"/>
      <c r="AM117" s="38" t="n"/>
      <c r="AN117" s="38" t="n"/>
      <c r="AO117" s="38" t="n"/>
      <c r="AP117" s="38" t="n"/>
      <c r="AQ117" s="38" t="n"/>
      <c r="AR117" s="38" t="n"/>
    </row>
    <row r="118">
      <c r="A118" s="38" t="n"/>
      <c r="B118" s="38" t="n"/>
      <c r="C118" s="38" t="n"/>
      <c r="D118" s="38" t="n"/>
      <c r="E118" s="38" t="n"/>
      <c r="F118" s="38" t="n"/>
      <c r="G118" s="38" t="n"/>
      <c r="H118" s="38" t="n"/>
      <c r="I118" s="38" t="n"/>
      <c r="J118" s="38" t="n"/>
      <c r="K118" s="38" t="n"/>
      <c r="L118" s="38" t="n"/>
      <c r="M118" s="38" t="n"/>
      <c r="N118" s="1348">
        <f>IF(_epmOfflineCondition_,0,EPMRetrieveData(,,$D$21,$D$22,$D$25,$D$26,$D$27,$D$28,$D$29,$AB$41,$AB$42,$AB$43,$Z$28,$AB$45,Q118))</f>
        <v/>
      </c>
      <c r="O118" s="1348">
        <f>IF(_epmOfflineCondition_,0,EPMRetrieveData(,,$D$21,$D$22,$D$25,$D$26,$D$27,$D$28,$D$29,$AA$41,$AA$42,$AA$43,$Z$28,$AA$45,Q118))</f>
        <v/>
      </c>
      <c r="P118" s="1348">
        <f>IF(_epmOfflineCondition_,0,EPMRetrieveData(,,$D$21,$D$22,$D$25,$D$26,$D$27,$D$28,$D$29,$Z$41,$Z$42,$Z$43,$Z$28,$Z$45,Q118))</f>
        <v/>
      </c>
      <c r="Q118" s="610" t="inlineStr">
        <is>
          <t>A00706</t>
        </is>
      </c>
      <c r="R118" s="575">
        <f>IF(_epmOfflineCondition_,"人工成本明细-劳务派遣用工支出",EPMMemberDesc(Q118))</f>
        <v/>
      </c>
      <c r="S118" s="726">
        <f>IF(_epmOfflineCondition_,"40.上市公司市值",EPMMemberDesc(U118))</f>
        <v/>
      </c>
      <c r="T118" s="38" t="n"/>
      <c r="U118" s="38" t="inlineStr">
        <is>
          <t>A07809</t>
        </is>
      </c>
      <c r="V118" s="591">
        <f>IF(_epmOfflineCondition_,"A07809",EPMOlapMemberO(U118,"[C_ACCOUNT].[PARENTH1].[A07809]","A07809 - 40.上市公司市值","","000"))</f>
        <v/>
      </c>
      <c r="W118" s="38" t="n"/>
      <c r="X118" s="585" t="inlineStr">
        <is>
          <t>41. 上市公司市值</t>
        </is>
      </c>
      <c r="Y118" s="1312">
        <f>ROW()-45</f>
        <v/>
      </c>
      <c r="Z118" s="1336" t="n"/>
      <c r="AA118" s="1363" t="n"/>
      <c r="AB118" s="1336" t="n"/>
      <c r="AC118" s="1361">
        <f>ROUND(Z118/10000,2)</f>
        <v/>
      </c>
      <c r="AD118" s="1361">
        <f>ROUND(AA118/10000,2)</f>
        <v/>
      </c>
      <c r="AE118" s="1361">
        <f>ROUND(AB118/10000,2)</f>
        <v/>
      </c>
      <c r="AF118" s="38" t="n"/>
      <c r="AG118" s="38" t="n"/>
      <c r="AH118" s="38" t="n"/>
      <c r="AI118" s="38" t="n"/>
      <c r="AJ118" s="38" t="n"/>
      <c r="AK118" s="38" t="n"/>
      <c r="AL118" s="38" t="n"/>
      <c r="AM118" s="38" t="n"/>
      <c r="AN118" s="38" t="n"/>
      <c r="AO118" s="38" t="n"/>
      <c r="AP118" s="38" t="n"/>
      <c r="AQ118" s="38" t="n"/>
      <c r="AR118" s="38" t="n"/>
    </row>
    <row r="119">
      <c r="A119" s="38" t="n"/>
      <c r="B119" s="38" t="n"/>
      <c r="C119" s="38" t="n"/>
      <c r="D119" s="38" t="n"/>
      <c r="E119" s="38" t="n"/>
      <c r="F119" s="38" t="n"/>
      <c r="G119" s="38" t="n"/>
      <c r="H119" s="38" t="n"/>
      <c r="I119" s="38" t="n"/>
      <c r="J119" s="38" t="n"/>
      <c r="K119" s="38" t="n"/>
      <c r="L119" s="38" t="n"/>
      <c r="M119" s="38" t="n"/>
      <c r="N119" s="1348">
        <f>IF(_epmOfflineCondition_,0,EPMRetrieveData(,,$D$21,$D$22,$D$25,$D$26,$D$27,$D$28,$D$29,$AB$41,$AB$42,$AB$43,Z$28,$AB$45,Q119))</f>
        <v/>
      </c>
      <c r="O119" s="1348">
        <f>IF(_epmOfflineCondition_,0,EPMRetrieveData(,,$D$21,$D$22,$D$25,$D$26,$D$27,$D$28,$D$29,$AA$41,$AA$42,$AA$43,$AB$28,$AA$45,Q119))</f>
        <v/>
      </c>
      <c r="P119" s="1348">
        <f>IF(_epmOfflineCondition_,0,EPMRetrieveData(,,$D$21,$D$22,$D$25,$D$26,$D$27,$D$28,$D$29,$Z$41,$Z$42,$Z$43,$AB$28,$Z$45,Q119))</f>
        <v/>
      </c>
      <c r="Q119" s="38" t="inlineStr">
        <is>
          <t>A0071401</t>
        </is>
      </c>
      <c r="R119" s="575">
        <f>IF(_epmOfflineCondition_,"人工成本明细-其中：内退人员工资",EPMMemberDesc(Q119))</f>
        <v/>
      </c>
      <c r="S119" s="580" t="n"/>
      <c r="T119" s="38" t="n"/>
      <c r="U119" s="38" t="n"/>
      <c r="V119" s="38" t="n"/>
      <c r="W119" s="38" t="n"/>
      <c r="X119" s="38" t="n"/>
      <c r="Y119" s="38" t="n"/>
      <c r="Z119" s="38" t="n"/>
      <c r="AA119" s="38" t="n"/>
      <c r="AB119" s="38" t="n"/>
      <c r="AC119" s="38" t="n"/>
      <c r="AD119" s="38" t="n"/>
      <c r="AE119" s="38" t="n"/>
      <c r="AF119" s="38" t="n"/>
      <c r="AG119" s="38" t="n"/>
      <c r="AH119" s="38" t="n"/>
      <c r="AI119" s="38" t="n"/>
      <c r="AJ119" s="38" t="n"/>
      <c r="AK119" s="38" t="n"/>
      <c r="AL119" s="38" t="n"/>
      <c r="AM119" s="38" t="n"/>
      <c r="AN119" s="38" t="n"/>
      <c r="AO119" s="38" t="n"/>
      <c r="AP119" s="38" t="n"/>
      <c r="AQ119" s="38" t="n"/>
      <c r="AR119" s="38" t="n"/>
    </row>
    <row r="120">
      <c r="A120" s="38" t="n"/>
      <c r="B120" s="38" t="n"/>
      <c r="C120" s="38" t="n"/>
      <c r="D120" s="38" t="n"/>
      <c r="E120" s="38" t="n"/>
      <c r="F120" s="38" t="n"/>
      <c r="G120" s="38" t="n"/>
      <c r="H120" s="38" t="n"/>
      <c r="I120" s="38" t="n"/>
      <c r="J120" s="38" t="n"/>
      <c r="K120" s="38" t="n"/>
      <c r="L120" s="38" t="n"/>
      <c r="M120" s="38" t="n"/>
      <c r="N120" s="38">
        <f>IF(_epmOfflineCondition_,0,EPMRetrieveData(,,$D$21,$D$22,$D$25,$D$26,$D$27,$D$28,$D$29,$AB$41,$AB$42,$AB$43,$Z$28,$AB$45,Q120))</f>
        <v/>
      </c>
      <c r="O120" s="38">
        <f>IF(_epmOfflineCondition_,0,EPMRetrieveData(,,$D$21,$D$22,$D$25,$D$26,$D$27,$D$28,$D$29,$AA$41,$AA$42,$AA$43,$AB$28,$AA$45,Q120))</f>
        <v/>
      </c>
      <c r="P120" s="38">
        <f>IF(_epmOfflineCondition_,0,EPMRetrieveData(,,$D$21,$D$22,$D$25,$D$26,$D$27,$D$28,$D$29,$Z$41,$Z$42,$Z$43,$Z$28,$Z$45,Q120))</f>
        <v/>
      </c>
      <c r="Q120" s="38" t="inlineStr">
        <is>
          <t>A0071601</t>
        </is>
      </c>
      <c r="R120" s="575" t="inlineStr">
        <is>
          <t>人工成本明细-其中：工资总额（不在岗）</t>
        </is>
      </c>
      <c r="S120" s="580" t="n"/>
      <c r="T120" s="38" t="n"/>
      <c r="U120" s="38" t="n"/>
      <c r="V120" s="38" t="n"/>
      <c r="W120" s="38" t="n"/>
      <c r="X120" s="38" t="n"/>
      <c r="Y120" s="38" t="n"/>
      <c r="Z120" s="38" t="n"/>
      <c r="AA120" s="38" t="n"/>
      <c r="AB120" s="38" t="n"/>
      <c r="AC120" s="38" t="n"/>
      <c r="AD120" s="38" t="n"/>
      <c r="AE120" s="38" t="n"/>
      <c r="AF120" s="38" t="n"/>
      <c r="AG120" s="38" t="n"/>
      <c r="AH120" s="38" t="n"/>
      <c r="AI120" s="38" t="n"/>
      <c r="AJ120" s="38" t="n"/>
      <c r="AK120" s="38" t="n"/>
      <c r="AL120" s="38" t="n"/>
      <c r="AM120" s="38" t="n"/>
      <c r="AN120" s="38" t="n"/>
      <c r="AO120" s="38" t="n"/>
      <c r="AP120" s="38" t="n"/>
      <c r="AQ120" s="38" t="n"/>
      <c r="AR120" s="38" t="n"/>
    </row>
    <row r="121">
      <c r="A121" s="38" t="n"/>
      <c r="B121" s="38" t="n"/>
      <c r="C121" s="38" t="n"/>
      <c r="D121" s="38" t="n"/>
      <c r="E121" s="38" t="n"/>
      <c r="F121" s="38" t="n"/>
      <c r="G121" s="38" t="n"/>
      <c r="H121" s="38" t="n"/>
      <c r="I121" s="38" t="n"/>
      <c r="J121" s="38" t="n"/>
      <c r="K121" s="38" t="n"/>
      <c r="L121" s="38" t="n"/>
      <c r="M121" s="38" t="n"/>
      <c r="N121" s="38" t="n"/>
      <c r="O121" s="38" t="n"/>
      <c r="P121" s="38" t="n"/>
      <c r="Q121" s="38" t="n"/>
      <c r="R121" s="384" t="n"/>
      <c r="S121" s="580" t="n"/>
      <c r="T121" s="38" t="n"/>
      <c r="U121" s="38" t="n"/>
      <c r="V121" s="38" t="n"/>
      <c r="W121" s="38" t="n"/>
      <c r="X121" s="38" t="n"/>
      <c r="Y121" s="38" t="n"/>
      <c r="Z121" s="38" t="n"/>
      <c r="AA121" s="38" t="n"/>
      <c r="AB121" s="38" t="n"/>
      <c r="AC121" s="38" t="n"/>
      <c r="AD121" s="38" t="n"/>
      <c r="AE121" s="38" t="n"/>
      <c r="AF121" s="38" t="n"/>
      <c r="AG121" s="38" t="n"/>
      <c r="AH121" s="38" t="n"/>
      <c r="AI121" s="38" t="n"/>
      <c r="AJ121" s="38" t="n"/>
      <c r="AK121" s="38" t="n"/>
      <c r="AL121" s="38" t="n"/>
      <c r="AM121" s="38" t="n"/>
      <c r="AN121" s="38" t="n"/>
      <c r="AO121" s="38" t="n"/>
      <c r="AP121" s="38" t="n"/>
      <c r="AQ121" s="38" t="n"/>
      <c r="AR121" s="38" t="n"/>
    </row>
    <row r="122">
      <c r="A122" s="38" t="n"/>
      <c r="B122" s="38" t="n"/>
      <c r="C122" s="38" t="n"/>
      <c r="D122" s="38" t="n"/>
      <c r="E122" s="38" t="n"/>
      <c r="F122" s="38" t="n"/>
      <c r="G122" s="38" t="n"/>
      <c r="H122" s="38" t="n"/>
      <c r="I122" s="38" t="n"/>
      <c r="J122" s="38" t="n"/>
      <c r="K122" s="38" t="n"/>
      <c r="L122" s="38" t="n"/>
      <c r="M122" s="38" t="n"/>
      <c r="N122" s="38" t="n"/>
      <c r="O122" s="38" t="n"/>
      <c r="P122" s="38" t="n"/>
      <c r="Q122" s="38" t="n"/>
      <c r="R122" s="384" t="n"/>
      <c r="S122" s="580" t="n"/>
      <c r="T122" s="38" t="n"/>
      <c r="U122" s="38" t="n"/>
      <c r="V122" s="38" t="n"/>
      <c r="W122" s="38" t="n"/>
      <c r="X122" s="38" t="n"/>
      <c r="Y122" s="38" t="n"/>
      <c r="Z122" s="38" t="n"/>
      <c r="AA122" s="38" t="n"/>
      <c r="AB122" s="38" t="n"/>
      <c r="AC122" s="38" t="n"/>
      <c r="AD122" s="38" t="n"/>
      <c r="AE122" s="38" t="n"/>
      <c r="AF122" s="38" t="n"/>
      <c r="AG122" s="38" t="n"/>
      <c r="AH122" s="38" t="n"/>
      <c r="AI122" s="38" t="n"/>
      <c r="AJ122" s="38" t="n"/>
      <c r="AK122" s="38" t="n"/>
      <c r="AL122" s="38" t="n"/>
      <c r="AM122" s="38" t="n"/>
      <c r="AN122" s="38" t="n"/>
      <c r="AO122" s="38" t="n"/>
      <c r="AP122" s="38" t="n"/>
      <c r="AQ122" s="38" t="n"/>
      <c r="AR122" s="38" t="n"/>
    </row>
    <row r="123">
      <c r="A123" s="38" t="n"/>
      <c r="B123" s="38" t="n"/>
      <c r="C123" s="38" t="n"/>
      <c r="D123" s="38" t="n"/>
      <c r="E123" s="38" t="n"/>
      <c r="F123" s="38" t="n"/>
      <c r="G123" s="38" t="n"/>
      <c r="H123" s="38" t="n"/>
      <c r="I123" s="38" t="n"/>
      <c r="J123" s="38" t="n"/>
      <c r="K123" s="38" t="n"/>
      <c r="L123" s="38" t="n"/>
      <c r="M123" s="38" t="n"/>
      <c r="N123" s="38">
        <f>IF(_epmOfflineCondition_,248103.86,-EPMRetrieveData(,,$D$21,$D$22,$D$25,$D$26,$D$27,$D$28,$D$29,$AB$41,$AB$42,$AB$43,$AA$28,$AB$45,Q123))</f>
        <v/>
      </c>
      <c r="O123" s="38">
        <f>IF(_epmOfflineCondition_,81855.46,-EPMRetrieveData(,,$D$21,$D$22,$D$25,$D$26,$D$27,$D$28,$D$29,$AA$41,$AA$42,$AA$43,$AA$28,$AA$45,Q123))</f>
        <v/>
      </c>
      <c r="P123" s="38">
        <f>IF(_epmOfflineCondition_,24389.54,-EPMRetrieveData(,,$D$21,$D$22,$D$25,$D$26,$D$27,$D$28,$D$29,$Z$41,$Z$42,$Z$43,$AA$28,$Z$45,Q123))</f>
        <v/>
      </c>
      <c r="Q123" s="38" t="inlineStr">
        <is>
          <t>A0070304P</t>
        </is>
      </c>
      <c r="R123" s="575">
        <f>IF(_epmOfflineCondition_,"人工成本明细-福利费用",EPMMemberDesc(Q123))</f>
        <v/>
      </c>
      <c r="S123" s="580" t="n"/>
      <c r="T123" s="38" t="n"/>
      <c r="U123" s="38" t="n"/>
      <c r="V123" s="38" t="n"/>
      <c r="W123" s="38" t="n"/>
      <c r="X123" s="38" t="n"/>
      <c r="Y123" s="38" t="n"/>
      <c r="Z123" s="38" t="n"/>
      <c r="AA123" s="38" t="n"/>
      <c r="AB123" s="38" t="n"/>
      <c r="AC123" s="38" t="n"/>
      <c r="AD123" s="38" t="n"/>
      <c r="AE123" s="38" t="n"/>
      <c r="AF123" s="38" t="n"/>
      <c r="AG123" s="38" t="n"/>
      <c r="AH123" s="38" t="n"/>
      <c r="AI123" s="38" t="n"/>
      <c r="AJ123" s="38" t="n"/>
      <c r="AK123" s="38" t="n"/>
      <c r="AL123" s="38" t="n"/>
      <c r="AM123" s="38" t="n"/>
      <c r="AN123" s="38" t="n"/>
      <c r="AO123" s="38" t="n"/>
      <c r="AP123" s="38" t="n"/>
      <c r="AQ123" s="38" t="n"/>
      <c r="AR123" s="38" t="n"/>
    </row>
    <row r="124">
      <c r="A124" s="38" t="n"/>
      <c r="B124" s="38" t="n"/>
      <c r="C124" s="38" t="n"/>
      <c r="D124" s="38" t="n"/>
      <c r="E124" s="38" t="n"/>
      <c r="F124" s="38" t="n"/>
      <c r="G124" s="38" t="n"/>
      <c r="H124" s="38" t="n"/>
      <c r="I124" s="38" t="n"/>
      <c r="J124" s="38" t="n"/>
      <c r="K124" s="38" t="n"/>
      <c r="L124" s="38" t="n"/>
      <c r="M124" s="38" t="n"/>
      <c r="N124" s="38">
        <f>IF(_epmOfflineCondition_,3268.32,-EPMRetrieveData(,,$D$21,$D$22,$D$25,$D$26,$D$27,$D$28,$D$29,$AB$41,$AB$42,$AB$43,$AA$28,$AB$45,Q124))</f>
        <v/>
      </c>
      <c r="O124" s="38">
        <f>IF(_epmOfflineCondition_,4259.54,-EPMRetrieveData(,,$D$21,$D$22,$D$25,$D$26,$D$27,$D$28,$D$29,$AA$41,$AA$42,$AA$43,$AA$28,$AA$45,Q124))</f>
        <v/>
      </c>
      <c r="P124" s="38">
        <f>IF(_epmOfflineCondition_,893.2,-EPMRetrieveData(,,$D$21,$D$22,$D$25,$D$26,$D$27,$D$28,$D$29,$Z$41,$Z$42,$Z$43,$AA$28,$Z$45,Q124))</f>
        <v/>
      </c>
      <c r="Q124" s="38" t="inlineStr">
        <is>
          <t>A0070305</t>
        </is>
      </c>
      <c r="R124" s="575">
        <f>IF(_epmOfflineCondition_,"人工成本明细-教育培训经费",EPMMemberDesc(Q124))</f>
        <v/>
      </c>
      <c r="S124" s="580" t="n"/>
      <c r="T124" s="38" t="n"/>
      <c r="U124" s="38" t="n"/>
      <c r="V124" s="38" t="n"/>
      <c r="W124" s="38" t="n"/>
      <c r="X124" s="38" t="n"/>
      <c r="Y124" s="38" t="n"/>
      <c r="Z124" s="38" t="n"/>
      <c r="AA124" s="38" t="n"/>
      <c r="AB124" s="38" t="n"/>
      <c r="AC124" s="38" t="n"/>
      <c r="AD124" s="38" t="n"/>
      <c r="AE124" s="38" t="n"/>
      <c r="AF124" s="38" t="n"/>
      <c r="AG124" s="38" t="n"/>
      <c r="AH124" s="38" t="n"/>
      <c r="AI124" s="38" t="n"/>
      <c r="AJ124" s="38" t="n"/>
      <c r="AK124" s="38" t="n"/>
      <c r="AL124" s="38" t="n"/>
      <c r="AM124" s="38" t="n"/>
      <c r="AN124" s="38" t="n"/>
      <c r="AO124" s="38" t="n"/>
      <c r="AP124" s="38" t="n"/>
      <c r="AQ124" s="38" t="n"/>
      <c r="AR124" s="38" t="n"/>
    </row>
    <row r="125">
      <c r="A125" s="38" t="n"/>
      <c r="B125" s="38" t="n"/>
      <c r="C125" s="38" t="n"/>
      <c r="D125" s="38" t="n"/>
      <c r="E125" s="38" t="n"/>
      <c r="F125" s="38" t="n"/>
      <c r="G125" s="38" t="n"/>
      <c r="H125" s="38" t="n"/>
      <c r="I125" s="38" t="n"/>
      <c r="J125" s="38" t="n"/>
      <c r="K125" s="38" t="n"/>
      <c r="L125" s="38" t="n"/>
      <c r="M125" s="38" t="n"/>
      <c r="N125" s="38">
        <f>IF(_epmOfflineCondition_,29888.7,-EPMRetrieveData(,,$D$21,$D$22,$D$25,$D$26,$D$27,$D$28,$D$29,$AB$41,$AB$42,$AB$43,$AA$28,$AB$45,Q125))</f>
        <v/>
      </c>
      <c r="O125" s="38">
        <f>IF(_epmOfflineCondition_,47076.71,-EPMRetrieveData(,,$D$21,$D$22,$D$25,$D$26,$D$27,$D$28,$D$29,$AA$41,$AA$42,$AA$43,$AA$28,$AA$45,Q125))</f>
        <v/>
      </c>
      <c r="P125" s="38">
        <f>IF(_epmOfflineCondition_,7421.41,-EPMRetrieveData(,,$D$21,$D$22,$D$25,$D$26,$D$27,$D$28,$D$29,$Z$41,$Z$42,$Z$43,$AA$28,$Z$45,Q125))</f>
        <v/>
      </c>
      <c r="Q125" s="38" t="inlineStr">
        <is>
          <t>A0070306</t>
        </is>
      </c>
      <c r="R125" s="575">
        <f>IF(_epmOfflineCondition_,"人工成本明细-工会经费",EPMMemberDesc(Q125))</f>
        <v/>
      </c>
      <c r="S125" s="580" t="n"/>
      <c r="T125" s="38" t="n"/>
      <c r="U125" s="38" t="n"/>
      <c r="V125" s="38" t="n"/>
      <c r="W125" s="38" t="n"/>
      <c r="X125" s="38" t="n"/>
      <c r="Y125" s="38" t="n"/>
      <c r="Z125" s="38" t="n"/>
      <c r="AA125" s="38" t="n"/>
      <c r="AB125" s="38" t="n"/>
      <c r="AC125" s="38" t="n"/>
      <c r="AD125" s="38" t="n"/>
      <c r="AE125" s="38" t="n"/>
      <c r="AF125" s="38" t="n"/>
      <c r="AG125" s="38" t="n"/>
      <c r="AH125" s="38" t="n"/>
      <c r="AI125" s="38" t="n"/>
      <c r="AJ125" s="38" t="n"/>
      <c r="AK125" s="38" t="n"/>
      <c r="AL125" s="38" t="n"/>
      <c r="AM125" s="38" t="n"/>
      <c r="AN125" s="38" t="n"/>
      <c r="AO125" s="38" t="n"/>
      <c r="AP125" s="38" t="n"/>
      <c r="AQ125" s="38" t="n"/>
      <c r="AR125" s="38" t="n"/>
    </row>
    <row r="126">
      <c r="A126" s="38" t="n"/>
      <c r="B126" s="38" t="n"/>
      <c r="C126" s="38" t="n"/>
      <c r="D126" s="38" t="n"/>
      <c r="E126" s="38" t="n"/>
      <c r="F126" s="38" t="n"/>
      <c r="G126" s="38" t="n"/>
      <c r="H126" s="38" t="n"/>
      <c r="I126" s="38" t="n"/>
      <c r="J126" s="38" t="n"/>
      <c r="K126" s="38" t="n"/>
      <c r="L126" s="38" t="n"/>
      <c r="M126" s="38" t="n"/>
      <c r="N126" s="38">
        <f>IF(_epmOfflineCondition_,0,-EPMRetrieveData(,,$D$21,$D$22,$D$25,$D$26,$D$27,$D$28,$D$29,$AB$41,$AB$42,$AB$43,$AA$28,$AB$45,Q126))</f>
        <v/>
      </c>
      <c r="O126" s="38">
        <f>IF(_epmOfflineCondition_,925.17,-EPMRetrieveData(,,$D$21,$D$22,$D$25,$D$26,$D$27,$D$28,$D$29,$AA$41,$AA$42,$AA$43,$AA$28,$AA$45,Q126))</f>
        <v/>
      </c>
      <c r="P126" s="38">
        <f>IF(_epmOfflineCondition_,925.17,-EPMRetrieveData(,,$D$21,$D$22,$D$25,$D$26,$D$27,$D$28,$D$29,$Z$41,$Z$42,$Z$43,$AA$28,$Z$45,Q126))</f>
        <v/>
      </c>
      <c r="Q126" s="38" t="inlineStr">
        <is>
          <t>A0070307</t>
        </is>
      </c>
      <c r="R126" s="575">
        <f>IF(_epmOfflineCondition_,"人工成本明细-劳动保护费",EPMMemberDesc(Q126))</f>
        <v/>
      </c>
      <c r="S126" s="580" t="n"/>
      <c r="T126" s="38" t="n"/>
      <c r="U126" s="38" t="n"/>
      <c r="V126" s="38" t="n"/>
      <c r="W126" s="38" t="n"/>
      <c r="X126" s="38" t="n"/>
      <c r="Y126" s="38" t="n"/>
      <c r="Z126" s="38" t="n"/>
      <c r="AA126" s="38" t="n"/>
      <c r="AB126" s="38" t="n"/>
      <c r="AC126" s="38" t="n"/>
      <c r="AD126" s="38" t="n"/>
      <c r="AE126" s="38" t="n"/>
      <c r="AF126" s="38" t="n"/>
      <c r="AG126" s="38" t="n"/>
      <c r="AH126" s="38" t="n"/>
      <c r="AI126" s="38" t="n"/>
      <c r="AJ126" s="38" t="n"/>
      <c r="AK126" s="38" t="n"/>
      <c r="AL126" s="38" t="n"/>
      <c r="AM126" s="38" t="n"/>
      <c r="AN126" s="38" t="n"/>
      <c r="AO126" s="38" t="n"/>
      <c r="AP126" s="38" t="n"/>
      <c r="AQ126" s="38" t="n"/>
      <c r="AR126" s="38" t="n"/>
    </row>
    <row r="127">
      <c r="A127" s="38" t="n"/>
      <c r="B127" s="38" t="n"/>
      <c r="C127" s="38" t="n"/>
      <c r="D127" s="38" t="n"/>
      <c r="E127" s="38" t="n"/>
      <c r="F127" s="38" t="n"/>
      <c r="G127" s="38" t="n"/>
      <c r="H127" s="38" t="n"/>
      <c r="I127" s="38" t="n"/>
      <c r="J127" s="38" t="n"/>
      <c r="K127" s="38" t="n"/>
      <c r="L127" s="38" t="n"/>
      <c r="M127" s="38" t="n"/>
      <c r="N127" s="38">
        <f>IF(_epmOfflineCondition_,0,-EPMRetrieveData(,,$D$21,$D$22,$D$25,$D$26,$D$27,$D$28,$D$29,$AB$41,$AB$42,$AB$43,$AA$28,$AB$45,Q127))</f>
        <v/>
      </c>
      <c r="O127" s="38">
        <f>IF(_epmOfflineCondition_,0,-EPMRetrieveData(,,$D$21,$D$22,$D$25,$D$26,$D$27,$D$28,$D$29,$AA$41,$AA$42,$AA$43,$AA$28,$AA$45,Q127))</f>
        <v/>
      </c>
      <c r="P127" s="38">
        <f>IF(_epmOfflineCondition_,0,-EPMRetrieveData(,,$D$21,$D$22,$D$25,$D$26,$D$27,$D$28,$D$29,$Z$41,$Z$42,$Z$43,$AA$28,$Z$45,Q127))</f>
        <v/>
      </c>
      <c r="Q127" s="38" t="inlineStr">
        <is>
          <t>A0070311</t>
        </is>
      </c>
      <c r="R127" s="575">
        <f>IF(_epmOfflineCondition_,"人工成本明细-辞退福利",EPMMemberDesc(Q127))</f>
        <v/>
      </c>
      <c r="S127" s="580" t="n"/>
      <c r="T127" s="38" t="n"/>
      <c r="U127" s="38" t="n"/>
      <c r="V127" s="38" t="n"/>
      <c r="W127" s="38" t="n"/>
      <c r="X127" s="38" t="n"/>
      <c r="Y127" s="38" t="n"/>
      <c r="Z127" s="38" t="n"/>
      <c r="AA127" s="38" t="n"/>
      <c r="AB127" s="38" t="n"/>
      <c r="AC127" s="38" t="n"/>
      <c r="AD127" s="38" t="n"/>
      <c r="AE127" s="38" t="n"/>
      <c r="AF127" s="38" t="n"/>
      <c r="AG127" s="38" t="n"/>
      <c r="AH127" s="38" t="n"/>
      <c r="AI127" s="38" t="n"/>
      <c r="AJ127" s="38" t="n"/>
      <c r="AK127" s="38" t="n"/>
      <c r="AL127" s="38" t="n"/>
      <c r="AM127" s="38" t="n"/>
      <c r="AN127" s="38" t="n"/>
      <c r="AO127" s="38" t="n"/>
      <c r="AP127" s="38" t="n"/>
      <c r="AQ127" s="38" t="n"/>
      <c r="AR127" s="38" t="n"/>
    </row>
    <row r="128">
      <c r="A128" s="38" t="n"/>
      <c r="B128" s="38" t="n"/>
      <c r="C128" s="38" t="n"/>
      <c r="D128" s="38" t="n"/>
      <c r="E128" s="38" t="n"/>
      <c r="F128" s="38" t="n"/>
      <c r="G128" s="38" t="n"/>
      <c r="H128" s="38" t="n"/>
      <c r="I128" s="38" t="n"/>
      <c r="J128" s="38" t="n"/>
      <c r="K128" s="38" t="n"/>
      <c r="L128" s="38" t="n"/>
      <c r="M128" s="38" t="n"/>
      <c r="N128" s="38">
        <f>IF(_epmOfflineCondition_,0,-EPMRetrieveData(,,$D$21,$D$22,$D$25,$D$26,$D$27,$D$28,$D$29,$AB$41,$AB$42,$AB$43,$AA$28,$AB$45,Q128))</f>
        <v/>
      </c>
      <c r="O128" s="38">
        <f>IF(_epmOfflineCondition_,0,-EPMRetrieveData(,,$D$21,$D$22,$D$25,$D$26,$D$27,$D$28,$D$29,$AA$41,$AA$42,$AA$43,$AA$28,$AA$45,Q128))</f>
        <v/>
      </c>
      <c r="P128" s="38">
        <f>IF(_epmOfflineCondition_,0,-EPMRetrieveData(,,$D$21,$D$22,$D$25,$D$26,$D$27,$D$28,$D$29,$Z$41,$Z$42,$Z$43,$AA$28,$Z$45,Q128))</f>
        <v/>
      </c>
      <c r="Q128" s="38" t="inlineStr">
        <is>
          <t>A0070310</t>
        </is>
      </c>
      <c r="R128" s="575">
        <f>IF(_epmOfflineCondition_,"人工成本明细-技术奖酬金及业务设计奖",EPMMemberDesc(Q128))</f>
        <v/>
      </c>
      <c r="S128" s="580" t="n"/>
      <c r="T128" s="38" t="n"/>
      <c r="U128" s="38" t="n"/>
      <c r="V128" s="38" t="n"/>
      <c r="W128" s="38" t="n"/>
      <c r="X128" s="38" t="n"/>
      <c r="Y128" s="38" t="n"/>
      <c r="Z128" s="38" t="n"/>
      <c r="AA128" s="38" t="n"/>
      <c r="AB128" s="38" t="n"/>
      <c r="AC128" s="38" t="n"/>
      <c r="AD128" s="38" t="n"/>
      <c r="AE128" s="38" t="n"/>
      <c r="AF128" s="38" t="n"/>
      <c r="AG128" s="38" t="n"/>
      <c r="AH128" s="38" t="n"/>
      <c r="AI128" s="38" t="n"/>
      <c r="AJ128" s="38" t="n"/>
      <c r="AK128" s="38" t="n"/>
      <c r="AL128" s="38" t="n"/>
      <c r="AM128" s="38" t="n"/>
      <c r="AN128" s="38" t="n"/>
      <c r="AO128" s="38" t="n"/>
      <c r="AP128" s="38" t="n"/>
      <c r="AQ128" s="38" t="n"/>
      <c r="AR128" s="38" t="n"/>
    </row>
    <row r="129">
      <c r="A129" s="38" t="n"/>
      <c r="B129" s="38" t="n"/>
      <c r="C129" s="38" t="n"/>
      <c r="D129" s="38" t="n"/>
      <c r="E129" s="38" t="n"/>
      <c r="F129" s="38" t="n"/>
      <c r="G129" s="38" t="n"/>
      <c r="H129" s="38" t="n"/>
      <c r="I129" s="38" t="n"/>
      <c r="J129" s="38" t="n"/>
      <c r="K129" s="38" t="n"/>
      <c r="L129" s="38" t="n"/>
      <c r="M129" s="38" t="n"/>
      <c r="N129" s="38">
        <f>IF(_epmOfflineCondition_,0,-EPMRetrieveData(,,$D$21,$D$22,$D$25,$D$26,$D$27,$D$28,$D$29,$AB$41,$AB$42,$AB$43,$AA$28,$AB$45,Q129))</f>
        <v/>
      </c>
      <c r="O129" s="38">
        <f>IF(_epmOfflineCondition_,0,-EPMRetrieveData(,,$D$21,$D$22,$D$25,$D$26,$D$27,$D$28,$D$29,$AA$41,$AA$42,$AA$43,$AA$28,$AA$45,Q129))</f>
        <v/>
      </c>
      <c r="P129" s="38">
        <f>IF(_epmOfflineCondition_,0,-EPMRetrieveData(,,$D$21,$D$22,$D$25,$D$26,$D$27,$D$28,$D$29,$Z$41,$Z$42,$Z$43,$AA$28,$Z$45,Q129))</f>
        <v/>
      </c>
      <c r="Q129" s="38" t="inlineStr">
        <is>
          <t>A0070313</t>
        </is>
      </c>
      <c r="R129" s="575">
        <f>IF(_epmOfflineCondition_,"人工成本明细-非货币性福利",EPMMemberDesc(Q129))</f>
        <v/>
      </c>
      <c r="S129" s="580" t="n"/>
      <c r="T129" s="38" t="n"/>
      <c r="U129" s="38" t="n"/>
      <c r="V129" s="38" t="n"/>
      <c r="W129" s="38" t="n"/>
      <c r="X129" s="38" t="n"/>
      <c r="Y129" s="38" t="n"/>
      <c r="Z129" s="38" t="n"/>
      <c r="AA129" s="38" t="n"/>
      <c r="AB129" s="38" t="n"/>
      <c r="AC129" s="38" t="n"/>
      <c r="AD129" s="38" t="n"/>
      <c r="AE129" s="38" t="n"/>
      <c r="AF129" s="38" t="n"/>
      <c r="AG129" s="38" t="n"/>
      <c r="AH129" s="38" t="n"/>
      <c r="AI129" s="38" t="n"/>
      <c r="AJ129" s="38" t="n"/>
      <c r="AK129" s="38" t="n"/>
      <c r="AL129" s="38" t="n"/>
      <c r="AM129" s="38" t="n"/>
      <c r="AN129" s="38" t="n"/>
      <c r="AO129" s="38" t="n"/>
      <c r="AP129" s="38" t="n"/>
      <c r="AQ129" s="38" t="n"/>
      <c r="AR129" s="38" t="n"/>
    </row>
    <row r="130">
      <c r="A130" s="38" t="n"/>
      <c r="B130" s="38" t="n"/>
      <c r="C130" s="38" t="n"/>
      <c r="D130" s="38" t="n"/>
      <c r="E130" s="38" t="n"/>
      <c r="F130" s="38" t="n"/>
      <c r="G130" s="38" t="n"/>
      <c r="H130" s="38" t="n"/>
      <c r="I130" s="38" t="n"/>
      <c r="J130" s="38" t="n"/>
      <c r="K130" s="38" t="n"/>
      <c r="L130" s="38" t="n"/>
      <c r="M130" s="38" t="n"/>
      <c r="N130" s="38">
        <f>IF(_epmOfflineCondition_,0,-EPMRetrieveData(,,$D$21,$D$22,$D$25,$D$26,$D$27,$D$28,$D$29,$AB$41,$AB$42,$AB$43,$AA$28,$AB$45,Q130))</f>
        <v/>
      </c>
      <c r="O130" s="38">
        <f>IF(_epmOfflineCondition_,0,-EPMRetrieveData(,,$D$21,$D$22,$D$25,$D$26,$D$27,$D$28,$D$29,$AA$41,$AA$42,$AA$43,$AA$28,$AA$45,Q130))</f>
        <v/>
      </c>
      <c r="P130" s="38">
        <f>IF(_epmOfflineCondition_,0,-EPMRetrieveData(,,$D$21,$D$22,$D$25,$D$26,$D$27,$D$28,$D$29,$Z$41,$Z$42,$Z$43,$AA$28,$Z$45,Q130))</f>
        <v/>
      </c>
      <c r="Q130" s="38" t="inlineStr">
        <is>
          <t>A0070312</t>
        </is>
      </c>
      <c r="R130" s="575">
        <f>IF(_epmOfflineCondition_,"人工成本明细-股份支付",EPMMemberDesc(Q130))</f>
        <v/>
      </c>
      <c r="S130" s="580" t="n"/>
      <c r="T130" s="38" t="n"/>
      <c r="U130" s="38" t="n"/>
      <c r="V130" s="38" t="n"/>
      <c r="W130" s="38" t="n"/>
      <c r="X130" s="38" t="n"/>
      <c r="Y130" s="38" t="n"/>
      <c r="Z130" s="38" t="n"/>
      <c r="AA130" s="38" t="n"/>
      <c r="AB130" s="38" t="n"/>
      <c r="AC130" s="38" t="n"/>
      <c r="AD130" s="38" t="n"/>
      <c r="AE130" s="38" t="n"/>
      <c r="AF130" s="38" t="n"/>
      <c r="AG130" s="38" t="n"/>
      <c r="AH130" s="38" t="n"/>
      <c r="AI130" s="38" t="n"/>
      <c r="AJ130" s="38" t="n"/>
      <c r="AK130" s="38" t="n"/>
      <c r="AL130" s="38" t="n"/>
      <c r="AM130" s="38" t="n"/>
      <c r="AN130" s="38" t="n"/>
      <c r="AO130" s="38" t="n"/>
      <c r="AP130" s="38" t="n"/>
      <c r="AQ130" s="38" t="n"/>
      <c r="AR130" s="38" t="n"/>
    </row>
    <row r="131">
      <c r="A131" s="38" t="n"/>
      <c r="B131" s="38" t="n"/>
      <c r="C131" s="38" t="n"/>
      <c r="D131" s="38" t="n"/>
      <c r="E131" s="38" t="n"/>
      <c r="F131" s="38" t="n"/>
      <c r="G131" s="38" t="n"/>
      <c r="H131" s="38" t="n"/>
      <c r="I131" s="38" t="n"/>
      <c r="J131" s="38" t="n"/>
      <c r="K131" s="38" t="n"/>
      <c r="L131" s="38" t="n"/>
      <c r="M131" s="38" t="n"/>
      <c r="N131" s="38">
        <f>IF(_epmOfflineCondition_,0,-EPMRetrieveData(,,$D$21,$D$22,$D$25,$D$26,$D$27,$D$28,$D$29,$AB$41,$AB$42,$AB$43,$AA$28,$AB$45,Q131))</f>
        <v/>
      </c>
      <c r="O131" s="38">
        <f>IF(_epmOfflineCondition_,0,-EPMRetrieveData(,,$D$21,$D$22,$D$25,$D$26,$D$27,$D$28,$D$29,$AA$41,$AA$42,$AA$43,$AA$28,$AA$45,Q131))</f>
        <v/>
      </c>
      <c r="P131" s="38">
        <f>IF(_epmOfflineCondition_,0,-EPMRetrieveData(,,$D$21,$D$22,$D$25,$D$26,$D$27,$D$28,$D$29,$Z$41,$Z$42,$Z$43,$AA$28,$Z$45,Q131))</f>
        <v/>
      </c>
      <c r="Q131" s="38" t="inlineStr">
        <is>
          <t>A0070314</t>
        </is>
      </c>
      <c r="R131" s="575">
        <f>IF(_epmOfflineCondition_,"人工成本明细-其他人工成本",EPMMemberDesc(Q131))</f>
        <v/>
      </c>
      <c r="S131" s="580" t="n"/>
      <c r="T131" s="38" t="n"/>
      <c r="U131" s="38" t="n"/>
      <c r="V131" s="38" t="n"/>
      <c r="W131" s="38" t="n"/>
      <c r="X131" s="38" t="n"/>
      <c r="Y131" s="38" t="n"/>
      <c r="Z131" s="38" t="n"/>
      <c r="AA131" s="38" t="n"/>
      <c r="AB131" s="38" t="n"/>
      <c r="AC131" s="38" t="n"/>
      <c r="AD131" s="38" t="n"/>
      <c r="AE131" s="38" t="n"/>
      <c r="AF131" s="38" t="n"/>
      <c r="AG131" s="38" t="n"/>
      <c r="AH131" s="38" t="n"/>
      <c r="AI131" s="38" t="n"/>
      <c r="AJ131" s="38" t="n"/>
      <c r="AK131" s="38" t="n"/>
      <c r="AL131" s="38" t="n"/>
      <c r="AM131" s="38" t="n"/>
      <c r="AN131" s="38" t="n"/>
      <c r="AO131" s="38" t="n"/>
      <c r="AP131" s="38" t="n"/>
      <c r="AQ131" s="38" t="n"/>
      <c r="AR131" s="38" t="n"/>
    </row>
    <row r="132">
      <c r="A132" s="38" t="n"/>
      <c r="B132" s="38" t="n"/>
      <c r="C132" s="38" t="n"/>
      <c r="D132" s="38" t="n"/>
      <c r="E132" s="38" t="n"/>
      <c r="F132" s="38" t="n"/>
      <c r="G132" s="38" t="n"/>
      <c r="H132" s="38" t="n"/>
      <c r="I132" s="38" t="n"/>
      <c r="J132" s="38" t="n"/>
      <c r="K132" s="38" t="n"/>
      <c r="L132" s="38" t="n"/>
      <c r="M132" s="38" t="n"/>
      <c r="N132" s="38">
        <f>IF(_epmOfflineCondition_,77468,-EPMRetrieveData(,,$D$21,$D$22,$D$25,$D$26,$D$27,$D$28,$D$29,$AB$41,$AB$42,$AB$43,$AA$28,$AB$45,Q132))</f>
        <v/>
      </c>
      <c r="O132" s="38">
        <f>IF(_epmOfflineCondition_,136770,-EPMRetrieveData(,,$D$21,$D$22,$D$25,$D$26,$D$27,$D$28,$D$29,$AA$41,$AA$42,$AA$43,$AA$28,$AA$45,Q132))</f>
        <v/>
      </c>
      <c r="P132" s="38">
        <f>IF(_epmOfflineCondition_,45590,-EPMRetrieveData(,,$D$21,$D$22,$D$25,$D$26,$D$27,$D$28,$D$29,$Z$41,$Z$42,$Z$43,$AA$28,$Z$45,Q132))</f>
        <v/>
      </c>
      <c r="Q132" s="38" t="inlineStr">
        <is>
          <t>A0070308</t>
        </is>
      </c>
      <c r="R132" s="575">
        <f>IF(_epmOfflineCondition_,"人工成本明细-其中：住房公积金",EPMMemberDesc(Q132))</f>
        <v/>
      </c>
      <c r="S132" s="580" t="n"/>
      <c r="T132" s="38" t="n"/>
      <c r="U132" s="38" t="n"/>
      <c r="V132" s="38" t="n"/>
      <c r="W132" s="38" t="n"/>
      <c r="X132" s="38" t="n"/>
      <c r="Y132" s="38" t="n"/>
      <c r="Z132" s="38" t="n"/>
      <c r="AA132" s="38" t="n"/>
      <c r="AB132" s="38" t="n"/>
      <c r="AC132" s="38" t="n"/>
      <c r="AD132" s="38" t="n"/>
      <c r="AE132" s="38" t="n"/>
      <c r="AF132" s="38" t="n"/>
      <c r="AG132" s="38" t="n"/>
      <c r="AH132" s="38" t="n"/>
      <c r="AI132" s="38" t="n"/>
      <c r="AJ132" s="38" t="n"/>
      <c r="AK132" s="38" t="n"/>
      <c r="AL132" s="38" t="n"/>
      <c r="AM132" s="38" t="n"/>
      <c r="AN132" s="38" t="n"/>
      <c r="AO132" s="38" t="n"/>
      <c r="AP132" s="38" t="n"/>
      <c r="AQ132" s="38" t="n"/>
      <c r="AR132" s="38" t="n"/>
    </row>
    <row r="133">
      <c r="A133" s="38" t="n"/>
      <c r="B133" s="38" t="n"/>
      <c r="C133" s="38" t="n"/>
      <c r="D133" s="38" t="n"/>
      <c r="E133" s="38" t="n"/>
      <c r="F133" s="38" t="n"/>
      <c r="G133" s="38" t="n"/>
      <c r="H133" s="38" t="n"/>
      <c r="I133" s="38" t="n"/>
      <c r="J133" s="38" t="n"/>
      <c r="K133" s="38" t="n"/>
      <c r="L133" s="38" t="n"/>
      <c r="M133" s="38" t="n"/>
      <c r="N133" s="38">
        <f>IF(_epmOfflineCondition_,0,-EPMRetrieveData(,,$D$21,$D$22,$D$25,$D$26,$D$27,$D$28,$D$29,$AB$41,$AB$42,$AB$43,$AA$28,$AB$45,Q133))</f>
        <v/>
      </c>
      <c r="O133" s="38">
        <f>IF(_epmOfflineCondition_,0,-EPMRetrieveData(,,$D$21,$D$22,$D$25,$D$26,$D$27,$D$28,$D$29,$AA$41,$AA$42,$AA$43,$AA$28,$AA$45,Q133))</f>
        <v/>
      </c>
      <c r="P133" s="38">
        <f>IF(_epmOfflineCondition_,0,-EPMRetrieveData(,,$D$21,$D$22,$D$25,$D$26,$D$27,$D$28,$D$29,$Z$41,$Z$42,$Z$43,$AA$28,$Z$45,Q133))</f>
        <v/>
      </c>
      <c r="Q133" s="38" t="inlineStr">
        <is>
          <t>A0070309</t>
        </is>
      </c>
      <c r="R133" s="575">
        <f>IF(_epmOfflineCondition_,"人工成本明细-其中：住房补贴",EPMMemberDesc(Q133))</f>
        <v/>
      </c>
      <c r="S133" s="580" t="n"/>
      <c r="T133" s="38" t="n"/>
      <c r="U133" s="38" t="n"/>
      <c r="V133" s="38" t="n"/>
      <c r="W133" s="38" t="n"/>
      <c r="X133" s="38" t="n"/>
      <c r="Y133" s="38" t="n"/>
      <c r="Z133" s="38" t="n"/>
      <c r="AA133" s="38" t="n"/>
      <c r="AB133" s="38" t="n"/>
      <c r="AC133" s="38" t="n"/>
      <c r="AD133" s="38" t="n"/>
      <c r="AE133" s="38" t="n"/>
      <c r="AF133" s="38" t="n"/>
      <c r="AG133" s="38" t="n"/>
      <c r="AH133" s="38" t="n"/>
      <c r="AI133" s="38" t="n"/>
      <c r="AJ133" s="38" t="n"/>
      <c r="AK133" s="38" t="n"/>
      <c r="AL133" s="38" t="n"/>
      <c r="AM133" s="38" t="n"/>
      <c r="AN133" s="38" t="n"/>
      <c r="AO133" s="38" t="n"/>
      <c r="AP133" s="38" t="n"/>
      <c r="AQ133" s="38" t="n"/>
      <c r="AR133" s="38" t="n"/>
    </row>
    <row r="134">
      <c r="A134" s="38" t="n"/>
      <c r="B134" s="38" t="n"/>
      <c r="C134" s="38" t="n"/>
      <c r="D134" s="38" t="n"/>
      <c r="E134" s="38" t="n"/>
      <c r="F134" s="38" t="n"/>
      <c r="G134" s="38" t="n"/>
      <c r="H134" s="38" t="n"/>
      <c r="I134" s="38" t="n"/>
      <c r="J134" s="38" t="n"/>
      <c r="K134" s="38" t="n"/>
      <c r="L134" s="38" t="n"/>
      <c r="M134" s="38" t="n"/>
      <c r="N134" s="1348">
        <f>IF(_epmOfflineCondition_,0,-EPMRetrieveData(,,$D$21,$D$22,$D$25,$D$26,$D$27,$D$28,$D$29,$AB$41,$AB$42,$AB$43,AA$28,$AB$45,Q134))</f>
        <v/>
      </c>
      <c r="O134" s="1348">
        <f>IF(_epmOfflineCondition_,0,-EPMRetrieveData(,,$D$21,$D$22,$D$25,$D$26,$D$27,$D$28,$D$29,$AA$41,$AA$42,$AA$43,$AA$28,$AA$45,Q134))</f>
        <v/>
      </c>
      <c r="P134" s="1348">
        <f>IF(_epmOfflineCondition_,0,-EPMRetrieveData(,,$D$21,$D$22,$D$25,$D$26,$D$27,$D$28,$D$29,$Z$41,$Z$42,$Z$43,$AA$28,$Z$45,Q134))</f>
        <v/>
      </c>
      <c r="Q134" s="38" t="inlineStr">
        <is>
          <t>A0071401</t>
        </is>
      </c>
      <c r="R134" s="575">
        <f>IF(_epmOfflineCondition_,"人工成本明细-其中：内退人员工资",EPMMemberDesc(Q134))</f>
        <v/>
      </c>
      <c r="S134" s="580" t="n"/>
      <c r="T134" s="38" t="n"/>
      <c r="U134" s="38" t="n"/>
      <c r="V134" s="38" t="n"/>
      <c r="W134" s="38" t="n"/>
      <c r="X134" s="38" t="n"/>
      <c r="Y134" s="38" t="n"/>
      <c r="Z134" s="38" t="n"/>
      <c r="AA134" s="38" t="n"/>
      <c r="AB134" s="38" t="n"/>
      <c r="AC134" s="38" t="n"/>
      <c r="AD134" s="38" t="n"/>
      <c r="AE134" s="38" t="n"/>
      <c r="AF134" s="38" t="n"/>
      <c r="AG134" s="38" t="n"/>
      <c r="AH134" s="38" t="n"/>
      <c r="AI134" s="38" t="n"/>
      <c r="AJ134" s="38" t="n"/>
      <c r="AK134" s="38" t="n"/>
      <c r="AL134" s="38" t="n"/>
      <c r="AM134" s="38" t="n"/>
      <c r="AN134" s="38" t="n"/>
      <c r="AO134" s="38" t="n"/>
      <c r="AP134" s="38" t="n"/>
      <c r="AQ134" s="38" t="n"/>
      <c r="AR134" s="38" t="n"/>
    </row>
    <row r="135">
      <c r="A135" s="38" t="n"/>
      <c r="B135" s="38" t="n"/>
      <c r="C135" s="38" t="n"/>
      <c r="D135" s="38" t="n"/>
      <c r="E135" s="38" t="n"/>
      <c r="F135" s="38" t="n"/>
      <c r="G135" s="38" t="n"/>
      <c r="H135" s="38" t="n"/>
      <c r="I135" s="38" t="n"/>
      <c r="J135" s="38" t="n"/>
      <c r="K135" s="38" t="n"/>
      <c r="L135" s="38" t="n"/>
      <c r="M135" s="38" t="n"/>
      <c r="N135" s="1192">
        <f>IF(_epmOfflineCondition_,0,EPMRetrieveData(,,$D$21,$D$22,$D$25,$D$26,$D$27,$D$28,$D$29,$AB$41,$AB$42,$AB$43,$AA$28,$AB$45,Q135))</f>
        <v/>
      </c>
      <c r="O135" s="1192">
        <f>IF(_epmOfflineCondition_,0,EPMRetrieveData(,,$D$21,$D$22,$D$25,$D$26,$D$27,$D$28,$D$29,$AA$41,$AA$42,$AA$43,$AA$28,$AA$45,Q135))</f>
        <v/>
      </c>
      <c r="P135" s="1192">
        <f>IF(_epmOfflineCondition_,0,EPMRetrieveData(,,$D$21,$D$22,$D$25,$D$26,$D$27,$D$28,$D$29,$Z$41,$Z$42,$Z$43,$AA$28,$Z$45,Q135))</f>
        <v/>
      </c>
      <c r="Q135" s="384" t="inlineStr">
        <is>
          <t>A0071601</t>
        </is>
      </c>
      <c r="R135" s="384" t="inlineStr">
        <is>
          <t>人工成本明细-其中：工资总额（不在岗）</t>
        </is>
      </c>
      <c r="S135" s="580" t="n"/>
      <c r="T135" s="38" t="n"/>
      <c r="U135" s="38" t="n"/>
      <c r="V135" s="38" t="n"/>
      <c r="W135" s="38" t="n"/>
      <c r="X135" s="38" t="n"/>
      <c r="Y135" s="38" t="n"/>
      <c r="Z135" s="38" t="n"/>
      <c r="AA135" s="38" t="n"/>
      <c r="AB135" s="38" t="n"/>
      <c r="AC135" s="38" t="n"/>
      <c r="AD135" s="38" t="n"/>
      <c r="AE135" s="38" t="n"/>
      <c r="AF135" s="38" t="n"/>
      <c r="AG135" s="38" t="n"/>
      <c r="AH135" s="38" t="n"/>
      <c r="AI135" s="38" t="n"/>
      <c r="AJ135" s="38" t="n"/>
      <c r="AK135" s="38" t="n"/>
      <c r="AL135" s="38" t="n"/>
      <c r="AM135" s="38" t="n"/>
      <c r="AN135" s="38" t="n"/>
      <c r="AO135" s="38" t="n"/>
      <c r="AP135" s="38" t="n"/>
      <c r="AQ135" s="38" t="n"/>
      <c r="AR135" s="38" t="n"/>
    </row>
    <row r="136">
      <c r="A136" s="38" t="n"/>
      <c r="B136" s="38" t="n"/>
      <c r="C136" s="38" t="n"/>
      <c r="D136" s="38" t="n"/>
      <c r="E136" s="38" t="n"/>
      <c r="F136" s="38" t="n"/>
      <c r="G136" s="38" t="n"/>
      <c r="H136" s="38" t="n"/>
      <c r="I136" s="38" t="n"/>
      <c r="J136" s="38" t="n"/>
      <c r="K136" s="38" t="n"/>
      <c r="L136" s="38" t="n"/>
      <c r="M136" s="38" t="n"/>
      <c r="N136" s="38" t="n"/>
      <c r="O136" s="38" t="n"/>
      <c r="P136" s="38" t="n"/>
      <c r="Q136" s="38" t="n"/>
      <c r="R136" s="38" t="n"/>
      <c r="S136" s="580" t="n"/>
      <c r="T136" s="38" t="n"/>
      <c r="U136" s="38" t="n"/>
      <c r="V136" s="38" t="n"/>
      <c r="W136" s="38" t="n"/>
      <c r="X136" s="38" t="n"/>
      <c r="Y136" s="38" t="n"/>
      <c r="Z136" s="38" t="n"/>
      <c r="AA136" s="38" t="n"/>
      <c r="AB136" s="38" t="n"/>
      <c r="AC136" s="38" t="n"/>
      <c r="AD136" s="38" t="n"/>
      <c r="AE136" s="38" t="n"/>
      <c r="AF136" s="38" t="n"/>
      <c r="AG136" s="38" t="n"/>
      <c r="AH136" s="38" t="n"/>
      <c r="AI136" s="38" t="n"/>
      <c r="AJ136" s="38" t="n"/>
      <c r="AK136" s="38" t="n"/>
      <c r="AL136" s="38" t="n"/>
      <c r="AM136" s="38" t="n"/>
      <c r="AN136" s="38" t="n"/>
      <c r="AO136" s="38" t="n"/>
      <c r="AP136" s="38" t="n"/>
      <c r="AQ136" s="38" t="n"/>
      <c r="AR136" s="38" t="n"/>
    </row>
    <row r="137">
      <c r="A137" s="38" t="n"/>
      <c r="B137" s="38" t="n"/>
      <c r="C137" s="38" t="n"/>
      <c r="D137" s="38" t="n"/>
      <c r="E137" s="38" t="n"/>
      <c r="F137" s="38" t="n"/>
      <c r="G137" s="38" t="n"/>
      <c r="H137" s="38" t="n"/>
      <c r="I137" s="38" t="n"/>
      <c r="J137" s="38" t="n"/>
      <c r="K137" s="38" t="n"/>
      <c r="L137" s="38" t="n"/>
      <c r="M137" s="38" t="n"/>
      <c r="N137" s="1348">
        <f>IF(_epmOfflineCondition_,0,EPMRetrieveData(,,$D$21,$D$22,$D$25,$D$26,$D$27,$D$28,$D$29,$AB$41,$AB$42,$AB$43,$Z$28,$AB$45,Q137))</f>
        <v/>
      </c>
      <c r="O137" s="1348">
        <f>IF(_epmOfflineCondition_,0,EPMRetrieveData(,,$D$21,$D$22,$D$25,$D$26,$D$27,$D$28,$D$29,$AA$41,$AA$42,$AA$43,$Z$28,$AA$45,Q137))</f>
        <v/>
      </c>
      <c r="P137" s="1348">
        <f>IF(_epmOfflineCondition_,0,EPMRetrieveData(,,$D$21,$D$22,$D$25,$D$26,$D$27,$D$28,$D$29,$Z$41,$Z$42,$Z$43,$Z$28,$Z$45,Q137))</f>
        <v/>
      </c>
      <c r="Q137" s="609" t="inlineStr">
        <is>
          <t>A00711</t>
        </is>
      </c>
      <c r="R137" s="716">
        <f>IF(_epmOfflineCondition_,"人工成本明细-离退休人工成本",EPMMemberDesc(Q137))</f>
        <v/>
      </c>
      <c r="S137" s="580" t="n"/>
      <c r="T137" s="38" t="n"/>
      <c r="U137" s="38" t="n"/>
      <c r="V137" s="38" t="n"/>
      <c r="W137" s="38" t="n"/>
      <c r="X137" s="38" t="n"/>
      <c r="Y137" s="38" t="n"/>
      <c r="Z137" s="38" t="n"/>
      <c r="AA137" s="38" t="n"/>
      <c r="AB137" s="38" t="n"/>
      <c r="AC137" s="38" t="n"/>
      <c r="AD137" s="38" t="n"/>
      <c r="AE137" s="38" t="n"/>
      <c r="AF137" s="38" t="n"/>
      <c r="AG137" s="38" t="n"/>
      <c r="AH137" s="38" t="n"/>
      <c r="AI137" s="38" t="n"/>
      <c r="AJ137" s="38" t="n"/>
      <c r="AK137" s="38" t="n"/>
      <c r="AL137" s="38" t="n"/>
      <c r="AM137" s="38" t="n"/>
      <c r="AN137" s="38" t="n"/>
      <c r="AO137" s="38" t="n"/>
      <c r="AP137" s="38" t="n"/>
      <c r="AQ137" s="38" t="n"/>
      <c r="AR137" s="38" t="n"/>
    </row>
    <row r="138">
      <c r="A138" s="38" t="n"/>
      <c r="B138" s="38" t="n"/>
      <c r="C138" s="38" t="n"/>
      <c r="D138" s="38" t="n"/>
      <c r="E138" s="38" t="n"/>
      <c r="F138" s="38" t="n"/>
      <c r="G138" s="38" t="n"/>
      <c r="H138" s="38" t="n"/>
      <c r="I138" s="38" t="n"/>
      <c r="J138" s="38" t="n"/>
      <c r="K138" s="38" t="n"/>
      <c r="L138" s="38" t="n"/>
      <c r="M138" s="38" t="n"/>
      <c r="N138" s="1348">
        <f>IF(_epmOfflineCondition_,0,EPMRetrieveData(,,$D$21,$D$22,$D$25,$D$26,$D$27,$D$28,$D$29,$AB$41,$AB$42,$AB$43,$Z$28,$AB$45,Q138))</f>
        <v/>
      </c>
      <c r="O138" s="1348">
        <f>IF(_epmOfflineCondition_,0,EPMRetrieveData(,,$D$21,$D$22,$D$25,$D$26,$D$27,$D$28,$D$29,$AA$41,$AA$42,$AA$43,$Z$28,$AA$45,Q138))</f>
        <v/>
      </c>
      <c r="P138" s="1348">
        <f>IF(_epmOfflineCondition_,0,EPMRetrieveData(,,$D$21,$D$22,$D$25,$D$26,$D$27,$D$28,$D$29,$Z$41,$Z$42,$Z$43,$Z$28,$Z$45,Q138))</f>
        <v/>
      </c>
      <c r="Q138" s="609" t="inlineStr">
        <is>
          <t>A0071301</t>
        </is>
      </c>
      <c r="R138" s="716">
        <f>IF(_epmOfflineCondition_,"人工成本明细-其中：福利费用（离退休人员统筹外费用）",EPMMemberDesc(Q138))</f>
        <v/>
      </c>
      <c r="S138" s="580" t="n"/>
      <c r="T138" s="38" t="n"/>
      <c r="U138" s="38" t="n"/>
      <c r="V138" s="38" t="n"/>
      <c r="W138" s="38" t="n"/>
      <c r="X138" s="38" t="n"/>
      <c r="Y138" s="38" t="n"/>
      <c r="Z138" s="38" t="n"/>
      <c r="AA138" s="38" t="n"/>
      <c r="AB138" s="38" t="n"/>
      <c r="AC138" s="38" t="n"/>
      <c r="AD138" s="38" t="n"/>
      <c r="AE138" s="38" t="n"/>
      <c r="AF138" s="38" t="n"/>
      <c r="AG138" s="38" t="n"/>
      <c r="AH138" s="38" t="n"/>
      <c r="AI138" s="38" t="n"/>
      <c r="AJ138" s="38" t="n"/>
      <c r="AK138" s="38" t="n"/>
      <c r="AL138" s="38" t="n"/>
      <c r="AM138" s="38" t="n"/>
      <c r="AN138" s="38" t="n"/>
      <c r="AO138" s="38" t="n"/>
      <c r="AP138" s="38" t="n"/>
      <c r="AQ138" s="38" t="n"/>
      <c r="AR138" s="38" t="n"/>
    </row>
    <row r="139">
      <c r="A139" s="38" t="n"/>
      <c r="B139" s="38" t="n"/>
      <c r="C139" s="38" t="n"/>
      <c r="D139" s="38" t="n"/>
      <c r="E139" s="38" t="n"/>
      <c r="F139" s="38" t="n"/>
      <c r="G139" s="38" t="n"/>
      <c r="H139" s="38" t="n"/>
      <c r="I139" s="38" t="n"/>
      <c r="J139" s="38" t="n"/>
      <c r="K139" s="38" t="n"/>
      <c r="L139" s="38" t="n"/>
      <c r="M139" s="38" t="n"/>
      <c r="N139" s="1348">
        <f>IF(_epmOfflineCondition_,0,EPMRetrieveData(,,$D$21,$D$22,$D$25,$D$26,$D$27,$D$28,$D$29,$AB$41,$AB$42,$AB$43,$Z$28,$AB$45,Q139))</f>
        <v/>
      </c>
      <c r="O139" s="1348">
        <f>IF(_epmOfflineCondition_,0,EPMRetrieveData(,,$D$21,$D$22,$D$25,$D$26,$D$27,$D$28,$D$29,$AA$41,$AA$42,$AA$43,$Z$28,$AA$45,Q139))</f>
        <v/>
      </c>
      <c r="P139" s="1348">
        <f>IF(_epmOfflineCondition_,0,EPMRetrieveData(,,$D$21,$D$22,$D$25,$D$26,$D$27,$D$28,$D$29,$Z$41,$Z$42,$Z$43,$Z$28,$Z$45,Q139))</f>
        <v/>
      </c>
      <c r="Q139" s="609" t="inlineStr">
        <is>
          <t>A0071302</t>
        </is>
      </c>
      <c r="R139" s="716">
        <f>IF(_epmOfflineCondition_,"人工成本明细-其中：福利费用（离职后福利）",EPMMemberDesc(Q139))</f>
        <v/>
      </c>
      <c r="S139" s="580" t="n"/>
      <c r="T139" s="38" t="n"/>
      <c r="U139" s="38" t="n"/>
      <c r="V139" s="38" t="n"/>
      <c r="W139" s="38" t="n"/>
      <c r="X139" s="38" t="n"/>
      <c r="Y139" s="38" t="n"/>
      <c r="Z139" s="38" t="n"/>
      <c r="AA139" s="38" t="n"/>
      <c r="AB139" s="38" t="n"/>
      <c r="AC139" s="38" t="n"/>
      <c r="AD139" s="38" t="n"/>
      <c r="AE139" s="38" t="n"/>
      <c r="AF139" s="38" t="n"/>
      <c r="AG139" s="38" t="n"/>
      <c r="AH139" s="38" t="n"/>
      <c r="AI139" s="38" t="n"/>
      <c r="AJ139" s="38" t="n"/>
      <c r="AK139" s="38" t="n"/>
      <c r="AL139" s="38" t="n"/>
      <c r="AM139" s="38" t="n"/>
      <c r="AN139" s="38" t="n"/>
      <c r="AO139" s="38" t="n"/>
      <c r="AP139" s="38" t="n"/>
      <c r="AQ139" s="38" t="n"/>
      <c r="AR139" s="38" t="n"/>
    </row>
    <row r="140">
      <c r="A140" s="38" t="n"/>
      <c r="B140" s="38" t="n"/>
      <c r="C140" s="38" t="n"/>
      <c r="D140" s="38" t="n"/>
      <c r="E140" s="38" t="n"/>
      <c r="F140" s="38" t="n"/>
      <c r="G140" s="38" t="n"/>
      <c r="H140" s="38" t="n"/>
      <c r="I140" s="38" t="n"/>
      <c r="J140" s="38" t="n"/>
      <c r="K140" s="38" t="n"/>
      <c r="L140" s="38" t="n"/>
      <c r="M140" s="38" t="n"/>
      <c r="N140" s="1348">
        <f>IF(_epmOfflineCondition_,0,EPMRetrieveData(,,$D$21,$D$22,$D$25,$D$26,$D$27,$D$28,$D$29,$AB$41,$AB$42,$AB$43,$Z$28,$AB$45,Q140))</f>
        <v/>
      </c>
      <c r="O140" s="1348">
        <f>IF(_epmOfflineCondition_,0,EPMRetrieveData(,,$D$21,$D$22,$D$25,$D$26,$D$27,$D$28,$D$29,$AA$41,$AA$42,$AA$43,$Z$28,$AA$45,Q140))</f>
        <v/>
      </c>
      <c r="P140" s="1348">
        <f>IF(_epmOfflineCondition_,0,EPMRetrieveData(,,$D$21,$D$22,$D$25,$D$26,$D$27,$D$28,$D$29,$Z$41,$Z$42,$Z$43,$Z$28,$Z$45,Q140))</f>
        <v/>
      </c>
      <c r="Q140" s="609" t="inlineStr">
        <is>
          <t>A00716</t>
        </is>
      </c>
      <c r="R140" s="716">
        <f>IF(_epmOfflineCondition_,"人工成本明细-除内退及下岗职工外的不在岗职工人工成本总额",EPMMemberDesc(Q140))</f>
        <v/>
      </c>
      <c r="S140" s="580" t="n"/>
      <c r="T140" s="38" t="n"/>
      <c r="U140" s="38" t="n"/>
      <c r="V140" s="38" t="n"/>
      <c r="W140" s="38" t="n"/>
      <c r="X140" s="38" t="n"/>
      <c r="Y140" s="38" t="n"/>
      <c r="Z140" s="38" t="n"/>
      <c r="AA140" s="38" t="n"/>
      <c r="AB140" s="38" t="n"/>
      <c r="AC140" s="38" t="n"/>
      <c r="AD140" s="38" t="n"/>
      <c r="AE140" s="38" t="n"/>
      <c r="AF140" s="38" t="n"/>
      <c r="AG140" s="38" t="n"/>
      <c r="AH140" s="38" t="n"/>
      <c r="AI140" s="38" t="n"/>
      <c r="AJ140" s="38" t="n"/>
      <c r="AK140" s="38" t="n"/>
      <c r="AL140" s="38" t="n"/>
      <c r="AM140" s="38" t="n"/>
      <c r="AN140" s="38" t="n"/>
      <c r="AO140" s="38" t="n"/>
      <c r="AP140" s="38" t="n"/>
      <c r="AQ140" s="38" t="n"/>
      <c r="AR140" s="38" t="n"/>
    </row>
    <row r="141">
      <c r="A141" s="38" t="n"/>
      <c r="B141" s="38" t="n"/>
      <c r="C141" s="38" t="n"/>
      <c r="D141" s="38" t="n"/>
      <c r="E141" s="38" t="n"/>
      <c r="F141" s="38" t="n"/>
      <c r="G141" s="38" t="n"/>
      <c r="H141" s="38" t="n"/>
      <c r="I141" s="38" t="n"/>
      <c r="J141" s="38" t="n"/>
      <c r="K141" s="38" t="n"/>
      <c r="L141" s="38" t="n"/>
      <c r="M141" s="38" t="n"/>
      <c r="N141" s="1348">
        <f>IF(_epmOfflineCondition_,0,EPMRetrieveData(,,$D$21,$D$22,$D$25,$D$26,$D$27,$D$28,$D$29,$AB$41,$AB$42,$AB$43,$Z$28,$AB$45,Q141))</f>
        <v/>
      </c>
      <c r="O141" s="1348">
        <f>IF(_epmOfflineCondition_,0,EPMRetrieveData(,,$D$21,$D$22,$D$25,$D$26,$D$27,$D$28,$D$29,$AA$41,$AA$42,$AA$43,$Z$28,$AA$45,Q141))</f>
        <v/>
      </c>
      <c r="P141" s="1348">
        <f>IF(_epmOfflineCondition_,0,EPMRetrieveData(,,$D$21,$D$22,$D$25,$D$26,$D$27,$D$28,$D$29,$Z$41,$Z$42,$Z$43,$Z$28,$Z$45,Q141))</f>
        <v/>
      </c>
      <c r="Q141" s="609" t="inlineStr">
        <is>
          <t>A00712</t>
        </is>
      </c>
      <c r="R141" s="716">
        <f>IF(_epmOfflineCondition_,"人工成本明细-其他从业人员",EPMMemberDesc(Q141))</f>
        <v/>
      </c>
      <c r="S141" s="580" t="n"/>
      <c r="T141" s="38" t="n"/>
      <c r="U141" s="38" t="n"/>
      <c r="V141" s="38" t="n"/>
      <c r="W141" s="38" t="n"/>
      <c r="X141" s="38" t="n"/>
      <c r="Y141" s="38" t="n"/>
      <c r="Z141" s="38" t="n"/>
      <c r="AA141" s="38" t="n"/>
      <c r="AB141" s="38" t="n"/>
      <c r="AC141" s="38" t="n"/>
      <c r="AD141" s="38" t="n"/>
      <c r="AE141" s="38" t="n"/>
      <c r="AF141" s="38" t="n"/>
      <c r="AG141" s="38" t="n"/>
      <c r="AH141" s="38" t="n"/>
      <c r="AI141" s="38" t="n"/>
      <c r="AJ141" s="38" t="n"/>
      <c r="AK141" s="38" t="n"/>
      <c r="AL141" s="38" t="n"/>
      <c r="AM141" s="38" t="n"/>
      <c r="AN141" s="38" t="n"/>
      <c r="AO141" s="38" t="n"/>
      <c r="AP141" s="38" t="n"/>
      <c r="AQ141" s="38" t="n"/>
      <c r="AR141" s="38" t="n"/>
    </row>
    <row r="142">
      <c r="A142" s="38" t="n"/>
      <c r="B142" s="38" t="n"/>
      <c r="C142" s="38" t="n"/>
      <c r="D142" s="38" t="n"/>
      <c r="E142" s="38" t="n"/>
      <c r="F142" s="38" t="n"/>
      <c r="G142" s="38" t="n"/>
      <c r="H142" s="38" t="n"/>
      <c r="I142" s="38" t="n"/>
      <c r="J142" s="38" t="n"/>
      <c r="K142" s="38" t="n"/>
      <c r="L142" s="38" t="n"/>
      <c r="M142" s="38" t="n"/>
      <c r="N142" s="38" t="n"/>
      <c r="O142" s="38" t="n"/>
      <c r="P142" s="38" t="n"/>
      <c r="Q142" s="38" t="n"/>
      <c r="R142" s="38" t="n"/>
      <c r="S142" s="580" t="n"/>
      <c r="T142" s="38" t="n"/>
      <c r="U142" s="38" t="n"/>
      <c r="V142" s="38" t="n"/>
      <c r="W142" s="38" t="n"/>
      <c r="X142" s="38" t="n"/>
      <c r="Y142" s="38" t="n"/>
      <c r="Z142" s="38" t="n"/>
      <c r="AA142" s="38" t="n"/>
      <c r="AB142" s="38" t="n"/>
      <c r="AC142" s="38" t="n"/>
      <c r="AD142" s="38" t="n"/>
      <c r="AE142" s="38" t="n"/>
      <c r="AF142" s="38" t="n"/>
      <c r="AG142" s="38" t="n"/>
      <c r="AH142" s="38" t="n"/>
      <c r="AI142" s="38" t="n"/>
      <c r="AJ142" s="38" t="n"/>
      <c r="AK142" s="38" t="n"/>
      <c r="AL142" s="38" t="n"/>
      <c r="AM142" s="38" t="n"/>
      <c r="AN142" s="38" t="n"/>
      <c r="AO142" s="38" t="n"/>
      <c r="AP142" s="38" t="n"/>
      <c r="AQ142" s="38" t="n"/>
      <c r="AR142" s="38" t="n"/>
    </row>
    <row r="143">
      <c r="A143" s="38" t="n"/>
      <c r="B143" s="38" t="n"/>
      <c r="C143" s="38" t="n"/>
      <c r="D143" s="38" t="n"/>
      <c r="E143" s="38" t="n"/>
      <c r="F143" s="38" t="n"/>
      <c r="G143" s="38" t="n"/>
      <c r="H143" s="38" t="n"/>
      <c r="I143" s="38" t="n"/>
      <c r="J143" s="38" t="n"/>
      <c r="K143" s="38" t="n"/>
      <c r="L143" s="38" t="n"/>
      <c r="M143" s="38" t="n"/>
      <c r="N143" s="38" t="n"/>
      <c r="O143" s="38" t="n"/>
      <c r="P143" s="38" t="n"/>
      <c r="Q143" s="38" t="n"/>
      <c r="R143" s="38" t="n"/>
      <c r="S143" s="580" t="n"/>
      <c r="T143" s="38" t="n"/>
      <c r="U143" s="38" t="n"/>
      <c r="V143" s="38" t="n"/>
      <c r="W143" s="38" t="n"/>
      <c r="X143" s="38" t="n"/>
      <c r="Y143" s="38" t="n"/>
      <c r="Z143" s="38" t="n"/>
      <c r="AA143" s="38" t="n"/>
      <c r="AB143" s="38" t="n"/>
      <c r="AC143" s="38" t="n"/>
      <c r="AD143" s="38" t="n"/>
      <c r="AE143" s="38" t="n"/>
      <c r="AF143" s="38" t="n"/>
      <c r="AG143" s="38" t="n"/>
      <c r="AH143" s="38" t="n"/>
      <c r="AI143" s="38" t="n"/>
      <c r="AJ143" s="38" t="n"/>
      <c r="AK143" s="38" t="n"/>
      <c r="AL143" s="38" t="n"/>
      <c r="AM143" s="38" t="n"/>
      <c r="AN143" s="38" t="n"/>
      <c r="AO143" s="38" t="n"/>
      <c r="AP143" s="38" t="n"/>
      <c r="AQ143" s="38" t="n"/>
      <c r="AR143" s="38" t="n"/>
    </row>
    <row r="144">
      <c r="A144" s="38" t="n"/>
      <c r="B144" s="38" t="n"/>
      <c r="C144" s="38" t="n"/>
      <c r="D144" s="38" t="n"/>
      <c r="E144" s="38" t="n"/>
      <c r="F144" s="38" t="n"/>
      <c r="G144" s="38" t="n"/>
      <c r="H144" s="38" t="n"/>
      <c r="I144" s="38" t="n"/>
      <c r="J144" s="38" t="n"/>
      <c r="K144" s="38" t="n"/>
      <c r="L144" s="38" t="n"/>
      <c r="M144" s="38" t="n"/>
      <c r="N144" s="1348">
        <f>IF(_epmOfflineCondition_,0,EPMRetrieveData(,,$D$21,$D$22,$D$25,$D$26,$D$27,$D$28,$D$29,$AB$41,$AB$42,$AB$43,"F30",$AB$45,Q144)*-1)</f>
        <v/>
      </c>
      <c r="O144" s="1348">
        <f>IF(_epmOfflineCondition_,0,EPMRetrieveData(,,$D$21,$D$22,$D$25,$D$26,$D$27,$D$28,$D$29,$AA$41,$AA$42,$AA$43,"F30",$AA$45,Q144)*-1)</f>
        <v/>
      </c>
      <c r="P144" s="1348">
        <f>IF(_epmOfflineCondition_,0,EPMRetrieveData(,,$D$21,$D$22,$D$25,$D$26,$D$27,$D$28,$D$29,$Z$41,$Z$42,$Z$43,"F30",$Z$45,Q144)*-1)</f>
        <v/>
      </c>
      <c r="Q144" s="38" t="inlineStr">
        <is>
          <t>A00711</t>
        </is>
      </c>
      <c r="R144" s="716">
        <f>IF(_epmOfflineCondition_,"人工成本明细-离退休人工成本",EPMMemberDesc(Q144))</f>
        <v/>
      </c>
      <c r="S144" s="580" t="n"/>
      <c r="T144" s="38" t="n"/>
      <c r="U144" s="38" t="n"/>
      <c r="V144" s="38" t="n"/>
      <c r="W144" s="38" t="n"/>
      <c r="X144" s="38" t="n"/>
      <c r="Y144" s="38" t="n"/>
      <c r="Z144" s="38" t="n"/>
      <c r="AA144" s="38" t="n"/>
      <c r="AB144" s="38" t="n"/>
      <c r="AC144" s="38" t="n"/>
      <c r="AD144" s="38" t="n"/>
      <c r="AE144" s="38" t="n"/>
      <c r="AF144" s="38" t="n"/>
      <c r="AG144" s="38" t="n"/>
      <c r="AH144" s="38" t="n"/>
      <c r="AI144" s="38" t="n"/>
      <c r="AJ144" s="38" t="n"/>
      <c r="AK144" s="38" t="n"/>
      <c r="AL144" s="38" t="n"/>
      <c r="AM144" s="38" t="n"/>
      <c r="AN144" s="38" t="n"/>
      <c r="AO144" s="38" t="n"/>
      <c r="AP144" s="38" t="n"/>
      <c r="AQ144" s="38" t="n"/>
      <c r="AR144" s="38" t="n"/>
    </row>
    <row r="145">
      <c r="A145" s="38" t="n"/>
      <c r="B145" s="38" t="n"/>
      <c r="C145" s="38" t="n"/>
      <c r="D145" s="38" t="n"/>
      <c r="E145" s="38" t="n"/>
      <c r="F145" s="38" t="n"/>
      <c r="G145" s="38" t="n"/>
      <c r="H145" s="38" t="n"/>
      <c r="I145" s="38" t="n"/>
      <c r="J145" s="38" t="n"/>
      <c r="K145" s="38" t="n"/>
      <c r="L145" s="38" t="n"/>
      <c r="M145" s="38" t="n"/>
      <c r="N145" s="1348">
        <f>IF(_epmOfflineCondition_,0,EPMRetrieveData(,,$D$21,$D$22,$D$25,$D$26,$D$27,$D$28,$D$29,$AB$41,$AB$42,$AB$43,"F30",$AB$45,Q145)*-1)</f>
        <v/>
      </c>
      <c r="O145" s="1348">
        <f>IF(_epmOfflineCondition_,0,EPMRetrieveData(,,$D$21,$D$22,$D$25,$D$26,$D$27,$D$28,$D$29,$AA$41,$AA$42,$AA$43,"F30",$AA$45,Q145)*-1)</f>
        <v/>
      </c>
      <c r="P145" s="1348">
        <f>IF(_epmOfflineCondition_,0,EPMRetrieveData(,,$D$21,$D$22,$D$25,$D$26,$D$27,$D$28,$D$29,$Z$41,$Z$42,$Z$43,"F30",$Z$45,Q145)*-1)</f>
        <v/>
      </c>
      <c r="Q145" s="38" t="inlineStr">
        <is>
          <t>A0071301</t>
        </is>
      </c>
      <c r="R145" s="716">
        <f>IF(_epmOfflineCondition_,"人工成本明细-其中：福利费用（离退休人员统筹外费用）",EPMMemberDesc(Q145))</f>
        <v/>
      </c>
      <c r="S145" s="580" t="n"/>
      <c r="T145" s="38" t="n"/>
      <c r="U145" s="38" t="n"/>
      <c r="V145" s="38" t="n"/>
      <c r="W145" s="38" t="n"/>
      <c r="X145" s="38" t="n"/>
      <c r="Y145" s="38" t="n"/>
      <c r="Z145" s="38" t="n"/>
      <c r="AA145" s="38" t="n"/>
      <c r="AB145" s="38" t="n"/>
      <c r="AC145" s="38" t="n"/>
      <c r="AD145" s="38" t="n"/>
      <c r="AE145" s="38" t="n"/>
      <c r="AF145" s="38" t="n"/>
      <c r="AG145" s="38" t="n"/>
      <c r="AH145" s="38" t="n"/>
      <c r="AI145" s="38" t="n"/>
      <c r="AJ145" s="38" t="n"/>
      <c r="AK145" s="38" t="n"/>
      <c r="AL145" s="38" t="n"/>
      <c r="AM145" s="38" t="n"/>
      <c r="AN145" s="38" t="n"/>
      <c r="AO145" s="38" t="n"/>
      <c r="AP145" s="38" t="n"/>
      <c r="AQ145" s="38" t="n"/>
      <c r="AR145" s="38" t="n"/>
    </row>
    <row r="146">
      <c r="A146" s="38" t="n"/>
      <c r="B146" s="38" t="n"/>
      <c r="C146" s="38" t="n"/>
      <c r="D146" s="38" t="n"/>
      <c r="E146" s="38" t="n"/>
      <c r="F146" s="38" t="n"/>
      <c r="G146" s="38" t="n"/>
      <c r="H146" s="38" t="n"/>
      <c r="I146" s="38" t="n"/>
      <c r="J146" s="38" t="n"/>
      <c r="K146" s="38" t="n"/>
      <c r="L146" s="38" t="n"/>
      <c r="M146" s="38" t="n"/>
      <c r="N146" s="1348">
        <f>IF(_epmOfflineCondition_,0,EPMRetrieveData(,,$D$21,$D$22,$D$25,$D$26,$D$27,$D$28,$D$29,$AB$41,$AB$42,$AB$43,"F30",$AB$45,Q146)*-1)</f>
        <v/>
      </c>
      <c r="O146" s="1348">
        <f>IF(_epmOfflineCondition_,0,EPMRetrieveData(,,$D$21,$D$22,$D$25,$D$26,$D$27,$D$28,$D$29,$AA$41,$AA$42,$AA$43,"F30",$AA$45,Q146)*-1)</f>
        <v/>
      </c>
      <c r="P146" s="1348">
        <f>IF(_epmOfflineCondition_,0,EPMRetrieveData(,,$D$21,$D$22,$D$25,$D$26,$D$27,$D$28,$D$29,$Z$41,$Z$42,$Z$43,"F30",$Z$45,Q146)*-1)</f>
        <v/>
      </c>
      <c r="Q146" s="38" t="inlineStr">
        <is>
          <t>A0071302</t>
        </is>
      </c>
      <c r="R146" s="716">
        <f>IF(_epmOfflineCondition_,"人工成本明细-其中：福利费用（离职后福利）",EPMMemberDesc(Q146))</f>
        <v/>
      </c>
      <c r="S146" s="580" t="n"/>
      <c r="T146" s="38" t="n"/>
      <c r="U146" s="38" t="n"/>
      <c r="V146" s="38" t="n"/>
      <c r="W146" s="38" t="n"/>
      <c r="X146" s="38" t="n"/>
      <c r="Y146" s="38" t="n"/>
      <c r="Z146" s="38" t="n"/>
      <c r="AA146" s="38" t="n"/>
      <c r="AB146" s="38" t="n"/>
      <c r="AC146" s="38" t="n"/>
      <c r="AD146" s="38" t="n"/>
      <c r="AE146" s="38" t="n"/>
      <c r="AF146" s="38" t="n"/>
      <c r="AG146" s="38" t="n"/>
      <c r="AH146" s="38" t="n"/>
      <c r="AI146" s="38" t="n"/>
      <c r="AJ146" s="38" t="n"/>
      <c r="AK146" s="38" t="n"/>
      <c r="AL146" s="38" t="n"/>
      <c r="AM146" s="38" t="n"/>
      <c r="AN146" s="38" t="n"/>
      <c r="AO146" s="38" t="n"/>
      <c r="AP146" s="38" t="n"/>
      <c r="AQ146" s="38" t="n"/>
      <c r="AR146" s="38" t="n"/>
    </row>
    <row r="147">
      <c r="A147" s="38" t="n"/>
      <c r="B147" s="38" t="n"/>
      <c r="C147" s="38" t="n"/>
      <c r="D147" s="38" t="n"/>
      <c r="E147" s="38" t="n"/>
      <c r="F147" s="38" t="n"/>
      <c r="G147" s="38" t="n"/>
      <c r="H147" s="38" t="n"/>
      <c r="I147" s="38" t="n"/>
      <c r="J147" s="38" t="n"/>
      <c r="K147" s="38" t="n"/>
      <c r="L147" s="38" t="n"/>
      <c r="M147" s="38" t="n"/>
      <c r="N147" s="1348">
        <f>IF(_epmOfflineCondition_,0,EPMRetrieveData(,,$D$21,$D$22,$D$25,$D$26,$D$27,$D$28,$D$29,$AB$41,$AB$42,$AB$43,"F30",$AB$45,Q147))</f>
        <v/>
      </c>
      <c r="O147" s="1348">
        <f>IF(_epmOfflineCondition_,0,EPMRetrieveData(,,$D$21,$D$22,$D$25,$D$26,$D$27,$D$28,$D$29,$AA$41,$AA$42,$AA$43,"F30",$AA$45,Q147))</f>
        <v/>
      </c>
      <c r="P147" s="1348">
        <f>IF(_epmOfflineCondition_,0,EPMRetrieveData(,,$D$21,$D$22,$D$25,$D$26,$D$27,$D$28,$D$29,$Z$41,$Z$42,$Z$43,"F30",$Z$45,Q147))</f>
        <v/>
      </c>
      <c r="Q147" s="38" t="inlineStr">
        <is>
          <t>A00716</t>
        </is>
      </c>
      <c r="R147" s="716">
        <f>IF(_epmOfflineCondition_,"人工成本明细-除内退及下岗职工外的不在岗职工人工成本总额",EPMMemberDesc(Q147))</f>
        <v/>
      </c>
      <c r="S147" s="580" t="n"/>
      <c r="T147" s="38" t="n"/>
      <c r="U147" s="38" t="n"/>
      <c r="V147" s="38" t="n"/>
      <c r="W147" s="38" t="n"/>
      <c r="X147" s="38" t="n"/>
      <c r="Y147" s="38" t="n"/>
      <c r="Z147" s="38" t="n"/>
      <c r="AA147" s="38" t="n"/>
      <c r="AB147" s="38" t="n"/>
      <c r="AC147" s="38" t="n"/>
      <c r="AD147" s="38" t="n"/>
      <c r="AE147" s="38" t="n"/>
      <c r="AF147" s="38" t="n"/>
      <c r="AG147" s="38" t="n"/>
      <c r="AH147" s="38" t="n"/>
      <c r="AI147" s="38" t="n"/>
      <c r="AJ147" s="38" t="n"/>
      <c r="AK147" s="38" t="n"/>
      <c r="AL147" s="38" t="n"/>
      <c r="AM147" s="38" t="n"/>
      <c r="AN147" s="38" t="n"/>
      <c r="AO147" s="38" t="n"/>
      <c r="AP147" s="38" t="n"/>
      <c r="AQ147" s="38" t="n"/>
      <c r="AR147" s="38" t="n"/>
    </row>
    <row r="148">
      <c r="A148" s="38" t="n"/>
      <c r="B148" s="38" t="n"/>
      <c r="C148" s="38" t="n"/>
      <c r="D148" s="38" t="n"/>
      <c r="E148" s="38" t="n"/>
      <c r="F148" s="38" t="n"/>
      <c r="G148" s="38" t="n"/>
      <c r="H148" s="38" t="n"/>
      <c r="I148" s="38" t="n"/>
      <c r="J148" s="38" t="n"/>
      <c r="K148" s="38" t="n"/>
      <c r="L148" s="38" t="n"/>
      <c r="M148" s="38" t="n"/>
      <c r="N148" s="1348">
        <f>IF(_epmOfflineCondition_,0,EPMRetrieveData(,,$D$21,$D$22,$D$25,$D$26,$D$27,$D$28,$D$29,$AB$41,$AB$42,$AB$43,"F30",$AB$45,Q148)*-1)</f>
        <v/>
      </c>
      <c r="O148" s="1348">
        <f>IF(_epmOfflineCondition_,0,EPMRetrieveData(,,$D$21,$D$22,$D$25,$D$26,$D$27,$D$28,$D$29,$AA$41,$AA$42,$AA$43,"F30",$AA$45,Q148)*-1)</f>
        <v/>
      </c>
      <c r="P148" s="1348">
        <f>IF(_epmOfflineCondition_,0,EPMRetrieveData(,,$D$21,$D$22,$D$25,$D$26,$D$27,$D$28,$D$29,$Z$41,$Z$42,$Z$43,"F30",$Z$45,Q148)*-1)</f>
        <v/>
      </c>
      <c r="Q148" s="38" t="inlineStr">
        <is>
          <t>A00712</t>
        </is>
      </c>
      <c r="R148" s="716">
        <f>IF(_epmOfflineCondition_,"人工成本明细-其他从业人员",EPMMemberDesc(Q148))</f>
        <v/>
      </c>
      <c r="S148" s="580" t="n"/>
      <c r="T148" s="38" t="n"/>
      <c r="U148" s="38" t="n"/>
      <c r="V148" s="38" t="n"/>
      <c r="W148" s="38" t="n"/>
      <c r="X148" s="38" t="n"/>
      <c r="Y148" s="38" t="n"/>
      <c r="Z148" s="38" t="n"/>
      <c r="AA148" s="38" t="n"/>
      <c r="AB148" s="38" t="n"/>
      <c r="AC148" s="38" t="n"/>
      <c r="AD148" s="38" t="n"/>
      <c r="AE148" s="38" t="n"/>
      <c r="AF148" s="38" t="n"/>
      <c r="AG148" s="38" t="n"/>
      <c r="AH148" s="38" t="n"/>
      <c r="AI148" s="38" t="n"/>
      <c r="AJ148" s="38" t="n"/>
      <c r="AK148" s="38" t="n"/>
      <c r="AL148" s="38" t="n"/>
      <c r="AM148" s="38" t="n"/>
      <c r="AN148" s="38" t="n"/>
      <c r="AO148" s="38" t="n"/>
      <c r="AP148" s="38" t="n"/>
      <c r="AQ148" s="38" t="n"/>
      <c r="AR148" s="38" t="n"/>
    </row>
  </sheetData>
  <sheetProtection selectLockedCells="0" selectUnlockedCells="0" algorithmName="SHA-512" sheet="1" objects="0" insertRows="1" insertHyperlinks="1" autoFilter="1" scenarios="1" formatColumns="1" deleteColumns="1" insertColumns="1" pivotTables="1" deleteRows="1" formatCells="1" saltValue="rIri1bOwXBlHgpyK/Wopig==" formatRows="1" sort="1" spinCount="100000" hashValue="cuspzCrU8lNfOq1ud7oWFIfy8xNANxdA2jQ1Air4MawvpDA/rAVlqIN/jEsDGgnh8PqbvoNXt3rL0mEypWqU9Q=="/>
  <mergeCells count="14">
    <mergeCell ref="H2:J2"/>
    <mergeCell ref="D16:E16"/>
    <mergeCell ref="Z35:AB35"/>
    <mergeCell ref="AC35:AE35"/>
    <mergeCell ref="N80:Q80"/>
    <mergeCell ref="X39:X40"/>
    <mergeCell ref="Y39:Y40"/>
    <mergeCell ref="Z39:Z40"/>
    <mergeCell ref="AA39:AA40"/>
    <mergeCell ref="AB39:AB40"/>
    <mergeCell ref="AC1:AC2"/>
    <mergeCell ref="AC39:AC40"/>
    <mergeCell ref="AD39:AD40"/>
    <mergeCell ref="AE39:AE40"/>
  </mergeCells>
  <dataValidations count="1">
    <dataValidation sqref="Z37 AC37" showErrorMessage="1" showInputMessage="1" allowBlank="1" type="list">
      <formula1>"LC,CNY"</formula1>
    </dataValidation>
  </dataValidations>
  <pageMargins left="0.7" right="0.7" top="0.75" bottom="0.75" header="0.3" footer="0.3"/>
  <pageSetup orientation="portrait" paperSize="9"/>
</worksheet>
</file>

<file path=xl/worksheets/sheet31.xml><?xml version="1.0" encoding="utf-8"?>
<worksheet xmlns="http://schemas.openxmlformats.org/spreadsheetml/2006/main">
  <sheetPr codeName="Sheet33">
    <outlinePr showOutlineSymbols="0"/>
    <pageSetUpPr/>
  </sheetPr>
  <dimension ref="A1:AO78"/>
  <sheetViews>
    <sheetView showOutlineSymbols="0" topLeftCell="X34" zoomScale="85" zoomScaleNormal="85" workbookViewId="0">
      <pane xSplit="2" ySplit="12" topLeftCell="Z49" activePane="bottomRight" state="frozen"/>
      <selection activeCell="A1" sqref="A1"/>
      <selection pane="topRight" activeCell="A1" sqref="A1"/>
      <selection pane="bottomLeft" activeCell="A1" sqref="A1"/>
      <selection pane="bottomRight" activeCell="AG61" sqref="AG61"/>
    </sheetView>
  </sheetViews>
  <sheetFormatPr baseColWidth="8" defaultColWidth="8.625" defaultRowHeight="16.8"/>
  <cols>
    <col hidden="1" outlineLevel="1" width="8" customWidth="1" style="1181" min="1" max="1"/>
    <col hidden="1" outlineLevel="1" width="15.375" customWidth="1" style="1181" min="2" max="2"/>
    <col hidden="1" outlineLevel="1" width="11.375" customWidth="1" style="1181" min="3" max="3"/>
    <col hidden="1" outlineLevel="1" width="12.25" customWidth="1" style="1181" min="4" max="4"/>
    <col hidden="1" outlineLevel="1" width="12.75" customWidth="1" style="1181" min="5" max="5"/>
    <col hidden="1" outlineLevel="1" width="7.75" customWidth="1" style="1181" min="6" max="7"/>
    <col hidden="1" outlineLevel="1" width="11.75" customWidth="1" style="1181" min="8" max="8"/>
    <col hidden="1" outlineLevel="1" width="7.75" customWidth="1" style="1181" min="9" max="9"/>
    <col hidden="1" outlineLevel="1" width="11.125" customWidth="1" style="1181" min="10" max="10"/>
    <col hidden="1" outlineLevel="1" width="7.75" customWidth="1" style="1181" min="11" max="11"/>
    <col hidden="1" outlineLevel="1" width="16.75" customWidth="1" style="1181" min="12" max="13"/>
    <col hidden="1" outlineLevel="1" width="18.5" customWidth="1" style="1181" min="14" max="14"/>
    <col hidden="1" outlineLevel="1" width="19.75" customWidth="1" style="1181" min="15" max="15"/>
    <col hidden="1" outlineLevel="1" width="19.625" customWidth="1" style="1181" min="16" max="16"/>
    <col hidden="1" outlineLevel="1" width="11.75" customWidth="1" style="1181" min="17" max="17"/>
    <col hidden="1" outlineLevel="1" width="14.75" customWidth="1" style="1181" min="18" max="18"/>
    <col hidden="1" outlineLevel="1" width="26.25" customWidth="1" style="32" min="19" max="19"/>
    <col hidden="1" outlineLevel="1" width="2.375" customWidth="1" style="1181" min="20" max="20"/>
    <col hidden="1" outlineLevel="1" width="14.875" customWidth="1" style="1181" min="21" max="21"/>
    <col hidden="1" outlineLevel="1" width="17.125" customWidth="1" style="1181" min="22" max="22"/>
    <col hidden="1" collapsed="1" width="8.125" customWidth="1" style="1181" min="23" max="23"/>
    <col width="41.625" customWidth="1" style="38" min="24" max="24"/>
    <col width="5.75" customWidth="1" style="38" min="25" max="25"/>
    <col width="28.125" customWidth="1" style="1181" min="26" max="26"/>
    <col width="28.625" customWidth="1" style="1181" min="27" max="27"/>
    <col width="28.125" customWidth="1" style="1181" min="28" max="28"/>
    <col hidden="1" width="20.5" customWidth="1" style="1181" min="29" max="32"/>
    <col width="20.5" customWidth="1" style="1181" min="33" max="33"/>
    <col width="16.75" customWidth="1" style="1181" min="34" max="34"/>
    <col width="17.375" customWidth="1" style="1181" min="35" max="36"/>
    <col width="16.75" customWidth="1" style="1181" min="37" max="39"/>
    <col width="17.375" customWidth="1" style="1181" min="40" max="41"/>
    <col width="16.75" customWidth="1" style="1181" min="42" max="44"/>
    <col width="17.375" customWidth="1" style="1181" min="45" max="46"/>
    <col width="16.75" customWidth="1" style="1181" min="47" max="49"/>
    <col width="17.375" customWidth="1" style="1181" min="50" max="51"/>
    <col width="16.75" customWidth="1" style="1181" min="52" max="54"/>
    <col width="17.375" customWidth="1" style="1181" min="55" max="56"/>
    <col width="16.75" customWidth="1" style="1181" min="57" max="57"/>
  </cols>
  <sheetData>
    <row r="1" hidden="1" outlineLevel="1" customFormat="1" s="13">
      <c r="A1" s="172" t="inlineStr">
        <is>
          <t>维度清单</t>
        </is>
      </c>
      <c r="B1" s="462" t="n"/>
      <c r="C1" s="173" t="n"/>
      <c r="D1" s="173" t="n"/>
      <c r="E1" s="716" t="n"/>
      <c r="F1" s="13" t="n"/>
      <c r="G1" s="13" t="n"/>
      <c r="H1" s="13" t="n"/>
      <c r="I1" s="13" t="n"/>
      <c r="J1" s="13" t="n"/>
      <c r="K1" s="13" t="n"/>
      <c r="L1" s="13" t="n"/>
      <c r="M1" s="13" t="n"/>
      <c r="N1" s="13" t="n"/>
      <c r="O1" s="13" t="n"/>
      <c r="P1" s="13" t="n"/>
      <c r="Q1" s="13" t="n"/>
      <c r="R1" s="13" t="n"/>
      <c r="S1" s="1103" t="n"/>
      <c r="T1" s="13" t="n"/>
      <c r="U1" s="13" t="n"/>
      <c r="V1" s="13" t="n"/>
      <c r="W1" s="13" t="n"/>
      <c r="X1" s="171" t="n"/>
      <c r="Y1" s="171" t="n"/>
      <c r="Z1" s="13" t="n"/>
      <c r="AA1" s="13" t="n"/>
      <c r="AB1" s="13" t="n"/>
      <c r="AC1" s="13" t="n"/>
      <c r="AD1" s="13" t="n"/>
      <c r="AE1" s="13" t="n"/>
      <c r="AF1" s="13" t="n"/>
      <c r="AG1" s="13" t="n"/>
      <c r="AH1" s="13" t="n"/>
      <c r="AI1" s="13" t="n"/>
      <c r="AJ1" s="13" t="n"/>
      <c r="AK1" s="13" t="n"/>
      <c r="AL1" s="13" t="n"/>
      <c r="AM1" s="220" t="n"/>
      <c r="AN1" s="13" t="n"/>
      <c r="AO1" s="13" t="n"/>
    </row>
    <row r="2" hidden="1" outlineLevel="1" customFormat="1" s="13">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103" t="n"/>
      <c r="T2" s="13" t="n"/>
      <c r="U2" s="13" t="n"/>
      <c r="V2" s="13" t="n"/>
      <c r="W2" s="13" t="n"/>
      <c r="X2" s="171" t="n"/>
      <c r="Y2" s="171" t="n"/>
      <c r="Z2" s="13" t="n"/>
      <c r="AA2" s="13" t="n"/>
      <c r="AB2" s="13" t="n"/>
      <c r="AC2" s="13" t="n"/>
      <c r="AD2" s="13" t="n"/>
      <c r="AE2" s="13" t="n"/>
      <c r="AF2" s="13" t="n"/>
      <c r="AG2" s="13" t="n"/>
      <c r="AH2" s="13" t="n"/>
      <c r="AI2" s="13" t="n"/>
      <c r="AJ2" s="13" t="n"/>
      <c r="AK2" s="13" t="n"/>
      <c r="AL2" s="13" t="n"/>
      <c r="AM2" s="220" t="n"/>
      <c r="AN2" s="13" t="n"/>
      <c r="AO2" s="13" t="n"/>
    </row>
    <row r="3" hidden="1" outlineLevel="1" customFormat="1" s="13">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103" t="n"/>
      <c r="T3" s="13" t="n"/>
      <c r="U3" s="13" t="n"/>
      <c r="V3" s="13" t="n"/>
      <c r="W3" s="13" t="n"/>
      <c r="X3" s="171" t="n"/>
      <c r="Y3" s="171" t="n"/>
      <c r="Z3" s="13" t="n"/>
      <c r="AA3" s="13" t="n"/>
      <c r="AB3" s="13" t="n"/>
      <c r="AC3" s="13" t="n"/>
      <c r="AD3" s="13" t="n"/>
      <c r="AE3" s="13" t="n"/>
      <c r="AF3" s="13" t="n"/>
      <c r="AG3" s="13" t="n"/>
      <c r="AH3" s="13" t="n"/>
      <c r="AI3" s="13" t="n"/>
      <c r="AJ3" s="13" t="n"/>
      <c r="AK3" s="13" t="n"/>
      <c r="AL3" s="13" t="n"/>
      <c r="AM3" s="220" t="n"/>
      <c r="AN3" s="13" t="n"/>
      <c r="AO3" s="13" t="n"/>
    </row>
    <row r="4" hidden="1" outlineLevel="1" customFormat="1" s="13">
      <c r="A4" s="175" t="inlineStr">
        <is>
          <t>C</t>
        </is>
      </c>
      <c r="B4" s="176">
        <f>IF(_epmOfflineCondition_,"C_CATEGORY",EPMDimensionType(,A4))</f>
        <v/>
      </c>
      <c r="C4" s="176">
        <f>IF(_epmOfflineCondition_,"C1001",IF(B4="","",EPMContextMember(,B4)))</f>
        <v/>
      </c>
      <c r="D4" s="176">
        <f>IF(_epmOfflineCondition_,"实际数/决算数",EPMMemberDesc(C4))</f>
        <v/>
      </c>
      <c r="E4" s="176" t="n"/>
      <c r="F4" s="13" t="n"/>
      <c r="G4" s="13" t="n"/>
      <c r="H4" s="184" t="inlineStr">
        <is>
          <t>预算年</t>
        </is>
      </c>
      <c r="I4" s="184">
        <f>"V_"&amp;$I$3</f>
        <v/>
      </c>
      <c r="J4" s="184">
        <f>$I$3&amp;".TOTAL"</f>
        <v/>
      </c>
      <c r="K4" s="13" t="n"/>
      <c r="L4" s="13" t="n"/>
      <c r="M4" s="13" t="n"/>
      <c r="N4" s="13" t="n"/>
      <c r="O4" s="13" t="n"/>
      <c r="P4" s="13" t="n"/>
      <c r="Q4" s="13" t="n"/>
      <c r="R4" s="13" t="n"/>
      <c r="S4" s="1103" t="n"/>
      <c r="T4" s="13" t="n"/>
      <c r="U4" s="13" t="n"/>
      <c r="V4" s="13" t="n"/>
      <c r="W4" s="13" t="n"/>
      <c r="X4" s="171" t="n"/>
      <c r="Y4" s="171" t="n"/>
      <c r="Z4" s="13" t="n"/>
      <c r="AA4" s="13" t="n"/>
      <c r="AB4" s="13" t="n"/>
      <c r="AC4" s="13" t="n"/>
      <c r="AD4" s="13" t="n"/>
      <c r="AE4" s="13" t="n"/>
      <c r="AF4" s="13" t="n"/>
      <c r="AG4" s="13" t="n"/>
      <c r="AH4" s="13" t="n"/>
      <c r="AI4" s="13" t="n"/>
      <c r="AJ4" s="13" t="n"/>
      <c r="AK4" s="13" t="n"/>
      <c r="AL4" s="13" t="n"/>
      <c r="AM4" s="220" t="n"/>
      <c r="AN4" s="13" t="n"/>
      <c r="AO4" s="13" t="n"/>
    </row>
    <row r="5" hidden="1" outlineLevel="1" customFormat="1" s="13">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13" t="n"/>
      <c r="V5" s="13" t="n"/>
      <c r="W5" s="13" t="n"/>
      <c r="X5" s="171" t="n"/>
      <c r="Y5" s="171" t="n"/>
      <c r="Z5" s="13" t="n"/>
      <c r="AA5" s="13" t="n"/>
      <c r="AB5" s="13" t="n"/>
      <c r="AC5" s="13" t="n"/>
      <c r="AD5" s="13" t="n"/>
      <c r="AE5" s="13" t="n"/>
      <c r="AF5" s="13" t="n"/>
      <c r="AG5" s="13" t="n"/>
      <c r="AH5" s="13" t="n"/>
      <c r="AI5" s="13" t="n"/>
      <c r="AJ5" s="13" t="n"/>
      <c r="AK5" s="13" t="n"/>
      <c r="AL5" s="13" t="n"/>
      <c r="AM5" s="220" t="n"/>
      <c r="AN5" s="13" t="n"/>
      <c r="AO5" s="13" t="n"/>
    </row>
    <row r="6" hidden="1" outlineLevel="1" customFormat="1" s="13">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103" t="n"/>
      <c r="T6" s="13" t="n"/>
      <c r="U6" s="13" t="n"/>
      <c r="V6" s="13" t="n"/>
      <c r="W6" s="13" t="n"/>
      <c r="X6" s="171" t="n"/>
      <c r="Y6" s="171" t="n"/>
      <c r="Z6" s="13" t="n"/>
      <c r="AA6" s="13" t="n"/>
      <c r="AB6" s="13" t="n"/>
      <c r="AC6" s="13" t="n"/>
      <c r="AD6" s="13" t="n"/>
      <c r="AE6" s="13" t="n"/>
      <c r="AF6" s="13" t="n"/>
      <c r="AG6" s="13" t="n"/>
      <c r="AH6" s="13" t="n"/>
      <c r="AI6" s="13" t="n"/>
      <c r="AJ6" s="13" t="n"/>
      <c r="AK6" s="13" t="n"/>
      <c r="AL6" s="13" t="n"/>
      <c r="AM6" s="220" t="n"/>
      <c r="AN6" s="13" t="n"/>
      <c r="AO6" s="13" t="n"/>
    </row>
    <row r="7" hidden="1" outlineLevel="1" customFormat="1" s="13">
      <c r="A7" s="175" t="inlineStr">
        <is>
          <t>R</t>
        </is>
      </c>
      <c r="B7" s="176">
        <f>IF(_epmOfflineCondition_,"C_RPTCURRENCY",EPMDimensionType(,A7))</f>
        <v/>
      </c>
      <c r="C7" s="176">
        <f>IF(_epmOfflineCondition_,"AUD",IF(B7="","",EPMContextMember(,B7)))</f>
        <v/>
      </c>
      <c r="D7" s="176">
        <f>IF(_epmOfflineCondition_,"澳元",EPMMemberDesc(C7))</f>
        <v/>
      </c>
      <c r="E7" s="176" t="n"/>
      <c r="F7" s="13" t="n"/>
      <c r="G7" s="13" t="n"/>
      <c r="H7" s="13" t="n"/>
      <c r="I7" s="13" t="n"/>
      <c r="J7" s="13" t="n"/>
      <c r="K7" s="13" t="n"/>
      <c r="L7" s="13" t="n"/>
      <c r="M7" s="13" t="n"/>
      <c r="N7" s="13" t="n"/>
      <c r="O7" s="13" t="n"/>
      <c r="P7" s="13" t="n"/>
      <c r="Q7" s="13" t="n"/>
      <c r="R7" s="13" t="n"/>
      <c r="S7" s="1103" t="n"/>
      <c r="T7" s="13" t="n"/>
      <c r="U7" s="13" t="n"/>
      <c r="V7" s="13" t="n"/>
      <c r="W7" s="13" t="n"/>
      <c r="X7" s="171" t="n"/>
      <c r="Y7" s="171" t="n"/>
      <c r="Z7" s="13" t="n"/>
      <c r="AA7" s="13" t="n"/>
      <c r="AB7" s="13" t="n"/>
      <c r="AC7" s="13" t="n"/>
      <c r="AD7" s="13" t="n"/>
      <c r="AE7" s="13" t="n"/>
      <c r="AF7" s="13" t="n"/>
      <c r="AG7" s="13" t="n"/>
      <c r="AH7" s="13" t="n"/>
      <c r="AI7" s="13" t="n"/>
      <c r="AJ7" s="13" t="n"/>
      <c r="AK7" s="13" t="n"/>
      <c r="AL7" s="13" t="n"/>
      <c r="AM7" s="220" t="n"/>
      <c r="AN7" s="13" t="n"/>
      <c r="AO7" s="13" t="n"/>
    </row>
    <row r="8" hidden="1" outlineLevel="1" customFormat="1" s="13">
      <c r="A8" s="175" t="inlineStr">
        <is>
          <t>D</t>
        </is>
      </c>
      <c r="B8" s="176">
        <f>IF(_epmOfflineCondition_,"C_AUDITTRAIL",EPMDimensionType(,A8))</f>
        <v/>
      </c>
      <c r="C8" s="176">
        <f>IF(_epmOfflineCondition_,"DTOTAL",IF(B8="","",EPMContextMember(,B8)))</f>
        <v/>
      </c>
      <c r="D8" s="176">
        <f>IF(_epmOfflineCondition_,"全部审计线索",EPMMemberDesc(C8))</f>
        <v/>
      </c>
      <c r="E8" s="176" t="n"/>
      <c r="F8" s="13" t="n"/>
      <c r="G8" s="13" t="n"/>
      <c r="H8" s="184" t="inlineStr">
        <is>
          <t>本月</t>
        </is>
      </c>
      <c r="I8" s="184">
        <f>IF(_epmOfflineCondition_,"03",RIGHT("0"&amp;EPMMemberProperty(,EPMContextMember(,"C_TIME"),"MONTHNUM"),2))</f>
        <v/>
      </c>
      <c r="J8" s="13" t="n"/>
      <c r="K8" s="13" t="n"/>
      <c r="L8" s="13" t="n"/>
      <c r="M8" s="13" t="n"/>
      <c r="N8" s="13" t="n"/>
      <c r="O8" s="13" t="n"/>
      <c r="P8" s="13" t="n"/>
      <c r="Q8" s="13" t="n"/>
      <c r="R8" s="13" t="n"/>
      <c r="S8" s="1103" t="n"/>
      <c r="T8" s="13" t="n"/>
      <c r="U8" s="13" t="n"/>
      <c r="V8" s="13" t="n"/>
      <c r="W8" s="13" t="n"/>
      <c r="X8" s="171" t="n"/>
      <c r="Y8" s="171" t="n"/>
      <c r="Z8" s="13" t="n"/>
      <c r="AA8" s="13" t="n"/>
      <c r="AB8" s="13" t="n"/>
      <c r="AC8" s="13" t="n"/>
      <c r="AD8" s="13" t="n"/>
      <c r="AE8" s="13" t="n"/>
      <c r="AF8" s="13" t="n"/>
      <c r="AG8" s="13" t="n"/>
      <c r="AH8" s="13" t="n"/>
      <c r="AI8" s="13" t="n"/>
      <c r="AJ8" s="13" t="n"/>
      <c r="AK8" s="13" t="n"/>
      <c r="AL8" s="13" t="n"/>
      <c r="AM8" s="220" t="n"/>
      <c r="AN8" s="13" t="n"/>
      <c r="AO8" s="13" t="n"/>
    </row>
    <row r="9" hidden="1" outlineLevel="1" customFormat="1" s="13">
      <c r="A9" s="175" t="inlineStr">
        <is>
          <t>S</t>
        </is>
      </c>
      <c r="B9" s="176">
        <f>IF(_epmOfflineCondition_,"C_FLOW",EPMDimensionType(,A9))</f>
        <v/>
      </c>
      <c r="C9" s="176">
        <f>IF(_epmOfflineCondition_,"FTOTAL",IF(B9="","",EPMContextMember(,B9)))</f>
        <v/>
      </c>
      <c r="D9" s="176">
        <f>IF(_epmOfflineCondition_,"全部变动",EPMMemberDesc(C9))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13" t="n"/>
      <c r="V9" s="13" t="n"/>
      <c r="W9" s="13" t="n"/>
      <c r="X9" s="171" t="n"/>
      <c r="Y9" s="171" t="n"/>
      <c r="Z9" s="13" t="n"/>
      <c r="AA9" s="13" t="n"/>
      <c r="AB9" s="13" t="n"/>
      <c r="AC9" s="13" t="n"/>
      <c r="AD9" s="13" t="n"/>
      <c r="AE9" s="13" t="n"/>
      <c r="AF9" s="13" t="n"/>
      <c r="AG9" s="13" t="n"/>
      <c r="AH9" s="13" t="n"/>
      <c r="AI9" s="13" t="n"/>
      <c r="AJ9" s="13" t="n"/>
      <c r="AK9" s="13" t="n"/>
      <c r="AL9" s="13" t="n"/>
      <c r="AM9" s="220" t="n"/>
      <c r="AN9" s="13" t="n"/>
      <c r="AO9" s="13" t="n"/>
    </row>
    <row r="10" hidden="1" outlineLevel="1" customFormat="1" s="13">
      <c r="A10" s="175" t="inlineStr">
        <is>
          <t>I</t>
        </is>
      </c>
      <c r="B10" s="176">
        <f>IF(_epmOfflineCondition_,"C_INTERCO",EPMDimensionType(,A10))</f>
        <v/>
      </c>
      <c r="C10" s="176">
        <f>IF(_epmOfflineCondition_,"I_ALL",IF(B10="","",EPMContextMember(,B10)))</f>
        <v/>
      </c>
      <c r="D10" s="176">
        <f>IF(_epmOfflineCondition_,"全部贸易伙伴",EPMMemberDesc(C10))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13" t="n"/>
      <c r="V10" s="13" t="n"/>
      <c r="W10" s="13" t="n"/>
      <c r="X10" s="171" t="n"/>
      <c r="Y10" s="171" t="n"/>
      <c r="Z10" s="13" t="n"/>
      <c r="AA10" s="13" t="n"/>
      <c r="AB10" s="13" t="n"/>
      <c r="AC10" s="13" t="n"/>
      <c r="AD10" s="13" t="n"/>
      <c r="AE10" s="13" t="n"/>
      <c r="AF10" s="13" t="n"/>
      <c r="AG10" s="13" t="n"/>
      <c r="AH10" s="13" t="n"/>
      <c r="AI10" s="13" t="n"/>
      <c r="AJ10" s="13" t="n"/>
      <c r="AK10" s="13" t="n"/>
      <c r="AL10" s="13" t="n"/>
      <c r="AM10" s="220" t="n"/>
      <c r="AN10" s="13" t="n"/>
      <c r="AO10" s="13" t="n"/>
    </row>
    <row r="11" hidden="1" outlineLevel="1" customFormat="1" s="13">
      <c r="A11" s="175" t="inlineStr">
        <is>
          <t>G</t>
        </is>
      </c>
      <c r="B11" s="176">
        <f>IF(_epmOfflineCondition_,"C_SCOPE",EPMDimensionType(,A11))</f>
        <v/>
      </c>
      <c r="C11" s="176">
        <f>IF(_epmOfflineCondition_,"G_DUMMY",IF(B11="","",EPMContextMember(,B11)))</f>
        <v/>
      </c>
      <c r="D11" s="176">
        <f>IF(_epmOfflineCondition_,"合并范围无关",EPMMemberDesc(C11))</f>
        <v/>
      </c>
      <c r="E11" s="176">
        <f>IF(OR(RIGHT(C11,1)="P",RIGHT(C11,1)="S"),LEFT(C11,LEN(C11)-1),C11)</f>
        <v/>
      </c>
      <c r="F11" s="13" t="n"/>
      <c r="G11" s="13" t="n"/>
      <c r="H11" s="184" t="inlineStr">
        <is>
          <t xml:space="preserve">本年月 </t>
        </is>
      </c>
      <c r="I11" s="184">
        <f>I3&amp;"."&amp;I8</f>
        <v/>
      </c>
      <c r="J11" s="13" t="n"/>
      <c r="K11" s="13" t="n"/>
      <c r="L11" s="13" t="n"/>
      <c r="M11" s="13" t="n"/>
      <c r="N11" s="13" t="n"/>
      <c r="O11" s="13" t="n"/>
      <c r="P11" s="13" t="n"/>
      <c r="Q11" s="13" t="n"/>
      <c r="R11" s="13" t="n"/>
      <c r="S11" s="1103" t="n"/>
      <c r="T11" s="13" t="n"/>
      <c r="U11" s="13" t="n"/>
      <c r="V11" s="13" t="n"/>
      <c r="W11" s="13" t="n"/>
      <c r="X11" s="171" t="n"/>
      <c r="Y11" s="171" t="n"/>
      <c r="Z11" s="13" t="n"/>
      <c r="AA11" s="13" t="n"/>
      <c r="AB11" s="13" t="n"/>
      <c r="AC11" s="13" t="n"/>
      <c r="AD11" s="13" t="n"/>
      <c r="AE11" s="13" t="n"/>
      <c r="AF11" s="13" t="n"/>
      <c r="AG11" s="13" t="n"/>
      <c r="AH11" s="13" t="n"/>
      <c r="AI11" s="13" t="n"/>
      <c r="AJ11" s="13" t="n"/>
      <c r="AK11" s="13" t="n"/>
      <c r="AL11" s="13" t="n"/>
      <c r="AM11" s="220" t="n"/>
      <c r="AN11" s="13" t="n"/>
      <c r="AO11" s="13" t="n"/>
    </row>
    <row r="12" hidden="1" outlineLevel="1" customFormat="1" s="13">
      <c r="A12" s="175" t="inlineStr">
        <is>
          <t>U8</t>
        </is>
      </c>
      <c r="B12" s="176">
        <f>IF(_epmOfflineCondition_,"C_PROJECT",EPMDimensionType(,A12))</f>
        <v/>
      </c>
      <c r="C12" s="176">
        <f>IF(_epmOfflineCondition_,"ZP_ALL",IF(B12="","",EPMContextMember(,B12)))</f>
        <v/>
      </c>
      <c r="D12" s="176">
        <f>IF(_epmOfflineCondition_,"项目合计",EPMMemberDesc(C12))</f>
        <v/>
      </c>
      <c r="E12" s="176" t="n"/>
      <c r="F12" s="13" t="n"/>
      <c r="G12" s="13" t="n"/>
      <c r="H12" s="184" t="inlineStr">
        <is>
          <t>上年月</t>
        </is>
      </c>
      <c r="I12" s="184">
        <f>IF(I8="01",I10&amp;"."&amp;I9,I3&amp;"."&amp;I9)</f>
        <v/>
      </c>
      <c r="J12" s="13" t="n"/>
      <c r="K12" s="13" t="n"/>
      <c r="L12" s="13" t="n"/>
      <c r="M12" s="13" t="n"/>
      <c r="N12" s="13" t="n"/>
      <c r="O12" s="13" t="n"/>
      <c r="P12" s="13" t="n"/>
      <c r="Q12" s="13" t="n"/>
      <c r="R12" s="13" t="n"/>
      <c r="S12" s="1103" t="n"/>
      <c r="T12" s="13" t="n"/>
      <c r="U12" s="13" t="n"/>
      <c r="V12" s="13" t="n"/>
      <c r="W12" s="13" t="n"/>
      <c r="X12" s="171" t="n"/>
      <c r="Y12" s="171" t="n"/>
      <c r="Z12" s="13" t="n"/>
      <c r="AA12" s="13" t="n"/>
      <c r="AB12" s="13" t="n"/>
      <c r="AC12" s="13" t="n"/>
      <c r="AD12" s="13" t="n"/>
      <c r="AE12" s="13" t="n"/>
      <c r="AF12" s="13" t="n"/>
      <c r="AG12" s="13" t="n"/>
      <c r="AH12" s="13" t="n"/>
      <c r="AI12" s="13" t="n"/>
      <c r="AJ12" s="13" t="n"/>
      <c r="AK12" s="13" t="n"/>
      <c r="AL12" s="13" t="n"/>
      <c r="AM12" s="220" t="n"/>
      <c r="AN12" s="13" t="n"/>
      <c r="AO12" s="13" t="n"/>
    </row>
    <row r="13" hidden="1" outlineLevel="1" customFormat="1" s="13">
      <c r="A13" s="175" t="inlineStr">
        <is>
          <t>U9</t>
        </is>
      </c>
      <c r="B13" s="176">
        <f>IF(_epmOfflineCondition_,"C_ITEM",EPMDimensionType(,A13))</f>
        <v/>
      </c>
      <c r="C13" s="176">
        <f>IF(_epmOfflineCondition_,"ZI_ALL",IF(B13="","",EPMContextMember(,B13)))</f>
        <v/>
      </c>
      <c r="D13" s="176">
        <f>IF(_epmOfflineCondition_,"全部ITEM",EPMMemberDesc(C13))</f>
        <v/>
      </c>
      <c r="E13" s="176" t="n"/>
      <c r="F13" s="13" t="n"/>
      <c r="G13" s="13" t="n"/>
      <c r="H13" s="184" t="inlineStr">
        <is>
          <t xml:space="preserve">上年同期 </t>
        </is>
      </c>
      <c r="I13" s="184">
        <f>I10&amp;"."&amp;I8</f>
        <v/>
      </c>
      <c r="J13" s="13" t="n"/>
      <c r="K13" s="13" t="n"/>
      <c r="L13" s="13" t="n"/>
      <c r="M13" s="13" t="n"/>
      <c r="N13" s="13" t="n"/>
      <c r="O13" s="13" t="n"/>
      <c r="P13" s="13" t="n"/>
      <c r="Q13" s="13" t="n"/>
      <c r="R13" s="13" t="n"/>
      <c r="S13" s="1103" t="n"/>
      <c r="T13" s="13" t="n"/>
      <c r="U13" s="13" t="n"/>
      <c r="V13" s="13" t="n"/>
      <c r="W13" s="13" t="n"/>
      <c r="X13" s="171" t="n"/>
      <c r="Y13" s="171" t="n"/>
      <c r="Z13" s="13" t="n"/>
      <c r="AA13" s="13" t="n"/>
      <c r="AB13" s="13" t="n"/>
      <c r="AC13" s="13" t="n"/>
      <c r="AD13" s="13" t="n"/>
      <c r="AE13" s="13" t="n"/>
      <c r="AF13" s="13" t="n"/>
      <c r="AG13" s="13" t="n"/>
      <c r="AH13" s="13" t="n"/>
      <c r="AI13" s="13" t="n"/>
      <c r="AJ13" s="13" t="n"/>
      <c r="AK13" s="13" t="n"/>
      <c r="AL13" s="13" t="n"/>
      <c r="AM13" s="220" t="n"/>
      <c r="AN13" s="13" t="n"/>
      <c r="AO13" s="13" t="n"/>
    </row>
    <row r="14" hidden="1" outlineLevel="1" customFormat="1" s="13">
      <c r="A14" s="175" t="inlineStr">
        <is>
          <t>U10</t>
        </is>
      </c>
      <c r="B14" s="176">
        <f>IF(_epmOfflineCondition_,"C_MISK",EPMDimensionType(,A14))</f>
        <v/>
      </c>
      <c r="C14" s="176">
        <f>IF(_epmOfflineCondition_,"ZM_ALL",IF(B14="","",EPMContextMember(,B14)))</f>
        <v/>
      </c>
      <c r="D14" s="176">
        <f>IF(_epmOfflineCondition_,"ALL",EPMMemberDesc(C14))</f>
        <v/>
      </c>
      <c r="E14" s="176" t="n"/>
      <c r="F14" s="13" t="n"/>
      <c r="G14" s="13" t="n"/>
      <c r="H14" s="13" t="n"/>
      <c r="I14" s="13" t="n"/>
      <c r="J14" s="13" t="n"/>
      <c r="K14" s="13" t="n"/>
      <c r="L14" s="13" t="n"/>
      <c r="M14" s="13" t="n"/>
      <c r="N14" s="13" t="n"/>
      <c r="O14" s="13" t="n"/>
      <c r="P14" s="13" t="n"/>
      <c r="Q14" s="13" t="n"/>
      <c r="R14" s="13" t="n"/>
      <c r="S14" s="1103" t="n"/>
      <c r="T14" s="13" t="n"/>
      <c r="U14" s="13" t="n"/>
      <c r="V14" s="13" t="n"/>
      <c r="W14" s="13" t="n"/>
      <c r="X14" s="171" t="n"/>
      <c r="Y14" s="171" t="n"/>
      <c r="Z14" s="13" t="n"/>
      <c r="AA14" s="13" t="n"/>
      <c r="AB14" s="13" t="n"/>
      <c r="AC14" s="13" t="n"/>
      <c r="AD14" s="13" t="n"/>
      <c r="AE14" s="13" t="n"/>
      <c r="AF14" s="13" t="n"/>
      <c r="AG14" s="13" t="n"/>
      <c r="AH14" s="13" t="n"/>
      <c r="AI14" s="13" t="n"/>
      <c r="AJ14" s="13" t="n"/>
      <c r="AK14" s="13" t="n"/>
      <c r="AL14" s="13" t="n"/>
      <c r="AM14" s="220" t="n"/>
      <c r="AN14" s="13" t="n"/>
      <c r="AO14" s="13" t="n"/>
    </row>
    <row r="15" hidden="1" outlineLevel="1" customFormat="1" s="13">
      <c r="A15" s="13" t="n"/>
      <c r="B15" s="1103" t="n"/>
      <c r="C15" s="1103" t="n"/>
      <c r="D15" s="1103" t="n"/>
      <c r="E15" s="13" t="n"/>
      <c r="F15" s="13" t="n"/>
      <c r="G15" s="13" t="n"/>
      <c r="H15" s="13">
        <f>E11</f>
        <v/>
      </c>
      <c r="I15" s="13" t="n"/>
      <c r="J15" s="13" t="n"/>
      <c r="K15" s="13" t="n"/>
      <c r="L15" s="13" t="n"/>
      <c r="M15" s="13" t="n"/>
      <c r="N15" s="13" t="n"/>
      <c r="O15" s="13" t="n"/>
      <c r="P15" s="13" t="n"/>
      <c r="Q15" s="13" t="n"/>
      <c r="R15" s="13" t="n"/>
      <c r="S15" s="1103" t="n"/>
      <c r="T15" s="13" t="n"/>
      <c r="U15" s="13" t="n"/>
      <c r="V15" s="13" t="n"/>
      <c r="W15" s="13" t="n"/>
      <c r="X15" s="171" t="n"/>
      <c r="Y15" s="171" t="n"/>
      <c r="Z15" s="13" t="n"/>
      <c r="AA15" s="13" t="n"/>
      <c r="AB15" s="13" t="n"/>
      <c r="AC15" s="13" t="n"/>
      <c r="AD15" s="13" t="n"/>
      <c r="AE15" s="13" t="n"/>
      <c r="AF15" s="13" t="n"/>
      <c r="AG15" s="13" t="n"/>
      <c r="AH15" s="13" t="n"/>
      <c r="AI15" s="13" t="n"/>
      <c r="AJ15" s="13" t="n"/>
      <c r="AK15" s="13" t="n"/>
      <c r="AL15" s="13" t="n"/>
      <c r="AM15" s="220" t="n"/>
      <c r="AN15" s="13" t="n"/>
      <c r="AO15" s="13" t="n"/>
    </row>
    <row r="16" hidden="1" outlineLevel="1" customFormat="1" s="13">
      <c r="A16" s="13" t="n"/>
      <c r="B16" s="13" t="n"/>
      <c r="C16" s="13" t="n"/>
      <c r="D16" s="174" t="inlineStr">
        <is>
          <t>页轴</t>
        </is>
      </c>
      <c r="E16" s="1183" t="n"/>
      <c r="F16" s="13" t="n"/>
      <c r="G16" s="13" t="n"/>
      <c r="H16" s="13">
        <f>IF(_epmOfflineCondition_,"E_DUMMY",EPMMemberProperty(,H15,"GENTITY"))</f>
        <v/>
      </c>
      <c r="I16" s="13" t="n"/>
      <c r="J16" s="13" t="n"/>
      <c r="K16" s="13" t="n"/>
      <c r="L16" s="13" t="n"/>
      <c r="M16" s="13" t="n"/>
      <c r="N16" s="13" t="n"/>
      <c r="O16" s="13" t="n"/>
      <c r="P16" s="13" t="n"/>
      <c r="Q16" s="13" t="n"/>
      <c r="R16" s="13" t="n"/>
      <c r="S16" s="1103" t="n"/>
      <c r="T16" s="13" t="n"/>
      <c r="U16" s="13" t="n"/>
      <c r="V16" s="13" t="n"/>
      <c r="W16" s="13" t="n"/>
      <c r="X16" s="171" t="n"/>
      <c r="Y16" s="171" t="n"/>
      <c r="Z16" s="13" t="n"/>
      <c r="AA16" s="13" t="n"/>
      <c r="AB16" s="13" t="n"/>
      <c r="AC16" s="13" t="n"/>
      <c r="AD16" s="13" t="n"/>
      <c r="AE16" s="13" t="n"/>
      <c r="AF16" s="13" t="n"/>
      <c r="AG16" s="13" t="n"/>
      <c r="AH16" s="13" t="n"/>
      <c r="AI16" s="13" t="n"/>
      <c r="AJ16" s="13" t="n"/>
      <c r="AK16" s="13" t="n"/>
      <c r="AL16" s="13" t="n"/>
      <c r="AM16" s="220" t="n"/>
      <c r="AN16" s="13" t="n"/>
      <c r="AO16" s="13" t="n"/>
    </row>
    <row r="17" hidden="1" outlineLevel="1" customFormat="1" s="13">
      <c r="A17" s="174" t="inlineStr">
        <is>
          <t>维度类型</t>
        </is>
      </c>
      <c r="B17" s="174" t="inlineStr">
        <is>
          <t>维度</t>
        </is>
      </c>
      <c r="C17" s="178" t="inlineStr">
        <is>
          <t>页轴替换</t>
        </is>
      </c>
      <c r="D17" s="174" t="inlineStr">
        <is>
          <t>报表001</t>
        </is>
      </c>
      <c r="E17" s="174" t="inlineStr">
        <is>
          <t>报表002</t>
        </is>
      </c>
      <c r="F17" s="13" t="n"/>
      <c r="G17" s="13" t="n"/>
      <c r="H17" s="13">
        <f>IF(H15="G_DUMMY",C6,IF(H15="G100405","E100405G","E_ALL"))</f>
        <v/>
      </c>
      <c r="I17" s="13" t="n"/>
      <c r="J17" s="13" t="n"/>
      <c r="K17" s="13" t="n"/>
      <c r="L17" s="13" t="n"/>
      <c r="M17" s="13" t="n"/>
      <c r="N17" s="13" t="n"/>
      <c r="O17" s="13" t="n"/>
      <c r="P17" s="13" t="n"/>
      <c r="Q17" s="13" t="n"/>
      <c r="R17" s="13" t="n"/>
      <c r="S17" s="1103" t="n"/>
      <c r="T17" s="13" t="n"/>
      <c r="U17" s="13" t="n"/>
      <c r="V17" s="13" t="n"/>
      <c r="W17" s="13" t="n"/>
      <c r="X17" s="171" t="n"/>
      <c r="Y17" s="171" t="n"/>
      <c r="Z17" s="13" t="n"/>
      <c r="AA17" s="13" t="n"/>
      <c r="AB17" s="13" t="n"/>
      <c r="AC17" s="13" t="n"/>
      <c r="AD17" s="13" t="n"/>
      <c r="AE17" s="13" t="n"/>
      <c r="AF17" s="13" t="n"/>
      <c r="AG17" s="13" t="n"/>
      <c r="AH17" s="13" t="n"/>
      <c r="AI17" s="13" t="n"/>
      <c r="AJ17" s="13" t="n"/>
      <c r="AK17" s="13" t="n"/>
      <c r="AL17" s="13" t="n"/>
      <c r="AM17" s="220" t="n"/>
      <c r="AN17" s="13" t="n"/>
      <c r="AO17" s="13" t="n"/>
    </row>
    <row r="18" hidden="1" outlineLevel="1" customFormat="1" s="13">
      <c r="A18" s="175" t="inlineStr">
        <is>
          <t>A</t>
        </is>
      </c>
      <c r="B18" s="176">
        <f>IF(_epmOfflineCondition_,"C_ACCOUNT",EPMDimensionType(,A18))</f>
        <v/>
      </c>
      <c r="C18" s="182" t="inlineStr">
        <is>
          <t>A_ALL</t>
        </is>
      </c>
      <c r="D18" s="180" t="n"/>
      <c r="E18" s="13" t="n"/>
      <c r="F18" s="13" t="n"/>
      <c r="G18" s="13" t="n"/>
      <c r="H18" s="13" t="n"/>
      <c r="I18" s="13" t="n"/>
      <c r="J18" s="13" t="n"/>
      <c r="K18" s="13" t="n"/>
      <c r="L18" s="13" t="n"/>
      <c r="M18" s="13" t="n"/>
      <c r="N18" s="13" t="n"/>
      <c r="O18" s="13" t="n"/>
      <c r="P18" s="13" t="n"/>
      <c r="Q18" s="13" t="n"/>
      <c r="R18" s="13" t="n"/>
      <c r="S18" s="1103" t="n"/>
      <c r="T18" s="13" t="n"/>
      <c r="U18" s="13" t="n"/>
      <c r="V18" s="13" t="n"/>
      <c r="W18" s="13" t="n"/>
      <c r="X18" s="171" t="n"/>
      <c r="Y18" s="171" t="n"/>
      <c r="Z18" s="13" t="n"/>
      <c r="AA18" s="13" t="n"/>
      <c r="AB18" s="13" t="n"/>
      <c r="AC18" s="13" t="n"/>
      <c r="AD18" s="13" t="n"/>
      <c r="AE18" s="13" t="n"/>
      <c r="AF18" s="13" t="n"/>
      <c r="AG18" s="13" t="n"/>
      <c r="AH18" s="13" t="n"/>
      <c r="AI18" s="13" t="n"/>
      <c r="AJ18" s="13" t="n"/>
      <c r="AK18" s="13" t="n"/>
      <c r="AL18" s="13" t="n"/>
      <c r="AM18" s="220" t="n"/>
      <c r="AN18" s="13" t="n"/>
      <c r="AO18" s="13" t="n"/>
    </row>
    <row r="19" hidden="1" outlineLevel="1" customFormat="1" s="13">
      <c r="A19" s="175" t="inlineStr">
        <is>
          <t>C</t>
        </is>
      </c>
      <c r="B19" s="176">
        <f>IF(_epmOfflineCondition_,"C_CATEGORY",EPMDimensionType(,A19))</f>
        <v/>
      </c>
      <c r="C19" s="182" t="inlineStr">
        <is>
          <t>C_DUMMY</t>
        </is>
      </c>
      <c r="D19" s="180" t="n"/>
      <c r="E19" s="13" t="n"/>
      <c r="F19" s="13" t="n"/>
      <c r="G19" s="13" t="n"/>
      <c r="H19" s="13" t="n"/>
      <c r="I19" s="13" t="n"/>
      <c r="J19" s="13" t="n"/>
      <c r="K19" s="13" t="n"/>
      <c r="L19" s="13" t="n"/>
      <c r="M19" s="13" t="n"/>
      <c r="N19" s="13" t="n"/>
      <c r="O19" s="13" t="n"/>
      <c r="P19" s="13" t="n"/>
      <c r="Q19" s="13" t="n"/>
      <c r="R19" s="13" t="n"/>
      <c r="S19" s="1103" t="n"/>
      <c r="T19" s="13" t="n"/>
      <c r="U19" s="13" t="n"/>
      <c r="V19" s="13" t="n"/>
      <c r="W19" s="13" t="n"/>
      <c r="X19" s="171" t="n"/>
      <c r="Y19" s="171" t="n"/>
      <c r="Z19" s="13" t="n"/>
      <c r="AA19" s="13" t="n"/>
      <c r="AB19" s="13" t="n"/>
      <c r="AC19" s="13" t="n"/>
      <c r="AD19" s="13" t="n"/>
      <c r="AE19" s="13" t="n"/>
      <c r="AF19" s="13" t="n"/>
      <c r="AG19" s="13" t="n"/>
      <c r="AH19" s="13" t="n"/>
      <c r="AI19" s="13" t="n"/>
      <c r="AJ19" s="13" t="n"/>
      <c r="AK19" s="13" t="n"/>
      <c r="AL19" s="13" t="n"/>
      <c r="AM19" s="220" t="n"/>
      <c r="AN19" s="13" t="n"/>
      <c r="AO19" s="13" t="n"/>
    </row>
    <row r="20" hidden="1" outlineLevel="1" customFormat="1" s="13">
      <c r="A20" s="175" t="inlineStr">
        <is>
          <t>T</t>
        </is>
      </c>
      <c r="B20" s="176">
        <f>IF(_epmOfflineCondition_,"C_TIME",EPMDimensionType(,A20))</f>
        <v/>
      </c>
      <c r="C20" s="672" t="inlineStr">
        <is>
          <t>T_DUMMY</t>
        </is>
      </c>
      <c r="D20" s="180" t="n"/>
      <c r="E20" s="13" t="n"/>
      <c r="F20" s="384" t="n"/>
      <c r="G20" s="384" t="n"/>
      <c r="H20" s="13" t="n"/>
      <c r="I20" s="13" t="n"/>
      <c r="J20" s="13" t="n"/>
      <c r="K20" s="13" t="n"/>
      <c r="L20" s="13" t="n"/>
      <c r="M20" s="13" t="n"/>
      <c r="N20" s="13" t="n"/>
      <c r="O20" s="13" t="n"/>
      <c r="P20" s="13" t="n"/>
      <c r="Q20" s="13" t="n"/>
      <c r="R20" s="13" t="n"/>
      <c r="S20" s="1103" t="n"/>
      <c r="T20" s="13" t="n"/>
      <c r="U20" s="13" t="n"/>
      <c r="V20" s="13" t="n"/>
      <c r="W20" s="13" t="n"/>
      <c r="X20" s="171" t="n"/>
      <c r="Y20" s="171" t="n"/>
      <c r="Z20" s="384" t="n"/>
      <c r="AA20" s="384" t="n"/>
      <c r="AB20" s="13" t="n"/>
      <c r="AC20" s="13" t="n"/>
      <c r="AD20" s="13" t="n"/>
      <c r="AE20" s="13" t="n"/>
      <c r="AF20" s="13" t="n"/>
      <c r="AG20" s="13" t="n"/>
      <c r="AH20" s="13" t="n"/>
      <c r="AI20" s="13" t="n"/>
      <c r="AJ20" s="13" t="n"/>
      <c r="AK20" s="13" t="n"/>
      <c r="AL20" s="13" t="n"/>
      <c r="AM20" s="220" t="n"/>
      <c r="AN20" s="13" t="n"/>
      <c r="AO20" s="13" t="n"/>
    </row>
    <row r="21" hidden="1" outlineLevel="1" customFormat="1" s="13">
      <c r="A21" s="175" t="inlineStr">
        <is>
          <t>E</t>
        </is>
      </c>
      <c r="B21" s="176">
        <f>IF(_epmOfflineCondition_,"C_ENTITY",EPMDimensionType(,A21))</f>
        <v/>
      </c>
      <c r="C21" s="447">
        <f>H17</f>
        <v/>
      </c>
      <c r="D21" s="390">
        <f>IF(_epmOfflineCondition_,"E100787",EPMOlapMemberO(C21,"[C_ENTITY].[PARENTH1].[E100787]","E100787 - 内蒙古京能苏尼特风力发电有限公司（内蒙古分公司）","","000"))</f>
        <v/>
      </c>
      <c r="E21" s="13" t="n"/>
      <c r="F21" s="384" t="n"/>
      <c r="G21" s="384" t="n"/>
      <c r="H21" s="13" t="n"/>
      <c r="I21" s="13" t="n"/>
      <c r="J21" s="13" t="n"/>
      <c r="K21" s="13" t="n"/>
      <c r="L21" s="13" t="n"/>
      <c r="M21" s="13" t="n"/>
      <c r="N21" s="13" t="n"/>
      <c r="O21" s="13" t="n"/>
      <c r="P21" s="13" t="n"/>
      <c r="Q21" s="13" t="n"/>
      <c r="R21" s="13" t="n"/>
      <c r="S21" s="1103" t="n"/>
      <c r="T21" s="13" t="n"/>
      <c r="U21" s="13" t="n"/>
      <c r="V21" s="13" t="n"/>
      <c r="W21" s="13" t="n"/>
      <c r="X21" s="171" t="n"/>
      <c r="Y21" s="171" t="n"/>
      <c r="Z21" s="384" t="n"/>
      <c r="AA21" s="384" t="n"/>
      <c r="AB21" s="13" t="n"/>
      <c r="AC21" s="13" t="n"/>
      <c r="AD21" s="13" t="n"/>
      <c r="AE21" s="13" t="n"/>
      <c r="AF21" s="13" t="n"/>
      <c r="AG21" s="13" t="n"/>
      <c r="AH21" s="13" t="n"/>
      <c r="AI21" s="13" t="n"/>
      <c r="AJ21" s="13" t="n"/>
      <c r="AK21" s="13" t="n"/>
      <c r="AL21" s="13" t="n"/>
      <c r="AM21" s="220" t="n"/>
      <c r="AN21" s="13" t="n"/>
      <c r="AO21" s="13" t="n"/>
    </row>
    <row r="22" hidden="1" outlineLevel="1" customFormat="1" s="13">
      <c r="A22" s="175" t="inlineStr">
        <is>
          <t>R</t>
        </is>
      </c>
      <c r="B22" s="176">
        <f>IF(_epmOfflineCondition_,"C_RPTCURRENCY",EPMDimensionType(,A22))</f>
        <v/>
      </c>
      <c r="C22" s="176">
        <f>IF(E11="G_DUMMY",Z37,"CNY")</f>
        <v/>
      </c>
      <c r="D22" s="390">
        <f>IF(_epmOfflineCondition_,"LC",EPMOlapMemberO(C22,"[C_RPTCURRENCY].[].[LC]","LC - 本位币","","000"))</f>
        <v/>
      </c>
      <c r="E22" s="13" t="inlineStr">
        <is>
          <t>LC</t>
        </is>
      </c>
      <c r="F22" s="384" t="n"/>
      <c r="G22" s="384" t="n"/>
      <c r="H22" s="13" t="n"/>
      <c r="I22" s="13" t="n"/>
      <c r="J22" s="13" t="n"/>
      <c r="K22" s="13" t="n"/>
      <c r="L22" s="13" t="n"/>
      <c r="M22" s="13" t="n"/>
      <c r="N22" s="13" t="n"/>
      <c r="O22" s="13" t="n"/>
      <c r="P22" s="13" t="n"/>
      <c r="Q22" s="13" t="n"/>
      <c r="R22" s="13" t="n"/>
      <c r="S22" s="1103" t="n"/>
      <c r="T22" s="13" t="n"/>
      <c r="U22" s="13" t="n"/>
      <c r="V22" s="13" t="n"/>
      <c r="W22" s="13" t="n"/>
      <c r="X22" s="171" t="n"/>
      <c r="Y22" s="171" t="n"/>
      <c r="Z22" s="384" t="n"/>
      <c r="AA22" s="384" t="n"/>
      <c r="AB22" s="13" t="n"/>
      <c r="AC22" s="13" t="n"/>
      <c r="AD22" s="13" t="n"/>
      <c r="AE22" s="13" t="n"/>
      <c r="AF22" s="13" t="n"/>
      <c r="AG22" s="13" t="n"/>
      <c r="AH22" s="13" t="n"/>
      <c r="AI22" s="13" t="n"/>
      <c r="AJ22" s="13" t="n"/>
      <c r="AK22" s="13" t="n"/>
      <c r="AL22" s="13" t="n"/>
      <c r="AM22" s="220" t="n"/>
      <c r="AN22" s="13" t="n"/>
      <c r="AO22" s="13" t="n"/>
    </row>
    <row r="23" hidden="1" outlineLevel="1" customFormat="1" s="13">
      <c r="A23" s="175" t="inlineStr">
        <is>
          <t>D</t>
        </is>
      </c>
      <c r="B23" s="176">
        <f>IF(_epmOfflineCondition_,"C_AUDITTRAIL",EPMDimensionType(,A23))</f>
        <v/>
      </c>
      <c r="C23" s="447">
        <f>IF(_epmOfflineCondition_,"DTOTAL",IF(B23="","",EPMContextMember(,B23)))</f>
        <v/>
      </c>
      <c r="D23" s="390" t="n"/>
      <c r="E23" s="13" t="n"/>
      <c r="F23" s="384" t="n"/>
      <c r="G23" s="384" t="n"/>
      <c r="H23" s="13" t="n"/>
      <c r="I23" s="13" t="n"/>
      <c r="J23" s="13" t="n"/>
      <c r="K23" s="13" t="n"/>
      <c r="L23" s="13" t="n"/>
      <c r="M23" s="13" t="n"/>
      <c r="N23" s="13" t="n"/>
      <c r="O23" s="13" t="n"/>
      <c r="P23" s="13" t="n"/>
      <c r="Q23" s="13" t="n"/>
      <c r="R23" s="13" t="n"/>
      <c r="S23" s="1103" t="n"/>
      <c r="T23" s="13" t="n"/>
      <c r="U23" s="13" t="n"/>
      <c r="V23" s="13" t="n"/>
      <c r="W23" s="13" t="n"/>
      <c r="X23" s="171" t="n"/>
      <c r="Y23" s="171" t="n"/>
      <c r="Z23" s="384" t="n"/>
      <c r="AA23" s="384" t="n"/>
      <c r="AB23" s="13" t="n"/>
      <c r="AC23" s="13" t="n"/>
      <c r="AD23" s="13" t="n"/>
      <c r="AE23" s="13" t="n"/>
      <c r="AF23" s="13" t="n"/>
      <c r="AG23" s="13" t="n"/>
      <c r="AH23" s="13" t="n"/>
      <c r="AI23" s="13" t="n"/>
      <c r="AJ23" s="13" t="n"/>
      <c r="AK23" s="13" t="n"/>
      <c r="AL23" s="13" t="n"/>
      <c r="AM23" s="220" t="n"/>
      <c r="AN23" s="13" t="n"/>
      <c r="AO23" s="13" t="n"/>
    </row>
    <row r="24" hidden="1" outlineLevel="1" customFormat="1" s="13">
      <c r="A24" s="175" t="inlineStr">
        <is>
          <t>S</t>
        </is>
      </c>
      <c r="B24" s="176">
        <f>IF(_epmOfflineCondition_,"C_FLOW",EPMDimensionType(,A24))</f>
        <v/>
      </c>
      <c r="C24" s="176">
        <f>IF(_epmOfflineCondition_,"FTOTAL",IF(B24="","",EPMContextMember(,B24)))</f>
        <v/>
      </c>
      <c r="D24" s="390" t="n"/>
      <c r="E24" s="13" t="inlineStr">
        <is>
          <t>FMOV_OP</t>
        </is>
      </c>
      <c r="F24" s="384" t="n"/>
      <c r="G24" s="384" t="n"/>
      <c r="H24" s="13" t="n"/>
      <c r="I24" s="13" t="n"/>
      <c r="J24" s="13" t="n"/>
      <c r="K24" s="13" t="n"/>
      <c r="L24" s="13" t="n"/>
      <c r="M24" s="13" t="n"/>
      <c r="N24" s="13" t="n"/>
      <c r="O24" s="13" t="n"/>
      <c r="P24" s="13" t="n"/>
      <c r="Q24" s="13" t="n"/>
      <c r="R24" s="13" t="n"/>
      <c r="S24" s="1103" t="n"/>
      <c r="T24" s="13" t="n"/>
      <c r="U24" s="13" t="n"/>
      <c r="V24" s="13" t="n"/>
      <c r="W24" s="13" t="n"/>
      <c r="X24" s="171" t="n"/>
      <c r="Y24" s="171" t="n"/>
      <c r="Z24" s="384" t="n"/>
      <c r="AA24" s="384" t="n"/>
      <c r="AB24" s="13" t="n"/>
      <c r="AC24" s="13" t="n"/>
      <c r="AD24" s="13" t="n"/>
      <c r="AE24" s="13" t="n"/>
      <c r="AF24" s="13" t="n"/>
      <c r="AG24" s="13" t="n"/>
      <c r="AH24" s="13" t="n"/>
      <c r="AI24" s="13" t="n"/>
      <c r="AJ24" s="13" t="n"/>
      <c r="AK24" s="13" t="n"/>
      <c r="AL24" s="13" t="n"/>
      <c r="AM24" s="220" t="n"/>
      <c r="AN24" s="13" t="n"/>
      <c r="AO24" s="13" t="n"/>
    </row>
    <row r="25" hidden="1" outlineLevel="1" customFormat="1" s="13">
      <c r="A25" s="175" t="inlineStr">
        <is>
          <t>I</t>
        </is>
      </c>
      <c r="B25" s="176">
        <f>IF(_epmOfflineCondition_,"C_INTERCO",EPMDimensionType(,A25))</f>
        <v/>
      </c>
      <c r="C25" s="672" t="inlineStr">
        <is>
          <t>I_ALL</t>
        </is>
      </c>
      <c r="D25" s="390">
        <f>IF(_epmOfflineCondition_,"I_ALL",EPMOlapMemberO(C25,"[C_INTERCO].[PARENTH1].[I_ALL]","I_ALL - 全部贸易伙伴","","000"))</f>
        <v/>
      </c>
      <c r="E25" s="13" t="inlineStr">
        <is>
          <t>I_DUMMY</t>
        </is>
      </c>
      <c r="F25" s="384" t="n"/>
      <c r="G25" s="384" t="n"/>
      <c r="H25" s="13" t="n"/>
      <c r="I25" s="13" t="n"/>
      <c r="J25" s="13" t="n"/>
      <c r="K25" s="13" t="n"/>
      <c r="L25" s="13" t="n"/>
      <c r="M25" s="13" t="n"/>
      <c r="N25" s="13" t="n"/>
      <c r="O25" s="13" t="n"/>
      <c r="P25" s="13" t="n"/>
      <c r="Q25" s="13" t="n"/>
      <c r="R25" s="13" t="n"/>
      <c r="S25" s="1103" t="n"/>
      <c r="T25" s="13" t="n"/>
      <c r="U25" s="13" t="n"/>
      <c r="V25" s="13" t="n"/>
      <c r="W25" s="13" t="n"/>
      <c r="X25" s="178" t="inlineStr">
        <is>
          <t>CATEGORY</t>
        </is>
      </c>
      <c r="Y25" s="13" t="n"/>
      <c r="Z25" s="178" t="inlineStr">
        <is>
          <t>C1001</t>
        </is>
      </c>
      <c r="AA25" s="178" t="inlineStr">
        <is>
          <t>C1001</t>
        </is>
      </c>
      <c r="AB25" s="178">
        <f>$C$4</f>
        <v/>
      </c>
      <c r="AC25" s="178">
        <f>$C$4</f>
        <v/>
      </c>
      <c r="AD25" s="514" t="inlineStr">
        <is>
          <t>C1001</t>
        </is>
      </c>
      <c r="AE25" s="13" t="n"/>
      <c r="AF25" s="13" t="n"/>
      <c r="AG25" s="13" t="n"/>
      <c r="AH25" s="13" t="n"/>
      <c r="AI25" s="13" t="n"/>
      <c r="AJ25" s="13" t="n"/>
      <c r="AK25" s="220" t="n"/>
      <c r="AL25" s="220" t="n"/>
      <c r="AM25" s="220" t="n"/>
      <c r="AN25" s="220" t="n"/>
      <c r="AO25" s="220" t="n"/>
    </row>
    <row r="26" hidden="1" outlineLevel="1" customFormat="1" s="13">
      <c r="A26" s="175" t="inlineStr">
        <is>
          <t>G</t>
        </is>
      </c>
      <c r="B26" s="176">
        <f>IF(_epmOfflineCondition_,"C_SCOPE",EPMDimensionType(,A26))</f>
        <v/>
      </c>
      <c r="C26" s="176">
        <f>E11</f>
        <v/>
      </c>
      <c r="D26" s="390">
        <f>IF(_epmOfflineCondition_,"G_DUMMY",EPMOlapMemberO(C26,"[C_SCOPE].[PARENTH1].[G_DUMMY]","G_DUMMY - 合并范围无关","","000"))</f>
        <v/>
      </c>
      <c r="E26" s="182" t="inlineStr">
        <is>
          <t>G_DUMMY</t>
        </is>
      </c>
      <c r="F26" s="384" t="n"/>
      <c r="G26" s="384" t="n"/>
      <c r="H26" s="13" t="n"/>
      <c r="I26" s="13" t="n"/>
      <c r="J26" s="13" t="n"/>
      <c r="K26" s="13" t="n"/>
      <c r="L26" s="13" t="n"/>
      <c r="M26" s="13" t="n"/>
      <c r="N26" s="13" t="n"/>
      <c r="O26" s="13" t="n"/>
      <c r="P26" s="13" t="n"/>
      <c r="Q26" s="13" t="n"/>
      <c r="R26" s="13" t="n"/>
      <c r="S26" s="1103" t="n"/>
      <c r="T26" s="13" t="n"/>
      <c r="U26" s="13" t="n"/>
      <c r="V26" s="13" t="n"/>
      <c r="W26" s="13" t="n"/>
      <c r="X26" s="464" t="inlineStr">
        <is>
          <t>TIME</t>
        </is>
      </c>
      <c r="Y26" s="13" t="n"/>
      <c r="Z26" s="464">
        <f>$I$11</f>
        <v/>
      </c>
      <c r="AA26" s="464">
        <f>$I$11</f>
        <v/>
      </c>
      <c r="AB26" s="464">
        <f>$I$13</f>
        <v/>
      </c>
      <c r="AC26" s="178">
        <f>$J$4</f>
        <v/>
      </c>
      <c r="AD26" s="514" t="inlineStr">
        <is>
          <t>2022.09</t>
        </is>
      </c>
      <c r="AE26" s="13" t="n"/>
      <c r="AF26" s="13" t="n"/>
      <c r="AG26" s="13" t="n"/>
      <c r="AH26" s="13" t="n"/>
      <c r="AI26" s="13" t="n"/>
      <c r="AJ26" s="13" t="n"/>
      <c r="AK26" s="220" t="n"/>
      <c r="AL26" s="220" t="n"/>
      <c r="AM26" s="220" t="n"/>
      <c r="AN26" s="220" t="n"/>
      <c r="AO26" s="220" t="n"/>
    </row>
    <row r="27" hidden="1" outlineLevel="1" customFormat="1" s="13">
      <c r="A27" s="175" t="inlineStr">
        <is>
          <t>U8</t>
        </is>
      </c>
      <c r="B27" s="176">
        <f>IF(_epmOfflineCondition_,"C_PROJECT",EPMDimensionType(,A27))</f>
        <v/>
      </c>
      <c r="C27" s="180" t="inlineStr">
        <is>
          <t>ZP_ALL</t>
        </is>
      </c>
      <c r="D27" s="390">
        <f>IF(_epmOfflineCondition_,"ZP_ALL",EPMOlapMemberO(C27,"[C_PROJECT].[PARENTH1].[ZP_ALL]","ZP_ALL - 项目合计","","000"))</f>
        <v/>
      </c>
      <c r="E27" s="13" t="inlineStr">
        <is>
          <t>ZP_DUMMY</t>
        </is>
      </c>
      <c r="F27" s="384" t="n"/>
      <c r="G27" s="384" t="n"/>
      <c r="H27" s="13" t="n"/>
      <c r="I27" s="13" t="n"/>
      <c r="J27" s="13" t="n"/>
      <c r="K27" s="13" t="n"/>
      <c r="L27" s="13" t="n"/>
      <c r="M27" s="13" t="n"/>
      <c r="N27" s="13" t="n"/>
      <c r="O27" s="13" t="n"/>
      <c r="P27" s="13" t="n"/>
      <c r="Q27" s="13" t="n"/>
      <c r="R27" s="13" t="n"/>
      <c r="S27" s="1103" t="n"/>
      <c r="T27" s="13" t="n"/>
      <c r="U27" s="13" t="n"/>
      <c r="V27" s="13" t="n"/>
      <c r="W27" s="13" t="n"/>
      <c r="X27" s="200" t="inlineStr">
        <is>
          <t>MEASURES</t>
        </is>
      </c>
      <c r="Y27" s="13" t="n"/>
      <c r="Z27" s="200" t="inlineStr">
        <is>
          <t>YTD</t>
        </is>
      </c>
      <c r="AA27" s="200" t="inlineStr">
        <is>
          <t>YTD</t>
        </is>
      </c>
      <c r="AB27" s="200" t="inlineStr">
        <is>
          <t>Periodic</t>
        </is>
      </c>
      <c r="AC27" s="200" t="inlineStr">
        <is>
          <t>Periodic</t>
        </is>
      </c>
      <c r="AD27" s="185" t="inlineStr">
        <is>
          <t>Periodic</t>
        </is>
      </c>
      <c r="AE27" s="13" t="n"/>
      <c r="AF27" s="13" t="n"/>
      <c r="AG27" s="13" t="n"/>
      <c r="AH27" s="13" t="n"/>
      <c r="AI27" s="13" t="n"/>
      <c r="AJ27" s="13" t="n"/>
      <c r="AK27" s="220" t="n"/>
      <c r="AL27" s="220" t="n"/>
      <c r="AM27" s="220" t="n"/>
      <c r="AN27" s="220" t="n"/>
      <c r="AO27" s="220" t="n"/>
    </row>
    <row r="28" hidden="1" outlineLevel="1" customFormat="1" s="13">
      <c r="A28" s="175" t="inlineStr">
        <is>
          <t>U9</t>
        </is>
      </c>
      <c r="B28" s="176">
        <f>IF(_epmOfflineCondition_,"C_ITEM",EPMDimensionType(,A28))</f>
        <v/>
      </c>
      <c r="C28" s="180" t="inlineStr">
        <is>
          <t>ZI_ALL</t>
        </is>
      </c>
      <c r="D28" s="390">
        <f>IF(_epmOfflineCondition_,"ZI_ALL",EPMOlapMemberO(C28,"[C_ITEM].[PARENTH1].[ZI_ALL]","ZI_ALL - 全部ITEM","","000"))</f>
        <v/>
      </c>
      <c r="E28" s="13" t="inlineStr">
        <is>
          <t>ZI_DUMMY</t>
        </is>
      </c>
      <c r="F28" s="384" t="n"/>
      <c r="G28" s="384" t="n"/>
      <c r="H28" s="13" t="n"/>
      <c r="I28" s="13" t="n"/>
      <c r="J28" s="13" t="n"/>
      <c r="K28" s="13" t="n"/>
      <c r="L28" s="13" t="n"/>
      <c r="M28" s="13" t="n"/>
      <c r="N28" s="13" t="n"/>
      <c r="O28" s="13" t="n"/>
      <c r="P28" s="13" t="n"/>
      <c r="Q28" s="13" t="n"/>
      <c r="R28" s="13" t="n"/>
      <c r="S28" s="1103" t="n"/>
      <c r="T28" s="13" t="n"/>
      <c r="U28" s="13" t="n"/>
      <c r="V28" s="13" t="n"/>
      <c r="W28" s="13" t="n"/>
      <c r="X28" s="200" t="inlineStr">
        <is>
          <t>FLOW</t>
        </is>
      </c>
      <c r="Y28" s="13" t="n"/>
      <c r="Z28" s="200" t="inlineStr">
        <is>
          <t>F20</t>
        </is>
      </c>
      <c r="AA28" s="200" t="inlineStr">
        <is>
          <t>F30</t>
        </is>
      </c>
      <c r="AB28" s="200" t="inlineStr">
        <is>
          <t>F20</t>
        </is>
      </c>
      <c r="AC28" s="200" t="inlineStr">
        <is>
          <t>FEND</t>
        </is>
      </c>
      <c r="AD28" s="185" t="inlineStr">
        <is>
          <t>FEND</t>
        </is>
      </c>
      <c r="AE28" s="13" t="inlineStr">
        <is>
          <t>FMOV</t>
        </is>
      </c>
      <c r="AF28" s="13" t="inlineStr">
        <is>
          <t>FEND</t>
        </is>
      </c>
      <c r="AG28" s="13" t="n"/>
      <c r="AH28" s="13" t="n"/>
      <c r="AI28" s="13" t="n"/>
      <c r="AJ28" s="13" t="n"/>
      <c r="AK28" s="13" t="n"/>
      <c r="AL28" s="13" t="n"/>
      <c r="AM28" s="220" t="n"/>
      <c r="AN28" s="220" t="n"/>
      <c r="AO28" s="13" t="n"/>
    </row>
    <row r="29" hidden="1" outlineLevel="1" customFormat="1" s="13">
      <c r="A29" s="175" t="inlineStr">
        <is>
          <t>U10</t>
        </is>
      </c>
      <c r="B29" s="176">
        <f>IF(_epmOfflineCondition_,"C_MISK",EPMDimensionType(,A29))</f>
        <v/>
      </c>
      <c r="C29" s="449" t="inlineStr">
        <is>
          <t>ZM_ALL</t>
        </is>
      </c>
      <c r="D29" s="390">
        <f>IF(_epmOfflineCondition_,"ZM_ALL",EPMOlapMemberO(C29,"[C_MISK].[PARENTH1].[ZM_ALL]","ZM_ALL - ALL","","000"))</f>
        <v/>
      </c>
      <c r="E29" s="13" t="inlineStr">
        <is>
          <t>ZM_DUMMY</t>
        </is>
      </c>
      <c r="F29" s="384" t="n"/>
      <c r="G29" s="384" t="n"/>
      <c r="H29" s="13" t="n"/>
      <c r="I29" s="13" t="n"/>
      <c r="J29" s="13" t="n"/>
      <c r="K29" s="13" t="n"/>
      <c r="L29" s="13" t="n"/>
      <c r="M29" s="13" t="n"/>
      <c r="N29" s="13" t="n"/>
      <c r="O29" s="13" t="n"/>
      <c r="P29" s="13" t="n"/>
      <c r="Q29" s="13" t="n"/>
      <c r="R29" s="13" t="n"/>
      <c r="S29" s="1103" t="n"/>
      <c r="T29" s="13" t="n"/>
      <c r="U29" s="13" t="n"/>
      <c r="V29" s="13" t="n"/>
      <c r="W29" s="13" t="n"/>
      <c r="X29" s="200" t="inlineStr">
        <is>
          <t>AUDITTRAIL</t>
        </is>
      </c>
      <c r="Y29" s="13" t="n"/>
      <c r="Z29" s="200" t="inlineStr">
        <is>
          <t>D1110</t>
        </is>
      </c>
      <c r="AA29" s="200" t="inlineStr">
        <is>
          <t>DALL</t>
        </is>
      </c>
      <c r="AB29" s="200" t="inlineStr">
        <is>
          <t>DLC</t>
        </is>
      </c>
      <c r="AC29" s="200" t="inlineStr">
        <is>
          <t>DLC</t>
        </is>
      </c>
      <c r="AD29" s="185" t="inlineStr">
        <is>
          <t>DLC</t>
        </is>
      </c>
      <c r="AE29" s="13" t="inlineStr">
        <is>
          <t>DLC_ADJ</t>
        </is>
      </c>
      <c r="AF29" s="13" t="inlineStr">
        <is>
          <t>D_DUMMY</t>
        </is>
      </c>
      <c r="AG29" s="13" t="n"/>
      <c r="AH29" s="13" t="n"/>
      <c r="AI29" s="13" t="n"/>
      <c r="AJ29" s="13" t="n"/>
      <c r="AK29" s="13" t="n"/>
      <c r="AL29" s="13" t="n"/>
      <c r="AM29" s="220" t="n"/>
      <c r="AN29" s="13" t="n"/>
      <c r="AO29" s="13" t="n"/>
    </row>
    <row r="30" hidden="1" outlineLevel="1" customFormat="1" s="13">
      <c r="A30" s="175" t="n"/>
      <c r="B30" s="175">
        <f>IF(_epmOfflineCondition_,"",EPMDimensionType(,A30))</f>
        <v/>
      </c>
      <c r="C30" s="182" t="inlineStr">
        <is>
          <t>PERIODIC</t>
        </is>
      </c>
      <c r="D30" s="390" t="n"/>
      <c r="E30" s="13" t="n"/>
      <c r="F30" s="384" t="n"/>
      <c r="G30" s="384" t="n"/>
      <c r="H30" s="13" t="n"/>
      <c r="I30" s="13" t="n"/>
      <c r="J30" s="13" t="n"/>
      <c r="K30" s="13" t="n"/>
      <c r="L30" s="13" t="n"/>
      <c r="M30" s="13" t="n"/>
      <c r="N30" s="13" t="n"/>
      <c r="O30" s="13" t="n"/>
      <c r="P30" s="13" t="n"/>
      <c r="Q30" s="13" t="n"/>
      <c r="R30" s="13" t="n"/>
      <c r="S30" s="1103" t="n"/>
      <c r="T30" s="13" t="n"/>
      <c r="U30" s="13" t="n"/>
      <c r="V30" s="13" t="n"/>
      <c r="W30" s="13" t="n"/>
      <c r="X30" s="13" t="n"/>
      <c r="Y30" s="13" t="n"/>
      <c r="Z30" s="13">
        <f>IF(_epmOfflineCondition_,"平台表单手工输入",EPMMemberDesc(Z29))</f>
        <v/>
      </c>
      <c r="AA30" s="13">
        <f>IF(_epmOfflineCondition_,"合并后",EPMMemberDesc(AA29))</f>
        <v/>
      </c>
      <c r="AB30" s="13">
        <f>IF(_epmOfflineCondition_,"单体报表",EPMMemberDesc(AB29))</f>
        <v/>
      </c>
      <c r="AC30" s="13">
        <f>IF(_epmOfflineCondition_,"单体报表",EPMMemberDesc(AC29))</f>
        <v/>
      </c>
      <c r="AD30" s="13" t="inlineStr">
        <is>
          <t>单体报表</t>
        </is>
      </c>
      <c r="AE30" s="13" t="inlineStr">
        <is>
          <t>单体调整</t>
        </is>
      </c>
      <c r="AF30" s="13" t="n"/>
      <c r="AG30" s="13" t="n"/>
      <c r="AH30" s="13" t="n"/>
      <c r="AI30" s="13" t="n"/>
      <c r="AJ30" s="13" t="n"/>
      <c r="AK30" s="13" t="n"/>
      <c r="AL30" s="13" t="n"/>
      <c r="AM30" s="220" t="n"/>
      <c r="AN30" s="13" t="n"/>
      <c r="AO30" s="13" t="n"/>
    </row>
    <row r="31" hidden="1" outlineLevel="1" customFormat="1" s="13">
      <c r="A31" s="13" t="n"/>
      <c r="B31" s="1103" t="n"/>
      <c r="C31" s="1103" t="n"/>
      <c r="D31" s="1103" t="n"/>
      <c r="E31" s="13" t="n"/>
      <c r="F31" s="13" t="n"/>
      <c r="G31" s="13" t="n"/>
      <c r="H31" s="13" t="n"/>
      <c r="I31" s="13" t="n"/>
      <c r="J31" s="13" t="n"/>
      <c r="K31" s="13" t="n"/>
      <c r="L31" s="13" t="n"/>
      <c r="M31" s="13" t="n"/>
      <c r="N31" s="13" t="n"/>
      <c r="O31" s="13" t="n"/>
      <c r="P31" s="13" t="n"/>
      <c r="Q31" s="13" t="n"/>
      <c r="R31" s="13" t="n"/>
      <c r="S31" s="1103" t="n"/>
      <c r="T31" s="13" t="n"/>
      <c r="U31" s="13" t="n"/>
      <c r="V31" s="13" t="n"/>
      <c r="W31" s="13" t="n"/>
      <c r="X31" s="171" t="n"/>
      <c r="Y31" s="171" t="n"/>
      <c r="Z31" s="384">
        <f>IF(Z37="LC","DLC","DALL")</f>
        <v/>
      </c>
      <c r="AA31" s="13" t="n"/>
      <c r="AB31" s="13" t="n"/>
      <c r="AC31" s="13" t="n"/>
      <c r="AD31" s="13" t="n"/>
      <c r="AE31" s="13" t="n"/>
      <c r="AF31" s="13" t="n"/>
      <c r="AG31" s="13" t="n"/>
      <c r="AH31" s="13" t="n"/>
      <c r="AI31" s="13" t="n"/>
      <c r="AJ31" s="13" t="n"/>
      <c r="AK31" s="13" t="n"/>
      <c r="AL31" s="13" t="n"/>
      <c r="AM31" s="220" t="n"/>
      <c r="AN31" s="13" t="n"/>
      <c r="AO31" s="13" t="n"/>
    </row>
    <row r="32" hidden="1" outlineLevel="1" customFormat="1" s="13">
      <c r="A32" s="13" t="n"/>
      <c r="B32" s="1103" t="n"/>
      <c r="C32" s="1103" t="n"/>
      <c r="D32" s="1103" t="n"/>
      <c r="E32" s="13" t="n"/>
      <c r="F32" s="13" t="n"/>
      <c r="G32" s="13" t="n"/>
      <c r="H32" s="13" t="n"/>
      <c r="I32" s="13" t="n"/>
      <c r="J32" s="13" t="n"/>
      <c r="K32" s="13" t="n"/>
      <c r="L32" s="13" t="n"/>
      <c r="M32" s="13" t="n"/>
      <c r="N32" s="13" t="n"/>
      <c r="O32" s="13" t="n"/>
      <c r="P32" s="13" t="n"/>
      <c r="Q32" s="13" t="n"/>
      <c r="R32" s="13" t="n"/>
      <c r="S32" s="1103" t="n"/>
      <c r="T32" s="13" t="n"/>
      <c r="U32" s="13" t="n"/>
      <c r="V32" s="13" t="n"/>
      <c r="W32" s="13" t="n"/>
      <c r="X32" s="171" t="n"/>
      <c r="Y32" s="171" t="n"/>
      <c r="Z32" s="13" t="n"/>
      <c r="AA32" s="13" t="n"/>
      <c r="AB32" s="13" t="n"/>
      <c r="AC32" s="13" t="n"/>
      <c r="AD32" s="13" t="n"/>
      <c r="AE32" s="13" t="n"/>
      <c r="AF32" s="13" t="n"/>
      <c r="AG32" s="13" t="n"/>
      <c r="AH32" s="13" t="n"/>
      <c r="AI32" s="13" t="n"/>
      <c r="AJ32" s="13" t="n"/>
      <c r="AK32" s="13" t="n"/>
      <c r="AL32" s="13" t="n"/>
      <c r="AM32" s="220" t="n"/>
      <c r="AN32" s="13" t="n"/>
      <c r="AO32" s="13" t="n"/>
    </row>
    <row r="33" hidden="1" outlineLevel="1" customFormat="1" s="13">
      <c r="A33" s="13" t="n"/>
      <c r="B33" s="1103" t="n"/>
      <c r="C33" s="1103" t="n"/>
      <c r="D33" s="1103" t="n"/>
      <c r="E33" s="13" t="n"/>
      <c r="F33" s="13" t="n"/>
      <c r="G33" s="13" t="n"/>
      <c r="H33" s="13" t="n"/>
      <c r="I33" s="13" t="n"/>
      <c r="J33" s="13" t="n"/>
      <c r="K33" s="13" t="n"/>
      <c r="L33" s="13" t="n"/>
      <c r="M33" s="13" t="n"/>
      <c r="N33" s="13" t="n"/>
      <c r="O33" s="13" t="n"/>
      <c r="P33" s="13" t="n"/>
      <c r="Q33" s="13" t="n"/>
      <c r="R33" s="13" t="n"/>
      <c r="S33" s="1103" t="n"/>
      <c r="T33" s="13" t="n"/>
      <c r="U33" s="13" t="n"/>
      <c r="V33" s="13" t="n"/>
      <c r="W33" s="13" t="n"/>
      <c r="X33" s="171" t="n"/>
      <c r="Y33" s="171" t="n"/>
      <c r="Z33" s="13" t="n"/>
      <c r="AA33" s="13" t="n"/>
      <c r="AB33" s="13" t="n"/>
      <c r="AC33" s="13" t="n"/>
      <c r="AD33" s="13" t="n"/>
      <c r="AE33" s="13" t="n"/>
      <c r="AF33" s="13" t="n"/>
      <c r="AG33" s="13" t="n"/>
      <c r="AH33" s="13" t="n"/>
      <c r="AI33" s="13" t="n"/>
      <c r="AJ33" s="13" t="n"/>
      <c r="AK33" s="13" t="n"/>
      <c r="AL33" s="13" t="n"/>
      <c r="AM33" s="220" t="n"/>
      <c r="AN33" s="13" t="n"/>
      <c r="AO33" s="13" t="n"/>
    </row>
    <row r="34" collapsed="1" ht="10.5" customFormat="1" customHeight="1" s="13">
      <c r="A34" s="13" t="n"/>
      <c r="B34" s="1103" t="n"/>
      <c r="C34" s="1103" t="n"/>
      <c r="D34" s="1103" t="n"/>
      <c r="E34" s="13" t="n"/>
      <c r="F34" s="13" t="n"/>
      <c r="G34" s="13" t="n"/>
      <c r="H34" s="13" t="n"/>
      <c r="I34" s="13" t="n"/>
      <c r="J34" s="13" t="n"/>
      <c r="K34" s="13" t="n"/>
      <c r="L34" s="13" t="n"/>
      <c r="M34" s="13" t="n"/>
      <c r="N34" s="13" t="n"/>
      <c r="O34" s="13" t="n"/>
      <c r="P34" s="13" t="n"/>
      <c r="Q34" s="13" t="n"/>
      <c r="R34" s="13" t="n"/>
      <c r="S34" s="1103" t="n"/>
      <c r="T34" s="13" t="n"/>
      <c r="U34" s="13" t="n"/>
      <c r="V34" s="13" t="n"/>
      <c r="W34" s="13" t="n"/>
      <c r="X34" s="171" t="n"/>
      <c r="Y34" s="171" t="n"/>
      <c r="Z34" s="13" t="n"/>
      <c r="AA34" s="13" t="n"/>
      <c r="AB34" s="13" t="n"/>
      <c r="AC34" s="13" t="n"/>
      <c r="AD34" s="13" t="n"/>
      <c r="AE34" s="13" t="n"/>
      <c r="AF34" s="13" t="n"/>
      <c r="AG34" s="13" t="n"/>
      <c r="AH34" s="13" t="n"/>
      <c r="AI34" s="716" t="n"/>
      <c r="AJ34" s="13" t="n"/>
      <c r="AK34" s="13" t="n"/>
      <c r="AL34" s="13" t="n"/>
      <c r="AM34" s="220" t="n"/>
      <c r="AN34" s="13" t="n"/>
      <c r="AO34" s="13" t="n"/>
    </row>
    <row r="35" ht="32.25" customHeight="1" s="1181">
      <c r="A35" s="384" t="n"/>
      <c r="B35" s="384" t="n"/>
      <c r="C35" s="384" t="n"/>
      <c r="D35" s="384" t="n"/>
      <c r="E35" s="384" t="n"/>
      <c r="F35" s="384" t="n"/>
      <c r="G35" s="384" t="n"/>
      <c r="H35" s="384" t="n"/>
      <c r="I35" s="384" t="n"/>
      <c r="J35" s="384" t="n"/>
      <c r="K35" s="384" t="n"/>
      <c r="L35" s="384" t="n"/>
      <c r="M35" s="384" t="n"/>
      <c r="N35" s="384" t="n"/>
      <c r="O35" s="384" t="n"/>
      <c r="P35" s="384" t="n"/>
      <c r="Q35" s="384" t="n"/>
      <c r="R35" s="384" t="n"/>
      <c r="S35" s="32" t="n"/>
      <c r="T35" s="384" t="n"/>
      <c r="U35" s="384" t="n"/>
      <c r="V35" s="384" t="n"/>
      <c r="W35" s="384" t="n"/>
      <c r="X35" s="38" t="n"/>
      <c r="Y35" s="38" t="n"/>
      <c r="Z35" s="520" t="inlineStr">
        <is>
          <t>补充指标表（国资委）</t>
        </is>
      </c>
      <c r="AC35" s="384" t="n"/>
      <c r="AD35" s="384" t="n"/>
      <c r="AE35" s="384" t="n"/>
      <c r="AF35" s="384" t="n"/>
      <c r="AG35" s="384" t="n"/>
      <c r="AH35" s="384" t="n"/>
      <c r="AI35" s="384" t="n"/>
      <c r="AJ35" s="384" t="n"/>
      <c r="AK35" s="384" t="n"/>
      <c r="AL35" s="384" t="n"/>
      <c r="AM35" s="384" t="n"/>
      <c r="AN35" s="384" t="n"/>
      <c r="AO35" s="384" t="n"/>
    </row>
    <row r="36" ht="15.2" customFormat="1" customHeight="1" s="716">
      <c r="A36" s="716" t="n"/>
      <c r="B36" s="716" t="n"/>
      <c r="C36" s="716" t="n"/>
      <c r="D36" s="716" t="n"/>
      <c r="E36" s="716" t="n"/>
      <c r="F36" s="716" t="n"/>
      <c r="G36" s="716" t="n"/>
      <c r="H36" s="716" t="n"/>
      <c r="I36" s="716" t="n"/>
      <c r="J36" s="716" t="n"/>
      <c r="K36" s="716" t="n"/>
      <c r="L36" s="716" t="n"/>
      <c r="M36" s="716" t="n"/>
      <c r="N36" s="716" t="n"/>
      <c r="O36" s="716" t="n"/>
      <c r="P36" s="716">
        <f>IF(_epmOfflineCondition_,"        # 利息支出",EPMMemberDesc(Q47))</f>
        <v/>
      </c>
      <c r="Q36" s="716" t="n"/>
      <c r="R36" s="716" t="n"/>
      <c r="S36" s="462" t="n"/>
      <c r="T36" s="716" t="n"/>
      <c r="U36" s="716" t="n"/>
      <c r="V36" s="716" t="n"/>
      <c r="W36" s="716" t="n"/>
      <c r="X36" s="190">
        <f>IF(_epmOfflineCondition_,"编制单位：内蒙古京能苏尼特风力发电有限公司（内蒙古分公司）","编制单位："&amp;EPMMemberDesc($C$6))</f>
        <v/>
      </c>
      <c r="Y36" s="116" t="inlineStr">
        <is>
          <t>操作提示：表单默认币种LC（本位币），外币记账单位，可点击左侧币种切换，点击EPM选项卡中的“刷新”按钮</t>
        </is>
      </c>
      <c r="Z36" s="116" t="n"/>
      <c r="AA36" s="716" t="n"/>
      <c r="AB36" s="203" t="n"/>
      <c r="AC36" s="716" t="n"/>
      <c r="AD36" s="716" t="n"/>
      <c r="AE36" s="716" t="n"/>
      <c r="AF36" s="716" t="n"/>
      <c r="AG36" s="716" t="n"/>
      <c r="AH36" s="716" t="n"/>
      <c r="AI36" s="716" t="n"/>
      <c r="AJ36" s="716" t="n"/>
      <c r="AK36" s="716" t="n"/>
      <c r="AL36" s="716" t="n"/>
      <c r="AM36" s="716" t="n"/>
      <c r="AN36" s="716" t="n"/>
      <c r="AO36" s="716" t="n"/>
    </row>
    <row r="37" ht="15.2" customFormat="1" customHeight="1" s="716">
      <c r="A37" s="716" t="n"/>
      <c r="B37" s="716" t="n"/>
      <c r="C37" s="716" t="n"/>
      <c r="D37" s="716" t="n"/>
      <c r="E37" s="716" t="n"/>
      <c r="F37" s="716" t="n"/>
      <c r="G37" s="716" t="n"/>
      <c r="H37" s="716" t="n"/>
      <c r="I37" s="716" t="n"/>
      <c r="J37" s="716" t="n"/>
      <c r="K37" s="716" t="n"/>
      <c r="L37" s="716" t="n"/>
      <c r="M37" s="716" t="n"/>
      <c r="N37" s="716" t="n"/>
      <c r="O37" s="716" t="n"/>
      <c r="P37" s="716">
        <f>IF(_epmOfflineCondition_,"        # 手续费及佣金支出",EPMMemberDesc(Q48))</f>
        <v/>
      </c>
      <c r="Q37" s="716" t="n"/>
      <c r="R37" s="716" t="n"/>
      <c r="S37" s="462" t="n"/>
      <c r="T37" s="716" t="n"/>
      <c r="U37" s="716" t="n"/>
      <c r="V37" s="716" t="n"/>
      <c r="W37" s="716" t="n"/>
      <c r="X37" s="190">
        <f>"编制月份："&amp;$I$3&amp;"年"&amp;$I$8&amp;"月"</f>
        <v/>
      </c>
      <c r="Y37" s="521" t="inlineStr">
        <is>
          <t>币种：</t>
        </is>
      </c>
      <c r="Z37" s="521" t="inlineStr">
        <is>
          <t>LC</t>
        </is>
      </c>
      <c r="AA37" s="716" t="n"/>
      <c r="AB37" s="223" t="inlineStr">
        <is>
          <t>金额单位：元</t>
        </is>
      </c>
      <c r="AC37" s="716" t="n"/>
      <c r="AD37" s="716" t="n"/>
      <c r="AE37" s="716" t="n"/>
      <c r="AF37" s="716" t="n"/>
      <c r="AG37" s="716" t="n"/>
      <c r="AH37" s="716" t="n"/>
      <c r="AI37" s="716" t="n"/>
      <c r="AJ37" s="716" t="n"/>
      <c r="AK37" s="716" t="n"/>
      <c r="AL37" s="716" t="n"/>
      <c r="AM37" s="716" t="n"/>
      <c r="AN37" s="716" t="n"/>
      <c r="AO37" s="716" t="n"/>
    </row>
    <row r="38" ht="10.15" customFormat="1" customHeight="1" s="716">
      <c r="A38" s="716" t="n"/>
      <c r="B38" s="716" t="n"/>
      <c r="C38" s="716" t="n"/>
      <c r="D38" s="716" t="n"/>
      <c r="E38" s="716" t="n"/>
      <c r="F38" s="716" t="n"/>
      <c r="G38" s="716" t="n"/>
      <c r="H38" s="716" t="n"/>
      <c r="I38" s="716" t="n"/>
      <c r="J38" s="716" t="n"/>
      <c r="K38" s="716" t="n"/>
      <c r="L38" s="716" t="n"/>
      <c r="M38" s="716" t="n"/>
      <c r="N38" s="716" t="n"/>
      <c r="O38" s="716" t="n"/>
      <c r="P38" s="716">
        <f>IF(_epmOfflineCondition_,"　      # 汇兑收益（损失以“-”号填列）",EPMMemberDesc(Q46))</f>
        <v/>
      </c>
      <c r="Q38" s="716" t="n"/>
      <c r="R38" s="716" t="n"/>
      <c r="S38" s="462" t="n"/>
      <c r="T38" s="716" t="n"/>
      <c r="U38" s="716" t="n"/>
      <c r="V38" s="716" t="n"/>
      <c r="W38" s="716" t="n"/>
      <c r="X38" s="190" t="n"/>
      <c r="Y38" s="190" t="n"/>
      <c r="Z38" s="716" t="n"/>
      <c r="AA38" s="716" t="n"/>
      <c r="AB38" s="203" t="n"/>
      <c r="AC38" s="716" t="n"/>
      <c r="AD38" s="716" t="n"/>
      <c r="AE38" s="716" t="n"/>
      <c r="AF38" s="716" t="n"/>
      <c r="AG38" s="716" t="n"/>
      <c r="AH38" s="716" t="n"/>
      <c r="AI38" s="716" t="n"/>
      <c r="AJ38" s="716" t="n"/>
      <c r="AK38" s="716" t="n"/>
      <c r="AL38" s="716" t="n"/>
      <c r="AM38" s="716" t="n"/>
      <c r="AN38" s="716" t="n"/>
      <c r="AO38" s="716" t="n"/>
    </row>
    <row r="39" ht="8.65" customFormat="1" customHeight="1" s="716">
      <c r="A39" s="716" t="n"/>
      <c r="B39" s="716" t="n"/>
      <c r="C39" s="716" t="n"/>
      <c r="D39" s="716" t="n"/>
      <c r="E39" s="716" t="n"/>
      <c r="F39" s="716" t="n"/>
      <c r="G39" s="716" t="n"/>
      <c r="H39" s="716" t="n"/>
      <c r="I39" s="716" t="n"/>
      <c r="J39" s="716" t="n"/>
      <c r="K39" s="716" t="n"/>
      <c r="L39" s="716" t="n"/>
      <c r="M39" s="716" t="n"/>
      <c r="N39" s="716" t="n"/>
      <c r="O39" s="716" t="n"/>
      <c r="P39" s="716" t="n"/>
      <c r="Q39" s="716" t="n"/>
      <c r="R39" s="716" t="n"/>
      <c r="S39" s="462" t="n"/>
      <c r="T39" s="716" t="n"/>
      <c r="U39" s="716" t="n"/>
      <c r="V39" s="716" t="n"/>
      <c r="W39" s="716" t="n"/>
      <c r="X39" s="536" t="inlineStr">
        <is>
          <t>项        目</t>
        </is>
      </c>
      <c r="Y39" s="542" t="inlineStr">
        <is>
          <t>行次</t>
        </is>
      </c>
      <c r="Z39" s="543" t="inlineStr">
        <is>
          <t>本月数</t>
        </is>
      </c>
      <c r="AA39" s="543" t="inlineStr">
        <is>
          <t>本年累计数</t>
        </is>
      </c>
      <c r="AB39" s="544" t="inlineStr">
        <is>
          <t>上年同期数</t>
        </is>
      </c>
      <c r="AC39" s="551" t="n"/>
      <c r="AD39" s="552" t="n"/>
      <c r="AE39" s="716" t="n"/>
      <c r="AF39" s="553" t="inlineStr">
        <is>
          <t>本年累计(存数）</t>
        </is>
      </c>
      <c r="AG39" s="716" t="n"/>
      <c r="AH39" s="716" t="n"/>
      <c r="AI39" s="716" t="n"/>
      <c r="AJ39" s="716" t="n"/>
      <c r="AK39" s="716" t="n"/>
      <c r="AL39" s="716" t="n"/>
      <c r="AM39" s="716" t="n"/>
      <c r="AN39" s="716" t="n"/>
      <c r="AO39" s="716" t="n"/>
    </row>
    <row r="40" ht="10.9" customFormat="1" customHeight="1" s="716">
      <c r="A40" s="716" t="n"/>
      <c r="B40" s="716" t="n"/>
      <c r="C40" s="716" t="n"/>
      <c r="D40" s="716" t="n"/>
      <c r="E40" s="716" t="n"/>
      <c r="F40" s="716" t="n"/>
      <c r="G40" s="716" t="n"/>
      <c r="H40" s="716" t="n"/>
      <c r="I40" s="716" t="n"/>
      <c r="J40" s="716" t="n"/>
      <c r="K40" s="716" t="n"/>
      <c r="L40" s="716" t="n"/>
      <c r="M40" s="716" t="n"/>
      <c r="N40" s="716" t="n"/>
      <c r="O40" s="716" t="n"/>
      <c r="P40" s="716" t="n"/>
      <c r="Q40" s="716" t="n"/>
      <c r="R40" s="716" t="n"/>
      <c r="S40" s="462" t="n"/>
      <c r="T40" s="716" t="n"/>
      <c r="U40" s="716" t="inlineStr">
        <is>
          <t>输入科目</t>
        </is>
      </c>
      <c r="V40" s="716" t="n"/>
      <c r="W40" s="716" t="n"/>
      <c r="X40" s="1276" t="n"/>
      <c r="Y40" s="1184" t="n"/>
      <c r="Z40" s="1184" t="n"/>
      <c r="AA40" s="1184" t="n"/>
      <c r="AB40" s="1277" t="n"/>
      <c r="AC40" s="1211" t="n"/>
      <c r="AD40" s="552" t="n"/>
      <c r="AE40" s="716" t="n"/>
      <c r="AF40" s="1210" t="n"/>
      <c r="AG40" s="716" t="n"/>
      <c r="AH40" s="716" t="n"/>
      <c r="AI40" s="716" t="n"/>
      <c r="AJ40" s="716" t="n"/>
      <c r="AK40" s="716" t="n"/>
      <c r="AL40" s="716" t="n"/>
      <c r="AM40" s="716" t="n"/>
      <c r="AN40" s="716" t="n"/>
      <c r="AO40" s="716" t="n"/>
    </row>
    <row r="41" hidden="1" ht="13.5" customFormat="1" customHeight="1" s="24">
      <c r="A41" s="24" t="n"/>
      <c r="B41" s="24" t="n"/>
      <c r="C41" s="24" t="n"/>
      <c r="D41" s="24" t="n"/>
      <c r="E41" s="24" t="n"/>
      <c r="F41" s="24" t="n"/>
      <c r="G41" s="24" t="n"/>
      <c r="H41" s="24" t="n"/>
      <c r="I41" s="24" t="n"/>
      <c r="J41" s="24" t="n"/>
      <c r="K41" s="24" t="n"/>
      <c r="L41" s="24" t="n"/>
      <c r="M41" s="24" t="n"/>
      <c r="N41" s="24" t="n"/>
      <c r="O41" s="24" t="n"/>
      <c r="P41" s="24" t="n"/>
      <c r="Q41" s="24" t="n"/>
      <c r="R41" s="24" t="n"/>
      <c r="S41" s="24" t="n"/>
      <c r="T41" s="24" t="n"/>
      <c r="U41" s="24" t="n"/>
      <c r="V41" s="24" t="n"/>
      <c r="W41" s="24" t="n"/>
      <c r="X41" s="538" t="inlineStr">
        <is>
          <t>time</t>
        </is>
      </c>
      <c r="Y41" s="523" t="n"/>
      <c r="Z41" s="469">
        <f>IF(_epmOfflineCondition_,"2025.03",EPMOlapMemberO($I$11,"[C_TIME].[PARENTH1].[2025.03]","2025.03 - 2025.03","","000"))</f>
        <v/>
      </c>
      <c r="AA41" s="469">
        <f>IF(_epmOfflineCondition_,"2025.03",EPMOlapMemberO($I$11,"[C_TIME].[PARENTH1].[2025.03]","2025.03 - 2025.03","","000"))</f>
        <v/>
      </c>
      <c r="AB41" s="546">
        <f>IF(_epmOfflineCondition_,"2024.03",EPMOlapMemberO(AB26,"[C_TIME].[PARENTH1].[2024.03]","2024.03 - 2024.03","","000"))</f>
        <v/>
      </c>
      <c r="AC41" s="13" t="n"/>
      <c r="AD41" s="13" t="n"/>
      <c r="AE41" s="462" t="n"/>
      <c r="AF41" s="462" t="n"/>
      <c r="AG41" s="462" t="n"/>
      <c r="AH41" s="462" t="n"/>
      <c r="AI41" s="462" t="n"/>
      <c r="AJ41" s="24" t="n"/>
      <c r="AK41" s="24" t="n"/>
      <c r="AL41" s="24" t="n"/>
      <c r="AM41" s="24" t="n"/>
      <c r="AN41" s="24" t="n"/>
      <c r="AO41" s="24" t="n"/>
    </row>
    <row r="42" hidden="1" ht="14.25" customFormat="1" customHeight="1" s="716">
      <c r="A42" s="716" t="n"/>
      <c r="B42" s="716" t="n"/>
      <c r="C42" s="716" t="n"/>
      <c r="D42" s="716" t="n"/>
      <c r="E42" s="716" t="n"/>
      <c r="F42" s="716" t="n"/>
      <c r="G42" s="716" t="n"/>
      <c r="H42" s="716" t="n"/>
      <c r="I42" s="716" t="n"/>
      <c r="J42" s="716" t="n"/>
      <c r="K42" s="716" t="n"/>
      <c r="L42" s="716" t="n"/>
      <c r="M42" s="716" t="n"/>
      <c r="N42" s="716" t="n"/>
      <c r="O42" s="716" t="n"/>
      <c r="P42" s="716" t="n"/>
      <c r="Q42" s="716" t="n"/>
      <c r="R42" s="716" t="n"/>
      <c r="S42" s="462" t="n"/>
      <c r="T42" s="716" t="n"/>
      <c r="U42" s="716" t="n"/>
      <c r="V42" s="716" t="n"/>
      <c r="W42" s="716" t="n"/>
      <c r="X42" s="538" t="inlineStr">
        <is>
          <t>category</t>
        </is>
      </c>
      <c r="Y42" s="515" t="n"/>
      <c r="Z42" s="182">
        <f>IF(_epmOfflineCondition_,"C1001",EPMOlapMemberO($Z$25,"[C_CATEGORY].[PARENTH1].[C1001]","C1001 - 实际数/决算数","","000"))</f>
        <v/>
      </c>
      <c r="AA42" s="182">
        <f>IF(_epmOfflineCondition_,"C1001",EPMOlapMemberO($Z$25,"[C_CATEGORY].[PARENTH1].[C1001]","C1001 - 实际数/决算数","","000"))</f>
        <v/>
      </c>
      <c r="AB42" s="899">
        <f>IF(_epmOfflineCondition_,"C1001",EPMOlapMemberO($Z$25,"[C_CATEGORY].[PARENTH1].[C1001]","C1001 - 实际数/决算数","","000"))</f>
        <v/>
      </c>
      <c r="AC42" s="13" t="n"/>
      <c r="AD42" s="13" t="n"/>
      <c r="AE42" s="716" t="n"/>
      <c r="AF42" s="716" t="n"/>
      <c r="AG42" s="716" t="n"/>
      <c r="AH42" s="716" t="n"/>
      <c r="AI42" s="716" t="n"/>
      <c r="AJ42" s="716" t="n"/>
      <c r="AK42" s="716" t="n"/>
      <c r="AL42" s="716" t="n"/>
      <c r="AM42" s="716" t="n"/>
      <c r="AN42" s="716" t="n"/>
      <c r="AO42" s="716" t="n"/>
    </row>
    <row r="43" hidden="1" ht="13.5" customFormat="1" customHeight="1" s="716">
      <c r="A43" s="716" t="n"/>
      <c r="B43" s="716" t="n"/>
      <c r="C43" s="716" t="n"/>
      <c r="D43" s="716" t="n"/>
      <c r="E43" s="716" t="n"/>
      <c r="F43" s="716" t="n"/>
      <c r="G43" s="716" t="n"/>
      <c r="H43" s="716" t="n"/>
      <c r="I43" s="716" t="n"/>
      <c r="J43" s="716" t="n"/>
      <c r="K43" s="716" t="n"/>
      <c r="L43" s="716" t="n"/>
      <c r="M43" s="716" t="n"/>
      <c r="N43" s="716" t="n"/>
      <c r="O43" s="716" t="n"/>
      <c r="P43" s="716" t="n"/>
      <c r="Q43" s="716" t="n"/>
      <c r="R43" s="716" t="n"/>
      <c r="S43" s="462" t="n"/>
      <c r="T43" s="716" t="n"/>
      <c r="U43" s="716" t="n"/>
      <c r="V43" s="716" t="n"/>
      <c r="W43" s="716" t="n"/>
      <c r="X43" s="538" t="inlineStr">
        <is>
          <t>audittrail</t>
        </is>
      </c>
      <c r="Y43" s="515" t="n"/>
      <c r="Z43" s="182">
        <f>IF(_epmOfflineCondition_,"DLC",EPMOlapMemberO($Z$31,"[C_AUDITTRAIL].[PARENTH1].[DLC]","DLC - 单体报表","","000"))</f>
        <v/>
      </c>
      <c r="AA43" s="182">
        <f>IF(_epmOfflineCondition_,"DLC",EPMOlapMemberO($Z$31,"[C_AUDITTRAIL].[PARENTH1].[DLC]","DLC - 单体报表","","000"))</f>
        <v/>
      </c>
      <c r="AB43" s="899">
        <f>IF(_epmOfflineCondition_,"DLC",EPMOlapMemberO($Z$31,"[C_AUDITTRAIL].[PARENTH1].[DLC]","DLC - 单体报表","","000"))</f>
        <v/>
      </c>
      <c r="AC43" s="13" t="n"/>
      <c r="AD43" s="13" t="n"/>
      <c r="AE43" s="716" t="n"/>
      <c r="AF43" s="716" t="n"/>
      <c r="AG43" s="716" t="n"/>
      <c r="AH43" s="716" t="n"/>
      <c r="AI43" s="716" t="n"/>
      <c r="AJ43" s="716" t="n"/>
      <c r="AK43" s="716" t="n"/>
      <c r="AL43" s="716" t="n"/>
      <c r="AM43" s="716" t="n"/>
      <c r="AN43" s="716" t="n"/>
      <c r="AO43" s="716" t="n"/>
    </row>
    <row r="44" hidden="1" outlineLevel="1" ht="13.5" customFormat="1" customHeight="1" s="716">
      <c r="A44" s="716" t="n"/>
      <c r="B44" s="716" t="n"/>
      <c r="C44" s="716" t="n"/>
      <c r="D44" s="716" t="n"/>
      <c r="E44" s="716" t="n"/>
      <c r="F44" s="716" t="n"/>
      <c r="G44" s="716" t="n"/>
      <c r="H44" s="716" t="n"/>
      <c r="I44" s="716" t="n"/>
      <c r="J44" s="716" t="n"/>
      <c r="K44" s="716" t="n"/>
      <c r="L44" s="716" t="n"/>
      <c r="M44" s="716" t="n"/>
      <c r="N44" s="716" t="n"/>
      <c r="O44" s="716" t="n"/>
      <c r="P44" s="716" t="n"/>
      <c r="Q44" s="716" t="n"/>
      <c r="R44" s="716" t="n"/>
      <c r="S44" s="462" t="n"/>
      <c r="T44" s="716" t="n"/>
      <c r="U44" s="716" t="n"/>
      <c r="V44" s="452" t="n"/>
      <c r="W44" s="716" t="n"/>
      <c r="X44" s="538" t="inlineStr">
        <is>
          <t>flow</t>
        </is>
      </c>
      <c r="Y44" s="515" t="n"/>
      <c r="Z44" s="182">
        <f>IF(_epmOfflineCondition_,"FMOV",EPMOlapMemberO($AE$28,"[C_FLOW].[PARENTH1].[FMOV]","FMOV - 本期变动","","000"))</f>
        <v/>
      </c>
      <c r="AA44" s="182">
        <f>IF(_epmOfflineCondition_,"FEND",EPMOlapMemberO($AC$28,"[C_FLOW].[PARENTH1].[FEND]","FEND - 期末金额","","000"))</f>
        <v/>
      </c>
      <c r="AB44" s="899">
        <f>IF(_epmOfflineCondition_,"FEND",EPMOlapMemberO($AC$28,"[C_FLOW].[PARENTH1].[FEND]","FEND - 期末金额","","000"))</f>
        <v/>
      </c>
      <c r="AC44" s="13" t="n"/>
      <c r="AD44" s="13" t="n"/>
      <c r="AE44" s="716" t="n"/>
      <c r="AF44" s="716" t="n"/>
      <c r="AG44" s="716" t="n"/>
      <c r="AH44" s="716" t="n"/>
      <c r="AI44" s="716" t="n"/>
      <c r="AJ44" s="716" t="n"/>
      <c r="AK44" s="716" t="n"/>
      <c r="AL44" s="716" t="n"/>
      <c r="AM44" s="716" t="n"/>
      <c r="AN44" s="716" t="n"/>
      <c r="AO44" s="716" t="n"/>
    </row>
    <row r="45" hidden="1" outlineLevel="1" ht="13.5" customFormat="1" customHeight="1" s="716">
      <c r="A45" s="716" t="n"/>
      <c r="B45" s="716" t="n"/>
      <c r="C45" s="716" t="n"/>
      <c r="D45" s="716" t="n"/>
      <c r="E45" s="716" t="n"/>
      <c r="F45" s="716" t="n"/>
      <c r="G45" s="716" t="n"/>
      <c r="H45" s="716" t="n"/>
      <c r="I45" s="716" t="n"/>
      <c r="J45" s="716" t="n"/>
      <c r="K45" s="716" t="n"/>
      <c r="L45" s="716" t="n"/>
      <c r="M45" s="716" t="n"/>
      <c r="N45" s="716" t="n"/>
      <c r="O45" s="716" t="n"/>
      <c r="P45" s="716" t="n"/>
      <c r="Q45" s="716" t="n"/>
      <c r="R45" s="716" t="n"/>
      <c r="S45" s="462" t="n"/>
      <c r="T45" s="716" t="n"/>
      <c r="U45" s="716" t="n"/>
      <c r="V45" s="716" t="n"/>
      <c r="W45" s="716" t="n"/>
      <c r="X45" s="538" t="inlineStr">
        <is>
          <t>measures</t>
        </is>
      </c>
      <c r="Y45" s="515" t="n"/>
      <c r="Z45" s="182">
        <f>IF(_epmOfflineCondition_,"Periodic",EPMOlapMemberO($AB$27,"[MEASURES].[].[PERIODIC]","PERIODIC - Periodic","","000"))</f>
        <v/>
      </c>
      <c r="AA45" s="182">
        <f>IF(_epmOfflineCondition_,"YTD",EPMOlapMemberO($AA$27,"[MEASURES].[].[YTD]","YTD - Year To Date","","000"))</f>
        <v/>
      </c>
      <c r="AB45" s="899">
        <f>IF(_epmOfflineCondition_,"YTD",EPMOlapMemberO($AA$27,"[MEASURES].[].[YTD]","YTD - Year To Date","","000"))</f>
        <v/>
      </c>
      <c r="AC45" s="13" t="n"/>
      <c r="AD45" s="13" t="n"/>
      <c r="AE45" s="716" t="n"/>
      <c r="AF45" s="716" t="n"/>
      <c r="AG45" s="716" t="n"/>
      <c r="AH45" s="716" t="n"/>
      <c r="AI45" s="716" t="n"/>
      <c r="AJ45" s="716" t="n"/>
      <c r="AK45" s="716" t="n"/>
      <c r="AL45" s="716" t="n"/>
      <c r="AM45" s="716" t="n"/>
      <c r="AN45" s="716" t="n"/>
      <c r="AO45" s="716" t="n"/>
    </row>
    <row r="46" collapsed="1" ht="16.15" customFormat="1" customHeight="1" s="716">
      <c r="A46" s="716" t="n"/>
      <c r="B46" s="716" t="n"/>
      <c r="C46" s="716" t="n"/>
      <c r="D46" s="716" t="n"/>
      <c r="E46" s="716" t="n"/>
      <c r="F46" s="716" t="n"/>
      <c r="G46" s="716" t="n"/>
      <c r="H46" s="716" t="n"/>
      <c r="I46" s="716" t="n"/>
      <c r="J46" s="716" t="n"/>
      <c r="K46" s="716" t="n"/>
      <c r="L46" s="1192">
        <f>IF(_epmOfflineCondition_,0,EPMRetrieveData(,,$D$21,$D$22,$D$25,$D$26,$D$27,$D$28,$D$29,$AB$41,$AB$42,$AB$43,"FMOV_OP",$AB$45,Q46))</f>
        <v/>
      </c>
      <c r="M46" s="716" t="inlineStr">
        <is>
          <t>上年同期</t>
        </is>
      </c>
      <c r="N46" s="1192">
        <f>IF(_epmOfflineCondition_,0,EPMRetrieveData(,,$D$21,$D$22,$D$25,$D$26,$D$27,$D$28,$D$29,$Z$41,$Z$42,$Z$43,"FMOV_OP",$Z$45,Q46))</f>
        <v/>
      </c>
      <c r="O46" s="716" t="inlineStr">
        <is>
          <t>本月</t>
        </is>
      </c>
      <c r="P46" s="716">
        <f>IF(_epmOfflineCondition_,0,EPMRetrieveData(,,$D$21,$D$22,$D$25,$D$26,$D$27,$D$28,$D$29,$AA$41,$AA$42,$AA$43,"FMOV_OP",$AA$45,Q46))</f>
        <v/>
      </c>
      <c r="Q46" s="716" t="inlineStr">
        <is>
          <t>A0020213</t>
        </is>
      </c>
      <c r="R46" s="716" t="inlineStr">
        <is>
          <t>本年</t>
        </is>
      </c>
      <c r="S46" s="462">
        <f>IF(_epmOfflineCondition_,"53.已交税费（京内）",EPMMemberDesc(U46))</f>
        <v/>
      </c>
      <c r="T46" s="716" t="n"/>
      <c r="U46" s="514" t="inlineStr">
        <is>
          <t>A07821</t>
        </is>
      </c>
      <c r="V46" s="462">
        <f>IF(_epmOfflineCondition_,"A07821",EPMOlapMemberO(U46,"[C_ACCOUNT].[PARENTH1].[A07821]","A07821 - 53.已交税费（京内）","","000"))</f>
        <v/>
      </c>
      <c r="W46" s="462" t="n"/>
      <c r="X46" s="539" t="inlineStr">
        <is>
          <t>一、在京已交税费（不含个人所得税）</t>
        </is>
      </c>
      <c r="Y46" s="1185">
        <f>ROW()-45</f>
        <v/>
      </c>
      <c r="Z46" s="1364">
        <f>SUM(Z47:Z51)</f>
        <v/>
      </c>
      <c r="AA46" s="1364">
        <f>SUM(AA47:AA51)</f>
        <v/>
      </c>
      <c r="AB46" s="1365" t="n"/>
      <c r="AC46" s="1192" t="n"/>
      <c r="AD46" s="1192" t="n"/>
      <c r="AE46" s="116" t="inlineStr">
        <is>
          <t>操作注意事项：</t>
        </is>
      </c>
      <c r="AF46" s="556">
        <f>IF(_epmOfflineCondition_,0,EPMSaveDataOnly(AA46,,$D$21,$Z$37,$E$25,$E$26,$E$27,$E$28,$E$29,$AA$41,$AA$42,$Z$29,$Z$28,$AA$45,V46))</f>
        <v/>
      </c>
      <c r="AG46" s="716" t="n"/>
      <c r="AH46" s="556" t="n"/>
      <c r="AI46" s="716" t="n"/>
      <c r="AJ46" s="716" t="n"/>
      <c r="AK46" s="716" t="n"/>
      <c r="AL46" s="716" t="n"/>
      <c r="AM46" s="716" t="n"/>
      <c r="AN46" s="716" t="n"/>
      <c r="AO46" s="716" t="n"/>
    </row>
    <row r="47" ht="16.15" customFormat="1" customHeight="1" s="716">
      <c r="A47" s="716" t="n"/>
      <c r="B47" s="716" t="n"/>
      <c r="C47" s="716" t="n"/>
      <c r="D47" s="716" t="n"/>
      <c r="E47" s="716" t="n"/>
      <c r="F47" s="716" t="n"/>
      <c r="G47" s="716" t="n"/>
      <c r="H47" s="716" t="n"/>
      <c r="I47" s="716" t="n"/>
      <c r="J47" s="716" t="n"/>
      <c r="K47" s="716" t="n"/>
      <c r="L47" s="1192">
        <f>IF(_epmOfflineCondition_,0,EPMRetrieveData(,,$D$21,$D$22,$D$25,$D$26,$D$27,$D$28,$D$29,$AB$41,$AB$42,$AB$43,"FMOV_OP",$AB$45,Q47))</f>
        <v/>
      </c>
      <c r="M47" s="1192">
        <f>L49+L47+L48-L46</f>
        <v/>
      </c>
      <c r="N47" s="1192">
        <f>IF(_epmOfflineCondition_,0,EPMRetrieveData(,,$D$21,$D$22,$D$25,$D$26,$D$27,$D$28,$D$29,$Z$41,$Z$42,$Z$43,"FMOV_OP",$Z$45,Q47))</f>
        <v/>
      </c>
      <c r="O47" s="1192">
        <f>N49+N47+N48-N46</f>
        <v/>
      </c>
      <c r="P47" s="716">
        <f>IF(_epmOfflineCondition_,0,EPMRetrieveData(,,$D$21,$D$22,$D$25,$D$26,$D$27,$D$28,$D$29,$AA$41,$AA$42,$AA$43,"FMOV_OP",$AA$45,Q47))</f>
        <v/>
      </c>
      <c r="Q47" s="514" t="inlineStr">
        <is>
          <t>A0020202</t>
        </is>
      </c>
      <c r="R47" s="716">
        <f>P49+P47+P48-P46</f>
        <v/>
      </c>
      <c r="S47" s="462">
        <f>IF(_epmOfflineCondition_,"其中：增值税",EPMMemberDesc(U47))</f>
        <v/>
      </c>
      <c r="T47" s="716" t="n"/>
      <c r="U47" s="842" t="inlineStr">
        <is>
          <t>A07823</t>
        </is>
      </c>
      <c r="V47" s="462">
        <f>IF(_epmOfflineCondition_,"A07823",EPMOlapMemberO(U47,"[C_ACCOUNT].[PARENTH1].[A07823]","A07823 - 其中：增值税","","000"))</f>
        <v/>
      </c>
      <c r="W47" s="462" t="n"/>
      <c r="X47" s="540" t="inlineStr">
        <is>
          <t xml:space="preserve">    其中：增值税</t>
        </is>
      </c>
      <c r="Y47" s="1185">
        <f>ROW()-45</f>
        <v/>
      </c>
      <c r="Z47" s="1366" t="n"/>
      <c r="AA47" s="1367" t="n"/>
      <c r="AB47" s="1368" t="n"/>
      <c r="AC47" s="1192" t="n"/>
      <c r="AD47" s="1192" t="n"/>
      <c r="AE47" s="116" t="inlineStr">
        <is>
          <t>🔺单体：上下文Scope选择G_DUMMY，Entity选择本单体，外币单位切换币种；币种选LC</t>
        </is>
      </c>
      <c r="AF47" s="556">
        <f>IF(_epmOfflineCondition_,0,EPMSaveDataOnly(AA47,,$D$21,$Z$37,$E$25,$E$26,$E$27,$E$28,$E$29,$AA$41,$AA$42,$Z$29,$Z$28,$AA$45,V47))</f>
        <v/>
      </c>
      <c r="AG47" s="716" t="n"/>
      <c r="AH47" s="556" t="n"/>
      <c r="AI47" s="716" t="n"/>
      <c r="AJ47" s="716" t="n"/>
      <c r="AK47" s="716" t="n"/>
      <c r="AL47" s="716" t="n"/>
      <c r="AM47" s="716" t="n"/>
      <c r="AN47" s="716" t="n"/>
      <c r="AO47" s="716" t="n"/>
    </row>
    <row r="48" ht="16.15" customFormat="1" customHeight="1" s="716">
      <c r="A48" s="716" t="n"/>
      <c r="B48" s="716" t="n"/>
      <c r="C48" s="716" t="n"/>
      <c r="D48" s="716" t="n"/>
      <c r="E48" s="716" t="n"/>
      <c r="F48" s="716" t="n"/>
      <c r="G48" s="716" t="n"/>
      <c r="H48" s="716" t="n"/>
      <c r="I48" s="716" t="n"/>
      <c r="J48" s="716" t="n"/>
      <c r="K48" s="716" t="n"/>
      <c r="L48" s="1192">
        <f>IF(_epmOfflineCondition_,0,EPMRetrieveData(,,$D$21,$D$22,$D$25,$D$26,$D$27,$D$28,$D$29,$AB$41,$AB$42,$AB$43,"FMOV_OP",$AB$45,Q48))</f>
        <v/>
      </c>
      <c r="M48" s="1192">
        <f>L49</f>
        <v/>
      </c>
      <c r="N48" s="1192">
        <f>IF(_epmOfflineCondition_,0,EPMRetrieveData(,,$D$21,$D$22,$D$25,$D$26,$D$27,$D$28,$D$29,$Z$41,$Z$42,$Z$43,"FMOV_OP",$Z$45,Q48))</f>
        <v/>
      </c>
      <c r="O48" s="1192">
        <f>N49</f>
        <v/>
      </c>
      <c r="P48" s="716">
        <f>IF(_epmOfflineCondition_,0,EPMRetrieveData(,,$D$21,$D$22,$D$25,$D$26,$D$27,$D$28,$D$29,$AA$41,$AA$42,$AA$43,"FMOV_OP",$AA$45,Q48))</f>
        <v/>
      </c>
      <c r="Q48" s="514" t="inlineStr">
        <is>
          <t>A0020203</t>
        </is>
      </c>
      <c r="R48" s="716" t="n"/>
      <c r="S48" s="462">
        <f>IF(_epmOfflineCondition_,"企业所得税",EPMMemberDesc(U48))</f>
        <v/>
      </c>
      <c r="T48" s="716" t="n"/>
      <c r="U48" s="842" t="inlineStr">
        <is>
          <t>A07824</t>
        </is>
      </c>
      <c r="V48" s="462">
        <f>IF(_epmOfflineCondition_,"A07824",EPMOlapMemberO(U48,"[C_ACCOUNT].[PARENTH1].[A07824]","A07824 - 企业所得税","","000"))</f>
        <v/>
      </c>
      <c r="W48" s="462" t="n"/>
      <c r="X48" s="540" t="inlineStr">
        <is>
          <t xml:space="preserve">          企业所得税</t>
        </is>
      </c>
      <c r="Y48" s="1185">
        <f>ROW()-45</f>
        <v/>
      </c>
      <c r="Z48" s="1366" t="n"/>
      <c r="AA48" s="1367" t="n"/>
      <c r="AB48" s="1368" t="n"/>
      <c r="AC48" s="1192" t="n"/>
      <c r="AD48" s="1192" t="n"/>
      <c r="AE48" s="116" t="inlineStr">
        <is>
          <t>🔺合并层：上下文Scope选择对应的合并范围Gxxxxxx,币种选CNY</t>
        </is>
      </c>
      <c r="AF48" s="556">
        <f>IF(_epmOfflineCondition_,0,EPMSaveDataOnly(AA48,,$D$21,$Z$37,$E$25,$E$26,$E$27,$E$28,$E$29,$AA$41,$AA$42,$Z$29,$Z$28,$AA$45,V48))</f>
        <v/>
      </c>
      <c r="AG48" s="716" t="n"/>
      <c r="AH48" s="556" t="n"/>
      <c r="AI48" s="716" t="n"/>
      <c r="AJ48" s="716" t="n"/>
      <c r="AK48" s="716" t="n"/>
      <c r="AL48" s="716" t="n"/>
      <c r="AM48" s="716" t="n"/>
      <c r="AN48" s="716" t="n"/>
      <c r="AO48" s="716" t="n"/>
    </row>
    <row r="49" ht="16.15" customFormat="1" customHeight="1" s="716">
      <c r="A49" s="716" t="n"/>
      <c r="B49" s="716" t="n"/>
      <c r="C49" s="716" t="n"/>
      <c r="D49" s="716" t="n"/>
      <c r="E49" s="716" t="n"/>
      <c r="F49" s="716" t="n"/>
      <c r="G49" s="716" t="n"/>
      <c r="H49" s="716" t="n"/>
      <c r="I49" s="716" t="n"/>
      <c r="J49" s="716" t="n"/>
      <c r="K49" s="716" t="n"/>
      <c r="L49" s="1192">
        <f>IF(_epmOfflineCondition_,0,EPMRetrieveData(,,$D$21,$D$22,$D$25,$D$26,$D$27,$D$28,$D$29,$AB$41,$AB$42,$AB$43,"FMOV_OP",$AB$45,Q49))</f>
        <v/>
      </c>
      <c r="M49" s="716" t="n"/>
      <c r="N49" s="1192">
        <f>IF(_epmOfflineCondition_,10784449.51,EPMRetrieveData(,,$D$21,$D$22,$D$25,$D$26,$D$27,$D$28,$D$29,$Z$41,$Z$42,$Z$43,"FMOV_OP",$Z$45,Q49))</f>
        <v/>
      </c>
      <c r="O49" s="716" t="n"/>
      <c r="P49" s="716">
        <f>IF(_epmOfflineCondition_,27496863.46,EPMRetrieveData(,,$D$21,$D$22,$D$25,$D$26,$D$27,$D$28,$D$29,$AA$41,$AA$42,$AA$43,"FMOV_OP",$AA$45,Q49))</f>
        <v/>
      </c>
      <c r="Q49" s="716" t="inlineStr">
        <is>
          <t>A0020201</t>
        </is>
      </c>
      <c r="R49" s="716" t="n"/>
      <c r="S49" s="462">
        <f>IF(_epmOfflineCondition_,"土地增值税",EPMMemberDesc(U49))</f>
        <v/>
      </c>
      <c r="T49" s="716" t="n"/>
      <c r="U49" s="842" t="inlineStr">
        <is>
          <t>A07825</t>
        </is>
      </c>
      <c r="V49" s="462">
        <f>IF(_epmOfflineCondition_,"A07825",EPMOlapMemberO(U49,"[C_ACCOUNT].[PARENTH1].[A07825]","A07825 - 土地增值税","","000"))</f>
        <v/>
      </c>
      <c r="W49" s="462" t="n"/>
      <c r="X49" s="540" t="inlineStr">
        <is>
          <t xml:space="preserve">          土地增值税</t>
        </is>
      </c>
      <c r="Y49" s="1185">
        <f>ROW()-45</f>
        <v/>
      </c>
      <c r="Z49" s="1366" t="n"/>
      <c r="AA49" s="1367" t="n"/>
      <c r="AB49" s="1368" t="n"/>
      <c r="AC49" s="1192" t="n"/>
      <c r="AD49" s="1192" t="n"/>
      <c r="AE49" s="716" t="n"/>
      <c r="AF49" s="556">
        <f>IF(_epmOfflineCondition_,0,EPMSaveDataOnly(AA49,,$D$21,$Z$37,$E$25,$E$26,$E$27,$E$28,$E$29,$AA$41,$AA$42,$Z$29,$Z$28,$AA$45,V49))</f>
        <v/>
      </c>
      <c r="AG49" s="716" t="n"/>
      <c r="AH49" s="556" t="n"/>
      <c r="AI49" s="716" t="n"/>
      <c r="AJ49" s="716" t="n"/>
      <c r="AK49" s="716" t="n"/>
      <c r="AL49" s="716" t="n"/>
      <c r="AM49" s="716" t="n"/>
      <c r="AN49" s="716" t="n"/>
      <c r="AO49" s="716" t="n"/>
    </row>
    <row r="50" ht="16.15" customFormat="1" customHeight="1" s="716">
      <c r="A50" s="716" t="n"/>
      <c r="B50" s="716" t="n"/>
      <c r="C50" s="716" t="n"/>
      <c r="D50" s="716" t="n"/>
      <c r="E50" s="716" t="n"/>
      <c r="F50" s="716" t="n"/>
      <c r="G50" s="716" t="n"/>
      <c r="H50" s="716" t="n"/>
      <c r="I50" s="716" t="n"/>
      <c r="J50" s="716" t="n"/>
      <c r="K50" s="716" t="n"/>
      <c r="L50" s="716" t="n"/>
      <c r="M50" s="716" t="n"/>
      <c r="N50" s="716" t="n"/>
      <c r="O50" s="716" t="n"/>
      <c r="P50" s="716" t="n"/>
      <c r="Q50" s="716" t="n"/>
      <c r="R50" s="716" t="n"/>
      <c r="S50" s="462">
        <f>IF(_epmOfflineCondition_,"房产税",EPMMemberDesc(U50))</f>
        <v/>
      </c>
      <c r="T50" s="716" t="n"/>
      <c r="U50" s="842" t="inlineStr">
        <is>
          <t>A07826</t>
        </is>
      </c>
      <c r="V50" s="462">
        <f>IF(_epmOfflineCondition_,"A07826",EPMOlapMemberO(U50,"[C_ACCOUNT].[PARENTH1].[A07826]","A07826 - 房产税","","000"))</f>
        <v/>
      </c>
      <c r="W50" s="462" t="n"/>
      <c r="X50" s="540" t="inlineStr">
        <is>
          <t xml:space="preserve">          房产税</t>
        </is>
      </c>
      <c r="Y50" s="1185">
        <f>ROW()-45</f>
        <v/>
      </c>
      <c r="Z50" s="1366" t="n"/>
      <c r="AA50" s="1367" t="n"/>
      <c r="AB50" s="1368" t="n"/>
      <c r="AC50" s="1192" t="n"/>
      <c r="AD50" s="1192" t="n"/>
      <c r="AE50" s="716" t="n"/>
      <c r="AF50" s="556">
        <f>IF(_epmOfflineCondition_,0,EPMSaveDataOnly(AA50,,$D$21,$Z$37,$E$25,$E$26,$E$27,$E$28,$E$29,$AA$41,$AA$42,$Z$29,$Z$28,$AA$45,V50))</f>
        <v/>
      </c>
      <c r="AG50" s="716" t="n"/>
      <c r="AH50" s="556" t="n"/>
      <c r="AI50" s="716" t="n"/>
      <c r="AJ50" s="716" t="n"/>
      <c r="AK50" s="716" t="n"/>
      <c r="AL50" s="716" t="n"/>
      <c r="AM50" s="716" t="n"/>
      <c r="AN50" s="716" t="n"/>
      <c r="AO50" s="716" t="n"/>
    </row>
    <row r="51" ht="16.15" customFormat="1" customHeight="1" s="716">
      <c r="A51" s="716" t="n"/>
      <c r="B51" s="716" t="n"/>
      <c r="C51" s="716" t="n"/>
      <c r="D51" s="716" t="n"/>
      <c r="E51" s="716" t="n"/>
      <c r="F51" s="716" t="n"/>
      <c r="G51" s="716" t="n"/>
      <c r="H51" s="716" t="n"/>
      <c r="I51" s="716" t="n"/>
      <c r="J51" s="716" t="n"/>
      <c r="K51" s="716" t="n"/>
      <c r="L51" s="716" t="n"/>
      <c r="M51" s="716" t="n"/>
      <c r="N51" s="716" t="n"/>
      <c r="O51" s="716" t="n"/>
      <c r="P51" s="716" t="n"/>
      <c r="Q51" s="716" t="n"/>
      <c r="R51" s="716" t="n"/>
      <c r="S51" s="462">
        <f>IF(_epmOfflineCondition_,"其他税费",EPMMemberDesc(U51))</f>
        <v/>
      </c>
      <c r="T51" s="716" t="n"/>
      <c r="U51" s="842" t="inlineStr">
        <is>
          <t>A07827</t>
        </is>
      </c>
      <c r="V51" s="462">
        <f>IF(_epmOfflineCondition_,"A07827",EPMOlapMemberO(U51,"[C_ACCOUNT].[PARENTH1].[A07827]","A07827 - 其他税费","","000"))</f>
        <v/>
      </c>
      <c r="W51" s="462" t="n"/>
      <c r="X51" s="540" t="inlineStr">
        <is>
          <t xml:space="preserve">          其他税费</t>
        </is>
      </c>
      <c r="Y51" s="1185">
        <f>ROW()-45</f>
        <v/>
      </c>
      <c r="Z51" s="1366" t="n"/>
      <c r="AA51" s="1367" t="n"/>
      <c r="AB51" s="1368" t="n"/>
      <c r="AC51" s="1192" t="n"/>
      <c r="AD51" s="1192" t="n"/>
      <c r="AE51" s="716" t="n"/>
      <c r="AF51" s="556">
        <f>IF(_epmOfflineCondition_,0,EPMSaveDataOnly(AA51,,$D$21,$Z$37,$E$25,$E$26,$E$27,$E$28,$E$29,$AA$41,$AA$42,$Z$29,$Z$28,$AA$45,V51))</f>
        <v/>
      </c>
      <c r="AG51" s="716" t="n"/>
      <c r="AH51" s="556" t="n"/>
      <c r="AI51" s="716" t="n"/>
      <c r="AJ51" s="716" t="n"/>
      <c r="AK51" s="716" t="n"/>
      <c r="AL51" s="716" t="n"/>
      <c r="AM51" s="716" t="n"/>
      <c r="AN51" s="716" t="n"/>
      <c r="AO51" s="716" t="n"/>
    </row>
    <row r="52" ht="16.15" customFormat="1" customHeight="1" s="716">
      <c r="A52" s="716" t="n"/>
      <c r="B52" s="716" t="n"/>
      <c r="C52" s="716" t="n"/>
      <c r="D52" s="716" t="n"/>
      <c r="E52" s="716" t="n"/>
      <c r="F52" s="716" t="n"/>
      <c r="G52" s="716" t="n"/>
      <c r="H52" s="716" t="n"/>
      <c r="I52" s="716" t="n"/>
      <c r="J52" s="716" t="n"/>
      <c r="K52" s="716" t="n"/>
      <c r="L52" s="716" t="n"/>
      <c r="M52" s="716" t="n"/>
      <c r="N52" s="716" t="n"/>
      <c r="O52" s="716" t="n"/>
      <c r="P52" s="716" t="n"/>
      <c r="Q52" s="716" t="n"/>
      <c r="R52" s="716" t="n"/>
      <c r="S52" s="462">
        <f>IF(_epmOfflineCondition_,"二、在京个人所得税",EPMMemberDesc(U52))</f>
        <v/>
      </c>
      <c r="T52" s="716" t="n"/>
      <c r="U52" s="842" t="inlineStr">
        <is>
          <t>A07828</t>
        </is>
      </c>
      <c r="V52" s="462">
        <f>IF(_epmOfflineCondition_,"A07828",EPMOlapMemberO(U52,"[C_ACCOUNT].[PARENTH1].[A07828]","A07828 - 二、在京个人所得税","","000"))</f>
        <v/>
      </c>
      <c r="W52" s="462" t="n"/>
      <c r="X52" s="539" t="inlineStr">
        <is>
          <t>二、在京个人所得税</t>
        </is>
      </c>
      <c r="Y52" s="1185">
        <f>ROW()-45</f>
        <v/>
      </c>
      <c r="Z52" s="1366" t="n"/>
      <c r="AA52" s="1367" t="n"/>
      <c r="AB52" s="1368" t="n"/>
      <c r="AC52" s="1192" t="n"/>
      <c r="AD52" s="1192" t="n"/>
      <c r="AE52" s="716" t="n"/>
      <c r="AF52" s="556">
        <f>IF(_epmOfflineCondition_,0,EPMSaveDataOnly(AA52,,$D$21,$Z$37,$E$25,$E$26,$E$27,$E$28,$E$29,$AA$41,$AA$42,$Z$29,$Z$28,$AA$45,V52))</f>
        <v/>
      </c>
      <c r="AG52" s="716" t="n"/>
      <c r="AH52" s="556" t="n"/>
      <c r="AI52" s="716" t="n"/>
      <c r="AJ52" s="716" t="n"/>
      <c r="AK52" s="716" t="n"/>
      <c r="AL52" s="716" t="n"/>
      <c r="AM52" s="716" t="n"/>
      <c r="AN52" s="716" t="n"/>
      <c r="AO52" s="716" t="n"/>
    </row>
    <row r="53" ht="16.15" customFormat="1" customHeight="1" s="716">
      <c r="A53" s="716" t="n"/>
      <c r="B53" s="716" t="n"/>
      <c r="C53" s="716" t="n"/>
      <c r="D53" s="716" t="n"/>
      <c r="E53" s="716" t="n"/>
      <c r="F53" s="716" t="n"/>
      <c r="G53" s="716" t="n"/>
      <c r="H53" s="716" t="n"/>
      <c r="I53" s="716" t="n"/>
      <c r="J53" s="716" t="n"/>
      <c r="K53" s="716" t="n"/>
      <c r="L53" s="716" t="n"/>
      <c r="M53" s="716" t="n"/>
      <c r="N53" s="716" t="n"/>
      <c r="O53" s="716" t="n"/>
      <c r="P53" s="716" t="n"/>
      <c r="Q53" s="716" t="n"/>
      <c r="R53" s="716" t="n"/>
      <c r="S53" s="462">
        <f>IF(_epmOfflineCondition_,"三、在京非税贡献",EPMMemberDesc(U53))</f>
        <v/>
      </c>
      <c r="T53" s="716" t="n"/>
      <c r="U53" s="842" t="inlineStr">
        <is>
          <t>A07829</t>
        </is>
      </c>
      <c r="V53" s="462">
        <f>IF(_epmOfflineCondition_,"A07829",EPMOlapMemberO(U53,"[C_ACCOUNT].[PARENTH1].[A07829]","A07829 - 三、在京非税贡献","","000"))</f>
        <v/>
      </c>
      <c r="W53" s="462" t="n"/>
      <c r="X53" s="539" t="inlineStr">
        <is>
          <t>三、在京非税贡献</t>
        </is>
      </c>
      <c r="Y53" s="1185">
        <f>ROW()-45</f>
        <v/>
      </c>
      <c r="Z53" s="1366" t="n"/>
      <c r="AA53" s="1367" t="n"/>
      <c r="AB53" s="1368" t="n"/>
      <c r="AC53" s="1192" t="n"/>
      <c r="AD53" s="1192" t="n"/>
      <c r="AE53" s="716" t="n"/>
      <c r="AF53" s="556">
        <f>IF(_epmOfflineCondition_,0,EPMSaveDataOnly(AA53,,$D$21,$Z$37,$E$25,$E$26,$E$27,$E$28,$E$29,$AA$41,$AA$42,$Z$29,$Z$28,$AA$45,V53))</f>
        <v/>
      </c>
      <c r="AG53" s="716" t="n"/>
      <c r="AH53" s="556" t="n"/>
      <c r="AI53" s="716" t="n"/>
      <c r="AJ53" s="716" t="n"/>
      <c r="AK53" s="716" t="n"/>
      <c r="AL53" s="716" t="n"/>
      <c r="AM53" s="716" t="n"/>
      <c r="AN53" s="716" t="n"/>
      <c r="AO53" s="716" t="n"/>
    </row>
    <row r="54" ht="16.15" customFormat="1" customHeight="1" s="716">
      <c r="A54" s="716" t="n"/>
      <c r="B54" s="716" t="n"/>
      <c r="C54" s="716" t="n"/>
      <c r="D54" s="716" t="n"/>
      <c r="E54" s="716" t="n"/>
      <c r="F54" s="716" t="n"/>
      <c r="G54" s="716" t="n"/>
      <c r="H54" s="716" t="n"/>
      <c r="I54" s="716" t="n"/>
      <c r="J54" s="716" t="n"/>
      <c r="K54" s="716" t="n"/>
      <c r="L54" s="716" t="n"/>
      <c r="M54" s="716" t="n"/>
      <c r="N54" s="716" t="n"/>
      <c r="O54" s="716" t="n"/>
      <c r="P54" s="716" t="n"/>
      <c r="Q54" s="716" t="n"/>
      <c r="R54" s="716" t="n"/>
      <c r="S54" s="462">
        <f>IF(_epmOfflineCondition_,"其中：国有资本经营收益收缴",EPMMemberDesc(U54))</f>
        <v/>
      </c>
      <c r="T54" s="716" t="n"/>
      <c r="U54" s="842" t="inlineStr">
        <is>
          <t>A07830</t>
        </is>
      </c>
      <c r="V54" s="462">
        <f>IF(_epmOfflineCondition_,"A07830",EPMOlapMemberO(U54,"[C_ACCOUNT].[PARENTH1].[A07830]","A07830 - 其中：国有资本经营收益收缴","","000"))</f>
        <v/>
      </c>
      <c r="W54" s="462" t="n"/>
      <c r="X54" s="540" t="inlineStr">
        <is>
          <t xml:space="preserve">    其中：国有资本经营收益收缴</t>
        </is>
      </c>
      <c r="Y54" s="1185">
        <f>ROW()-45</f>
        <v/>
      </c>
      <c r="Z54" s="1366" t="n"/>
      <c r="AA54" s="1367" t="n"/>
      <c r="AB54" s="1368" t="n"/>
      <c r="AC54" s="1192" t="n"/>
      <c r="AD54" s="1192" t="n"/>
      <c r="AE54" s="716" t="n"/>
      <c r="AF54" s="556">
        <f>IF(_epmOfflineCondition_,0,EPMSaveDataOnly(AA54,,$D$21,$Z$37,$E$25,$E$26,$E$27,$E$28,$E$29,$AA$41,$AA$42,$Z$29,$Z$28,$AA$45,V54))</f>
        <v/>
      </c>
      <c r="AG54" s="716" t="n"/>
      <c r="AH54" s="556" t="n"/>
      <c r="AI54" s="716" t="n"/>
      <c r="AJ54" s="716" t="n"/>
      <c r="AK54" s="716" t="n"/>
      <c r="AL54" s="716" t="n"/>
      <c r="AM54" s="716" t="n"/>
      <c r="AN54" s="716" t="n"/>
      <c r="AO54" s="716" t="n"/>
    </row>
    <row r="55" ht="16.15" customFormat="1" customHeight="1" s="716">
      <c r="A55" s="716" t="n"/>
      <c r="B55" s="716" t="n"/>
      <c r="C55" s="716" t="n"/>
      <c r="D55" s="716" t="n"/>
      <c r="E55" s="716" t="n"/>
      <c r="F55" s="716" t="n"/>
      <c r="G55" s="716" t="n"/>
      <c r="H55" s="716" t="n"/>
      <c r="I55" s="716" t="n"/>
      <c r="J55" s="716" t="n"/>
      <c r="K55" s="716" t="n"/>
      <c r="L55" s="716" t="n"/>
      <c r="M55" s="716" t="n"/>
      <c r="N55" s="716" t="n"/>
      <c r="O55" s="716" t="n"/>
      <c r="P55" s="716" t="n"/>
      <c r="Q55" s="716" t="n"/>
      <c r="R55" s="716" t="n"/>
      <c r="S55" s="462">
        <f>IF(_epmOfflineCondition_,"四、在京土地出让金",EPMMemberDesc(U55))</f>
        <v/>
      </c>
      <c r="T55" s="716" t="n"/>
      <c r="U55" s="842" t="inlineStr">
        <is>
          <t>A07831</t>
        </is>
      </c>
      <c r="V55" s="462">
        <f>IF(_epmOfflineCondition_,"A07831",EPMOlapMemberO(U55,"[C_ACCOUNT].[PARENTH1].[A07831]","A07831 - 四、在京土地出让金","","000"))</f>
        <v/>
      </c>
      <c r="W55" s="462" t="n"/>
      <c r="X55" s="540" t="inlineStr">
        <is>
          <t xml:space="preserve">             在京土地出让金</t>
        </is>
      </c>
      <c r="Y55" s="1185">
        <f>ROW()-45</f>
        <v/>
      </c>
      <c r="Z55" s="1366" t="n"/>
      <c r="AA55" s="1367" t="n"/>
      <c r="AB55" s="1368" t="n"/>
      <c r="AC55" s="1192" t="n"/>
      <c r="AD55" s="1192" t="n"/>
      <c r="AE55" s="716" t="n"/>
      <c r="AF55" s="556">
        <f>IF(_epmOfflineCondition_,0,EPMSaveDataOnly(AA55,,$D$21,$Z$37,$E$25,$E$26,$E$27,$E$28,$E$29,$AA$41,$AA$42,$Z$29,$Z$28,$AA$45,V55))</f>
        <v/>
      </c>
      <c r="AG55" s="716" t="n"/>
      <c r="AH55" s="556" t="n"/>
      <c r="AI55" s="716" t="n"/>
      <c r="AJ55" s="716" t="n"/>
      <c r="AK55" s="716" t="n"/>
      <c r="AL55" s="716" t="n"/>
      <c r="AM55" s="716" t="n"/>
      <c r="AN55" s="716" t="n"/>
      <c r="AO55" s="716" t="n"/>
    </row>
    <row r="56" ht="16.15" customFormat="1" customHeight="1" s="716">
      <c r="A56" s="716" t="n"/>
      <c r="B56" s="716" t="n"/>
      <c r="C56" s="716" t="n"/>
      <c r="D56" s="716" t="n"/>
      <c r="E56" s="716" t="n"/>
      <c r="F56" s="716" t="n"/>
      <c r="G56" s="716" t="n"/>
      <c r="H56" s="716" t="n"/>
      <c r="I56" s="716" t="n"/>
      <c r="J56" s="716" t="n"/>
      <c r="K56" s="716" t="n"/>
      <c r="L56" s="716" t="n"/>
      <c r="M56" s="716" t="n"/>
      <c r="N56" s="716" t="n"/>
      <c r="O56" s="716" t="n"/>
      <c r="P56" s="716" t="n"/>
      <c r="Q56" s="716" t="n"/>
      <c r="R56" s="716" t="n"/>
      <c r="S56" s="462">
        <f>IF(_epmOfflineCondition_,"在京财政贡献合计",EPMMemberDesc(U56))</f>
        <v/>
      </c>
      <c r="T56" s="716" t="n"/>
      <c r="U56" s="842" t="inlineStr">
        <is>
          <t>A07832</t>
        </is>
      </c>
      <c r="V56" s="462">
        <f>IF(_epmOfflineCondition_,"A07832",EPMOlapMemberO(U56,"[C_ACCOUNT].[PARENTH1].[A07832]","A07832 - 在京财政贡献合计","","000"))</f>
        <v/>
      </c>
      <c r="W56" s="462" t="n"/>
      <c r="X56" s="541" t="inlineStr">
        <is>
          <t>在京财政贡献合计</t>
        </is>
      </c>
      <c r="Y56" s="1185">
        <f>ROW()-45</f>
        <v/>
      </c>
      <c r="Z56" s="1364">
        <f>Z46+Z52+Z53</f>
        <v/>
      </c>
      <c r="AA56" s="1364">
        <f>AA46+AA52+AA53</f>
        <v/>
      </c>
      <c r="AB56" s="1364">
        <f>AB46+AB52+AB53</f>
        <v/>
      </c>
      <c r="AC56" s="1192" t="n"/>
      <c r="AD56" s="1192" t="n"/>
      <c r="AE56" s="716" t="n"/>
      <c r="AF56" s="556">
        <f>IF(_epmOfflineCondition_,0,EPMSaveDataOnly(AA56,,$D$21,$Z$37,$E$25,$E$26,$E$27,$E$28,$E$29,$AA$41,$AA$42,$Z$29,$Z$28,$AA$45,V56))</f>
        <v/>
      </c>
      <c r="AG56" s="716" t="n"/>
      <c r="AH56" s="556" t="n"/>
      <c r="AI56" s="716" t="n"/>
      <c r="AJ56" s="716" t="n"/>
      <c r="AK56" s="716" t="n"/>
      <c r="AL56" s="716" t="n"/>
      <c r="AM56" s="716" t="n"/>
      <c r="AN56" s="716" t="n"/>
      <c r="AO56" s="716" t="n"/>
    </row>
    <row r="57" ht="16.15" customFormat="1" customHeight="1" s="716">
      <c r="A57" s="716" t="n"/>
      <c r="B57" s="716" t="n"/>
      <c r="C57" s="716" t="n"/>
      <c r="D57" s="716" t="n"/>
      <c r="E57" s="716" t="n"/>
      <c r="F57" s="716" t="n"/>
      <c r="G57" s="716" t="n"/>
      <c r="H57" s="716" t="n"/>
      <c r="I57" s="716" t="n"/>
      <c r="J57" s="716" t="n"/>
      <c r="K57" s="716" t="n"/>
      <c r="L57" s="716" t="n"/>
      <c r="M57" s="716" t="n"/>
      <c r="N57" s="716" t="n"/>
      <c r="O57" s="716" t="n"/>
      <c r="P57" s="716" t="n"/>
      <c r="Q57" s="716" t="n"/>
      <c r="R57" s="716" t="n"/>
      <c r="S57" s="462">
        <f>IF(_epmOfflineCondition_,"54.劳动生产总值（京内）",EPMMemberDesc(U57))</f>
        <v/>
      </c>
      <c r="T57" s="716" t="n"/>
      <c r="U57" s="514" t="inlineStr">
        <is>
          <t>A07822</t>
        </is>
      </c>
      <c r="V57" s="462">
        <f>IF(_epmOfflineCondition_,"A07822",EPMOlapMemberO(U57,"[C_ACCOUNT].[PARENTH1].[A07822]","A07822 - 54.劳动生产总值（京内）","","000"))</f>
        <v/>
      </c>
      <c r="W57" s="462" t="n"/>
      <c r="X57" s="539" t="inlineStr">
        <is>
          <t>四、在京增加值（劳动生产总值）</t>
        </is>
      </c>
      <c r="Y57" s="1185">
        <f>ROW()-45</f>
        <v/>
      </c>
      <c r="Z57" s="1364">
        <f>SUM(Z58:Z61)</f>
        <v/>
      </c>
      <c r="AA57" s="1364">
        <f>SUM(AA58:AA61)</f>
        <v/>
      </c>
      <c r="AB57" s="1365" t="n"/>
      <c r="AC57" s="1192" t="n"/>
      <c r="AD57" s="1192" t="n"/>
      <c r="AE57" s="716" t="n"/>
      <c r="AF57" s="556">
        <f>IF(_epmOfflineCondition_,0,EPMSaveDataOnly(AA57,,$D$21,$Z$37,$E$25,$E$26,$E$27,$E$28,$E$29,$AA$41,$AA$42,$Z$29,$Z$28,$AA$45,V57))</f>
        <v/>
      </c>
      <c r="AG57" s="716" t="n"/>
      <c r="AH57" s="556" t="n"/>
      <c r="AI57" s="716" t="n"/>
      <c r="AJ57" s="716" t="n"/>
      <c r="AK57" s="716" t="n"/>
      <c r="AL57" s="716" t="n"/>
      <c r="AM57" s="716" t="n"/>
      <c r="AN57" s="716" t="n"/>
      <c r="AO57" s="716" t="n"/>
    </row>
    <row r="58" ht="16.15" customFormat="1" customHeight="1" s="716">
      <c r="A58" s="716" t="n"/>
      <c r="B58" s="716" t="n"/>
      <c r="C58" s="716" t="n"/>
      <c r="D58" s="716" t="n"/>
      <c r="E58" s="716" t="n"/>
      <c r="F58" s="716" t="n"/>
      <c r="G58" s="716" t="n"/>
      <c r="H58" s="716" t="n"/>
      <c r="I58" s="716" t="n"/>
      <c r="J58" s="716" t="n"/>
      <c r="K58" s="716" t="n"/>
      <c r="L58" s="716" t="n"/>
      <c r="M58" s="716" t="n"/>
      <c r="N58" s="716" t="n"/>
      <c r="O58" s="716" t="n"/>
      <c r="P58" s="716" t="n"/>
      <c r="Q58" s="716" t="n"/>
      <c r="R58" s="716" t="n"/>
      <c r="S58" s="462">
        <f>IF(_epmOfflineCondition_,"其中：在京劳动者报酬",EPMMemberDesc(U58))</f>
        <v/>
      </c>
      <c r="T58" s="716" t="n"/>
      <c r="U58" s="842" t="inlineStr">
        <is>
          <t>A07833</t>
        </is>
      </c>
      <c r="V58" s="462">
        <f>IF(_epmOfflineCondition_,"A07833",EPMOlapMemberO(U58,"[C_ACCOUNT].[PARENTH1].[A07833]","A07833 - 其中：在京劳动者报酬","","000"))</f>
        <v/>
      </c>
      <c r="W58" s="462" t="n"/>
      <c r="X58" s="540" t="inlineStr">
        <is>
          <t xml:space="preserve">    其中：在京劳动者报酬</t>
        </is>
      </c>
      <c r="Y58" s="1185">
        <f>ROW()-45</f>
        <v/>
      </c>
      <c r="Z58" s="1366" t="n"/>
      <c r="AA58" s="1367" t="n"/>
      <c r="AB58" s="1368" t="n"/>
      <c r="AC58" s="1192" t="n"/>
      <c r="AD58" s="1192" t="n"/>
      <c r="AE58" s="716" t="n"/>
      <c r="AF58" s="556">
        <f>IF(_epmOfflineCondition_,0,EPMSaveDataOnly(AA58,,$D$21,$Z$37,$E$25,$E$26,$E$27,$E$28,$E$29,$AA$41,$AA$42,$Z$29,$Z$28,$AA$45,V58))</f>
        <v/>
      </c>
      <c r="AG58" s="716" t="n"/>
      <c r="AH58" s="556" t="n"/>
      <c r="AI58" s="716" t="n"/>
      <c r="AJ58" s="716" t="n"/>
      <c r="AK58" s="716" t="n"/>
      <c r="AL58" s="716" t="n"/>
      <c r="AM58" s="716" t="n"/>
      <c r="AN58" s="716" t="n"/>
      <c r="AO58" s="716" t="n"/>
    </row>
    <row r="59" ht="16.15" customFormat="1" customHeight="1" s="716">
      <c r="A59" s="716" t="n"/>
      <c r="B59" s="716" t="n"/>
      <c r="C59" s="716" t="n"/>
      <c r="D59" s="716" t="n"/>
      <c r="E59" s="716" t="n"/>
      <c r="F59" s="716" t="n"/>
      <c r="G59" s="716" t="n"/>
      <c r="H59" s="716" t="n"/>
      <c r="I59" s="716" t="n"/>
      <c r="J59" s="716" t="n"/>
      <c r="K59" s="716" t="n"/>
      <c r="L59" s="716" t="n"/>
      <c r="M59" s="716" t="n"/>
      <c r="N59" s="716" t="n"/>
      <c r="O59" s="716" t="n"/>
      <c r="P59" s="716" t="n"/>
      <c r="Q59" s="716" t="n"/>
      <c r="R59" s="716" t="n"/>
      <c r="S59" s="462">
        <f>IF(_epmOfflineCondition_,"在京生产税",EPMMemberDesc(U59))</f>
        <v/>
      </c>
      <c r="T59" s="716" t="n"/>
      <c r="U59" s="842" t="inlineStr">
        <is>
          <t>A07834</t>
        </is>
      </c>
      <c r="V59" s="462">
        <f>IF(_epmOfflineCondition_,"A07834",EPMOlapMemberO(U59,"[C_ACCOUNT].[PARENTH1].[A07834]","A07834 - 在京生产税","","000"))</f>
        <v/>
      </c>
      <c r="W59" s="462" t="n"/>
      <c r="X59" s="540" t="inlineStr">
        <is>
          <t xml:space="preserve">          在京生产税</t>
        </is>
      </c>
      <c r="Y59" s="1185">
        <f>ROW()-45</f>
        <v/>
      </c>
      <c r="Z59" s="1366" t="n"/>
      <c r="AA59" s="1367" t="n"/>
      <c r="AB59" s="1368" t="n"/>
      <c r="AC59" s="1192" t="n"/>
      <c r="AD59" s="1192" t="n"/>
      <c r="AE59" s="716" t="n"/>
      <c r="AF59" s="556">
        <f>IF(_epmOfflineCondition_,0,EPMSaveDataOnly(AA59,,$D$21,$Z$37,$E$25,$E$26,$E$27,$E$28,$E$29,$AA$41,$AA$42,$Z$29,$Z$28,$AA$45,V59))</f>
        <v/>
      </c>
      <c r="AG59" s="716" t="n"/>
      <c r="AH59" s="556" t="n"/>
      <c r="AI59" s="716" t="n"/>
      <c r="AJ59" s="716" t="n"/>
      <c r="AK59" s="716" t="n"/>
      <c r="AL59" s="716" t="n"/>
      <c r="AM59" s="716" t="n"/>
      <c r="AN59" s="716" t="n"/>
      <c r="AO59" s="716" t="n"/>
    </row>
    <row r="60" ht="16.15" customFormat="1" customHeight="1" s="716">
      <c r="A60" s="716" t="n"/>
      <c r="B60" s="716" t="n"/>
      <c r="C60" s="716" t="n"/>
      <c r="D60" s="716" t="n"/>
      <c r="E60" s="716" t="n"/>
      <c r="F60" s="716" t="n"/>
      <c r="G60" s="716" t="n"/>
      <c r="H60" s="716" t="n"/>
      <c r="I60" s="716" t="n"/>
      <c r="J60" s="716" t="n"/>
      <c r="K60" s="716" t="n"/>
      <c r="L60" s="716" t="n"/>
      <c r="M60" s="716" t="n"/>
      <c r="N60" s="716" t="n"/>
      <c r="O60" s="716" t="n"/>
      <c r="P60" s="716" t="n"/>
      <c r="Q60" s="716" t="n"/>
      <c r="R60" s="716" t="n"/>
      <c r="S60" s="462">
        <f>IF(_epmOfflineCondition_,"在京资产折旧",EPMMemberDesc(U60))</f>
        <v/>
      </c>
      <c r="T60" s="716" t="n"/>
      <c r="U60" s="842" t="inlineStr">
        <is>
          <t>A07835</t>
        </is>
      </c>
      <c r="V60" s="462">
        <f>IF(_epmOfflineCondition_,"A07835",EPMOlapMemberO(U60,"[C_ACCOUNT].[PARENTH1].[A07835]","A07835 - 在京资产折旧","","000"))</f>
        <v/>
      </c>
      <c r="W60" s="462" t="n"/>
      <c r="X60" s="540" t="inlineStr">
        <is>
          <t xml:space="preserve">          在京资产折旧</t>
        </is>
      </c>
      <c r="Y60" s="1185">
        <f>ROW()-45</f>
        <v/>
      </c>
      <c r="Z60" s="1366" t="n"/>
      <c r="AA60" s="1367" t="n"/>
      <c r="AB60" s="1368" t="n"/>
      <c r="AC60" s="1192" t="n"/>
      <c r="AD60" s="1192" t="n"/>
      <c r="AE60" s="716" t="n"/>
      <c r="AF60" s="556">
        <f>IF(_epmOfflineCondition_,0,EPMSaveDataOnly(AA60,,$D$21,$Z$37,$E$25,$E$26,$E$27,$E$28,$E$29,$AA$41,$AA$42,$Z$29,$Z$28,$AA$45,V60))</f>
        <v/>
      </c>
      <c r="AG60" s="716" t="n"/>
      <c r="AH60" s="556" t="n"/>
      <c r="AI60" s="716" t="n"/>
      <c r="AJ60" s="716" t="n"/>
      <c r="AK60" s="716" t="n"/>
      <c r="AL60" s="716" t="n"/>
      <c r="AM60" s="716" t="n"/>
      <c r="AN60" s="716" t="n"/>
      <c r="AO60" s="716" t="n"/>
    </row>
    <row r="61" ht="16.15" customFormat="1" customHeight="1" s="716">
      <c r="A61" s="716" t="n"/>
      <c r="B61" s="716" t="n"/>
      <c r="C61" s="716" t="n"/>
      <c r="D61" s="716" t="n"/>
      <c r="E61" s="716" t="n"/>
      <c r="F61" s="716" t="n"/>
      <c r="G61" s="716" t="n"/>
      <c r="H61" s="716" t="n"/>
      <c r="I61" s="716" t="n"/>
      <c r="J61" s="716" t="n"/>
      <c r="K61" s="716" t="n"/>
      <c r="L61" s="716" t="n"/>
      <c r="M61" s="716" t="n"/>
      <c r="N61" s="716" t="n"/>
      <c r="O61" s="716" t="n"/>
      <c r="P61" s="716" t="n"/>
      <c r="Q61" s="716" t="n"/>
      <c r="R61" s="716" t="n"/>
      <c r="S61" s="462">
        <f>IF(_epmOfflineCondition_,"在京营业盈余",EPMMemberDesc(U61))</f>
        <v/>
      </c>
      <c r="T61" s="716" t="n"/>
      <c r="U61" s="842" t="inlineStr">
        <is>
          <t>A07836</t>
        </is>
      </c>
      <c r="V61" s="462">
        <f>IF(_epmOfflineCondition_,"A07836",EPMOlapMemberO(U61,"[C_ACCOUNT].[PARENTH1].[A07836]","A07836 - 在京营业盈余","","000"))</f>
        <v/>
      </c>
      <c r="W61" s="462" t="n"/>
      <c r="X61" s="540" t="inlineStr">
        <is>
          <t xml:space="preserve">          在京营业盈余</t>
        </is>
      </c>
      <c r="Y61" s="1185">
        <f>ROW()-45</f>
        <v/>
      </c>
      <c r="Z61" s="1366" t="n"/>
      <c r="AA61" s="1367" t="n"/>
      <c r="AB61" s="1368" t="n"/>
      <c r="AC61" s="1192" t="n"/>
      <c r="AD61" s="1192" t="n"/>
      <c r="AE61" s="716" t="n"/>
      <c r="AF61" s="556">
        <f>IF(_epmOfflineCondition_,0,EPMSaveDataOnly(AA61,,$D$21,$Z$37,$E$25,$E$26,$E$27,$E$28,$E$29,$AA$41,$AA$42,$Z$29,$Z$28,$AA$45,V61))</f>
        <v/>
      </c>
      <c r="AG61" s="716" t="n"/>
      <c r="AH61" s="556" t="n"/>
      <c r="AI61" s="716" t="n"/>
      <c r="AJ61" s="716" t="n"/>
      <c r="AK61" s="716" t="n"/>
      <c r="AL61" s="716" t="n"/>
      <c r="AM61" s="716" t="n"/>
      <c r="AN61" s="716" t="n"/>
      <c r="AO61" s="716" t="n"/>
    </row>
    <row r="62" ht="16.15" customFormat="1" customHeight="1" s="716">
      <c r="A62" s="716" t="n"/>
      <c r="B62" s="716" t="n"/>
      <c r="C62" s="716" t="n"/>
      <c r="D62" s="716" t="n"/>
      <c r="E62" s="716" t="n"/>
      <c r="F62" s="716" t="n"/>
      <c r="G62" s="716" t="n"/>
      <c r="H62" s="716" t="n"/>
      <c r="I62" s="716" t="n"/>
      <c r="J62" s="716" t="n"/>
      <c r="K62" s="716" t="n"/>
      <c r="L62" s="716" t="n"/>
      <c r="M62" s="716" t="n"/>
      <c r="N62" s="716" t="n"/>
      <c r="O62" s="716" t="n"/>
      <c r="P62" s="716" t="n"/>
      <c r="Q62" s="716" t="n"/>
      <c r="R62" s="462" t="n"/>
      <c r="S62" s="462">
        <f>IF(_epmOfflineCondition_,"",EPMMemberDesc(U62))</f>
        <v/>
      </c>
      <c r="T62" s="716" t="n"/>
      <c r="U62" s="514" t="n"/>
      <c r="V62" s="635">
        <f>IF(_epmOfflineCondition_,"",EPMOlapMemberO(U62,"[C_ACCOUNT].[PARENTH1].[A00203]","A00203 - 三、营业利润（亏损以“-""号填列）","","000"))</f>
        <v/>
      </c>
      <c r="W62" s="462" t="n"/>
      <c r="X62" s="539" t="inlineStr">
        <is>
          <t>五、企业经营补充指标</t>
        </is>
      </c>
      <c r="Y62" s="1185">
        <f>ROW()-45</f>
        <v/>
      </c>
      <c r="Z62" s="1369">
        <f>"——"</f>
        <v/>
      </c>
      <c r="AA62" s="1369">
        <f>"——"</f>
        <v/>
      </c>
      <c r="AB62" s="1370">
        <f>"——"</f>
        <v/>
      </c>
      <c r="AC62" s="1192" t="n"/>
      <c r="AD62" s="1192" t="n"/>
      <c r="AE62" s="716" t="n"/>
      <c r="AF62" s="556" t="n"/>
      <c r="AG62" s="716" t="n"/>
      <c r="AH62" s="556" t="n"/>
      <c r="AI62" s="716" t="n"/>
      <c r="AJ62" s="716" t="n"/>
      <c r="AK62" s="716" t="n"/>
      <c r="AL62" s="716" t="n"/>
      <c r="AM62" s="716" t="n"/>
      <c r="AN62" s="716" t="n"/>
      <c r="AO62" s="716" t="n"/>
    </row>
    <row r="63" ht="16.15" customFormat="1" customHeight="1" s="716">
      <c r="A63" s="716" t="n"/>
      <c r="B63" s="716" t="n"/>
      <c r="C63" s="716" t="n"/>
      <c r="D63" s="716" t="n"/>
      <c r="E63" s="716" t="n"/>
      <c r="F63" s="716" t="n"/>
      <c r="G63" s="716" t="n"/>
      <c r="H63" s="716" t="n"/>
      <c r="I63" s="716" t="n"/>
      <c r="J63" s="716" t="n"/>
      <c r="K63" s="716" t="n"/>
      <c r="L63" s="716" t="n"/>
      <c r="M63" s="716" t="n"/>
      <c r="N63" s="716" t="n"/>
      <c r="O63" s="716" t="n"/>
      <c r="P63" s="716" t="n"/>
      <c r="Q63" s="716" t="n"/>
      <c r="R63" s="716" t="n"/>
      <c r="S63" s="462">
        <f>IF(_epmOfflineCondition_,"39.对外捐赠支出总额",EPMMemberDesc(U63))</f>
        <v/>
      </c>
      <c r="T63" s="716" t="n"/>
      <c r="U63" s="514" t="inlineStr">
        <is>
          <t>A07808</t>
        </is>
      </c>
      <c r="V63" s="462">
        <f>IF(_epmOfflineCondition_,"A07808",EPMOlapMemberO(U63,"[C_ACCOUNT].[PARENTH1].[A07808]","A07808 - 39.对外捐赠支出总额","","000"))</f>
        <v/>
      </c>
      <c r="W63" s="462" t="n"/>
      <c r="X63" s="540" t="inlineStr">
        <is>
          <t xml:space="preserve">    1.对外捐赠支出总额</t>
        </is>
      </c>
      <c r="Y63" s="1185">
        <f>ROW()-45</f>
        <v/>
      </c>
      <c r="Z63" s="1369" t="n"/>
      <c r="AA63" s="1367" t="n"/>
      <c r="AB63" s="1368" t="n"/>
      <c r="AC63" s="1192" t="n"/>
      <c r="AD63" s="1192" t="n"/>
      <c r="AE63" s="716" t="n"/>
      <c r="AF63" s="556">
        <f>IF(_epmOfflineCondition_,0,EPMSaveDataOnly(AA63,,$D$21,$Z$37,$E$25,$E$26,$E$27,$E$28,$E$29,$AA$41,$AA$42,$Z$29,$Z$28,$AA$45,V63))</f>
        <v/>
      </c>
      <c r="AG63" s="716" t="n"/>
      <c r="AH63" s="556" t="n"/>
      <c r="AI63" s="716" t="n"/>
      <c r="AJ63" s="716" t="n"/>
      <c r="AK63" s="716" t="n"/>
      <c r="AL63" s="716" t="n"/>
      <c r="AM63" s="716" t="n"/>
      <c r="AN63" s="716" t="n"/>
      <c r="AO63" s="716" t="n"/>
    </row>
    <row r="64" ht="16.15" customFormat="1" customHeight="1" s="716">
      <c r="A64" s="716" t="n"/>
      <c r="B64" s="716" t="n"/>
      <c r="C64" s="716" t="n"/>
      <c r="D64" s="716" t="n"/>
      <c r="E64" s="716" t="n"/>
      <c r="F64" s="716" t="n"/>
      <c r="G64" s="716" t="n"/>
      <c r="H64" s="716" t="n"/>
      <c r="I64" s="716" t="n"/>
      <c r="J64" s="716" t="n"/>
      <c r="K64" s="716" t="n"/>
      <c r="L64" s="716" t="n"/>
      <c r="M64" s="716" t="n"/>
      <c r="N64" s="716" t="n"/>
      <c r="O64" s="716" t="n"/>
      <c r="P64" s="716" t="n"/>
      <c r="Q64" s="716" t="n"/>
      <c r="R64" s="716" t="n"/>
      <c r="S64" s="462">
        <f>IF(_epmOfflineCondition_,"   其中：货币资金",EPMMemberDesc(U64))</f>
        <v/>
      </c>
      <c r="T64" s="716" t="n"/>
      <c r="U64" s="514" t="inlineStr">
        <is>
          <t>A0780801</t>
        </is>
      </c>
      <c r="V64" s="455">
        <f>IF(_epmOfflineCondition_,"A0780801",EPMOlapMemberO(U64,"[C_ACCOUNT].[PARENTH1].[A0780801]","A0780801 -    其中：货币资金","","000"))</f>
        <v/>
      </c>
      <c r="W64" s="462" t="n"/>
      <c r="X64" s="540" t="inlineStr">
        <is>
          <t xml:space="preserve">      其中：货币资金</t>
        </is>
      </c>
      <c r="Y64" s="1185">
        <f>ROW()-45</f>
        <v/>
      </c>
      <c r="Z64" s="1369" t="n"/>
      <c r="AA64" s="1367" t="n"/>
      <c r="AB64" s="1368" t="n"/>
      <c r="AC64" s="1192" t="n"/>
      <c r="AD64" s="1192" t="n"/>
      <c r="AE64" s="716" t="n"/>
      <c r="AF64" s="556">
        <f>IF(_epmOfflineCondition_,0,EPMSaveDataOnly(AA64,,$D$21,$Z$37,$E$25,$E$26,$E$27,$E$28,$E$29,$AA$41,$AA$42,$Z$29,$Z$28,$AA$45,V64))</f>
        <v/>
      </c>
      <c r="AG64" s="716" t="n"/>
      <c r="AH64" s="556" t="n"/>
      <c r="AI64" s="716" t="n"/>
      <c r="AJ64" s="716" t="n"/>
      <c r="AK64" s="716" t="n"/>
      <c r="AL64" s="716" t="n"/>
      <c r="AM64" s="716" t="n"/>
      <c r="AN64" s="716" t="n"/>
      <c r="AO64" s="716" t="n"/>
    </row>
    <row r="65" ht="16.15" customFormat="1" customHeight="1" s="716">
      <c r="A65" s="716" t="n"/>
      <c r="B65" s="716" t="n"/>
      <c r="C65" s="716" t="n"/>
      <c r="D65" s="716" t="n"/>
      <c r="E65" s="716" t="n"/>
      <c r="F65" s="716" t="n"/>
      <c r="G65" s="716" t="n"/>
      <c r="H65" s="716" t="n"/>
      <c r="I65" s="716" t="n"/>
      <c r="J65" s="716" t="n"/>
      <c r="K65" s="716" t="n"/>
      <c r="L65" s="716" t="n"/>
      <c r="M65" s="716" t="n"/>
      <c r="N65" s="716" t="n"/>
      <c r="O65" s="716" t="n"/>
      <c r="P65" s="716" t="n"/>
      <c r="Q65" s="716" t="n"/>
      <c r="R65" s="716" t="n"/>
      <c r="S65" s="462">
        <f>IF(_epmOfflineCondition_,"49.营业成本-原材料",EPMMemberDesc(U65))</f>
        <v/>
      </c>
      <c r="T65" s="716" t="n"/>
      <c r="U65" s="514" t="inlineStr">
        <is>
          <t>A07814</t>
        </is>
      </c>
      <c r="V65" s="462">
        <f>IF(_epmOfflineCondition_,"A07814",EPMOlapMemberO(U65,"[C_ACCOUNT].[PARENTH1].[A07814]","A07814 - 49.营业成本-原材料","","000"))</f>
        <v/>
      </c>
      <c r="W65" s="462" t="n"/>
      <c r="X65" s="1371" t="inlineStr">
        <is>
          <t xml:space="preserve">    2.营业成本-原材料</t>
        </is>
      </c>
      <c r="Y65" s="1185">
        <f>ROW()-45</f>
        <v/>
      </c>
      <c r="Z65" s="1369" t="n"/>
      <c r="AA65" s="1367" t="n"/>
      <c r="AB65" s="1368" t="n"/>
      <c r="AC65" s="1192" t="n"/>
      <c r="AD65" s="1192" t="n"/>
      <c r="AE65" s="716" t="n"/>
      <c r="AF65" s="556">
        <f>IF(_epmOfflineCondition_,0,EPMSaveDataOnly(AA65,,$D$21,$Z$37,$E$25,$E$26,$E$27,$E$28,$E$29,$AA$41,$AA$42,$Z$29,$Z$28,$AA$45,V65))</f>
        <v/>
      </c>
      <c r="AG65" s="716" t="n"/>
      <c r="AH65" s="556" t="n"/>
      <c r="AI65" s="716" t="n"/>
      <c r="AJ65" s="716" t="n"/>
      <c r="AK65" s="716" t="n"/>
      <c r="AL65" s="716" t="n"/>
      <c r="AM65" s="716" t="n"/>
      <c r="AN65" s="716" t="n"/>
      <c r="AO65" s="716" t="n"/>
    </row>
    <row r="66" ht="16.15" customFormat="1" customHeight="1" s="716">
      <c r="A66" s="716" t="n"/>
      <c r="B66" s="716" t="n"/>
      <c r="C66" s="716" t="n"/>
      <c r="D66" s="716" t="n"/>
      <c r="E66" s="716" t="n"/>
      <c r="F66" s="716" t="n"/>
      <c r="G66" s="716" t="n"/>
      <c r="H66" s="716" t="n"/>
      <c r="I66" s="716" t="n"/>
      <c r="J66" s="716" t="n"/>
      <c r="K66" s="716" t="n"/>
      <c r="L66" s="716" t="n"/>
      <c r="M66" s="716" t="n"/>
      <c r="N66" s="716" t="n"/>
      <c r="O66" s="716" t="n"/>
      <c r="P66" s="716" t="n"/>
      <c r="Q66" s="716" t="n"/>
      <c r="R66" s="716" t="n"/>
      <c r="S66" s="462">
        <f>IF(_epmOfflineCondition_,"50.营业成本-人工成本",EPMMemberDesc(U66))</f>
        <v/>
      </c>
      <c r="T66" s="716" t="n"/>
      <c r="U66" s="514" t="inlineStr">
        <is>
          <t>A07815</t>
        </is>
      </c>
      <c r="V66" s="462">
        <f>IF(_epmOfflineCondition_,"A07815",EPMOlapMemberO(U66,"[C_ACCOUNT].[PARENTH1].[A07815]","A07815 - 50.营业成本-人工成本","","000"))</f>
        <v/>
      </c>
      <c r="W66" s="462" t="n"/>
      <c r="X66" s="1371" t="inlineStr">
        <is>
          <t xml:space="preserve">    3.营业成本-人工成本</t>
        </is>
      </c>
      <c r="Y66" s="1185">
        <f>ROW()-45</f>
        <v/>
      </c>
      <c r="Z66" s="1369" t="inlineStr"/>
      <c r="AA66" s="1367" t="inlineStr"/>
      <c r="AB66" s="1368" t="n"/>
      <c r="AC66" s="1192" t="n"/>
      <c r="AD66" s="1192" t="n"/>
      <c r="AE66" s="716" t="n"/>
      <c r="AF66" s="556">
        <f>IF(_epmOfflineCondition_,3096227.54,EPMSaveDataOnly(AA66,,$D$21,$Z$37,$E$25,$E$26,$E$27,$E$28,$E$29,$AA$41,$AA$42,$Z$29,$Z$28,$AA$45,V66))</f>
        <v/>
      </c>
      <c r="AG66" s="716" t="n"/>
      <c r="AH66" s="556" t="n"/>
      <c r="AI66" s="716" t="n"/>
      <c r="AJ66" s="716" t="n"/>
      <c r="AK66" s="716" t="n"/>
      <c r="AL66" s="716" t="n"/>
      <c r="AM66" s="716" t="n"/>
      <c r="AN66" s="716" t="n"/>
      <c r="AO66" s="716" t="n"/>
    </row>
    <row r="67" ht="16.15" customFormat="1" customHeight="1" s="716">
      <c r="A67" s="716" t="n"/>
      <c r="B67" s="716" t="n"/>
      <c r="C67" s="716" t="n"/>
      <c r="D67" s="716" t="n"/>
      <c r="E67" s="716" t="n"/>
      <c r="F67" s="716" t="n"/>
      <c r="G67" s="716" t="n"/>
      <c r="H67" s="716" t="n"/>
      <c r="I67" s="716" t="n"/>
      <c r="J67" s="716" t="n"/>
      <c r="K67" s="716" t="n"/>
      <c r="L67" s="716" t="n"/>
      <c r="M67" s="716" t="n"/>
      <c r="N67" s="716" t="n"/>
      <c r="O67" s="716" t="n"/>
      <c r="P67" s="716" t="n"/>
      <c r="Q67" s="384" t="n"/>
      <c r="R67" s="384" t="n"/>
      <c r="S67" s="462" t="n"/>
      <c r="T67" s="716" t="n"/>
      <c r="U67" s="514" t="n"/>
      <c r="V67" s="455">
        <f>IF(_epmOfflineCondition_,"",EPMOlapMemberO(U67,"[C_ACCOUNT].[PARENTH1].[A0020504]","A0020504 - 　　归属于母公司所有者的净利润","","000"))</f>
        <v/>
      </c>
      <c r="W67" s="462" t="n"/>
      <c r="X67" s="539" t="inlineStr">
        <is>
          <t>六、债务监测补充指标</t>
        </is>
      </c>
      <c r="Y67" s="1185">
        <f>ROW()-45</f>
        <v/>
      </c>
      <c r="Z67" s="1369">
        <f>"——"</f>
        <v/>
      </c>
      <c r="AA67" s="1369">
        <f>"——"</f>
        <v/>
      </c>
      <c r="AB67" s="1370">
        <f>"——"</f>
        <v/>
      </c>
      <c r="AC67" s="1192" t="n"/>
      <c r="AD67" s="1192" t="n"/>
      <c r="AE67" s="716" t="n"/>
      <c r="AF67" s="556" t="n"/>
      <c r="AG67" s="716" t="n"/>
      <c r="AH67" s="556" t="n"/>
      <c r="AI67" s="716" t="n"/>
      <c r="AJ67" s="716" t="n"/>
      <c r="AK67" s="716" t="n"/>
      <c r="AL67" s="716" t="n"/>
      <c r="AM67" s="716" t="n"/>
      <c r="AN67" s="716" t="n"/>
      <c r="AO67" s="716" t="n"/>
    </row>
    <row r="68" ht="16.15" customFormat="1" customHeight="1" s="716">
      <c r="A68" s="716" t="n"/>
      <c r="B68" s="716" t="n"/>
      <c r="C68" s="716" t="n"/>
      <c r="D68" s="716" t="n"/>
      <c r="E68" s="716" t="n"/>
      <c r="F68" s="716" t="n"/>
      <c r="G68" s="716" t="n"/>
      <c r="H68" s="716" t="n"/>
      <c r="I68" s="716" t="n"/>
      <c r="J68" s="716" t="n"/>
      <c r="K68" s="716" t="n"/>
      <c r="L68" s="716" t="n"/>
      <c r="M68" s="716" t="n"/>
      <c r="N68" s="716" t="n"/>
      <c r="O68" s="716" t="n"/>
      <c r="P68" s="716" t="n"/>
      <c r="Q68" s="384" t="n"/>
      <c r="R68" s="384" t="n"/>
      <c r="S68" s="462">
        <f>IF(_epmOfflineCondition_,"  一年内到期的非流动资产",EPMMemberDesc(U68))</f>
        <v/>
      </c>
      <c r="T68" s="716" t="n"/>
      <c r="U68" s="514" t="inlineStr">
        <is>
          <t>A001010116</t>
        </is>
      </c>
      <c r="V68" s="535">
        <f>IF(_epmOfflineCondition_,"A001010116",EPMOlapMemberO(U68,"[C_ACCOUNT].[PARENTH1].[A001010116]","A001010116 -   一年内到期的非流动资产","","000"))</f>
        <v/>
      </c>
      <c r="W68" s="462" t="n"/>
      <c r="X68" s="540" t="inlineStr">
        <is>
          <t xml:space="preserve">    1.一年内到期的非流动资产</t>
        </is>
      </c>
      <c r="Y68" s="1185">
        <f>ROW()-45</f>
        <v/>
      </c>
      <c r="Z68" s="1369">
        <f>"——"</f>
        <v/>
      </c>
      <c r="AA68" s="1366" t="n"/>
      <c r="AB68" s="1368" t="n"/>
      <c r="AC68" s="1192" t="n"/>
      <c r="AD68" s="1192" t="n"/>
      <c r="AE68" s="716" t="n"/>
      <c r="AF68" s="556" t="n"/>
      <c r="AG68" s="716" t="n"/>
      <c r="AH68" s="556" t="n"/>
      <c r="AI68" s="716" t="n"/>
      <c r="AJ68" s="716" t="n"/>
      <c r="AK68" s="716" t="n"/>
      <c r="AL68" s="716" t="n"/>
      <c r="AM68" s="716" t="n"/>
      <c r="AN68" s="716" t="n"/>
      <c r="AO68" s="716" t="n"/>
    </row>
    <row r="69" ht="16.15" customFormat="1" customHeight="1" s="716">
      <c r="A69" s="716" t="n"/>
      <c r="B69" s="716" t="n"/>
      <c r="C69" s="716" t="n"/>
      <c r="D69" s="716" t="n"/>
      <c r="E69" s="716" t="n"/>
      <c r="F69" s="716" t="n"/>
      <c r="G69" s="716" t="n"/>
      <c r="H69" s="716" t="n"/>
      <c r="I69" s="716" t="n"/>
      <c r="J69" s="716" t="n"/>
      <c r="K69" s="716" t="n"/>
      <c r="L69" s="716" t="n"/>
      <c r="M69" s="716" t="n"/>
      <c r="N69" s="716" t="n"/>
      <c r="O69" s="716" t="n"/>
      <c r="P69" s="716" t="n"/>
      <c r="Q69" s="384" t="n"/>
      <c r="R69" s="384" t="n"/>
      <c r="S69" s="462">
        <f>IF(_epmOfflineCondition_,"  预付款项",EPMMemberDesc(U69))</f>
        <v/>
      </c>
      <c r="T69" s="716" t="n"/>
      <c r="U69" s="514" t="inlineStr">
        <is>
          <t>A001010108</t>
        </is>
      </c>
      <c r="V69" s="535">
        <f>IF(_epmOfflineCondition_,"A001010108",EPMOlapMemberO(U69,"[C_ACCOUNT].[PARENTH1].[A001010108]","A001010108 -   预付款项","","000"))</f>
        <v/>
      </c>
      <c r="W69" s="462" t="n"/>
      <c r="X69" s="540" t="inlineStr">
        <is>
          <t xml:space="preserve">    2.预付账款</t>
        </is>
      </c>
      <c r="Y69" s="1185">
        <f>ROW()-45</f>
        <v/>
      </c>
      <c r="Z69" s="1369">
        <f>"——"</f>
        <v/>
      </c>
      <c r="AA69" s="1366" t="inlineStr"/>
      <c r="AB69" s="1368" t="inlineStr"/>
      <c r="AC69" s="1192" t="n"/>
      <c r="AD69" s="1192" t="n"/>
      <c r="AE69" s="716" t="n"/>
      <c r="AF69" s="556" t="n"/>
      <c r="AG69" s="716" t="n"/>
      <c r="AH69" s="556" t="n"/>
      <c r="AI69" s="716" t="n"/>
      <c r="AJ69" s="716" t="n"/>
      <c r="AK69" s="716" t="n"/>
      <c r="AL69" s="716" t="n"/>
      <c r="AM69" s="716" t="n"/>
      <c r="AN69" s="716" t="n"/>
      <c r="AO69" s="716" t="n"/>
    </row>
    <row r="70" ht="16.15" customFormat="1" customHeight="1" s="716">
      <c r="A70" s="716" t="n"/>
      <c r="B70" s="716" t="n"/>
      <c r="C70" s="716" t="n"/>
      <c r="D70" s="716" t="n"/>
      <c r="E70" s="716" t="n"/>
      <c r="F70" s="716" t="n"/>
      <c r="G70" s="716" t="n"/>
      <c r="H70" s="716" t="n"/>
      <c r="I70" s="716" t="n"/>
      <c r="J70" s="716" t="n"/>
      <c r="K70" s="716" t="n"/>
      <c r="L70" s="716" t="n"/>
      <c r="M70" s="716" t="n"/>
      <c r="N70" s="716" t="n"/>
      <c r="O70" s="716" t="n"/>
      <c r="P70" s="716" t="n"/>
      <c r="Q70" s="384" t="n"/>
      <c r="R70" s="384" t="n"/>
      <c r="S70" s="462">
        <f>IF(_epmOfflineCondition_,"   预收款项",EPMMemberDesc(U70))</f>
        <v/>
      </c>
      <c r="T70" s="716" t="n"/>
      <c r="U70" s="514" t="inlineStr">
        <is>
          <t>A001020109</t>
        </is>
      </c>
      <c r="V70" s="459">
        <f>IF(_epmOfflineCondition_,"A001020109",EPMOlapMemberO(U70,"[C_ACCOUNT].[PARENTH1].[A001020109]","A001020109 -    预收款项","","000"))</f>
        <v/>
      </c>
      <c r="W70" s="462" t="n"/>
      <c r="X70" s="540" t="inlineStr">
        <is>
          <t xml:space="preserve">    3.预收账款</t>
        </is>
      </c>
      <c r="Y70" s="1185">
        <f>ROW()-45</f>
        <v/>
      </c>
      <c r="Z70" s="1369">
        <f>"——"</f>
        <v/>
      </c>
      <c r="AA70" s="1366" t="n"/>
      <c r="AB70" s="1368" t="n"/>
      <c r="AC70" s="1192" t="n"/>
      <c r="AD70" s="1192" t="n"/>
      <c r="AE70" s="716" t="n"/>
      <c r="AF70" s="556" t="n"/>
      <c r="AG70" s="716" t="n"/>
      <c r="AH70" s="556" t="n"/>
      <c r="AI70" s="716" t="n"/>
      <c r="AJ70" s="716" t="n"/>
      <c r="AK70" s="716" t="n"/>
      <c r="AL70" s="716" t="n"/>
      <c r="AM70" s="716" t="n"/>
      <c r="AN70" s="716" t="n"/>
      <c r="AO70" s="716" t="n"/>
    </row>
    <row r="71" ht="16.15" customFormat="1" customHeight="1" s="716">
      <c r="A71" s="716" t="n"/>
      <c r="B71" s="716" t="n"/>
      <c r="C71" s="716" t="n"/>
      <c r="D71" s="716" t="n"/>
      <c r="E71" s="716" t="n"/>
      <c r="F71" s="716" t="n"/>
      <c r="G71" s="716" t="n"/>
      <c r="H71" s="716" t="n"/>
      <c r="I71" s="716" t="n"/>
      <c r="J71" s="716" t="n"/>
      <c r="K71" s="716" t="n"/>
      <c r="L71" s="716" t="n"/>
      <c r="M71" s="716" t="n"/>
      <c r="N71" s="716" t="n"/>
      <c r="O71" s="716" t="n"/>
      <c r="P71" s="716" t="n"/>
      <c r="Q71" s="384" t="n"/>
      <c r="R71" s="384" t="n"/>
      <c r="S71" s="462">
        <f>IF(_epmOfflineCondition_,"   合同负债",EPMMemberDesc(U71))</f>
        <v/>
      </c>
      <c r="T71" s="716" t="n"/>
      <c r="U71" s="514" t="inlineStr">
        <is>
          <t>A001020110</t>
        </is>
      </c>
      <c r="V71" s="459">
        <f>IF(_epmOfflineCondition_,"A001020110",EPMOlapMemberO(U71,"[C_ACCOUNT].[PARENTH1].[A001020110]","A001020110 -    合同负债","","000"))</f>
        <v/>
      </c>
      <c r="W71" s="462" t="n"/>
      <c r="X71" s="540" t="inlineStr">
        <is>
          <t xml:space="preserve">    4.合同负债</t>
        </is>
      </c>
      <c r="Y71" s="1185">
        <f>ROW()-45</f>
        <v/>
      </c>
      <c r="Z71" s="1369">
        <f>"——"</f>
        <v/>
      </c>
      <c r="AA71" s="1366" t="n"/>
      <c r="AB71" s="1368" t="n"/>
      <c r="AC71" s="1192" t="n"/>
      <c r="AD71" s="1192" t="n"/>
      <c r="AE71" s="716" t="n"/>
      <c r="AF71" s="556" t="n"/>
      <c r="AG71" s="716" t="n"/>
      <c r="AH71" s="556" t="n"/>
      <c r="AI71" s="716" t="n"/>
      <c r="AJ71" s="716" t="n"/>
      <c r="AK71" s="716" t="n"/>
      <c r="AL71" s="716" t="n"/>
      <c r="AM71" s="716" t="n"/>
      <c r="AN71" s="716" t="n"/>
      <c r="AO71" s="716" t="n"/>
    </row>
    <row r="72" ht="16.15" customFormat="1" customHeight="1" s="716">
      <c r="A72" s="716" t="n"/>
      <c r="B72" s="716" t="n"/>
      <c r="C72" s="716" t="n"/>
      <c r="D72" s="716" t="n"/>
      <c r="E72" s="716" t="n"/>
      <c r="F72" s="716" t="n"/>
      <c r="G72" s="716" t="n"/>
      <c r="H72" s="716" t="n"/>
      <c r="I72" s="716" t="n"/>
      <c r="J72" s="716" t="n"/>
      <c r="K72" s="716" t="n"/>
      <c r="L72" s="716" t="n"/>
      <c r="M72" s="716" t="n"/>
      <c r="N72" s="716" t="n"/>
      <c r="O72" s="716" t="n"/>
      <c r="P72" s="716" t="n"/>
      <c r="Q72" s="384" t="n"/>
      <c r="R72" s="384" t="n"/>
      <c r="S72" s="462">
        <f>IF(_epmOfflineCondition_,"44. 带息流动负债",EPMMemberDesc(U72))</f>
        <v/>
      </c>
      <c r="T72" s="716" t="n"/>
      <c r="U72" s="514" t="inlineStr">
        <is>
          <t>A07819</t>
        </is>
      </c>
      <c r="V72" s="462">
        <f>IF(_epmOfflineCondition_,"A07819",EPMOlapMemberO(U72,"[C_ACCOUNT].[PARENTH1].[A07819]","A07819 - 44. 带息流动负债","","000"))</f>
        <v/>
      </c>
      <c r="W72" s="462" t="n"/>
      <c r="X72" s="540" t="inlineStr">
        <is>
          <t xml:space="preserve">    5.带息流动负债</t>
        </is>
      </c>
      <c r="Y72" s="1185">
        <f>ROW()-45</f>
        <v/>
      </c>
      <c r="Z72" s="1369">
        <f>"——"</f>
        <v/>
      </c>
      <c r="AA72" s="1367" t="n"/>
      <c r="AB72" s="1368" t="inlineStr"/>
      <c r="AC72" s="1192" t="n"/>
      <c r="AD72" s="1192" t="n"/>
      <c r="AE72" s="716" t="n"/>
      <c r="AF72" s="556">
        <f>IF(_epmOfflineCondition_,0,EPMSaveDataOnly(AA72,,$D$21,$Z$37,$E$25,$E$26,$E$27,$E$28,$E$29,$AA$41,$AA$42,$Z$29,$Z$28,$AA$45,V72))</f>
        <v/>
      </c>
      <c r="AG72" s="716" t="n"/>
      <c r="AH72" s="556" t="n"/>
      <c r="AI72" s="716" t="n"/>
      <c r="AJ72" s="716" t="n"/>
      <c r="AK72" s="716" t="n"/>
      <c r="AL72" s="716" t="n"/>
      <c r="AM72" s="716" t="n"/>
      <c r="AN72" s="716" t="n"/>
      <c r="AO72" s="716" t="n"/>
    </row>
    <row r="73" ht="16.15" customFormat="1" customHeight="1" s="716">
      <c r="A73" s="716" t="n"/>
      <c r="B73" s="716" t="n"/>
      <c r="C73" s="716" t="n"/>
      <c r="D73" s="716" t="n"/>
      <c r="E73" s="716" t="n"/>
      <c r="F73" s="716" t="n"/>
      <c r="G73" s="716" t="n"/>
      <c r="H73" s="716" t="n"/>
      <c r="I73" s="716" t="n"/>
      <c r="J73" s="716" t="n"/>
      <c r="K73" s="716" t="n"/>
      <c r="L73" s="716" t="n"/>
      <c r="M73" s="716" t="n"/>
      <c r="N73" s="716" t="n"/>
      <c r="O73" s="716" t="n"/>
      <c r="P73" s="716" t="n"/>
      <c r="Q73" s="384" t="n"/>
      <c r="R73" s="384" t="n"/>
      <c r="S73" s="462">
        <f>IF(_epmOfflineCondition_,"45. 计入权益的永续债",EPMMemberDesc(U73))</f>
        <v/>
      </c>
      <c r="T73" s="716" t="n"/>
      <c r="U73" s="514" t="inlineStr">
        <is>
          <t>A07820</t>
        </is>
      </c>
      <c r="V73" s="462">
        <f>IF(_epmOfflineCondition_,"A07820",EPMOlapMemberO(U73,"[C_ACCOUNT].[PARENTH1].[A07820]","A07820 - 45. 计入权益的永续债","","000"))</f>
        <v/>
      </c>
      <c r="W73" s="462" t="n"/>
      <c r="X73" s="540" t="inlineStr">
        <is>
          <t xml:space="preserve">    6.计入权益的永续债</t>
        </is>
      </c>
      <c r="Y73" s="1185">
        <f>ROW()-45</f>
        <v/>
      </c>
      <c r="Z73" s="1369">
        <f>"——"</f>
        <v/>
      </c>
      <c r="AA73" s="1367" t="n"/>
      <c r="AB73" s="1368" t="n"/>
      <c r="AC73" s="1192" t="n"/>
      <c r="AD73" s="1192" t="n"/>
      <c r="AE73" s="716" t="n"/>
      <c r="AF73" s="556">
        <f>IF(_epmOfflineCondition_,0,EPMSaveDataOnly(AA73,,$D$21,$Z$37,$E$25,$E$26,$E$27,$E$28,$E$29,$AA$41,$AA$42,$Z$29,$Z$28,$AA$45,V73))</f>
        <v/>
      </c>
      <c r="AG73" s="716" t="n"/>
      <c r="AH73" s="556" t="n"/>
      <c r="AI73" s="716" t="n"/>
      <c r="AJ73" s="716" t="n"/>
      <c r="AK73" s="716" t="n"/>
      <c r="AL73" s="716" t="n"/>
      <c r="AM73" s="716" t="n"/>
      <c r="AN73" s="716" t="n"/>
      <c r="AO73" s="716" t="n"/>
    </row>
    <row r="74" ht="16.15" customFormat="1" customHeight="1" s="716">
      <c r="A74" s="716" t="n"/>
      <c r="B74" s="716" t="n"/>
      <c r="C74" s="716" t="n"/>
      <c r="D74" s="716" t="n"/>
      <c r="E74" s="716" t="n"/>
      <c r="F74" s="716" t="n"/>
      <c r="G74" s="716" t="n"/>
      <c r="H74" s="716" t="n"/>
      <c r="I74" s="716" t="n"/>
      <c r="J74" s="716" t="n"/>
      <c r="K74" s="716" t="n"/>
      <c r="L74" s="716" t="n"/>
      <c r="M74" s="716" t="n"/>
      <c r="N74" s="716" t="n"/>
      <c r="O74" s="716" t="n"/>
      <c r="P74" s="716" t="n"/>
      <c r="Q74" s="384" t="n"/>
      <c r="R74" s="384" t="n"/>
      <c r="S74" s="462">
        <f>IF(_epmOfflineCondition_,"  盈余公积",EPMMemberDesc(U74))</f>
        <v/>
      </c>
      <c r="T74" s="716" t="n"/>
      <c r="U74" s="514" t="inlineStr">
        <is>
          <t>A0010307</t>
        </is>
      </c>
      <c r="V74" s="459">
        <f>IF(_epmOfflineCondition_,"A0010307",EPMOlapMemberO(U74,"[C_ACCOUNT].[PARENTH1].[A0010307]","A0010307 -   盈余公积","","000"))</f>
        <v/>
      </c>
      <c r="W74" s="462" t="n"/>
      <c r="X74" s="540" t="inlineStr">
        <is>
          <t xml:space="preserve">    7.盈余公积</t>
        </is>
      </c>
      <c r="Y74" s="1185">
        <f>ROW()-45</f>
        <v/>
      </c>
      <c r="Z74" s="1369">
        <f>"——"</f>
        <v/>
      </c>
      <c r="AA74" s="1366" t="n"/>
      <c r="AB74" s="1368" t="n"/>
      <c r="AC74" s="1192" t="n"/>
      <c r="AD74" s="1192" t="n"/>
      <c r="AE74" s="716" t="n"/>
      <c r="AF74" s="556" t="n"/>
      <c r="AG74" s="716" t="n"/>
      <c r="AH74" s="556" t="n"/>
      <c r="AI74" s="716" t="n"/>
      <c r="AJ74" s="716" t="n"/>
      <c r="AK74" s="716" t="n"/>
      <c r="AL74" s="716" t="n"/>
      <c r="AM74" s="716" t="n"/>
      <c r="AN74" s="716" t="n"/>
      <c r="AO74" s="716" t="n"/>
    </row>
    <row r="75" ht="16.15" customFormat="1" customHeight="1" s="716">
      <c r="A75" s="716" t="n"/>
      <c r="B75" s="716" t="n"/>
      <c r="C75" s="716" t="n"/>
      <c r="D75" s="716" t="n"/>
      <c r="E75" s="716" t="n"/>
      <c r="F75" s="716" t="n"/>
      <c r="G75" s="716" t="n"/>
      <c r="H75" s="716" t="n"/>
      <c r="I75" s="716" t="n"/>
      <c r="J75" s="716" t="n"/>
      <c r="K75" s="716" t="n"/>
      <c r="L75" s="716" t="n"/>
      <c r="M75" s="716" t="n"/>
      <c r="N75" s="716" t="n"/>
      <c r="O75" s="716" t="n"/>
      <c r="P75" s="716" t="n"/>
      <c r="Q75" s="384" t="n"/>
      <c r="R75" s="384" t="n"/>
      <c r="S75" s="462">
        <f>IF(_epmOfflineCondition_,"　未分配利润",EPMMemberDesc(U75))</f>
        <v/>
      </c>
      <c r="T75" s="716" t="n"/>
      <c r="U75" s="514" t="inlineStr">
        <is>
          <t>A0010309</t>
        </is>
      </c>
      <c r="V75" s="459">
        <f>IF(_epmOfflineCondition_,"A0010309",EPMOlapMemberO(U75,"[C_ACCOUNT].[PARENTH1].[A0010309]","A0010309 - 　未分配利润","","000"))</f>
        <v/>
      </c>
      <c r="W75" s="462" t="n"/>
      <c r="X75" s="540" t="inlineStr">
        <is>
          <t xml:space="preserve">    8.未分配利润</t>
        </is>
      </c>
      <c r="Y75" s="1185">
        <f>ROW()-45</f>
        <v/>
      </c>
      <c r="Z75" s="1369">
        <f>"——"</f>
        <v/>
      </c>
      <c r="AA75" s="1366" t="inlineStr"/>
      <c r="AB75" s="1368" t="inlineStr"/>
      <c r="AC75" s="1192" t="n"/>
      <c r="AD75" s="1192" t="n"/>
      <c r="AE75" s="716" t="n"/>
      <c r="AF75" s="556" t="n"/>
      <c r="AG75" s="716" t="n"/>
      <c r="AH75" s="556" t="n"/>
      <c r="AI75" s="716" t="n"/>
      <c r="AJ75" s="716" t="n"/>
      <c r="AK75" s="716" t="n"/>
      <c r="AL75" s="716" t="n"/>
      <c r="AM75" s="716" t="n"/>
      <c r="AN75" s="716" t="n"/>
      <c r="AO75" s="716" t="n"/>
    </row>
    <row r="76" ht="16.15" customFormat="1" customHeight="1" s="716">
      <c r="A76" s="716" t="n"/>
      <c r="B76" s="716" t="n"/>
      <c r="C76" s="716" t="n"/>
      <c r="D76" s="716" t="n"/>
      <c r="E76" s="716" t="n"/>
      <c r="F76" s="716" t="n"/>
      <c r="G76" s="716" t="n"/>
      <c r="H76" s="716" t="n"/>
      <c r="I76" s="716" t="n"/>
      <c r="J76" s="716" t="n"/>
      <c r="K76" s="716" t="n"/>
      <c r="L76" s="716" t="n"/>
      <c r="M76" s="716" t="n"/>
      <c r="N76" s="716" t="n"/>
      <c r="O76" s="716" t="n"/>
      <c r="P76" s="716" t="n"/>
      <c r="Q76" s="716" t="n"/>
      <c r="R76" s="716" t="n"/>
      <c r="S76" s="462">
        <f>IF(_epmOfflineCondition_,"六、期末现金及现金等价物余额",EPMMemberDesc(U76))</f>
        <v/>
      </c>
      <c r="T76" s="716" t="n"/>
      <c r="U76" s="514" t="inlineStr">
        <is>
          <t>A00307</t>
        </is>
      </c>
      <c r="V76" s="462">
        <f>IF(_epmOfflineCondition_,"A00307",EPMOlapMemberO(U76,"[C_ACCOUNT].[PARENTH1].[A00307]","A00307 - 六、期末现金及现金等价物余额","","000"))</f>
        <v/>
      </c>
      <c r="W76" s="462" t="n"/>
      <c r="X76" s="558" t="inlineStr">
        <is>
          <t xml:space="preserve">    9.期末现金及现金等价物余额</t>
        </is>
      </c>
      <c r="Y76" s="1372">
        <f>ROW()-45</f>
        <v/>
      </c>
      <c r="Z76" s="1373">
        <f>"——"</f>
        <v/>
      </c>
      <c r="AA76" s="1374" t="inlineStr"/>
      <c r="AB76" s="1375" t="inlineStr"/>
      <c r="AC76" s="1192" t="n"/>
      <c r="AD76" s="1192" t="n"/>
      <c r="AE76" s="716" t="n"/>
      <c r="AF76" s="556" t="n"/>
      <c r="AG76" s="716" t="n"/>
      <c r="AH76" s="556" t="n"/>
      <c r="AI76" s="716" t="n"/>
      <c r="AJ76" s="716" t="n"/>
      <c r="AK76" s="716" t="n"/>
      <c r="AL76" s="716" t="n"/>
      <c r="AM76" s="716" t="n"/>
      <c r="AN76" s="716" t="n"/>
      <c r="AO76" s="716" t="n"/>
    </row>
    <row r="77">
      <c r="A77" s="384" t="n"/>
      <c r="B77" s="384" t="n"/>
      <c r="C77" s="384" t="n"/>
      <c r="D77" s="384" t="n"/>
      <c r="E77" s="384" t="n"/>
      <c r="F77" s="384" t="n"/>
      <c r="G77" s="384" t="n"/>
      <c r="H77" s="384" t="n"/>
      <c r="I77" s="384" t="n"/>
      <c r="J77" s="384" t="n"/>
      <c r="K77" s="384" t="n"/>
      <c r="L77" s="384" t="n"/>
      <c r="M77" s="384" t="n"/>
      <c r="N77" s="384" t="n"/>
      <c r="O77" s="384" t="n"/>
      <c r="P77" s="384" t="n"/>
      <c r="Q77" s="384" t="n"/>
      <c r="R77" s="384" t="n"/>
      <c r="S77" s="32" t="n"/>
      <c r="T77" s="384" t="n"/>
      <c r="U77" s="384" t="n"/>
      <c r="V77" s="32" t="n"/>
      <c r="W77" s="384" t="n"/>
      <c r="X77" s="38" t="n"/>
      <c r="Y77" s="38" t="n"/>
      <c r="Z77" s="384" t="n"/>
      <c r="AA77" s="384" t="n"/>
      <c r="AB77" s="384" t="n"/>
      <c r="AC77" s="384" t="n"/>
      <c r="AD77" s="384" t="n"/>
      <c r="AE77" s="384" t="n"/>
      <c r="AF77" s="384" t="n"/>
      <c r="AG77" s="384" t="n"/>
      <c r="AH77" s="384" t="n"/>
      <c r="AI77" s="384" t="n"/>
      <c r="AJ77" s="384" t="n"/>
      <c r="AK77" s="384" t="n"/>
      <c r="AL77" s="384" t="n"/>
      <c r="AM77" s="384" t="n"/>
      <c r="AN77" s="384" t="n"/>
      <c r="AO77" s="384" t="n"/>
    </row>
    <row r="78">
      <c r="A78" s="384" t="n"/>
      <c r="B78" s="384" t="n"/>
      <c r="C78" s="384" t="n"/>
      <c r="D78" s="384" t="n"/>
      <c r="E78" s="384" t="n"/>
      <c r="F78" s="384" t="n"/>
      <c r="G78" s="384" t="n"/>
      <c r="H78" s="384" t="n"/>
      <c r="I78" s="384" t="n"/>
      <c r="J78" s="384" t="n"/>
      <c r="K78" s="384" t="n"/>
      <c r="L78" s="384" t="n"/>
      <c r="M78" s="384" t="n"/>
      <c r="N78" s="384" t="n"/>
      <c r="O78" s="384" t="n"/>
      <c r="P78" s="384" t="n"/>
      <c r="Q78" s="384" t="n"/>
      <c r="R78" s="384" t="n"/>
      <c r="S78" s="32" t="n"/>
      <c r="T78" s="384" t="n"/>
      <c r="U78" s="384" t="n"/>
      <c r="V78" s="32" t="n"/>
      <c r="W78" s="384" t="n"/>
      <c r="X78" s="38" t="n"/>
      <c r="Y78" s="38" t="n"/>
      <c r="Z78" s="384" t="n"/>
      <c r="AA78" s="384" t="n"/>
      <c r="AB78" s="384" t="n"/>
      <c r="AC78" s="384" t="n"/>
      <c r="AD78" s="384" t="n"/>
      <c r="AE78" s="384" t="n"/>
      <c r="AF78" s="384" t="n"/>
      <c r="AG78" s="384" t="n"/>
      <c r="AH78" s="384" t="n"/>
      <c r="AI78" s="384" t="n"/>
      <c r="AJ78" s="384" t="n"/>
      <c r="AK78" s="384" t="n"/>
      <c r="AL78" s="384" t="n"/>
      <c r="AM78" s="384" t="n"/>
      <c r="AN78" s="384" t="n"/>
      <c r="AO78" s="384" t="n"/>
    </row>
  </sheetData>
  <sheetProtection selectLockedCells="0" selectUnlockedCells="0" algorithmName="SHA-512" sheet="1" objects="0" insertRows="1" insertHyperlinks="1" autoFilter="1" scenarios="1" formatColumns="1" deleteColumns="1" insertColumns="1" pivotTables="1" deleteRows="1" formatCells="1" saltValue="j+tN4rsSrUu2FQ0Vt9++MQ==" formatRows="1" sort="1" spinCount="100000" hashValue="ANsHuFxu2vXpbaZ4NbXVSw6GcB2/Q8/sRHpykt1ZXp8dZc37A706Zu8Ha3iS9NRJ6w/47IyHeLiHSEvbxpFcmw=="/>
  <mergeCells count="10">
    <mergeCell ref="H2:J2"/>
    <mergeCell ref="D16:E16"/>
    <mergeCell ref="Z35:AB35"/>
    <mergeCell ref="X39:X40"/>
    <mergeCell ref="Y39:Y40"/>
    <mergeCell ref="Z39:Z40"/>
    <mergeCell ref="AA39:AA40"/>
    <mergeCell ref="AB39:AB40"/>
    <mergeCell ref="AC39:AC40"/>
    <mergeCell ref="AF39:AF40"/>
  </mergeCells>
  <dataValidations count="1">
    <dataValidation sqref="Z37" showErrorMessage="1" showInputMessage="1" allowBlank="1" type="list">
      <formula1>"LC,CNY"</formula1>
    </dataValidation>
  </dataValidations>
  <pageMargins left="0.7" right="0.7" top="0.75" bottom="0.75" header="0.3" footer="0.3"/>
  <pageSetup orientation="portrait" paperSize="9"/>
  <drawing xmlns:r="http://schemas.openxmlformats.org/officeDocument/2006/relationships" r:id="rId1"/>
</worksheet>
</file>

<file path=xl/worksheets/sheet32.xml><?xml version="1.0" encoding="utf-8"?>
<worksheet xmlns="http://schemas.openxmlformats.org/spreadsheetml/2006/main">
  <sheetPr codeName="Sheet17">
    <outlinePr showOutlineSymbols="0"/>
    <pageSetUpPr/>
  </sheetPr>
  <dimension ref="A1:AN78"/>
  <sheetViews>
    <sheetView showOutlineSymbols="0" topLeftCell="X37" zoomScale="85" zoomScaleNormal="85" workbookViewId="0">
      <selection activeCell="AG61" sqref="AG61"/>
    </sheetView>
  </sheetViews>
  <sheetFormatPr baseColWidth="8" defaultColWidth="8.625" defaultRowHeight="16.8"/>
  <cols>
    <col hidden="1" outlineLevel="1" width="8" customWidth="1" style="1181" min="1" max="1"/>
    <col hidden="1" outlineLevel="1" width="15.375" customWidth="1" style="1181" min="2" max="2"/>
    <col hidden="1" outlineLevel="1" width="11.375" customWidth="1" style="1181" min="3" max="3"/>
    <col hidden="1" outlineLevel="1" width="12.25" customWidth="1" style="1181" min="4" max="4"/>
    <col hidden="1" outlineLevel="1" width="12.75" customWidth="1" style="1181" min="5" max="5"/>
    <col hidden="1" outlineLevel="1" width="7.75" customWidth="1" style="1181" min="6" max="7"/>
    <col hidden="1" outlineLevel="1" width="11.75" customWidth="1" style="1181" min="8" max="8"/>
    <col hidden="1" outlineLevel="1" width="7.75" customWidth="1" style="1181" min="9" max="9"/>
    <col hidden="1" outlineLevel="1" width="11.125" customWidth="1" style="1181" min="10" max="10"/>
    <col hidden="1" outlineLevel="1" width="7.75" customWidth="1" style="1181" min="11" max="11"/>
    <col hidden="1" outlineLevel="1" width="16.75" customWidth="1" style="1181" min="12" max="13"/>
    <col hidden="1" outlineLevel="1" width="18.5" customWidth="1" style="1181" min="14" max="14"/>
    <col hidden="1" outlineLevel="1" width="19.75" customWidth="1" style="1181" min="15" max="15"/>
    <col hidden="1" outlineLevel="1" width="19.625" customWidth="1" style="1181" min="16" max="16"/>
    <col hidden="1" outlineLevel="1" width="11.75" customWidth="1" style="1181" min="17" max="17"/>
    <col hidden="1" outlineLevel="1" width="14.75" customWidth="1" style="1181" min="18" max="18"/>
    <col hidden="1" outlineLevel="1" width="26.25" customWidth="1" style="32" min="19" max="19"/>
    <col hidden="1" outlineLevel="1" width="2.375" customWidth="1" style="1181" min="20" max="20"/>
    <col hidden="1" outlineLevel="1" width="14.875" customWidth="1" style="1181" min="21" max="21"/>
    <col hidden="1" outlineLevel="1" width="17.125" customWidth="1" style="1181" min="22" max="22"/>
    <col hidden="1" collapsed="1" width="8.125" customWidth="1" style="1181" min="23" max="23"/>
    <col width="36" customWidth="1" style="38" min="24" max="24"/>
    <col width="5.75" customWidth="1" style="38" min="25" max="25"/>
    <col hidden="1" width="26.625" customWidth="1" style="1181" min="26" max="26"/>
    <col hidden="1" width="28.125" customWidth="1" style="1181" min="27" max="28"/>
    <col hidden="1" width="20.5" customWidth="1" style="1181" min="29" max="32"/>
    <col hidden="1" width="5.75" customWidth="1" style="1181" min="33" max="35"/>
    <col width="28.125" customWidth="1" style="1181" min="36" max="38"/>
    <col width="17.375" customWidth="1" style="1181" min="39" max="40"/>
    <col width="16.75" customWidth="1" style="1181" min="41" max="43"/>
    <col width="17.375" customWidth="1" style="1181" min="44" max="45"/>
    <col width="16.75" customWidth="1" style="1181" min="46" max="48"/>
    <col width="17.375" customWidth="1" style="1181" min="49" max="50"/>
    <col width="16.75" customWidth="1" style="1181" min="51" max="53"/>
    <col width="17.375" customWidth="1" style="1181" min="54" max="55"/>
    <col width="16.75" customWidth="1" style="1181" min="56" max="56"/>
  </cols>
  <sheetData>
    <row r="1" hidden="1" outlineLevel="1" customFormat="1" s="13">
      <c r="A1" s="172" t="inlineStr">
        <is>
          <t>维度清单</t>
        </is>
      </c>
      <c r="B1" s="462" t="n"/>
      <c r="C1" s="173" t="n"/>
      <c r="D1" s="173" t="n"/>
      <c r="E1" s="716" t="n"/>
      <c r="F1" s="13" t="n"/>
      <c r="G1" s="13" t="n"/>
      <c r="H1" s="13" t="n"/>
      <c r="I1" s="13" t="n"/>
      <c r="J1" s="13" t="n"/>
      <c r="K1" s="13" t="n"/>
      <c r="L1" s="13" t="n"/>
      <c r="M1" s="13" t="n"/>
      <c r="N1" s="13" t="n"/>
      <c r="O1" s="13" t="n"/>
      <c r="P1" s="13" t="n"/>
      <c r="Q1" s="13" t="n"/>
      <c r="R1" s="13" t="n"/>
      <c r="S1" s="1103" t="n"/>
      <c r="T1" s="13" t="n"/>
      <c r="U1" s="13" t="n"/>
      <c r="V1" s="13" t="n"/>
      <c r="W1" s="13" t="n"/>
      <c r="X1" s="171" t="n"/>
      <c r="Y1" s="171" t="n"/>
      <c r="Z1" s="13" t="n"/>
      <c r="AA1" s="13" t="n"/>
      <c r="AB1" s="13" t="n"/>
      <c r="AC1" s="13" t="n"/>
      <c r="AD1" s="13" t="n"/>
      <c r="AE1" s="13" t="n"/>
      <c r="AF1" s="13" t="n"/>
      <c r="AG1" s="13" t="n"/>
      <c r="AH1" s="13" t="n"/>
      <c r="AI1" s="13" t="n"/>
      <c r="AJ1" s="13" t="n"/>
      <c r="AK1" s="13" t="n"/>
      <c r="AL1" s="13" t="n"/>
      <c r="AM1" s="13" t="n"/>
      <c r="AN1" s="13" t="n"/>
    </row>
    <row r="2" hidden="1" outlineLevel="1" customFormat="1" s="13">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103" t="n"/>
      <c r="T2" s="13" t="n"/>
      <c r="U2" s="13" t="n"/>
      <c r="V2" s="13" t="n"/>
      <c r="W2" s="13" t="n"/>
      <c r="X2" s="171" t="n"/>
      <c r="Y2" s="171" t="n"/>
      <c r="Z2" s="13" t="n"/>
      <c r="AA2" s="13" t="n"/>
      <c r="AB2" s="13" t="n"/>
      <c r="AC2" s="13" t="n"/>
      <c r="AD2" s="13" t="n"/>
      <c r="AE2" s="13" t="n"/>
      <c r="AF2" s="13" t="n"/>
      <c r="AG2" s="13" t="n"/>
      <c r="AH2" s="13" t="n"/>
      <c r="AI2" s="13" t="n"/>
      <c r="AJ2" s="13" t="n"/>
      <c r="AK2" s="13" t="n"/>
      <c r="AL2" s="13" t="n"/>
      <c r="AM2" s="13" t="n"/>
      <c r="AN2" s="13" t="n"/>
    </row>
    <row r="3" hidden="1" outlineLevel="1" customFormat="1" s="13">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103" t="n"/>
      <c r="T3" s="13" t="n"/>
      <c r="U3" s="13" t="n"/>
      <c r="V3" s="13" t="n"/>
      <c r="W3" s="13" t="n"/>
      <c r="X3" s="171" t="n"/>
      <c r="Y3" s="171" t="n"/>
      <c r="Z3" s="13" t="n"/>
      <c r="AA3" s="13" t="n"/>
      <c r="AB3" s="13" t="n"/>
      <c r="AC3" s="13" t="n"/>
      <c r="AD3" s="13" t="n"/>
      <c r="AE3" s="13" t="n"/>
      <c r="AF3" s="13" t="n"/>
      <c r="AG3" s="13" t="n"/>
      <c r="AH3" s="13" t="n"/>
      <c r="AI3" s="13" t="n"/>
      <c r="AJ3" s="13" t="n"/>
      <c r="AK3" s="13" t="n"/>
      <c r="AL3" s="13" t="n"/>
      <c r="AM3" s="13" t="n"/>
      <c r="AN3" s="13" t="n"/>
    </row>
    <row r="4" hidden="1" outlineLevel="1" customFormat="1" s="13">
      <c r="A4" s="175" t="inlineStr">
        <is>
          <t>C</t>
        </is>
      </c>
      <c r="B4" s="176">
        <f>IF(_epmOfflineCondition_,"C_CATEGORY",EPMDimensionType(,A4))</f>
        <v/>
      </c>
      <c r="C4" s="176">
        <f>IF(_epmOfflineCondition_,"C1001",IF(B4="","",EPMContextMember(,B4)))</f>
        <v/>
      </c>
      <c r="D4" s="176">
        <f>IF(_epmOfflineCondition_,"实际数/决算数",EPMMemberDesc(C4))</f>
        <v/>
      </c>
      <c r="E4" s="176" t="n"/>
      <c r="F4" s="13" t="n"/>
      <c r="G4" s="13" t="n"/>
      <c r="H4" s="184" t="inlineStr">
        <is>
          <t>预算年</t>
        </is>
      </c>
      <c r="I4" s="184">
        <f>"V_"&amp;$I$3</f>
        <v/>
      </c>
      <c r="J4" s="184">
        <f>$I$3&amp;".TOTAL"</f>
        <v/>
      </c>
      <c r="K4" s="13" t="n"/>
      <c r="L4" s="13" t="n"/>
      <c r="M4" s="13" t="n"/>
      <c r="N4" s="13" t="n"/>
      <c r="O4" s="13" t="n"/>
      <c r="P4" s="13" t="n"/>
      <c r="Q4" s="13" t="n"/>
      <c r="R4" s="13" t="n"/>
      <c r="S4" s="1103" t="n"/>
      <c r="T4" s="13" t="n"/>
      <c r="U4" s="13" t="n"/>
      <c r="V4" s="13" t="n"/>
      <c r="W4" s="13" t="n"/>
      <c r="X4" s="171" t="n"/>
      <c r="Y4" s="171" t="n"/>
      <c r="Z4" s="13" t="n"/>
      <c r="AA4" s="13" t="n"/>
      <c r="AB4" s="13" t="n"/>
      <c r="AC4" s="13" t="n"/>
      <c r="AD4" s="13" t="n"/>
      <c r="AE4" s="13" t="n"/>
      <c r="AF4" s="13" t="n"/>
      <c r="AG4" s="13" t="n"/>
      <c r="AH4" s="13" t="n"/>
      <c r="AI4" s="13" t="n"/>
      <c r="AJ4" s="13" t="n"/>
      <c r="AK4" s="13" t="n"/>
      <c r="AL4" s="13" t="n"/>
      <c r="AM4" s="13" t="n"/>
      <c r="AN4" s="13" t="n"/>
    </row>
    <row r="5" hidden="1" outlineLevel="1" customFormat="1" s="13">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13" t="n"/>
      <c r="V5" s="13" t="n"/>
      <c r="W5" s="13" t="n"/>
      <c r="X5" s="171" t="n"/>
      <c r="Y5" s="171" t="n"/>
      <c r="Z5" s="13" t="n"/>
      <c r="AA5" s="13" t="n"/>
      <c r="AB5" s="13" t="n"/>
      <c r="AC5" s="13" t="n"/>
      <c r="AD5" s="13" t="n"/>
      <c r="AE5" s="13" t="n"/>
      <c r="AF5" s="13" t="n"/>
      <c r="AG5" s="13" t="n"/>
      <c r="AH5" s="13" t="n"/>
      <c r="AI5" s="13" t="n"/>
      <c r="AJ5" s="13" t="n"/>
      <c r="AK5" s="13" t="n"/>
      <c r="AL5" s="13" t="n"/>
      <c r="AM5" s="13" t="n"/>
      <c r="AN5" s="13" t="n"/>
    </row>
    <row r="6" hidden="1" outlineLevel="1" customFormat="1" s="13">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103" t="n"/>
      <c r="T6" s="13" t="n"/>
      <c r="U6" s="13" t="n"/>
      <c r="V6" s="13" t="n"/>
      <c r="W6" s="13" t="n"/>
      <c r="X6" s="171" t="n"/>
      <c r="Y6" s="171" t="n"/>
      <c r="Z6" s="13" t="n"/>
      <c r="AA6" s="13" t="n"/>
      <c r="AB6" s="13" t="n"/>
      <c r="AC6" s="13" t="n"/>
      <c r="AD6" s="13" t="n"/>
      <c r="AE6" s="13" t="n"/>
      <c r="AF6" s="13" t="n"/>
      <c r="AG6" s="13" t="n"/>
      <c r="AH6" s="13" t="n"/>
      <c r="AI6" s="13" t="n"/>
      <c r="AJ6" s="13" t="n"/>
      <c r="AK6" s="13" t="n"/>
      <c r="AL6" s="13" t="n"/>
      <c r="AM6" s="13" t="n"/>
      <c r="AN6" s="13" t="n"/>
    </row>
    <row r="7" hidden="1" outlineLevel="1" customFormat="1" s="13">
      <c r="A7" s="175" t="inlineStr">
        <is>
          <t>R</t>
        </is>
      </c>
      <c r="B7" s="176">
        <f>IF(_epmOfflineCondition_,"C_RPTCURRENCY",EPMDimensionType(,A7))</f>
        <v/>
      </c>
      <c r="C7" s="176">
        <f>IF(_epmOfflineCondition_,"AUD",IF(B7="","",EPMContextMember(,B7)))</f>
        <v/>
      </c>
      <c r="D7" s="176">
        <f>IF(_epmOfflineCondition_,"澳元",EPMMemberDesc(C7))</f>
        <v/>
      </c>
      <c r="E7" s="176" t="n"/>
      <c r="F7" s="13" t="n"/>
      <c r="G7" s="13" t="n"/>
      <c r="H7" s="13" t="n"/>
      <c r="I7" s="13" t="n"/>
      <c r="J7" s="13" t="n"/>
      <c r="K7" s="13" t="n"/>
      <c r="L7" s="13" t="n"/>
      <c r="M7" s="13" t="n"/>
      <c r="N7" s="13" t="n"/>
      <c r="O7" s="13" t="n"/>
      <c r="P7" s="13" t="n"/>
      <c r="Q7" s="13" t="n"/>
      <c r="R7" s="13" t="n"/>
      <c r="S7" s="1103" t="n"/>
      <c r="T7" s="13" t="n"/>
      <c r="U7" s="13" t="n"/>
      <c r="V7" s="13" t="n"/>
      <c r="W7" s="13" t="n"/>
      <c r="X7" s="171" t="n"/>
      <c r="Y7" s="171" t="n"/>
      <c r="Z7" s="13" t="n"/>
      <c r="AA7" s="13" t="n"/>
      <c r="AB7" s="13" t="n"/>
      <c r="AC7" s="13" t="n"/>
      <c r="AD7" s="13" t="n"/>
      <c r="AE7" s="13" t="n"/>
      <c r="AF7" s="13" t="n"/>
      <c r="AG7" s="13" t="n"/>
      <c r="AH7" s="13" t="n"/>
      <c r="AI7" s="13" t="n"/>
      <c r="AJ7" s="13" t="n"/>
      <c r="AK7" s="13" t="n"/>
      <c r="AL7" s="13" t="n"/>
      <c r="AM7" s="13" t="n"/>
      <c r="AN7" s="13" t="n"/>
    </row>
    <row r="8" hidden="1" outlineLevel="1" customFormat="1" s="13">
      <c r="A8" s="175" t="inlineStr">
        <is>
          <t>D</t>
        </is>
      </c>
      <c r="B8" s="176">
        <f>IF(_epmOfflineCondition_,"C_AUDITTRAIL",EPMDimensionType(,A8))</f>
        <v/>
      </c>
      <c r="C8" s="176">
        <f>IF(_epmOfflineCondition_,"DTOTAL",IF(B8="","",EPMContextMember(,B8)))</f>
        <v/>
      </c>
      <c r="D8" s="176">
        <f>IF(_epmOfflineCondition_,"全部审计线索",EPMMemberDesc(C8))</f>
        <v/>
      </c>
      <c r="E8" s="176" t="n"/>
      <c r="F8" s="13" t="n"/>
      <c r="G8" s="13" t="n"/>
      <c r="H8" s="184" t="inlineStr">
        <is>
          <t>本月</t>
        </is>
      </c>
      <c r="I8" s="184">
        <f>IF(_epmOfflineCondition_,"03",RIGHT("0"&amp;EPMMemberProperty(,EPMContextMember(,"C_TIME"),"MONTHNUM"),2))</f>
        <v/>
      </c>
      <c r="J8" s="13" t="n"/>
      <c r="K8" s="13" t="n"/>
      <c r="L8" s="13" t="n"/>
      <c r="M8" s="13" t="n"/>
      <c r="N8" s="13" t="n"/>
      <c r="O8" s="13" t="n"/>
      <c r="P8" s="13" t="n"/>
      <c r="Q8" s="13" t="n"/>
      <c r="R8" s="13" t="n"/>
      <c r="S8" s="1103" t="n"/>
      <c r="T8" s="13" t="n"/>
      <c r="U8" s="13" t="n"/>
      <c r="V8" s="13" t="n"/>
      <c r="W8" s="13" t="n"/>
      <c r="X8" s="171" t="n"/>
      <c r="Y8" s="171" t="n"/>
      <c r="Z8" s="13" t="n"/>
      <c r="AA8" s="13" t="n"/>
      <c r="AB8" s="13" t="n"/>
      <c r="AC8" s="13" t="n"/>
      <c r="AD8" s="13" t="n"/>
      <c r="AE8" s="13" t="n"/>
      <c r="AF8" s="13" t="n"/>
      <c r="AG8" s="13" t="n"/>
      <c r="AH8" s="13" t="n"/>
      <c r="AI8" s="13" t="n"/>
      <c r="AJ8" s="13" t="n"/>
      <c r="AK8" s="13" t="n"/>
      <c r="AL8" s="13" t="n"/>
      <c r="AM8" s="13" t="n"/>
      <c r="AN8" s="13" t="n"/>
    </row>
    <row r="9" hidden="1" outlineLevel="1" customFormat="1" s="13">
      <c r="A9" s="175" t="inlineStr">
        <is>
          <t>S</t>
        </is>
      </c>
      <c r="B9" s="176">
        <f>IF(_epmOfflineCondition_,"C_FLOW",EPMDimensionType(,A9))</f>
        <v/>
      </c>
      <c r="C9" s="176">
        <f>IF(_epmOfflineCondition_,"FTOTAL",IF(B9="","",EPMContextMember(,B9)))</f>
        <v/>
      </c>
      <c r="D9" s="176">
        <f>IF(_epmOfflineCondition_,"全部变动",EPMMemberDesc(C9))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13" t="n"/>
      <c r="V9" s="13" t="n"/>
      <c r="W9" s="13" t="n"/>
      <c r="X9" s="171" t="n"/>
      <c r="Y9" s="171" t="n"/>
      <c r="Z9" s="13" t="n"/>
      <c r="AA9" s="13" t="n"/>
      <c r="AB9" s="13" t="n"/>
      <c r="AC9" s="13" t="n"/>
      <c r="AD9" s="13" t="n"/>
      <c r="AE9" s="13" t="n"/>
      <c r="AF9" s="13" t="n"/>
      <c r="AG9" s="13" t="n"/>
      <c r="AH9" s="13" t="n"/>
      <c r="AI9" s="13" t="n"/>
      <c r="AJ9" s="13" t="n"/>
      <c r="AK9" s="13" t="n"/>
      <c r="AL9" s="13" t="n"/>
      <c r="AM9" s="13" t="n"/>
      <c r="AN9" s="13" t="n"/>
    </row>
    <row r="10" hidden="1" outlineLevel="1" customFormat="1" s="13">
      <c r="A10" s="175" t="inlineStr">
        <is>
          <t>I</t>
        </is>
      </c>
      <c r="B10" s="176">
        <f>IF(_epmOfflineCondition_,"C_INTERCO",EPMDimensionType(,A10))</f>
        <v/>
      </c>
      <c r="C10" s="176">
        <f>IF(_epmOfflineCondition_,"I_ALL",IF(B10="","",EPMContextMember(,B10)))</f>
        <v/>
      </c>
      <c r="D10" s="176">
        <f>IF(_epmOfflineCondition_,"全部贸易伙伴",EPMMemberDesc(C10))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13" t="n"/>
      <c r="V10" s="13" t="n"/>
      <c r="W10" s="13" t="n"/>
      <c r="X10" s="171" t="n"/>
      <c r="Y10" s="171" t="n"/>
      <c r="Z10" s="13" t="n"/>
      <c r="AA10" s="13" t="n"/>
      <c r="AB10" s="13" t="n"/>
      <c r="AC10" s="13" t="n"/>
      <c r="AD10" s="13" t="n"/>
      <c r="AE10" s="13" t="n"/>
      <c r="AF10" s="13" t="n"/>
      <c r="AG10" s="13" t="n"/>
      <c r="AH10" s="13" t="n"/>
      <c r="AI10" s="13" t="n"/>
      <c r="AJ10" s="13" t="n"/>
      <c r="AK10" s="13" t="n"/>
      <c r="AL10" s="13" t="n"/>
      <c r="AM10" s="13" t="n"/>
      <c r="AN10" s="13" t="n"/>
    </row>
    <row r="11" hidden="1" outlineLevel="1" customFormat="1" s="13">
      <c r="A11" s="175" t="inlineStr">
        <is>
          <t>G</t>
        </is>
      </c>
      <c r="B11" s="176">
        <f>IF(_epmOfflineCondition_,"C_SCOPE",EPMDimensionType(,A11))</f>
        <v/>
      </c>
      <c r="C11" s="176">
        <f>IF(_epmOfflineCondition_,"G_DUMMY",IF(B11="","",EPMContextMember(,B11)))</f>
        <v/>
      </c>
      <c r="D11" s="176">
        <f>IF(_epmOfflineCondition_,"合并范围无关",EPMMemberDesc(C11))</f>
        <v/>
      </c>
      <c r="E11" s="176">
        <f>IF(OR(RIGHT(C11,1)="P",RIGHT(C11,1)="S"),LEFT(C11,LEN(C11)-1),C11)</f>
        <v/>
      </c>
      <c r="F11" s="13" t="n"/>
      <c r="G11" s="13" t="n"/>
      <c r="H11" s="184" t="inlineStr">
        <is>
          <t xml:space="preserve">本年月 </t>
        </is>
      </c>
      <c r="I11" s="184">
        <f>I3&amp;"."&amp;I8</f>
        <v/>
      </c>
      <c r="J11" s="13" t="n"/>
      <c r="K11" s="13" t="n"/>
      <c r="L11" s="13" t="n"/>
      <c r="M11" s="13" t="n"/>
      <c r="N11" s="13" t="n"/>
      <c r="O11" s="13" t="n"/>
      <c r="P11" s="13" t="n"/>
      <c r="Q11" s="13" t="n"/>
      <c r="R11" s="13" t="n"/>
      <c r="S11" s="1103" t="n"/>
      <c r="T11" s="13" t="n"/>
      <c r="U11" s="13" t="n"/>
      <c r="V11" s="13" t="n"/>
      <c r="W11" s="13" t="n"/>
      <c r="X11" s="171" t="n"/>
      <c r="Y11" s="171" t="n"/>
      <c r="Z11" s="13" t="n"/>
      <c r="AA11" s="13" t="n"/>
      <c r="AB11" s="13" t="n"/>
      <c r="AC11" s="13" t="n"/>
      <c r="AD11" s="13" t="n"/>
      <c r="AE11" s="13" t="n"/>
      <c r="AF11" s="13" t="n"/>
      <c r="AG11" s="13" t="n"/>
      <c r="AH11" s="13" t="n"/>
      <c r="AI11" s="13" t="n"/>
      <c r="AJ11" s="13" t="n"/>
      <c r="AK11" s="13" t="n"/>
      <c r="AL11" s="13" t="n"/>
      <c r="AM11" s="13" t="n"/>
      <c r="AN11" s="13" t="n"/>
    </row>
    <row r="12" hidden="1" outlineLevel="1" customFormat="1" s="13">
      <c r="A12" s="175" t="inlineStr">
        <is>
          <t>U8</t>
        </is>
      </c>
      <c r="B12" s="176">
        <f>IF(_epmOfflineCondition_,"C_PROJECT",EPMDimensionType(,A12))</f>
        <v/>
      </c>
      <c r="C12" s="176">
        <f>IF(_epmOfflineCondition_,"ZP_ALL",IF(B12="","",EPMContextMember(,B12)))</f>
        <v/>
      </c>
      <c r="D12" s="176">
        <f>IF(_epmOfflineCondition_,"项目合计",EPMMemberDesc(C12))</f>
        <v/>
      </c>
      <c r="E12" s="176" t="n"/>
      <c r="F12" s="13" t="n"/>
      <c r="G12" s="13" t="n"/>
      <c r="H12" s="184" t="inlineStr">
        <is>
          <t>上年月</t>
        </is>
      </c>
      <c r="I12" s="184">
        <f>IF(I8="01",I10&amp;"."&amp;I9,I3&amp;"."&amp;I9)</f>
        <v/>
      </c>
      <c r="J12" s="13" t="n"/>
      <c r="K12" s="13" t="n"/>
      <c r="L12" s="13" t="n"/>
      <c r="M12" s="13" t="n"/>
      <c r="N12" s="13" t="n"/>
      <c r="O12" s="13" t="n"/>
      <c r="P12" s="13" t="n"/>
      <c r="Q12" s="13" t="n"/>
      <c r="R12" s="13" t="n"/>
      <c r="S12" s="1103" t="n"/>
      <c r="T12" s="13" t="n"/>
      <c r="U12" s="13" t="n"/>
      <c r="V12" s="13" t="n"/>
      <c r="W12" s="13" t="n"/>
      <c r="X12" s="171" t="n"/>
      <c r="Y12" s="171" t="n"/>
      <c r="Z12" s="13" t="n"/>
      <c r="AA12" s="13" t="n"/>
      <c r="AB12" s="13" t="n"/>
      <c r="AC12" s="13" t="n"/>
      <c r="AD12" s="13" t="n"/>
      <c r="AE12" s="13" t="n"/>
      <c r="AF12" s="13" t="n"/>
      <c r="AG12" s="13" t="n"/>
      <c r="AH12" s="13" t="n"/>
      <c r="AI12" s="13" t="n"/>
      <c r="AJ12" s="13" t="n"/>
      <c r="AK12" s="13" t="n"/>
      <c r="AL12" s="13" t="n"/>
      <c r="AM12" s="13" t="n"/>
      <c r="AN12" s="13" t="n"/>
    </row>
    <row r="13" hidden="1" outlineLevel="1" customFormat="1" s="13">
      <c r="A13" s="175" t="inlineStr">
        <is>
          <t>U9</t>
        </is>
      </c>
      <c r="B13" s="176">
        <f>IF(_epmOfflineCondition_,"C_ITEM",EPMDimensionType(,A13))</f>
        <v/>
      </c>
      <c r="C13" s="176">
        <f>IF(_epmOfflineCondition_,"ZI_ALL",IF(B13="","",EPMContextMember(,B13)))</f>
        <v/>
      </c>
      <c r="D13" s="176">
        <f>IF(_epmOfflineCondition_,"全部ITEM",EPMMemberDesc(C13))</f>
        <v/>
      </c>
      <c r="E13" s="176" t="n"/>
      <c r="F13" s="13" t="n"/>
      <c r="G13" s="13" t="n"/>
      <c r="H13" s="184" t="inlineStr">
        <is>
          <t xml:space="preserve">上年同期 </t>
        </is>
      </c>
      <c r="I13" s="184">
        <f>I10&amp;"."&amp;I8</f>
        <v/>
      </c>
      <c r="J13" s="13" t="n"/>
      <c r="K13" s="13" t="n"/>
      <c r="L13" s="13" t="n"/>
      <c r="M13" s="13" t="n"/>
      <c r="N13" s="13" t="n"/>
      <c r="O13" s="13" t="n"/>
      <c r="P13" s="13" t="n"/>
      <c r="Q13" s="13" t="n"/>
      <c r="R13" s="13" t="n"/>
      <c r="S13" s="1103" t="n"/>
      <c r="T13" s="13" t="n"/>
      <c r="U13" s="13" t="n"/>
      <c r="V13" s="13" t="n"/>
      <c r="W13" s="13" t="n"/>
      <c r="X13" s="171" t="n"/>
      <c r="Y13" s="171" t="n"/>
      <c r="Z13" s="13" t="n"/>
      <c r="AA13" s="13" t="n"/>
      <c r="AB13" s="13" t="n"/>
      <c r="AC13" s="13" t="n"/>
      <c r="AD13" s="13" t="n"/>
      <c r="AE13" s="13" t="n"/>
      <c r="AF13" s="13" t="n"/>
      <c r="AG13" s="13" t="n"/>
      <c r="AH13" s="13" t="n"/>
      <c r="AI13" s="13" t="n"/>
      <c r="AJ13" s="13" t="n"/>
      <c r="AK13" s="13" t="n"/>
      <c r="AL13" s="13" t="n"/>
      <c r="AM13" s="13" t="n"/>
      <c r="AN13" s="13" t="n"/>
    </row>
    <row r="14" hidden="1" outlineLevel="1" customFormat="1" s="13">
      <c r="A14" s="175" t="inlineStr">
        <is>
          <t>U10</t>
        </is>
      </c>
      <c r="B14" s="176">
        <f>IF(_epmOfflineCondition_,"C_MISK",EPMDimensionType(,A14))</f>
        <v/>
      </c>
      <c r="C14" s="176">
        <f>IF(_epmOfflineCondition_,"ZM_ALL",IF(B14="","",EPMContextMember(,B14)))</f>
        <v/>
      </c>
      <c r="D14" s="176">
        <f>IF(_epmOfflineCondition_,"ALL",EPMMemberDesc(C14))</f>
        <v/>
      </c>
      <c r="E14" s="176" t="n"/>
      <c r="F14" s="13" t="n"/>
      <c r="G14" s="13" t="n"/>
      <c r="H14" s="13" t="n"/>
      <c r="I14" s="13" t="n"/>
      <c r="J14" s="13" t="n"/>
      <c r="K14" s="13" t="n"/>
      <c r="L14" s="13" t="n"/>
      <c r="M14" s="13" t="n"/>
      <c r="N14" s="13" t="n"/>
      <c r="O14" s="13" t="n"/>
      <c r="P14" s="13" t="n"/>
      <c r="Q14" s="13" t="n"/>
      <c r="R14" s="13" t="n"/>
      <c r="S14" s="1103" t="n"/>
      <c r="T14" s="13" t="n"/>
      <c r="U14" s="13" t="n"/>
      <c r="V14" s="13" t="n"/>
      <c r="W14" s="13" t="n"/>
      <c r="X14" s="171" t="n"/>
      <c r="Y14" s="171" t="n"/>
      <c r="Z14" s="13" t="n"/>
      <c r="AA14" s="13" t="n"/>
      <c r="AB14" s="13" t="n"/>
      <c r="AC14" s="13" t="n"/>
      <c r="AD14" s="13" t="n"/>
      <c r="AE14" s="13" t="n"/>
      <c r="AF14" s="13" t="n"/>
      <c r="AG14" s="13" t="n"/>
      <c r="AH14" s="13" t="n"/>
      <c r="AI14" s="13" t="n"/>
      <c r="AJ14" s="13" t="n"/>
      <c r="AK14" s="13" t="n"/>
      <c r="AL14" s="13" t="n"/>
      <c r="AM14" s="13" t="n"/>
      <c r="AN14" s="13" t="n"/>
    </row>
    <row r="15" hidden="1" outlineLevel="1" customFormat="1" s="13">
      <c r="A15" s="13" t="n"/>
      <c r="B15" s="1103" t="n"/>
      <c r="C15" s="1103" t="n"/>
      <c r="D15" s="1103" t="n"/>
      <c r="E15" s="13" t="n"/>
      <c r="F15" s="13" t="n"/>
      <c r="G15" s="13" t="n"/>
      <c r="H15" s="13">
        <f>E11</f>
        <v/>
      </c>
      <c r="I15" s="13" t="n"/>
      <c r="J15" s="13" t="n"/>
      <c r="K15" s="13" t="n"/>
      <c r="L15" s="13" t="n"/>
      <c r="M15" s="13" t="n"/>
      <c r="N15" s="13" t="n"/>
      <c r="O15" s="13" t="n"/>
      <c r="P15" s="13" t="n"/>
      <c r="Q15" s="13" t="n"/>
      <c r="R15" s="13" t="n"/>
      <c r="S15" s="1103" t="n"/>
      <c r="T15" s="13" t="n"/>
      <c r="U15" s="13" t="n"/>
      <c r="V15" s="13" t="n"/>
      <c r="W15" s="13" t="n"/>
      <c r="X15" s="171" t="n"/>
      <c r="Y15" s="171" t="n"/>
      <c r="Z15" s="13" t="n"/>
      <c r="AA15" s="13" t="n"/>
      <c r="AB15" s="13" t="n"/>
      <c r="AC15" s="13" t="n"/>
      <c r="AD15" s="13" t="n"/>
      <c r="AE15" s="13" t="n"/>
      <c r="AF15" s="13" t="n"/>
      <c r="AG15" s="13" t="n"/>
      <c r="AH15" s="13" t="n"/>
      <c r="AI15" s="13" t="n"/>
      <c r="AJ15" s="13" t="n"/>
      <c r="AK15" s="13" t="n"/>
      <c r="AL15" s="13" t="n"/>
      <c r="AM15" s="13" t="n"/>
      <c r="AN15" s="13" t="n"/>
    </row>
    <row r="16" hidden="1" outlineLevel="1" customFormat="1" s="13">
      <c r="A16" s="13" t="n"/>
      <c r="B16" s="13" t="n"/>
      <c r="C16" s="13" t="n"/>
      <c r="D16" s="174" t="inlineStr">
        <is>
          <t>页轴</t>
        </is>
      </c>
      <c r="E16" s="1183" t="n"/>
      <c r="F16" s="13" t="n"/>
      <c r="G16" s="13" t="n"/>
      <c r="H16" s="13">
        <f>IF(_epmOfflineCondition_,"E_DUMMY",EPMMemberProperty(,H15,"GENTITY"))</f>
        <v/>
      </c>
      <c r="I16" s="13" t="n"/>
      <c r="J16" s="13" t="n"/>
      <c r="K16" s="13" t="n"/>
      <c r="L16" s="13" t="n"/>
      <c r="M16" s="13" t="n"/>
      <c r="N16" s="13" t="n"/>
      <c r="O16" s="13" t="n"/>
      <c r="P16" s="13" t="n"/>
      <c r="Q16" s="13" t="n"/>
      <c r="R16" s="13" t="n"/>
      <c r="S16" s="1103" t="n"/>
      <c r="T16" s="13" t="n"/>
      <c r="U16" s="13" t="n"/>
      <c r="V16" s="13" t="n"/>
      <c r="W16" s="13" t="n"/>
      <c r="X16" s="171" t="n"/>
      <c r="Y16" s="171" t="n"/>
      <c r="Z16" s="13" t="n"/>
      <c r="AA16" s="13" t="n"/>
      <c r="AB16" s="13" t="n"/>
      <c r="AC16" s="13" t="n"/>
      <c r="AD16" s="13" t="n"/>
      <c r="AE16" s="13" t="n"/>
      <c r="AF16" s="13" t="n"/>
      <c r="AG16" s="13" t="n"/>
      <c r="AH16" s="13" t="n"/>
      <c r="AI16" s="13" t="n"/>
      <c r="AJ16" s="13" t="n"/>
      <c r="AK16" s="13" t="n"/>
      <c r="AL16" s="13" t="n"/>
      <c r="AM16" s="13" t="n"/>
      <c r="AN16" s="13" t="n"/>
    </row>
    <row r="17" hidden="1" outlineLevel="1" customFormat="1" s="13">
      <c r="A17" s="174" t="inlineStr">
        <is>
          <t>维度类型</t>
        </is>
      </c>
      <c r="B17" s="174" t="inlineStr">
        <is>
          <t>维度</t>
        </is>
      </c>
      <c r="C17" s="178" t="inlineStr">
        <is>
          <t>页轴替换</t>
        </is>
      </c>
      <c r="D17" s="174" t="inlineStr">
        <is>
          <t>报表001</t>
        </is>
      </c>
      <c r="E17" s="174" t="inlineStr">
        <is>
          <t>报表002</t>
        </is>
      </c>
      <c r="F17" s="13" t="n"/>
      <c r="G17" s="13" t="n"/>
      <c r="H17" s="13">
        <f>IF(H15="G_DUMMY",C6,IF(H15="G100405","E100405G","E_ALL"))</f>
        <v/>
      </c>
      <c r="I17" s="13" t="n"/>
      <c r="J17" s="13" t="n"/>
      <c r="K17" s="13" t="n"/>
      <c r="L17" s="13" t="n"/>
      <c r="M17" s="13" t="n"/>
      <c r="N17" s="13" t="n"/>
      <c r="O17" s="13" t="n"/>
      <c r="P17" s="13" t="n"/>
      <c r="Q17" s="13" t="n"/>
      <c r="R17" s="13" t="n"/>
      <c r="S17" s="1103" t="n"/>
      <c r="T17" s="13" t="n"/>
      <c r="U17" s="13" t="n"/>
      <c r="V17" s="13" t="n"/>
      <c r="W17" s="13" t="n"/>
      <c r="X17" s="171" t="n"/>
      <c r="Y17" s="171" t="n"/>
      <c r="Z17" s="13" t="n"/>
      <c r="AA17" s="13" t="n"/>
      <c r="AB17" s="13" t="n"/>
      <c r="AC17" s="13" t="n"/>
      <c r="AD17" s="13" t="n"/>
      <c r="AE17" s="13" t="n"/>
      <c r="AF17" s="13" t="n"/>
      <c r="AG17" s="13" t="n"/>
      <c r="AH17" s="13" t="n"/>
      <c r="AI17" s="13" t="n"/>
      <c r="AJ17" s="13" t="n"/>
      <c r="AK17" s="13" t="n"/>
      <c r="AL17" s="13" t="n"/>
      <c r="AM17" s="13" t="n"/>
      <c r="AN17" s="13" t="n"/>
    </row>
    <row r="18" hidden="1" outlineLevel="1" customFormat="1" s="13">
      <c r="A18" s="175" t="inlineStr">
        <is>
          <t>A</t>
        </is>
      </c>
      <c r="B18" s="176">
        <f>IF(_epmOfflineCondition_,"C_ACCOUNT",EPMDimensionType(,A18))</f>
        <v/>
      </c>
      <c r="C18" s="182" t="inlineStr">
        <is>
          <t>A_ALL</t>
        </is>
      </c>
      <c r="D18" s="180" t="n"/>
      <c r="E18" s="13" t="n"/>
      <c r="F18" s="13" t="n"/>
      <c r="G18" s="13" t="n"/>
      <c r="H18" s="13" t="n"/>
      <c r="I18" s="13" t="n"/>
      <c r="J18" s="13" t="n"/>
      <c r="K18" s="13" t="n"/>
      <c r="L18" s="13" t="n"/>
      <c r="M18" s="13" t="n"/>
      <c r="N18" s="13" t="n"/>
      <c r="O18" s="13" t="n"/>
      <c r="P18" s="13" t="n"/>
      <c r="Q18" s="13" t="n"/>
      <c r="R18" s="13" t="n"/>
      <c r="S18" s="1103" t="n"/>
      <c r="T18" s="13" t="n"/>
      <c r="U18" s="13" t="n"/>
      <c r="V18" s="13" t="n"/>
      <c r="W18" s="13" t="n"/>
      <c r="X18" s="171" t="n"/>
      <c r="Y18" s="171" t="n"/>
      <c r="Z18" s="13" t="n"/>
      <c r="AA18" s="13" t="n"/>
      <c r="AB18" s="13" t="n"/>
      <c r="AC18" s="13" t="n"/>
      <c r="AD18" s="13" t="n"/>
      <c r="AE18" s="13" t="n"/>
      <c r="AF18" s="13" t="n"/>
      <c r="AG18" s="13" t="n"/>
      <c r="AH18" s="13" t="n"/>
      <c r="AI18" s="13" t="n"/>
      <c r="AJ18" s="13" t="n"/>
      <c r="AK18" s="13" t="n"/>
      <c r="AL18" s="13" t="n"/>
      <c r="AM18" s="13" t="n"/>
      <c r="AN18" s="13" t="n"/>
    </row>
    <row r="19" hidden="1" outlineLevel="1" customFormat="1" s="13">
      <c r="A19" s="175" t="inlineStr">
        <is>
          <t>C</t>
        </is>
      </c>
      <c r="B19" s="176">
        <f>IF(_epmOfflineCondition_,"C_CATEGORY",EPMDimensionType(,A19))</f>
        <v/>
      </c>
      <c r="C19" s="182" t="inlineStr">
        <is>
          <t>C_DUMMY</t>
        </is>
      </c>
      <c r="D19" s="180" t="n"/>
      <c r="E19" s="13" t="n"/>
      <c r="F19" s="13" t="n"/>
      <c r="G19" s="13" t="n"/>
      <c r="H19" s="13" t="n"/>
      <c r="I19" s="13" t="n"/>
      <c r="J19" s="13" t="n"/>
      <c r="K19" s="13" t="n"/>
      <c r="L19" s="13" t="n"/>
      <c r="M19" s="13" t="n"/>
      <c r="N19" s="13" t="n"/>
      <c r="O19" s="13" t="n"/>
      <c r="P19" s="13" t="n"/>
      <c r="Q19" s="13" t="n"/>
      <c r="R19" s="13" t="n"/>
      <c r="S19" s="1103" t="n"/>
      <c r="T19" s="13" t="n"/>
      <c r="U19" s="13" t="n"/>
      <c r="V19" s="13" t="n"/>
      <c r="W19" s="13" t="n"/>
      <c r="X19" s="171" t="n"/>
      <c r="Y19" s="171" t="n"/>
      <c r="Z19" s="13" t="n"/>
      <c r="AA19" s="13" t="n"/>
      <c r="AB19" s="13" t="n"/>
      <c r="AC19" s="13" t="n"/>
      <c r="AD19" s="13" t="n"/>
      <c r="AE19" s="13" t="n"/>
      <c r="AF19" s="13" t="n"/>
      <c r="AG19" s="13" t="n"/>
      <c r="AH19" s="13" t="n"/>
      <c r="AI19" s="13" t="n"/>
      <c r="AJ19" s="13" t="n"/>
      <c r="AK19" s="13" t="n"/>
      <c r="AL19" s="13" t="n"/>
      <c r="AM19" s="13" t="n"/>
      <c r="AN19" s="13" t="n"/>
    </row>
    <row r="20" hidden="1" outlineLevel="1" customFormat="1" s="13">
      <c r="A20" s="175" t="inlineStr">
        <is>
          <t>T</t>
        </is>
      </c>
      <c r="B20" s="176">
        <f>IF(_epmOfflineCondition_,"C_TIME",EPMDimensionType(,A20))</f>
        <v/>
      </c>
      <c r="C20" s="672" t="inlineStr">
        <is>
          <t>T_DUMMY</t>
        </is>
      </c>
      <c r="D20" s="180" t="n"/>
      <c r="E20" s="13" t="n"/>
      <c r="F20" s="384" t="n"/>
      <c r="G20" s="384" t="n"/>
      <c r="H20" s="13" t="n"/>
      <c r="I20" s="13" t="n"/>
      <c r="J20" s="13" t="n"/>
      <c r="K20" s="13" t="n"/>
      <c r="L20" s="13" t="n"/>
      <c r="M20" s="13" t="n"/>
      <c r="N20" s="13" t="n"/>
      <c r="O20" s="13" t="n"/>
      <c r="P20" s="13" t="n"/>
      <c r="Q20" s="13" t="n"/>
      <c r="R20" s="13" t="n"/>
      <c r="S20" s="1103" t="n"/>
      <c r="T20" s="13" t="n"/>
      <c r="U20" s="13" t="n"/>
      <c r="V20" s="13" t="n"/>
      <c r="W20" s="13" t="n"/>
      <c r="X20" s="171" t="n"/>
      <c r="Y20" s="171" t="n"/>
      <c r="Z20" s="384" t="n"/>
      <c r="AA20" s="384" t="n"/>
      <c r="AB20" s="13" t="n"/>
      <c r="AC20" s="13" t="n"/>
      <c r="AD20" s="13" t="n"/>
      <c r="AE20" s="13" t="n"/>
      <c r="AF20" s="13" t="n"/>
      <c r="AG20" s="13" t="n"/>
      <c r="AH20" s="13" t="n"/>
      <c r="AI20" s="13" t="n"/>
      <c r="AJ20" s="384" t="n"/>
      <c r="AK20" s="384" t="n"/>
      <c r="AL20" s="13" t="n"/>
      <c r="AM20" s="13" t="n"/>
      <c r="AN20" s="13" t="n"/>
    </row>
    <row r="21" hidden="1" outlineLevel="1" customFormat="1" s="13">
      <c r="A21" s="175" t="inlineStr">
        <is>
          <t>E</t>
        </is>
      </c>
      <c r="B21" s="176">
        <f>IF(_epmOfflineCondition_,"C_ENTITY",EPMDimensionType(,A21))</f>
        <v/>
      </c>
      <c r="C21" s="447">
        <f>H17</f>
        <v/>
      </c>
      <c r="D21" s="390">
        <f>IF(_epmOfflineCondition_,"E100787",EPMOlapMemberO(C21,"[C_ENTITY].[PARENTH1].[E100787]","E100787 - 内蒙古京能苏尼特风力发电有限公司（内蒙古分公司）","","000"))</f>
        <v/>
      </c>
      <c r="E21" s="13" t="n"/>
      <c r="F21" s="384" t="n"/>
      <c r="G21" s="384" t="n"/>
      <c r="H21" s="13" t="n"/>
      <c r="I21" s="13" t="n"/>
      <c r="J21" s="13" t="n"/>
      <c r="K21" s="13" t="n"/>
      <c r="L21" s="13" t="n"/>
      <c r="M21" s="13" t="n"/>
      <c r="N21" s="13" t="n"/>
      <c r="O21" s="13" t="n"/>
      <c r="P21" s="13" t="n"/>
      <c r="Q21" s="13" t="n"/>
      <c r="R21" s="13" t="n"/>
      <c r="S21" s="1103" t="n"/>
      <c r="T21" s="13" t="n"/>
      <c r="U21" s="13" t="n"/>
      <c r="V21" s="13" t="n"/>
      <c r="W21" s="13" t="n"/>
      <c r="X21" s="171" t="n"/>
      <c r="Y21" s="171" t="n"/>
      <c r="Z21" s="384" t="n"/>
      <c r="AA21" s="384" t="n"/>
      <c r="AB21" s="13" t="n"/>
      <c r="AC21" s="13" t="n"/>
      <c r="AD21" s="13" t="n"/>
      <c r="AE21" s="13" t="n"/>
      <c r="AF21" s="13" t="n"/>
      <c r="AG21" s="13" t="n"/>
      <c r="AH21" s="13" t="n"/>
      <c r="AI21" s="13" t="n"/>
      <c r="AJ21" s="384" t="n"/>
      <c r="AK21" s="384" t="n"/>
      <c r="AL21" s="13" t="n"/>
      <c r="AM21" s="13" t="n"/>
      <c r="AN21" s="13" t="n"/>
    </row>
    <row r="22" hidden="1" outlineLevel="1" customFormat="1" s="13">
      <c r="A22" s="175" t="inlineStr">
        <is>
          <t>R</t>
        </is>
      </c>
      <c r="B22" s="176">
        <f>IF(_epmOfflineCondition_,"C_RPTCURRENCY",EPMDimensionType(,A22))</f>
        <v/>
      </c>
      <c r="C22" s="176">
        <f>IF(E11="G_DUMMY",Z37,"CNY")</f>
        <v/>
      </c>
      <c r="D22" s="390">
        <f>IF(_epmOfflineCondition_,"LC",EPMOlapMemberO(C22,"[C_RPTCURRENCY].[].[LC]","LC - 本位币","","000"))</f>
        <v/>
      </c>
      <c r="E22" s="13" t="inlineStr">
        <is>
          <t>LC</t>
        </is>
      </c>
      <c r="F22" s="384" t="n"/>
      <c r="G22" s="384" t="n"/>
      <c r="H22" s="13" t="n"/>
      <c r="I22" s="13" t="n"/>
      <c r="J22" s="13" t="n"/>
      <c r="K22" s="13" t="n"/>
      <c r="L22" s="13" t="n"/>
      <c r="M22" s="13" t="n"/>
      <c r="N22" s="13" t="n"/>
      <c r="O22" s="13" t="n"/>
      <c r="P22" s="13" t="n"/>
      <c r="Q22" s="13" t="n"/>
      <c r="R22" s="13" t="n"/>
      <c r="S22" s="1103" t="n"/>
      <c r="T22" s="13" t="n"/>
      <c r="U22" s="13" t="n"/>
      <c r="V22" s="13" t="n"/>
      <c r="W22" s="13" t="n"/>
      <c r="X22" s="171" t="n"/>
      <c r="Y22" s="171" t="n"/>
      <c r="Z22" s="384" t="n"/>
      <c r="AA22" s="384" t="n"/>
      <c r="AB22" s="13" t="n"/>
      <c r="AC22" s="13" t="n"/>
      <c r="AD22" s="13" t="n"/>
      <c r="AE22" s="13" t="n"/>
      <c r="AF22" s="13" t="n"/>
      <c r="AG22" s="13" t="n"/>
      <c r="AH22" s="13" t="n"/>
      <c r="AI22" s="13" t="n"/>
      <c r="AJ22" s="384" t="n"/>
      <c r="AK22" s="384" t="n"/>
      <c r="AL22" s="13" t="n"/>
      <c r="AM22" s="13" t="n"/>
      <c r="AN22" s="13" t="n"/>
    </row>
    <row r="23" hidden="1" outlineLevel="1" customFormat="1" s="13">
      <c r="A23" s="175" t="inlineStr">
        <is>
          <t>D</t>
        </is>
      </c>
      <c r="B23" s="176">
        <f>IF(_epmOfflineCondition_,"C_AUDITTRAIL",EPMDimensionType(,A23))</f>
        <v/>
      </c>
      <c r="C23" s="447">
        <f>IF(_epmOfflineCondition_,"DTOTAL",IF(B23="","",EPMContextMember(,B23)))</f>
        <v/>
      </c>
      <c r="D23" s="390" t="n"/>
      <c r="E23" s="13" t="n"/>
      <c r="F23" s="384" t="n"/>
      <c r="G23" s="384" t="n"/>
      <c r="H23" s="13" t="n"/>
      <c r="I23" s="13" t="n"/>
      <c r="J23" s="13" t="n"/>
      <c r="K23" s="13" t="n"/>
      <c r="L23" s="13" t="n"/>
      <c r="M23" s="13" t="n"/>
      <c r="N23" s="13" t="n"/>
      <c r="O23" s="13" t="n"/>
      <c r="P23" s="13" t="n"/>
      <c r="Q23" s="13" t="n"/>
      <c r="R23" s="13" t="n"/>
      <c r="S23" s="1103" t="n"/>
      <c r="T23" s="13" t="n"/>
      <c r="U23" s="13" t="n"/>
      <c r="V23" s="13" t="n"/>
      <c r="W23" s="13" t="n"/>
      <c r="X23" s="171" t="n"/>
      <c r="Y23" s="171" t="n"/>
      <c r="Z23" s="384" t="n"/>
      <c r="AA23" s="384" t="n"/>
      <c r="AB23" s="13" t="n"/>
      <c r="AC23" s="13" t="n"/>
      <c r="AD23" s="13" t="n"/>
      <c r="AE23" s="13" t="n"/>
      <c r="AF23" s="13" t="n"/>
      <c r="AG23" s="13" t="n"/>
      <c r="AH23" s="13" t="n"/>
      <c r="AI23" s="13" t="n"/>
      <c r="AJ23" s="384" t="n"/>
      <c r="AK23" s="384" t="n"/>
      <c r="AL23" s="13" t="n"/>
      <c r="AM23" s="13" t="n"/>
      <c r="AN23" s="13" t="n"/>
    </row>
    <row r="24" hidden="1" outlineLevel="1" customFormat="1" s="13">
      <c r="A24" s="175" t="inlineStr">
        <is>
          <t>S</t>
        </is>
      </c>
      <c r="B24" s="176">
        <f>IF(_epmOfflineCondition_,"C_FLOW",EPMDimensionType(,A24))</f>
        <v/>
      </c>
      <c r="C24" s="176">
        <f>IF(_epmOfflineCondition_,"FTOTAL",IF(B24="","",EPMContextMember(,B24)))</f>
        <v/>
      </c>
      <c r="D24" s="390" t="n"/>
      <c r="E24" s="13" t="inlineStr">
        <is>
          <t>FMOV_OP</t>
        </is>
      </c>
      <c r="F24" s="384" t="n"/>
      <c r="G24" s="384" t="n"/>
      <c r="H24" s="13" t="n"/>
      <c r="I24" s="13" t="n"/>
      <c r="J24" s="13" t="n"/>
      <c r="K24" s="13" t="n"/>
      <c r="L24" s="13" t="n"/>
      <c r="M24" s="13" t="n"/>
      <c r="N24" s="13" t="n"/>
      <c r="O24" s="13" t="n"/>
      <c r="P24" s="13" t="n"/>
      <c r="Q24" s="13" t="n"/>
      <c r="R24" s="13" t="n"/>
      <c r="S24" s="1103" t="n"/>
      <c r="T24" s="13" t="n"/>
      <c r="U24" s="13" t="n"/>
      <c r="V24" s="13" t="n"/>
      <c r="W24" s="13" t="n"/>
      <c r="X24" s="171" t="n"/>
      <c r="Y24" s="171" t="n"/>
      <c r="Z24" s="384" t="n"/>
      <c r="AA24" s="384" t="n"/>
      <c r="AB24" s="13" t="n"/>
      <c r="AC24" s="13" t="n"/>
      <c r="AD24" s="13" t="n"/>
      <c r="AE24" s="13" t="n"/>
      <c r="AF24" s="13" t="n"/>
      <c r="AG24" s="13" t="n"/>
      <c r="AH24" s="13" t="n"/>
      <c r="AI24" s="13" t="n"/>
      <c r="AJ24" s="384" t="n"/>
      <c r="AK24" s="384" t="n"/>
      <c r="AL24" s="13" t="n"/>
      <c r="AM24" s="13" t="n"/>
      <c r="AN24" s="13" t="n"/>
    </row>
    <row r="25" hidden="1" outlineLevel="1" customFormat="1" s="13">
      <c r="A25" s="175" t="inlineStr">
        <is>
          <t>I</t>
        </is>
      </c>
      <c r="B25" s="176">
        <f>IF(_epmOfflineCondition_,"C_INTERCO",EPMDimensionType(,A25))</f>
        <v/>
      </c>
      <c r="C25" s="672" t="inlineStr">
        <is>
          <t>I_ALL</t>
        </is>
      </c>
      <c r="D25" s="390">
        <f>IF(_epmOfflineCondition_,"I_ALL",EPMOlapMemberO(C25,"[C_INTERCO].[PARENTH1].[I_ALL]","I_ALL - 全部贸易伙伴","","000"))</f>
        <v/>
      </c>
      <c r="E25" s="13" t="inlineStr">
        <is>
          <t>I_DUMMY</t>
        </is>
      </c>
      <c r="F25" s="384" t="n"/>
      <c r="G25" s="384" t="n"/>
      <c r="H25" s="13" t="n"/>
      <c r="I25" s="13" t="n"/>
      <c r="J25" s="13" t="n"/>
      <c r="K25" s="13" t="n"/>
      <c r="L25" s="13" t="n"/>
      <c r="M25" s="13" t="n"/>
      <c r="N25" s="13" t="n"/>
      <c r="O25" s="13" t="n"/>
      <c r="P25" s="13" t="n"/>
      <c r="Q25" s="13" t="n"/>
      <c r="R25" s="13" t="n"/>
      <c r="S25" s="1103" t="n"/>
      <c r="T25" s="13" t="n"/>
      <c r="U25" s="13" t="n"/>
      <c r="V25" s="13" t="n"/>
      <c r="W25" s="13" t="n"/>
      <c r="X25" s="178" t="inlineStr">
        <is>
          <t>CATEGORY</t>
        </is>
      </c>
      <c r="Y25" s="13" t="n"/>
      <c r="Z25" s="178" t="inlineStr">
        <is>
          <t>C1001</t>
        </is>
      </c>
      <c r="AA25" s="178" t="inlineStr">
        <is>
          <t>C1001</t>
        </is>
      </c>
      <c r="AB25" s="178">
        <f>$C$4</f>
        <v/>
      </c>
      <c r="AC25" s="178">
        <f>$C$4</f>
        <v/>
      </c>
      <c r="AD25" s="514" t="inlineStr">
        <is>
          <t>C1001</t>
        </is>
      </c>
      <c r="AE25" s="13" t="n"/>
      <c r="AF25" s="13" t="n"/>
      <c r="AG25" s="13" t="n"/>
      <c r="AH25" s="13" t="n"/>
      <c r="AI25" s="13" t="n"/>
      <c r="AJ25" s="178" t="inlineStr">
        <is>
          <t>C1001</t>
        </is>
      </c>
      <c r="AK25" s="178" t="inlineStr">
        <is>
          <t>C1001</t>
        </is>
      </c>
      <c r="AL25" s="178">
        <f>$C$4</f>
        <v/>
      </c>
      <c r="AM25" s="220" t="n"/>
      <c r="AN25" s="220" t="n"/>
    </row>
    <row r="26" hidden="1" outlineLevel="1" customFormat="1" s="13">
      <c r="A26" s="175" t="inlineStr">
        <is>
          <t>G</t>
        </is>
      </c>
      <c r="B26" s="176">
        <f>IF(_epmOfflineCondition_,"C_SCOPE",EPMDimensionType(,A26))</f>
        <v/>
      </c>
      <c r="C26" s="176">
        <f>E11</f>
        <v/>
      </c>
      <c r="D26" s="390">
        <f>IF(_epmOfflineCondition_,"G_DUMMY",EPMOlapMemberO(C26,"[C_SCOPE].[PARENTH1].[G_DUMMY]","G_DUMMY - 合并范围无关","","000"))</f>
        <v/>
      </c>
      <c r="E26" s="182" t="inlineStr">
        <is>
          <t>G_DUMMY</t>
        </is>
      </c>
      <c r="F26" s="384" t="n"/>
      <c r="G26" s="384" t="n"/>
      <c r="H26" s="13" t="n"/>
      <c r="I26" s="13" t="n"/>
      <c r="J26" s="13" t="n"/>
      <c r="K26" s="13" t="n"/>
      <c r="L26" s="13" t="n"/>
      <c r="M26" s="13" t="n"/>
      <c r="N26" s="13" t="n"/>
      <c r="O26" s="13" t="n"/>
      <c r="P26" s="13" t="n"/>
      <c r="Q26" s="13" t="n"/>
      <c r="R26" s="13" t="n"/>
      <c r="S26" s="1103" t="n"/>
      <c r="T26" s="13" t="n"/>
      <c r="U26" s="13" t="n"/>
      <c r="V26" s="13" t="n"/>
      <c r="W26" s="13" t="n"/>
      <c r="X26" s="464" t="inlineStr">
        <is>
          <t>TIME</t>
        </is>
      </c>
      <c r="Y26" s="13" t="n"/>
      <c r="Z26" s="464">
        <f>$I$11</f>
        <v/>
      </c>
      <c r="AA26" s="464">
        <f>$I$11</f>
        <v/>
      </c>
      <c r="AB26" s="464">
        <f>$I$13</f>
        <v/>
      </c>
      <c r="AC26" s="178">
        <f>$J$4</f>
        <v/>
      </c>
      <c r="AD26" s="514" t="inlineStr">
        <is>
          <t>2022.09</t>
        </is>
      </c>
      <c r="AE26" s="13" t="n"/>
      <c r="AF26" s="13" t="n"/>
      <c r="AG26" s="13" t="n"/>
      <c r="AH26" s="13" t="n"/>
      <c r="AI26" s="13" t="n"/>
      <c r="AJ26" s="464">
        <f>$I$11</f>
        <v/>
      </c>
      <c r="AK26" s="464">
        <f>$I$11</f>
        <v/>
      </c>
      <c r="AL26" s="464">
        <f>$I$13</f>
        <v/>
      </c>
      <c r="AM26" s="220" t="n"/>
      <c r="AN26" s="220" t="n"/>
    </row>
    <row r="27" hidden="1" outlineLevel="1" customFormat="1" s="13">
      <c r="A27" s="175" t="inlineStr">
        <is>
          <t>U8</t>
        </is>
      </c>
      <c r="B27" s="176">
        <f>IF(_epmOfflineCondition_,"C_PROJECT",EPMDimensionType(,A27))</f>
        <v/>
      </c>
      <c r="C27" s="180" t="inlineStr">
        <is>
          <t>ZP_ALL</t>
        </is>
      </c>
      <c r="D27" s="390">
        <f>IF(_epmOfflineCondition_,"ZP_ALL",EPMOlapMemberO(C27,"[C_PROJECT].[PARENTH1].[ZP_ALL]","ZP_ALL - 项目合计","","000"))</f>
        <v/>
      </c>
      <c r="E27" s="13" t="inlineStr">
        <is>
          <t>ZP_DUMMY</t>
        </is>
      </c>
      <c r="F27" s="384" t="n"/>
      <c r="G27" s="384" t="n"/>
      <c r="H27" s="13" t="n"/>
      <c r="I27" s="13" t="n"/>
      <c r="J27" s="13" t="n"/>
      <c r="K27" s="13" t="n"/>
      <c r="L27" s="13" t="n"/>
      <c r="M27" s="13" t="n"/>
      <c r="N27" s="13" t="n"/>
      <c r="O27" s="13" t="n"/>
      <c r="P27" s="13" t="n"/>
      <c r="Q27" s="13" t="n"/>
      <c r="R27" s="13" t="n"/>
      <c r="S27" s="1103" t="n"/>
      <c r="T27" s="13" t="n"/>
      <c r="U27" s="13" t="n"/>
      <c r="V27" s="13" t="n"/>
      <c r="W27" s="13" t="n"/>
      <c r="X27" s="200" t="inlineStr">
        <is>
          <t>MEASURES</t>
        </is>
      </c>
      <c r="Y27" s="13" t="n"/>
      <c r="Z27" s="200" t="inlineStr">
        <is>
          <t>YTD</t>
        </is>
      </c>
      <c r="AA27" s="200" t="inlineStr">
        <is>
          <t>YTD</t>
        </is>
      </c>
      <c r="AB27" s="200" t="inlineStr">
        <is>
          <t>Periodic</t>
        </is>
      </c>
      <c r="AC27" s="200" t="inlineStr">
        <is>
          <t>Periodic</t>
        </is>
      </c>
      <c r="AD27" s="185" t="inlineStr">
        <is>
          <t>Periodic</t>
        </is>
      </c>
      <c r="AE27" s="13" t="n"/>
      <c r="AF27" s="13" t="n"/>
      <c r="AG27" s="13" t="n"/>
      <c r="AH27" s="13" t="n"/>
      <c r="AI27" s="13" t="n"/>
      <c r="AJ27" s="200" t="inlineStr">
        <is>
          <t>YTD</t>
        </is>
      </c>
      <c r="AK27" s="200" t="inlineStr">
        <is>
          <t>YTD</t>
        </is>
      </c>
      <c r="AL27" s="200" t="inlineStr">
        <is>
          <t>Periodic</t>
        </is>
      </c>
      <c r="AM27" s="220" t="n"/>
      <c r="AN27" s="220" t="n"/>
    </row>
    <row r="28" hidden="1" outlineLevel="1" customFormat="1" s="13">
      <c r="A28" s="175" t="inlineStr">
        <is>
          <t>U9</t>
        </is>
      </c>
      <c r="B28" s="176">
        <f>IF(_epmOfflineCondition_,"C_ITEM",EPMDimensionType(,A28))</f>
        <v/>
      </c>
      <c r="C28" s="180" t="inlineStr">
        <is>
          <t>ZI_ALL</t>
        </is>
      </c>
      <c r="D28" s="390">
        <f>IF(_epmOfflineCondition_,"ZI_ALL",EPMOlapMemberO(C28,"[C_ITEM].[PARENTH1].[ZI_ALL]","ZI_ALL - 全部ITEM","","000"))</f>
        <v/>
      </c>
      <c r="E28" s="13" t="inlineStr">
        <is>
          <t>ZI_DUMMY</t>
        </is>
      </c>
      <c r="F28" s="384" t="n"/>
      <c r="G28" s="384" t="n"/>
      <c r="H28" s="13" t="n"/>
      <c r="I28" s="13" t="n"/>
      <c r="J28" s="13" t="n"/>
      <c r="K28" s="13" t="n"/>
      <c r="L28" s="13" t="n"/>
      <c r="M28" s="13" t="n"/>
      <c r="N28" s="13" t="n"/>
      <c r="O28" s="13" t="n"/>
      <c r="P28" s="13" t="n"/>
      <c r="Q28" s="13" t="n"/>
      <c r="R28" s="13" t="n"/>
      <c r="S28" s="1103" t="n"/>
      <c r="T28" s="13" t="n"/>
      <c r="U28" s="13" t="n"/>
      <c r="V28" s="13" t="n"/>
      <c r="W28" s="13" t="n"/>
      <c r="X28" s="200" t="inlineStr">
        <is>
          <t>FLOW</t>
        </is>
      </c>
      <c r="Y28" s="13" t="n"/>
      <c r="Z28" s="200" t="inlineStr">
        <is>
          <t>F20</t>
        </is>
      </c>
      <c r="AA28" s="200" t="inlineStr">
        <is>
          <t>F30</t>
        </is>
      </c>
      <c r="AB28" s="200" t="inlineStr">
        <is>
          <t>F20</t>
        </is>
      </c>
      <c r="AC28" s="200" t="inlineStr">
        <is>
          <t>FEND</t>
        </is>
      </c>
      <c r="AD28" s="185" t="inlineStr">
        <is>
          <t>FEND</t>
        </is>
      </c>
      <c r="AE28" s="13" t="inlineStr">
        <is>
          <t>FMOV</t>
        </is>
      </c>
      <c r="AF28" s="13" t="inlineStr">
        <is>
          <t>FEND</t>
        </is>
      </c>
      <c r="AG28" s="13" t="n"/>
      <c r="AH28" s="13" t="n"/>
      <c r="AI28" s="13" t="n"/>
      <c r="AJ28" s="200" t="inlineStr">
        <is>
          <t>F20</t>
        </is>
      </c>
      <c r="AK28" s="200" t="inlineStr">
        <is>
          <t>F30</t>
        </is>
      </c>
      <c r="AL28" s="200" t="inlineStr">
        <is>
          <t>F20</t>
        </is>
      </c>
      <c r="AM28" s="220" t="n"/>
      <c r="AN28" s="13" t="n"/>
    </row>
    <row r="29" hidden="1" outlineLevel="1" customFormat="1" s="13">
      <c r="A29" s="175" t="inlineStr">
        <is>
          <t>U10</t>
        </is>
      </c>
      <c r="B29" s="176">
        <f>IF(_epmOfflineCondition_,"C_MISK",EPMDimensionType(,A29))</f>
        <v/>
      </c>
      <c r="C29" s="449" t="inlineStr">
        <is>
          <t>ZM_ALL</t>
        </is>
      </c>
      <c r="D29" s="390">
        <f>IF(_epmOfflineCondition_,"ZM_ALL",EPMOlapMemberO(C29,"[C_MISK].[PARENTH1].[ZM_ALL]","ZM_ALL - ALL","","000"))</f>
        <v/>
      </c>
      <c r="E29" s="13" t="inlineStr">
        <is>
          <t>ZM_DUMMY</t>
        </is>
      </c>
      <c r="F29" s="384" t="n"/>
      <c r="G29" s="384" t="n"/>
      <c r="H29" s="13" t="n"/>
      <c r="I29" s="13" t="n"/>
      <c r="J29" s="13" t="n"/>
      <c r="K29" s="13" t="n"/>
      <c r="L29" s="13" t="n"/>
      <c r="M29" s="13" t="n"/>
      <c r="N29" s="13" t="n"/>
      <c r="O29" s="13" t="n"/>
      <c r="P29" s="13" t="n"/>
      <c r="Q29" s="13" t="n"/>
      <c r="R29" s="13" t="n"/>
      <c r="S29" s="1103" t="n"/>
      <c r="T29" s="13" t="n"/>
      <c r="U29" s="13" t="n"/>
      <c r="V29" s="13" t="n"/>
      <c r="W29" s="13" t="n"/>
      <c r="X29" s="200" t="inlineStr">
        <is>
          <t>AUDITTRAIL</t>
        </is>
      </c>
      <c r="Y29" s="13" t="n"/>
      <c r="Z29" s="200" t="inlineStr">
        <is>
          <t>D1110</t>
        </is>
      </c>
      <c r="AA29" s="200" t="inlineStr">
        <is>
          <t>DALL</t>
        </is>
      </c>
      <c r="AB29" s="200" t="inlineStr">
        <is>
          <t>DLC</t>
        </is>
      </c>
      <c r="AC29" s="200" t="inlineStr">
        <is>
          <t>DLC</t>
        </is>
      </c>
      <c r="AD29" s="185" t="inlineStr">
        <is>
          <t>DLC</t>
        </is>
      </c>
      <c r="AE29" s="13" t="inlineStr">
        <is>
          <t>DLC_ADJ</t>
        </is>
      </c>
      <c r="AF29" s="13" t="inlineStr">
        <is>
          <t>D_DUMMY</t>
        </is>
      </c>
      <c r="AG29" s="13" t="n"/>
      <c r="AH29" s="13" t="n"/>
      <c r="AI29" s="13" t="n"/>
      <c r="AJ29" s="200" t="inlineStr">
        <is>
          <t>D1110</t>
        </is>
      </c>
      <c r="AK29" s="200" t="inlineStr">
        <is>
          <t>DALL</t>
        </is>
      </c>
      <c r="AL29" s="200" t="inlineStr">
        <is>
          <t>DLC</t>
        </is>
      </c>
      <c r="AM29" s="13" t="n"/>
      <c r="AN29" s="13" t="n"/>
    </row>
    <row r="30" hidden="1" outlineLevel="1" customFormat="1" s="13">
      <c r="A30" s="175" t="n"/>
      <c r="B30" s="175">
        <f>IF(_epmOfflineCondition_,"",EPMDimensionType(,A30))</f>
        <v/>
      </c>
      <c r="C30" s="182" t="inlineStr">
        <is>
          <t>PERIODIC</t>
        </is>
      </c>
      <c r="D30" s="390" t="n"/>
      <c r="E30" s="13" t="n"/>
      <c r="F30" s="384" t="n"/>
      <c r="G30" s="384" t="n"/>
      <c r="H30" s="13" t="n"/>
      <c r="I30" s="13" t="n"/>
      <c r="J30" s="13" t="n"/>
      <c r="K30" s="13" t="n"/>
      <c r="L30" s="13" t="n"/>
      <c r="M30" s="13" t="n"/>
      <c r="N30" s="13" t="n"/>
      <c r="O30" s="13" t="n"/>
      <c r="P30" s="13" t="n"/>
      <c r="Q30" s="13" t="n"/>
      <c r="R30" s="13" t="n"/>
      <c r="S30" s="1103" t="n"/>
      <c r="T30" s="13" t="n"/>
      <c r="U30" s="13" t="n"/>
      <c r="V30" s="13" t="n"/>
      <c r="W30" s="13" t="n"/>
      <c r="X30" s="13" t="n"/>
      <c r="Y30" s="13" t="n"/>
      <c r="Z30" s="13">
        <f>IF(_epmOfflineCondition_,"平台表单手工输入",EPMMemberDesc(Z29))</f>
        <v/>
      </c>
      <c r="AA30" s="13">
        <f>IF(_epmOfflineCondition_,"合并后",EPMMemberDesc(AA29))</f>
        <v/>
      </c>
      <c r="AB30" s="13">
        <f>IF(_epmOfflineCondition_,"单体报表",EPMMemberDesc(AB29))</f>
        <v/>
      </c>
      <c r="AC30" s="13">
        <f>IF(_epmOfflineCondition_,"单体报表",EPMMemberDesc(AC29))</f>
        <v/>
      </c>
      <c r="AD30" s="13" t="inlineStr">
        <is>
          <t>单体报表</t>
        </is>
      </c>
      <c r="AE30" s="13" t="inlineStr">
        <is>
          <t>单体调整</t>
        </is>
      </c>
      <c r="AF30" s="13" t="n"/>
      <c r="AG30" s="13" t="n"/>
      <c r="AH30" s="13" t="n"/>
      <c r="AI30" s="13" t="n"/>
      <c r="AJ30" s="13">
        <f>IF(_epmOfflineCondition_,"平台表单手工输入",EPMMemberDesc(AJ29))</f>
        <v/>
      </c>
      <c r="AK30" s="13">
        <f>IF(_epmOfflineCondition_,"合并后",EPMMemberDesc(AK29))</f>
        <v/>
      </c>
      <c r="AL30" s="13">
        <f>IF(_epmOfflineCondition_,"单体报表",EPMMemberDesc(AL29))</f>
        <v/>
      </c>
      <c r="AM30" s="13" t="n"/>
      <c r="AN30" s="13" t="n"/>
    </row>
    <row r="31" hidden="1" outlineLevel="1" customFormat="1" s="13">
      <c r="A31" s="13" t="n"/>
      <c r="B31" s="1103" t="n"/>
      <c r="C31" s="1103" t="n"/>
      <c r="D31" s="1103" t="n"/>
      <c r="E31" s="13" t="n"/>
      <c r="F31" s="13" t="n"/>
      <c r="G31" s="13" t="n"/>
      <c r="H31" s="13" t="n"/>
      <c r="I31" s="13" t="n"/>
      <c r="J31" s="13" t="n"/>
      <c r="K31" s="13" t="n"/>
      <c r="L31" s="13" t="n"/>
      <c r="M31" s="13" t="n"/>
      <c r="N31" s="13" t="n"/>
      <c r="O31" s="13" t="n"/>
      <c r="P31" s="13" t="n"/>
      <c r="Q31" s="13" t="n"/>
      <c r="R31" s="13" t="n"/>
      <c r="S31" s="1103" t="n"/>
      <c r="T31" s="13" t="n"/>
      <c r="U31" s="13" t="n"/>
      <c r="V31" s="13" t="n"/>
      <c r="W31" s="13" t="n"/>
      <c r="X31" s="171" t="n"/>
      <c r="Y31" s="171" t="n"/>
      <c r="Z31" s="384">
        <f>IF(Z37="LC","DLC","DALL")</f>
        <v/>
      </c>
      <c r="AA31" s="13" t="n"/>
      <c r="AB31" s="13" t="n"/>
      <c r="AC31" s="13" t="n"/>
      <c r="AD31" s="13" t="n"/>
      <c r="AE31" s="13" t="n"/>
      <c r="AF31" s="13" t="n"/>
      <c r="AG31" s="13" t="n"/>
      <c r="AH31" s="13" t="n"/>
      <c r="AI31" s="13" t="n"/>
      <c r="AJ31" s="384">
        <f>IF(AJ37="LC","DLC","DALL")</f>
        <v/>
      </c>
      <c r="AK31" s="13" t="n"/>
      <c r="AL31" s="13" t="n"/>
      <c r="AM31" s="13" t="n"/>
      <c r="AN31" s="13" t="n"/>
    </row>
    <row r="32" hidden="1" outlineLevel="1" customFormat="1" s="13">
      <c r="A32" s="13" t="n"/>
      <c r="B32" s="1103" t="n"/>
      <c r="C32" s="1103" t="n"/>
      <c r="D32" s="1103" t="n"/>
      <c r="E32" s="13" t="n"/>
      <c r="F32" s="13" t="n"/>
      <c r="G32" s="13" t="n"/>
      <c r="H32" s="13" t="n"/>
      <c r="I32" s="13" t="n"/>
      <c r="J32" s="13" t="n"/>
      <c r="K32" s="13" t="n"/>
      <c r="L32" s="13" t="n"/>
      <c r="M32" s="13" t="n"/>
      <c r="N32" s="13" t="n"/>
      <c r="O32" s="13" t="n"/>
      <c r="P32" s="13" t="n"/>
      <c r="Q32" s="13" t="n"/>
      <c r="R32" s="13" t="n"/>
      <c r="S32" s="1103" t="n"/>
      <c r="T32" s="13" t="n"/>
      <c r="U32" s="13" t="n"/>
      <c r="V32" s="13" t="n"/>
      <c r="W32" s="13" t="n"/>
      <c r="X32" s="171" t="n"/>
      <c r="Y32" s="171" t="n"/>
      <c r="Z32" s="13" t="n"/>
      <c r="AA32" s="13" t="n"/>
      <c r="AB32" s="13" t="n"/>
      <c r="AC32" s="13" t="n"/>
      <c r="AD32" s="13" t="n"/>
      <c r="AE32" s="13" t="n"/>
      <c r="AF32" s="13" t="n"/>
      <c r="AG32" s="13" t="n"/>
      <c r="AH32" s="13" t="n"/>
      <c r="AI32" s="13" t="n"/>
      <c r="AJ32" s="13" t="n"/>
      <c r="AK32" s="13" t="n"/>
      <c r="AL32" s="13" t="n"/>
      <c r="AM32" s="13" t="n"/>
      <c r="AN32" s="13" t="n"/>
    </row>
    <row r="33" hidden="1" outlineLevel="1" customFormat="1" s="13">
      <c r="A33" s="13" t="n"/>
      <c r="B33" s="1103" t="n"/>
      <c r="C33" s="1103" t="n"/>
      <c r="D33" s="1103" t="n"/>
      <c r="E33" s="13" t="n"/>
      <c r="F33" s="13" t="n"/>
      <c r="G33" s="13" t="n"/>
      <c r="H33" s="13" t="n"/>
      <c r="I33" s="13" t="n"/>
      <c r="J33" s="13" t="n"/>
      <c r="K33" s="13" t="n"/>
      <c r="L33" s="13" t="n"/>
      <c r="M33" s="13" t="n"/>
      <c r="N33" s="13" t="n"/>
      <c r="O33" s="13" t="n"/>
      <c r="P33" s="13" t="n"/>
      <c r="Q33" s="13" t="n"/>
      <c r="R33" s="13" t="n"/>
      <c r="S33" s="1103" t="n"/>
      <c r="T33" s="13" t="n"/>
      <c r="U33" s="13" t="n"/>
      <c r="V33" s="13" t="n"/>
      <c r="W33" s="13" t="n"/>
      <c r="X33" s="171" t="n"/>
      <c r="Y33" s="171" t="n"/>
      <c r="Z33" s="13" t="n"/>
      <c r="AA33" s="13" t="n"/>
      <c r="AB33" s="13" t="n"/>
      <c r="AC33" s="13" t="n"/>
      <c r="AD33" s="13" t="n"/>
      <c r="AE33" s="13" t="n"/>
      <c r="AF33" s="13" t="n"/>
      <c r="AG33" s="13" t="n"/>
      <c r="AH33" s="13" t="n"/>
      <c r="AI33" s="13" t="n"/>
      <c r="AJ33" s="13" t="n"/>
      <c r="AK33" s="13" t="n"/>
      <c r="AL33" s="13" t="n"/>
      <c r="AM33" s="13" t="n"/>
      <c r="AN33" s="13" t="n"/>
    </row>
    <row r="34" collapsed="1" ht="10.5" customFormat="1" customHeight="1" s="13">
      <c r="A34" s="13" t="n"/>
      <c r="B34" s="1103" t="n"/>
      <c r="C34" s="1103" t="n"/>
      <c r="D34" s="1103" t="n"/>
      <c r="E34" s="13" t="n"/>
      <c r="F34" s="13" t="n"/>
      <c r="G34" s="13" t="n"/>
      <c r="H34" s="13" t="n"/>
      <c r="I34" s="13" t="n"/>
      <c r="J34" s="13" t="n"/>
      <c r="K34" s="13" t="n"/>
      <c r="L34" s="13" t="n"/>
      <c r="M34" s="13" t="n"/>
      <c r="N34" s="13" t="n"/>
      <c r="O34" s="13" t="n"/>
      <c r="P34" s="13" t="n"/>
      <c r="Q34" s="13" t="n"/>
      <c r="R34" s="13" t="n"/>
      <c r="S34" s="1103" t="n"/>
      <c r="T34" s="13" t="n"/>
      <c r="U34" s="13" t="n"/>
      <c r="V34" s="13" t="n"/>
      <c r="W34" s="13" t="n"/>
      <c r="X34" s="171" t="n"/>
      <c r="Y34" s="171" t="n"/>
      <c r="Z34" s="13" t="n"/>
      <c r="AA34" s="13" t="n"/>
      <c r="AB34" s="13" t="n"/>
      <c r="AC34" s="13" t="n"/>
      <c r="AD34" s="13" t="n"/>
      <c r="AE34" s="13" t="n"/>
      <c r="AF34" s="13" t="n"/>
      <c r="AG34" s="13" t="n"/>
      <c r="AH34" s="13" t="n"/>
      <c r="AI34" s="716" t="n"/>
      <c r="AJ34" s="13" t="n"/>
      <c r="AK34" s="13" t="n"/>
      <c r="AL34" s="13" t="n"/>
      <c r="AM34" s="13" t="n"/>
      <c r="AN34" s="13" t="n"/>
    </row>
    <row r="35" ht="32.25" customHeight="1" s="1181">
      <c r="A35" s="384" t="n"/>
      <c r="B35" s="384" t="n"/>
      <c r="C35" s="384" t="n"/>
      <c r="D35" s="384" t="n"/>
      <c r="E35" s="384" t="n"/>
      <c r="F35" s="384" t="n"/>
      <c r="G35" s="384" t="n"/>
      <c r="H35" s="384" t="n"/>
      <c r="I35" s="384" t="n"/>
      <c r="J35" s="384" t="n"/>
      <c r="K35" s="384" t="n"/>
      <c r="L35" s="384" t="n"/>
      <c r="M35" s="384" t="n"/>
      <c r="N35" s="384" t="n"/>
      <c r="O35" s="384" t="n"/>
      <c r="P35" s="384" t="n"/>
      <c r="Q35" s="384" t="n"/>
      <c r="R35" s="384" t="n"/>
      <c r="S35" s="32" t="n"/>
      <c r="T35" s="384" t="n"/>
      <c r="U35" s="384" t="n"/>
      <c r="V35" s="384" t="n"/>
      <c r="W35" s="384" t="n"/>
      <c r="X35" s="38" t="n"/>
      <c r="Y35" s="38" t="n"/>
      <c r="Z35" s="520" t="inlineStr">
        <is>
          <t>补充指标表（国资委）</t>
        </is>
      </c>
      <c r="AC35" s="384" t="n"/>
      <c r="AD35" s="384" t="n"/>
      <c r="AE35" s="384" t="n"/>
      <c r="AF35" s="384" t="n"/>
      <c r="AG35" s="384" t="n"/>
      <c r="AH35" s="384" t="n"/>
      <c r="AI35" s="384" t="n"/>
      <c r="AJ35" s="520" t="inlineStr">
        <is>
          <t>补充指标表（国资委）-万元</t>
        </is>
      </c>
      <c r="AM35" s="384" t="n"/>
      <c r="AN35" s="384" t="n"/>
    </row>
    <row r="36" ht="15.2" customFormat="1" customHeight="1" s="716">
      <c r="A36" s="716" t="n"/>
      <c r="B36" s="716" t="n"/>
      <c r="C36" s="716" t="n"/>
      <c r="D36" s="716" t="n"/>
      <c r="E36" s="716" t="n"/>
      <c r="F36" s="716" t="n"/>
      <c r="G36" s="716" t="n"/>
      <c r="H36" s="716" t="n"/>
      <c r="I36" s="716" t="n"/>
      <c r="J36" s="716" t="n"/>
      <c r="K36" s="716" t="n"/>
      <c r="L36" s="716" t="n"/>
      <c r="M36" s="716" t="n"/>
      <c r="N36" s="716" t="n"/>
      <c r="O36" s="716" t="n"/>
      <c r="P36" s="716">
        <f>IF(_epmOfflineCondition_,"        # 利息支出",EPMMemberDesc(Q47))</f>
        <v/>
      </c>
      <c r="Q36" s="716" t="n"/>
      <c r="R36" s="716" t="n"/>
      <c r="S36" s="462" t="n"/>
      <c r="T36" s="716" t="n"/>
      <c r="U36" s="716" t="n"/>
      <c r="V36" s="716" t="n"/>
      <c r="W36" s="716" t="n"/>
      <c r="X36" s="190">
        <f>IF(_epmOfflineCondition_,"编制单位：内蒙古京能苏尼特风力发电有限公司（内蒙古分公司）","编制单位："&amp;EPMMemberDesc($C$6))</f>
        <v/>
      </c>
      <c r="Y36" s="116" t="inlineStr">
        <is>
          <t>操作提示：表单默认币种LC（本位币），外币记账单位，可点击左侧币种切换，点击EPM选项卡中的“刷新”按钮</t>
        </is>
      </c>
      <c r="Z36" s="116" t="n"/>
      <c r="AA36" s="716" t="n"/>
      <c r="AB36" s="203" t="n"/>
      <c r="AC36" s="716" t="n"/>
      <c r="AD36" s="716" t="n"/>
      <c r="AE36" s="716" t="n"/>
      <c r="AF36" s="716" t="n"/>
      <c r="AG36" s="716" t="n"/>
      <c r="AH36" s="716" t="n"/>
      <c r="AI36" s="716" t="n"/>
      <c r="AJ36" s="116" t="n"/>
      <c r="AK36" s="716" t="n"/>
      <c r="AL36" s="203" t="n"/>
      <c r="AM36" s="716" t="n"/>
      <c r="AN36" s="716" t="n"/>
    </row>
    <row r="37" ht="15.2" customFormat="1" customHeight="1" s="716">
      <c r="A37" s="716" t="n"/>
      <c r="B37" s="716" t="n"/>
      <c r="C37" s="716" t="n"/>
      <c r="D37" s="716" t="n"/>
      <c r="E37" s="716" t="n"/>
      <c r="F37" s="716" t="n"/>
      <c r="G37" s="716" t="n"/>
      <c r="H37" s="716" t="n"/>
      <c r="I37" s="716" t="n"/>
      <c r="J37" s="716" t="n"/>
      <c r="K37" s="716" t="n"/>
      <c r="L37" s="716" t="n"/>
      <c r="M37" s="716" t="n"/>
      <c r="N37" s="716" t="n"/>
      <c r="O37" s="716" t="n"/>
      <c r="P37" s="716">
        <f>IF(_epmOfflineCondition_,"        # 手续费及佣金支出",EPMMemberDesc(Q48))</f>
        <v/>
      </c>
      <c r="Q37" s="716" t="n"/>
      <c r="R37" s="716" t="n"/>
      <c r="S37" s="462" t="n"/>
      <c r="T37" s="716" t="n"/>
      <c r="U37" s="716" t="n"/>
      <c r="V37" s="716" t="n"/>
      <c r="W37" s="716" t="n"/>
      <c r="X37" s="190">
        <f>"编制月份："&amp;$I$3&amp;"年"&amp;$I$8&amp;"月"</f>
        <v/>
      </c>
      <c r="Y37" s="521" t="inlineStr">
        <is>
          <t>币种：</t>
        </is>
      </c>
      <c r="Z37" s="521">
        <f>AJ37</f>
        <v/>
      </c>
      <c r="AA37" s="716" t="n"/>
      <c r="AB37" s="223" t="inlineStr">
        <is>
          <t>金额单位：元</t>
        </is>
      </c>
      <c r="AC37" s="716" t="n"/>
      <c r="AD37" s="716" t="n"/>
      <c r="AE37" s="716" t="n"/>
      <c r="AF37" s="716" t="n"/>
      <c r="AG37" s="716" t="n"/>
      <c r="AH37" s="716" t="n"/>
      <c r="AI37" s="716" t="n"/>
      <c r="AJ37" s="521" t="inlineStr">
        <is>
          <t>LC</t>
        </is>
      </c>
      <c r="AK37" s="716" t="n"/>
      <c r="AL37" s="223" t="inlineStr">
        <is>
          <t>金额单位：万元</t>
        </is>
      </c>
      <c r="AM37" s="716" t="n"/>
      <c r="AN37" s="716" t="n"/>
    </row>
    <row r="38" ht="10.15" customFormat="1" customHeight="1" s="716">
      <c r="A38" s="716" t="n"/>
      <c r="B38" s="716" t="n"/>
      <c r="C38" s="716" t="n"/>
      <c r="D38" s="716" t="n"/>
      <c r="E38" s="716" t="n"/>
      <c r="F38" s="716" t="n"/>
      <c r="G38" s="716" t="n"/>
      <c r="H38" s="716" t="n"/>
      <c r="I38" s="716" t="n"/>
      <c r="J38" s="716" t="n"/>
      <c r="K38" s="716" t="n"/>
      <c r="L38" s="716" t="n"/>
      <c r="M38" s="716" t="n"/>
      <c r="N38" s="716" t="n"/>
      <c r="O38" s="716" t="n"/>
      <c r="P38" s="716">
        <f>IF(_epmOfflineCondition_,"　      # 汇兑收益（损失以“-”号填列）",EPMMemberDesc(Q46))</f>
        <v/>
      </c>
      <c r="Q38" s="716" t="n"/>
      <c r="R38" s="716" t="n"/>
      <c r="S38" s="462" t="n"/>
      <c r="T38" s="716" t="n"/>
      <c r="U38" s="716" t="n"/>
      <c r="V38" s="716" t="n"/>
      <c r="W38" s="716" t="n"/>
      <c r="X38" s="190" t="n"/>
      <c r="Y38" s="190" t="n"/>
      <c r="Z38" s="716" t="n"/>
      <c r="AA38" s="716" t="n"/>
      <c r="AB38" s="203" t="n"/>
      <c r="AC38" s="716" t="n"/>
      <c r="AD38" s="716" t="n"/>
      <c r="AE38" s="716" t="n"/>
      <c r="AF38" s="716" t="n"/>
      <c r="AG38" s="716" t="n"/>
      <c r="AH38" s="716" t="n"/>
      <c r="AI38" s="716" t="n"/>
      <c r="AJ38" s="716" t="n"/>
      <c r="AK38" s="716" t="n"/>
      <c r="AL38" s="203" t="n"/>
      <c r="AM38" s="716" t="n"/>
      <c r="AN38" s="716" t="n"/>
    </row>
    <row r="39" ht="8.65" customFormat="1" customHeight="1" s="716">
      <c r="A39" s="716" t="n"/>
      <c r="B39" s="716" t="n"/>
      <c r="C39" s="716" t="n"/>
      <c r="D39" s="716" t="n"/>
      <c r="E39" s="716" t="n"/>
      <c r="F39" s="716" t="n"/>
      <c r="G39" s="716" t="n"/>
      <c r="H39" s="716" t="n"/>
      <c r="I39" s="716" t="n"/>
      <c r="J39" s="716" t="n"/>
      <c r="K39" s="716" t="n"/>
      <c r="L39" s="716" t="n"/>
      <c r="M39" s="716" t="n"/>
      <c r="N39" s="716" t="n"/>
      <c r="O39" s="716" t="n"/>
      <c r="P39" s="716" t="n"/>
      <c r="Q39" s="716" t="n"/>
      <c r="R39" s="716" t="n"/>
      <c r="S39" s="462" t="n"/>
      <c r="T39" s="716" t="n"/>
      <c r="U39" s="716" t="n"/>
      <c r="V39" s="716" t="n"/>
      <c r="W39" s="716" t="n"/>
      <c r="X39" s="450" t="inlineStr">
        <is>
          <t>项        目</t>
        </is>
      </c>
      <c r="Y39" s="450" t="inlineStr">
        <is>
          <t>行次</t>
        </is>
      </c>
      <c r="Z39" s="522" t="inlineStr">
        <is>
          <t>本月数</t>
        </is>
      </c>
      <c r="AA39" s="522" t="inlineStr">
        <is>
          <t>本年累计数</t>
        </is>
      </c>
      <c r="AB39" s="522" t="inlineStr">
        <is>
          <t>上年同期数</t>
        </is>
      </c>
      <c r="AC39" s="528" t="n"/>
      <c r="AD39" s="528" t="n"/>
      <c r="AE39" s="182" t="n"/>
      <c r="AF39" s="528" t="inlineStr">
        <is>
          <t>本年累计(存数）</t>
        </is>
      </c>
      <c r="AG39" s="182" t="n"/>
      <c r="AH39" s="182" t="n"/>
      <c r="AI39" s="182" t="n"/>
      <c r="AJ39" s="522" t="inlineStr">
        <is>
          <t>本月数</t>
        </is>
      </c>
      <c r="AK39" s="522" t="inlineStr">
        <is>
          <t>本年累计数</t>
        </is>
      </c>
      <c r="AL39" s="522" t="inlineStr">
        <is>
          <t>上年同期数</t>
        </is>
      </c>
      <c r="AM39" s="716" t="n"/>
      <c r="AN39" s="716" t="n"/>
    </row>
    <row r="40" ht="10.9" customFormat="1" customHeight="1" s="716">
      <c r="A40" s="716" t="n"/>
      <c r="B40" s="716" t="n"/>
      <c r="C40" s="716" t="n"/>
      <c r="D40" s="716" t="n"/>
      <c r="E40" s="716" t="n"/>
      <c r="F40" s="716" t="n"/>
      <c r="G40" s="716" t="n"/>
      <c r="H40" s="716" t="n"/>
      <c r="I40" s="716" t="n"/>
      <c r="J40" s="716" t="n"/>
      <c r="K40" s="716" t="n"/>
      <c r="L40" s="716" t="n"/>
      <c r="M40" s="716" t="n"/>
      <c r="N40" s="716" t="n"/>
      <c r="O40" s="716" t="n"/>
      <c r="P40" s="716" t="n"/>
      <c r="Q40" s="716" t="n"/>
      <c r="R40" s="716" t="n"/>
      <c r="S40" s="462" t="n"/>
      <c r="T40" s="716" t="n"/>
      <c r="U40" s="716" t="inlineStr">
        <is>
          <t>输入科目</t>
        </is>
      </c>
      <c r="V40" s="716" t="n"/>
      <c r="W40" s="716" t="n"/>
      <c r="X40" s="1184" t="n"/>
      <c r="Y40" s="1184" t="n"/>
      <c r="Z40" s="1184" t="n"/>
      <c r="AA40" s="1184" t="n"/>
      <c r="AB40" s="1184" t="n"/>
      <c r="AC40" s="1184" t="n"/>
      <c r="AD40" s="528" t="n"/>
      <c r="AE40" s="182" t="n"/>
      <c r="AF40" s="1184" t="n"/>
      <c r="AG40" s="182" t="n"/>
      <c r="AH40" s="182" t="n"/>
      <c r="AI40" s="182" t="n"/>
      <c r="AJ40" s="1184" t="n"/>
      <c r="AK40" s="1184" t="n"/>
      <c r="AL40" s="1184" t="n"/>
      <c r="AM40" s="716" t="n"/>
      <c r="AN40" s="716" t="n"/>
    </row>
    <row r="41" hidden="1" ht="13.5" customFormat="1" customHeight="1" s="24">
      <c r="A41" s="24" t="n"/>
      <c r="B41" s="24" t="n"/>
      <c r="C41" s="24" t="n"/>
      <c r="D41" s="24" t="n"/>
      <c r="E41" s="24" t="n"/>
      <c r="F41" s="24" t="n"/>
      <c r="G41" s="24" t="n"/>
      <c r="H41" s="24" t="n"/>
      <c r="I41" s="24" t="n"/>
      <c r="J41" s="24" t="n"/>
      <c r="K41" s="24" t="n"/>
      <c r="L41" s="24" t="n"/>
      <c r="M41" s="24" t="n"/>
      <c r="N41" s="24" t="n"/>
      <c r="O41" s="24" t="n"/>
      <c r="P41" s="24" t="n"/>
      <c r="Q41" s="24" t="n"/>
      <c r="R41" s="24" t="n"/>
      <c r="S41" s="24" t="n"/>
      <c r="T41" s="24" t="n"/>
      <c r="U41" s="24" t="n"/>
      <c r="V41" s="24" t="n"/>
      <c r="W41" s="24" t="n"/>
      <c r="X41" s="515" t="inlineStr">
        <is>
          <t>time</t>
        </is>
      </c>
      <c r="Y41" s="523" t="n"/>
      <c r="Z41" s="469">
        <f>IF(_epmOfflineCondition_,"2025.03",EPMOlapMemberO($I$11,"[C_TIME].[PARENTH1].[2025.03]","2025.03 - 2025.03","","000"))</f>
        <v/>
      </c>
      <c r="AA41" s="469">
        <f>IF(_epmOfflineCondition_,"2025.03",EPMOlapMemberO($I$11,"[C_TIME].[PARENTH1].[2025.03]","2025.03 - 2025.03","","000"))</f>
        <v/>
      </c>
      <c r="AB41" s="469">
        <f>IF(_epmOfflineCondition_,"2024.03",EPMOlapMemberO(AB26,"[C_TIME].[PARENTH1].[2024.03]","2024.03 - 2024.03","","000"))</f>
        <v/>
      </c>
      <c r="AC41" s="180" t="n"/>
      <c r="AD41" s="180" t="n"/>
      <c r="AE41" s="672" t="n"/>
      <c r="AF41" s="672" t="n"/>
      <c r="AG41" s="672" t="n"/>
      <c r="AH41" s="672" t="n"/>
      <c r="AI41" s="672" t="n"/>
      <c r="AJ41" s="532">
        <f>IF(_epmOfflineCondition_,"2025.03",EPMOlapMemberO($I$11,"[C_TIME].[PARENTH1].[2025.03]","2025.03 - 2025.03","","000"))</f>
        <v/>
      </c>
      <c r="AK41" s="532">
        <f>IF(_epmOfflineCondition_,"2025.03",EPMOlapMemberO($I$11,"[C_TIME].[PARENTH1].[2025.03]","2025.03 - 2025.03","","000"))</f>
        <v/>
      </c>
      <c r="AL41" s="532">
        <f>IF(_epmOfflineCondition_,"2024.03",EPMOlapMemberO(AL26,"[C_TIME].[PARENTH1].[2024.03]","2024.03 - 2024.03","","000"))</f>
        <v/>
      </c>
      <c r="AM41" s="24" t="n"/>
      <c r="AN41" s="24" t="n"/>
    </row>
    <row r="42" hidden="1" ht="14.25" customFormat="1" customHeight="1" s="716">
      <c r="A42" s="716" t="n"/>
      <c r="B42" s="716" t="n"/>
      <c r="C42" s="716" t="n"/>
      <c r="D42" s="716" t="n"/>
      <c r="E42" s="716" t="n"/>
      <c r="F42" s="716" t="n"/>
      <c r="G42" s="716" t="n"/>
      <c r="H42" s="716" t="n"/>
      <c r="I42" s="716" t="n"/>
      <c r="J42" s="716" t="n"/>
      <c r="K42" s="716" t="n"/>
      <c r="L42" s="716" t="n"/>
      <c r="M42" s="716" t="n"/>
      <c r="N42" s="716" t="n"/>
      <c r="O42" s="716" t="n"/>
      <c r="P42" s="716" t="n"/>
      <c r="Q42" s="716" t="n"/>
      <c r="R42" s="716" t="n"/>
      <c r="S42" s="462" t="n"/>
      <c r="T42" s="716" t="n"/>
      <c r="U42" s="716" t="n"/>
      <c r="V42" s="716" t="n"/>
      <c r="W42" s="716" t="n"/>
      <c r="X42" s="515" t="inlineStr">
        <is>
          <t>category</t>
        </is>
      </c>
      <c r="Y42" s="515" t="n"/>
      <c r="Z42" s="182">
        <f>IF(_epmOfflineCondition_,"C1001",EPMOlapMemberO($Z$25,"[C_CATEGORY].[PARENTH1].[C1001]","C1001 - 实际数/决算数","","000"))</f>
        <v/>
      </c>
      <c r="AA42" s="182">
        <f>IF(_epmOfflineCondition_,"C1001",EPMOlapMemberO($Z$25,"[C_CATEGORY].[PARENTH1].[C1001]","C1001 - 实际数/决算数","","000"))</f>
        <v/>
      </c>
      <c r="AB42" s="182">
        <f>IF(_epmOfflineCondition_,"C1001",EPMOlapMemberO($Z$25,"[C_CATEGORY].[PARENTH1].[C1001]","C1001 - 实际数/决算数","","000"))</f>
        <v/>
      </c>
      <c r="AC42" s="180" t="n"/>
      <c r="AD42" s="180" t="n"/>
      <c r="AE42" s="182" t="n"/>
      <c r="AF42" s="182" t="n"/>
      <c r="AG42" s="182" t="n"/>
      <c r="AH42" s="182" t="n"/>
      <c r="AI42" s="182" t="n"/>
      <c r="AJ42" s="182">
        <f>IF(_epmOfflineCondition_,"C1001",EPMOlapMemberO($Z$25,"[C_CATEGORY].[PARENTH1].[C1001]","C1001 - 实际数/决算数","","000"))</f>
        <v/>
      </c>
      <c r="AK42" s="182">
        <f>IF(_epmOfflineCondition_,"C1001",EPMOlapMemberO($Z$25,"[C_CATEGORY].[PARENTH1].[C1001]","C1001 - 实际数/决算数","","000"))</f>
        <v/>
      </c>
      <c r="AL42" s="182">
        <f>IF(_epmOfflineCondition_,"C1001",EPMOlapMemberO($Z$25,"[C_CATEGORY].[PARENTH1].[C1001]","C1001 - 实际数/决算数","","000"))</f>
        <v/>
      </c>
      <c r="AM42" s="716" t="n"/>
      <c r="AN42" s="716" t="n"/>
    </row>
    <row r="43" hidden="1" ht="13.5" customFormat="1" customHeight="1" s="716">
      <c r="A43" s="716" t="n"/>
      <c r="B43" s="716" t="n"/>
      <c r="C43" s="716" t="n"/>
      <c r="D43" s="716" t="n"/>
      <c r="E43" s="716" t="n"/>
      <c r="F43" s="716" t="n"/>
      <c r="G43" s="716" t="n"/>
      <c r="H43" s="716" t="n"/>
      <c r="I43" s="716" t="n"/>
      <c r="J43" s="716" t="n"/>
      <c r="K43" s="716" t="n"/>
      <c r="L43" s="716" t="n"/>
      <c r="M43" s="716" t="n"/>
      <c r="N43" s="716" t="n"/>
      <c r="O43" s="716" t="n"/>
      <c r="P43" s="716" t="n"/>
      <c r="Q43" s="716" t="n"/>
      <c r="R43" s="716" t="n"/>
      <c r="S43" s="462" t="n"/>
      <c r="T43" s="716" t="n"/>
      <c r="U43" s="716" t="n"/>
      <c r="V43" s="716" t="n"/>
      <c r="W43" s="716" t="n"/>
      <c r="X43" s="515" t="inlineStr">
        <is>
          <t>audittrail</t>
        </is>
      </c>
      <c r="Y43" s="515" t="n"/>
      <c r="Z43" s="182">
        <f>IF(_epmOfflineCondition_,"DLC",EPMOlapMemberO($Z$31,"[C_AUDITTRAIL].[PARENTH1].[DLC]","DLC - 单体报表","","000"))</f>
        <v/>
      </c>
      <c r="AA43" s="182">
        <f>IF(_epmOfflineCondition_,"DLC",EPMOlapMemberO($Z$31,"[C_AUDITTRAIL].[PARENTH1].[DLC]","DLC - 单体报表","","000"))</f>
        <v/>
      </c>
      <c r="AB43" s="182">
        <f>IF(_epmOfflineCondition_,"DLC",EPMOlapMemberO($Z$31,"[C_AUDITTRAIL].[PARENTH1].[DLC]","DLC - 单体报表","","000"))</f>
        <v/>
      </c>
      <c r="AC43" s="180" t="n"/>
      <c r="AD43" s="180" t="n"/>
      <c r="AE43" s="182" t="n"/>
      <c r="AF43" s="182" t="n"/>
      <c r="AG43" s="182" t="n"/>
      <c r="AH43" s="182" t="n"/>
      <c r="AI43" s="182" t="n"/>
      <c r="AJ43" s="182">
        <f>IF(_epmOfflineCondition_,"DLC",EPMOlapMemberO($Z$31,"[C_AUDITTRAIL].[PARENTH1].[DLC]","DLC - 单体报表","","000"))</f>
        <v/>
      </c>
      <c r="AK43" s="182">
        <f>IF(_epmOfflineCondition_,"DLC",EPMOlapMemberO($Z$31,"[C_AUDITTRAIL].[PARENTH1].[DLC]","DLC - 单体报表","","000"))</f>
        <v/>
      </c>
      <c r="AL43" s="182">
        <f>IF(_epmOfflineCondition_,"DLC",EPMOlapMemberO($Z$31,"[C_AUDITTRAIL].[PARENTH1].[DLC]","DLC - 单体报表","","000"))</f>
        <v/>
      </c>
      <c r="AM43" s="716" t="n"/>
      <c r="AN43" s="716" t="n"/>
    </row>
    <row r="44" hidden="1" outlineLevel="1" ht="13.5" customFormat="1" customHeight="1" s="716">
      <c r="A44" s="716" t="n"/>
      <c r="B44" s="716" t="n"/>
      <c r="C44" s="716" t="n"/>
      <c r="D44" s="716" t="n"/>
      <c r="E44" s="716" t="n"/>
      <c r="F44" s="716" t="n"/>
      <c r="G44" s="716" t="n"/>
      <c r="H44" s="716" t="n"/>
      <c r="I44" s="716" t="n"/>
      <c r="J44" s="716" t="n"/>
      <c r="K44" s="716" t="n"/>
      <c r="L44" s="716" t="n"/>
      <c r="M44" s="716" t="n"/>
      <c r="N44" s="716" t="n"/>
      <c r="O44" s="716" t="n"/>
      <c r="P44" s="716" t="n"/>
      <c r="Q44" s="716" t="n"/>
      <c r="R44" s="716" t="n"/>
      <c r="S44" s="462" t="n"/>
      <c r="T44" s="716" t="n"/>
      <c r="U44" s="716" t="n"/>
      <c r="V44" s="452" t="n"/>
      <c r="W44" s="716" t="n"/>
      <c r="X44" s="515" t="inlineStr">
        <is>
          <t>flow</t>
        </is>
      </c>
      <c r="Y44" s="515" t="n"/>
      <c r="Z44" s="182">
        <f>IF(_epmOfflineCondition_,"FMOV",EPMOlapMemberO($AE$28,"[C_FLOW].[PARENTH1].[FMOV]","FMOV - 本期变动","","000"))</f>
        <v/>
      </c>
      <c r="AA44" s="182">
        <f>IF(_epmOfflineCondition_,"FEND",EPMOlapMemberO($AC$28,"[C_FLOW].[PARENTH1].[FEND]","FEND - 期末金额","","000"))</f>
        <v/>
      </c>
      <c r="AB44" s="182">
        <f>IF(_epmOfflineCondition_,"FEND",EPMOlapMemberO($AC$28,"[C_FLOW].[PARENTH1].[FEND]","FEND - 期末金额","","000"))</f>
        <v/>
      </c>
      <c r="AC44" s="180" t="n"/>
      <c r="AD44" s="180" t="n"/>
      <c r="AE44" s="182" t="n"/>
      <c r="AF44" s="182" t="n"/>
      <c r="AG44" s="182" t="n"/>
      <c r="AH44" s="182" t="n"/>
      <c r="AI44" s="182" t="n"/>
      <c r="AJ44" s="182">
        <f>IF(_epmOfflineCondition_,"FMOV",EPMOlapMemberO($AE$28,"[C_FLOW].[PARENTH1].[FMOV]","FMOV - 本期变动","","000"))</f>
        <v/>
      </c>
      <c r="AK44" s="182">
        <f>IF(_epmOfflineCondition_,"FEND",EPMOlapMemberO($AC$28,"[C_FLOW].[PARENTH1].[FEND]","FEND - 期末金额","","000"))</f>
        <v/>
      </c>
      <c r="AL44" s="182">
        <f>IF(_epmOfflineCondition_,"FEND",EPMOlapMemberO($AC$28,"[C_FLOW].[PARENTH1].[FEND]","FEND - 期末金额","","000"))</f>
        <v/>
      </c>
      <c r="AM44" s="716" t="n"/>
      <c r="AN44" s="716" t="n"/>
    </row>
    <row r="45" hidden="1" outlineLevel="1" ht="13.5" customFormat="1" customHeight="1" s="716">
      <c r="A45" s="716" t="n"/>
      <c r="B45" s="716" t="n"/>
      <c r="C45" s="716" t="n"/>
      <c r="D45" s="716" t="n"/>
      <c r="E45" s="716" t="n"/>
      <c r="F45" s="716" t="n"/>
      <c r="G45" s="716" t="n"/>
      <c r="H45" s="716" t="n"/>
      <c r="I45" s="716" t="n"/>
      <c r="J45" s="716" t="n"/>
      <c r="K45" s="716" t="n"/>
      <c r="L45" s="716" t="n"/>
      <c r="M45" s="716" t="n"/>
      <c r="N45" s="716" t="n"/>
      <c r="O45" s="716" t="n"/>
      <c r="P45" s="716" t="n"/>
      <c r="Q45" s="716" t="n"/>
      <c r="R45" s="716" t="n"/>
      <c r="S45" s="462" t="n"/>
      <c r="T45" s="716" t="n"/>
      <c r="U45" s="716" t="n"/>
      <c r="V45" s="716" t="n"/>
      <c r="W45" s="716" t="n"/>
      <c r="X45" s="515" t="inlineStr">
        <is>
          <t>measures</t>
        </is>
      </c>
      <c r="Y45" s="515" t="n"/>
      <c r="Z45" s="182">
        <f>IF(_epmOfflineCondition_,"Periodic",EPMOlapMemberO($AB$27,"[MEASURES].[].[PERIODIC]","PERIODIC - Periodic","","000"))</f>
        <v/>
      </c>
      <c r="AA45" s="182">
        <f>IF(_epmOfflineCondition_,"YTD",EPMOlapMemberO($AA$27,"[MEASURES].[].[YTD]","YTD - Year To Date","","000"))</f>
        <v/>
      </c>
      <c r="AB45" s="182">
        <f>IF(_epmOfflineCondition_,"YTD",EPMOlapMemberO($AA$27,"[MEASURES].[].[YTD]","YTD - Year To Date","","000"))</f>
        <v/>
      </c>
      <c r="AC45" s="180" t="n"/>
      <c r="AD45" s="180" t="n"/>
      <c r="AE45" s="182" t="n"/>
      <c r="AF45" s="182" t="n"/>
      <c r="AG45" s="182" t="n"/>
      <c r="AH45" s="182" t="n"/>
      <c r="AI45" s="182" t="n"/>
      <c r="AJ45" s="182">
        <f>IF(_epmOfflineCondition_,"Periodic",EPMOlapMemberO($AB$27,"[MEASURES].[].[PERIODIC]","PERIODIC - Periodic","","000"))</f>
        <v/>
      </c>
      <c r="AK45" s="182">
        <f>IF(_epmOfflineCondition_,"YTD",EPMOlapMemberO($AA$27,"[MEASURES].[].[YTD]","YTD - Year To Date","","000"))</f>
        <v/>
      </c>
      <c r="AL45" s="182">
        <f>IF(_epmOfflineCondition_,"YTD",EPMOlapMemberO($AA$27,"[MEASURES].[].[YTD]","YTD - Year To Date","","000"))</f>
        <v/>
      </c>
      <c r="AM45" s="716" t="n"/>
      <c r="AN45" s="716" t="n"/>
    </row>
    <row r="46" collapsed="1" ht="16.15" customFormat="1" customHeight="1" s="716">
      <c r="A46" s="716" t="n"/>
      <c r="B46" s="716" t="n"/>
      <c r="C46" s="716" t="n"/>
      <c r="D46" s="716" t="n"/>
      <c r="E46" s="716" t="n"/>
      <c r="F46" s="716" t="n"/>
      <c r="G46" s="716" t="n"/>
      <c r="H46" s="716" t="n"/>
      <c r="I46" s="716" t="n"/>
      <c r="J46" s="716" t="n"/>
      <c r="K46" s="716" t="n"/>
      <c r="L46" s="1192">
        <f>IF(_epmOfflineCondition_,0,EPMRetrieveData(,,$D$21,$D$22,$D$25,$D$26,$D$27,$D$28,$D$29,$AB$41,$AB$42,$AB$43,"FMOV_OP",$AB$45,Q46))</f>
        <v/>
      </c>
      <c r="M46" s="716" t="inlineStr">
        <is>
          <t>上年同期</t>
        </is>
      </c>
      <c r="N46" s="1192">
        <f>IF(_epmOfflineCondition_,0,EPMRetrieveData(,,$D$21,$D$22,$D$25,$D$26,$D$27,$D$28,$D$29,$Z$41,$Z$42,$Z$43,"FMOV_OP",$Z$45,Q46))</f>
        <v/>
      </c>
      <c r="O46" s="716" t="inlineStr">
        <is>
          <t>本月</t>
        </is>
      </c>
      <c r="P46" s="716">
        <f>IF(_epmOfflineCondition_,0,EPMRetrieveData(,,$D$21,$D$22,$D$25,$D$26,$D$27,$D$28,$D$29,$AA$41,$AA$42,$AA$43,"FMOV_OP",$AA$45,Q46))</f>
        <v/>
      </c>
      <c r="Q46" s="716" t="inlineStr">
        <is>
          <t>A0020213</t>
        </is>
      </c>
      <c r="R46" s="716" t="inlineStr">
        <is>
          <t>本年</t>
        </is>
      </c>
      <c r="S46" s="462">
        <f>IF(_epmOfflineCondition_,"53.已交税费（京内）",EPMMemberDesc(U46))</f>
        <v/>
      </c>
      <c r="T46" s="716" t="n"/>
      <c r="U46" s="514" t="inlineStr">
        <is>
          <t>A07821</t>
        </is>
      </c>
      <c r="V46" s="462">
        <f>IF(_epmOfflineCondition_,"A07821",EPMOlapMemberO(U46,"[C_ACCOUNT].[PARENTH1].[A07821]","A07821 - 53.已交税费（京内）","","000"))</f>
        <v/>
      </c>
      <c r="W46" s="462" t="n"/>
      <c r="X46" s="516" t="inlineStr">
        <is>
          <t>一、在京已交税费（不含个人所得税）</t>
        </is>
      </c>
      <c r="Y46" s="1185">
        <f>ROW()-45</f>
        <v/>
      </c>
      <c r="Z46" s="1364">
        <f>SUM(Z47:Z51)</f>
        <v/>
      </c>
      <c r="AA46" s="1364">
        <f>SUM(AA47:AA51)</f>
        <v/>
      </c>
      <c r="AB46" s="1364" t="n"/>
      <c r="AC46" s="1376" t="n"/>
      <c r="AD46" s="1376" t="n"/>
      <c r="AE46" s="530" t="n"/>
      <c r="AF46" s="531">
        <f>IF(_epmOfflineCondition_,0,EPMSaveDataOnly(AA46,,$D$21,$Z$37,$E$25,$E$26,$E$27,$E$28,$E$29,$AA$41,$AA$42,$Z$29,$Z$28,$AA$45,V46))</f>
        <v/>
      </c>
      <c r="AG46" s="205" t="n"/>
      <c r="AH46" s="531" t="n"/>
      <c r="AI46" s="205" t="n"/>
      <c r="AJ46" s="1377">
        <f>ROUND(Z46/10000,0)</f>
        <v/>
      </c>
      <c r="AK46" s="1377">
        <f>ROUND(AA46/10000,0)</f>
        <v/>
      </c>
      <c r="AL46" s="1377">
        <f>ROUND(AB46/10000,0)</f>
        <v/>
      </c>
      <c r="AM46" s="716" t="n"/>
      <c r="AN46" s="716" t="n"/>
    </row>
    <row r="47" ht="16.15" customFormat="1" customHeight="1" s="716">
      <c r="A47" s="716" t="n"/>
      <c r="B47" s="716" t="n"/>
      <c r="C47" s="716" t="n"/>
      <c r="D47" s="716" t="n"/>
      <c r="E47" s="716" t="n"/>
      <c r="F47" s="716" t="n"/>
      <c r="G47" s="716" t="n"/>
      <c r="H47" s="716" t="n"/>
      <c r="I47" s="716" t="n"/>
      <c r="J47" s="716" t="n"/>
      <c r="K47" s="716" t="n"/>
      <c r="L47" s="1192">
        <f>IF(_epmOfflineCondition_,0,EPMRetrieveData(,,$D$21,$D$22,$D$25,$D$26,$D$27,$D$28,$D$29,$AB$41,$AB$42,$AB$43,"FMOV_OP",$AB$45,Q47))</f>
        <v/>
      </c>
      <c r="M47" s="1192">
        <f>L49+L47+L48-L46</f>
        <v/>
      </c>
      <c r="N47" s="1192">
        <f>IF(_epmOfflineCondition_,0,EPMRetrieveData(,,$D$21,$D$22,$D$25,$D$26,$D$27,$D$28,$D$29,$Z$41,$Z$42,$Z$43,"FMOV_OP",$Z$45,Q47))</f>
        <v/>
      </c>
      <c r="O47" s="1192">
        <f>N49+N47+N48-N46</f>
        <v/>
      </c>
      <c r="P47" s="716">
        <f>IF(_epmOfflineCondition_,0,EPMRetrieveData(,,$D$21,$D$22,$D$25,$D$26,$D$27,$D$28,$D$29,$AA$41,$AA$42,$AA$43,"FMOV_OP",$AA$45,Q47))</f>
        <v/>
      </c>
      <c r="Q47" s="514" t="inlineStr">
        <is>
          <t>A0020202</t>
        </is>
      </c>
      <c r="R47" s="716">
        <f>P49+P47+P48-P46</f>
        <v/>
      </c>
      <c r="S47" s="462">
        <f>IF(_epmOfflineCondition_,"其中：增值税",EPMMemberDesc(U47))</f>
        <v/>
      </c>
      <c r="T47" s="716" t="n"/>
      <c r="U47" s="842" t="inlineStr">
        <is>
          <t>A07823</t>
        </is>
      </c>
      <c r="V47" s="462">
        <f>IF(_epmOfflineCondition_,"A07823",EPMOlapMemberO(U47,"[C_ACCOUNT].[PARENTH1].[A07823]","A07823 - 其中：增值税","","000"))</f>
        <v/>
      </c>
      <c r="W47" s="462" t="n"/>
      <c r="X47" s="517" t="inlineStr">
        <is>
          <t xml:space="preserve">    其中：增值税</t>
        </is>
      </c>
      <c r="Y47" s="1185">
        <f>ROW()-45</f>
        <v/>
      </c>
      <c r="Z47" s="1366" t="n"/>
      <c r="AA47" s="1367" t="n"/>
      <c r="AB47" s="1366" t="n"/>
      <c r="AC47" s="1376" t="n"/>
      <c r="AD47" s="1376" t="n"/>
      <c r="AE47" s="530" t="n"/>
      <c r="AF47" s="531">
        <f>IF(_epmOfflineCondition_,0,EPMSaveDataOnly(AA47,,$D$21,$Z$37,$E$25,$E$26,$E$27,$E$28,$E$29,$AA$41,$AA$42,$Z$29,$Z$28,$AA$45,V47))</f>
        <v/>
      </c>
      <c r="AG47" s="205" t="n"/>
      <c r="AH47" s="531" t="n"/>
      <c r="AI47" s="205" t="n"/>
      <c r="AJ47" s="1377">
        <f>ROUND(Z47/10000,0)</f>
        <v/>
      </c>
      <c r="AK47" s="1377">
        <f>ROUND(AA47/10000,0)</f>
        <v/>
      </c>
      <c r="AL47" s="1377">
        <f>ROUND(AB47/10000,0)</f>
        <v/>
      </c>
      <c r="AM47" s="716" t="n"/>
      <c r="AN47" s="716" t="n"/>
    </row>
    <row r="48" ht="16.15" customFormat="1" customHeight="1" s="716">
      <c r="A48" s="716" t="n"/>
      <c r="B48" s="716" t="n"/>
      <c r="C48" s="716" t="n"/>
      <c r="D48" s="716" t="n"/>
      <c r="E48" s="716" t="n"/>
      <c r="F48" s="716" t="n"/>
      <c r="G48" s="716" t="n"/>
      <c r="H48" s="716" t="n"/>
      <c r="I48" s="716" t="n"/>
      <c r="J48" s="716" t="n"/>
      <c r="K48" s="716" t="n"/>
      <c r="L48" s="1192">
        <f>IF(_epmOfflineCondition_,0,EPMRetrieveData(,,$D$21,$D$22,$D$25,$D$26,$D$27,$D$28,$D$29,$AB$41,$AB$42,$AB$43,"FMOV_OP",$AB$45,Q48))</f>
        <v/>
      </c>
      <c r="M48" s="1192">
        <f>L49</f>
        <v/>
      </c>
      <c r="N48" s="1192">
        <f>IF(_epmOfflineCondition_,0,EPMRetrieveData(,,$D$21,$D$22,$D$25,$D$26,$D$27,$D$28,$D$29,$Z$41,$Z$42,$Z$43,"FMOV_OP",$Z$45,Q48))</f>
        <v/>
      </c>
      <c r="O48" s="1192">
        <f>N49</f>
        <v/>
      </c>
      <c r="P48" s="716">
        <f>IF(_epmOfflineCondition_,0,EPMRetrieveData(,,$D$21,$D$22,$D$25,$D$26,$D$27,$D$28,$D$29,$AA$41,$AA$42,$AA$43,"FMOV_OP",$AA$45,Q48))</f>
        <v/>
      </c>
      <c r="Q48" s="514" t="inlineStr">
        <is>
          <t>A0020203</t>
        </is>
      </c>
      <c r="R48" s="716" t="n"/>
      <c r="S48" s="462">
        <f>IF(_epmOfflineCondition_,"企业所得税",EPMMemberDesc(U48))</f>
        <v/>
      </c>
      <c r="T48" s="716" t="n"/>
      <c r="U48" s="842" t="inlineStr">
        <is>
          <t>A07824</t>
        </is>
      </c>
      <c r="V48" s="462">
        <f>IF(_epmOfflineCondition_,"A07824",EPMOlapMemberO(U48,"[C_ACCOUNT].[PARENTH1].[A07824]","A07824 - 企业所得税","","000"))</f>
        <v/>
      </c>
      <c r="W48" s="462" t="n"/>
      <c r="X48" s="517" t="inlineStr">
        <is>
          <t xml:space="preserve">          企业所得税</t>
        </is>
      </c>
      <c r="Y48" s="1185">
        <f>ROW()-45</f>
        <v/>
      </c>
      <c r="Z48" s="1366" t="n"/>
      <c r="AA48" s="1367" t="n"/>
      <c r="AB48" s="1366" t="n"/>
      <c r="AC48" s="1376" t="n"/>
      <c r="AD48" s="1376" t="n"/>
      <c r="AE48" s="530" t="n"/>
      <c r="AF48" s="531">
        <f>IF(_epmOfflineCondition_,0,EPMSaveDataOnly(AA48,,$D$21,$Z$37,$E$25,$E$26,$E$27,$E$28,$E$29,$AA$41,$AA$42,$Z$29,$Z$28,$AA$45,V48))</f>
        <v/>
      </c>
      <c r="AG48" s="205" t="n"/>
      <c r="AH48" s="531" t="n"/>
      <c r="AI48" s="205" t="n"/>
      <c r="AJ48" s="1377">
        <f>ROUND(Z48/10000,0)</f>
        <v/>
      </c>
      <c r="AK48" s="1377">
        <f>ROUND(AA48/10000,0)</f>
        <v/>
      </c>
      <c r="AL48" s="1377">
        <f>ROUND(AB48/10000,0)</f>
        <v/>
      </c>
      <c r="AM48" s="716" t="n"/>
      <c r="AN48" s="716" t="n"/>
    </row>
    <row r="49" ht="16.15" customFormat="1" customHeight="1" s="716">
      <c r="A49" s="716" t="n"/>
      <c r="B49" s="716" t="n"/>
      <c r="C49" s="716" t="n"/>
      <c r="D49" s="716" t="n"/>
      <c r="E49" s="716" t="n"/>
      <c r="F49" s="716" t="n"/>
      <c r="G49" s="716" t="n"/>
      <c r="H49" s="716" t="n"/>
      <c r="I49" s="716" t="n"/>
      <c r="J49" s="716" t="n"/>
      <c r="K49" s="716" t="n"/>
      <c r="L49" s="1192">
        <f>IF(_epmOfflineCondition_,0,EPMRetrieveData(,,$D$21,$D$22,$D$25,$D$26,$D$27,$D$28,$D$29,$AB$41,$AB$42,$AB$43,"FMOV_OP",$AB$45,Q49))</f>
        <v/>
      </c>
      <c r="M49" s="716" t="n"/>
      <c r="N49" s="1192">
        <f>IF(_epmOfflineCondition_,10784449.51,EPMRetrieveData(,,$D$21,$D$22,$D$25,$D$26,$D$27,$D$28,$D$29,$Z$41,$Z$42,$Z$43,"FMOV_OP",$Z$45,Q49))</f>
        <v/>
      </c>
      <c r="O49" s="716" t="n"/>
      <c r="P49" s="716">
        <f>IF(_epmOfflineCondition_,27496863.46,EPMRetrieveData(,,$D$21,$D$22,$D$25,$D$26,$D$27,$D$28,$D$29,$AA$41,$AA$42,$AA$43,"FMOV_OP",$AA$45,Q49))</f>
        <v/>
      </c>
      <c r="Q49" s="716" t="inlineStr">
        <is>
          <t>A0020201</t>
        </is>
      </c>
      <c r="R49" s="716" t="n"/>
      <c r="S49" s="462">
        <f>IF(_epmOfflineCondition_,"土地增值税",EPMMemberDesc(U49))</f>
        <v/>
      </c>
      <c r="T49" s="716" t="n"/>
      <c r="U49" s="842" t="inlineStr">
        <is>
          <t>A07825</t>
        </is>
      </c>
      <c r="V49" s="462">
        <f>IF(_epmOfflineCondition_,"A07825",EPMOlapMemberO(U49,"[C_ACCOUNT].[PARENTH1].[A07825]","A07825 - 土地增值税","","000"))</f>
        <v/>
      </c>
      <c r="W49" s="462" t="n"/>
      <c r="X49" s="517" t="inlineStr">
        <is>
          <t xml:space="preserve">          土地增值税</t>
        </is>
      </c>
      <c r="Y49" s="1185">
        <f>ROW()-45</f>
        <v/>
      </c>
      <c r="Z49" s="1366" t="n"/>
      <c r="AA49" s="1367" t="n"/>
      <c r="AB49" s="1366" t="n"/>
      <c r="AC49" s="1376" t="n"/>
      <c r="AD49" s="1376" t="n"/>
      <c r="AE49" s="205" t="n"/>
      <c r="AF49" s="531">
        <f>IF(_epmOfflineCondition_,0,EPMSaveDataOnly(AA49,,$D$21,$Z$37,$E$25,$E$26,$E$27,$E$28,$E$29,$AA$41,$AA$42,$Z$29,$Z$28,$AA$45,V49))</f>
        <v/>
      </c>
      <c r="AG49" s="205" t="n"/>
      <c r="AH49" s="531" t="n"/>
      <c r="AI49" s="205" t="n"/>
      <c r="AJ49" s="1377">
        <f>ROUND(Z49/10000,0)</f>
        <v/>
      </c>
      <c r="AK49" s="1377">
        <f>ROUND(AA49/10000,0)</f>
        <v/>
      </c>
      <c r="AL49" s="1377">
        <f>ROUND(AB49/10000,0)</f>
        <v/>
      </c>
      <c r="AM49" s="716" t="n"/>
      <c r="AN49" s="716" t="n"/>
    </row>
    <row r="50" ht="16.15" customFormat="1" customHeight="1" s="716">
      <c r="A50" s="716" t="n"/>
      <c r="B50" s="716" t="n"/>
      <c r="C50" s="716" t="n"/>
      <c r="D50" s="716" t="n"/>
      <c r="E50" s="716" t="n"/>
      <c r="F50" s="716" t="n"/>
      <c r="G50" s="716" t="n"/>
      <c r="H50" s="716" t="n"/>
      <c r="I50" s="716" t="n"/>
      <c r="J50" s="716" t="n"/>
      <c r="K50" s="716" t="n"/>
      <c r="L50" s="716" t="n"/>
      <c r="M50" s="716" t="n"/>
      <c r="N50" s="716" t="n"/>
      <c r="O50" s="716" t="n"/>
      <c r="P50" s="716" t="n"/>
      <c r="Q50" s="716" t="n"/>
      <c r="R50" s="716" t="n"/>
      <c r="S50" s="462">
        <f>IF(_epmOfflineCondition_,"房产税",EPMMemberDesc(U50))</f>
        <v/>
      </c>
      <c r="T50" s="716" t="n"/>
      <c r="U50" s="842" t="inlineStr">
        <is>
          <t>A07826</t>
        </is>
      </c>
      <c r="V50" s="462">
        <f>IF(_epmOfflineCondition_,"A07826",EPMOlapMemberO(U50,"[C_ACCOUNT].[PARENTH1].[A07826]","A07826 - 房产税","","000"))</f>
        <v/>
      </c>
      <c r="W50" s="462" t="n"/>
      <c r="X50" s="517" t="inlineStr">
        <is>
          <t xml:space="preserve">          房产税</t>
        </is>
      </c>
      <c r="Y50" s="1185">
        <f>ROW()-45</f>
        <v/>
      </c>
      <c r="Z50" s="1366" t="n"/>
      <c r="AA50" s="1367" t="n"/>
      <c r="AB50" s="1366" t="n"/>
      <c r="AC50" s="1376" t="n"/>
      <c r="AD50" s="1376" t="n"/>
      <c r="AE50" s="205" t="n"/>
      <c r="AF50" s="531">
        <f>IF(_epmOfflineCondition_,0,EPMSaveDataOnly(AA50,,$D$21,$Z$37,$E$25,$E$26,$E$27,$E$28,$E$29,$AA$41,$AA$42,$Z$29,$Z$28,$AA$45,V50))</f>
        <v/>
      </c>
      <c r="AG50" s="205" t="n"/>
      <c r="AH50" s="531" t="n"/>
      <c r="AI50" s="205" t="n"/>
      <c r="AJ50" s="1377">
        <f>ROUND(Z50/10000,0)</f>
        <v/>
      </c>
      <c r="AK50" s="1377">
        <f>ROUND(AA50/10000,0)</f>
        <v/>
      </c>
      <c r="AL50" s="1377">
        <f>ROUND(AB50/10000,0)</f>
        <v/>
      </c>
      <c r="AM50" s="716" t="n"/>
      <c r="AN50" s="716" t="n"/>
    </row>
    <row r="51" ht="16.15" customFormat="1" customHeight="1" s="716">
      <c r="A51" s="716" t="n"/>
      <c r="B51" s="716" t="n"/>
      <c r="C51" s="716" t="n"/>
      <c r="D51" s="716" t="n"/>
      <c r="E51" s="716" t="n"/>
      <c r="F51" s="716" t="n"/>
      <c r="G51" s="716" t="n"/>
      <c r="H51" s="716" t="n"/>
      <c r="I51" s="716" t="n"/>
      <c r="J51" s="716" t="n"/>
      <c r="K51" s="716" t="n"/>
      <c r="L51" s="716" t="n"/>
      <c r="M51" s="716" t="n"/>
      <c r="N51" s="716" t="n"/>
      <c r="O51" s="716" t="n"/>
      <c r="P51" s="716" t="n"/>
      <c r="Q51" s="716" t="n"/>
      <c r="R51" s="716" t="n"/>
      <c r="S51" s="462">
        <f>IF(_epmOfflineCondition_,"其他税费",EPMMemberDesc(U51))</f>
        <v/>
      </c>
      <c r="T51" s="716" t="n"/>
      <c r="U51" s="842" t="inlineStr">
        <is>
          <t>A07827</t>
        </is>
      </c>
      <c r="V51" s="462">
        <f>IF(_epmOfflineCondition_,"A07827",EPMOlapMemberO(U51,"[C_ACCOUNT].[PARENTH1].[A07827]","A07827 - 其他税费","","000"))</f>
        <v/>
      </c>
      <c r="W51" s="462" t="n"/>
      <c r="X51" s="517" t="inlineStr">
        <is>
          <t xml:space="preserve">          其他税费</t>
        </is>
      </c>
      <c r="Y51" s="1185">
        <f>ROW()-45</f>
        <v/>
      </c>
      <c r="Z51" s="1366" t="n"/>
      <c r="AA51" s="1367" t="n"/>
      <c r="AB51" s="1366" t="n"/>
      <c r="AC51" s="1376" t="n"/>
      <c r="AD51" s="1376" t="n"/>
      <c r="AE51" s="205" t="n"/>
      <c r="AF51" s="531">
        <f>IF(_epmOfflineCondition_,0,EPMSaveDataOnly(AA51,,$D$21,$Z$37,$E$25,$E$26,$E$27,$E$28,$E$29,$AA$41,$AA$42,$Z$29,$Z$28,$AA$45,V51))</f>
        <v/>
      </c>
      <c r="AG51" s="205" t="n"/>
      <c r="AH51" s="531" t="n"/>
      <c r="AI51" s="205" t="n"/>
      <c r="AJ51" s="1377">
        <f>ROUND(Z51/10000,0)</f>
        <v/>
      </c>
      <c r="AK51" s="1377">
        <f>ROUND(AA51/10000,0)</f>
        <v/>
      </c>
      <c r="AL51" s="1377">
        <f>ROUND(AB51/10000,0)</f>
        <v/>
      </c>
      <c r="AM51" s="716" t="n"/>
      <c r="AN51" s="716" t="n"/>
    </row>
    <row r="52" ht="16.15" customFormat="1" customHeight="1" s="716">
      <c r="A52" s="716" t="n"/>
      <c r="B52" s="716" t="n"/>
      <c r="C52" s="716" t="n"/>
      <c r="D52" s="716" t="n"/>
      <c r="E52" s="716" t="n"/>
      <c r="F52" s="716" t="n"/>
      <c r="G52" s="716" t="n"/>
      <c r="H52" s="716" t="n"/>
      <c r="I52" s="716" t="n"/>
      <c r="J52" s="716" t="n"/>
      <c r="K52" s="716" t="n"/>
      <c r="L52" s="716" t="n"/>
      <c r="M52" s="716" t="n"/>
      <c r="N52" s="716" t="n"/>
      <c r="O52" s="716" t="n"/>
      <c r="P52" s="716" t="n"/>
      <c r="Q52" s="716" t="n"/>
      <c r="R52" s="716" t="n"/>
      <c r="S52" s="462">
        <f>IF(_epmOfflineCondition_,"二、在京个人所得税",EPMMemberDesc(U52))</f>
        <v/>
      </c>
      <c r="T52" s="716" t="n"/>
      <c r="U52" s="842" t="inlineStr">
        <is>
          <t>A07828</t>
        </is>
      </c>
      <c r="V52" s="462">
        <f>IF(_epmOfflineCondition_,"A07828",EPMOlapMemberO(U52,"[C_ACCOUNT].[PARENTH1].[A07828]","A07828 - 二、在京个人所得税","","000"))</f>
        <v/>
      </c>
      <c r="W52" s="462" t="n"/>
      <c r="X52" s="516" t="inlineStr">
        <is>
          <t>二、在京个人所得税</t>
        </is>
      </c>
      <c r="Y52" s="1185">
        <f>ROW()-45</f>
        <v/>
      </c>
      <c r="Z52" s="1366" t="n"/>
      <c r="AA52" s="1367" t="n"/>
      <c r="AB52" s="1366" t="n"/>
      <c r="AC52" s="1376" t="n"/>
      <c r="AD52" s="1376" t="n"/>
      <c r="AE52" s="205" t="n"/>
      <c r="AF52" s="531">
        <f>IF(_epmOfflineCondition_,0,EPMSaveDataOnly(AA52,,$D$21,$Z$37,$E$25,$E$26,$E$27,$E$28,$E$29,$AA$41,$AA$42,$Z$29,$Z$28,$AA$45,V52))</f>
        <v/>
      </c>
      <c r="AG52" s="205" t="n"/>
      <c r="AH52" s="531" t="n"/>
      <c r="AI52" s="205" t="n"/>
      <c r="AJ52" s="1377">
        <f>ROUND(Z52/10000,0)</f>
        <v/>
      </c>
      <c r="AK52" s="1377">
        <f>ROUND(AA52/10000,0)</f>
        <v/>
      </c>
      <c r="AL52" s="1377">
        <f>ROUND(AB52/10000,0)</f>
        <v/>
      </c>
      <c r="AM52" s="716" t="n"/>
      <c r="AN52" s="716" t="n"/>
    </row>
    <row r="53" ht="16.15" customFormat="1" customHeight="1" s="716">
      <c r="A53" s="716" t="n"/>
      <c r="B53" s="716" t="n"/>
      <c r="C53" s="716" t="n"/>
      <c r="D53" s="716" t="n"/>
      <c r="E53" s="716" t="n"/>
      <c r="F53" s="716" t="n"/>
      <c r="G53" s="716" t="n"/>
      <c r="H53" s="716" t="n"/>
      <c r="I53" s="716" t="n"/>
      <c r="J53" s="716" t="n"/>
      <c r="K53" s="716" t="n"/>
      <c r="L53" s="716" t="n"/>
      <c r="M53" s="716" t="n"/>
      <c r="N53" s="716" t="n"/>
      <c r="O53" s="716" t="n"/>
      <c r="P53" s="716" t="n"/>
      <c r="Q53" s="716" t="n"/>
      <c r="R53" s="716" t="n"/>
      <c r="S53" s="462">
        <f>IF(_epmOfflineCondition_,"三、在京非税贡献",EPMMemberDesc(U53))</f>
        <v/>
      </c>
      <c r="T53" s="716" t="n"/>
      <c r="U53" s="842" t="inlineStr">
        <is>
          <t>A07829</t>
        </is>
      </c>
      <c r="V53" s="462">
        <f>IF(_epmOfflineCondition_,"A07829",EPMOlapMemberO(U53,"[C_ACCOUNT].[PARENTH1].[A07829]","A07829 - 三、在京非税贡献","","000"))</f>
        <v/>
      </c>
      <c r="W53" s="462" t="n"/>
      <c r="X53" s="516" t="inlineStr">
        <is>
          <t>三、在京非税贡献</t>
        </is>
      </c>
      <c r="Y53" s="1185">
        <f>ROW()-45</f>
        <v/>
      </c>
      <c r="Z53" s="1366" t="n"/>
      <c r="AA53" s="1367" t="n"/>
      <c r="AB53" s="1366" t="n"/>
      <c r="AC53" s="1376" t="n"/>
      <c r="AD53" s="1376" t="n"/>
      <c r="AE53" s="205" t="n"/>
      <c r="AF53" s="531">
        <f>IF(_epmOfflineCondition_,0,EPMSaveDataOnly(AA53,,$D$21,$Z$37,$E$25,$E$26,$E$27,$E$28,$E$29,$AA$41,$AA$42,$Z$29,$Z$28,$AA$45,V53))</f>
        <v/>
      </c>
      <c r="AG53" s="205" t="n"/>
      <c r="AH53" s="531" t="n"/>
      <c r="AI53" s="205" t="n"/>
      <c r="AJ53" s="1377">
        <f>ROUND(Z53/10000,0)</f>
        <v/>
      </c>
      <c r="AK53" s="1377">
        <f>ROUND(AA53/10000,0)</f>
        <v/>
      </c>
      <c r="AL53" s="1377">
        <f>ROUND(AB53/10000,0)</f>
        <v/>
      </c>
      <c r="AM53" s="716" t="n"/>
      <c r="AN53" s="716" t="n"/>
    </row>
    <row r="54" ht="16.15" customFormat="1" customHeight="1" s="716">
      <c r="A54" s="716" t="n"/>
      <c r="B54" s="716" t="n"/>
      <c r="C54" s="716" t="n"/>
      <c r="D54" s="716" t="n"/>
      <c r="E54" s="716" t="n"/>
      <c r="F54" s="716" t="n"/>
      <c r="G54" s="716" t="n"/>
      <c r="H54" s="716" t="n"/>
      <c r="I54" s="716" t="n"/>
      <c r="J54" s="716" t="n"/>
      <c r="K54" s="716" t="n"/>
      <c r="L54" s="716" t="n"/>
      <c r="M54" s="716" t="n"/>
      <c r="N54" s="716" t="n"/>
      <c r="O54" s="716" t="n"/>
      <c r="P54" s="716" t="n"/>
      <c r="Q54" s="716" t="n"/>
      <c r="R54" s="716" t="n"/>
      <c r="S54" s="462">
        <f>IF(_epmOfflineCondition_,"其中：国有资本经营收益收缴",EPMMemberDesc(U54))</f>
        <v/>
      </c>
      <c r="T54" s="716" t="n"/>
      <c r="U54" s="842" t="inlineStr">
        <is>
          <t>A07830</t>
        </is>
      </c>
      <c r="V54" s="462">
        <f>IF(_epmOfflineCondition_,"A07830",EPMOlapMemberO(U54,"[C_ACCOUNT].[PARENTH1].[A07830]","A07830 - 其中：国有资本经营收益收缴","","000"))</f>
        <v/>
      </c>
      <c r="W54" s="462" t="n"/>
      <c r="X54" s="517" t="inlineStr">
        <is>
          <t xml:space="preserve">    其中：国有资本经营收益收缴</t>
        </is>
      </c>
      <c r="Y54" s="1185">
        <f>ROW()-45</f>
        <v/>
      </c>
      <c r="Z54" s="1366" t="n"/>
      <c r="AA54" s="1367" t="n"/>
      <c r="AB54" s="1366" t="n"/>
      <c r="AC54" s="1376" t="n"/>
      <c r="AD54" s="1376" t="n"/>
      <c r="AE54" s="205" t="n"/>
      <c r="AF54" s="531">
        <f>IF(_epmOfflineCondition_,0,EPMSaveDataOnly(AA54,,$D$21,$Z$37,$E$25,$E$26,$E$27,$E$28,$E$29,$AA$41,$AA$42,$Z$29,$Z$28,$AA$45,V54))</f>
        <v/>
      </c>
      <c r="AG54" s="205" t="n"/>
      <c r="AH54" s="531" t="n"/>
      <c r="AI54" s="205" t="n"/>
      <c r="AJ54" s="1377">
        <f>ROUND(Z54/10000,0)</f>
        <v/>
      </c>
      <c r="AK54" s="1377">
        <f>ROUND(AA54/10000,0)</f>
        <v/>
      </c>
      <c r="AL54" s="1377">
        <f>ROUND(AB54/10000,0)</f>
        <v/>
      </c>
      <c r="AM54" s="716" t="n"/>
      <c r="AN54" s="716" t="n"/>
    </row>
    <row r="55" ht="16.15" customFormat="1" customHeight="1" s="716">
      <c r="A55" s="716" t="n"/>
      <c r="B55" s="716" t="n"/>
      <c r="C55" s="716" t="n"/>
      <c r="D55" s="716" t="n"/>
      <c r="E55" s="716" t="n"/>
      <c r="F55" s="716" t="n"/>
      <c r="G55" s="716" t="n"/>
      <c r="H55" s="716" t="n"/>
      <c r="I55" s="716" t="n"/>
      <c r="J55" s="716" t="n"/>
      <c r="K55" s="716" t="n"/>
      <c r="L55" s="716" t="n"/>
      <c r="M55" s="716" t="n"/>
      <c r="N55" s="716" t="n"/>
      <c r="O55" s="716" t="n"/>
      <c r="P55" s="716" t="n"/>
      <c r="Q55" s="716" t="n"/>
      <c r="R55" s="716" t="n"/>
      <c r="S55" s="462">
        <f>IF(_epmOfflineCondition_,"四、在京土地出让金",EPMMemberDesc(U55))</f>
        <v/>
      </c>
      <c r="T55" s="716" t="n"/>
      <c r="U55" s="842" t="inlineStr">
        <is>
          <t>A07831</t>
        </is>
      </c>
      <c r="V55" s="462">
        <f>IF(_epmOfflineCondition_,"A07831",EPMOlapMemberO(U55,"[C_ACCOUNT].[PARENTH1].[A07831]","A07831 - 四、在京土地出让金","","000"))</f>
        <v/>
      </c>
      <c r="W55" s="462" t="n"/>
      <c r="X55" s="516" t="inlineStr">
        <is>
          <t xml:space="preserve">             在京土地出让金</t>
        </is>
      </c>
      <c r="Y55" s="1185">
        <f>ROW()-45</f>
        <v/>
      </c>
      <c r="Z55" s="1366" t="n"/>
      <c r="AA55" s="1367" t="n"/>
      <c r="AB55" s="1366" t="n"/>
      <c r="AC55" s="1376" t="n"/>
      <c r="AD55" s="1376" t="n"/>
      <c r="AE55" s="205" t="n"/>
      <c r="AF55" s="531">
        <f>IF(_epmOfflineCondition_,0,EPMSaveDataOnly(AA55,,$D$21,$Z$37,$E$25,$E$26,$E$27,$E$28,$E$29,$AA$41,$AA$42,$Z$29,$Z$28,$AA$45,V55))</f>
        <v/>
      </c>
      <c r="AG55" s="205" t="n"/>
      <c r="AH55" s="531" t="n"/>
      <c r="AI55" s="205" t="n"/>
      <c r="AJ55" s="1377">
        <f>ROUND(Z55/10000,0)</f>
        <v/>
      </c>
      <c r="AK55" s="1377">
        <f>ROUND(AA55/10000,0)</f>
        <v/>
      </c>
      <c r="AL55" s="1377">
        <f>ROUND(AB55/10000,0)</f>
        <v/>
      </c>
      <c r="AM55" s="716" t="n"/>
      <c r="AN55" s="716" t="n"/>
    </row>
    <row r="56" ht="16.15" customFormat="1" customHeight="1" s="716">
      <c r="A56" s="716" t="n"/>
      <c r="B56" s="716" t="n"/>
      <c r="C56" s="716" t="n"/>
      <c r="D56" s="716" t="n"/>
      <c r="E56" s="716" t="n"/>
      <c r="F56" s="716" t="n"/>
      <c r="G56" s="716" t="n"/>
      <c r="H56" s="716" t="n"/>
      <c r="I56" s="716" t="n"/>
      <c r="J56" s="716" t="n"/>
      <c r="K56" s="716" t="n"/>
      <c r="L56" s="716" t="n"/>
      <c r="M56" s="716" t="n"/>
      <c r="N56" s="716" t="n"/>
      <c r="O56" s="716" t="n"/>
      <c r="P56" s="716" t="n"/>
      <c r="Q56" s="716" t="n"/>
      <c r="R56" s="716" t="n"/>
      <c r="S56" s="462">
        <f>IF(_epmOfflineCondition_,"在京财政贡献合计",EPMMemberDesc(U56))</f>
        <v/>
      </c>
      <c r="T56" s="716" t="n"/>
      <c r="U56" s="842" t="inlineStr">
        <is>
          <t>A07832</t>
        </is>
      </c>
      <c r="V56" s="462">
        <f>IF(_epmOfflineCondition_,"A07832",EPMOlapMemberO(U56,"[C_ACCOUNT].[PARENTH1].[A07832]","A07832 - 在京财政贡献合计","","000"))</f>
        <v/>
      </c>
      <c r="W56" s="462" t="n"/>
      <c r="X56" s="518" t="inlineStr">
        <is>
          <t>在京财政贡献合计</t>
        </is>
      </c>
      <c r="Y56" s="1185">
        <f>ROW()-45</f>
        <v/>
      </c>
      <c r="Z56" s="1364">
        <f>Z46+Z52+Z53</f>
        <v/>
      </c>
      <c r="AA56" s="1364">
        <f>AA46+AA52+AA53</f>
        <v/>
      </c>
      <c r="AB56" s="1364">
        <f>AB46+AB52+AB53</f>
        <v/>
      </c>
      <c r="AC56" s="1376" t="n"/>
      <c r="AD56" s="1376" t="n"/>
      <c r="AE56" s="205" t="n"/>
      <c r="AF56" s="531">
        <f>IF(_epmOfflineCondition_,0,EPMSaveDataOnly(AA56,,$D$21,$Z$37,$E$25,$E$26,$E$27,$E$28,$E$29,$AA$41,$AA$42,$Z$29,$Z$28,$AA$45,V56))</f>
        <v/>
      </c>
      <c r="AG56" s="205" t="n"/>
      <c r="AH56" s="531" t="n"/>
      <c r="AI56" s="205" t="n"/>
      <c r="AJ56" s="1377">
        <f>ROUND(Z56/10000,0)</f>
        <v/>
      </c>
      <c r="AK56" s="1377">
        <f>ROUND(AA56/10000,0)</f>
        <v/>
      </c>
      <c r="AL56" s="1377">
        <f>ROUND(AB56/10000,0)</f>
        <v/>
      </c>
      <c r="AM56" s="716" t="n"/>
      <c r="AN56" s="716" t="n"/>
    </row>
    <row r="57" ht="16.15" customFormat="1" customHeight="1" s="716">
      <c r="A57" s="716" t="n"/>
      <c r="B57" s="716" t="n"/>
      <c r="C57" s="716" t="n"/>
      <c r="D57" s="716" t="n"/>
      <c r="E57" s="716" t="n"/>
      <c r="F57" s="716" t="n"/>
      <c r="G57" s="716" t="n"/>
      <c r="H57" s="716" t="n"/>
      <c r="I57" s="716" t="n"/>
      <c r="J57" s="716" t="n"/>
      <c r="K57" s="716" t="n"/>
      <c r="L57" s="716" t="n"/>
      <c r="M57" s="716" t="n"/>
      <c r="N57" s="716" t="n"/>
      <c r="O57" s="716" t="n"/>
      <c r="P57" s="716" t="n"/>
      <c r="Q57" s="716" t="n"/>
      <c r="R57" s="716" t="n"/>
      <c r="S57" s="462">
        <f>IF(_epmOfflineCondition_,"54.劳动生产总值（京内）",EPMMemberDesc(U57))</f>
        <v/>
      </c>
      <c r="T57" s="716" t="n"/>
      <c r="U57" s="514" t="inlineStr">
        <is>
          <t>A07822</t>
        </is>
      </c>
      <c r="V57" s="462">
        <f>IF(_epmOfflineCondition_,"A07822",EPMOlapMemberO(U57,"[C_ACCOUNT].[PARENTH1].[A07822]","A07822 - 54.劳动生产总值（京内）","","000"))</f>
        <v/>
      </c>
      <c r="W57" s="462" t="n"/>
      <c r="X57" s="516" t="inlineStr">
        <is>
          <t>四、在京增加值（劳动生产总值）</t>
        </is>
      </c>
      <c r="Y57" s="1185">
        <f>ROW()-45</f>
        <v/>
      </c>
      <c r="Z57" s="1364">
        <f>SUM(Z58:Z61)</f>
        <v/>
      </c>
      <c r="AA57" s="1364">
        <f>SUM(AA58:AA61)</f>
        <v/>
      </c>
      <c r="AB57" s="1364" t="n"/>
      <c r="AC57" s="1376" t="n"/>
      <c r="AD57" s="1376" t="n"/>
      <c r="AE57" s="205" t="n"/>
      <c r="AF57" s="531">
        <f>IF(_epmOfflineCondition_,0,EPMSaveDataOnly(AA57,,$D$21,$Z$37,$E$25,$E$26,$E$27,$E$28,$E$29,$AA$41,$AA$42,$Z$29,$Z$28,$AA$45,V57))</f>
        <v/>
      </c>
      <c r="AG57" s="205" t="n"/>
      <c r="AH57" s="531" t="n"/>
      <c r="AI57" s="205" t="n"/>
      <c r="AJ57" s="1377">
        <f>ROUND(Z57/10000,0)</f>
        <v/>
      </c>
      <c r="AK57" s="1377">
        <f>ROUND(AA57/10000,0)</f>
        <v/>
      </c>
      <c r="AL57" s="1377">
        <f>ROUND(AB57/10000,0)</f>
        <v/>
      </c>
      <c r="AM57" s="716" t="n"/>
      <c r="AN57" s="716" t="n"/>
    </row>
    <row r="58" ht="16.15" customFormat="1" customHeight="1" s="716">
      <c r="A58" s="716" t="n"/>
      <c r="B58" s="716" t="n"/>
      <c r="C58" s="716" t="n"/>
      <c r="D58" s="716" t="n"/>
      <c r="E58" s="716" t="n"/>
      <c r="F58" s="716" t="n"/>
      <c r="G58" s="716" t="n"/>
      <c r="H58" s="716" t="n"/>
      <c r="I58" s="716" t="n"/>
      <c r="J58" s="716" t="n"/>
      <c r="K58" s="716" t="n"/>
      <c r="L58" s="716" t="n"/>
      <c r="M58" s="716" t="n"/>
      <c r="N58" s="716" t="n"/>
      <c r="O58" s="716" t="n"/>
      <c r="P58" s="716" t="n"/>
      <c r="Q58" s="716" t="n"/>
      <c r="R58" s="716" t="n"/>
      <c r="S58" s="462">
        <f>IF(_epmOfflineCondition_,"其中：在京劳动者报酬",EPMMemberDesc(U58))</f>
        <v/>
      </c>
      <c r="T58" s="716" t="n"/>
      <c r="U58" s="842" t="inlineStr">
        <is>
          <t>A07833</t>
        </is>
      </c>
      <c r="V58" s="462">
        <f>IF(_epmOfflineCondition_,"A07833",EPMOlapMemberO(U58,"[C_ACCOUNT].[PARENTH1].[A07833]","A07833 - 其中：在京劳动者报酬","","000"))</f>
        <v/>
      </c>
      <c r="W58" s="462" t="n"/>
      <c r="X58" s="517" t="inlineStr">
        <is>
          <t xml:space="preserve">    其中：在京劳动者报酬</t>
        </is>
      </c>
      <c r="Y58" s="1185">
        <f>ROW()-45</f>
        <v/>
      </c>
      <c r="Z58" s="1366" t="n"/>
      <c r="AA58" s="1367" t="n"/>
      <c r="AB58" s="1366" t="n"/>
      <c r="AC58" s="1376" t="n"/>
      <c r="AD58" s="1376" t="n"/>
      <c r="AE58" s="205" t="n"/>
      <c r="AF58" s="531">
        <f>IF(_epmOfflineCondition_,0,EPMSaveDataOnly(AA58,,$D$21,$Z$37,$E$25,$E$26,$E$27,$E$28,$E$29,$AA$41,$AA$42,$Z$29,$Z$28,$AA$45,V58))</f>
        <v/>
      </c>
      <c r="AG58" s="205" t="n"/>
      <c r="AH58" s="531" t="n"/>
      <c r="AI58" s="205" t="n"/>
      <c r="AJ58" s="1377">
        <f>ROUND(Z58/10000,0)</f>
        <v/>
      </c>
      <c r="AK58" s="1377">
        <f>ROUND(AA58/10000,0)</f>
        <v/>
      </c>
      <c r="AL58" s="1377">
        <f>ROUND(AB58/10000,0)</f>
        <v/>
      </c>
      <c r="AM58" s="716" t="n"/>
      <c r="AN58" s="716" t="n"/>
    </row>
    <row r="59" ht="16.15" customFormat="1" customHeight="1" s="716">
      <c r="A59" s="716" t="n"/>
      <c r="B59" s="716" t="n"/>
      <c r="C59" s="716" t="n"/>
      <c r="D59" s="716" t="n"/>
      <c r="E59" s="716" t="n"/>
      <c r="F59" s="716" t="n"/>
      <c r="G59" s="716" t="n"/>
      <c r="H59" s="716" t="n"/>
      <c r="I59" s="716" t="n"/>
      <c r="J59" s="716" t="n"/>
      <c r="K59" s="716" t="n"/>
      <c r="L59" s="716" t="n"/>
      <c r="M59" s="716" t="n"/>
      <c r="N59" s="716" t="n"/>
      <c r="O59" s="716" t="n"/>
      <c r="P59" s="716" t="n"/>
      <c r="Q59" s="716" t="n"/>
      <c r="R59" s="716" t="n"/>
      <c r="S59" s="462">
        <f>IF(_epmOfflineCondition_,"在京生产税",EPMMemberDesc(U59))</f>
        <v/>
      </c>
      <c r="T59" s="716" t="n"/>
      <c r="U59" s="842" t="inlineStr">
        <is>
          <t>A07834</t>
        </is>
      </c>
      <c r="V59" s="462">
        <f>IF(_epmOfflineCondition_,"A07834",EPMOlapMemberO(U59,"[C_ACCOUNT].[PARENTH1].[A07834]","A07834 - 在京生产税","","000"))</f>
        <v/>
      </c>
      <c r="W59" s="462" t="n"/>
      <c r="X59" s="517" t="inlineStr">
        <is>
          <t xml:space="preserve">          在京生产税</t>
        </is>
      </c>
      <c r="Y59" s="1185">
        <f>ROW()-45</f>
        <v/>
      </c>
      <c r="Z59" s="1366" t="n"/>
      <c r="AA59" s="1367" t="n"/>
      <c r="AB59" s="1366" t="n"/>
      <c r="AC59" s="1376" t="n"/>
      <c r="AD59" s="1376" t="n"/>
      <c r="AE59" s="205" t="n"/>
      <c r="AF59" s="531">
        <f>IF(_epmOfflineCondition_,0,EPMSaveDataOnly(AA59,,$D$21,$Z$37,$E$25,$E$26,$E$27,$E$28,$E$29,$AA$41,$AA$42,$Z$29,$Z$28,$AA$45,V59))</f>
        <v/>
      </c>
      <c r="AG59" s="205" t="n"/>
      <c r="AH59" s="531" t="n"/>
      <c r="AI59" s="205" t="n"/>
      <c r="AJ59" s="1377">
        <f>ROUND(Z59/10000,0)</f>
        <v/>
      </c>
      <c r="AK59" s="1377">
        <f>ROUND(AA59/10000,0)</f>
        <v/>
      </c>
      <c r="AL59" s="1377">
        <f>ROUND(AB59/10000,0)</f>
        <v/>
      </c>
      <c r="AM59" s="716" t="n"/>
      <c r="AN59" s="716" t="n"/>
    </row>
    <row r="60" ht="16.15" customFormat="1" customHeight="1" s="716">
      <c r="A60" s="716" t="n"/>
      <c r="B60" s="716" t="n"/>
      <c r="C60" s="716" t="n"/>
      <c r="D60" s="716" t="n"/>
      <c r="E60" s="716" t="n"/>
      <c r="F60" s="716" t="n"/>
      <c r="G60" s="716" t="n"/>
      <c r="H60" s="716" t="n"/>
      <c r="I60" s="716" t="n"/>
      <c r="J60" s="716" t="n"/>
      <c r="K60" s="716" t="n"/>
      <c r="L60" s="716" t="n"/>
      <c r="M60" s="716" t="n"/>
      <c r="N60" s="716" t="n"/>
      <c r="O60" s="716" t="n"/>
      <c r="P60" s="716" t="n"/>
      <c r="Q60" s="716" t="n"/>
      <c r="R60" s="716" t="n"/>
      <c r="S60" s="462">
        <f>IF(_epmOfflineCondition_,"在京资产折旧",EPMMemberDesc(U60))</f>
        <v/>
      </c>
      <c r="T60" s="716" t="n"/>
      <c r="U60" s="842" t="inlineStr">
        <is>
          <t>A07835</t>
        </is>
      </c>
      <c r="V60" s="462">
        <f>IF(_epmOfflineCondition_,"A07835",EPMOlapMemberO(U60,"[C_ACCOUNT].[PARENTH1].[A07835]","A07835 - 在京资产折旧","","000"))</f>
        <v/>
      </c>
      <c r="W60" s="462" t="n"/>
      <c r="X60" s="517" t="inlineStr">
        <is>
          <t xml:space="preserve">          在京资产折旧</t>
        </is>
      </c>
      <c r="Y60" s="1185">
        <f>ROW()-45</f>
        <v/>
      </c>
      <c r="Z60" s="1366" t="n"/>
      <c r="AA60" s="1367" t="n"/>
      <c r="AB60" s="1366" t="n"/>
      <c r="AC60" s="1376" t="n"/>
      <c r="AD60" s="1376" t="n"/>
      <c r="AE60" s="205" t="n"/>
      <c r="AF60" s="531">
        <f>IF(_epmOfflineCondition_,0,EPMSaveDataOnly(AA60,,$D$21,$Z$37,$E$25,$E$26,$E$27,$E$28,$E$29,$AA$41,$AA$42,$Z$29,$Z$28,$AA$45,V60))</f>
        <v/>
      </c>
      <c r="AG60" s="205" t="n"/>
      <c r="AH60" s="531" t="n"/>
      <c r="AI60" s="205" t="n"/>
      <c r="AJ60" s="1377">
        <f>ROUND(Z60/10000,0)</f>
        <v/>
      </c>
      <c r="AK60" s="1377">
        <f>ROUND(AA60/10000,0)</f>
        <v/>
      </c>
      <c r="AL60" s="1377">
        <f>ROUND(AB60/10000,0)</f>
        <v/>
      </c>
      <c r="AM60" s="716" t="n"/>
      <c r="AN60" s="716" t="n"/>
    </row>
    <row r="61" ht="16.15" customFormat="1" customHeight="1" s="716">
      <c r="A61" s="716" t="n"/>
      <c r="B61" s="716" t="n"/>
      <c r="C61" s="716" t="n"/>
      <c r="D61" s="716" t="n"/>
      <c r="E61" s="716" t="n"/>
      <c r="F61" s="716" t="n"/>
      <c r="G61" s="716" t="n"/>
      <c r="H61" s="716" t="n"/>
      <c r="I61" s="716" t="n"/>
      <c r="J61" s="716" t="n"/>
      <c r="K61" s="716" t="n"/>
      <c r="L61" s="716" t="n"/>
      <c r="M61" s="716" t="n"/>
      <c r="N61" s="716" t="n"/>
      <c r="O61" s="716" t="n"/>
      <c r="P61" s="716" t="n"/>
      <c r="Q61" s="716" t="n"/>
      <c r="R61" s="716" t="n"/>
      <c r="S61" s="462">
        <f>IF(_epmOfflineCondition_,"在京营业盈余",EPMMemberDesc(U61))</f>
        <v/>
      </c>
      <c r="T61" s="716" t="n"/>
      <c r="U61" s="842" t="inlineStr">
        <is>
          <t>A07836</t>
        </is>
      </c>
      <c r="V61" s="462">
        <f>IF(_epmOfflineCondition_,"A07836",EPMOlapMemberO(U61,"[C_ACCOUNT].[PARENTH1].[A07836]","A07836 - 在京营业盈余","","000"))</f>
        <v/>
      </c>
      <c r="W61" s="462" t="n"/>
      <c r="X61" s="517" t="inlineStr">
        <is>
          <t xml:space="preserve">          在京营业盈余</t>
        </is>
      </c>
      <c r="Y61" s="1185">
        <f>ROW()-45</f>
        <v/>
      </c>
      <c r="Z61" s="1366" t="n"/>
      <c r="AA61" s="1367" t="n"/>
      <c r="AB61" s="1366" t="n"/>
      <c r="AC61" s="1376" t="n"/>
      <c r="AD61" s="1376" t="n"/>
      <c r="AE61" s="205" t="n"/>
      <c r="AF61" s="531">
        <f>IF(_epmOfflineCondition_,0,EPMSaveDataOnly(AA61,,$D$21,$Z$37,$E$25,$E$26,$E$27,$E$28,$E$29,$AA$41,$AA$42,$Z$29,$Z$28,$AA$45,V61))</f>
        <v/>
      </c>
      <c r="AG61" s="205" t="n"/>
      <c r="AH61" s="531" t="n"/>
      <c r="AI61" s="205" t="n"/>
      <c r="AJ61" s="1377">
        <f>ROUND(Z61/10000,0)</f>
        <v/>
      </c>
      <c r="AK61" s="1377">
        <f>ROUND(AA61/10000,0)</f>
        <v/>
      </c>
      <c r="AL61" s="1377">
        <f>ROUND(AB61/10000,0)</f>
        <v/>
      </c>
      <c r="AM61" s="716" t="n"/>
      <c r="AN61" s="716" t="n"/>
    </row>
    <row r="62" ht="16.15" customFormat="1" customHeight="1" s="716">
      <c r="A62" s="716" t="n"/>
      <c r="B62" s="716" t="n"/>
      <c r="C62" s="716" t="n"/>
      <c r="D62" s="716" t="n"/>
      <c r="E62" s="716" t="n"/>
      <c r="F62" s="716" t="n"/>
      <c r="G62" s="716" t="n"/>
      <c r="H62" s="716" t="n"/>
      <c r="I62" s="716" t="n"/>
      <c r="J62" s="716" t="n"/>
      <c r="K62" s="716" t="n"/>
      <c r="L62" s="716" t="n"/>
      <c r="M62" s="716" t="n"/>
      <c r="N62" s="716" t="n"/>
      <c r="O62" s="716" t="n"/>
      <c r="P62" s="716" t="n"/>
      <c r="Q62" s="716" t="n"/>
      <c r="R62" s="462" t="n"/>
      <c r="S62" s="462">
        <f>IF(_epmOfflineCondition_,"",EPMMemberDesc(U62))</f>
        <v/>
      </c>
      <c r="T62" s="716" t="n"/>
      <c r="U62" s="514" t="n"/>
      <c r="V62" s="635">
        <f>IF(_epmOfflineCondition_,"",EPMOlapMemberO(U62,"[C_ACCOUNT].[PARENTH1].[A00203]","A00203 - 三、营业利润（亏损以“-""号填列）","","000"))</f>
        <v/>
      </c>
      <c r="W62" s="462" t="n"/>
      <c r="X62" s="516" t="inlineStr">
        <is>
          <t>五、企业经营补充指标</t>
        </is>
      </c>
      <c r="Y62" s="1185">
        <f>ROW()-45</f>
        <v/>
      </c>
      <c r="Z62" s="1369">
        <f>"——"</f>
        <v/>
      </c>
      <c r="AA62" s="1369">
        <f>"——"</f>
        <v/>
      </c>
      <c r="AB62" s="1369">
        <f>"——"</f>
        <v/>
      </c>
      <c r="AC62" s="1376" t="n"/>
      <c r="AD62" s="1376" t="n"/>
      <c r="AE62" s="205" t="n"/>
      <c r="AF62" s="531" t="n"/>
      <c r="AG62" s="205" t="n"/>
      <c r="AH62" s="531" t="n"/>
      <c r="AI62" s="205" t="n"/>
      <c r="AJ62" s="1369">
        <f>"——"</f>
        <v/>
      </c>
      <c r="AK62" s="1369">
        <f>"——"</f>
        <v/>
      </c>
      <c r="AL62" s="1369">
        <f>"——"</f>
        <v/>
      </c>
      <c r="AM62" s="716" t="n"/>
      <c r="AN62" s="716" t="n"/>
    </row>
    <row r="63" ht="16.15" customFormat="1" customHeight="1" s="716">
      <c r="A63" s="716" t="n"/>
      <c r="B63" s="716" t="n"/>
      <c r="C63" s="716" t="n"/>
      <c r="D63" s="716" t="n"/>
      <c r="E63" s="716" t="n"/>
      <c r="F63" s="716" t="n"/>
      <c r="G63" s="716" t="n"/>
      <c r="H63" s="716" t="n"/>
      <c r="I63" s="716" t="n"/>
      <c r="J63" s="716" t="n"/>
      <c r="K63" s="716" t="n"/>
      <c r="L63" s="716" t="n"/>
      <c r="M63" s="716" t="n"/>
      <c r="N63" s="716" t="n"/>
      <c r="O63" s="716" t="n"/>
      <c r="P63" s="716" t="n"/>
      <c r="Q63" s="716" t="n"/>
      <c r="R63" s="716" t="n"/>
      <c r="S63" s="462">
        <f>IF(_epmOfflineCondition_,"39.对外捐赠支出总额",EPMMemberDesc(U63))</f>
        <v/>
      </c>
      <c r="T63" s="716" t="n"/>
      <c r="U63" s="514" t="inlineStr">
        <is>
          <t>A07808</t>
        </is>
      </c>
      <c r="V63" s="462">
        <f>IF(_epmOfflineCondition_,"A07808",EPMOlapMemberO(U63,"[C_ACCOUNT].[PARENTH1].[A07808]","A07808 - 39.对外捐赠支出总额","","000"))</f>
        <v/>
      </c>
      <c r="W63" s="462" t="n"/>
      <c r="X63" s="517" t="inlineStr">
        <is>
          <t xml:space="preserve">    1.对外捐赠支出总额</t>
        </is>
      </c>
      <c r="Y63" s="1185">
        <f>ROW()-45</f>
        <v/>
      </c>
      <c r="Z63" s="1369" t="n"/>
      <c r="AA63" s="1367" t="n"/>
      <c r="AB63" s="1366" t="n"/>
      <c r="AC63" s="1376" t="n"/>
      <c r="AD63" s="1376" t="n"/>
      <c r="AE63" s="205" t="n"/>
      <c r="AF63" s="531">
        <f>IF(_epmOfflineCondition_,0,EPMSaveDataOnly(AA63,,$D$21,$Z$37,$E$25,$E$26,$E$27,$E$28,$E$29,$AA$41,$AA$42,$Z$29,$Z$28,$AA$45,V63))</f>
        <v/>
      </c>
      <c r="AG63" s="205" t="n"/>
      <c r="AH63" s="531" t="n"/>
      <c r="AI63" s="205" t="n"/>
      <c r="AJ63" s="1377">
        <f>ROUND(Z63/10000,0)</f>
        <v/>
      </c>
      <c r="AK63" s="1377">
        <f>ROUND(AA63/10000,0)</f>
        <v/>
      </c>
      <c r="AL63" s="1377">
        <f>ROUND(AB63/10000,0)</f>
        <v/>
      </c>
      <c r="AM63" s="716" t="n"/>
      <c r="AN63" s="716" t="n"/>
    </row>
    <row r="64" ht="16.15" customFormat="1" customHeight="1" s="716">
      <c r="A64" s="716" t="n"/>
      <c r="B64" s="716" t="n"/>
      <c r="C64" s="716" t="n"/>
      <c r="D64" s="716" t="n"/>
      <c r="E64" s="716" t="n"/>
      <c r="F64" s="716" t="n"/>
      <c r="G64" s="716" t="n"/>
      <c r="H64" s="716" t="n"/>
      <c r="I64" s="716" t="n"/>
      <c r="J64" s="716" t="n"/>
      <c r="K64" s="716" t="n"/>
      <c r="L64" s="716" t="n"/>
      <c r="M64" s="716" t="n"/>
      <c r="N64" s="716" t="n"/>
      <c r="O64" s="716" t="n"/>
      <c r="P64" s="716" t="n"/>
      <c r="Q64" s="716" t="n"/>
      <c r="R64" s="716" t="n"/>
      <c r="S64" s="462">
        <f>IF(_epmOfflineCondition_,"   其中：货币资金",EPMMemberDesc(U64))</f>
        <v/>
      </c>
      <c r="T64" s="716" t="n"/>
      <c r="U64" s="514" t="inlineStr">
        <is>
          <t>A0780801</t>
        </is>
      </c>
      <c r="V64" s="455">
        <f>IF(_epmOfflineCondition_,"A0780801",EPMOlapMemberO(U64,"[C_ACCOUNT].[PARENTH1].[A0780801]","A0780801 -    其中：货币资金","","000"))</f>
        <v/>
      </c>
      <c r="W64" s="462" t="n"/>
      <c r="X64" s="517" t="inlineStr">
        <is>
          <t xml:space="preserve">      其中：货币资金</t>
        </is>
      </c>
      <c r="Y64" s="1185">
        <f>ROW()-45</f>
        <v/>
      </c>
      <c r="Z64" s="1369" t="n"/>
      <c r="AA64" s="1367" t="n"/>
      <c r="AB64" s="1366" t="n"/>
      <c r="AC64" s="1376" t="n"/>
      <c r="AD64" s="1376" t="n"/>
      <c r="AE64" s="205" t="n"/>
      <c r="AF64" s="531">
        <f>IF(_epmOfflineCondition_,0,EPMSaveDataOnly(AA64,,$D$21,$Z$37,$E$25,$E$26,$E$27,$E$28,$E$29,$AA$41,$AA$42,$Z$29,$Z$28,$AA$45,V64))</f>
        <v/>
      </c>
      <c r="AG64" s="205" t="n"/>
      <c r="AH64" s="531" t="n"/>
      <c r="AI64" s="205" t="n"/>
      <c r="AJ64" s="1377">
        <f>ROUND(Z64/10000,0)</f>
        <v/>
      </c>
      <c r="AK64" s="1377">
        <f>ROUND(AA64/10000,0)</f>
        <v/>
      </c>
      <c r="AL64" s="1377">
        <f>ROUND(AB64/10000,0)</f>
        <v/>
      </c>
      <c r="AM64" s="716" t="n"/>
      <c r="AN64" s="716" t="n"/>
    </row>
    <row r="65" ht="16.15" customFormat="1" customHeight="1" s="716">
      <c r="A65" s="716" t="n"/>
      <c r="B65" s="716" t="n"/>
      <c r="C65" s="716" t="n"/>
      <c r="D65" s="716" t="n"/>
      <c r="E65" s="716" t="n"/>
      <c r="F65" s="716" t="n"/>
      <c r="G65" s="716" t="n"/>
      <c r="H65" s="716" t="n"/>
      <c r="I65" s="716" t="n"/>
      <c r="J65" s="716" t="n"/>
      <c r="K65" s="716" t="n"/>
      <c r="L65" s="716" t="n"/>
      <c r="M65" s="716" t="n"/>
      <c r="N65" s="716" t="n"/>
      <c r="O65" s="716" t="n"/>
      <c r="P65" s="716" t="n"/>
      <c r="Q65" s="716" t="n"/>
      <c r="R65" s="716" t="n"/>
      <c r="S65" s="462">
        <f>IF(_epmOfflineCondition_,"49.营业成本-原材料",EPMMemberDesc(U65))</f>
        <v/>
      </c>
      <c r="T65" s="716" t="n"/>
      <c r="U65" s="514" t="inlineStr">
        <is>
          <t>A07814</t>
        </is>
      </c>
      <c r="V65" s="462">
        <f>IF(_epmOfflineCondition_,"A07814",EPMOlapMemberO(U65,"[C_ACCOUNT].[PARENTH1].[A07814]","A07814 - 49.营业成本-原材料","","000"))</f>
        <v/>
      </c>
      <c r="W65" s="462" t="n"/>
      <c r="X65" s="1378" t="inlineStr">
        <is>
          <t xml:space="preserve">    2.营业成本-原材料</t>
        </is>
      </c>
      <c r="Y65" s="1185">
        <f>ROW()-45</f>
        <v/>
      </c>
      <c r="Z65" s="1369" t="n"/>
      <c r="AA65" s="1367" t="n"/>
      <c r="AB65" s="1366" t="n"/>
      <c r="AC65" s="1376" t="n"/>
      <c r="AD65" s="1376" t="n"/>
      <c r="AE65" s="205" t="n"/>
      <c r="AF65" s="531">
        <f>IF(_epmOfflineCondition_,0,EPMSaveDataOnly(AA65,,$D$21,$Z$37,$E$25,$E$26,$E$27,$E$28,$E$29,$AA$41,$AA$42,$Z$29,$Z$28,$AA$45,V65))</f>
        <v/>
      </c>
      <c r="AG65" s="205" t="n"/>
      <c r="AH65" s="531" t="n"/>
      <c r="AI65" s="205" t="n"/>
      <c r="AJ65" s="1377">
        <f>ROUND(Z65/10000,0)</f>
        <v/>
      </c>
      <c r="AK65" s="1377">
        <f>ROUND(AA65/10000,0)</f>
        <v/>
      </c>
      <c r="AL65" s="1377">
        <f>ROUND(AB65/10000,0)</f>
        <v/>
      </c>
      <c r="AM65" s="716" t="n"/>
      <c r="AN65" s="716" t="n"/>
    </row>
    <row r="66" ht="16.15" customFormat="1" customHeight="1" s="716">
      <c r="A66" s="716" t="n"/>
      <c r="B66" s="716" t="n"/>
      <c r="C66" s="716" t="n"/>
      <c r="D66" s="716" t="n"/>
      <c r="E66" s="716" t="n"/>
      <c r="F66" s="716" t="n"/>
      <c r="G66" s="716" t="n"/>
      <c r="H66" s="716" t="n"/>
      <c r="I66" s="716" t="n"/>
      <c r="J66" s="716" t="n"/>
      <c r="K66" s="716" t="n"/>
      <c r="L66" s="716" t="n"/>
      <c r="M66" s="716" t="n"/>
      <c r="N66" s="716" t="n"/>
      <c r="O66" s="716" t="n"/>
      <c r="P66" s="716" t="n"/>
      <c r="Q66" s="716" t="n"/>
      <c r="R66" s="716" t="n"/>
      <c r="S66" s="462">
        <f>IF(_epmOfflineCondition_,"50.营业成本-人工成本",EPMMemberDesc(U66))</f>
        <v/>
      </c>
      <c r="T66" s="716" t="n"/>
      <c r="U66" s="514" t="inlineStr">
        <is>
          <t>A07815</t>
        </is>
      </c>
      <c r="V66" s="462">
        <f>IF(_epmOfflineCondition_,"A07815",EPMOlapMemberO(U66,"[C_ACCOUNT].[PARENTH1].[A07815]","A07815 - 50.营业成本-人工成本","","000"))</f>
        <v/>
      </c>
      <c r="W66" s="462" t="n"/>
      <c r="X66" s="1378" t="inlineStr">
        <is>
          <t xml:space="preserve">    3.营业成本-人工成本</t>
        </is>
      </c>
      <c r="Y66" s="1185">
        <f>ROW()-45</f>
        <v/>
      </c>
      <c r="Z66" s="1369" t="inlineStr"/>
      <c r="AA66" s="1367" t="inlineStr"/>
      <c r="AB66" s="1366" t="n"/>
      <c r="AC66" s="1376" t="n"/>
      <c r="AD66" s="1376" t="n"/>
      <c r="AE66" s="205" t="n"/>
      <c r="AF66" s="531">
        <f>IF(_epmOfflineCondition_,3096227.54,EPMSaveDataOnly(AA66,,$D$21,$Z$37,$E$25,$E$26,$E$27,$E$28,$E$29,$AA$41,$AA$42,$Z$29,$Z$28,$AA$45,V66))</f>
        <v/>
      </c>
      <c r="AG66" s="205" t="n"/>
      <c r="AH66" s="531" t="n"/>
      <c r="AI66" s="205" t="n"/>
      <c r="AJ66" s="1377">
        <f>ROUND(Z66/10000,0)</f>
        <v/>
      </c>
      <c r="AK66" s="1377">
        <f>ROUND(AA66/10000,0)</f>
        <v/>
      </c>
      <c r="AL66" s="1377">
        <f>ROUND(AB66/10000,0)</f>
        <v/>
      </c>
      <c r="AM66" s="716" t="n"/>
      <c r="AN66" s="716" t="n"/>
    </row>
    <row r="67" ht="16.15" customFormat="1" customHeight="1" s="716">
      <c r="A67" s="716" t="n"/>
      <c r="B67" s="716" t="n"/>
      <c r="C67" s="716" t="n"/>
      <c r="D67" s="716" t="n"/>
      <c r="E67" s="716" t="n"/>
      <c r="F67" s="716" t="n"/>
      <c r="G67" s="716" t="n"/>
      <c r="H67" s="716" t="n"/>
      <c r="I67" s="716" t="n"/>
      <c r="J67" s="716" t="n"/>
      <c r="K67" s="716" t="n"/>
      <c r="L67" s="716" t="n"/>
      <c r="M67" s="716" t="n"/>
      <c r="N67" s="716" t="n"/>
      <c r="O67" s="716" t="n"/>
      <c r="P67" s="716" t="n"/>
      <c r="Q67" s="384" t="n"/>
      <c r="R67" s="384" t="n"/>
      <c r="S67" s="462" t="n"/>
      <c r="T67" s="716" t="n"/>
      <c r="U67" s="514" t="n"/>
      <c r="V67" s="455">
        <f>IF(_epmOfflineCondition_,"",EPMOlapMemberO(U67,"[C_ACCOUNT].[PARENTH1].[A0020504]","A0020504 - 　　归属于母公司所有者的净利润","","000"))</f>
        <v/>
      </c>
      <c r="W67" s="462" t="n"/>
      <c r="X67" s="516" t="inlineStr">
        <is>
          <t>六、债务监测补充指标</t>
        </is>
      </c>
      <c r="Y67" s="1185">
        <f>ROW()-45</f>
        <v/>
      </c>
      <c r="Z67" s="1369">
        <f>"——"</f>
        <v/>
      </c>
      <c r="AA67" s="1369">
        <f>"——"</f>
        <v/>
      </c>
      <c r="AB67" s="1369">
        <f>"——"</f>
        <v/>
      </c>
      <c r="AC67" s="1376" t="n"/>
      <c r="AD67" s="1376" t="n"/>
      <c r="AE67" s="205" t="n"/>
      <c r="AF67" s="531" t="n"/>
      <c r="AG67" s="205" t="n"/>
      <c r="AH67" s="531" t="n"/>
      <c r="AI67" s="205" t="n"/>
      <c r="AJ67" s="1369">
        <f>"——"</f>
        <v/>
      </c>
      <c r="AK67" s="1369">
        <f>"——"</f>
        <v/>
      </c>
      <c r="AL67" s="1369">
        <f>"——"</f>
        <v/>
      </c>
      <c r="AM67" s="716" t="n"/>
      <c r="AN67" s="716" t="n"/>
    </row>
    <row r="68" ht="16.15" customFormat="1" customHeight="1" s="716">
      <c r="A68" s="716" t="n"/>
      <c r="B68" s="716" t="n"/>
      <c r="C68" s="716" t="n"/>
      <c r="D68" s="716" t="n"/>
      <c r="E68" s="716" t="n"/>
      <c r="F68" s="716" t="n"/>
      <c r="G68" s="716" t="n"/>
      <c r="H68" s="716" t="n"/>
      <c r="I68" s="716" t="n"/>
      <c r="J68" s="716" t="n"/>
      <c r="K68" s="716" t="n"/>
      <c r="L68" s="716" t="n"/>
      <c r="M68" s="716" t="n"/>
      <c r="N68" s="716" t="n"/>
      <c r="O68" s="716" t="n"/>
      <c r="P68" s="716" t="n"/>
      <c r="Q68" s="384" t="n"/>
      <c r="R68" s="384" t="n"/>
      <c r="S68" s="462">
        <f>IF(_epmOfflineCondition_,"  一年内到期的非流动资产",EPMMemberDesc(U68))</f>
        <v/>
      </c>
      <c r="T68" s="716" t="n"/>
      <c r="U68" s="514" t="inlineStr">
        <is>
          <t>A001010116</t>
        </is>
      </c>
      <c r="V68" s="535">
        <f>IF(_epmOfflineCondition_,"A001010116",EPMOlapMemberO(U68,"[C_ACCOUNT].[PARENTH1].[A001010116]","A001010116 -   一年内到期的非流动资产","","000"))</f>
        <v/>
      </c>
      <c r="W68" s="462" t="n"/>
      <c r="X68" s="517" t="inlineStr">
        <is>
          <t xml:space="preserve">    1.一年内到期的非流动资产</t>
        </is>
      </c>
      <c r="Y68" s="1185">
        <f>ROW()-45</f>
        <v/>
      </c>
      <c r="Z68" s="1369">
        <f>"——"</f>
        <v/>
      </c>
      <c r="AA68" s="1366" t="n"/>
      <c r="AB68" s="1366" t="n"/>
      <c r="AC68" s="1376" t="n"/>
      <c r="AD68" s="1376" t="n"/>
      <c r="AE68" s="205" t="n"/>
      <c r="AF68" s="531" t="n"/>
      <c r="AG68" s="205" t="n"/>
      <c r="AH68" s="531" t="n"/>
      <c r="AI68" s="205" t="n"/>
      <c r="AJ68" s="1369">
        <f>"——"</f>
        <v/>
      </c>
      <c r="AK68" s="1377">
        <f>ROUND(AA68/10000,0)</f>
        <v/>
      </c>
      <c r="AL68" s="1377">
        <f>ROUND(AB68/10000,0)</f>
        <v/>
      </c>
      <c r="AM68" s="716" t="n"/>
      <c r="AN68" s="716" t="n"/>
    </row>
    <row r="69" ht="16.15" customFormat="1" customHeight="1" s="716">
      <c r="A69" s="716" t="n"/>
      <c r="B69" s="716" t="n"/>
      <c r="C69" s="716" t="n"/>
      <c r="D69" s="716" t="n"/>
      <c r="E69" s="716" t="n"/>
      <c r="F69" s="716" t="n"/>
      <c r="G69" s="716" t="n"/>
      <c r="H69" s="716" t="n"/>
      <c r="I69" s="716" t="n"/>
      <c r="J69" s="716" t="n"/>
      <c r="K69" s="716" t="n"/>
      <c r="L69" s="716" t="n"/>
      <c r="M69" s="716" t="n"/>
      <c r="N69" s="716" t="n"/>
      <c r="O69" s="716" t="n"/>
      <c r="P69" s="716" t="n"/>
      <c r="Q69" s="384" t="n"/>
      <c r="R69" s="384" t="n"/>
      <c r="S69" s="462">
        <f>IF(_epmOfflineCondition_,"  预付款项",EPMMemberDesc(U69))</f>
        <v/>
      </c>
      <c r="T69" s="716" t="n"/>
      <c r="U69" s="514" t="inlineStr">
        <is>
          <t>A001010108</t>
        </is>
      </c>
      <c r="V69" s="535">
        <f>IF(_epmOfflineCondition_,"A001010108",EPMOlapMemberO(U69,"[C_ACCOUNT].[PARENTH1].[A001010108]","A001010108 -   预付款项","","000"))</f>
        <v/>
      </c>
      <c r="W69" s="462" t="n"/>
      <c r="X69" s="517" t="inlineStr">
        <is>
          <t xml:space="preserve">    2.预付账款</t>
        </is>
      </c>
      <c r="Y69" s="1185">
        <f>ROW()-45</f>
        <v/>
      </c>
      <c r="Z69" s="1369">
        <f>"——"</f>
        <v/>
      </c>
      <c r="AA69" s="1366" t="inlineStr"/>
      <c r="AB69" s="1366" t="inlineStr"/>
      <c r="AC69" s="1376" t="n"/>
      <c r="AD69" s="1376" t="n"/>
      <c r="AE69" s="205" t="n"/>
      <c r="AF69" s="531" t="n"/>
      <c r="AG69" s="205" t="n"/>
      <c r="AH69" s="531" t="n"/>
      <c r="AI69" s="205" t="n"/>
      <c r="AJ69" s="1369">
        <f>"——"</f>
        <v/>
      </c>
      <c r="AK69" s="1377">
        <f>ROUND(AA69/10000,0)</f>
        <v/>
      </c>
      <c r="AL69" s="1377">
        <f>ROUND(AB69/10000,0)</f>
        <v/>
      </c>
      <c r="AM69" s="716" t="n"/>
      <c r="AN69" s="716" t="n"/>
    </row>
    <row r="70" ht="16.15" customFormat="1" customHeight="1" s="716">
      <c r="A70" s="716" t="n"/>
      <c r="B70" s="716" t="n"/>
      <c r="C70" s="716" t="n"/>
      <c r="D70" s="716" t="n"/>
      <c r="E70" s="716" t="n"/>
      <c r="F70" s="716" t="n"/>
      <c r="G70" s="716" t="n"/>
      <c r="H70" s="716" t="n"/>
      <c r="I70" s="716" t="n"/>
      <c r="J70" s="716" t="n"/>
      <c r="K70" s="716" t="n"/>
      <c r="L70" s="716" t="n"/>
      <c r="M70" s="716" t="n"/>
      <c r="N70" s="716" t="n"/>
      <c r="O70" s="716" t="n"/>
      <c r="P70" s="716" t="n"/>
      <c r="Q70" s="384" t="n"/>
      <c r="R70" s="384" t="n"/>
      <c r="S70" s="462">
        <f>IF(_epmOfflineCondition_,"   预收款项",EPMMemberDesc(U70))</f>
        <v/>
      </c>
      <c r="T70" s="716" t="n"/>
      <c r="U70" s="514" t="inlineStr">
        <is>
          <t>A001020109</t>
        </is>
      </c>
      <c r="V70" s="459">
        <f>IF(_epmOfflineCondition_,"A001020109",EPMOlapMemberO(U70,"[C_ACCOUNT].[PARENTH1].[A001020109]","A001020109 -    预收款项","","000"))</f>
        <v/>
      </c>
      <c r="W70" s="462" t="n"/>
      <c r="X70" s="517" t="inlineStr">
        <is>
          <t xml:space="preserve">    3.预收账款</t>
        </is>
      </c>
      <c r="Y70" s="1185">
        <f>ROW()-45</f>
        <v/>
      </c>
      <c r="Z70" s="1369">
        <f>"——"</f>
        <v/>
      </c>
      <c r="AA70" s="1366" t="n"/>
      <c r="AB70" s="1366" t="n"/>
      <c r="AC70" s="1376" t="n"/>
      <c r="AD70" s="1376" t="n"/>
      <c r="AE70" s="205" t="n"/>
      <c r="AF70" s="531" t="n"/>
      <c r="AG70" s="205" t="n"/>
      <c r="AH70" s="531" t="n"/>
      <c r="AI70" s="205" t="n"/>
      <c r="AJ70" s="1369">
        <f>"——"</f>
        <v/>
      </c>
      <c r="AK70" s="1377">
        <f>ROUND(AA70/10000,0)</f>
        <v/>
      </c>
      <c r="AL70" s="1377">
        <f>ROUND(AB70/10000,0)</f>
        <v/>
      </c>
      <c r="AM70" s="716" t="n"/>
      <c r="AN70" s="716" t="n"/>
    </row>
    <row r="71" ht="16.15" customFormat="1" customHeight="1" s="716">
      <c r="A71" s="716" t="n"/>
      <c r="B71" s="716" t="n"/>
      <c r="C71" s="716" t="n"/>
      <c r="D71" s="716" t="n"/>
      <c r="E71" s="716" t="n"/>
      <c r="F71" s="716" t="n"/>
      <c r="G71" s="716" t="n"/>
      <c r="H71" s="716" t="n"/>
      <c r="I71" s="716" t="n"/>
      <c r="J71" s="716" t="n"/>
      <c r="K71" s="716" t="n"/>
      <c r="L71" s="716" t="n"/>
      <c r="M71" s="716" t="n"/>
      <c r="N71" s="716" t="n"/>
      <c r="O71" s="716" t="n"/>
      <c r="P71" s="716" t="n"/>
      <c r="Q71" s="384" t="n"/>
      <c r="R71" s="384" t="n"/>
      <c r="S71" s="462">
        <f>IF(_epmOfflineCondition_,"   合同负债",EPMMemberDesc(U71))</f>
        <v/>
      </c>
      <c r="T71" s="716" t="n"/>
      <c r="U71" s="514" t="inlineStr">
        <is>
          <t>A001020110</t>
        </is>
      </c>
      <c r="V71" s="459">
        <f>IF(_epmOfflineCondition_,"A001020110",EPMOlapMemberO(U71,"[C_ACCOUNT].[PARENTH1].[A001020110]","A001020110 -    合同负债","","000"))</f>
        <v/>
      </c>
      <c r="W71" s="462" t="n"/>
      <c r="X71" s="517" t="inlineStr">
        <is>
          <t xml:space="preserve">    4.合同负债</t>
        </is>
      </c>
      <c r="Y71" s="1185">
        <f>ROW()-45</f>
        <v/>
      </c>
      <c r="Z71" s="1369">
        <f>"——"</f>
        <v/>
      </c>
      <c r="AA71" s="1366" t="n"/>
      <c r="AB71" s="1366" t="n"/>
      <c r="AC71" s="1376" t="n"/>
      <c r="AD71" s="1376" t="n"/>
      <c r="AE71" s="205" t="n"/>
      <c r="AF71" s="531" t="n"/>
      <c r="AG71" s="205" t="n"/>
      <c r="AH71" s="531" t="n"/>
      <c r="AI71" s="205" t="n"/>
      <c r="AJ71" s="1369">
        <f>"——"</f>
        <v/>
      </c>
      <c r="AK71" s="1377">
        <f>ROUND(AA71/10000,0)</f>
        <v/>
      </c>
      <c r="AL71" s="1377">
        <f>ROUND(AB71/10000,0)</f>
        <v/>
      </c>
      <c r="AM71" s="716" t="n"/>
      <c r="AN71" s="716" t="n"/>
    </row>
    <row r="72" ht="16.15" customFormat="1" customHeight="1" s="716">
      <c r="A72" s="716" t="n"/>
      <c r="B72" s="716" t="n"/>
      <c r="C72" s="716" t="n"/>
      <c r="D72" s="716" t="n"/>
      <c r="E72" s="716" t="n"/>
      <c r="F72" s="716" t="n"/>
      <c r="G72" s="716" t="n"/>
      <c r="H72" s="716" t="n"/>
      <c r="I72" s="716" t="n"/>
      <c r="J72" s="716" t="n"/>
      <c r="K72" s="716" t="n"/>
      <c r="L72" s="716" t="n"/>
      <c r="M72" s="716" t="n"/>
      <c r="N72" s="716" t="n"/>
      <c r="O72" s="716" t="n"/>
      <c r="P72" s="716" t="n"/>
      <c r="Q72" s="384" t="n"/>
      <c r="R72" s="384" t="n"/>
      <c r="S72" s="462">
        <f>IF(_epmOfflineCondition_,"44. 带息流动负债",EPMMemberDesc(U72))</f>
        <v/>
      </c>
      <c r="T72" s="716" t="n"/>
      <c r="U72" s="514" t="inlineStr">
        <is>
          <t>A07819</t>
        </is>
      </c>
      <c r="V72" s="462">
        <f>IF(_epmOfflineCondition_,"A07819",EPMOlapMemberO(U72,"[C_ACCOUNT].[PARENTH1].[A07819]","A07819 - 44. 带息流动负债","","000"))</f>
        <v/>
      </c>
      <c r="W72" s="462" t="n"/>
      <c r="X72" s="517" t="inlineStr">
        <is>
          <t xml:space="preserve">    5.带息流动负债</t>
        </is>
      </c>
      <c r="Y72" s="1185">
        <f>ROW()-45</f>
        <v/>
      </c>
      <c r="Z72" s="1369">
        <f>"——"</f>
        <v/>
      </c>
      <c r="AA72" s="1367" t="n"/>
      <c r="AB72" s="1366" t="inlineStr"/>
      <c r="AC72" s="1376" t="n"/>
      <c r="AD72" s="1376" t="n"/>
      <c r="AE72" s="205" t="n"/>
      <c r="AF72" s="531">
        <f>IF(_epmOfflineCondition_,0,EPMSaveDataOnly(AA72,,$D$21,$Z$37,$E$25,$E$26,$E$27,$E$28,$E$29,$AA$41,$AA$42,$Z$29,$Z$28,$AA$45,V72))</f>
        <v/>
      </c>
      <c r="AG72" s="205" t="n"/>
      <c r="AH72" s="531" t="n"/>
      <c r="AI72" s="205" t="n"/>
      <c r="AJ72" s="1369">
        <f>"——"</f>
        <v/>
      </c>
      <c r="AK72" s="1377">
        <f>ROUND(AA72/10000,0)</f>
        <v/>
      </c>
      <c r="AL72" s="1377">
        <f>ROUND(AB72/10000,0)</f>
        <v/>
      </c>
      <c r="AM72" s="716" t="n"/>
      <c r="AN72" s="716" t="n"/>
    </row>
    <row r="73" ht="16.15" customFormat="1" customHeight="1" s="716">
      <c r="A73" s="716" t="n"/>
      <c r="B73" s="716" t="n"/>
      <c r="C73" s="716" t="n"/>
      <c r="D73" s="716" t="n"/>
      <c r="E73" s="716" t="n"/>
      <c r="F73" s="716" t="n"/>
      <c r="G73" s="716" t="n"/>
      <c r="H73" s="716" t="n"/>
      <c r="I73" s="716" t="n"/>
      <c r="J73" s="716" t="n"/>
      <c r="K73" s="716" t="n"/>
      <c r="L73" s="716" t="n"/>
      <c r="M73" s="716" t="n"/>
      <c r="N73" s="716" t="n"/>
      <c r="O73" s="716" t="n"/>
      <c r="P73" s="716" t="n"/>
      <c r="Q73" s="384" t="n"/>
      <c r="R73" s="384" t="n"/>
      <c r="S73" s="462">
        <f>IF(_epmOfflineCondition_,"45. 计入权益的永续债",EPMMemberDesc(U73))</f>
        <v/>
      </c>
      <c r="T73" s="716" t="n"/>
      <c r="U73" s="514" t="inlineStr">
        <is>
          <t>A07820</t>
        </is>
      </c>
      <c r="V73" s="462">
        <f>IF(_epmOfflineCondition_,"A07820",EPMOlapMemberO(U73,"[C_ACCOUNT].[PARENTH1].[A07820]","A07820 - 45. 计入权益的永续债","","000"))</f>
        <v/>
      </c>
      <c r="W73" s="462" t="n"/>
      <c r="X73" s="517" t="inlineStr">
        <is>
          <t xml:space="preserve">    6.计入权益的永续债</t>
        </is>
      </c>
      <c r="Y73" s="1185">
        <f>ROW()-45</f>
        <v/>
      </c>
      <c r="Z73" s="1369">
        <f>"——"</f>
        <v/>
      </c>
      <c r="AA73" s="1367" t="n"/>
      <c r="AB73" s="1366" t="n"/>
      <c r="AC73" s="1376" t="n"/>
      <c r="AD73" s="1376" t="n"/>
      <c r="AE73" s="205" t="n"/>
      <c r="AF73" s="531">
        <f>IF(_epmOfflineCondition_,0,EPMSaveDataOnly(AA73,,$D$21,$Z$37,$E$25,$E$26,$E$27,$E$28,$E$29,$AA$41,$AA$42,$Z$29,$Z$28,$AA$45,V73))</f>
        <v/>
      </c>
      <c r="AG73" s="205" t="n"/>
      <c r="AH73" s="531" t="n"/>
      <c r="AI73" s="205" t="n"/>
      <c r="AJ73" s="1369">
        <f>"——"</f>
        <v/>
      </c>
      <c r="AK73" s="1377">
        <f>ROUND(AA73/10000,0)</f>
        <v/>
      </c>
      <c r="AL73" s="1377">
        <f>ROUND(AB73/10000,0)</f>
        <v/>
      </c>
      <c r="AM73" s="716" t="n"/>
      <c r="AN73" s="716" t="n"/>
    </row>
    <row r="74" ht="16.15" customFormat="1" customHeight="1" s="716">
      <c r="A74" s="716" t="n"/>
      <c r="B74" s="716" t="n"/>
      <c r="C74" s="716" t="n"/>
      <c r="D74" s="716" t="n"/>
      <c r="E74" s="716" t="n"/>
      <c r="F74" s="716" t="n"/>
      <c r="G74" s="716" t="n"/>
      <c r="H74" s="716" t="n"/>
      <c r="I74" s="716" t="n"/>
      <c r="J74" s="716" t="n"/>
      <c r="K74" s="716" t="n"/>
      <c r="L74" s="716" t="n"/>
      <c r="M74" s="716" t="n"/>
      <c r="N74" s="716" t="n"/>
      <c r="O74" s="716" t="n"/>
      <c r="P74" s="716" t="n"/>
      <c r="Q74" s="384" t="n"/>
      <c r="R74" s="384" t="n"/>
      <c r="S74" s="462">
        <f>IF(_epmOfflineCondition_,"  盈余公积",EPMMemberDesc(U74))</f>
        <v/>
      </c>
      <c r="T74" s="716" t="n"/>
      <c r="U74" s="514" t="inlineStr">
        <is>
          <t>A0010307</t>
        </is>
      </c>
      <c r="V74" s="459">
        <f>IF(_epmOfflineCondition_,"A0010307",EPMOlapMemberO(U74,"[C_ACCOUNT].[PARENTH1].[A0010307]","A0010307 -   盈余公积","","000"))</f>
        <v/>
      </c>
      <c r="W74" s="462" t="n"/>
      <c r="X74" s="517" t="inlineStr">
        <is>
          <t xml:space="preserve">    7.盈余公积</t>
        </is>
      </c>
      <c r="Y74" s="1185">
        <f>ROW()-45</f>
        <v/>
      </c>
      <c r="Z74" s="1369">
        <f>"——"</f>
        <v/>
      </c>
      <c r="AA74" s="1366" t="n"/>
      <c r="AB74" s="1366" t="n"/>
      <c r="AC74" s="1376" t="n"/>
      <c r="AD74" s="1376" t="n"/>
      <c r="AE74" s="205" t="n"/>
      <c r="AF74" s="531" t="n"/>
      <c r="AG74" s="205" t="n"/>
      <c r="AH74" s="531" t="n"/>
      <c r="AI74" s="205" t="n"/>
      <c r="AJ74" s="1369">
        <f>"——"</f>
        <v/>
      </c>
      <c r="AK74" s="1377">
        <f>ROUND(AA74/10000,0)</f>
        <v/>
      </c>
      <c r="AL74" s="1377">
        <f>ROUND(AB74/10000,0)</f>
        <v/>
      </c>
      <c r="AM74" s="716" t="n"/>
      <c r="AN74" s="716" t="n"/>
    </row>
    <row r="75" ht="16.15" customFormat="1" customHeight="1" s="716">
      <c r="A75" s="716" t="n"/>
      <c r="B75" s="716" t="n"/>
      <c r="C75" s="716" t="n"/>
      <c r="D75" s="716" t="n"/>
      <c r="E75" s="716" t="n"/>
      <c r="F75" s="716" t="n"/>
      <c r="G75" s="716" t="n"/>
      <c r="H75" s="716" t="n"/>
      <c r="I75" s="716" t="n"/>
      <c r="J75" s="716" t="n"/>
      <c r="K75" s="716" t="n"/>
      <c r="L75" s="716" t="n"/>
      <c r="M75" s="716" t="n"/>
      <c r="N75" s="716" t="n"/>
      <c r="O75" s="716" t="n"/>
      <c r="P75" s="716" t="n"/>
      <c r="Q75" s="384" t="n"/>
      <c r="R75" s="384" t="n"/>
      <c r="S75" s="462">
        <f>IF(_epmOfflineCondition_,"　未分配利润",EPMMemberDesc(U75))</f>
        <v/>
      </c>
      <c r="T75" s="716" t="n"/>
      <c r="U75" s="514" t="inlineStr">
        <is>
          <t>A0010309</t>
        </is>
      </c>
      <c r="V75" s="459">
        <f>IF(_epmOfflineCondition_,"A0010309",EPMOlapMemberO(U75,"[C_ACCOUNT].[PARENTH1].[A0010309]","A0010309 - 　未分配利润","","000"))</f>
        <v/>
      </c>
      <c r="W75" s="462" t="n"/>
      <c r="X75" s="517" t="inlineStr">
        <is>
          <t xml:space="preserve">    8.未分配利润</t>
        </is>
      </c>
      <c r="Y75" s="1185">
        <f>ROW()-45</f>
        <v/>
      </c>
      <c r="Z75" s="1369">
        <f>"——"</f>
        <v/>
      </c>
      <c r="AA75" s="1366" t="inlineStr"/>
      <c r="AB75" s="1366" t="inlineStr"/>
      <c r="AC75" s="1376" t="n"/>
      <c r="AD75" s="1376" t="n"/>
      <c r="AE75" s="205" t="n"/>
      <c r="AF75" s="531" t="n"/>
      <c r="AG75" s="205" t="n"/>
      <c r="AH75" s="531" t="n"/>
      <c r="AI75" s="205" t="n"/>
      <c r="AJ75" s="1369">
        <f>"——"</f>
        <v/>
      </c>
      <c r="AK75" s="1377">
        <f>ROUND(AA75/10000,0)</f>
        <v/>
      </c>
      <c r="AL75" s="1377">
        <f>ROUND(AB75/10000,0)</f>
        <v/>
      </c>
      <c r="AM75" s="716" t="n"/>
      <c r="AN75" s="716" t="n"/>
    </row>
    <row r="76" ht="16.15" customFormat="1" customHeight="1" s="716">
      <c r="A76" s="716" t="n"/>
      <c r="B76" s="716" t="n"/>
      <c r="C76" s="716" t="n"/>
      <c r="D76" s="716" t="n"/>
      <c r="E76" s="716" t="n"/>
      <c r="F76" s="716" t="n"/>
      <c r="G76" s="716" t="n"/>
      <c r="H76" s="716" t="n"/>
      <c r="I76" s="716" t="n"/>
      <c r="J76" s="716" t="n"/>
      <c r="K76" s="716" t="n"/>
      <c r="L76" s="716" t="n"/>
      <c r="M76" s="716" t="n"/>
      <c r="N76" s="716" t="n"/>
      <c r="O76" s="716" t="n"/>
      <c r="P76" s="716" t="n"/>
      <c r="Q76" s="716" t="n"/>
      <c r="R76" s="716" t="n"/>
      <c r="S76" s="462">
        <f>IF(_epmOfflineCondition_,"六、期末现金及现金等价物余额",EPMMemberDesc(U76))</f>
        <v/>
      </c>
      <c r="T76" s="716" t="n"/>
      <c r="U76" s="514" t="inlineStr">
        <is>
          <t>A00307</t>
        </is>
      </c>
      <c r="V76" s="462">
        <f>IF(_epmOfflineCondition_,"A00307",EPMOlapMemberO(U76,"[C_ACCOUNT].[PARENTH1].[A00307]","A00307 - 六、期末现金及现金等价物余额","","000"))</f>
        <v/>
      </c>
      <c r="W76" s="462" t="n"/>
      <c r="X76" s="517" t="inlineStr">
        <is>
          <t xml:space="preserve">    9.期末现金及现金等价物余额</t>
        </is>
      </c>
      <c r="Y76" s="1185">
        <f>ROW()-45</f>
        <v/>
      </c>
      <c r="Z76" s="1369">
        <f>"——"</f>
        <v/>
      </c>
      <c r="AA76" s="1366" t="inlineStr"/>
      <c r="AB76" s="1366" t="inlineStr"/>
      <c r="AC76" s="1376" t="n"/>
      <c r="AD76" s="1376" t="n"/>
      <c r="AE76" s="205" t="n"/>
      <c r="AF76" s="531" t="n"/>
      <c r="AG76" s="205" t="n"/>
      <c r="AH76" s="531" t="n"/>
      <c r="AI76" s="205" t="n"/>
      <c r="AJ76" s="1369">
        <f>"——"</f>
        <v/>
      </c>
      <c r="AK76" s="1377">
        <f>ROUND(AA76/10000,0)</f>
        <v/>
      </c>
      <c r="AL76" s="1377">
        <f>ROUND(AB76/10000,0)</f>
        <v/>
      </c>
      <c r="AM76" s="716" t="n"/>
      <c r="AN76" s="716" t="n"/>
    </row>
    <row r="77">
      <c r="A77" s="384" t="n"/>
      <c r="B77" s="384" t="n"/>
      <c r="C77" s="384" t="n"/>
      <c r="D77" s="384" t="n"/>
      <c r="E77" s="384" t="n"/>
      <c r="F77" s="384" t="n"/>
      <c r="G77" s="384" t="n"/>
      <c r="H77" s="384" t="n"/>
      <c r="I77" s="384" t="n"/>
      <c r="J77" s="384" t="n"/>
      <c r="K77" s="384" t="n"/>
      <c r="L77" s="384" t="n"/>
      <c r="M77" s="384" t="n"/>
      <c r="N77" s="384" t="n"/>
      <c r="O77" s="384" t="n"/>
      <c r="P77" s="384" t="n"/>
      <c r="Q77" s="384" t="n"/>
      <c r="R77" s="384" t="n"/>
      <c r="S77" s="32" t="n"/>
      <c r="T77" s="384" t="n"/>
      <c r="U77" s="384" t="n"/>
      <c r="V77" s="32" t="n"/>
      <c r="W77" s="384" t="n"/>
      <c r="X77" s="38" t="n"/>
      <c r="Y77" s="38" t="n"/>
      <c r="Z77" s="384" t="n"/>
      <c r="AA77" s="384" t="n"/>
      <c r="AB77" s="384" t="n"/>
      <c r="AC77" s="384" t="n"/>
      <c r="AD77" s="384" t="n"/>
      <c r="AE77" s="384" t="n"/>
      <c r="AF77" s="384" t="n"/>
      <c r="AG77" s="384" t="n"/>
      <c r="AH77" s="384" t="n"/>
      <c r="AI77" s="384" t="n"/>
      <c r="AJ77" s="384" t="n"/>
      <c r="AK77" s="384" t="n"/>
      <c r="AL77" s="384" t="n"/>
      <c r="AM77" s="384" t="n"/>
      <c r="AN77" s="384" t="n"/>
    </row>
    <row r="78">
      <c r="A78" s="384" t="n"/>
      <c r="B78" s="384" t="n"/>
      <c r="C78" s="384" t="n"/>
      <c r="D78" s="384" t="n"/>
      <c r="E78" s="384" t="n"/>
      <c r="F78" s="384" t="n"/>
      <c r="G78" s="384" t="n"/>
      <c r="H78" s="384" t="n"/>
      <c r="I78" s="384" t="n"/>
      <c r="J78" s="384" t="n"/>
      <c r="K78" s="384" t="n"/>
      <c r="L78" s="384" t="n"/>
      <c r="M78" s="384" t="n"/>
      <c r="N78" s="384" t="n"/>
      <c r="O78" s="384" t="n"/>
      <c r="P78" s="384" t="n"/>
      <c r="Q78" s="384" t="n"/>
      <c r="R78" s="384" t="n"/>
      <c r="S78" s="32" t="n"/>
      <c r="T78" s="384" t="n"/>
      <c r="U78" s="384" t="n"/>
      <c r="V78" s="32" t="n"/>
      <c r="W78" s="384" t="n"/>
      <c r="X78" s="38" t="n"/>
      <c r="Y78" s="38" t="n"/>
      <c r="Z78" s="384" t="n"/>
      <c r="AA78" s="384" t="n"/>
      <c r="AB78" s="384" t="n"/>
      <c r="AC78" s="384" t="n"/>
      <c r="AD78" s="384" t="n"/>
      <c r="AE78" s="384" t="n"/>
      <c r="AF78" s="384" t="n"/>
      <c r="AG78" s="384" t="n"/>
      <c r="AH78" s="384" t="n"/>
      <c r="AI78" s="384" t="n"/>
      <c r="AJ78" s="384" t="n"/>
      <c r="AK78" s="384" t="n"/>
      <c r="AL78" s="384" t="n"/>
      <c r="AM78" s="384" t="n"/>
      <c r="AN78" s="384" t="n"/>
    </row>
  </sheetData>
  <sheetProtection selectLockedCells="0" selectUnlockedCells="0" algorithmName="SHA-512" sheet="1" objects="0" insertRows="1" insertHyperlinks="1" autoFilter="1" scenarios="1" formatColumns="1" deleteColumns="1" insertColumns="1" pivotTables="1" deleteRows="1" formatCells="1" saltValue="C/2vpDYGP78gej3UgYhayQ==" formatRows="1" sort="1" spinCount="100000" hashValue="KrSS5tHDGf1wxncB+nOyVD9ONiSWnIOuymO52n+s0r3uVKgbK65a74SEKpnIM0VgWpx2VSSQgc5oIfT2tNvY8A=="/>
  <mergeCells count="14">
    <mergeCell ref="H2:J2"/>
    <mergeCell ref="D16:E16"/>
    <mergeCell ref="Z35:AB35"/>
    <mergeCell ref="AJ35:AL35"/>
    <mergeCell ref="X39:X40"/>
    <mergeCell ref="Y39:Y40"/>
    <mergeCell ref="Z39:Z40"/>
    <mergeCell ref="AA39:AA40"/>
    <mergeCell ref="AB39:AB40"/>
    <mergeCell ref="AC39:AC40"/>
    <mergeCell ref="AF39:AF40"/>
    <mergeCell ref="AJ39:AJ40"/>
    <mergeCell ref="AK39:AK40"/>
    <mergeCell ref="AL39:AL40"/>
  </mergeCells>
  <dataValidations count="1">
    <dataValidation sqref="AJ37" showErrorMessage="1" showInputMessage="1" allowBlank="1" type="list">
      <formula1>"LC,CNY"</formula1>
    </dataValidation>
  </dataValidations>
  <pageMargins left="0.7" right="0.7" top="0.75" bottom="0.75" header="0.3" footer="0.3"/>
  <pageSetup orientation="portrait" paperSize="9"/>
  <drawing xmlns:r="http://schemas.openxmlformats.org/officeDocument/2006/relationships" r:id="rId1"/>
</worksheet>
</file>

<file path=xl/worksheets/sheet33.xml><?xml version="1.0" encoding="utf-8"?>
<worksheet xmlns="http://schemas.openxmlformats.org/spreadsheetml/2006/main">
  <sheetPr codeName="Sheet28">
    <outlinePr summaryBelow="1" summaryRight="1"/>
    <pageSetUpPr/>
  </sheetPr>
  <dimension ref="A1:CQ91"/>
  <sheetViews>
    <sheetView topLeftCell="W34" zoomScale="90" zoomScaleNormal="90" workbookViewId="0">
      <selection activeCell="AG69" sqref="AG69"/>
    </sheetView>
  </sheetViews>
  <sheetFormatPr baseColWidth="8" defaultColWidth="8.375" defaultRowHeight="16.8"/>
  <cols>
    <col hidden="1" width="8" customWidth="1" style="1181" min="1" max="1"/>
    <col hidden="1" width="15.375" customWidth="1" style="1181" min="2" max="2"/>
    <col hidden="1" width="11.375" customWidth="1" style="1181" min="3" max="3"/>
    <col hidden="1" width="12.25" customWidth="1" style="1181" min="4" max="4"/>
    <col hidden="1" width="7.375" customWidth="1" style="1181" min="5" max="5"/>
    <col hidden="1" width="7.75" customWidth="1" style="1181" min="6" max="6"/>
    <col hidden="1" width="17.25" customWidth="1" style="1181" min="7" max="7"/>
    <col hidden="1" width="8.375" customWidth="1" style="1181" min="8" max="8"/>
    <col hidden="1" width="9.75" customWidth="1" style="1181" min="9" max="9"/>
    <col hidden="1" width="11.125" customWidth="1" style="1181" min="10" max="10"/>
    <col hidden="1" width="7.75" customWidth="1" style="1181" min="11" max="18"/>
    <col hidden="1" width="29.375" customWidth="1" style="32" min="19" max="19"/>
    <col hidden="1" width="2.375" customWidth="1" style="1181" min="20" max="20"/>
    <col hidden="1" width="14.75" customWidth="1" style="1181" min="21" max="21"/>
    <col hidden="1" width="15" customWidth="1" style="1181" min="22" max="22"/>
    <col width="1.375" customWidth="1" style="1181" min="23" max="23"/>
    <col width="38.375" customWidth="1" style="38" min="24" max="24"/>
    <col width="4.375" customWidth="1" style="38" min="25" max="25"/>
    <col width="24.375" customWidth="1" style="1181" min="26" max="27"/>
    <col width="23" customWidth="1" style="1181" min="28" max="28"/>
    <col hidden="1" width="27.625" customWidth="1" style="1181" min="29" max="29"/>
    <col hidden="1" width="11" customWidth="1" style="1334" min="30" max="30"/>
    <col width="16.75" customWidth="1" style="1181" min="31" max="32"/>
    <col width="17.375" customWidth="1" style="1181" min="33" max="34"/>
    <col width="16.75" customWidth="1" style="1181" min="35" max="37"/>
    <col width="17.375" customWidth="1" style="1181" min="38" max="39"/>
    <col width="16.75" customWidth="1" style="1181" min="40" max="42"/>
    <col width="17.375" customWidth="1" style="1181" min="43" max="44"/>
    <col width="16.75" customWidth="1" style="1181" min="45" max="47"/>
    <col width="17.375" customWidth="1" style="1181" min="48" max="49"/>
    <col width="16.75" customWidth="1" style="1181" min="50" max="50"/>
  </cols>
  <sheetData>
    <row r="1" hidden="1" customFormat="1" s="13">
      <c r="A1" s="172" t="inlineStr">
        <is>
          <t>维度清单</t>
        </is>
      </c>
      <c r="B1" s="462" t="n"/>
      <c r="C1" s="173" t="n"/>
      <c r="D1" s="173" t="n"/>
      <c r="E1" s="716" t="n"/>
      <c r="F1" s="13" t="n"/>
      <c r="G1" s="13" t="n"/>
      <c r="H1" s="13" t="n"/>
      <c r="I1" s="13" t="n"/>
      <c r="J1" s="13" t="n"/>
      <c r="K1" s="13" t="n"/>
      <c r="L1" s="13" t="n"/>
      <c r="M1" s="13" t="n"/>
      <c r="N1" s="13" t="n"/>
      <c r="O1" s="13" t="n"/>
      <c r="P1" s="13" t="n"/>
      <c r="Q1" s="13" t="n"/>
      <c r="R1" s="13" t="n"/>
      <c r="S1" s="1103" t="n"/>
      <c r="T1" s="13" t="n"/>
      <c r="U1" s="13" t="n"/>
      <c r="V1" s="13" t="n"/>
      <c r="W1" s="13" t="n"/>
      <c r="X1" s="171" t="n"/>
      <c r="Y1" s="171" t="n"/>
      <c r="Z1" s="13" t="n"/>
      <c r="AA1" s="13" t="n"/>
      <c r="AB1" s="13" t="n"/>
      <c r="AC1" s="13" t="n"/>
      <c r="AD1" s="1235" t="n"/>
      <c r="AE1" s="13" t="n"/>
      <c r="AF1" s="220" t="n"/>
      <c r="AG1" s="13" t="n"/>
      <c r="AH1" s="13" t="n"/>
      <c r="AI1" s="13" t="n"/>
      <c r="AJ1" s="13" t="n"/>
      <c r="AK1" s="13" t="n"/>
      <c r="AL1" s="13" t="n"/>
      <c r="AM1" s="13" t="n"/>
      <c r="AN1" s="13" t="n"/>
      <c r="AO1" s="13" t="n"/>
      <c r="AP1" s="13" t="n"/>
      <c r="AQ1" s="13" t="n"/>
      <c r="AR1" s="13" t="n"/>
      <c r="AS1" s="13" t="n"/>
      <c r="AT1" s="13" t="n"/>
      <c r="AU1" s="13" t="n"/>
      <c r="AV1" s="13" t="n"/>
      <c r="AW1" s="13" t="n"/>
      <c r="AX1" s="13" t="n"/>
      <c r="AY1" s="13" t="n"/>
      <c r="AZ1" s="13" t="n"/>
      <c r="BA1" s="13" t="n"/>
      <c r="BB1" s="13" t="n"/>
      <c r="BC1" s="13" t="n"/>
      <c r="BD1" s="13" t="n"/>
      <c r="BE1" s="13" t="n"/>
      <c r="BF1" s="13" t="n"/>
      <c r="BG1" s="13" t="n"/>
      <c r="BH1" s="13" t="n"/>
      <c r="BI1" s="13" t="n"/>
      <c r="BJ1" s="13" t="n"/>
      <c r="BK1" s="13" t="n"/>
      <c r="BL1" s="13" t="n"/>
      <c r="BM1" s="13" t="n"/>
      <c r="BN1" s="13" t="n"/>
      <c r="BO1" s="13" t="n"/>
      <c r="BP1" s="13" t="n"/>
      <c r="BQ1" s="13" t="n"/>
      <c r="BR1" s="13" t="n"/>
      <c r="BS1" s="13" t="n"/>
      <c r="BT1" s="13" t="n"/>
      <c r="BU1" s="13" t="n"/>
      <c r="BV1" s="13" t="n"/>
      <c r="BW1" s="13" t="n"/>
      <c r="BX1" s="13" t="n"/>
      <c r="BY1" s="13" t="n"/>
      <c r="BZ1" s="13" t="n"/>
      <c r="CA1" s="13" t="n"/>
      <c r="CB1" s="13" t="n"/>
      <c r="CC1" s="13" t="n"/>
      <c r="CD1" s="13" t="n"/>
      <c r="CE1" s="13" t="n"/>
      <c r="CF1" s="13" t="n"/>
      <c r="CG1" s="13" t="n"/>
      <c r="CH1" s="13" t="n"/>
      <c r="CI1" s="13" t="n"/>
      <c r="CJ1" s="13" t="n"/>
      <c r="CK1" s="13" t="n"/>
      <c r="CL1" s="13" t="n"/>
      <c r="CM1" s="13" t="n"/>
      <c r="CN1" s="13" t="n"/>
      <c r="CO1" s="13" t="n"/>
      <c r="CP1" s="13" t="n"/>
      <c r="CQ1" s="13" t="n"/>
    </row>
    <row r="2" hidden="1" customFormat="1" s="13">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103" t="n"/>
      <c r="T2" s="13" t="n"/>
      <c r="U2" s="13" t="n"/>
      <c r="V2" s="13" t="n"/>
      <c r="W2" s="13" t="n"/>
      <c r="X2" s="171" t="n"/>
      <c r="Y2" s="171" t="n"/>
      <c r="Z2" s="13" t="n"/>
      <c r="AA2" s="13" t="n"/>
      <c r="AB2" s="13" t="n"/>
      <c r="AC2" s="13" t="n"/>
      <c r="AD2" s="1235" t="n"/>
      <c r="AE2" s="13" t="n"/>
      <c r="AF2" s="220" t="n"/>
      <c r="AG2" s="13" t="n"/>
      <c r="AH2" s="13" t="n"/>
      <c r="AI2" s="13" t="n"/>
      <c r="AJ2" s="13" t="n"/>
      <c r="AK2" s="13" t="n"/>
      <c r="AL2" s="13" t="n"/>
      <c r="AM2" s="13" t="n"/>
      <c r="AN2" s="13" t="n"/>
      <c r="AO2" s="13" t="n"/>
      <c r="AP2" s="13" t="n"/>
      <c r="AQ2" s="13" t="n"/>
      <c r="AR2" s="13" t="n"/>
      <c r="AS2" s="13" t="n"/>
      <c r="AT2" s="13" t="n"/>
      <c r="AU2" s="13" t="n"/>
      <c r="AV2" s="13" t="n"/>
      <c r="AW2" s="13" t="n"/>
      <c r="AX2" s="13" t="n"/>
      <c r="AY2" s="13" t="n"/>
      <c r="AZ2" s="13" t="n"/>
      <c r="BA2" s="13" t="n"/>
      <c r="BB2" s="13" t="n"/>
      <c r="BC2" s="13" t="n"/>
      <c r="BD2" s="13" t="n"/>
      <c r="BE2" s="13" t="n"/>
      <c r="BF2" s="13" t="n"/>
      <c r="BG2" s="13" t="n"/>
      <c r="BH2" s="13" t="n"/>
      <c r="BI2" s="13" t="n"/>
      <c r="BJ2" s="13" t="n"/>
      <c r="BK2" s="13" t="n"/>
      <c r="BL2" s="13" t="n"/>
      <c r="BM2" s="13" t="n"/>
      <c r="BN2" s="13" t="n"/>
      <c r="BO2" s="13" t="n"/>
      <c r="BP2" s="13" t="n"/>
      <c r="BQ2" s="13" t="n"/>
      <c r="BR2" s="13" t="n"/>
      <c r="BS2" s="13" t="n"/>
      <c r="BT2" s="13" t="n"/>
      <c r="BU2" s="13" t="n"/>
      <c r="BV2" s="13" t="n"/>
      <c r="BW2" s="13" t="n"/>
      <c r="BX2" s="13" t="n"/>
      <c r="BY2" s="13" t="n"/>
      <c r="BZ2" s="13" t="n"/>
      <c r="CA2" s="13" t="n"/>
      <c r="CB2" s="13" t="n"/>
      <c r="CC2" s="13" t="n"/>
      <c r="CD2" s="13" t="n"/>
      <c r="CE2" s="13" t="n"/>
      <c r="CF2" s="13" t="n"/>
      <c r="CG2" s="13" t="n"/>
      <c r="CH2" s="13" t="n"/>
      <c r="CI2" s="13" t="n"/>
      <c r="CJ2" s="13" t="n"/>
      <c r="CK2" s="13" t="n"/>
      <c r="CL2" s="13" t="n"/>
      <c r="CM2" s="13" t="n"/>
      <c r="CN2" s="13" t="n"/>
      <c r="CO2" s="13" t="n"/>
      <c r="CP2" s="13" t="n"/>
      <c r="CQ2" s="13" t="n"/>
    </row>
    <row r="3" hidden="1" customFormat="1" s="13">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103" t="n"/>
      <c r="T3" s="13" t="n"/>
      <c r="U3" s="13" t="n"/>
      <c r="V3" s="13" t="n"/>
      <c r="W3" s="13" t="n"/>
      <c r="X3" s="171" t="n"/>
      <c r="Y3" s="171" t="n"/>
      <c r="Z3" s="13" t="n"/>
      <c r="AA3" s="13" t="n"/>
      <c r="AB3" s="13" t="n"/>
      <c r="AC3" s="13" t="n"/>
      <c r="AD3" s="1235" t="n"/>
      <c r="AE3" s="13" t="n"/>
      <c r="AF3" s="220" t="n"/>
      <c r="AG3" s="13" t="n"/>
      <c r="AH3" s="13" t="n"/>
      <c r="AI3" s="13" t="n"/>
      <c r="AJ3" s="13" t="n"/>
      <c r="AK3" s="13" t="n"/>
      <c r="AL3" s="13" t="n"/>
      <c r="AM3" s="13" t="n"/>
      <c r="AN3" s="13" t="n"/>
      <c r="AO3" s="13" t="n"/>
      <c r="AP3" s="13" t="n"/>
      <c r="AQ3" s="13" t="n"/>
      <c r="AR3" s="13" t="n"/>
      <c r="AS3" s="13" t="n"/>
      <c r="AT3" s="13" t="n"/>
      <c r="AU3" s="13" t="n"/>
      <c r="AV3" s="13" t="n"/>
      <c r="AW3" s="13" t="n"/>
      <c r="AX3" s="13" t="n"/>
      <c r="AY3" s="13" t="n"/>
      <c r="AZ3" s="13" t="n"/>
      <c r="BA3" s="13" t="n"/>
      <c r="BB3" s="13" t="n"/>
      <c r="BC3" s="13" t="n"/>
      <c r="BD3" s="13" t="n"/>
      <c r="BE3" s="13" t="n"/>
      <c r="BF3" s="13" t="n"/>
      <c r="BG3" s="13" t="n"/>
      <c r="BH3" s="13" t="n"/>
      <c r="BI3" s="13" t="n"/>
      <c r="BJ3" s="13" t="n"/>
      <c r="BK3" s="13" t="n"/>
      <c r="BL3" s="13" t="n"/>
      <c r="BM3" s="13" t="n"/>
      <c r="BN3" s="13" t="n"/>
      <c r="BO3" s="13" t="n"/>
      <c r="BP3" s="13" t="n"/>
      <c r="BQ3" s="13" t="n"/>
      <c r="BR3" s="13" t="n"/>
      <c r="BS3" s="13" t="n"/>
      <c r="BT3" s="13" t="n"/>
      <c r="BU3" s="13" t="n"/>
      <c r="BV3" s="13" t="n"/>
      <c r="BW3" s="13" t="n"/>
      <c r="BX3" s="13" t="n"/>
      <c r="BY3" s="13" t="n"/>
      <c r="BZ3" s="13" t="n"/>
      <c r="CA3" s="13" t="n"/>
      <c r="CB3" s="13" t="n"/>
      <c r="CC3" s="13" t="n"/>
      <c r="CD3" s="13" t="n"/>
      <c r="CE3" s="13" t="n"/>
      <c r="CF3" s="13" t="n"/>
      <c r="CG3" s="13" t="n"/>
      <c r="CH3" s="13" t="n"/>
      <c r="CI3" s="13" t="n"/>
      <c r="CJ3" s="13" t="n"/>
      <c r="CK3" s="13" t="n"/>
      <c r="CL3" s="13" t="n"/>
      <c r="CM3" s="13" t="n"/>
      <c r="CN3" s="13" t="n"/>
      <c r="CO3" s="13" t="n"/>
      <c r="CP3" s="13" t="n"/>
      <c r="CQ3" s="13" t="n"/>
    </row>
    <row r="4" hidden="1" customFormat="1" s="13">
      <c r="A4" s="175" t="inlineStr">
        <is>
          <t>C</t>
        </is>
      </c>
      <c r="B4" s="176">
        <f>IF(_epmOfflineCondition_,"C_CATEGORY",EPMDimensionType(,A4))</f>
        <v/>
      </c>
      <c r="C4" s="176">
        <f>IF(_epmOfflineCondition_,"C1001",IF(B4="","",EPMContextMember(,B4)))</f>
        <v/>
      </c>
      <c r="D4" s="176">
        <f>IF(_epmOfflineCondition_,"实际数/决算数",EPMMemberDesc(C4))</f>
        <v/>
      </c>
      <c r="E4" s="176" t="n"/>
      <c r="F4" s="13" t="n"/>
      <c r="G4" s="13" t="n"/>
      <c r="H4" s="184" t="inlineStr">
        <is>
          <t>预算年</t>
        </is>
      </c>
      <c r="I4" s="184">
        <f>"V_"&amp;$I$3</f>
        <v/>
      </c>
      <c r="J4" s="184">
        <f>$I$3&amp;".TOTAL"</f>
        <v/>
      </c>
      <c r="K4" s="13" t="n"/>
      <c r="L4" s="13" t="n"/>
      <c r="M4" s="13" t="n"/>
      <c r="N4" s="13" t="n"/>
      <c r="O4" s="13" t="n"/>
      <c r="P4" s="13" t="n"/>
      <c r="Q4" s="13" t="n"/>
      <c r="R4" s="13" t="n"/>
      <c r="S4" s="1103" t="n"/>
      <c r="T4" s="13" t="n"/>
      <c r="U4" s="13" t="n"/>
      <c r="V4" s="13" t="n"/>
      <c r="W4" s="13" t="n"/>
      <c r="X4" s="171" t="n"/>
      <c r="Y4" s="171" t="n"/>
      <c r="Z4" s="13" t="n"/>
      <c r="AA4" s="13" t="n"/>
      <c r="AB4" s="13" t="n"/>
      <c r="AC4" s="13" t="n"/>
      <c r="AD4" s="1235" t="n"/>
      <c r="AE4" s="13" t="n"/>
      <c r="AF4" s="220" t="n"/>
      <c r="AG4" s="13" t="n"/>
      <c r="AH4" s="13" t="n"/>
      <c r="AI4" s="13" t="n"/>
      <c r="AJ4" s="13" t="n"/>
      <c r="AK4" s="13" t="n"/>
      <c r="AL4" s="13" t="n"/>
      <c r="AM4" s="13" t="n"/>
      <c r="AN4" s="13" t="n"/>
      <c r="AO4" s="13" t="n"/>
      <c r="AP4" s="13" t="n"/>
      <c r="AQ4" s="13" t="n"/>
      <c r="AR4" s="13" t="n"/>
      <c r="AS4" s="13" t="n"/>
      <c r="AT4" s="13" t="n"/>
      <c r="AU4" s="13" t="n"/>
      <c r="AV4" s="13" t="n"/>
      <c r="AW4" s="13" t="n"/>
      <c r="AX4" s="13" t="n"/>
      <c r="AY4" s="13" t="n"/>
      <c r="AZ4" s="13" t="n"/>
      <c r="BA4" s="13" t="n"/>
      <c r="BB4" s="13" t="n"/>
      <c r="BC4" s="13" t="n"/>
      <c r="BD4" s="13" t="n"/>
      <c r="BE4" s="13" t="n"/>
      <c r="BF4" s="13" t="n"/>
      <c r="BG4" s="13" t="n"/>
      <c r="BH4" s="13" t="n"/>
      <c r="BI4" s="13" t="n"/>
      <c r="BJ4" s="13" t="n"/>
      <c r="BK4" s="13" t="n"/>
      <c r="BL4" s="13" t="n"/>
      <c r="BM4" s="13" t="n"/>
      <c r="BN4" s="13" t="n"/>
      <c r="BO4" s="13" t="n"/>
      <c r="BP4" s="13" t="n"/>
      <c r="BQ4" s="13" t="n"/>
      <c r="BR4" s="13" t="n"/>
      <c r="BS4" s="13" t="n"/>
      <c r="BT4" s="13" t="n"/>
      <c r="BU4" s="13" t="n"/>
      <c r="BV4" s="13" t="n"/>
      <c r="BW4" s="13" t="n"/>
      <c r="BX4" s="13" t="n"/>
      <c r="BY4" s="13" t="n"/>
      <c r="BZ4" s="13" t="n"/>
      <c r="CA4" s="13" t="n"/>
      <c r="CB4" s="13" t="n"/>
      <c r="CC4" s="13" t="n"/>
      <c r="CD4" s="13" t="n"/>
      <c r="CE4" s="13" t="n"/>
      <c r="CF4" s="13" t="n"/>
      <c r="CG4" s="13" t="n"/>
      <c r="CH4" s="13" t="n"/>
      <c r="CI4" s="13" t="n"/>
      <c r="CJ4" s="13" t="n"/>
      <c r="CK4" s="13" t="n"/>
      <c r="CL4" s="13" t="n"/>
      <c r="CM4" s="13" t="n"/>
      <c r="CN4" s="13" t="n"/>
      <c r="CO4" s="13" t="n"/>
      <c r="CP4" s="13" t="n"/>
      <c r="CQ4" s="13" t="n"/>
    </row>
    <row r="5" hidden="1" customFormat="1" s="13">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13" t="n"/>
      <c r="V5" s="13" t="n"/>
      <c r="W5" s="13" t="n"/>
      <c r="X5" s="171" t="n"/>
      <c r="Y5" s="171" t="n"/>
      <c r="Z5" s="13" t="n"/>
      <c r="AA5" s="13" t="n"/>
      <c r="AB5" s="13" t="n"/>
      <c r="AC5" s="13" t="n"/>
      <c r="AD5" s="1235" t="n"/>
      <c r="AE5" s="13" t="n"/>
      <c r="AF5" s="220" t="n"/>
      <c r="AG5" s="13" t="n"/>
      <c r="AH5" s="13" t="n"/>
      <c r="AI5" s="13" t="n"/>
      <c r="AJ5" s="13" t="n"/>
      <c r="AK5" s="13" t="n"/>
      <c r="AL5" s="13" t="n"/>
      <c r="AM5" s="13" t="n"/>
      <c r="AN5" s="13" t="n"/>
      <c r="AO5" s="13" t="n"/>
      <c r="AP5" s="13" t="n"/>
      <c r="AQ5" s="13" t="n"/>
      <c r="AR5" s="13" t="n"/>
      <c r="AS5" s="13" t="n"/>
      <c r="AT5" s="13" t="n"/>
      <c r="AU5" s="13" t="n"/>
      <c r="AV5" s="13" t="n"/>
      <c r="AW5" s="13" t="n"/>
      <c r="AX5" s="13" t="n"/>
      <c r="AY5" s="13" t="n"/>
      <c r="AZ5" s="13" t="n"/>
      <c r="BA5" s="13" t="n"/>
      <c r="BB5" s="13" t="n"/>
      <c r="BC5" s="13" t="n"/>
      <c r="BD5" s="13" t="n"/>
      <c r="BE5" s="13" t="n"/>
      <c r="BF5" s="13" t="n"/>
      <c r="BG5" s="13" t="n"/>
      <c r="BH5" s="13" t="n"/>
      <c r="BI5" s="13" t="n"/>
      <c r="BJ5" s="13" t="n"/>
      <c r="BK5" s="13" t="n"/>
      <c r="BL5" s="13" t="n"/>
      <c r="BM5" s="13" t="n"/>
      <c r="BN5" s="13" t="n"/>
      <c r="BO5" s="13" t="n"/>
      <c r="BP5" s="13" t="n"/>
      <c r="BQ5" s="13" t="n"/>
      <c r="BR5" s="13" t="n"/>
      <c r="BS5" s="13" t="n"/>
      <c r="BT5" s="13" t="n"/>
      <c r="BU5" s="13" t="n"/>
      <c r="BV5" s="13" t="n"/>
      <c r="BW5" s="13" t="n"/>
      <c r="BX5" s="13" t="n"/>
      <c r="BY5" s="13" t="n"/>
      <c r="BZ5" s="13" t="n"/>
      <c r="CA5" s="13" t="n"/>
      <c r="CB5" s="13" t="n"/>
      <c r="CC5" s="13" t="n"/>
      <c r="CD5" s="13" t="n"/>
      <c r="CE5" s="13" t="n"/>
      <c r="CF5" s="13" t="n"/>
      <c r="CG5" s="13" t="n"/>
      <c r="CH5" s="13" t="n"/>
      <c r="CI5" s="13" t="n"/>
      <c r="CJ5" s="13" t="n"/>
      <c r="CK5" s="13" t="n"/>
      <c r="CL5" s="13" t="n"/>
      <c r="CM5" s="13" t="n"/>
      <c r="CN5" s="13" t="n"/>
      <c r="CO5" s="13" t="n"/>
      <c r="CP5" s="13" t="n"/>
      <c r="CQ5" s="13" t="n"/>
    </row>
    <row r="6" hidden="1" customFormat="1" s="13">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103" t="n"/>
      <c r="T6" s="13" t="n"/>
      <c r="U6" s="13" t="n"/>
      <c r="V6" s="13" t="n"/>
      <c r="W6" s="13" t="n"/>
      <c r="X6" s="171" t="n"/>
      <c r="Y6" s="171" t="n"/>
      <c r="Z6" s="13" t="n"/>
      <c r="AA6" s="13" t="n"/>
      <c r="AB6" s="13" t="n"/>
      <c r="AC6" s="13" t="n"/>
      <c r="AD6" s="1235" t="n"/>
      <c r="AE6" s="13" t="n"/>
      <c r="AF6" s="220" t="n"/>
      <c r="AG6" s="13" t="n"/>
      <c r="AH6" s="13" t="n"/>
      <c r="AI6" s="13" t="n"/>
      <c r="AJ6" s="13" t="n"/>
      <c r="AK6" s="13" t="n"/>
      <c r="AL6" s="13" t="n"/>
      <c r="AM6" s="13" t="n"/>
      <c r="AN6" s="13" t="n"/>
      <c r="AO6" s="13" t="n"/>
      <c r="AP6" s="13" t="n"/>
      <c r="AQ6" s="13" t="n"/>
      <c r="AR6" s="13" t="n"/>
      <c r="AS6" s="13" t="n"/>
      <c r="AT6" s="13" t="n"/>
      <c r="AU6" s="13" t="n"/>
      <c r="AV6" s="13" t="n"/>
      <c r="AW6" s="13" t="n"/>
      <c r="AX6" s="13" t="n"/>
      <c r="AY6" s="13" t="n"/>
      <c r="AZ6" s="13" t="n"/>
      <c r="BA6" s="13" t="n"/>
      <c r="BB6" s="13" t="n"/>
      <c r="BC6" s="13" t="n"/>
      <c r="BD6" s="13" t="n"/>
      <c r="BE6" s="13" t="n"/>
      <c r="BF6" s="13" t="n"/>
      <c r="BG6" s="13" t="n"/>
      <c r="BH6" s="13" t="n"/>
      <c r="BI6" s="13" t="n"/>
      <c r="BJ6" s="13" t="n"/>
      <c r="BK6" s="13" t="n"/>
      <c r="BL6" s="13" t="n"/>
      <c r="BM6" s="13" t="n"/>
      <c r="BN6" s="13" t="n"/>
      <c r="BO6" s="13" t="n"/>
      <c r="BP6" s="13" t="n"/>
      <c r="BQ6" s="13" t="n"/>
      <c r="BR6" s="13" t="n"/>
      <c r="BS6" s="13" t="n"/>
      <c r="BT6" s="13" t="n"/>
      <c r="BU6" s="13" t="n"/>
      <c r="BV6" s="13" t="n"/>
      <c r="BW6" s="13" t="n"/>
      <c r="BX6" s="13" t="n"/>
      <c r="BY6" s="13" t="n"/>
      <c r="BZ6" s="13" t="n"/>
      <c r="CA6" s="13" t="n"/>
      <c r="CB6" s="13" t="n"/>
      <c r="CC6" s="13" t="n"/>
      <c r="CD6" s="13" t="n"/>
      <c r="CE6" s="13" t="n"/>
      <c r="CF6" s="13" t="n"/>
      <c r="CG6" s="13" t="n"/>
      <c r="CH6" s="13" t="n"/>
      <c r="CI6" s="13" t="n"/>
      <c r="CJ6" s="13" t="n"/>
      <c r="CK6" s="13" t="n"/>
      <c r="CL6" s="13" t="n"/>
      <c r="CM6" s="13" t="n"/>
      <c r="CN6" s="13" t="n"/>
      <c r="CO6" s="13" t="n"/>
      <c r="CP6" s="13" t="n"/>
      <c r="CQ6" s="13" t="n"/>
    </row>
    <row r="7" hidden="1" customFormat="1" s="13">
      <c r="A7" s="175" t="inlineStr">
        <is>
          <t>R</t>
        </is>
      </c>
      <c r="B7" s="176">
        <f>IF(_epmOfflineCondition_,"C_RPTCURRENCY",EPMDimensionType(,A7))</f>
        <v/>
      </c>
      <c r="C7" s="176">
        <f>IF(_epmOfflineCondition_,"AUD",IF(B7="","",EPMContextMember(,B7)))</f>
        <v/>
      </c>
      <c r="D7" s="176">
        <f>IF(_epmOfflineCondition_,"澳元",EPMMemberDesc(C7))</f>
        <v/>
      </c>
      <c r="E7" s="176" t="n"/>
      <c r="F7" s="13" t="n"/>
      <c r="G7" s="13" t="n"/>
      <c r="H7" s="13" t="n"/>
      <c r="I7" s="13" t="n"/>
      <c r="J7" s="13" t="n"/>
      <c r="K7" s="13" t="n"/>
      <c r="L7" s="13" t="n"/>
      <c r="M7" s="13" t="n"/>
      <c r="N7" s="13" t="n"/>
      <c r="O7" s="13" t="n"/>
      <c r="P7" s="13" t="n"/>
      <c r="Q7" s="13" t="n"/>
      <c r="R7" s="13" t="n"/>
      <c r="S7" s="1103" t="n"/>
      <c r="T7" s="13" t="n"/>
      <c r="U7" s="13" t="n"/>
      <c r="V7" s="13" t="n"/>
      <c r="W7" s="13" t="n"/>
      <c r="X7" s="171" t="n"/>
      <c r="Y7" s="171" t="n"/>
      <c r="Z7" s="13" t="n"/>
      <c r="AA7" s="13" t="n"/>
      <c r="AB7" s="13" t="n"/>
      <c r="AC7" s="13" t="n"/>
      <c r="AD7" s="1235" t="n"/>
      <c r="AE7" s="13" t="n"/>
      <c r="AF7" s="220" t="n"/>
      <c r="AG7" s="13" t="n"/>
      <c r="AH7" s="13" t="n"/>
      <c r="AI7" s="13" t="n"/>
      <c r="AJ7" s="13" t="n"/>
      <c r="AK7" s="13" t="n"/>
      <c r="AL7" s="13" t="n"/>
      <c r="AM7" s="13" t="n"/>
      <c r="AN7" s="13" t="n"/>
      <c r="AO7" s="13" t="n"/>
      <c r="AP7" s="13" t="n"/>
      <c r="AQ7" s="13" t="n"/>
      <c r="AR7" s="13" t="n"/>
      <c r="AS7" s="13" t="n"/>
      <c r="AT7" s="13" t="n"/>
      <c r="AU7" s="13" t="n"/>
      <c r="AV7" s="13" t="n"/>
      <c r="AW7" s="13" t="n"/>
      <c r="AX7" s="13" t="n"/>
      <c r="AY7" s="13" t="n"/>
      <c r="AZ7" s="13" t="n"/>
      <c r="BA7" s="13" t="n"/>
      <c r="BB7" s="13" t="n"/>
      <c r="BC7" s="13" t="n"/>
      <c r="BD7" s="13" t="n"/>
      <c r="BE7" s="13" t="n"/>
      <c r="BF7" s="13" t="n"/>
      <c r="BG7" s="13" t="n"/>
      <c r="BH7" s="13" t="n"/>
      <c r="BI7" s="13" t="n"/>
      <c r="BJ7" s="13" t="n"/>
      <c r="BK7" s="13" t="n"/>
      <c r="BL7" s="13" t="n"/>
      <c r="BM7" s="13" t="n"/>
      <c r="BN7" s="13" t="n"/>
      <c r="BO7" s="13" t="n"/>
      <c r="BP7" s="13" t="n"/>
      <c r="BQ7" s="13" t="n"/>
      <c r="BR7" s="13" t="n"/>
      <c r="BS7" s="13" t="n"/>
      <c r="BT7" s="13" t="n"/>
      <c r="BU7" s="13" t="n"/>
      <c r="BV7" s="13" t="n"/>
      <c r="BW7" s="13" t="n"/>
      <c r="BX7" s="13" t="n"/>
      <c r="BY7" s="13" t="n"/>
      <c r="BZ7" s="13" t="n"/>
      <c r="CA7" s="13" t="n"/>
      <c r="CB7" s="13" t="n"/>
      <c r="CC7" s="13" t="n"/>
      <c r="CD7" s="13" t="n"/>
      <c r="CE7" s="13" t="n"/>
      <c r="CF7" s="13" t="n"/>
      <c r="CG7" s="13" t="n"/>
      <c r="CH7" s="13" t="n"/>
      <c r="CI7" s="13" t="n"/>
      <c r="CJ7" s="13" t="n"/>
      <c r="CK7" s="13" t="n"/>
      <c r="CL7" s="13" t="n"/>
      <c r="CM7" s="13" t="n"/>
      <c r="CN7" s="13" t="n"/>
      <c r="CO7" s="13" t="n"/>
      <c r="CP7" s="13" t="n"/>
      <c r="CQ7" s="13" t="n"/>
    </row>
    <row r="8" hidden="1" customFormat="1" s="13">
      <c r="A8" s="175" t="inlineStr">
        <is>
          <t>D</t>
        </is>
      </c>
      <c r="B8" s="176">
        <f>IF(_epmOfflineCondition_,"C_AUDITTRAIL",EPMDimensionType(,A8))</f>
        <v/>
      </c>
      <c r="C8" s="176">
        <f>IF(_epmOfflineCondition_,"DTOTAL",IF(B8="","",EPMContextMember(,B8)))</f>
        <v/>
      </c>
      <c r="D8" s="176">
        <f>IF(_epmOfflineCondition_,"全部审计线索",EPMMemberDesc(C8))</f>
        <v/>
      </c>
      <c r="E8" s="176" t="n"/>
      <c r="F8" s="13" t="n"/>
      <c r="G8" s="13" t="n"/>
      <c r="H8" s="184" t="inlineStr">
        <is>
          <t>本月</t>
        </is>
      </c>
      <c r="I8" s="184">
        <f>IF(_epmOfflineCondition_,"03",RIGHT("0"&amp;EPMMemberProperty(,EPMContextMember(,"C_TIME"),"MONTHNUM"),2))</f>
        <v/>
      </c>
      <c r="J8" s="13" t="n"/>
      <c r="K8" s="13" t="n"/>
      <c r="L8" s="13" t="n"/>
      <c r="M8" s="13" t="n"/>
      <c r="N8" s="13" t="n"/>
      <c r="O8" s="13" t="n"/>
      <c r="P8" s="13" t="n"/>
      <c r="Q8" s="13" t="n"/>
      <c r="R8" s="13" t="n"/>
      <c r="S8" s="1103" t="n"/>
      <c r="T8" s="13" t="n"/>
      <c r="U8" s="13" t="n"/>
      <c r="V8" s="13" t="n"/>
      <c r="W8" s="13" t="n"/>
      <c r="X8" s="171" t="n"/>
      <c r="Y8" s="171" t="n"/>
      <c r="Z8" s="13" t="n"/>
      <c r="AA8" s="13" t="n"/>
      <c r="AB8" s="13" t="n"/>
      <c r="AC8" s="13" t="n"/>
      <c r="AD8" s="1235" t="n"/>
      <c r="AE8" s="13" t="n"/>
      <c r="AF8" s="220" t="n"/>
      <c r="AG8" s="13" t="n"/>
      <c r="AH8" s="13" t="n"/>
      <c r="AI8" s="13" t="n"/>
      <c r="AJ8" s="13" t="n"/>
      <c r="AK8" s="13" t="n"/>
      <c r="AL8" s="13" t="n"/>
      <c r="AM8" s="13" t="n"/>
      <c r="AN8" s="13" t="n"/>
      <c r="AO8" s="13" t="n"/>
      <c r="AP8" s="13" t="n"/>
      <c r="AQ8" s="13" t="n"/>
      <c r="AR8" s="13" t="n"/>
      <c r="AS8" s="13" t="n"/>
      <c r="AT8" s="13" t="n"/>
      <c r="AU8" s="13" t="n"/>
      <c r="AV8" s="13" t="n"/>
      <c r="AW8" s="13" t="n"/>
      <c r="AX8" s="13" t="n"/>
      <c r="AY8" s="13" t="n"/>
      <c r="AZ8" s="13" t="n"/>
      <c r="BA8" s="13" t="n"/>
      <c r="BB8" s="13" t="n"/>
      <c r="BC8" s="13" t="n"/>
      <c r="BD8" s="13" t="n"/>
      <c r="BE8" s="13" t="n"/>
      <c r="BF8" s="13" t="n"/>
      <c r="BG8" s="13" t="n"/>
      <c r="BH8" s="13" t="n"/>
      <c r="BI8" s="13" t="n"/>
      <c r="BJ8" s="13" t="n"/>
      <c r="BK8" s="13" t="n"/>
      <c r="BL8" s="13" t="n"/>
      <c r="BM8" s="13" t="n"/>
      <c r="BN8" s="13" t="n"/>
      <c r="BO8" s="13" t="n"/>
      <c r="BP8" s="13" t="n"/>
      <c r="BQ8" s="13" t="n"/>
      <c r="BR8" s="13" t="n"/>
      <c r="BS8" s="13" t="n"/>
      <c r="BT8" s="13" t="n"/>
      <c r="BU8" s="13" t="n"/>
      <c r="BV8" s="13" t="n"/>
      <c r="BW8" s="13" t="n"/>
      <c r="BX8" s="13" t="n"/>
      <c r="BY8" s="13" t="n"/>
      <c r="BZ8" s="13" t="n"/>
      <c r="CA8" s="13" t="n"/>
      <c r="CB8" s="13" t="n"/>
      <c r="CC8" s="13" t="n"/>
      <c r="CD8" s="13" t="n"/>
      <c r="CE8" s="13" t="n"/>
      <c r="CF8" s="13" t="n"/>
      <c r="CG8" s="13" t="n"/>
      <c r="CH8" s="13" t="n"/>
      <c r="CI8" s="13" t="n"/>
      <c r="CJ8" s="13" t="n"/>
      <c r="CK8" s="13" t="n"/>
      <c r="CL8" s="13" t="n"/>
      <c r="CM8" s="13" t="n"/>
      <c r="CN8" s="13" t="n"/>
      <c r="CO8" s="13" t="n"/>
      <c r="CP8" s="13" t="n"/>
      <c r="CQ8" s="13" t="n"/>
    </row>
    <row r="9" hidden="1" customFormat="1" s="13">
      <c r="A9" s="175" t="inlineStr">
        <is>
          <t>S</t>
        </is>
      </c>
      <c r="B9" s="176">
        <f>IF(_epmOfflineCondition_,"C_FLOW",EPMDimensionType(,A9))</f>
        <v/>
      </c>
      <c r="C9" s="176">
        <f>IF(_epmOfflineCondition_,"FTOTAL",IF(B9="","",EPMContextMember(,B9)))</f>
        <v/>
      </c>
      <c r="D9" s="176">
        <f>IF(_epmOfflineCondition_,"全部变动",EPMMemberDesc(C9))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13" t="n"/>
      <c r="V9" s="13" t="n"/>
      <c r="W9" s="13" t="n"/>
      <c r="X9" s="171" t="n"/>
      <c r="Y9" s="171" t="n"/>
      <c r="Z9" s="13" t="n"/>
      <c r="AA9" s="13" t="n"/>
      <c r="AB9" s="13" t="n"/>
      <c r="AC9" s="13" t="n"/>
      <c r="AD9" s="1235" t="n"/>
      <c r="AE9" s="13" t="n"/>
      <c r="AF9" s="220" t="n"/>
      <c r="AG9" s="13" t="n"/>
      <c r="AH9" s="13" t="n"/>
      <c r="AI9" s="13" t="n"/>
      <c r="AJ9" s="13" t="n"/>
      <c r="AK9" s="13" t="n"/>
      <c r="AL9" s="13" t="n"/>
      <c r="AM9" s="13" t="n"/>
      <c r="AN9" s="13" t="n"/>
      <c r="AO9" s="13" t="n"/>
      <c r="AP9" s="13" t="n"/>
      <c r="AQ9" s="13" t="n"/>
      <c r="AR9" s="13" t="n"/>
      <c r="AS9" s="13" t="n"/>
      <c r="AT9" s="13" t="n"/>
      <c r="AU9" s="13" t="n"/>
      <c r="AV9" s="13" t="n"/>
      <c r="AW9" s="13" t="n"/>
      <c r="AX9" s="13" t="n"/>
      <c r="AY9" s="13" t="n"/>
      <c r="AZ9" s="13" t="n"/>
      <c r="BA9" s="13" t="n"/>
      <c r="BB9" s="13" t="n"/>
      <c r="BC9" s="13" t="n"/>
      <c r="BD9" s="13" t="n"/>
      <c r="BE9" s="13" t="n"/>
      <c r="BF9" s="13" t="n"/>
      <c r="BG9" s="13" t="n"/>
      <c r="BH9" s="13" t="n"/>
      <c r="BI9" s="13" t="n"/>
      <c r="BJ9" s="13" t="n"/>
      <c r="BK9" s="13" t="n"/>
      <c r="BL9" s="13" t="n"/>
      <c r="BM9" s="13" t="n"/>
      <c r="BN9" s="13" t="n"/>
      <c r="BO9" s="13" t="n"/>
      <c r="BP9" s="13" t="n"/>
      <c r="BQ9" s="13" t="n"/>
      <c r="BR9" s="13" t="n"/>
      <c r="BS9" s="13" t="n"/>
      <c r="BT9" s="13" t="n"/>
      <c r="BU9" s="13" t="n"/>
      <c r="BV9" s="13" t="n"/>
      <c r="BW9" s="13" t="n"/>
      <c r="BX9" s="13" t="n"/>
      <c r="BY9" s="13" t="n"/>
      <c r="BZ9" s="13" t="n"/>
      <c r="CA9" s="13" t="n"/>
      <c r="CB9" s="13" t="n"/>
      <c r="CC9" s="13" t="n"/>
      <c r="CD9" s="13" t="n"/>
      <c r="CE9" s="13" t="n"/>
      <c r="CF9" s="13" t="n"/>
      <c r="CG9" s="13" t="n"/>
      <c r="CH9" s="13" t="n"/>
      <c r="CI9" s="13" t="n"/>
      <c r="CJ9" s="13" t="n"/>
      <c r="CK9" s="13" t="n"/>
      <c r="CL9" s="13" t="n"/>
      <c r="CM9" s="13" t="n"/>
      <c r="CN9" s="13" t="n"/>
      <c r="CO9" s="13" t="n"/>
      <c r="CP9" s="13" t="n"/>
      <c r="CQ9" s="13" t="n"/>
    </row>
    <row r="10" hidden="1" customFormat="1" s="13">
      <c r="A10" s="175" t="inlineStr">
        <is>
          <t>I</t>
        </is>
      </c>
      <c r="B10" s="176">
        <f>IF(_epmOfflineCondition_,"C_INTERCO",EPMDimensionType(,A10))</f>
        <v/>
      </c>
      <c r="C10" s="176">
        <f>IF(_epmOfflineCondition_,"I_DUMMY",IF(B10="","",EPMContextMember(,B10)))</f>
        <v/>
      </c>
      <c r="D10" s="176">
        <f>IF(_epmOfflineCondition_,"贸易伙伴无关",EPMMemberDesc(C10))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13" t="n"/>
      <c r="V10" s="13" t="n"/>
      <c r="W10" s="13" t="n"/>
      <c r="X10" s="171" t="n"/>
      <c r="Y10" s="171" t="n"/>
      <c r="Z10" s="13" t="n"/>
      <c r="AA10" s="13" t="n"/>
      <c r="AB10" s="13" t="n"/>
      <c r="AC10" s="13" t="n"/>
      <c r="AD10" s="1235" t="n"/>
      <c r="AE10" s="13" t="n"/>
      <c r="AF10" s="220" t="n"/>
      <c r="AG10" s="13" t="n"/>
      <c r="AH10" s="13" t="n"/>
      <c r="AI10" s="13" t="n"/>
      <c r="AJ10" s="13" t="n"/>
      <c r="AK10" s="13" t="n"/>
      <c r="AL10" s="13" t="n"/>
      <c r="AM10" s="13" t="n"/>
      <c r="AN10" s="13" t="n"/>
      <c r="AO10" s="13" t="n"/>
      <c r="AP10" s="13" t="n"/>
      <c r="AQ10" s="13" t="n"/>
      <c r="AR10" s="13" t="n"/>
      <c r="AS10" s="13" t="n"/>
      <c r="AT10" s="13" t="n"/>
      <c r="AU10" s="13" t="n"/>
      <c r="AV10" s="13" t="n"/>
      <c r="AW10" s="13" t="n"/>
      <c r="AX10" s="13" t="n"/>
      <c r="AY10" s="13" t="n"/>
      <c r="AZ10" s="13" t="n"/>
      <c r="BA10" s="13" t="n"/>
      <c r="BB10" s="13" t="n"/>
      <c r="BC10" s="13" t="n"/>
      <c r="BD10" s="13" t="n"/>
      <c r="BE10" s="13" t="n"/>
      <c r="BF10" s="13" t="n"/>
      <c r="BG10" s="13" t="n"/>
      <c r="BH10" s="13" t="n"/>
      <c r="BI10" s="13" t="n"/>
      <c r="BJ10" s="13" t="n"/>
      <c r="BK10" s="13" t="n"/>
      <c r="BL10" s="13" t="n"/>
      <c r="BM10" s="13" t="n"/>
      <c r="BN10" s="13" t="n"/>
      <c r="BO10" s="13" t="n"/>
      <c r="BP10" s="13" t="n"/>
      <c r="BQ10" s="13" t="n"/>
      <c r="BR10" s="13" t="n"/>
      <c r="BS10" s="13" t="n"/>
      <c r="BT10" s="13" t="n"/>
      <c r="BU10" s="13" t="n"/>
      <c r="BV10" s="13" t="n"/>
      <c r="BW10" s="13" t="n"/>
      <c r="BX10" s="13" t="n"/>
      <c r="BY10" s="13" t="n"/>
      <c r="BZ10" s="13" t="n"/>
      <c r="CA10" s="13" t="n"/>
      <c r="CB10" s="13" t="n"/>
      <c r="CC10" s="13" t="n"/>
      <c r="CD10" s="13" t="n"/>
      <c r="CE10" s="13" t="n"/>
      <c r="CF10" s="13" t="n"/>
      <c r="CG10" s="13" t="n"/>
      <c r="CH10" s="13" t="n"/>
      <c r="CI10" s="13" t="n"/>
      <c r="CJ10" s="13" t="n"/>
      <c r="CK10" s="13" t="n"/>
      <c r="CL10" s="13" t="n"/>
      <c r="CM10" s="13" t="n"/>
      <c r="CN10" s="13" t="n"/>
      <c r="CO10" s="13" t="n"/>
      <c r="CP10" s="13" t="n"/>
      <c r="CQ10" s="13" t="n"/>
    </row>
    <row r="11" hidden="1" customFormat="1" s="13">
      <c r="A11" s="175" t="inlineStr">
        <is>
          <t>G</t>
        </is>
      </c>
      <c r="B11" s="176">
        <f>IF(_epmOfflineCondition_,"C_SCOPE",EPMDimensionType(,A11))</f>
        <v/>
      </c>
      <c r="C11" s="176">
        <f>IF(_epmOfflineCondition_,"G_DUMMY",IF(B11="","",EPMContextMember(,B11)))</f>
        <v/>
      </c>
      <c r="D11" s="176">
        <f>IF(_epmOfflineCondition_,"合并范围无关",EPMMemberDesc(C11))</f>
        <v/>
      </c>
      <c r="E11" s="491">
        <f>IF(OR(RIGHT(C11,1)="P",RIGHT(C11,1)="S"),LEFT(C11,LEN(C11)-1),C11)</f>
        <v/>
      </c>
      <c r="F11" s="13" t="n"/>
      <c r="G11" s="13" t="n"/>
      <c r="H11" s="184" t="inlineStr">
        <is>
          <t xml:space="preserve">本年月 </t>
        </is>
      </c>
      <c r="I11" s="184">
        <f>I3&amp;"."&amp;I8</f>
        <v/>
      </c>
      <c r="J11" s="13" t="n"/>
      <c r="K11" s="13" t="n"/>
      <c r="L11" s="13" t="n"/>
      <c r="M11" s="13" t="n"/>
      <c r="N11" s="13" t="n"/>
      <c r="O11" s="13" t="n"/>
      <c r="P11" s="13" t="n"/>
      <c r="Q11" s="13" t="n"/>
      <c r="R11" s="13" t="n"/>
      <c r="S11" s="1103" t="n"/>
      <c r="T11" s="13" t="n"/>
      <c r="U11" s="13" t="n"/>
      <c r="V11" s="13" t="n"/>
      <c r="W11" s="13" t="n"/>
      <c r="X11" s="171" t="n"/>
      <c r="Y11" s="171" t="n"/>
      <c r="Z11" s="13" t="n"/>
      <c r="AA11" s="13" t="n"/>
      <c r="AB11" s="13" t="n"/>
      <c r="AC11" s="13" t="n"/>
      <c r="AD11" s="1235" t="n"/>
      <c r="AE11" s="13" t="n"/>
      <c r="AF11" s="220" t="n"/>
      <c r="AG11" s="13" t="n"/>
      <c r="AH11" s="13" t="n"/>
      <c r="AI11" s="13" t="n"/>
      <c r="AJ11" s="13" t="n"/>
      <c r="AK11" s="13" t="n"/>
      <c r="AL11" s="13" t="n"/>
      <c r="AM11" s="13" t="n"/>
      <c r="AN11" s="13" t="n"/>
      <c r="AO11" s="13" t="n"/>
      <c r="AP11" s="13" t="n"/>
      <c r="AQ11" s="13" t="n"/>
      <c r="AR11" s="13" t="n"/>
      <c r="AS11" s="13" t="n"/>
      <c r="AT11" s="13" t="n"/>
      <c r="AU11" s="13" t="n"/>
      <c r="AV11" s="13" t="n"/>
      <c r="AW11" s="13" t="n"/>
      <c r="AX11" s="13" t="n"/>
      <c r="AY11" s="13" t="n"/>
      <c r="AZ11" s="13" t="n"/>
      <c r="BA11" s="13" t="n"/>
      <c r="BB11" s="13" t="n"/>
      <c r="BC11" s="13" t="n"/>
      <c r="BD11" s="13" t="n"/>
      <c r="BE11" s="13" t="n"/>
      <c r="BF11" s="13" t="n"/>
      <c r="BG11" s="13" t="n"/>
      <c r="BH11" s="13" t="n"/>
      <c r="BI11" s="13" t="n"/>
      <c r="BJ11" s="13" t="n"/>
      <c r="BK11" s="13" t="n"/>
      <c r="BL11" s="13" t="n"/>
      <c r="BM11" s="13" t="n"/>
      <c r="BN11" s="13" t="n"/>
      <c r="BO11" s="13" t="n"/>
      <c r="BP11" s="13" t="n"/>
      <c r="BQ11" s="13" t="n"/>
      <c r="BR11" s="13" t="n"/>
      <c r="BS11" s="13" t="n"/>
      <c r="BT11" s="13" t="n"/>
      <c r="BU11" s="13" t="n"/>
      <c r="BV11" s="13" t="n"/>
      <c r="BW11" s="13" t="n"/>
      <c r="BX11" s="13" t="n"/>
      <c r="BY11" s="13" t="n"/>
      <c r="BZ11" s="13" t="n"/>
      <c r="CA11" s="13" t="n"/>
      <c r="CB11" s="13" t="n"/>
      <c r="CC11" s="13" t="n"/>
      <c r="CD11" s="13" t="n"/>
      <c r="CE11" s="13" t="n"/>
      <c r="CF11" s="13" t="n"/>
      <c r="CG11" s="13" t="n"/>
      <c r="CH11" s="13" t="n"/>
      <c r="CI11" s="13" t="n"/>
      <c r="CJ11" s="13" t="n"/>
      <c r="CK11" s="13" t="n"/>
      <c r="CL11" s="13" t="n"/>
      <c r="CM11" s="13" t="n"/>
      <c r="CN11" s="13" t="n"/>
      <c r="CO11" s="13" t="n"/>
      <c r="CP11" s="13" t="n"/>
      <c r="CQ11" s="13" t="n"/>
    </row>
    <row r="12" hidden="1" customFormat="1" s="13">
      <c r="A12" s="175" t="inlineStr">
        <is>
          <t>U8</t>
        </is>
      </c>
      <c r="B12" s="176">
        <f>IF(_epmOfflineCondition_,"C_PROJECT",EPMDimensionType(,A12))</f>
        <v/>
      </c>
      <c r="C12" s="176">
        <f>IF(_epmOfflineCondition_,"ZP_ALL",IF(B12="","",EPMContextMember(,B12)))</f>
        <v/>
      </c>
      <c r="D12" s="176">
        <f>IF(_epmOfflineCondition_,"项目合计",EPMMemberDesc(C12))</f>
        <v/>
      </c>
      <c r="E12" s="176" t="n"/>
      <c r="F12" s="13" t="n"/>
      <c r="G12" s="13" t="n"/>
      <c r="H12" s="184" t="inlineStr">
        <is>
          <t>上年月</t>
        </is>
      </c>
      <c r="I12" s="184">
        <f>IF(I8="01",I10&amp;"."&amp;I9,I3&amp;"."&amp;I9)</f>
        <v/>
      </c>
      <c r="J12" s="13" t="n"/>
      <c r="K12" s="13" t="n"/>
      <c r="L12" s="13" t="n"/>
      <c r="M12" s="13" t="n"/>
      <c r="N12" s="13" t="n"/>
      <c r="O12" s="13" t="n"/>
      <c r="P12" s="13" t="n"/>
      <c r="Q12" s="13" t="n"/>
      <c r="R12" s="13" t="n"/>
      <c r="S12" s="1103" t="n"/>
      <c r="T12" s="13" t="n"/>
      <c r="U12" s="13" t="n"/>
      <c r="V12" s="13" t="n"/>
      <c r="W12" s="13" t="n"/>
      <c r="X12" s="171" t="n"/>
      <c r="Y12" s="171" t="n"/>
      <c r="Z12" s="13" t="n"/>
      <c r="AA12" s="13" t="n"/>
      <c r="AB12" s="13" t="n"/>
      <c r="AC12" s="13" t="n"/>
      <c r="AD12" s="1235" t="n"/>
      <c r="AE12" s="13" t="n"/>
      <c r="AF12" s="220" t="n"/>
      <c r="AG12" s="13" t="n"/>
      <c r="AH12" s="13" t="n"/>
      <c r="AI12" s="13" t="n"/>
      <c r="AJ12" s="13" t="n"/>
      <c r="AK12" s="13" t="n"/>
      <c r="AL12" s="13" t="n"/>
      <c r="AM12" s="13" t="n"/>
      <c r="AN12" s="13" t="n"/>
      <c r="AO12" s="13" t="n"/>
      <c r="AP12" s="13" t="n"/>
      <c r="AQ12" s="13" t="n"/>
      <c r="AR12" s="13" t="n"/>
      <c r="AS12" s="13" t="n"/>
      <c r="AT12" s="13" t="n"/>
      <c r="AU12" s="13" t="n"/>
      <c r="AV12" s="13" t="n"/>
      <c r="AW12" s="13" t="n"/>
      <c r="AX12" s="13" t="n"/>
      <c r="AY12" s="13" t="n"/>
      <c r="AZ12" s="13" t="n"/>
      <c r="BA12" s="13" t="n"/>
      <c r="BB12" s="13" t="n"/>
      <c r="BC12" s="13" t="n"/>
      <c r="BD12" s="13" t="n"/>
      <c r="BE12" s="13" t="n"/>
      <c r="BF12" s="13" t="n"/>
      <c r="BG12" s="13" t="n"/>
      <c r="BH12" s="13" t="n"/>
      <c r="BI12" s="13" t="n"/>
      <c r="BJ12" s="13" t="n"/>
      <c r="BK12" s="13" t="n"/>
      <c r="BL12" s="13" t="n"/>
      <c r="BM12" s="13" t="n"/>
      <c r="BN12" s="13" t="n"/>
      <c r="BO12" s="13" t="n"/>
      <c r="BP12" s="13" t="n"/>
      <c r="BQ12" s="13" t="n"/>
      <c r="BR12" s="13" t="n"/>
      <c r="BS12" s="13" t="n"/>
      <c r="BT12" s="13" t="n"/>
      <c r="BU12" s="13" t="n"/>
      <c r="BV12" s="13" t="n"/>
      <c r="BW12" s="13" t="n"/>
      <c r="BX12" s="13" t="n"/>
      <c r="BY12" s="13" t="n"/>
      <c r="BZ12" s="13" t="n"/>
      <c r="CA12" s="13" t="n"/>
      <c r="CB12" s="13" t="n"/>
      <c r="CC12" s="13" t="n"/>
      <c r="CD12" s="13" t="n"/>
      <c r="CE12" s="13" t="n"/>
      <c r="CF12" s="13" t="n"/>
      <c r="CG12" s="13" t="n"/>
      <c r="CH12" s="13" t="n"/>
      <c r="CI12" s="13" t="n"/>
      <c r="CJ12" s="13" t="n"/>
      <c r="CK12" s="13" t="n"/>
      <c r="CL12" s="13" t="n"/>
      <c r="CM12" s="13" t="n"/>
      <c r="CN12" s="13" t="n"/>
      <c r="CO12" s="13" t="n"/>
      <c r="CP12" s="13" t="n"/>
      <c r="CQ12" s="13" t="n"/>
    </row>
    <row r="13" hidden="1" customFormat="1" s="13">
      <c r="A13" s="175" t="inlineStr">
        <is>
          <t>U9</t>
        </is>
      </c>
      <c r="B13" s="176">
        <f>IF(_epmOfflineCondition_,"C_ITEM",EPMDimensionType(,A13))</f>
        <v/>
      </c>
      <c r="C13" s="176">
        <f>IF(_epmOfflineCondition_,"ZI_ALL",IF(B13="","",EPMContextMember(,B13)))</f>
        <v/>
      </c>
      <c r="D13" s="176">
        <f>IF(_epmOfflineCondition_,"全部ITEM",EPMMemberDesc(C13))</f>
        <v/>
      </c>
      <c r="E13" s="176" t="n"/>
      <c r="F13" s="13" t="n"/>
      <c r="G13" s="13" t="n"/>
      <c r="H13" s="184" t="inlineStr">
        <is>
          <t xml:space="preserve">上年同期 </t>
        </is>
      </c>
      <c r="I13" s="184">
        <f>I10&amp;"."&amp;I8</f>
        <v/>
      </c>
      <c r="J13" s="13" t="n"/>
      <c r="K13" s="13" t="n"/>
      <c r="L13" s="13" t="n"/>
      <c r="M13" s="13" t="n"/>
      <c r="N13" s="13" t="n"/>
      <c r="O13" s="13" t="n"/>
      <c r="P13" s="13" t="n"/>
      <c r="Q13" s="13" t="n"/>
      <c r="R13" s="13" t="n"/>
      <c r="S13" s="1103" t="n"/>
      <c r="T13" s="13" t="n"/>
      <c r="U13" s="13" t="n"/>
      <c r="V13" s="13" t="n"/>
      <c r="W13" s="13" t="n"/>
      <c r="X13" s="171" t="n"/>
      <c r="Y13" s="171" t="n"/>
      <c r="Z13" s="13" t="n"/>
      <c r="AA13" s="13" t="n"/>
      <c r="AB13" s="13" t="n"/>
      <c r="AC13" s="13" t="n"/>
      <c r="AD13" s="1235" t="n"/>
      <c r="AE13" s="13" t="n"/>
      <c r="AF13" s="220" t="n"/>
      <c r="AG13" s="13" t="n"/>
      <c r="AH13" s="13" t="n"/>
      <c r="AI13" s="13" t="n"/>
      <c r="AJ13" s="13" t="n"/>
      <c r="AK13" s="13" t="n"/>
      <c r="AL13" s="13" t="n"/>
      <c r="AM13" s="13" t="n"/>
      <c r="AN13" s="13" t="n"/>
      <c r="AO13" s="13" t="n"/>
      <c r="AP13" s="13" t="n"/>
      <c r="AQ13" s="13" t="n"/>
      <c r="AR13" s="13" t="n"/>
      <c r="AS13" s="13" t="n"/>
      <c r="AT13" s="13" t="n"/>
      <c r="AU13" s="13" t="n"/>
      <c r="AV13" s="13" t="n"/>
      <c r="AW13" s="13" t="n"/>
      <c r="AX13" s="13" t="n"/>
      <c r="AY13" s="13" t="n"/>
      <c r="AZ13" s="13" t="n"/>
      <c r="BA13" s="13" t="n"/>
      <c r="BB13" s="13" t="n"/>
      <c r="BC13" s="13" t="n"/>
      <c r="BD13" s="13" t="n"/>
      <c r="BE13" s="13" t="n"/>
      <c r="BF13" s="13" t="n"/>
      <c r="BG13" s="13" t="n"/>
      <c r="BH13" s="13" t="n"/>
      <c r="BI13" s="13" t="n"/>
      <c r="BJ13" s="13" t="n"/>
      <c r="BK13" s="13" t="n"/>
      <c r="BL13" s="13" t="n"/>
      <c r="BM13" s="13" t="n"/>
      <c r="BN13" s="13" t="n"/>
      <c r="BO13" s="13" t="n"/>
      <c r="BP13" s="13" t="n"/>
      <c r="BQ13" s="13" t="n"/>
      <c r="BR13" s="13" t="n"/>
      <c r="BS13" s="13" t="n"/>
      <c r="BT13" s="13" t="n"/>
      <c r="BU13" s="13" t="n"/>
      <c r="BV13" s="13" t="n"/>
      <c r="BW13" s="13" t="n"/>
      <c r="BX13" s="13" t="n"/>
      <c r="BY13" s="13" t="n"/>
      <c r="BZ13" s="13" t="n"/>
      <c r="CA13" s="13" t="n"/>
      <c r="CB13" s="13" t="n"/>
      <c r="CC13" s="13" t="n"/>
      <c r="CD13" s="13" t="n"/>
      <c r="CE13" s="13" t="n"/>
      <c r="CF13" s="13" t="n"/>
      <c r="CG13" s="13" t="n"/>
      <c r="CH13" s="13" t="n"/>
      <c r="CI13" s="13" t="n"/>
      <c r="CJ13" s="13" t="n"/>
      <c r="CK13" s="13" t="n"/>
      <c r="CL13" s="13" t="n"/>
      <c r="CM13" s="13" t="n"/>
      <c r="CN13" s="13" t="n"/>
      <c r="CO13" s="13" t="n"/>
      <c r="CP13" s="13" t="n"/>
      <c r="CQ13" s="13" t="n"/>
    </row>
    <row r="14" hidden="1" customFormat="1" s="13">
      <c r="A14" s="175" t="inlineStr">
        <is>
          <t>U10</t>
        </is>
      </c>
      <c r="B14" s="176">
        <f>IF(_epmOfflineCondition_,"C_MISK",EPMDimensionType(,A14))</f>
        <v/>
      </c>
      <c r="C14" s="176">
        <f>IF(_epmOfflineCondition_,"ZM_ALL",IF(B14="","",EPMContextMember(,B14)))</f>
        <v/>
      </c>
      <c r="D14" s="176">
        <f>IF(_epmOfflineCondition_,"ALL",EPMMemberDesc(C14))</f>
        <v/>
      </c>
      <c r="E14" s="176" t="n"/>
      <c r="F14" s="13" t="n"/>
      <c r="G14" s="13" t="n"/>
      <c r="H14" s="184" t="inlineStr">
        <is>
          <t>上年月</t>
        </is>
      </c>
      <c r="I14" s="184">
        <f>IF(I8="01",I11,I3&amp;"."&amp;I9)</f>
        <v/>
      </c>
      <c r="J14" s="13" t="inlineStr">
        <is>
          <t>1月时本月数取1月</t>
        </is>
      </c>
      <c r="K14" s="13" t="n"/>
      <c r="L14" s="13" t="n"/>
      <c r="M14" s="13" t="n"/>
      <c r="N14" s="13" t="n"/>
      <c r="O14" s="13" t="n"/>
      <c r="P14" s="13" t="n"/>
      <c r="Q14" s="13" t="n"/>
      <c r="R14" s="13" t="n"/>
      <c r="S14" s="1103" t="n"/>
      <c r="T14" s="13" t="n"/>
      <c r="U14" s="13" t="n"/>
      <c r="V14" s="13" t="n"/>
      <c r="W14" s="13" t="n"/>
      <c r="X14" s="171" t="n"/>
      <c r="Y14" s="171" t="n"/>
      <c r="Z14" s="13" t="n"/>
      <c r="AA14" s="13" t="n"/>
      <c r="AB14" s="13" t="n"/>
      <c r="AC14" s="13" t="n"/>
      <c r="AD14" s="1235" t="n"/>
      <c r="AE14" s="13" t="n"/>
      <c r="AF14" s="220" t="n"/>
      <c r="AG14" s="13" t="n"/>
      <c r="AH14" s="13" t="n"/>
      <c r="AI14" s="13" t="n"/>
      <c r="AJ14" s="13" t="n"/>
      <c r="AK14" s="13" t="n"/>
      <c r="AL14" s="13" t="n"/>
      <c r="AM14" s="13" t="n"/>
      <c r="AN14" s="13" t="n"/>
      <c r="AO14" s="13" t="n"/>
      <c r="AP14" s="13" t="n"/>
      <c r="AQ14" s="13" t="n"/>
      <c r="AR14" s="13" t="n"/>
      <c r="AS14" s="13" t="n"/>
      <c r="AT14" s="13" t="n"/>
      <c r="AU14" s="13" t="n"/>
      <c r="AV14" s="13" t="n"/>
      <c r="AW14" s="13" t="n"/>
      <c r="AX14" s="13" t="n"/>
      <c r="AY14" s="13" t="n"/>
      <c r="AZ14" s="13" t="n"/>
      <c r="BA14" s="13" t="n"/>
      <c r="BB14" s="13" t="n"/>
      <c r="BC14" s="13" t="n"/>
      <c r="BD14" s="13" t="n"/>
      <c r="BE14" s="13" t="n"/>
      <c r="BF14" s="13" t="n"/>
      <c r="BG14" s="13" t="n"/>
      <c r="BH14" s="13" t="n"/>
      <c r="BI14" s="13" t="n"/>
      <c r="BJ14" s="13" t="n"/>
      <c r="BK14" s="13" t="n"/>
      <c r="BL14" s="13" t="n"/>
      <c r="BM14" s="13" t="n"/>
      <c r="BN14" s="13" t="n"/>
      <c r="BO14" s="13" t="n"/>
      <c r="BP14" s="13" t="n"/>
      <c r="BQ14" s="13" t="n"/>
      <c r="BR14" s="13" t="n"/>
      <c r="BS14" s="13" t="n"/>
      <c r="BT14" s="13" t="n"/>
      <c r="BU14" s="13" t="n"/>
      <c r="BV14" s="13" t="n"/>
      <c r="BW14" s="13" t="n"/>
      <c r="BX14" s="13" t="n"/>
      <c r="BY14" s="13" t="n"/>
      <c r="BZ14" s="13" t="n"/>
      <c r="CA14" s="13" t="n"/>
      <c r="CB14" s="13" t="n"/>
      <c r="CC14" s="13" t="n"/>
      <c r="CD14" s="13" t="n"/>
      <c r="CE14" s="13" t="n"/>
      <c r="CF14" s="13" t="n"/>
      <c r="CG14" s="13" t="n"/>
      <c r="CH14" s="13" t="n"/>
      <c r="CI14" s="13" t="n"/>
      <c r="CJ14" s="13" t="n"/>
      <c r="CK14" s="13" t="n"/>
      <c r="CL14" s="13" t="n"/>
      <c r="CM14" s="13" t="n"/>
      <c r="CN14" s="13" t="n"/>
      <c r="CO14" s="13" t="n"/>
      <c r="CP14" s="13" t="n"/>
      <c r="CQ14" s="13" t="n"/>
    </row>
    <row r="15" hidden="1" customFormat="1" s="13">
      <c r="A15" s="13" t="n"/>
      <c r="B15" s="1103" t="n"/>
      <c r="C15" s="1103" t="n"/>
      <c r="D15" s="1103" t="n"/>
      <c r="E15" s="13" t="n"/>
      <c r="F15" s="13" t="n"/>
      <c r="G15" s="13" t="n"/>
      <c r="H15" s="13" t="n"/>
      <c r="I15" s="13" t="n"/>
      <c r="J15" s="13" t="n"/>
      <c r="K15" s="13" t="n"/>
      <c r="L15" s="13" t="n"/>
      <c r="M15" s="13" t="n"/>
      <c r="N15" s="13" t="n"/>
      <c r="O15" s="13" t="n"/>
      <c r="P15" s="13" t="n"/>
      <c r="Q15" s="13" t="n"/>
      <c r="R15" s="13" t="n"/>
      <c r="S15" s="1103" t="n"/>
      <c r="T15" s="13" t="n"/>
      <c r="U15" s="13" t="n"/>
      <c r="V15" s="13" t="n"/>
      <c r="W15" s="13" t="n"/>
      <c r="X15" s="171" t="n"/>
      <c r="Y15" s="171" t="n"/>
      <c r="Z15" s="13" t="n"/>
      <c r="AA15" s="13" t="n"/>
      <c r="AB15" s="13" t="n"/>
      <c r="AC15" s="13" t="n"/>
      <c r="AD15" s="1235" t="n"/>
      <c r="AE15" s="13" t="n"/>
      <c r="AF15" s="220" t="n"/>
      <c r="AG15" s="13" t="n"/>
      <c r="AH15" s="13" t="n"/>
      <c r="AI15" s="13" t="n"/>
      <c r="AJ15" s="13" t="n"/>
      <c r="AK15" s="13" t="n"/>
      <c r="AL15" s="13" t="n"/>
      <c r="AM15" s="13" t="n"/>
      <c r="AN15" s="13" t="n"/>
      <c r="AO15" s="13" t="n"/>
      <c r="AP15" s="13" t="n"/>
      <c r="AQ15" s="13" t="n"/>
      <c r="AR15" s="13" t="n"/>
      <c r="AS15" s="13" t="n"/>
      <c r="AT15" s="13" t="n"/>
      <c r="AU15" s="13" t="n"/>
      <c r="AV15" s="13" t="n"/>
      <c r="AW15" s="13" t="n"/>
      <c r="AX15" s="13" t="n"/>
      <c r="AY15" s="13" t="n"/>
      <c r="AZ15" s="13" t="n"/>
      <c r="BA15" s="13" t="n"/>
      <c r="BB15" s="13" t="n"/>
      <c r="BC15" s="13" t="n"/>
      <c r="BD15" s="13" t="n"/>
      <c r="BE15" s="13" t="n"/>
      <c r="BF15" s="13" t="n"/>
      <c r="BG15" s="13" t="n"/>
      <c r="BH15" s="13" t="n"/>
      <c r="BI15" s="13" t="n"/>
      <c r="BJ15" s="13" t="n"/>
      <c r="BK15" s="13" t="n"/>
      <c r="BL15" s="13" t="n"/>
      <c r="BM15" s="13" t="n"/>
      <c r="BN15" s="13" t="n"/>
      <c r="BO15" s="13" t="n"/>
      <c r="BP15" s="13" t="n"/>
      <c r="BQ15" s="13" t="n"/>
      <c r="BR15" s="13" t="n"/>
      <c r="BS15" s="13" t="n"/>
      <c r="BT15" s="13" t="n"/>
      <c r="BU15" s="13" t="n"/>
      <c r="BV15" s="13" t="n"/>
      <c r="BW15" s="13" t="n"/>
      <c r="BX15" s="13" t="n"/>
      <c r="BY15" s="13" t="n"/>
      <c r="BZ15" s="13" t="n"/>
      <c r="CA15" s="13" t="n"/>
      <c r="CB15" s="13" t="n"/>
      <c r="CC15" s="13" t="n"/>
      <c r="CD15" s="13" t="n"/>
      <c r="CE15" s="13" t="n"/>
      <c r="CF15" s="13" t="n"/>
      <c r="CG15" s="13" t="n"/>
      <c r="CH15" s="13" t="n"/>
      <c r="CI15" s="13" t="n"/>
      <c r="CJ15" s="13" t="n"/>
      <c r="CK15" s="13" t="n"/>
      <c r="CL15" s="13" t="n"/>
      <c r="CM15" s="13" t="n"/>
      <c r="CN15" s="13" t="n"/>
      <c r="CO15" s="13" t="n"/>
      <c r="CP15" s="13" t="n"/>
      <c r="CQ15" s="13" t="n"/>
    </row>
    <row r="16" hidden="1" customFormat="1" s="13">
      <c r="A16" s="13" t="n"/>
      <c r="B16" s="13" t="n"/>
      <c r="C16" s="13" t="n"/>
      <c r="D16" s="174" t="inlineStr">
        <is>
          <t>页轴</t>
        </is>
      </c>
      <c r="E16" s="1183" t="n"/>
      <c r="F16" s="13" t="n"/>
      <c r="G16" s="185">
        <f>E11</f>
        <v/>
      </c>
      <c r="H16" s="492" t="inlineStr">
        <is>
          <t>LC</t>
        </is>
      </c>
      <c r="I16" s="13" t="n"/>
      <c r="J16" s="13" t="n"/>
      <c r="K16" s="13" t="n"/>
      <c r="L16" s="13" t="n"/>
      <c r="M16" s="13" t="n"/>
      <c r="N16" s="13" t="n"/>
      <c r="O16" s="13" t="n"/>
      <c r="P16" s="13" t="n"/>
      <c r="Q16" s="13" t="n"/>
      <c r="R16" s="13" t="n"/>
      <c r="S16" s="1103" t="n"/>
      <c r="T16" s="13" t="n"/>
      <c r="U16" s="13" t="n"/>
      <c r="V16" s="13" t="n"/>
      <c r="W16" s="13" t="n"/>
      <c r="X16" s="171" t="n"/>
      <c r="Y16" s="171" t="n"/>
      <c r="Z16" s="13" t="n"/>
      <c r="AA16" s="13" t="n"/>
      <c r="AB16" s="13" t="n"/>
      <c r="AC16" s="13" t="n"/>
      <c r="AD16" s="1235" t="n"/>
      <c r="AE16" s="13" t="n"/>
      <c r="AF16" s="220" t="n"/>
      <c r="AG16" s="13" t="n"/>
      <c r="AH16" s="13" t="n"/>
      <c r="AI16" s="13" t="n"/>
      <c r="AJ16" s="13" t="n"/>
      <c r="AK16" s="13" t="n"/>
      <c r="AL16" s="13" t="n"/>
      <c r="AM16" s="13" t="n"/>
      <c r="AN16" s="13" t="n"/>
      <c r="AO16" s="13" t="n"/>
      <c r="AP16" s="13" t="n"/>
      <c r="AQ16" s="13" t="n"/>
      <c r="AR16" s="13" t="n"/>
      <c r="AS16" s="13" t="n"/>
      <c r="AT16" s="13" t="n"/>
      <c r="AU16" s="13" t="n"/>
      <c r="AV16" s="13" t="n"/>
      <c r="AW16" s="13" t="n"/>
      <c r="AX16" s="13" t="n"/>
      <c r="AY16" s="13" t="n"/>
      <c r="AZ16" s="13" t="n"/>
      <c r="BA16" s="13" t="n"/>
      <c r="BB16" s="13" t="n"/>
      <c r="BC16" s="13" t="n"/>
      <c r="BD16" s="13" t="n"/>
      <c r="BE16" s="13" t="n"/>
      <c r="BF16" s="13" t="n"/>
      <c r="BG16" s="13" t="n"/>
      <c r="BH16" s="13" t="n"/>
      <c r="BI16" s="13" t="n"/>
      <c r="BJ16" s="13" t="n"/>
      <c r="BK16" s="13" t="n"/>
      <c r="BL16" s="13" t="n"/>
      <c r="BM16" s="13" t="n"/>
      <c r="BN16" s="13" t="n"/>
      <c r="BO16" s="13" t="n"/>
      <c r="BP16" s="13" t="n"/>
      <c r="BQ16" s="13" t="n"/>
      <c r="BR16" s="13" t="n"/>
      <c r="BS16" s="13" t="n"/>
      <c r="BT16" s="13" t="n"/>
      <c r="BU16" s="13" t="n"/>
      <c r="BV16" s="13" t="n"/>
      <c r="BW16" s="13" t="n"/>
      <c r="BX16" s="13" t="n"/>
      <c r="BY16" s="13" t="n"/>
      <c r="BZ16" s="13" t="n"/>
      <c r="CA16" s="13" t="n"/>
      <c r="CB16" s="13" t="n"/>
      <c r="CC16" s="13" t="n"/>
      <c r="CD16" s="13" t="n"/>
      <c r="CE16" s="13" t="n"/>
      <c r="CF16" s="13" t="n"/>
      <c r="CG16" s="13" t="n"/>
      <c r="CH16" s="13" t="n"/>
      <c r="CI16" s="13" t="n"/>
      <c r="CJ16" s="13" t="n"/>
      <c r="CK16" s="13" t="n"/>
      <c r="CL16" s="13" t="n"/>
      <c r="CM16" s="13" t="n"/>
      <c r="CN16" s="13" t="n"/>
      <c r="CO16" s="13" t="n"/>
      <c r="CP16" s="13" t="n"/>
      <c r="CQ16" s="13" t="n"/>
    </row>
    <row r="17" hidden="1" customFormat="1" s="13">
      <c r="A17" s="174" t="inlineStr">
        <is>
          <t>维度类型</t>
        </is>
      </c>
      <c r="B17" s="174" t="inlineStr">
        <is>
          <t>维度</t>
        </is>
      </c>
      <c r="C17" s="178" t="inlineStr">
        <is>
          <t>页轴替换</t>
        </is>
      </c>
      <c r="D17" s="174" t="inlineStr">
        <is>
          <t>报表001</t>
        </is>
      </c>
      <c r="E17" s="174" t="inlineStr">
        <is>
          <t>报表002</t>
        </is>
      </c>
      <c r="F17" s="13" t="n"/>
      <c r="G17" s="185">
        <f>IF(_epmOfflineCondition_,"E_DUMMY",EPMMemberProperty(,G16,"GENTITY"))</f>
        <v/>
      </c>
      <c r="H17" s="492" t="inlineStr">
        <is>
          <t>CNY</t>
        </is>
      </c>
      <c r="I17" s="13" t="n"/>
      <c r="J17" s="13" t="n"/>
      <c r="K17" s="13" t="n"/>
      <c r="L17" s="13" t="n"/>
      <c r="M17" s="13" t="n"/>
      <c r="N17" s="13" t="n"/>
      <c r="O17" s="13" t="n"/>
      <c r="P17" s="13" t="n"/>
      <c r="Q17" s="13" t="n"/>
      <c r="R17" s="13" t="n"/>
      <c r="S17" s="1103" t="n"/>
      <c r="T17" s="13" t="n"/>
      <c r="U17" s="13" t="n"/>
      <c r="V17" s="13" t="n"/>
      <c r="W17" s="13" t="n"/>
      <c r="X17" s="171" t="n"/>
      <c r="Y17" s="171" t="n"/>
      <c r="Z17" s="13" t="n"/>
      <c r="AA17" s="13" t="n"/>
      <c r="AB17" s="13" t="n"/>
      <c r="AC17" s="13" t="n"/>
      <c r="AD17" s="1235" t="n"/>
      <c r="AE17" s="13" t="n"/>
      <c r="AF17" s="220" t="n"/>
      <c r="AG17" s="13" t="n"/>
      <c r="AH17" s="13" t="n"/>
      <c r="AI17" s="13" t="n"/>
      <c r="AJ17" s="13" t="n"/>
      <c r="AK17" s="13" t="n"/>
      <c r="AL17" s="13" t="n"/>
      <c r="AM17" s="13" t="n"/>
      <c r="AN17" s="13" t="n"/>
      <c r="AO17" s="13" t="n"/>
      <c r="AP17" s="13" t="n"/>
      <c r="AQ17" s="13" t="n"/>
      <c r="AR17" s="13" t="n"/>
      <c r="AS17" s="13" t="n"/>
      <c r="AT17" s="13" t="n"/>
      <c r="AU17" s="13" t="n"/>
      <c r="AV17" s="13" t="n"/>
      <c r="AW17" s="13" t="n"/>
      <c r="AX17" s="13" t="n"/>
      <c r="AY17" s="13" t="n"/>
      <c r="AZ17" s="13" t="n"/>
      <c r="BA17" s="13" t="n"/>
      <c r="BB17" s="13" t="n"/>
      <c r="BC17" s="13" t="n"/>
      <c r="BD17" s="13" t="n"/>
      <c r="BE17" s="13" t="n"/>
      <c r="BF17" s="13" t="n"/>
      <c r="BG17" s="13" t="n"/>
      <c r="BH17" s="13" t="n"/>
      <c r="BI17" s="13" t="n"/>
      <c r="BJ17" s="13" t="n"/>
      <c r="BK17" s="13" t="n"/>
      <c r="BL17" s="13" t="n"/>
      <c r="BM17" s="13" t="n"/>
      <c r="BN17" s="13" t="n"/>
      <c r="BO17" s="13" t="n"/>
      <c r="BP17" s="13" t="n"/>
      <c r="BQ17" s="13" t="n"/>
      <c r="BR17" s="13" t="n"/>
      <c r="BS17" s="13" t="n"/>
      <c r="BT17" s="13" t="n"/>
      <c r="BU17" s="13" t="n"/>
      <c r="BV17" s="13" t="n"/>
      <c r="BW17" s="13" t="n"/>
      <c r="BX17" s="13" t="n"/>
      <c r="BY17" s="13" t="n"/>
      <c r="BZ17" s="13" t="n"/>
      <c r="CA17" s="13" t="n"/>
      <c r="CB17" s="13" t="n"/>
      <c r="CC17" s="13" t="n"/>
      <c r="CD17" s="13" t="n"/>
      <c r="CE17" s="13" t="n"/>
      <c r="CF17" s="13" t="n"/>
      <c r="CG17" s="13" t="n"/>
      <c r="CH17" s="13" t="n"/>
      <c r="CI17" s="13" t="n"/>
      <c r="CJ17" s="13" t="n"/>
      <c r="CK17" s="13" t="n"/>
      <c r="CL17" s="13" t="n"/>
      <c r="CM17" s="13" t="n"/>
      <c r="CN17" s="13" t="n"/>
      <c r="CO17" s="13" t="n"/>
      <c r="CP17" s="13" t="n"/>
      <c r="CQ17" s="13" t="n"/>
    </row>
    <row r="18" hidden="1" customFormat="1" s="13">
      <c r="A18" s="175" t="inlineStr">
        <is>
          <t>A</t>
        </is>
      </c>
      <c r="B18" s="176">
        <f>IF(_epmOfflineCondition_,"C_ACCOUNT",EPMDimensionType(,A18))</f>
        <v/>
      </c>
      <c r="C18" s="182" t="inlineStr">
        <is>
          <t>A_NOUSED</t>
        </is>
      </c>
      <c r="D18" s="180" t="n"/>
      <c r="E18" s="180" t="n"/>
      <c r="F18" s="13" t="n"/>
      <c r="G18" s="185">
        <f>IF(G16="G_DUMMY",C6,G17)</f>
        <v/>
      </c>
      <c r="H18" s="492" t="n"/>
      <c r="I18" s="13" t="n"/>
      <c r="J18" s="13" t="n"/>
      <c r="K18" s="13" t="n"/>
      <c r="L18" s="13" t="n"/>
      <c r="M18" s="13" t="n"/>
      <c r="N18" s="13" t="n"/>
      <c r="O18" s="13" t="n"/>
      <c r="P18" s="13" t="n"/>
      <c r="Q18" s="13" t="n"/>
      <c r="R18" s="13" t="n"/>
      <c r="S18" s="1103" t="n"/>
      <c r="T18" s="13" t="n"/>
      <c r="U18" s="13" t="n"/>
      <c r="V18" s="13" t="n"/>
      <c r="W18" s="13" t="n"/>
      <c r="X18" s="171" t="n"/>
      <c r="Y18" s="171" t="n"/>
      <c r="Z18" s="13" t="n"/>
      <c r="AA18" s="13" t="n"/>
      <c r="AB18" s="13" t="n"/>
      <c r="AC18" s="13" t="n"/>
      <c r="AD18" s="1235" t="n"/>
      <c r="AE18" s="13" t="n"/>
      <c r="AF18" s="220" t="n"/>
      <c r="AG18" s="13" t="n"/>
      <c r="AH18" s="13" t="n"/>
      <c r="AI18" s="13" t="n"/>
      <c r="AJ18" s="13" t="n"/>
      <c r="AK18" s="13" t="n"/>
      <c r="AL18" s="13" t="n"/>
      <c r="AM18" s="13" t="n"/>
      <c r="AN18" s="13" t="n"/>
      <c r="AO18" s="13" t="n"/>
      <c r="AP18" s="13" t="n"/>
      <c r="AQ18" s="13" t="n"/>
      <c r="AR18" s="13" t="n"/>
      <c r="AS18" s="13" t="n"/>
      <c r="AT18" s="13" t="n"/>
      <c r="AU18" s="13" t="n"/>
      <c r="AV18" s="13" t="n"/>
      <c r="AW18" s="13" t="n"/>
      <c r="AX18" s="13" t="n"/>
      <c r="AY18" s="13" t="n"/>
      <c r="AZ18" s="13" t="n"/>
      <c r="BA18" s="13" t="n"/>
      <c r="BB18" s="13" t="n"/>
      <c r="BC18" s="13" t="n"/>
      <c r="BD18" s="13" t="n"/>
      <c r="BE18" s="13" t="n"/>
      <c r="BF18" s="13" t="n"/>
      <c r="BG18" s="13" t="n"/>
      <c r="BH18" s="13" t="n"/>
      <c r="BI18" s="13" t="n"/>
      <c r="BJ18" s="13" t="n"/>
      <c r="BK18" s="13" t="n"/>
      <c r="BL18" s="13" t="n"/>
      <c r="BM18" s="13" t="n"/>
      <c r="BN18" s="13" t="n"/>
      <c r="BO18" s="13" t="n"/>
      <c r="BP18" s="13" t="n"/>
      <c r="BQ18" s="13" t="n"/>
      <c r="BR18" s="13" t="n"/>
      <c r="BS18" s="13" t="n"/>
      <c r="BT18" s="13" t="n"/>
      <c r="BU18" s="13" t="n"/>
      <c r="BV18" s="13" t="n"/>
      <c r="BW18" s="13" t="n"/>
      <c r="BX18" s="13" t="n"/>
      <c r="BY18" s="13" t="n"/>
      <c r="BZ18" s="13" t="n"/>
      <c r="CA18" s="13" t="n"/>
      <c r="CB18" s="13" t="n"/>
      <c r="CC18" s="13" t="n"/>
      <c r="CD18" s="13" t="n"/>
      <c r="CE18" s="13" t="n"/>
      <c r="CF18" s="13" t="n"/>
      <c r="CG18" s="13" t="n"/>
      <c r="CH18" s="13" t="n"/>
      <c r="CI18" s="13" t="n"/>
      <c r="CJ18" s="13" t="n"/>
      <c r="CK18" s="13" t="n"/>
      <c r="CL18" s="13" t="n"/>
      <c r="CM18" s="13" t="n"/>
      <c r="CN18" s="13" t="n"/>
      <c r="CO18" s="13" t="n"/>
      <c r="CP18" s="13" t="n"/>
      <c r="CQ18" s="13" t="n"/>
    </row>
    <row r="19" hidden="1" customFormat="1" s="13">
      <c r="A19" s="175" t="inlineStr">
        <is>
          <t>C</t>
        </is>
      </c>
      <c r="B19" s="176">
        <f>IF(_epmOfflineCondition_,"C_CATEGORY",EPMDimensionType(,A19))</f>
        <v/>
      </c>
      <c r="C19" s="182" t="inlineStr">
        <is>
          <t>C_DUMMY</t>
        </is>
      </c>
      <c r="D19" s="180" t="n"/>
      <c r="E19" s="180" t="n"/>
      <c r="F19" s="13" t="n"/>
      <c r="G19" s="13">
        <f>LEFT(G17,7)</f>
        <v/>
      </c>
      <c r="H19" s="13" t="n"/>
      <c r="I19" s="13" t="n"/>
      <c r="J19" s="13" t="n"/>
      <c r="K19" s="13" t="n"/>
      <c r="L19" s="13" t="n"/>
      <c r="M19" s="13" t="n"/>
      <c r="N19" s="13" t="n"/>
      <c r="O19" s="13" t="n"/>
      <c r="P19" s="13" t="n"/>
      <c r="Q19" s="13" t="n"/>
      <c r="R19" s="13" t="n"/>
      <c r="S19" s="1103" t="n"/>
      <c r="T19" s="13" t="n"/>
      <c r="U19" s="13" t="n"/>
      <c r="V19" s="13" t="n"/>
      <c r="W19" s="13" t="n"/>
      <c r="X19" s="171" t="n"/>
      <c r="Y19" s="171" t="n"/>
      <c r="Z19" s="13" t="n"/>
      <c r="AA19" s="13" t="n"/>
      <c r="AB19" s="13" t="n"/>
      <c r="AC19" s="13" t="n"/>
      <c r="AD19" s="1235" t="n"/>
      <c r="AE19" s="13" t="n"/>
      <c r="AF19" s="220" t="n"/>
      <c r="AG19" s="13" t="n"/>
      <c r="AH19" s="13" t="n"/>
      <c r="AI19" s="13" t="n"/>
      <c r="AJ19" s="13" t="n"/>
      <c r="AK19" s="13" t="n"/>
      <c r="AL19" s="13" t="n"/>
      <c r="AM19" s="13" t="n"/>
      <c r="AN19" s="13" t="n"/>
      <c r="AO19" s="13" t="n"/>
      <c r="AP19" s="13" t="n"/>
      <c r="AQ19" s="13" t="n"/>
      <c r="AR19" s="13" t="n"/>
      <c r="AS19" s="13" t="n"/>
      <c r="AT19" s="13" t="n"/>
      <c r="AU19" s="13" t="n"/>
      <c r="AV19" s="13" t="n"/>
      <c r="AW19" s="13" t="n"/>
      <c r="AX19" s="13" t="n"/>
      <c r="AY19" s="13" t="n"/>
      <c r="AZ19" s="13" t="n"/>
      <c r="BA19" s="13" t="n"/>
      <c r="BB19" s="13" t="n"/>
      <c r="BC19" s="13" t="n"/>
      <c r="BD19" s="13" t="n"/>
      <c r="BE19" s="13" t="n"/>
      <c r="BF19" s="13" t="n"/>
      <c r="BG19" s="13" t="n"/>
      <c r="BH19" s="13" t="n"/>
      <c r="BI19" s="13" t="n"/>
      <c r="BJ19" s="13" t="n"/>
      <c r="BK19" s="13" t="n"/>
      <c r="BL19" s="13" t="n"/>
      <c r="BM19" s="13" t="n"/>
      <c r="BN19" s="13" t="n"/>
      <c r="BO19" s="13" t="n"/>
      <c r="BP19" s="13" t="n"/>
      <c r="BQ19" s="13" t="n"/>
      <c r="BR19" s="13" t="n"/>
      <c r="BS19" s="13" t="n"/>
      <c r="BT19" s="13" t="n"/>
      <c r="BU19" s="13" t="n"/>
      <c r="BV19" s="13" t="n"/>
      <c r="BW19" s="13" t="n"/>
      <c r="BX19" s="13" t="n"/>
      <c r="BY19" s="13" t="n"/>
      <c r="BZ19" s="13" t="n"/>
      <c r="CA19" s="13" t="n"/>
      <c r="CB19" s="13" t="n"/>
      <c r="CC19" s="13" t="n"/>
      <c r="CD19" s="13" t="n"/>
      <c r="CE19" s="13" t="n"/>
      <c r="CF19" s="13" t="n"/>
      <c r="CG19" s="13" t="n"/>
      <c r="CH19" s="13" t="n"/>
      <c r="CI19" s="13" t="n"/>
      <c r="CJ19" s="13" t="n"/>
      <c r="CK19" s="13" t="n"/>
      <c r="CL19" s="13" t="n"/>
      <c r="CM19" s="13" t="n"/>
      <c r="CN19" s="13" t="n"/>
      <c r="CO19" s="13" t="n"/>
      <c r="CP19" s="13" t="n"/>
      <c r="CQ19" s="13" t="n"/>
    </row>
    <row r="20" hidden="1" customFormat="1" s="13">
      <c r="A20" s="175" t="inlineStr">
        <is>
          <t>T</t>
        </is>
      </c>
      <c r="B20" s="176">
        <f>IF(_epmOfflineCondition_,"C_TIME",EPMDimensionType(,A20))</f>
        <v/>
      </c>
      <c r="C20" s="672" t="inlineStr">
        <is>
          <t>T_DUMMY</t>
        </is>
      </c>
      <c r="D20" s="180" t="n"/>
      <c r="E20" s="180" t="n"/>
      <c r="F20" s="384" t="n"/>
      <c r="G20" s="384" t="n"/>
      <c r="H20" s="185">
        <f>IF(D22="LC","D1110","DALL")</f>
        <v/>
      </c>
      <c r="I20" s="13" t="n"/>
      <c r="J20" s="13" t="n"/>
      <c r="K20" s="13" t="n"/>
      <c r="L20" s="13" t="n"/>
      <c r="M20" s="13" t="n"/>
      <c r="N20" s="13" t="n"/>
      <c r="O20" s="13" t="n"/>
      <c r="P20" s="13" t="n"/>
      <c r="Q20" s="13" t="n"/>
      <c r="R20" s="13" t="n"/>
      <c r="S20" s="1103" t="n"/>
      <c r="T20" s="13" t="n"/>
      <c r="U20" s="13" t="n"/>
      <c r="V20" s="13" t="n"/>
      <c r="W20" s="13" t="n"/>
      <c r="X20" s="171" t="n"/>
      <c r="Y20" s="171" t="n"/>
      <c r="Z20" s="384" t="n"/>
      <c r="AA20" s="384" t="n"/>
      <c r="AB20" s="13" t="n"/>
      <c r="AC20" s="384" t="n"/>
      <c r="AD20" s="1334" t="n"/>
      <c r="AE20" s="13" t="n"/>
      <c r="AF20" s="220" t="n"/>
      <c r="AG20" s="13" t="n"/>
      <c r="AH20" s="13" t="n"/>
      <c r="AI20" s="13" t="n"/>
      <c r="AJ20" s="13" t="n"/>
      <c r="AK20" s="13" t="n"/>
      <c r="AL20" s="13" t="n"/>
      <c r="AM20" s="13" t="n"/>
      <c r="AN20" s="13" t="n"/>
      <c r="AO20" s="13" t="n"/>
      <c r="AP20" s="13" t="n"/>
      <c r="AQ20" s="13" t="n"/>
      <c r="AR20" s="13" t="n"/>
      <c r="AS20" s="13" t="n"/>
      <c r="AT20" s="13" t="n"/>
      <c r="AU20" s="13" t="n"/>
      <c r="AV20" s="13" t="n"/>
      <c r="AW20" s="13" t="n"/>
      <c r="AX20" s="13" t="n"/>
      <c r="AY20" s="13" t="n"/>
      <c r="AZ20" s="13" t="n"/>
      <c r="BA20" s="13" t="n"/>
      <c r="BB20" s="13" t="n"/>
      <c r="BC20" s="13" t="n"/>
      <c r="BD20" s="13" t="n"/>
      <c r="BE20" s="13" t="n"/>
      <c r="BF20" s="13" t="n"/>
      <c r="BG20" s="13" t="n"/>
      <c r="BH20" s="13" t="n"/>
      <c r="BI20" s="13" t="n"/>
      <c r="BJ20" s="13" t="n"/>
      <c r="BK20" s="13" t="n"/>
      <c r="BL20" s="13" t="n"/>
      <c r="BM20" s="13" t="n"/>
      <c r="BN20" s="13" t="n"/>
      <c r="BO20" s="13" t="n"/>
      <c r="BP20" s="13" t="n"/>
      <c r="BQ20" s="13" t="n"/>
      <c r="BR20" s="13" t="n"/>
      <c r="BS20" s="13" t="n"/>
      <c r="BT20" s="13" t="n"/>
      <c r="BU20" s="13" t="n"/>
      <c r="BV20" s="13" t="n"/>
      <c r="BW20" s="13" t="n"/>
      <c r="BX20" s="13" t="n"/>
      <c r="BY20" s="13" t="n"/>
      <c r="BZ20" s="13" t="n"/>
      <c r="CA20" s="13" t="n"/>
      <c r="CB20" s="13" t="n"/>
      <c r="CC20" s="13" t="n"/>
      <c r="CD20" s="13" t="n"/>
      <c r="CE20" s="13" t="n"/>
      <c r="CF20" s="13" t="n"/>
      <c r="CG20" s="13" t="n"/>
      <c r="CH20" s="13" t="n"/>
      <c r="CI20" s="13" t="n"/>
      <c r="CJ20" s="13" t="n"/>
      <c r="CK20" s="13" t="n"/>
      <c r="CL20" s="13" t="n"/>
      <c r="CM20" s="13" t="n"/>
      <c r="CN20" s="13" t="n"/>
      <c r="CO20" s="13" t="n"/>
      <c r="CP20" s="13" t="n"/>
      <c r="CQ20" s="13" t="n"/>
    </row>
    <row r="21" hidden="1" customFormat="1" s="13">
      <c r="A21" s="175" t="inlineStr">
        <is>
          <t>E</t>
        </is>
      </c>
      <c r="B21" s="176">
        <f>IF(_epmOfflineCondition_,"C_ENTITY",EPMDimensionType(,A21))</f>
        <v/>
      </c>
      <c r="C21" s="672">
        <f>IF(_epmOfflineCondition_,"E100787",IF(B21="","",EPMContextMember(,B21)))</f>
        <v/>
      </c>
      <c r="D21" s="182">
        <f>IF(_epmOfflineCondition_,"E100787",EPMOlapMemberO(C21,"[C_ENTITY].[PARENTH1].[E100787]","E100787 - 内蒙古京能苏尼特风力发电有限公司（内蒙古分公司）","","000"))</f>
        <v/>
      </c>
      <c r="E21" s="180" t="n"/>
      <c r="F21" s="384" t="n"/>
      <c r="G21" s="384" t="n"/>
      <c r="H21" s="13" t="n"/>
      <c r="I21" s="13" t="n"/>
      <c r="J21" s="13" t="n"/>
      <c r="K21" s="13" t="n"/>
      <c r="L21" s="13" t="n"/>
      <c r="M21" s="13" t="n"/>
      <c r="N21" s="13" t="n"/>
      <c r="O21" s="13" t="n"/>
      <c r="P21" s="13" t="n"/>
      <c r="Q21" s="13" t="n"/>
      <c r="R21" s="13" t="n"/>
      <c r="S21" s="1103" t="n"/>
      <c r="T21" s="13" t="n"/>
      <c r="U21" s="13" t="n"/>
      <c r="V21" s="13" t="n"/>
      <c r="W21" s="13" t="n"/>
      <c r="X21" s="171" t="n"/>
      <c r="Y21" s="171" t="n"/>
      <c r="Z21" s="384" t="n"/>
      <c r="AA21" s="384" t="n"/>
      <c r="AB21" s="13" t="n"/>
      <c r="AC21" s="384" t="n"/>
      <c r="AD21" s="1334" t="n"/>
      <c r="AE21" s="13" t="n"/>
      <c r="AF21" s="220" t="n"/>
      <c r="AG21" s="13" t="n"/>
      <c r="AH21" s="13" t="n"/>
      <c r="AI21" s="13" t="n"/>
      <c r="AJ21" s="13" t="n"/>
      <c r="AK21" s="13" t="n"/>
      <c r="AL21" s="13" t="n"/>
      <c r="AM21" s="13" t="n"/>
      <c r="AN21" s="13" t="n"/>
      <c r="AO21" s="13" t="n"/>
      <c r="AP21" s="13" t="n"/>
      <c r="AQ21" s="13" t="n"/>
      <c r="AR21" s="13" t="n"/>
      <c r="AS21" s="13" t="n"/>
      <c r="AT21" s="13" t="n"/>
      <c r="AU21" s="13" t="n"/>
      <c r="AV21" s="13" t="n"/>
      <c r="AW21" s="13" t="n"/>
      <c r="AX21" s="13" t="n"/>
      <c r="AY21" s="13" t="n"/>
      <c r="AZ21" s="13" t="n"/>
      <c r="BA21" s="13" t="n"/>
      <c r="BB21" s="13" t="n"/>
      <c r="BC21" s="13" t="n"/>
      <c r="BD21" s="13" t="n"/>
      <c r="BE21" s="13" t="n"/>
      <c r="BF21" s="13" t="n"/>
      <c r="BG21" s="13" t="n"/>
      <c r="BH21" s="13" t="n"/>
      <c r="BI21" s="13" t="n"/>
      <c r="BJ21" s="13" t="n"/>
      <c r="BK21" s="13" t="n"/>
      <c r="BL21" s="13" t="n"/>
      <c r="BM21" s="13" t="n"/>
      <c r="BN21" s="13" t="n"/>
      <c r="BO21" s="13" t="n"/>
      <c r="BP21" s="13" t="n"/>
      <c r="BQ21" s="13" t="n"/>
      <c r="BR21" s="13" t="n"/>
      <c r="BS21" s="13" t="n"/>
      <c r="BT21" s="13" t="n"/>
      <c r="BU21" s="13" t="n"/>
      <c r="BV21" s="13" t="n"/>
      <c r="BW21" s="13" t="n"/>
      <c r="BX21" s="13" t="n"/>
      <c r="BY21" s="13" t="n"/>
      <c r="BZ21" s="13" t="n"/>
      <c r="CA21" s="13" t="n"/>
      <c r="CB21" s="13" t="n"/>
      <c r="CC21" s="13" t="n"/>
      <c r="CD21" s="13" t="n"/>
      <c r="CE21" s="13" t="n"/>
      <c r="CF21" s="13" t="n"/>
      <c r="CG21" s="13" t="n"/>
      <c r="CH21" s="13" t="n"/>
      <c r="CI21" s="13" t="n"/>
      <c r="CJ21" s="13" t="n"/>
      <c r="CK21" s="13" t="n"/>
      <c r="CL21" s="13" t="n"/>
      <c r="CM21" s="13" t="n"/>
      <c r="CN21" s="13" t="n"/>
      <c r="CO21" s="13" t="n"/>
      <c r="CP21" s="13" t="n"/>
      <c r="CQ21" s="13" t="n"/>
    </row>
    <row r="22" hidden="1" customFormat="1" s="13">
      <c r="A22" s="175" t="inlineStr">
        <is>
          <t>R</t>
        </is>
      </c>
      <c r="B22" s="176">
        <f>IF(_epmOfflineCondition_,"C_RPTCURRENCY",EPMDimensionType(,A22))</f>
        <v/>
      </c>
      <c r="C22" s="672">
        <f>IF(G16="G_DUMMY",$H$16,$H$17)</f>
        <v/>
      </c>
      <c r="D22" s="182">
        <f>IF(_epmOfflineCondition_,"LC",EPMOlapMemberO(C22,"[C_RPTCURRENCY].[].[LC]","LC - 本位币","","000"))</f>
        <v/>
      </c>
      <c r="E22" s="180" t="n"/>
      <c r="F22" s="384" t="n"/>
      <c r="G22" s="384" t="n"/>
      <c r="H22" s="13" t="n"/>
      <c r="I22" s="13" t="n"/>
      <c r="J22" s="13" t="n"/>
      <c r="K22" s="13" t="n"/>
      <c r="L22" s="13" t="n"/>
      <c r="M22" s="13" t="n"/>
      <c r="N22" s="13" t="n"/>
      <c r="O22" s="13" t="n"/>
      <c r="P22" s="13" t="n"/>
      <c r="Q22" s="13" t="n"/>
      <c r="R22" s="13" t="n"/>
      <c r="S22" s="1103" t="n"/>
      <c r="T22" s="13" t="n"/>
      <c r="U22" s="13" t="n"/>
      <c r="V22" s="13" t="n"/>
      <c r="W22" s="13" t="n"/>
      <c r="X22" s="171" t="n"/>
      <c r="Y22" s="171" t="n"/>
      <c r="Z22" s="384" t="n"/>
      <c r="AA22" s="384" t="n"/>
      <c r="AB22" s="13" t="n"/>
      <c r="AC22" s="384" t="n"/>
      <c r="AD22" s="1334" t="n"/>
      <c r="AE22" s="13" t="n"/>
      <c r="AF22" s="220" t="n"/>
      <c r="AG22" s="13" t="n"/>
      <c r="AH22" s="13" t="n"/>
      <c r="AI22" s="13" t="n"/>
      <c r="AJ22" s="13" t="n"/>
      <c r="AK22" s="13" t="n"/>
      <c r="AL22" s="13" t="n"/>
      <c r="AM22" s="13" t="n"/>
      <c r="AN22" s="13" t="n"/>
      <c r="AO22" s="13" t="n"/>
      <c r="AP22" s="13" t="n"/>
      <c r="AQ22" s="13" t="n"/>
      <c r="AR22" s="13" t="n"/>
      <c r="AS22" s="13" t="n"/>
      <c r="AT22" s="13" t="n"/>
      <c r="AU22" s="13" t="n"/>
      <c r="AV22" s="13" t="n"/>
      <c r="AW22" s="13" t="n"/>
      <c r="AX22" s="13" t="n"/>
      <c r="AY22" s="13" t="n"/>
      <c r="AZ22" s="13" t="n"/>
      <c r="BA22" s="13" t="n"/>
      <c r="BB22" s="13" t="n"/>
      <c r="BC22" s="13" t="n"/>
      <c r="BD22" s="13" t="n"/>
      <c r="BE22" s="13" t="n"/>
      <c r="BF22" s="13" t="n"/>
      <c r="BG22" s="13" t="n"/>
      <c r="BH22" s="13" t="n"/>
      <c r="BI22" s="13" t="n"/>
      <c r="BJ22" s="13" t="n"/>
      <c r="BK22" s="13" t="n"/>
      <c r="BL22" s="13" t="n"/>
      <c r="BM22" s="13" t="n"/>
      <c r="BN22" s="13" t="n"/>
      <c r="BO22" s="13" t="n"/>
      <c r="BP22" s="13" t="n"/>
      <c r="BQ22" s="13" t="n"/>
      <c r="BR22" s="13" t="n"/>
      <c r="BS22" s="13" t="n"/>
      <c r="BT22" s="13" t="n"/>
      <c r="BU22" s="13" t="n"/>
      <c r="BV22" s="13" t="n"/>
      <c r="BW22" s="13" t="n"/>
      <c r="BX22" s="13" t="n"/>
      <c r="BY22" s="13" t="n"/>
      <c r="BZ22" s="13" t="n"/>
      <c r="CA22" s="13" t="n"/>
      <c r="CB22" s="13" t="n"/>
      <c r="CC22" s="13" t="n"/>
      <c r="CD22" s="13" t="n"/>
      <c r="CE22" s="13" t="n"/>
      <c r="CF22" s="13" t="n"/>
      <c r="CG22" s="13" t="n"/>
      <c r="CH22" s="13" t="n"/>
      <c r="CI22" s="13" t="n"/>
      <c r="CJ22" s="13" t="n"/>
      <c r="CK22" s="13" t="n"/>
      <c r="CL22" s="13" t="n"/>
      <c r="CM22" s="13" t="n"/>
      <c r="CN22" s="13" t="n"/>
      <c r="CO22" s="13" t="n"/>
      <c r="CP22" s="13" t="n"/>
      <c r="CQ22" s="13" t="n"/>
    </row>
    <row r="23" hidden="1" customFormat="1" s="13">
      <c r="A23" s="175" t="inlineStr">
        <is>
          <t>D</t>
        </is>
      </c>
      <c r="B23" s="176">
        <f>IF(_epmOfflineCondition_,"C_AUDITTRAIL",EPMDimensionType(,A23))</f>
        <v/>
      </c>
      <c r="C23" s="672" t="inlineStr">
        <is>
          <t>D1110</t>
        </is>
      </c>
      <c r="D23" s="182">
        <f>IF(_epmOfflineCondition_,"D1110",EPMOlapMemberO(H20,"[C_AUDITTRAIL].[PARENTH1].[D1110]","D1110 - 平台表单手工输入","","000"))</f>
        <v/>
      </c>
      <c r="E23" s="180" t="n"/>
      <c r="F23" s="384" t="n"/>
      <c r="G23" s="384" t="n"/>
      <c r="H23" s="13" t="n"/>
      <c r="I23" s="13" t="n"/>
      <c r="J23" s="13" t="n"/>
      <c r="K23" s="13" t="n"/>
      <c r="L23" s="13" t="n"/>
      <c r="M23" s="13" t="n"/>
      <c r="N23" s="13" t="n"/>
      <c r="O23" s="13" t="n"/>
      <c r="P23" s="13" t="n"/>
      <c r="Q23" s="13" t="n"/>
      <c r="R23" s="13" t="n"/>
      <c r="S23" s="1103" t="n"/>
      <c r="T23" s="13" t="n"/>
      <c r="U23" s="13" t="n"/>
      <c r="V23" s="13" t="n"/>
      <c r="W23" s="13" t="n"/>
      <c r="X23" s="171" t="n"/>
      <c r="Y23" s="171" t="n"/>
      <c r="Z23" s="384" t="n"/>
      <c r="AA23" s="384" t="n"/>
      <c r="AB23" s="13" t="n"/>
      <c r="AC23" s="384" t="n"/>
      <c r="AD23" s="1334" t="n"/>
      <c r="AE23" s="13" t="n"/>
      <c r="AF23" s="220" t="n"/>
      <c r="AG23" s="13" t="n"/>
      <c r="AH23" s="13" t="n"/>
      <c r="AI23" s="13" t="n"/>
      <c r="AJ23" s="13" t="n"/>
      <c r="AK23" s="13" t="n"/>
      <c r="AL23" s="13" t="n"/>
      <c r="AM23" s="13" t="n"/>
      <c r="AN23" s="13" t="n"/>
      <c r="AO23" s="13" t="n"/>
      <c r="AP23" s="13" t="n"/>
      <c r="AQ23" s="13" t="n"/>
      <c r="AR23" s="13" t="n"/>
      <c r="AS23" s="13" t="n"/>
      <c r="AT23" s="13" t="n"/>
      <c r="AU23" s="13" t="n"/>
      <c r="AV23" s="13" t="n"/>
      <c r="AW23" s="13" t="n"/>
      <c r="AX23" s="13" t="n"/>
      <c r="AY23" s="13" t="n"/>
      <c r="AZ23" s="13" t="n"/>
      <c r="BA23" s="13" t="n"/>
      <c r="BB23" s="13" t="n"/>
      <c r="BC23" s="13" t="n"/>
      <c r="BD23" s="13" t="n"/>
      <c r="BE23" s="13" t="n"/>
      <c r="BF23" s="13" t="n"/>
      <c r="BG23" s="13" t="n"/>
      <c r="BH23" s="13" t="n"/>
      <c r="BI23" s="13" t="n"/>
      <c r="BJ23" s="13" t="n"/>
      <c r="BK23" s="13" t="n"/>
      <c r="BL23" s="13" t="n"/>
      <c r="BM23" s="13" t="n"/>
      <c r="BN23" s="13" t="n"/>
      <c r="BO23" s="13" t="n"/>
      <c r="BP23" s="13" t="n"/>
      <c r="BQ23" s="13" t="n"/>
      <c r="BR23" s="13" t="n"/>
      <c r="BS23" s="13" t="n"/>
      <c r="BT23" s="13" t="n"/>
      <c r="BU23" s="13" t="n"/>
      <c r="BV23" s="13" t="n"/>
      <c r="BW23" s="13" t="n"/>
      <c r="BX23" s="13" t="n"/>
      <c r="BY23" s="13" t="n"/>
      <c r="BZ23" s="13" t="n"/>
      <c r="CA23" s="13" t="n"/>
      <c r="CB23" s="13" t="n"/>
      <c r="CC23" s="13" t="n"/>
      <c r="CD23" s="13" t="n"/>
      <c r="CE23" s="13" t="n"/>
      <c r="CF23" s="13" t="n"/>
      <c r="CG23" s="13" t="n"/>
      <c r="CH23" s="13" t="n"/>
      <c r="CI23" s="13" t="n"/>
      <c r="CJ23" s="13" t="n"/>
      <c r="CK23" s="13" t="n"/>
      <c r="CL23" s="13" t="n"/>
      <c r="CM23" s="13" t="n"/>
      <c r="CN23" s="13" t="n"/>
      <c r="CO23" s="13" t="n"/>
      <c r="CP23" s="13" t="n"/>
      <c r="CQ23" s="13" t="n"/>
    </row>
    <row r="24" hidden="1" customFormat="1" s="13">
      <c r="A24" s="175" t="inlineStr">
        <is>
          <t>S</t>
        </is>
      </c>
      <c r="B24" s="176">
        <f>IF(_epmOfflineCondition_,"C_FLOW",EPMDimensionType(,A24))</f>
        <v/>
      </c>
      <c r="C24" s="672">
        <f>IF(_epmOfflineCondition_,"FTOTAL",IF(B24="","",EPMContextMember(,B24)))</f>
        <v/>
      </c>
      <c r="D24" s="180" t="n"/>
      <c r="E24" s="180" t="n"/>
      <c r="F24" s="384" t="n"/>
      <c r="G24" s="384" t="n"/>
      <c r="H24" s="13" t="n"/>
      <c r="I24" s="13" t="n"/>
      <c r="J24" s="13" t="n"/>
      <c r="K24" s="13" t="n"/>
      <c r="L24" s="13" t="n"/>
      <c r="M24" s="13" t="n"/>
      <c r="N24" s="13" t="n"/>
      <c r="O24" s="13" t="n"/>
      <c r="P24" s="13" t="n"/>
      <c r="Q24" s="13" t="n"/>
      <c r="R24" s="13" t="n"/>
      <c r="S24" s="1103" t="n"/>
      <c r="T24" s="13" t="n"/>
      <c r="U24" s="13" t="n"/>
      <c r="V24" s="13" t="n"/>
      <c r="W24" s="13" t="n"/>
      <c r="X24" s="171" t="n"/>
      <c r="Y24" s="171" t="n"/>
      <c r="Z24" s="384" t="n"/>
      <c r="AA24" s="384" t="n"/>
      <c r="AB24" s="13" t="n"/>
      <c r="AC24" s="384" t="n"/>
      <c r="AD24" s="1334" t="n"/>
      <c r="AE24" s="13" t="n"/>
      <c r="AF24" s="220" t="n"/>
      <c r="AG24" s="13" t="n"/>
      <c r="AH24" s="13" t="n"/>
      <c r="AI24" s="13" t="n"/>
      <c r="AJ24" s="13" t="n"/>
      <c r="AK24" s="13" t="n"/>
      <c r="AL24" s="13" t="n"/>
      <c r="AM24" s="13" t="n"/>
      <c r="AN24" s="13" t="n"/>
      <c r="AO24" s="13" t="n"/>
      <c r="AP24" s="13" t="n"/>
      <c r="AQ24" s="13" t="n"/>
      <c r="AR24" s="13" t="n"/>
      <c r="AS24" s="13" t="n"/>
      <c r="AT24" s="13" t="n"/>
      <c r="AU24" s="13" t="n"/>
      <c r="AV24" s="13" t="n"/>
      <c r="AW24" s="13" t="n"/>
      <c r="AX24" s="13" t="n"/>
      <c r="AY24" s="13" t="n"/>
      <c r="AZ24" s="13" t="n"/>
      <c r="BA24" s="13" t="n"/>
      <c r="BB24" s="13" t="n"/>
      <c r="BC24" s="13" t="n"/>
      <c r="BD24" s="13" t="n"/>
      <c r="BE24" s="13" t="n"/>
      <c r="BF24" s="13" t="n"/>
      <c r="BG24" s="13" t="n"/>
      <c r="BH24" s="13" t="n"/>
      <c r="BI24" s="13" t="n"/>
      <c r="BJ24" s="13" t="n"/>
      <c r="BK24" s="13" t="n"/>
      <c r="BL24" s="13" t="n"/>
      <c r="BM24" s="13" t="n"/>
      <c r="BN24" s="13" t="n"/>
      <c r="BO24" s="13" t="n"/>
      <c r="BP24" s="13" t="n"/>
      <c r="BQ24" s="13" t="n"/>
      <c r="BR24" s="13" t="n"/>
      <c r="BS24" s="13" t="n"/>
      <c r="BT24" s="13" t="n"/>
      <c r="BU24" s="13" t="n"/>
      <c r="BV24" s="13" t="n"/>
      <c r="BW24" s="13" t="n"/>
      <c r="BX24" s="13" t="n"/>
      <c r="BY24" s="13" t="n"/>
      <c r="BZ24" s="13" t="n"/>
      <c r="CA24" s="13" t="n"/>
      <c r="CB24" s="13" t="n"/>
      <c r="CC24" s="13" t="n"/>
      <c r="CD24" s="13" t="n"/>
      <c r="CE24" s="13" t="n"/>
      <c r="CF24" s="13" t="n"/>
      <c r="CG24" s="13" t="n"/>
      <c r="CH24" s="13" t="n"/>
      <c r="CI24" s="13" t="n"/>
      <c r="CJ24" s="13" t="n"/>
      <c r="CK24" s="13" t="n"/>
      <c r="CL24" s="13" t="n"/>
      <c r="CM24" s="13" t="n"/>
      <c r="CN24" s="13" t="n"/>
      <c r="CO24" s="13" t="n"/>
      <c r="CP24" s="13" t="n"/>
      <c r="CQ24" s="13" t="n"/>
    </row>
    <row r="25" hidden="1" customFormat="1" s="13">
      <c r="A25" s="175" t="inlineStr">
        <is>
          <t>I</t>
        </is>
      </c>
      <c r="B25" s="176">
        <f>IF(_epmOfflineCondition_,"C_INTERCO",EPMDimensionType(,A25))</f>
        <v/>
      </c>
      <c r="C25" s="672" t="inlineStr">
        <is>
          <t>I_DUMMY</t>
        </is>
      </c>
      <c r="D25" s="182">
        <f>IF(_epmOfflineCondition_,"I_DUMMY",EPMOlapMemberO(C25,"[C_INTERCO].[PARENTH1].[I_DUMMY]","I_DUMMY - 贸易伙伴无关","","000"))</f>
        <v/>
      </c>
      <c r="E25" s="180" t="n"/>
      <c r="F25" s="384" t="n"/>
      <c r="G25" s="384" t="n"/>
      <c r="H25" s="13" t="n"/>
      <c r="I25" s="13" t="n"/>
      <c r="J25" s="13" t="n"/>
      <c r="K25" s="13" t="n"/>
      <c r="L25" s="13" t="n"/>
      <c r="M25" s="13" t="n"/>
      <c r="N25" s="13" t="n"/>
      <c r="O25" s="13" t="n"/>
      <c r="P25" s="13" t="n"/>
      <c r="Q25" s="13" t="n"/>
      <c r="R25" s="13" t="n"/>
      <c r="S25" s="1103" t="n"/>
      <c r="T25" s="13" t="n"/>
      <c r="U25" s="13" t="n"/>
      <c r="V25" s="13" t="n"/>
      <c r="W25" s="13" t="n"/>
      <c r="X25" s="171" t="n"/>
      <c r="Y25" s="178" t="inlineStr">
        <is>
          <t>CATEGORY</t>
        </is>
      </c>
      <c r="Z25" s="178" t="inlineStr">
        <is>
          <t>C1001</t>
        </is>
      </c>
      <c r="AA25" s="178" t="inlineStr">
        <is>
          <t>C1001</t>
        </is>
      </c>
      <c r="AB25" s="178">
        <f>$C$4</f>
        <v/>
      </c>
      <c r="AC25" s="178" t="inlineStr">
        <is>
          <t>C1001</t>
        </is>
      </c>
      <c r="AD25" s="1379" t="inlineStr">
        <is>
          <t>C1001</t>
        </is>
      </c>
      <c r="AE25" s="220" t="n"/>
      <c r="AF25" s="220" t="n"/>
      <c r="AG25" s="220" t="n"/>
      <c r="AH25" s="220" t="n"/>
      <c r="AI25" s="13" t="n"/>
      <c r="AJ25" s="13" t="n"/>
      <c r="AK25" s="13" t="n"/>
      <c r="AL25" s="13" t="n"/>
      <c r="AM25" s="13" t="n"/>
      <c r="AN25" s="13" t="n"/>
      <c r="AO25" s="13" t="n"/>
      <c r="AP25" s="13" t="n"/>
      <c r="AQ25" s="13" t="n"/>
      <c r="AR25" s="13" t="n"/>
      <c r="AS25" s="13" t="n"/>
      <c r="AT25" s="13" t="n"/>
      <c r="AU25" s="13" t="n"/>
      <c r="AV25" s="13" t="n"/>
      <c r="AW25" s="13" t="n"/>
      <c r="AX25" s="13" t="n"/>
      <c r="AY25" s="13" t="n"/>
      <c r="AZ25" s="13" t="n"/>
      <c r="BA25" s="13" t="n"/>
      <c r="BB25" s="13" t="n"/>
      <c r="BC25" s="13" t="n"/>
      <c r="BD25" s="13" t="n"/>
      <c r="BE25" s="13" t="n"/>
      <c r="BF25" s="13" t="n"/>
      <c r="BG25" s="13" t="n"/>
      <c r="BH25" s="13" t="n"/>
      <c r="BI25" s="13" t="n"/>
      <c r="BJ25" s="13" t="n"/>
      <c r="BK25" s="13" t="n"/>
      <c r="BL25" s="13" t="n"/>
      <c r="BM25" s="13" t="n"/>
      <c r="BN25" s="13" t="n"/>
      <c r="BO25" s="13" t="n"/>
      <c r="BP25" s="13" t="n"/>
      <c r="BQ25" s="13" t="n"/>
      <c r="BR25" s="13" t="n"/>
      <c r="BS25" s="13" t="n"/>
      <c r="BT25" s="13" t="n"/>
      <c r="BU25" s="13" t="n"/>
      <c r="BV25" s="13" t="n"/>
      <c r="BW25" s="13" t="n"/>
      <c r="BX25" s="13" t="n"/>
      <c r="BY25" s="13" t="n"/>
      <c r="BZ25" s="13" t="n"/>
      <c r="CA25" s="13" t="n"/>
      <c r="CB25" s="13" t="n"/>
      <c r="CC25" s="13" t="n"/>
      <c r="CD25" s="13" t="n"/>
      <c r="CE25" s="13" t="n"/>
      <c r="CF25" s="13" t="n"/>
      <c r="CG25" s="13" t="n"/>
      <c r="CH25" s="13" t="n"/>
      <c r="CI25" s="13" t="n"/>
      <c r="CJ25" s="13" t="n"/>
      <c r="CK25" s="13" t="n"/>
      <c r="CL25" s="13" t="n"/>
      <c r="CM25" s="13" t="n"/>
      <c r="CN25" s="13" t="n"/>
      <c r="CO25" s="13" t="n"/>
      <c r="CP25" s="13" t="n"/>
      <c r="CQ25" s="13" t="n"/>
    </row>
    <row r="26" hidden="1" customFormat="1" s="13">
      <c r="A26" s="175" t="inlineStr">
        <is>
          <t>G</t>
        </is>
      </c>
      <c r="B26" s="176">
        <f>IF(_epmOfflineCondition_,"C_SCOPE",EPMDimensionType(,A26))</f>
        <v/>
      </c>
      <c r="C26" s="182" t="inlineStr">
        <is>
          <t>G_DUMMY</t>
        </is>
      </c>
      <c r="D26" s="182">
        <f>IF(_epmOfflineCondition_,"G_DUMMY",EPMOlapMemberO(G16,"[C_SCOPE].[PARENTH1].[G_DUMMY]","G_DUMMY - 合并范围无关","","000"))</f>
        <v/>
      </c>
      <c r="E26" s="180" t="n"/>
      <c r="F26" s="384" t="n"/>
      <c r="G26" s="384" t="n"/>
      <c r="H26" s="13" t="n"/>
      <c r="I26" s="13" t="n"/>
      <c r="J26" s="13" t="n"/>
      <c r="K26" s="13" t="n"/>
      <c r="L26" s="13" t="n"/>
      <c r="M26" s="13" t="n"/>
      <c r="N26" s="13" t="n"/>
      <c r="O26" s="13" t="n"/>
      <c r="P26" s="13" t="n"/>
      <c r="Q26" s="13" t="n"/>
      <c r="R26" s="13" t="n"/>
      <c r="S26" s="1103" t="n"/>
      <c r="T26" s="13" t="n"/>
      <c r="U26" s="13" t="n"/>
      <c r="V26" s="13" t="n"/>
      <c r="W26" s="13" t="n"/>
      <c r="X26" s="171" t="n"/>
      <c r="Y26" s="464" t="inlineStr">
        <is>
          <t>TIME</t>
        </is>
      </c>
      <c r="Z26" s="464">
        <f>$I$11</f>
        <v/>
      </c>
      <c r="AA26" s="464">
        <f>$I$11</f>
        <v/>
      </c>
      <c r="AB26" s="464">
        <f>$I$13</f>
        <v/>
      </c>
      <c r="AC26" s="464">
        <f>$I$14</f>
        <v/>
      </c>
      <c r="AD26" s="1380">
        <f>$I$11</f>
        <v/>
      </c>
      <c r="AE26" s="220" t="n"/>
      <c r="AF26" s="220" t="n"/>
      <c r="AG26" s="220" t="n"/>
      <c r="AH26" s="220" t="n"/>
      <c r="AI26" s="13" t="n"/>
      <c r="AJ26" s="13" t="n"/>
      <c r="AK26" s="13" t="n"/>
      <c r="AL26" s="13" t="n"/>
      <c r="AM26" s="13" t="n"/>
      <c r="AN26" s="13" t="n"/>
      <c r="AO26" s="13" t="n"/>
      <c r="AP26" s="13" t="n"/>
      <c r="AQ26" s="13" t="n"/>
      <c r="AR26" s="13" t="n"/>
      <c r="AS26" s="13" t="n"/>
      <c r="AT26" s="13" t="n"/>
      <c r="AU26" s="13" t="n"/>
      <c r="AV26" s="13" t="n"/>
      <c r="AW26" s="13" t="n"/>
      <c r="AX26" s="13" t="n"/>
      <c r="AY26" s="13" t="n"/>
      <c r="AZ26" s="13" t="n"/>
      <c r="BA26" s="13" t="n"/>
      <c r="BB26" s="13" t="n"/>
      <c r="BC26" s="13" t="n"/>
      <c r="BD26" s="13" t="n"/>
      <c r="BE26" s="13" t="n"/>
      <c r="BF26" s="13" t="n"/>
      <c r="BG26" s="13" t="n"/>
      <c r="BH26" s="13" t="n"/>
      <c r="BI26" s="13" t="n"/>
      <c r="BJ26" s="13" t="n"/>
      <c r="BK26" s="13" t="n"/>
      <c r="BL26" s="13" t="n"/>
      <c r="BM26" s="13" t="n"/>
      <c r="BN26" s="13" t="n"/>
      <c r="BO26" s="13" t="n"/>
      <c r="BP26" s="13" t="n"/>
      <c r="BQ26" s="13" t="n"/>
      <c r="BR26" s="13" t="n"/>
      <c r="BS26" s="13" t="n"/>
      <c r="BT26" s="13" t="n"/>
      <c r="BU26" s="13" t="n"/>
      <c r="BV26" s="13" t="n"/>
      <c r="BW26" s="13" t="n"/>
      <c r="BX26" s="13" t="n"/>
      <c r="BY26" s="13" t="n"/>
      <c r="BZ26" s="13" t="n"/>
      <c r="CA26" s="13" t="n"/>
      <c r="CB26" s="13" t="n"/>
      <c r="CC26" s="13" t="n"/>
      <c r="CD26" s="13" t="n"/>
      <c r="CE26" s="13" t="n"/>
      <c r="CF26" s="13" t="n"/>
      <c r="CG26" s="13" t="n"/>
      <c r="CH26" s="13" t="n"/>
      <c r="CI26" s="13" t="n"/>
      <c r="CJ26" s="13" t="n"/>
      <c r="CK26" s="13" t="n"/>
      <c r="CL26" s="13" t="n"/>
      <c r="CM26" s="13" t="n"/>
      <c r="CN26" s="13" t="n"/>
      <c r="CO26" s="13" t="n"/>
      <c r="CP26" s="13" t="n"/>
      <c r="CQ26" s="13" t="n"/>
    </row>
    <row r="27" hidden="1" customFormat="1" s="13">
      <c r="A27" s="175" t="inlineStr">
        <is>
          <t>U8</t>
        </is>
      </c>
      <c r="B27" s="176">
        <f>IF(_epmOfflineCondition_,"C_PROJECT",EPMDimensionType(,A27))</f>
        <v/>
      </c>
      <c r="C27" s="180" t="inlineStr">
        <is>
          <t>ZP_DUMMY</t>
        </is>
      </c>
      <c r="D27" s="182">
        <f>IF(_epmOfflineCondition_,"ZP_DUMMY",EPMOlapMemberO(C27,"[C_PROJECT].[PARENTH1].[ZP_DUMMY]","ZP_DUMMY - 项目无关","","000"))</f>
        <v/>
      </c>
      <c r="E27" s="180" t="n"/>
      <c r="F27" s="384" t="n"/>
      <c r="G27" s="384" t="n"/>
      <c r="H27" s="13" t="n"/>
      <c r="I27" s="13" t="n"/>
      <c r="J27" s="13" t="n"/>
      <c r="K27" s="13" t="n"/>
      <c r="L27" s="13" t="n"/>
      <c r="M27" s="13" t="n"/>
      <c r="N27" s="13" t="n"/>
      <c r="O27" s="13" t="n"/>
      <c r="P27" s="13" t="n"/>
      <c r="Q27" s="13" t="n"/>
      <c r="R27" s="13" t="n"/>
      <c r="S27" s="1103" t="n"/>
      <c r="T27" s="13" t="n"/>
      <c r="U27" s="13" t="n"/>
      <c r="V27" s="13" t="n"/>
      <c r="W27" s="13" t="n"/>
      <c r="X27" s="13" t="n"/>
      <c r="Y27" s="178" t="inlineStr">
        <is>
          <t>MEASURES</t>
        </is>
      </c>
      <c r="Z27" s="178" t="inlineStr">
        <is>
          <t>YTD</t>
        </is>
      </c>
      <c r="AA27" s="178" t="inlineStr">
        <is>
          <t>YTD</t>
        </is>
      </c>
      <c r="AB27" s="178" t="inlineStr">
        <is>
          <t>YTD</t>
        </is>
      </c>
      <c r="AC27" s="178" t="inlineStr">
        <is>
          <t>YTD</t>
        </is>
      </c>
      <c r="AD27" s="1379" t="inlineStr">
        <is>
          <t>YTD</t>
        </is>
      </c>
      <c r="AE27" s="220" t="n"/>
      <c r="AF27" s="220" t="n"/>
      <c r="AG27" s="220" t="n"/>
      <c r="AH27" s="220" t="n"/>
      <c r="AI27" s="13" t="n"/>
      <c r="AJ27" s="13" t="n"/>
      <c r="AK27" s="13" t="n"/>
      <c r="AL27" s="13" t="n"/>
      <c r="AM27" s="13" t="n"/>
      <c r="AN27" s="13" t="n"/>
      <c r="AO27" s="13" t="n"/>
      <c r="AP27" s="13" t="n"/>
      <c r="AQ27" s="13" t="n"/>
      <c r="AR27" s="13" t="n"/>
      <c r="AS27" s="13" t="n"/>
      <c r="AT27" s="13" t="n"/>
      <c r="AU27" s="13" t="n"/>
      <c r="AV27" s="13" t="n"/>
      <c r="AW27" s="13" t="n"/>
      <c r="AX27" s="13" t="n"/>
      <c r="AY27" s="13" t="n"/>
      <c r="AZ27" s="13" t="n"/>
      <c r="BA27" s="13" t="n"/>
      <c r="BB27" s="13" t="n"/>
      <c r="BC27" s="13" t="n"/>
      <c r="BD27" s="13" t="n"/>
      <c r="BE27" s="13" t="n"/>
      <c r="BF27" s="13" t="n"/>
      <c r="BG27" s="13" t="n"/>
      <c r="BH27" s="13" t="n"/>
      <c r="BI27" s="13" t="n"/>
      <c r="BJ27" s="13" t="n"/>
      <c r="BK27" s="13" t="n"/>
      <c r="BL27" s="13" t="n"/>
      <c r="BM27" s="13" t="n"/>
      <c r="BN27" s="13" t="n"/>
      <c r="BO27" s="13" t="n"/>
      <c r="BP27" s="13" t="n"/>
      <c r="BQ27" s="13" t="n"/>
      <c r="BR27" s="13" t="n"/>
      <c r="BS27" s="13" t="n"/>
      <c r="BT27" s="13" t="n"/>
      <c r="BU27" s="13" t="n"/>
      <c r="BV27" s="13" t="n"/>
      <c r="BW27" s="13" t="n"/>
      <c r="BX27" s="13" t="n"/>
      <c r="BY27" s="13" t="n"/>
      <c r="BZ27" s="13" t="n"/>
      <c r="CA27" s="13" t="n"/>
      <c r="CB27" s="13" t="n"/>
      <c r="CC27" s="13" t="n"/>
      <c r="CD27" s="13" t="n"/>
      <c r="CE27" s="13" t="n"/>
      <c r="CF27" s="13" t="n"/>
      <c r="CG27" s="13" t="n"/>
      <c r="CH27" s="13" t="n"/>
      <c r="CI27" s="13" t="n"/>
      <c r="CJ27" s="13" t="n"/>
      <c r="CK27" s="13" t="n"/>
      <c r="CL27" s="13" t="n"/>
      <c r="CM27" s="13" t="n"/>
      <c r="CN27" s="13" t="n"/>
      <c r="CO27" s="13" t="n"/>
      <c r="CP27" s="13" t="n"/>
      <c r="CQ27" s="13" t="n"/>
    </row>
    <row r="28" hidden="1" customFormat="1" s="13">
      <c r="A28" s="175" t="inlineStr">
        <is>
          <t>U9</t>
        </is>
      </c>
      <c r="B28" s="176">
        <f>IF(_epmOfflineCondition_,"C_ITEM",EPMDimensionType(,A28))</f>
        <v/>
      </c>
      <c r="C28" s="180" t="inlineStr">
        <is>
          <t>ZI_DUMMY</t>
        </is>
      </c>
      <c r="D28" s="182">
        <f>IF(_epmOfflineCondition_,"ZI_DUMMY",EPMOlapMemberO(C28,"[C_ITEM].[PARENTH1].[ZI_DUMMY]","ZI_DUMMY - 与子项无关","","000"))</f>
        <v/>
      </c>
      <c r="E28" s="180" t="n"/>
      <c r="F28" s="384" t="n"/>
      <c r="G28" s="384" t="n"/>
      <c r="H28" s="13" t="n"/>
      <c r="I28" s="13" t="n"/>
      <c r="J28" s="13" t="n"/>
      <c r="K28" s="13" t="n"/>
      <c r="L28" s="13" t="n"/>
      <c r="M28" s="13" t="n"/>
      <c r="N28" s="13" t="n"/>
      <c r="O28" s="13" t="n"/>
      <c r="P28" s="13" t="n"/>
      <c r="Q28" s="13" t="n"/>
      <c r="R28" s="13" t="n"/>
      <c r="S28" s="13" t="n"/>
      <c r="T28" s="13" t="n"/>
      <c r="U28" s="13" t="n"/>
      <c r="V28" s="13" t="n"/>
      <c r="W28" s="13" t="n"/>
      <c r="X28" s="171" t="n"/>
      <c r="Y28" s="178" t="inlineStr">
        <is>
          <t>FLOW</t>
        </is>
      </c>
      <c r="Z28" s="178" t="inlineStr">
        <is>
          <t>F20</t>
        </is>
      </c>
      <c r="AA28" s="178" t="inlineStr">
        <is>
          <t>F20</t>
        </is>
      </c>
      <c r="AB28" s="178" t="inlineStr">
        <is>
          <t>F20</t>
        </is>
      </c>
      <c r="AC28" s="178" t="inlineStr">
        <is>
          <t>F20</t>
        </is>
      </c>
      <c r="AD28" s="1379" t="inlineStr">
        <is>
          <t>F20</t>
        </is>
      </c>
      <c r="AE28" s="13" t="n"/>
      <c r="AF28" s="220" t="n"/>
      <c r="AG28" s="220" t="n"/>
      <c r="AH28" s="13" t="n"/>
      <c r="AI28" s="13" t="n"/>
      <c r="AJ28" s="13" t="n"/>
      <c r="AK28" s="13" t="n"/>
      <c r="AL28" s="13" t="n"/>
      <c r="AM28" s="13" t="n"/>
      <c r="AN28" s="13" t="n"/>
      <c r="AO28" s="13" t="n"/>
      <c r="AP28" s="13" t="n"/>
      <c r="AQ28" s="13" t="n"/>
      <c r="AR28" s="13" t="n"/>
      <c r="AS28" s="13" t="n"/>
      <c r="AT28" s="13" t="n"/>
      <c r="AU28" s="13" t="n"/>
      <c r="AV28" s="13" t="n"/>
      <c r="AW28" s="13" t="n"/>
      <c r="AX28" s="13" t="n"/>
      <c r="AY28" s="13" t="n"/>
      <c r="AZ28" s="13" t="n"/>
      <c r="BA28" s="13" t="n"/>
      <c r="BB28" s="13" t="n"/>
      <c r="BC28" s="13" t="n"/>
      <c r="BD28" s="13" t="n"/>
      <c r="BE28" s="13" t="n"/>
      <c r="BF28" s="13" t="n"/>
      <c r="BG28" s="13" t="n"/>
      <c r="BH28" s="13" t="n"/>
      <c r="BI28" s="13" t="n"/>
      <c r="BJ28" s="13" t="n"/>
      <c r="BK28" s="13" t="n"/>
      <c r="BL28" s="13" t="n"/>
      <c r="BM28" s="13" t="n"/>
      <c r="BN28" s="13" t="n"/>
      <c r="BO28" s="13" t="n"/>
      <c r="BP28" s="13" t="n"/>
      <c r="BQ28" s="13" t="n"/>
      <c r="BR28" s="13" t="n"/>
      <c r="BS28" s="13" t="n"/>
      <c r="BT28" s="13" t="n"/>
      <c r="BU28" s="13" t="n"/>
      <c r="BV28" s="13" t="n"/>
      <c r="BW28" s="13" t="n"/>
      <c r="BX28" s="13" t="n"/>
      <c r="BY28" s="13" t="n"/>
      <c r="BZ28" s="13" t="n"/>
      <c r="CA28" s="13" t="n"/>
      <c r="CB28" s="13" t="n"/>
      <c r="CC28" s="13" t="n"/>
      <c r="CD28" s="13" t="n"/>
      <c r="CE28" s="13" t="n"/>
      <c r="CF28" s="13" t="n"/>
      <c r="CG28" s="13" t="n"/>
      <c r="CH28" s="13" t="n"/>
      <c r="CI28" s="13" t="n"/>
      <c r="CJ28" s="13" t="n"/>
      <c r="CK28" s="13" t="n"/>
      <c r="CL28" s="13" t="n"/>
      <c r="CM28" s="13" t="n"/>
      <c r="CN28" s="13" t="n"/>
      <c r="CO28" s="13" t="n"/>
      <c r="CP28" s="13" t="n"/>
      <c r="CQ28" s="13" t="n"/>
    </row>
    <row r="29" hidden="1" customFormat="1" s="13">
      <c r="A29" s="175" t="inlineStr">
        <is>
          <t>U10</t>
        </is>
      </c>
      <c r="B29" s="176">
        <f>IF(_epmOfflineCondition_,"C_MISK",EPMDimensionType(,A29))</f>
        <v/>
      </c>
      <c r="C29" s="449" t="inlineStr">
        <is>
          <t>ZM_DUMMY</t>
        </is>
      </c>
      <c r="D29" s="13" t="n"/>
      <c r="E29" s="180" t="n"/>
      <c r="F29" s="384" t="n"/>
      <c r="G29" s="384" t="n"/>
      <c r="H29" s="13" t="n"/>
      <c r="I29" s="13" t="n"/>
      <c r="J29" s="13" t="n"/>
      <c r="K29" s="13" t="n"/>
      <c r="L29" s="13" t="n"/>
      <c r="M29" s="13" t="n"/>
      <c r="N29" s="13" t="n"/>
      <c r="O29" s="13" t="n"/>
      <c r="P29" s="13" t="n"/>
      <c r="Q29" s="13" t="n"/>
      <c r="R29" s="13" t="n"/>
      <c r="S29" s="13" t="n"/>
      <c r="T29" s="13" t="n"/>
      <c r="U29" s="13" t="n"/>
      <c r="V29" s="13" t="n"/>
      <c r="W29" s="13" t="n"/>
      <c r="X29" s="171" t="n"/>
      <c r="Y29" s="178" t="inlineStr">
        <is>
          <t>ZM_MISC</t>
        </is>
      </c>
      <c r="Z29" s="178" t="inlineStr">
        <is>
          <t>ZM09901</t>
        </is>
      </c>
      <c r="AA29" s="178" t="inlineStr">
        <is>
          <t>ZM09902</t>
        </is>
      </c>
      <c r="AB29" s="178" t="inlineStr">
        <is>
          <t>ZM09902</t>
        </is>
      </c>
      <c r="AC29" s="178" t="inlineStr">
        <is>
          <t>ZM09902</t>
        </is>
      </c>
      <c r="AD29" s="1379" t="inlineStr">
        <is>
          <t>ZM09902</t>
        </is>
      </c>
      <c r="AE29" s="13" t="n"/>
      <c r="AF29" s="220" t="n"/>
      <c r="AG29" s="13" t="n"/>
      <c r="AH29" s="13" t="n"/>
      <c r="AI29" s="13" t="n"/>
      <c r="AJ29" s="13" t="n"/>
      <c r="AK29" s="13" t="n"/>
      <c r="AL29" s="13" t="n"/>
      <c r="AM29" s="13" t="n"/>
      <c r="AN29" s="13" t="n"/>
      <c r="AO29" s="13" t="n"/>
      <c r="AP29" s="13" t="n"/>
      <c r="AQ29" s="13" t="n"/>
      <c r="AR29" s="13" t="n"/>
      <c r="AS29" s="13" t="n"/>
      <c r="AT29" s="13" t="n"/>
      <c r="AU29" s="13" t="n"/>
      <c r="AV29" s="13" t="n"/>
      <c r="AW29" s="13" t="n"/>
      <c r="AX29" s="13" t="n"/>
      <c r="AY29" s="13" t="n"/>
      <c r="AZ29" s="13" t="n"/>
      <c r="BA29" s="13" t="n"/>
      <c r="BB29" s="13" t="n"/>
      <c r="BC29" s="13" t="n"/>
      <c r="BD29" s="13" t="n"/>
      <c r="BE29" s="13" t="n"/>
      <c r="BF29" s="13" t="n"/>
      <c r="BG29" s="13" t="n"/>
      <c r="BH29" s="13" t="n"/>
      <c r="BI29" s="13" t="n"/>
      <c r="BJ29" s="13" t="n"/>
      <c r="BK29" s="13" t="n"/>
      <c r="BL29" s="13" t="n"/>
      <c r="BM29" s="13" t="n"/>
      <c r="BN29" s="13" t="n"/>
      <c r="BO29" s="13" t="n"/>
      <c r="BP29" s="13" t="n"/>
      <c r="BQ29" s="13" t="n"/>
      <c r="BR29" s="13" t="n"/>
      <c r="BS29" s="13" t="n"/>
      <c r="BT29" s="13" t="n"/>
      <c r="BU29" s="13" t="n"/>
      <c r="BV29" s="13" t="n"/>
      <c r="BW29" s="13" t="n"/>
      <c r="BX29" s="13" t="n"/>
      <c r="BY29" s="13" t="n"/>
      <c r="BZ29" s="13" t="n"/>
      <c r="CA29" s="13" t="n"/>
      <c r="CB29" s="13" t="n"/>
      <c r="CC29" s="13" t="n"/>
      <c r="CD29" s="13" t="n"/>
      <c r="CE29" s="13" t="n"/>
      <c r="CF29" s="13" t="n"/>
      <c r="CG29" s="13" t="n"/>
      <c r="CH29" s="13" t="n"/>
      <c r="CI29" s="13" t="n"/>
      <c r="CJ29" s="13" t="n"/>
      <c r="CK29" s="13" t="n"/>
      <c r="CL29" s="13" t="n"/>
      <c r="CM29" s="13" t="n"/>
      <c r="CN29" s="13" t="n"/>
      <c r="CO29" s="13" t="n"/>
      <c r="CP29" s="13" t="n"/>
      <c r="CQ29" s="13" t="n"/>
    </row>
    <row r="30" hidden="1" customFormat="1" s="13">
      <c r="A30" s="175" t="n"/>
      <c r="B30" s="175">
        <f>IF(_epmOfflineCondition_,"",EPMDimensionType(,A30))</f>
        <v/>
      </c>
      <c r="C30" s="182" t="inlineStr">
        <is>
          <t>PERIODIC</t>
        </is>
      </c>
      <c r="D30" s="390" t="n"/>
      <c r="E30" s="180" t="n"/>
      <c r="F30" s="384" t="n"/>
      <c r="G30" s="384" t="n"/>
      <c r="H30" s="13" t="n"/>
      <c r="I30" s="13" t="n"/>
      <c r="J30" s="13" t="n"/>
      <c r="K30" s="13" t="n"/>
      <c r="L30" s="13" t="n"/>
      <c r="M30" s="13" t="n"/>
      <c r="N30" s="13" t="n"/>
      <c r="O30" s="13" t="n"/>
      <c r="P30" s="13" t="n"/>
      <c r="Q30" s="13" t="n"/>
      <c r="R30" s="13" t="n"/>
      <c r="S30" s="13" t="n"/>
      <c r="T30" s="13" t="n"/>
      <c r="U30" s="13" t="n"/>
      <c r="V30" s="13" t="n"/>
      <c r="W30" s="13" t="n"/>
      <c r="X30" s="171" t="n"/>
      <c r="Y30" s="13" t="n"/>
      <c r="Z30" s="716">
        <f>IF(_epmOfflineCondition_,"本月数",EPMMemberDesc(Z29))</f>
        <v/>
      </c>
      <c r="AA30" s="716">
        <f>IF(_epmOfflineCondition_,"本年累计",EPMMemberDesc(AA29))</f>
        <v/>
      </c>
      <c r="AB30" s="716">
        <f>IF(_epmOfflineCondition_,"本年累计",EPMMemberDesc(AB29))</f>
        <v/>
      </c>
      <c r="AC30" s="716">
        <f>IF(_epmOfflineCondition_,"本年累计",EPMMemberDesc(AC29))</f>
        <v/>
      </c>
      <c r="AD30" s="1199">
        <f>IF(_epmOfflineCondition_,"本年累计",EPMMemberDesc(AD29))</f>
        <v/>
      </c>
      <c r="AE30" s="13" t="n"/>
      <c r="AF30" s="220" t="n"/>
      <c r="AG30" s="13" t="n"/>
      <c r="AH30" s="13" t="n"/>
      <c r="AI30" s="13" t="n"/>
      <c r="AJ30" s="13" t="n"/>
      <c r="AK30" s="13" t="n"/>
      <c r="AL30" s="13" t="n"/>
      <c r="AM30" s="13" t="n"/>
      <c r="AN30" s="13" t="n"/>
      <c r="AO30" s="13" t="n"/>
      <c r="AP30" s="13" t="n"/>
      <c r="AQ30" s="13" t="n"/>
      <c r="AR30" s="13" t="n"/>
      <c r="AS30" s="13" t="n"/>
      <c r="AT30" s="13" t="n"/>
      <c r="AU30" s="13" t="n"/>
      <c r="AV30" s="13" t="n"/>
      <c r="AW30" s="13" t="n"/>
      <c r="AX30" s="13" t="n"/>
      <c r="AY30" s="13" t="n"/>
      <c r="AZ30" s="13" t="n"/>
      <c r="BA30" s="13" t="n"/>
      <c r="BB30" s="13" t="n"/>
      <c r="BC30" s="13" t="n"/>
      <c r="BD30" s="13" t="n"/>
      <c r="BE30" s="13" t="n"/>
      <c r="BF30" s="13" t="n"/>
      <c r="BG30" s="13" t="n"/>
      <c r="BH30" s="13" t="n"/>
      <c r="BI30" s="13" t="n"/>
      <c r="BJ30" s="13" t="n"/>
      <c r="BK30" s="13" t="n"/>
      <c r="BL30" s="13" t="n"/>
      <c r="BM30" s="13" t="n"/>
      <c r="BN30" s="13" t="n"/>
      <c r="BO30" s="13" t="n"/>
      <c r="BP30" s="13" t="n"/>
      <c r="BQ30" s="13" t="n"/>
      <c r="BR30" s="13" t="n"/>
      <c r="BS30" s="13" t="n"/>
      <c r="BT30" s="13" t="n"/>
      <c r="BU30" s="13" t="n"/>
      <c r="BV30" s="13" t="n"/>
      <c r="BW30" s="13" t="n"/>
      <c r="BX30" s="13" t="n"/>
      <c r="BY30" s="13" t="n"/>
      <c r="BZ30" s="13" t="n"/>
      <c r="CA30" s="13" t="n"/>
      <c r="CB30" s="13" t="n"/>
      <c r="CC30" s="13" t="n"/>
      <c r="CD30" s="13" t="n"/>
      <c r="CE30" s="13" t="n"/>
      <c r="CF30" s="13" t="n"/>
      <c r="CG30" s="13" t="n"/>
      <c r="CH30" s="13" t="n"/>
      <c r="CI30" s="13" t="n"/>
      <c r="CJ30" s="13" t="n"/>
      <c r="CK30" s="13" t="n"/>
      <c r="CL30" s="13" t="n"/>
      <c r="CM30" s="13" t="n"/>
      <c r="CN30" s="13" t="n"/>
      <c r="CO30" s="13" t="n"/>
      <c r="CP30" s="13" t="n"/>
      <c r="CQ30" s="13" t="n"/>
    </row>
    <row r="31" hidden="1" ht="15" customFormat="1" customHeight="1" s="13">
      <c r="A31" s="13" t="n"/>
      <c r="B31" s="1103" t="n"/>
      <c r="C31" s="1103" t="n"/>
      <c r="D31" s="182" t="inlineStr">
        <is>
          <t>D1151</t>
        </is>
      </c>
      <c r="E31" s="13" t="n"/>
      <c r="F31" s="13" t="n"/>
      <c r="G31" s="13" t="n"/>
      <c r="H31" s="13" t="n"/>
      <c r="I31" s="13" t="n"/>
      <c r="J31" s="13" t="n"/>
      <c r="K31" s="13" t="n"/>
      <c r="L31" s="13" t="n"/>
      <c r="M31" s="13" t="n"/>
      <c r="N31" s="13" t="n"/>
      <c r="O31" s="13" t="n"/>
      <c r="P31" s="13" t="n"/>
      <c r="Q31" s="13" t="n"/>
      <c r="R31" s="13" t="n"/>
      <c r="S31" s="13" t="n"/>
      <c r="T31" s="13" t="n"/>
      <c r="U31" s="13" t="n"/>
      <c r="V31" s="13" t="n"/>
      <c r="W31" s="13" t="n"/>
      <c r="X31" s="171" t="n"/>
      <c r="Y31" s="171" t="n"/>
      <c r="Z31" s="384" t="n"/>
      <c r="AA31" s="384" t="n"/>
      <c r="AB31" s="13" t="n"/>
      <c r="AC31" s="384" t="n"/>
      <c r="AD31" s="1334" t="n"/>
      <c r="AE31" s="13" t="n"/>
      <c r="AF31" s="220" t="n"/>
      <c r="AG31" s="13" t="n"/>
      <c r="AH31" s="13" t="n"/>
      <c r="AI31" s="13" t="n"/>
      <c r="AJ31" s="13" t="n"/>
      <c r="AK31" s="13" t="n"/>
      <c r="AL31" s="13" t="n"/>
      <c r="AM31" s="13" t="n"/>
      <c r="AN31" s="13" t="n"/>
      <c r="AO31" s="13" t="n"/>
      <c r="AP31" s="13" t="n"/>
      <c r="AQ31" s="13" t="n"/>
      <c r="AR31" s="13" t="n"/>
      <c r="AS31" s="13" t="n"/>
      <c r="AT31" s="13" t="n"/>
      <c r="AU31" s="13" t="n"/>
      <c r="AV31" s="13" t="n"/>
      <c r="AW31" s="13" t="n"/>
      <c r="AX31" s="13" t="n"/>
      <c r="AY31" s="13" t="n"/>
      <c r="AZ31" s="13" t="n"/>
      <c r="BA31" s="13" t="n"/>
      <c r="BB31" s="13" t="n"/>
      <c r="BC31" s="13" t="n"/>
      <c r="BD31" s="13" t="n"/>
      <c r="BE31" s="13" t="n"/>
      <c r="BF31" s="13" t="n"/>
      <c r="BG31" s="13" t="n"/>
      <c r="BH31" s="13" t="n"/>
      <c r="BI31" s="13" t="n"/>
      <c r="BJ31" s="13" t="n"/>
      <c r="BK31" s="13" t="n"/>
      <c r="BL31" s="13" t="n"/>
      <c r="BM31" s="13" t="n"/>
      <c r="BN31" s="13" t="n"/>
      <c r="BO31" s="13" t="n"/>
      <c r="BP31" s="13" t="n"/>
      <c r="BQ31" s="13" t="n"/>
      <c r="BR31" s="13" t="n"/>
      <c r="BS31" s="13" t="n"/>
      <c r="BT31" s="13" t="n"/>
      <c r="BU31" s="13" t="n"/>
      <c r="BV31" s="13" t="n"/>
      <c r="BW31" s="13" t="n"/>
      <c r="BX31" s="13" t="n"/>
      <c r="BY31" s="13" t="n"/>
      <c r="BZ31" s="13" t="n"/>
      <c r="CA31" s="13" t="n"/>
      <c r="CB31" s="13" t="n"/>
      <c r="CC31" s="13" t="n"/>
      <c r="CD31" s="13" t="n"/>
      <c r="CE31" s="13" t="n"/>
      <c r="CF31" s="13" t="n"/>
      <c r="CG31" s="13" t="n"/>
      <c r="CH31" s="13" t="n"/>
      <c r="CI31" s="13" t="n"/>
      <c r="CJ31" s="13" t="n"/>
      <c r="CK31" s="13" t="n"/>
      <c r="CL31" s="13" t="n"/>
      <c r="CM31" s="13" t="n"/>
      <c r="CN31" s="13" t="n"/>
      <c r="CO31" s="13" t="n"/>
      <c r="CP31" s="13" t="n"/>
      <c r="CQ31" s="13" t="n"/>
    </row>
    <row r="32" hidden="1" customFormat="1" s="13">
      <c r="A32" s="13" t="n"/>
      <c r="B32" s="1103" t="n"/>
      <c r="C32" s="1103" t="n"/>
      <c r="D32" s="1103">
        <f>IF(G16="G_DUMMY",$D$21,$G$19)</f>
        <v/>
      </c>
      <c r="E32" s="13" t="n"/>
      <c r="F32" s="13" t="n"/>
      <c r="G32" s="13" t="n"/>
      <c r="H32" s="13" t="n"/>
      <c r="I32" s="13" t="n"/>
      <c r="J32" s="13" t="n"/>
      <c r="K32" s="13" t="n"/>
      <c r="L32" s="13" t="n"/>
      <c r="M32" s="13" t="n"/>
      <c r="N32" s="13" t="n"/>
      <c r="O32" s="13" t="n"/>
      <c r="P32" s="13" t="n"/>
      <c r="Q32" s="13" t="n"/>
      <c r="R32" s="13" t="n"/>
      <c r="S32" s="13" t="n"/>
      <c r="T32" s="13" t="n"/>
      <c r="U32" s="13" t="n"/>
      <c r="V32" s="13" t="n"/>
      <c r="W32" s="13" t="n"/>
      <c r="X32" s="171" t="n"/>
      <c r="Y32" s="171" t="n"/>
      <c r="Z32" s="13" t="n"/>
      <c r="AA32" s="13" t="n"/>
      <c r="AB32" s="13" t="n"/>
      <c r="AC32" s="13" t="n"/>
      <c r="AD32" s="1235" t="n"/>
      <c r="AE32" s="13" t="n"/>
      <c r="AF32" s="220" t="n"/>
      <c r="AG32" s="13" t="n"/>
      <c r="AH32" s="13" t="n"/>
      <c r="AI32" s="13" t="n"/>
      <c r="AJ32" s="13" t="n"/>
      <c r="AK32" s="13" t="n"/>
      <c r="AL32" s="13" t="n"/>
      <c r="AM32" s="13" t="n"/>
      <c r="AN32" s="13" t="n"/>
      <c r="AO32" s="13" t="n"/>
      <c r="AP32" s="13" t="n"/>
      <c r="AQ32" s="13" t="n"/>
      <c r="AR32" s="13" t="n"/>
      <c r="AS32" s="13" t="n"/>
      <c r="AT32" s="13" t="n"/>
      <c r="AU32" s="13" t="n"/>
      <c r="AV32" s="13" t="n"/>
      <c r="AW32" s="13" t="n"/>
      <c r="AX32" s="13" t="n"/>
      <c r="AY32" s="13" t="n"/>
      <c r="AZ32" s="13" t="n"/>
      <c r="BA32" s="13" t="n"/>
      <c r="BB32" s="13" t="n"/>
      <c r="BC32" s="13" t="n"/>
      <c r="BD32" s="13" t="n"/>
      <c r="BE32" s="13" t="n"/>
      <c r="BF32" s="13" t="n"/>
      <c r="BG32" s="13" t="n"/>
      <c r="BH32" s="13" t="n"/>
      <c r="BI32" s="13" t="n"/>
      <c r="BJ32" s="13" t="n"/>
      <c r="BK32" s="13" t="n"/>
      <c r="BL32" s="13" t="n"/>
      <c r="BM32" s="13" t="n"/>
      <c r="BN32" s="13" t="n"/>
      <c r="BO32" s="13" t="n"/>
      <c r="BP32" s="13" t="n"/>
      <c r="BQ32" s="13" t="n"/>
      <c r="BR32" s="13" t="n"/>
      <c r="BS32" s="13" t="n"/>
      <c r="BT32" s="13" t="n"/>
      <c r="BU32" s="13" t="n"/>
      <c r="BV32" s="13" t="n"/>
      <c r="BW32" s="13" t="n"/>
      <c r="BX32" s="13" t="n"/>
      <c r="BY32" s="13" t="n"/>
      <c r="BZ32" s="13" t="n"/>
      <c r="CA32" s="13" t="n"/>
      <c r="CB32" s="13" t="n"/>
      <c r="CC32" s="13" t="n"/>
      <c r="CD32" s="13" t="n"/>
      <c r="CE32" s="13" t="n"/>
      <c r="CF32" s="13" t="n"/>
      <c r="CG32" s="13" t="n"/>
      <c r="CH32" s="13" t="n"/>
      <c r="CI32" s="13" t="n"/>
      <c r="CJ32" s="13" t="n"/>
      <c r="CK32" s="13" t="n"/>
      <c r="CL32" s="13" t="n"/>
      <c r="CM32" s="13" t="n"/>
      <c r="CN32" s="13" t="n"/>
      <c r="CO32" s="13" t="n"/>
      <c r="CP32" s="13" t="n"/>
      <c r="CQ32" s="13" t="n"/>
    </row>
    <row r="33" hidden="1" customFormat="1" s="13">
      <c r="A33" s="13" t="n"/>
      <c r="B33" s="1103" t="n"/>
      <c r="C33" s="1103" t="n"/>
      <c r="D33" s="1103" t="n"/>
      <c r="E33" s="13" t="n"/>
      <c r="F33" s="13" t="n"/>
      <c r="G33" s="13" t="n"/>
      <c r="H33" s="13" t="n"/>
      <c r="I33" s="13" t="n"/>
      <c r="J33" s="13" t="n"/>
      <c r="K33" s="13" t="n"/>
      <c r="L33" s="13" t="n"/>
      <c r="M33" s="13" t="n"/>
      <c r="N33" s="13" t="n"/>
      <c r="O33" s="13" t="n"/>
      <c r="P33" s="13" t="n"/>
      <c r="Q33" s="13" t="n"/>
      <c r="R33" s="13" t="n"/>
      <c r="S33" s="13" t="n"/>
      <c r="T33" s="13" t="n"/>
      <c r="U33" s="13" t="n"/>
      <c r="V33" s="13" t="n"/>
      <c r="W33" s="13" t="n"/>
      <c r="X33" s="171" t="n"/>
      <c r="Y33" s="171" t="n"/>
      <c r="Z33" s="13" t="n"/>
      <c r="AA33" s="13" t="n"/>
      <c r="AB33" s="13" t="n"/>
      <c r="AC33" s="13" t="n"/>
      <c r="AD33" s="1235" t="n"/>
      <c r="AE33" s="13" t="n"/>
      <c r="AF33" s="220" t="n"/>
      <c r="AG33" s="13" t="n"/>
      <c r="AH33" s="13" t="n"/>
      <c r="AI33" s="13" t="n"/>
      <c r="AJ33" s="13" t="n"/>
      <c r="AK33" s="13" t="n"/>
      <c r="AL33" s="13" t="n"/>
      <c r="AM33" s="13" t="n"/>
      <c r="AN33" s="13" t="n"/>
      <c r="AO33" s="13" t="n"/>
      <c r="AP33" s="13" t="n"/>
      <c r="AQ33" s="13" t="n"/>
      <c r="AR33" s="13" t="n"/>
      <c r="AS33" s="13" t="n"/>
      <c r="AT33" s="13" t="n"/>
      <c r="AU33" s="13" t="n"/>
      <c r="AV33" s="13" t="n"/>
      <c r="AW33" s="13" t="n"/>
      <c r="AX33" s="13" t="n"/>
      <c r="AY33" s="13" t="n"/>
      <c r="AZ33" s="13" t="n"/>
      <c r="BA33" s="13" t="n"/>
      <c r="BB33" s="13" t="n"/>
      <c r="BC33" s="13" t="n"/>
      <c r="BD33" s="13" t="n"/>
      <c r="BE33" s="13" t="n"/>
      <c r="BF33" s="13" t="n"/>
      <c r="BG33" s="13" t="n"/>
      <c r="BH33" s="13" t="n"/>
      <c r="BI33" s="13" t="n"/>
      <c r="BJ33" s="13" t="n"/>
      <c r="BK33" s="13" t="n"/>
      <c r="BL33" s="13" t="n"/>
      <c r="BM33" s="13" t="n"/>
      <c r="BN33" s="13" t="n"/>
      <c r="BO33" s="13" t="n"/>
      <c r="BP33" s="13" t="n"/>
      <c r="BQ33" s="13" t="n"/>
      <c r="BR33" s="13" t="n"/>
      <c r="BS33" s="13" t="n"/>
      <c r="BT33" s="13" t="n"/>
      <c r="BU33" s="13" t="n"/>
      <c r="BV33" s="13" t="n"/>
      <c r="BW33" s="13" t="n"/>
      <c r="BX33" s="13" t="n"/>
      <c r="BY33" s="13" t="n"/>
      <c r="BZ33" s="13" t="n"/>
      <c r="CA33" s="13" t="n"/>
      <c r="CB33" s="13" t="n"/>
      <c r="CC33" s="13" t="n"/>
      <c r="CD33" s="13" t="n"/>
      <c r="CE33" s="13" t="n"/>
      <c r="CF33" s="13" t="n"/>
      <c r="CG33" s="13" t="n"/>
      <c r="CH33" s="13" t="n"/>
      <c r="CI33" s="13" t="n"/>
      <c r="CJ33" s="13" t="n"/>
      <c r="CK33" s="13" t="n"/>
      <c r="CL33" s="13" t="n"/>
      <c r="CM33" s="13" t="n"/>
      <c r="CN33" s="13" t="n"/>
      <c r="CO33" s="13" t="n"/>
      <c r="CP33" s="13" t="n"/>
      <c r="CQ33" s="13" t="n"/>
    </row>
    <row r="34" ht="10.5" customFormat="1" customHeight="1" s="13">
      <c r="A34" s="13" t="n"/>
      <c r="B34" s="1103" t="n"/>
      <c r="C34" s="1103" t="n"/>
      <c r="D34" s="1103" t="n"/>
      <c r="E34" s="13" t="n"/>
      <c r="F34" s="13" t="n"/>
      <c r="G34" s="13" t="n"/>
      <c r="H34" s="13" t="n"/>
      <c r="I34" s="13" t="n"/>
      <c r="J34" s="13" t="n"/>
      <c r="K34" s="13" t="n"/>
      <c r="L34" s="13" t="n"/>
      <c r="M34" s="13" t="n"/>
      <c r="N34" s="13" t="n"/>
      <c r="O34" s="13" t="n"/>
      <c r="P34" s="13" t="n"/>
      <c r="Q34" s="13" t="n"/>
      <c r="R34" s="13" t="n"/>
      <c r="S34" s="13" t="n"/>
      <c r="T34" s="13" t="n"/>
      <c r="U34" s="13" t="n"/>
      <c r="V34" s="13" t="n"/>
      <c r="W34" s="13" t="n"/>
      <c r="X34" s="171" t="n"/>
      <c r="Y34" s="171" t="n"/>
      <c r="Z34" s="13" t="n"/>
      <c r="AA34" s="13" t="n"/>
      <c r="AB34" s="13" t="n"/>
      <c r="AC34" s="13" t="n"/>
      <c r="AD34" s="1235" t="n"/>
      <c r="AE34" s="13" t="n"/>
      <c r="AF34" s="220" t="n"/>
      <c r="AG34" s="13" t="n"/>
      <c r="AH34" s="13" t="n"/>
      <c r="AI34" s="13" t="n"/>
      <c r="AJ34" s="13" t="n"/>
      <c r="AK34" s="13" t="n"/>
      <c r="AL34" s="13" t="n"/>
      <c r="AM34" s="13" t="n"/>
      <c r="AN34" s="13" t="n"/>
      <c r="AO34" s="13" t="n"/>
      <c r="AP34" s="13" t="n"/>
      <c r="AQ34" s="13" t="n"/>
      <c r="AR34" s="13" t="n"/>
      <c r="AS34" s="13" t="n"/>
      <c r="AT34" s="13" t="n"/>
      <c r="AU34" s="13" t="n"/>
      <c r="AV34" s="13" t="n"/>
      <c r="AW34" s="13" t="n"/>
      <c r="AX34" s="13" t="n"/>
      <c r="AY34" s="13" t="n"/>
      <c r="AZ34" s="13" t="n"/>
      <c r="BA34" s="13" t="n"/>
      <c r="BB34" s="13" t="n"/>
      <c r="BC34" s="13" t="n"/>
      <c r="BD34" s="13" t="n"/>
      <c r="BE34" s="13" t="n"/>
      <c r="BF34" s="13" t="n"/>
      <c r="BG34" s="13" t="n"/>
      <c r="BH34" s="13" t="n"/>
      <c r="BI34" s="13" t="n"/>
      <c r="BJ34" s="13" t="n"/>
      <c r="BK34" s="13" t="n"/>
      <c r="BL34" s="13" t="n"/>
      <c r="BM34" s="13" t="n"/>
      <c r="BN34" s="13" t="n"/>
      <c r="BO34" s="13" t="n"/>
      <c r="BP34" s="13" t="n"/>
      <c r="BQ34" s="13" t="n"/>
      <c r="BR34" s="13" t="n"/>
      <c r="BS34" s="13" t="n"/>
      <c r="BT34" s="13" t="n"/>
      <c r="BU34" s="13" t="n"/>
      <c r="BV34" s="13" t="n"/>
      <c r="BW34" s="13" t="n"/>
      <c r="BX34" s="13" t="n"/>
      <c r="BY34" s="13" t="n"/>
      <c r="BZ34" s="13" t="n"/>
      <c r="CA34" s="13" t="n"/>
      <c r="CB34" s="13" t="n"/>
      <c r="CC34" s="13" t="n"/>
      <c r="CD34" s="13" t="n"/>
      <c r="CE34" s="13" t="n"/>
      <c r="CF34" s="13" t="n"/>
      <c r="CG34" s="13" t="n"/>
      <c r="CH34" s="13" t="n"/>
      <c r="CI34" s="13" t="n"/>
      <c r="CJ34" s="13" t="n"/>
      <c r="CK34" s="13" t="n"/>
      <c r="CL34" s="13" t="n"/>
      <c r="CM34" s="13" t="n"/>
      <c r="CN34" s="13" t="n"/>
      <c r="CO34" s="13" t="n"/>
      <c r="CP34" s="13" t="n"/>
      <c r="CQ34" s="13" t="n"/>
    </row>
    <row r="35" ht="35.25" customHeight="1" s="1181">
      <c r="A35" s="384" t="n"/>
      <c r="B35" s="384" t="n"/>
      <c r="C35" s="384" t="n"/>
      <c r="D35" s="384" t="n"/>
      <c r="E35" s="384" t="n"/>
      <c r="F35" s="384" t="n"/>
      <c r="G35" s="384" t="n"/>
      <c r="H35" s="384" t="n"/>
      <c r="I35" s="384" t="n"/>
      <c r="J35" s="384" t="n"/>
      <c r="K35" s="384" t="n"/>
      <c r="L35" s="384" t="n"/>
      <c r="M35" s="384" t="n"/>
      <c r="N35" s="384" t="n"/>
      <c r="O35" s="384" t="n"/>
      <c r="P35" s="384" t="n"/>
      <c r="Q35" s="384" t="n"/>
      <c r="R35" s="384" t="n"/>
      <c r="S35" s="32" t="n"/>
      <c r="T35" s="384" t="n"/>
      <c r="U35" s="384" t="n"/>
      <c r="V35" s="384" t="n"/>
      <c r="W35" s="384" t="n"/>
      <c r="X35" s="38" t="n"/>
      <c r="Y35" s="38" t="n"/>
      <c r="Z35" s="384" t="n"/>
      <c r="AA35" s="496" t="inlineStr">
        <is>
          <t>主要经营指标表</t>
        </is>
      </c>
      <c r="AB35" s="384" t="n"/>
      <c r="AC35" s="384" t="n"/>
      <c r="AE35" s="384" t="n"/>
      <c r="AF35" s="384" t="n"/>
      <c r="AG35" s="384" t="n"/>
      <c r="AH35" s="384" t="n"/>
      <c r="AI35" s="384" t="n"/>
      <c r="AJ35" s="384" t="n"/>
      <c r="AK35" s="384" t="n"/>
      <c r="AL35" s="384" t="n"/>
      <c r="AM35" s="384" t="n"/>
      <c r="AN35" s="384" t="n"/>
      <c r="AO35" s="384" t="n"/>
      <c r="AP35" s="384" t="n"/>
      <c r="AQ35" s="384" t="n"/>
      <c r="AR35" s="384" t="n"/>
      <c r="AS35" s="384" t="n"/>
      <c r="AT35" s="384" t="n"/>
      <c r="AU35" s="384" t="n"/>
      <c r="AV35" s="384" t="n"/>
      <c r="AW35" s="384" t="n"/>
      <c r="AX35" s="384" t="n"/>
      <c r="AY35" s="384" t="n"/>
      <c r="AZ35" s="384" t="n"/>
      <c r="BA35" s="384" t="n"/>
      <c r="BB35" s="384" t="n"/>
      <c r="BC35" s="384" t="n"/>
      <c r="BD35" s="384" t="n"/>
      <c r="BE35" s="384" t="n"/>
      <c r="BF35" s="384" t="n"/>
      <c r="BG35" s="384" t="n"/>
      <c r="BH35" s="384" t="n"/>
      <c r="BI35" s="384" t="n"/>
      <c r="BJ35" s="384" t="n"/>
      <c r="BK35" s="384" t="n"/>
      <c r="BL35" s="384" t="n"/>
      <c r="BM35" s="384" t="n"/>
      <c r="BN35" s="384" t="n"/>
      <c r="BO35" s="384" t="n"/>
      <c r="BP35" s="384" t="n"/>
      <c r="BQ35" s="384" t="n"/>
      <c r="BR35" s="384" t="n"/>
      <c r="BS35" s="384" t="n"/>
      <c r="BT35" s="384" t="n"/>
      <c r="BU35" s="384" t="n"/>
      <c r="BV35" s="384" t="n"/>
      <c r="BW35" s="384" t="n"/>
      <c r="BX35" s="384" t="n"/>
      <c r="BY35" s="384" t="n"/>
      <c r="BZ35" s="384" t="n"/>
      <c r="CA35" s="384" t="n"/>
      <c r="CB35" s="384" t="n"/>
      <c r="CC35" s="384" t="n"/>
      <c r="CD35" s="384" t="n"/>
      <c r="CE35" s="384" t="n"/>
      <c r="CF35" s="384" t="n"/>
      <c r="CG35" s="384" t="n"/>
      <c r="CH35" s="384" t="n"/>
      <c r="CI35" s="384" t="n"/>
      <c r="CJ35" s="384" t="n"/>
      <c r="CK35" s="384" t="n"/>
      <c r="CL35" s="384" t="n"/>
      <c r="CM35" s="384" t="n"/>
      <c r="CN35" s="384" t="n"/>
      <c r="CO35" s="384" t="n"/>
      <c r="CP35" s="384" t="n"/>
      <c r="CQ35" s="384" t="n"/>
    </row>
    <row r="36" ht="15.2" customFormat="1" customHeight="1" s="716">
      <c r="A36" s="716" t="n"/>
      <c r="B36" s="716" t="n"/>
      <c r="C36" s="716" t="n"/>
      <c r="D36" s="716" t="n"/>
      <c r="E36" s="716" t="n"/>
      <c r="F36" s="716" t="n"/>
      <c r="G36" s="716" t="n"/>
      <c r="H36" s="716" t="n"/>
      <c r="I36" s="716" t="n"/>
      <c r="J36" s="716" t="n"/>
      <c r="K36" s="716" t="n"/>
      <c r="L36" s="716" t="n"/>
      <c r="M36" s="716" t="n"/>
      <c r="N36" s="716" t="n"/>
      <c r="O36" s="716" t="n"/>
      <c r="P36" s="716" t="n"/>
      <c r="Q36" s="716" t="n"/>
      <c r="R36" s="716" t="n"/>
      <c r="S36" s="462" t="n"/>
      <c r="T36" s="716" t="n"/>
      <c r="U36" s="716" t="n"/>
      <c r="V36" s="716" t="n"/>
      <c r="W36" s="716" t="n"/>
      <c r="X36" s="190">
        <f>IF(_epmOfflineCondition_,"编制单位：内蒙古京能苏尼特风力发电有限公司（内蒙古分公司）","编制单位："&amp;EPMMemberDesc($D$6))</f>
        <v/>
      </c>
      <c r="Y36" s="190" t="n"/>
      <c r="Z36" s="716" t="n"/>
      <c r="AA36" s="716" t="n"/>
      <c r="AB36" s="223" t="inlineStr">
        <is>
          <t>金额单位：元</t>
        </is>
      </c>
      <c r="AC36" s="716" t="n"/>
      <c r="AD36" s="1199" t="n"/>
      <c r="AE36" s="716" t="n"/>
      <c r="AF36" s="716" t="n"/>
      <c r="AG36" s="716" t="n"/>
      <c r="AH36" s="716" t="n"/>
      <c r="AI36" s="716" t="n"/>
      <c r="AJ36" s="716" t="n"/>
      <c r="AK36" s="716" t="n"/>
      <c r="AL36" s="716" t="n"/>
      <c r="AM36" s="716" t="n"/>
      <c r="AN36" s="716" t="n"/>
      <c r="AO36" s="716" t="n"/>
      <c r="AP36" s="716" t="n"/>
      <c r="AQ36" s="716" t="n"/>
      <c r="AR36" s="716" t="n"/>
      <c r="AS36" s="716" t="n"/>
      <c r="AT36" s="716" t="n"/>
      <c r="AU36" s="716" t="n"/>
      <c r="AV36" s="716" t="n"/>
      <c r="AW36" s="716" t="n"/>
      <c r="AX36" s="716" t="n"/>
      <c r="AY36" s="716" t="n"/>
      <c r="AZ36" s="716" t="n"/>
      <c r="BA36" s="716" t="n"/>
      <c r="BB36" s="716" t="n"/>
      <c r="BC36" s="716" t="n"/>
      <c r="BD36" s="716" t="n"/>
      <c r="BE36" s="716" t="n"/>
      <c r="BF36" s="716" t="n"/>
      <c r="BG36" s="716" t="n"/>
      <c r="BH36" s="716" t="n"/>
      <c r="BI36" s="716" t="n"/>
      <c r="BJ36" s="716" t="n"/>
      <c r="BK36" s="716" t="n"/>
      <c r="BL36" s="716" t="n"/>
      <c r="BM36" s="716" t="n"/>
      <c r="BN36" s="716" t="n"/>
      <c r="BO36" s="716" t="n"/>
      <c r="BP36" s="716" t="n"/>
      <c r="BQ36" s="716" t="n"/>
      <c r="BR36" s="716" t="n"/>
      <c r="BS36" s="716" t="n"/>
      <c r="BT36" s="716" t="n"/>
      <c r="BU36" s="716" t="n"/>
      <c r="BV36" s="716" t="n"/>
      <c r="BW36" s="716" t="n"/>
      <c r="BX36" s="716" t="n"/>
      <c r="BY36" s="716" t="n"/>
      <c r="BZ36" s="716" t="n"/>
      <c r="CA36" s="716" t="n"/>
      <c r="CB36" s="716" t="n"/>
      <c r="CC36" s="716" t="n"/>
      <c r="CD36" s="716" t="n"/>
      <c r="CE36" s="716" t="n"/>
      <c r="CF36" s="716" t="n"/>
      <c r="CG36" s="716" t="n"/>
      <c r="CH36" s="716" t="n"/>
      <c r="CI36" s="716" t="n"/>
      <c r="CJ36" s="716" t="n"/>
      <c r="CK36" s="716" t="n"/>
      <c r="CL36" s="716" t="n"/>
      <c r="CM36" s="716" t="n"/>
      <c r="CN36" s="716" t="n"/>
      <c r="CO36" s="716" t="n"/>
      <c r="CP36" s="716" t="n"/>
      <c r="CQ36" s="716" t="n"/>
    </row>
    <row r="37" ht="15.2" customFormat="1" customHeight="1" s="716">
      <c r="A37" s="716" t="n"/>
      <c r="B37" s="716" t="n"/>
      <c r="C37" s="716" t="n"/>
      <c r="D37" s="716" t="n"/>
      <c r="E37" s="716" t="n"/>
      <c r="F37" s="716" t="n"/>
      <c r="G37" s="716" t="n"/>
      <c r="H37" s="716" t="n"/>
      <c r="I37" s="716" t="n"/>
      <c r="J37" s="716" t="n"/>
      <c r="K37" s="716" t="n"/>
      <c r="L37" s="716" t="n"/>
      <c r="M37" s="716" t="n"/>
      <c r="N37" s="716" t="n"/>
      <c r="O37" s="716" t="n"/>
      <c r="P37" s="716" t="n"/>
      <c r="Q37" s="716" t="n"/>
      <c r="R37" s="716" t="n"/>
      <c r="S37" s="462" t="n"/>
      <c r="T37" s="716" t="n"/>
      <c r="U37" s="716" t="n"/>
      <c r="V37" s="716" t="n"/>
      <c r="W37" s="716" t="n"/>
      <c r="X37" s="190">
        <f>"编制月份："&amp;$I$3&amp;"年"&amp;$I$8&amp;"月"</f>
        <v/>
      </c>
      <c r="Y37" s="190" t="n"/>
      <c r="Z37" s="716" t="n"/>
      <c r="AA37" s="716" t="n"/>
      <c r="AB37" s="716" t="n"/>
      <c r="AC37" s="716" t="n"/>
      <c r="AD37" s="1199" t="n"/>
      <c r="AE37" s="716" t="n"/>
      <c r="AF37" s="716" t="n"/>
      <c r="AG37" s="716" t="n"/>
      <c r="AH37" s="716" t="n"/>
      <c r="AI37" s="716" t="n"/>
      <c r="AJ37" s="716" t="n"/>
      <c r="AK37" s="716" t="n"/>
      <c r="AL37" s="716" t="n"/>
      <c r="AM37" s="716" t="n"/>
      <c r="AN37" s="716" t="n"/>
      <c r="AO37" s="716" t="n"/>
      <c r="AP37" s="716" t="n"/>
      <c r="AQ37" s="716" t="n"/>
      <c r="AR37" s="716" t="n"/>
      <c r="AS37" s="716" t="n"/>
      <c r="AT37" s="716" t="n"/>
      <c r="AU37" s="716" t="n"/>
      <c r="AV37" s="716" t="n"/>
      <c r="AW37" s="716" t="n"/>
      <c r="AX37" s="716" t="n"/>
      <c r="AY37" s="716" t="n"/>
      <c r="AZ37" s="716" t="n"/>
      <c r="BA37" s="716" t="n"/>
      <c r="BB37" s="716" t="n"/>
      <c r="BC37" s="716" t="n"/>
      <c r="BD37" s="716" t="n"/>
      <c r="BE37" s="716" t="n"/>
      <c r="BF37" s="716" t="n"/>
      <c r="BG37" s="716" t="n"/>
      <c r="BH37" s="716" t="n"/>
      <c r="BI37" s="716" t="n"/>
      <c r="BJ37" s="716" t="n"/>
      <c r="BK37" s="716" t="n"/>
      <c r="BL37" s="716" t="n"/>
      <c r="BM37" s="716" t="n"/>
      <c r="BN37" s="716" t="n"/>
      <c r="BO37" s="716" t="n"/>
      <c r="BP37" s="716" t="n"/>
      <c r="BQ37" s="716" t="n"/>
      <c r="BR37" s="716" t="n"/>
      <c r="BS37" s="716" t="n"/>
      <c r="BT37" s="716" t="n"/>
      <c r="BU37" s="716" t="n"/>
      <c r="BV37" s="716" t="n"/>
      <c r="BW37" s="716" t="n"/>
      <c r="BX37" s="716" t="n"/>
      <c r="BY37" s="716" t="n"/>
      <c r="BZ37" s="716" t="n"/>
      <c r="CA37" s="716" t="n"/>
      <c r="CB37" s="716" t="n"/>
      <c r="CC37" s="716" t="n"/>
      <c r="CD37" s="716" t="n"/>
      <c r="CE37" s="716" t="n"/>
      <c r="CF37" s="716" t="n"/>
      <c r="CG37" s="716" t="n"/>
      <c r="CH37" s="716" t="n"/>
      <c r="CI37" s="716" t="n"/>
      <c r="CJ37" s="716" t="n"/>
      <c r="CK37" s="716" t="n"/>
      <c r="CL37" s="716" t="n"/>
      <c r="CM37" s="716" t="n"/>
      <c r="CN37" s="716" t="n"/>
      <c r="CO37" s="716" t="n"/>
      <c r="CP37" s="716" t="n"/>
      <c r="CQ37" s="716" t="n"/>
    </row>
    <row r="38" ht="10.5" customFormat="1" customHeight="1" s="716">
      <c r="A38" s="716" t="n"/>
      <c r="B38" s="716" t="n"/>
      <c r="C38" s="716" t="n"/>
      <c r="D38" s="716" t="n"/>
      <c r="E38" s="716" t="n"/>
      <c r="F38" s="716" t="n"/>
      <c r="G38" s="716" t="n"/>
      <c r="H38" s="716" t="n"/>
      <c r="I38" s="716" t="n"/>
      <c r="J38" s="716" t="n"/>
      <c r="K38" s="716" t="n"/>
      <c r="L38" s="716" t="n"/>
      <c r="M38" s="716" t="n"/>
      <c r="N38" s="716" t="n"/>
      <c r="O38" s="716" t="n"/>
      <c r="P38" s="716" t="n"/>
      <c r="Q38" s="716" t="n"/>
      <c r="R38" s="716" t="n"/>
      <c r="S38" s="462" t="n"/>
      <c r="T38" s="716" t="n"/>
      <c r="U38" s="716" t="n"/>
      <c r="V38" s="716" t="n"/>
      <c r="W38" s="716" t="n"/>
      <c r="X38" s="190" t="n"/>
      <c r="Y38" s="190" t="n"/>
      <c r="Z38" s="716" t="n"/>
      <c r="AA38" s="716" t="n"/>
      <c r="AB38" s="203" t="n"/>
      <c r="AC38" s="716" t="n"/>
      <c r="AD38" s="1199" t="n"/>
      <c r="AE38" s="716" t="n"/>
      <c r="AF38" s="716" t="n"/>
      <c r="AG38" s="716" t="n"/>
      <c r="AH38" s="716" t="n"/>
      <c r="AI38" s="716" t="n"/>
      <c r="AJ38" s="716" t="n"/>
      <c r="AK38" s="716" t="n"/>
      <c r="AL38" s="716" t="n"/>
      <c r="AM38" s="716" t="n"/>
      <c r="AN38" s="716" t="n"/>
      <c r="AO38" s="716" t="n"/>
      <c r="AP38" s="716" t="n"/>
      <c r="AQ38" s="716" t="n"/>
      <c r="AR38" s="716" t="n"/>
      <c r="AS38" s="716" t="n"/>
      <c r="AT38" s="716" t="n"/>
      <c r="AU38" s="716" t="n"/>
      <c r="AV38" s="716" t="n"/>
      <c r="AW38" s="716" t="n"/>
      <c r="AX38" s="716" t="n"/>
      <c r="AY38" s="716" t="n"/>
      <c r="AZ38" s="716" t="n"/>
      <c r="BA38" s="716" t="n"/>
      <c r="BB38" s="716" t="n"/>
      <c r="BC38" s="716" t="n"/>
      <c r="BD38" s="716" t="n"/>
      <c r="BE38" s="716" t="n"/>
      <c r="BF38" s="716" t="n"/>
      <c r="BG38" s="716" t="n"/>
      <c r="BH38" s="716" t="n"/>
      <c r="BI38" s="716" t="n"/>
      <c r="BJ38" s="716" t="n"/>
      <c r="BK38" s="716" t="n"/>
      <c r="BL38" s="716" t="n"/>
      <c r="BM38" s="716" t="n"/>
      <c r="BN38" s="716" t="n"/>
      <c r="BO38" s="716" t="n"/>
      <c r="BP38" s="716" t="n"/>
      <c r="BQ38" s="716" t="n"/>
      <c r="BR38" s="716" t="n"/>
      <c r="BS38" s="716" t="n"/>
      <c r="BT38" s="716" t="n"/>
      <c r="BU38" s="716" t="n"/>
      <c r="BV38" s="716" t="n"/>
      <c r="BW38" s="716" t="n"/>
      <c r="BX38" s="716" t="n"/>
      <c r="BY38" s="716" t="n"/>
      <c r="BZ38" s="716" t="n"/>
      <c r="CA38" s="716" t="n"/>
      <c r="CB38" s="716" t="n"/>
      <c r="CC38" s="716" t="n"/>
      <c r="CD38" s="716" t="n"/>
      <c r="CE38" s="716" t="n"/>
      <c r="CF38" s="716" t="n"/>
      <c r="CG38" s="716" t="n"/>
      <c r="CH38" s="716" t="n"/>
      <c r="CI38" s="716" t="n"/>
      <c r="CJ38" s="716" t="n"/>
      <c r="CK38" s="716" t="n"/>
      <c r="CL38" s="716" t="n"/>
      <c r="CM38" s="716" t="n"/>
      <c r="CN38" s="716" t="n"/>
      <c r="CO38" s="716" t="n"/>
      <c r="CP38" s="716" t="n"/>
      <c r="CQ38" s="716" t="n"/>
    </row>
    <row r="39" ht="14.85" customFormat="1" customHeight="1" s="716">
      <c r="A39" s="716" t="n"/>
      <c r="B39" s="716" t="n"/>
      <c r="C39" s="716" t="n"/>
      <c r="D39" s="716" t="n"/>
      <c r="E39" s="716" t="n"/>
      <c r="F39" s="716" t="n"/>
      <c r="G39" s="716" t="n"/>
      <c r="H39" s="716" t="n"/>
      <c r="I39" s="716" t="n"/>
      <c r="J39" s="716" t="n"/>
      <c r="K39" s="716" t="n"/>
      <c r="L39" s="716" t="n"/>
      <c r="M39" s="716" t="n"/>
      <c r="N39" s="716" t="n"/>
      <c r="O39" s="716" t="n"/>
      <c r="P39" s="716" t="n"/>
      <c r="Q39" s="716" t="n"/>
      <c r="R39" s="716" t="n"/>
      <c r="S39" s="462" t="n"/>
      <c r="T39" s="716" t="n"/>
      <c r="U39" s="716" t="n"/>
      <c r="V39" s="716" t="n"/>
      <c r="W39" s="716" t="n"/>
      <c r="X39" s="450" t="inlineStr">
        <is>
          <t>指标名称</t>
        </is>
      </c>
      <c r="Y39" s="1381" t="inlineStr">
        <is>
          <t>行次</t>
        </is>
      </c>
      <c r="Z39" s="1382" t="inlineStr">
        <is>
          <t>本月数</t>
        </is>
      </c>
      <c r="AA39" s="1382" t="inlineStr">
        <is>
          <t>本年累计</t>
        </is>
      </c>
      <c r="AB39" s="1382" t="inlineStr">
        <is>
          <t>上年同期</t>
        </is>
      </c>
      <c r="AC39" s="1383" t="inlineStr">
        <is>
          <t>上月期末（1月时取1月）-隐藏</t>
        </is>
      </c>
      <c r="AD39" s="1384" t="inlineStr">
        <is>
          <t>本月数计算-隐藏</t>
        </is>
      </c>
      <c r="AE39" s="716" t="n"/>
      <c r="AF39" s="716" t="n"/>
      <c r="AG39" s="716" t="n"/>
      <c r="AH39" s="716" t="n"/>
      <c r="AI39" s="716" t="n"/>
      <c r="AJ39" s="716" t="n"/>
      <c r="AK39" s="716" t="n"/>
      <c r="AL39" s="716" t="n"/>
      <c r="AM39" s="716" t="n"/>
      <c r="AN39" s="716" t="n"/>
      <c r="AO39" s="716" t="n"/>
      <c r="AP39" s="716" t="n"/>
      <c r="AQ39" s="716" t="n"/>
      <c r="AR39" s="716" t="n"/>
      <c r="AS39" s="716" t="n"/>
      <c r="AT39" s="716" t="n"/>
      <c r="AU39" s="716" t="n"/>
      <c r="AV39" s="716" t="n"/>
      <c r="AW39" s="716" t="n"/>
      <c r="AX39" s="716" t="n"/>
      <c r="AY39" s="716" t="n"/>
      <c r="AZ39" s="716" t="n"/>
      <c r="BA39" s="716" t="n"/>
      <c r="BB39" s="716" t="n"/>
      <c r="BC39" s="716" t="n"/>
      <c r="BD39" s="716" t="n"/>
      <c r="BE39" s="716" t="n"/>
      <c r="BF39" s="716" t="n"/>
      <c r="BG39" s="716" t="n"/>
      <c r="BH39" s="716" t="n"/>
      <c r="BI39" s="716" t="n"/>
      <c r="BJ39" s="716" t="n"/>
      <c r="BK39" s="716" t="n"/>
      <c r="BL39" s="716" t="n"/>
      <c r="BM39" s="716" t="n"/>
      <c r="BN39" s="716" t="n"/>
      <c r="BO39" s="716" t="n"/>
      <c r="BP39" s="716" t="n"/>
      <c r="BQ39" s="716" t="n"/>
      <c r="BR39" s="716" t="n"/>
      <c r="BS39" s="716" t="n"/>
      <c r="BT39" s="716" t="n"/>
      <c r="BU39" s="716" t="n"/>
      <c r="BV39" s="716" t="n"/>
      <c r="BW39" s="716" t="n"/>
      <c r="BX39" s="716" t="n"/>
      <c r="BY39" s="716" t="n"/>
      <c r="BZ39" s="716" t="n"/>
      <c r="CA39" s="716" t="n"/>
      <c r="CB39" s="716" t="n"/>
      <c r="CC39" s="716" t="n"/>
      <c r="CD39" s="716" t="n"/>
      <c r="CE39" s="716" t="n"/>
      <c r="CF39" s="716" t="n"/>
      <c r="CG39" s="716" t="n"/>
      <c r="CH39" s="716" t="n"/>
      <c r="CI39" s="716" t="n"/>
      <c r="CJ39" s="716" t="n"/>
      <c r="CK39" s="716" t="n"/>
      <c r="CL39" s="716" t="n"/>
      <c r="CM39" s="716" t="n"/>
      <c r="CN39" s="716" t="n"/>
      <c r="CO39" s="716" t="n"/>
      <c r="CP39" s="716" t="n"/>
      <c r="CQ39" s="716" t="n"/>
    </row>
    <row r="40" hidden="1" ht="15.2" customFormat="1" customHeight="1" s="716">
      <c r="A40" s="716" t="n"/>
      <c r="B40" s="716" t="n"/>
      <c r="C40" s="716" t="n"/>
      <c r="D40" s="716" t="n"/>
      <c r="E40" s="716" t="n"/>
      <c r="F40" s="716" t="n"/>
      <c r="G40" s="716" t="n"/>
      <c r="H40" s="716" t="n"/>
      <c r="I40" s="716" t="n"/>
      <c r="J40" s="716" t="n"/>
      <c r="K40" s="716" t="n"/>
      <c r="L40" s="716" t="n"/>
      <c r="M40" s="716" t="n"/>
      <c r="N40" s="716" t="n"/>
      <c r="O40" s="716" t="n"/>
      <c r="P40" s="716" t="n"/>
      <c r="Q40" s="716" t="n"/>
      <c r="R40" s="716" t="n"/>
      <c r="S40" s="462" t="n"/>
      <c r="T40" s="716" t="n"/>
      <c r="U40" s="716" t="n"/>
      <c r="V40" s="716" t="n"/>
      <c r="W40" s="716" t="n"/>
      <c r="X40" s="450" t="n"/>
      <c r="Y40" s="1385" t="n"/>
      <c r="Z40" s="326" t="n"/>
      <c r="AA40" s="326" t="n"/>
      <c r="AB40" s="326" t="n"/>
      <c r="AC40" s="503" t="n"/>
      <c r="AD40" s="1386" t="n"/>
      <c r="AE40" s="716" t="n"/>
      <c r="AF40" s="716" t="n"/>
      <c r="AG40" s="716" t="n"/>
      <c r="AH40" s="716" t="n"/>
      <c r="AI40" s="716" t="n"/>
      <c r="AJ40" s="716" t="n"/>
      <c r="AK40" s="716" t="n"/>
      <c r="AL40" s="716" t="n"/>
      <c r="AM40" s="716" t="n"/>
      <c r="AN40" s="716" t="n"/>
      <c r="AO40" s="716" t="n"/>
      <c r="AP40" s="716" t="n"/>
      <c r="AQ40" s="716" t="n"/>
      <c r="AR40" s="716" t="n"/>
      <c r="AS40" s="716" t="n"/>
      <c r="AT40" s="716" t="n"/>
      <c r="AU40" s="716" t="n"/>
      <c r="AV40" s="716" t="n"/>
      <c r="AW40" s="716" t="n"/>
      <c r="AX40" s="716" t="n"/>
      <c r="AY40" s="716" t="n"/>
      <c r="AZ40" s="716" t="n"/>
      <c r="BA40" s="716" t="n"/>
      <c r="BB40" s="716" t="n"/>
      <c r="BC40" s="716" t="n"/>
      <c r="BD40" s="716" t="n"/>
      <c r="BE40" s="716" t="n"/>
      <c r="BF40" s="716" t="n"/>
      <c r="BG40" s="716" t="n"/>
      <c r="BH40" s="716" t="n"/>
      <c r="BI40" s="716" t="n"/>
      <c r="BJ40" s="716" t="n"/>
      <c r="BK40" s="716" t="n"/>
      <c r="BL40" s="716" t="n"/>
      <c r="BM40" s="716" t="n"/>
      <c r="BN40" s="716" t="n"/>
      <c r="BO40" s="716" t="n"/>
      <c r="BP40" s="716" t="n"/>
      <c r="BQ40" s="716" t="n"/>
      <c r="BR40" s="716" t="n"/>
      <c r="BS40" s="716" t="n"/>
      <c r="BT40" s="716" t="n"/>
      <c r="BU40" s="716" t="n"/>
      <c r="BV40" s="716" t="n"/>
      <c r="BW40" s="716" t="n"/>
      <c r="BX40" s="716" t="n"/>
      <c r="BY40" s="716" t="n"/>
      <c r="BZ40" s="716" t="n"/>
      <c r="CA40" s="716" t="n"/>
      <c r="CB40" s="716" t="n"/>
      <c r="CC40" s="716" t="n"/>
      <c r="CD40" s="716" t="n"/>
      <c r="CE40" s="716" t="n"/>
      <c r="CF40" s="716" t="n"/>
      <c r="CG40" s="716" t="n"/>
      <c r="CH40" s="716" t="n"/>
      <c r="CI40" s="716" t="n"/>
      <c r="CJ40" s="716" t="n"/>
      <c r="CK40" s="716" t="n"/>
      <c r="CL40" s="716" t="n"/>
      <c r="CM40" s="716" t="n"/>
      <c r="CN40" s="716" t="n"/>
      <c r="CO40" s="716" t="n"/>
      <c r="CP40" s="716" t="n"/>
      <c r="CQ40" s="716" t="n"/>
    </row>
    <row r="41" hidden="1" ht="14.25" customFormat="1" customHeight="1" s="24">
      <c r="A41" s="24" t="n"/>
      <c r="B41" s="24" t="n"/>
      <c r="C41" s="24" t="n"/>
      <c r="D41" s="24" t="n"/>
      <c r="E41" s="24" t="n"/>
      <c r="F41" s="24" t="n"/>
      <c r="G41" s="24" t="n"/>
      <c r="H41" s="24" t="n"/>
      <c r="I41" s="24" t="n"/>
      <c r="J41" s="24" t="n"/>
      <c r="K41" s="24" t="n"/>
      <c r="L41" s="24" t="n"/>
      <c r="M41" s="24" t="n"/>
      <c r="N41" s="24" t="n"/>
      <c r="O41" s="24" t="n"/>
      <c r="P41" s="24" t="n"/>
      <c r="Q41" s="24" t="n"/>
      <c r="R41" s="24" t="n"/>
      <c r="S41" s="24" t="n"/>
      <c r="T41" s="24" t="n"/>
      <c r="U41" s="24" t="n"/>
      <c r="V41" s="24" t="n"/>
      <c r="W41" s="24" t="n"/>
      <c r="X41" s="316" t="inlineStr">
        <is>
          <t>time</t>
        </is>
      </c>
      <c r="Y41" s="479" t="n"/>
      <c r="Z41" s="286">
        <f>IF(_epmOfflineCondition_,"2025.03",EPMOlapMemberO(Z$26,"[C_TIME].[PARENTH1].[2025.03]","2025.03 - 2025.03","","000"))</f>
        <v/>
      </c>
      <c r="AA41" s="286">
        <f>IF(_epmOfflineCondition_,"2025.03",EPMOlapMemberO(AA$26,"[C_TIME].[PARENTH1].[2025.03]","2025.03 - 2025.03","","000"))</f>
        <v/>
      </c>
      <c r="AB41" s="286">
        <f>IF(_epmOfflineCondition_,"2024.03",EPMOlapMemberO(AB$26,"[C_TIME].[PARENTH1].[2024.03]","2024.03 - 2024.03","","000"))</f>
        <v/>
      </c>
      <c r="AC41" s="505">
        <f>IF(_epmOfflineCondition_,"2025.02",EPMOlapMemberO(AC$26,"[C_TIME].[PARENTH1].[2025.02]","2025.02 - 2025.02","","000"))</f>
        <v/>
      </c>
      <c r="AD41" s="1387" t="n"/>
      <c r="AE41" s="716" t="n"/>
      <c r="AF41" s="716" t="n"/>
      <c r="AG41" s="716" t="n"/>
      <c r="AH41" s="716" t="n"/>
      <c r="AI41" s="716" t="n"/>
      <c r="AJ41" s="716" t="n"/>
      <c r="AK41" s="716" t="n"/>
      <c r="AL41" s="716" t="n"/>
      <c r="AM41" s="716" t="n"/>
      <c r="AN41" s="716" t="n"/>
      <c r="AO41" s="716" t="n"/>
      <c r="AP41" s="716" t="n"/>
      <c r="AQ41" s="716" t="n"/>
      <c r="AR41" s="716" t="n"/>
      <c r="AS41" s="716" t="n"/>
      <c r="AT41" s="716" t="n"/>
      <c r="AU41" s="716" t="n"/>
      <c r="AV41" s="716" t="n"/>
      <c r="AW41" s="716" t="n"/>
      <c r="AX41" s="716" t="n"/>
      <c r="AY41" s="716" t="n"/>
      <c r="AZ41" s="716" t="n"/>
      <c r="BA41" s="716" t="n"/>
      <c r="BB41" s="716" t="n"/>
      <c r="BC41" s="716" t="n"/>
      <c r="BD41" s="716" t="n"/>
      <c r="BE41" s="716" t="n"/>
      <c r="BF41" s="716" t="n"/>
      <c r="BG41" s="716" t="n"/>
      <c r="BH41" s="716" t="n"/>
      <c r="BI41" s="716" t="n"/>
      <c r="BJ41" s="716" t="n"/>
      <c r="BK41" s="716" t="n"/>
      <c r="BL41" s="716" t="n"/>
      <c r="BM41" s="716" t="n"/>
      <c r="BN41" s="716" t="n"/>
      <c r="BO41" s="716" t="n"/>
      <c r="BP41" s="716" t="n"/>
      <c r="BQ41" s="716" t="n"/>
      <c r="BR41" s="716" t="n"/>
      <c r="BS41" s="716" t="n"/>
      <c r="BT41" s="716" t="n"/>
      <c r="BU41" s="716" t="n"/>
      <c r="BV41" s="716" t="n"/>
      <c r="BW41" s="716" t="n"/>
      <c r="BX41" s="716" t="n"/>
      <c r="BY41" s="716" t="n"/>
      <c r="BZ41" s="716" t="n"/>
      <c r="CA41" s="716" t="n"/>
      <c r="CB41" s="716" t="n"/>
      <c r="CC41" s="716" t="n"/>
      <c r="CD41" s="716" t="n"/>
      <c r="CE41" s="716" t="n"/>
      <c r="CF41" s="716" t="n"/>
      <c r="CG41" s="716" t="n"/>
      <c r="CH41" s="716" t="n"/>
      <c r="CI41" s="716" t="n"/>
      <c r="CJ41" s="716" t="n"/>
      <c r="CK41" s="716" t="n"/>
      <c r="CL41" s="716" t="n"/>
      <c r="CM41" s="716" t="n"/>
      <c r="CN41" s="716" t="n"/>
      <c r="CO41" s="716" t="n"/>
      <c r="CP41" s="716" t="n"/>
      <c r="CQ41" s="716" t="n"/>
    </row>
    <row r="42" hidden="1" ht="14.25" customFormat="1" customHeight="1" s="716">
      <c r="A42" s="716" t="n"/>
      <c r="B42" s="716" t="n"/>
      <c r="C42" s="716" t="n"/>
      <c r="D42" s="716" t="n"/>
      <c r="E42" s="716" t="n"/>
      <c r="F42" s="716" t="n"/>
      <c r="G42" s="716" t="n"/>
      <c r="H42" s="716" t="n"/>
      <c r="I42" s="716" t="n"/>
      <c r="J42" s="716" t="n"/>
      <c r="K42" s="716" t="n"/>
      <c r="L42" s="716" t="n"/>
      <c r="M42" s="716" t="n"/>
      <c r="N42" s="716" t="n"/>
      <c r="O42" s="716" t="n"/>
      <c r="P42" s="716" t="n"/>
      <c r="Q42" s="716" t="n"/>
      <c r="R42" s="716" t="n"/>
      <c r="S42" s="462" t="n"/>
      <c r="T42" s="716" t="n"/>
      <c r="U42" s="716" t="n"/>
      <c r="V42" s="716" t="n"/>
      <c r="W42" s="716" t="n"/>
      <c r="X42" s="316" t="inlineStr">
        <is>
          <t>category</t>
        </is>
      </c>
      <c r="Y42" s="316" t="n"/>
      <c r="Z42" s="296">
        <f>IF(_epmOfflineCondition_,"C1001",EPMOlapMemberO($Z$25,"[C_CATEGORY].[PARENTH1].[C1001]","C1001 - 实际数/决算数","","000"))</f>
        <v/>
      </c>
      <c r="AA42" s="296">
        <f>IF(_epmOfflineCondition_,"C1001",EPMOlapMemberO($Z$25,"[C_CATEGORY].[PARENTH1].[C1001]","C1001 - 实际数/决算数","","000"))</f>
        <v/>
      </c>
      <c r="AB42" s="296">
        <f>IF(_epmOfflineCondition_,"C1001",EPMOlapMemberO($Z$25,"[C_CATEGORY].[PARENTH1].[C1001]","C1001 - 实际数/决算数","","000"))</f>
        <v/>
      </c>
      <c r="AC42" s="507">
        <f>IF(_epmOfflineCondition_,"C1001",EPMOlapMemberO($Z$25,"[C_CATEGORY].[PARENTH1].[C1001]","C1001 - 实际数/决算数","","000"))</f>
        <v/>
      </c>
      <c r="AD42" s="1388" t="n"/>
      <c r="AE42" s="716" t="n"/>
      <c r="AF42" s="716" t="n"/>
      <c r="AG42" s="716" t="n"/>
      <c r="AH42" s="716" t="n"/>
      <c r="AI42" s="716" t="n"/>
      <c r="AJ42" s="716" t="n"/>
      <c r="AK42" s="716" t="n"/>
      <c r="AL42" s="716" t="n"/>
      <c r="AM42" s="716" t="n"/>
      <c r="AN42" s="716" t="n"/>
      <c r="AO42" s="716" t="n"/>
      <c r="AP42" s="716" t="n"/>
      <c r="AQ42" s="716" t="n"/>
      <c r="AR42" s="716" t="n"/>
      <c r="AS42" s="716" t="n"/>
      <c r="AT42" s="716" t="n"/>
      <c r="AU42" s="716" t="n"/>
      <c r="AV42" s="716" t="n"/>
      <c r="AW42" s="716" t="n"/>
      <c r="AX42" s="716" t="n"/>
      <c r="AY42" s="716" t="n"/>
      <c r="AZ42" s="716" t="n"/>
      <c r="BA42" s="716" t="n"/>
      <c r="BB42" s="716" t="n"/>
      <c r="BC42" s="716" t="n"/>
      <c r="BD42" s="716" t="n"/>
      <c r="BE42" s="716" t="n"/>
      <c r="BF42" s="716" t="n"/>
      <c r="BG42" s="716" t="n"/>
      <c r="BH42" s="716" t="n"/>
      <c r="BI42" s="716" t="n"/>
      <c r="BJ42" s="716" t="n"/>
      <c r="BK42" s="716" t="n"/>
      <c r="BL42" s="716" t="n"/>
      <c r="BM42" s="716" t="n"/>
      <c r="BN42" s="716" t="n"/>
      <c r="BO42" s="716" t="n"/>
      <c r="BP42" s="716" t="n"/>
      <c r="BQ42" s="716" t="n"/>
      <c r="BR42" s="716" t="n"/>
      <c r="BS42" s="716" t="n"/>
      <c r="BT42" s="716" t="n"/>
      <c r="BU42" s="716" t="n"/>
      <c r="BV42" s="716" t="n"/>
      <c r="BW42" s="716" t="n"/>
      <c r="BX42" s="716" t="n"/>
      <c r="BY42" s="716" t="n"/>
      <c r="BZ42" s="716" t="n"/>
      <c r="CA42" s="716" t="n"/>
      <c r="CB42" s="716" t="n"/>
      <c r="CC42" s="716" t="n"/>
      <c r="CD42" s="716" t="n"/>
      <c r="CE42" s="716" t="n"/>
      <c r="CF42" s="716" t="n"/>
      <c r="CG42" s="716" t="n"/>
      <c r="CH42" s="716" t="n"/>
      <c r="CI42" s="716" t="n"/>
      <c r="CJ42" s="716" t="n"/>
      <c r="CK42" s="716" t="n"/>
      <c r="CL42" s="716" t="n"/>
      <c r="CM42" s="716" t="n"/>
      <c r="CN42" s="716" t="n"/>
      <c r="CO42" s="716" t="n"/>
      <c r="CP42" s="716" t="n"/>
      <c r="CQ42" s="716" t="n"/>
    </row>
    <row r="43" hidden="1" ht="13.5" customFormat="1" customHeight="1" s="716">
      <c r="A43" s="716" t="n"/>
      <c r="B43" s="716" t="n"/>
      <c r="C43" s="716" t="n"/>
      <c r="D43" s="716" t="n"/>
      <c r="E43" s="716" t="n"/>
      <c r="F43" s="716" t="n"/>
      <c r="G43" s="716" t="n"/>
      <c r="H43" s="716" t="n"/>
      <c r="I43" s="716" t="n"/>
      <c r="J43" s="716" t="n"/>
      <c r="K43" s="716" t="n"/>
      <c r="L43" s="716" t="n"/>
      <c r="M43" s="716" t="n"/>
      <c r="N43" s="716" t="n"/>
      <c r="O43" s="716" t="n"/>
      <c r="P43" s="716" t="n"/>
      <c r="Q43" s="716" t="n"/>
      <c r="R43" s="716" t="n"/>
      <c r="S43" s="462" t="n"/>
      <c r="T43" s="716" t="n"/>
      <c r="U43" s="716" t="n"/>
      <c r="V43" s="716" t="n"/>
      <c r="W43" s="716" t="n"/>
      <c r="X43" s="316" t="inlineStr">
        <is>
          <t>FLow</t>
        </is>
      </c>
      <c r="Y43" s="316" t="n"/>
      <c r="Z43" s="296">
        <f>IF(_epmOfflineCondition_,"F20",EPMOlapMemberO(Z$28,"[C_FLOW].[PARENTH1].[F20]","F20 - 本期增加","","000"))</f>
        <v/>
      </c>
      <c r="AA43" s="296">
        <f>IF(_epmOfflineCondition_,"F20",EPMOlapMemberO(Z$28,"[C_FLOW].[PARENTH1].[F20]","F20 - 本期增加","","000"))</f>
        <v/>
      </c>
      <c r="AB43" s="296">
        <f>IF(_epmOfflineCondition_,"F20",EPMOlapMemberO(Z$28,"[C_FLOW].[PARENTH1].[F20]","F20 - 本期增加","","000"))</f>
        <v/>
      </c>
      <c r="AC43" s="507">
        <f>IF(_epmOfflineCondition_,"F20",EPMOlapMemberO(AA$28,"[C_FLOW].[PARENTH1].[F20]","F20 - 本期增加","","000"))</f>
        <v/>
      </c>
      <c r="AD43" s="1388" t="n"/>
      <c r="AE43" s="716" t="n"/>
      <c r="AF43" s="716" t="n"/>
      <c r="AG43" s="716" t="n"/>
      <c r="AH43" s="716" t="n"/>
      <c r="AI43" s="716" t="n"/>
      <c r="AJ43" s="716" t="n"/>
      <c r="AK43" s="716" t="n"/>
      <c r="AL43" s="716" t="n"/>
      <c r="AM43" s="716" t="n"/>
      <c r="AN43" s="716" t="n"/>
      <c r="AO43" s="716" t="n"/>
      <c r="AP43" s="716" t="n"/>
      <c r="AQ43" s="716" t="n"/>
      <c r="AR43" s="716" t="n"/>
      <c r="AS43" s="716" t="n"/>
      <c r="AT43" s="716" t="n"/>
      <c r="AU43" s="716" t="n"/>
      <c r="AV43" s="716" t="n"/>
      <c r="AW43" s="716" t="n"/>
      <c r="AX43" s="716" t="n"/>
      <c r="AY43" s="716" t="n"/>
      <c r="AZ43" s="716" t="n"/>
      <c r="BA43" s="716" t="n"/>
      <c r="BB43" s="716" t="n"/>
      <c r="BC43" s="716" t="n"/>
      <c r="BD43" s="716" t="n"/>
      <c r="BE43" s="716" t="n"/>
      <c r="BF43" s="716" t="n"/>
      <c r="BG43" s="716" t="n"/>
      <c r="BH43" s="716" t="n"/>
      <c r="BI43" s="716" t="n"/>
      <c r="BJ43" s="716" t="n"/>
      <c r="BK43" s="716" t="n"/>
      <c r="BL43" s="716" t="n"/>
      <c r="BM43" s="716" t="n"/>
      <c r="BN43" s="716" t="n"/>
      <c r="BO43" s="716" t="n"/>
      <c r="BP43" s="716" t="n"/>
      <c r="BQ43" s="716" t="n"/>
      <c r="BR43" s="716" t="n"/>
      <c r="BS43" s="716" t="n"/>
      <c r="BT43" s="716" t="n"/>
      <c r="BU43" s="716" t="n"/>
      <c r="BV43" s="716" t="n"/>
      <c r="BW43" s="716" t="n"/>
      <c r="BX43" s="716" t="n"/>
      <c r="BY43" s="716" t="n"/>
      <c r="BZ43" s="716" t="n"/>
      <c r="CA43" s="716" t="n"/>
      <c r="CB43" s="716" t="n"/>
      <c r="CC43" s="716" t="n"/>
      <c r="CD43" s="716" t="n"/>
      <c r="CE43" s="716" t="n"/>
      <c r="CF43" s="716" t="n"/>
      <c r="CG43" s="716" t="n"/>
      <c r="CH43" s="716" t="n"/>
      <c r="CI43" s="716" t="n"/>
      <c r="CJ43" s="716" t="n"/>
      <c r="CK43" s="716" t="n"/>
      <c r="CL43" s="716" t="n"/>
      <c r="CM43" s="716" t="n"/>
      <c r="CN43" s="716" t="n"/>
      <c r="CO43" s="716" t="n"/>
      <c r="CP43" s="716" t="n"/>
      <c r="CQ43" s="716" t="n"/>
    </row>
    <row r="44" hidden="1" ht="13.5" customFormat="1" customHeight="1" s="716">
      <c r="A44" s="716" t="n"/>
      <c r="B44" s="716" t="n"/>
      <c r="C44" s="716" t="n"/>
      <c r="D44" s="716" t="n"/>
      <c r="E44" s="716" t="n"/>
      <c r="F44" s="716" t="n"/>
      <c r="G44" s="716" t="n"/>
      <c r="H44" s="716" t="n"/>
      <c r="I44" s="716" t="n"/>
      <c r="J44" s="716" t="n"/>
      <c r="K44" s="716" t="n"/>
      <c r="L44" s="716" t="n"/>
      <c r="M44" s="716" t="n"/>
      <c r="N44" s="716" t="n"/>
      <c r="O44" s="716" t="n"/>
      <c r="P44" s="716" t="n"/>
      <c r="Q44" s="716" t="n"/>
      <c r="R44" s="716" t="n"/>
      <c r="S44" s="462" t="n"/>
      <c r="T44" s="716" t="n"/>
      <c r="U44" s="716" t="n"/>
      <c r="V44" s="716" t="n"/>
      <c r="W44" s="716" t="n"/>
      <c r="X44" s="316" t="inlineStr">
        <is>
          <t>misk</t>
        </is>
      </c>
      <c r="Y44" s="316" t="n"/>
      <c r="Z44" s="296">
        <f>IF(_epmOfflineCondition_,"ZM09901",EPMOlapMemberO(Z29,"[C_MISK].[PARENTH1].[ZM09901]","ZM09901 - 本月数","","000"))</f>
        <v/>
      </c>
      <c r="AA44" s="296">
        <f>IF(_epmOfflineCondition_,"ZM09902",EPMOlapMemberO(AA29,"[C_MISK].[PARENTH1].[ZM09902]","ZM09902 - 本年累计","","000"))</f>
        <v/>
      </c>
      <c r="AB44" s="296">
        <f>IF(_epmOfflineCondition_,"ZM09902",EPMOlapMemberO(AB29,"[C_MISK].[PARENTH1].[ZM09902]","ZM09902 - 本年累计","","000"))</f>
        <v/>
      </c>
      <c r="AC44" s="507">
        <f>IF(_epmOfflineCondition_,"ZM09902",EPMOlapMemberO(AC29,"[C_MISK].[PARENTH1].[ZM09902]","ZM09902 - 本年累计","","000"))</f>
        <v/>
      </c>
      <c r="AD44" s="1388" t="n"/>
      <c r="AE44" s="716" t="n"/>
      <c r="AF44" s="716" t="n"/>
      <c r="AG44" s="716" t="n"/>
      <c r="AH44" s="716" t="n"/>
      <c r="AI44" s="716" t="n"/>
      <c r="AJ44" s="716" t="n"/>
      <c r="AK44" s="716" t="n"/>
      <c r="AL44" s="716" t="n"/>
      <c r="AM44" s="716" t="n"/>
      <c r="AN44" s="716" t="n"/>
      <c r="AO44" s="716" t="n"/>
      <c r="AP44" s="716" t="n"/>
      <c r="AQ44" s="716" t="n"/>
      <c r="AR44" s="716" t="n"/>
      <c r="AS44" s="716" t="n"/>
      <c r="AT44" s="716" t="n"/>
      <c r="AU44" s="716" t="n"/>
      <c r="AV44" s="716" t="n"/>
      <c r="AW44" s="716" t="n"/>
      <c r="AX44" s="716" t="n"/>
      <c r="AY44" s="716" t="n"/>
      <c r="AZ44" s="716" t="n"/>
      <c r="BA44" s="716" t="n"/>
      <c r="BB44" s="716" t="n"/>
      <c r="BC44" s="716" t="n"/>
      <c r="BD44" s="716" t="n"/>
      <c r="BE44" s="716" t="n"/>
      <c r="BF44" s="716" t="n"/>
      <c r="BG44" s="716" t="n"/>
      <c r="BH44" s="716" t="n"/>
      <c r="BI44" s="716" t="n"/>
      <c r="BJ44" s="716" t="n"/>
      <c r="BK44" s="716" t="n"/>
      <c r="BL44" s="716" t="n"/>
      <c r="BM44" s="716" t="n"/>
      <c r="BN44" s="716" t="n"/>
      <c r="BO44" s="716" t="n"/>
      <c r="BP44" s="716" t="n"/>
      <c r="BQ44" s="716" t="n"/>
      <c r="BR44" s="716" t="n"/>
      <c r="BS44" s="716" t="n"/>
      <c r="BT44" s="716" t="n"/>
      <c r="BU44" s="716" t="n"/>
      <c r="BV44" s="716" t="n"/>
      <c r="BW44" s="716" t="n"/>
      <c r="BX44" s="716" t="n"/>
      <c r="BY44" s="716" t="n"/>
      <c r="BZ44" s="716" t="n"/>
      <c r="CA44" s="716" t="n"/>
      <c r="CB44" s="716" t="n"/>
      <c r="CC44" s="716" t="n"/>
      <c r="CD44" s="716" t="n"/>
      <c r="CE44" s="716" t="n"/>
      <c r="CF44" s="716" t="n"/>
      <c r="CG44" s="716" t="n"/>
      <c r="CH44" s="716" t="n"/>
      <c r="CI44" s="716" t="n"/>
      <c r="CJ44" s="716" t="n"/>
      <c r="CK44" s="716" t="n"/>
      <c r="CL44" s="716" t="n"/>
      <c r="CM44" s="716" t="n"/>
      <c r="CN44" s="716" t="n"/>
      <c r="CO44" s="716" t="n"/>
      <c r="CP44" s="716" t="n"/>
      <c r="CQ44" s="716" t="n"/>
    </row>
    <row r="45" hidden="1" ht="13.5" customFormat="1" customHeight="1" s="716">
      <c r="A45" s="716" t="n"/>
      <c r="B45" s="716" t="n"/>
      <c r="C45" s="716" t="n"/>
      <c r="D45" s="716" t="n"/>
      <c r="E45" s="716" t="n"/>
      <c r="F45" s="716" t="n"/>
      <c r="G45" s="716" t="n"/>
      <c r="H45" s="716" t="n"/>
      <c r="I45" s="716" t="n"/>
      <c r="J45" s="716" t="n"/>
      <c r="K45" s="716" t="n"/>
      <c r="L45" s="716" t="n"/>
      <c r="M45" s="716" t="n"/>
      <c r="N45" s="716" t="n"/>
      <c r="O45" s="716" t="n"/>
      <c r="P45" s="716" t="n"/>
      <c r="Q45" s="716" t="n"/>
      <c r="R45" s="716" t="n"/>
      <c r="S45" s="493" t="inlineStr">
        <is>
          <t>由于价格、入住率指标无法用系统自动倒算的Periodic，整表科目属性设置为Ast，采用计算本月期末减上月期末的方式计算本月数，存到本月数维度上。价格类、率类指标单体河合并层分别手填，采用D1151审计线索保存，其他指标用D1110，汇总到合并层。</t>
        </is>
      </c>
      <c r="T45" s="716" t="n"/>
      <c r="U45" s="716" t="n"/>
      <c r="V45" s="716" t="n"/>
      <c r="W45" s="716" t="n"/>
      <c r="X45" s="316" t="inlineStr">
        <is>
          <t>measures</t>
        </is>
      </c>
      <c r="Y45" s="316" t="n"/>
      <c r="Z45" s="296">
        <f>IF(_epmOfflineCondition_,"YTD",EPMOlapMemberO(Z$27,"[MEASURES].[].[YTD]","YTD - Year To Date","","000"))</f>
        <v/>
      </c>
      <c r="AA45" s="296">
        <f>IF(_epmOfflineCondition_,"YTD",EPMOlapMemberO(AA$27,"[MEASURES].[].[YTD]","YTD - Year To Date","","000"))</f>
        <v/>
      </c>
      <c r="AB45" s="296">
        <f>IF(_epmOfflineCondition_,"YTD",EPMOlapMemberO(AB$27,"[MEASURES].[].[YTD]","YTD - Year To Date","","000"))</f>
        <v/>
      </c>
      <c r="AC45" s="507">
        <f>IF(_epmOfflineCondition_,"YTD",EPMOlapMemberO(AC$27,"[MEASURES].[].[YTD]","YTD - Year To Date","","000"))</f>
        <v/>
      </c>
      <c r="AD45" s="1388" t="n"/>
      <c r="AE45" s="716" t="n"/>
      <c r="AF45" s="716" t="n"/>
      <c r="AG45" s="716" t="n"/>
      <c r="AH45" s="716" t="n"/>
      <c r="AI45" s="716" t="n"/>
      <c r="AJ45" s="716" t="n"/>
      <c r="AK45" s="716" t="n"/>
      <c r="AL45" s="716" t="n"/>
      <c r="AM45" s="716" t="n"/>
      <c r="AN45" s="716" t="n"/>
      <c r="AO45" s="716" t="n"/>
      <c r="AP45" s="716" t="n"/>
      <c r="AQ45" s="716" t="n"/>
      <c r="AR45" s="716" t="n"/>
      <c r="AS45" s="716" t="n"/>
      <c r="AT45" s="716" t="n"/>
      <c r="AU45" s="716" t="n"/>
      <c r="AV45" s="716" t="n"/>
      <c r="AW45" s="716" t="n"/>
      <c r="AX45" s="716" t="n"/>
      <c r="AY45" s="716" t="n"/>
      <c r="AZ45" s="716" t="n"/>
      <c r="BA45" s="716" t="n"/>
      <c r="BB45" s="716" t="n"/>
      <c r="BC45" s="716" t="n"/>
      <c r="BD45" s="716" t="n"/>
      <c r="BE45" s="716" t="n"/>
      <c r="BF45" s="716" t="n"/>
      <c r="BG45" s="716" t="n"/>
      <c r="BH45" s="716" t="n"/>
      <c r="BI45" s="716" t="n"/>
      <c r="BJ45" s="716" t="n"/>
      <c r="BK45" s="716" t="n"/>
      <c r="BL45" s="716" t="n"/>
      <c r="BM45" s="716" t="n"/>
      <c r="BN45" s="716" t="n"/>
      <c r="BO45" s="716" t="n"/>
      <c r="BP45" s="716" t="n"/>
      <c r="BQ45" s="716" t="n"/>
      <c r="BR45" s="716" t="n"/>
      <c r="BS45" s="716" t="n"/>
      <c r="BT45" s="716" t="n"/>
      <c r="BU45" s="716" t="n"/>
      <c r="BV45" s="716" t="n"/>
      <c r="BW45" s="716" t="n"/>
      <c r="BX45" s="716" t="n"/>
      <c r="BY45" s="716" t="n"/>
      <c r="BZ45" s="716" t="n"/>
      <c r="CA45" s="716" t="n"/>
      <c r="CB45" s="716" t="n"/>
      <c r="CC45" s="716" t="n"/>
      <c r="CD45" s="716" t="n"/>
      <c r="CE45" s="716" t="n"/>
      <c r="CF45" s="716" t="n"/>
      <c r="CG45" s="716" t="n"/>
      <c r="CH45" s="716" t="n"/>
      <c r="CI45" s="716" t="n"/>
      <c r="CJ45" s="716" t="n"/>
      <c r="CK45" s="716" t="n"/>
      <c r="CL45" s="716" t="n"/>
      <c r="CM45" s="716" t="n"/>
      <c r="CN45" s="716" t="n"/>
      <c r="CO45" s="716" t="n"/>
      <c r="CP45" s="716" t="n"/>
      <c r="CQ45" s="716" t="n"/>
    </row>
    <row r="46" ht="16.5" customFormat="1" customHeight="1" s="716">
      <c r="A46" s="716" t="n"/>
      <c r="B46" s="716" t="n"/>
      <c r="C46" s="716" t="n"/>
      <c r="D46" s="716" t="n"/>
      <c r="E46" s="716" t="n"/>
      <c r="F46" s="716" t="n"/>
      <c r="G46" s="716" t="n"/>
      <c r="H46" s="716" t="n"/>
      <c r="I46" s="716" t="n"/>
      <c r="J46" s="716" t="n"/>
      <c r="K46" s="716" t="n"/>
      <c r="L46" s="716" t="n"/>
      <c r="M46" s="716" t="n"/>
      <c r="N46" s="716" t="n"/>
      <c r="O46" s="716" t="n"/>
      <c r="P46" s="716" t="n"/>
      <c r="Q46" s="716" t="n"/>
      <c r="R46" s="716" t="n"/>
      <c r="S46" s="462">
        <f>IF(_epmOfflineCondition_,"一、工业企业（钢铁、煤炭、电力、汽车等）",EPMMemberDesc(U46))</f>
        <v/>
      </c>
      <c r="T46" s="716" t="n"/>
      <c r="U46" s="462" t="inlineStr">
        <is>
          <t>A08001</t>
        </is>
      </c>
      <c r="V46" s="462">
        <f>IF(_epmOfflineCondition_,"A08001",EPMOlapMemberO(U46,"[C_ACCOUNT].[PARENTH1].[A08001]","A08001 - 一、工业企业（钢铁、煤炭、电力、汽车等）","","000"))</f>
        <v/>
      </c>
      <c r="W46" s="462" t="n"/>
      <c r="X46" s="1389" t="inlineStr">
        <is>
          <t>一、工业企业（钢铁、煤炭、电力、汽车等）</t>
        </is>
      </c>
      <c r="Y46" s="1185">
        <f>ROW()-45</f>
        <v/>
      </c>
      <c r="Z46" s="1307">
        <f>"——"</f>
        <v/>
      </c>
      <c r="AA46" s="1307">
        <f>"——"</f>
        <v/>
      </c>
      <c r="AB46" s="1307">
        <f>"——"</f>
        <v/>
      </c>
      <c r="AC46" s="1390" t="inlineStr"/>
      <c r="AD46" s="1388">
        <f>"——"</f>
        <v/>
      </c>
      <c r="AE46" s="716" t="n"/>
      <c r="AF46" s="716" t="n"/>
      <c r="AG46" s="716" t="n"/>
      <c r="AH46" s="716" t="n"/>
      <c r="AI46" s="716" t="n"/>
      <c r="AJ46" s="716" t="n"/>
      <c r="AK46" s="716" t="n"/>
      <c r="AL46" s="716" t="n"/>
      <c r="AM46" s="716" t="n"/>
      <c r="AN46" s="716" t="n"/>
      <c r="AO46" s="716" t="n"/>
      <c r="AP46" s="716" t="n"/>
      <c r="AQ46" s="716" t="n"/>
      <c r="AR46" s="716" t="n"/>
      <c r="AS46" s="716" t="n"/>
      <c r="AT46" s="716" t="n"/>
      <c r="AU46" s="716" t="n"/>
      <c r="AV46" s="716" t="n"/>
      <c r="AW46" s="716" t="n"/>
      <c r="AX46" s="716" t="n"/>
      <c r="AY46" s="716" t="n"/>
      <c r="AZ46" s="716" t="n"/>
      <c r="BA46" s="716" t="n"/>
      <c r="BB46" s="716" t="n"/>
      <c r="BC46" s="716" t="n"/>
      <c r="BD46" s="716" t="n"/>
      <c r="BE46" s="716" t="n"/>
      <c r="BF46" s="716" t="n"/>
      <c r="BG46" s="716" t="n"/>
      <c r="BH46" s="716" t="n"/>
      <c r="BI46" s="716" t="n"/>
      <c r="BJ46" s="716" t="n"/>
      <c r="BK46" s="716" t="n"/>
      <c r="BL46" s="716" t="n"/>
      <c r="BM46" s="716" t="n"/>
      <c r="BN46" s="716" t="n"/>
      <c r="BO46" s="716" t="n"/>
      <c r="BP46" s="716" t="n"/>
      <c r="BQ46" s="716" t="n"/>
      <c r="BR46" s="716" t="n"/>
      <c r="BS46" s="716" t="n"/>
      <c r="BT46" s="716" t="n"/>
      <c r="BU46" s="716" t="n"/>
      <c r="BV46" s="716" t="n"/>
      <c r="BW46" s="716" t="n"/>
      <c r="BX46" s="716" t="n"/>
      <c r="BY46" s="716" t="n"/>
      <c r="BZ46" s="716" t="n"/>
      <c r="CA46" s="716" t="n"/>
      <c r="CB46" s="716" t="n"/>
      <c r="CC46" s="716" t="n"/>
      <c r="CD46" s="716" t="n"/>
      <c r="CE46" s="716" t="n"/>
      <c r="CF46" s="716" t="n"/>
      <c r="CG46" s="716" t="n"/>
      <c r="CH46" s="716" t="n"/>
      <c r="CI46" s="716" t="n"/>
      <c r="CJ46" s="716" t="n"/>
      <c r="CK46" s="716" t="n"/>
      <c r="CL46" s="716" t="n"/>
      <c r="CM46" s="716" t="n"/>
      <c r="CN46" s="716" t="n"/>
      <c r="CO46" s="716" t="n"/>
      <c r="CP46" s="716" t="n"/>
      <c r="CQ46" s="716" t="n"/>
    </row>
    <row r="47" ht="16.5" customFormat="1" customHeight="1" s="716">
      <c r="A47" s="716" t="n"/>
      <c r="B47" s="716" t="n"/>
      <c r="C47" s="716" t="n"/>
      <c r="D47" s="716" t="n"/>
      <c r="E47" s="716" t="n"/>
      <c r="F47" s="716" t="n"/>
      <c r="G47" s="716" t="n"/>
      <c r="H47" s="716" t="n"/>
      <c r="I47" s="716" t="n"/>
      <c r="J47" s="716" t="n"/>
      <c r="K47" s="716" t="n"/>
      <c r="L47" s="716" t="n"/>
      <c r="M47" s="716" t="n"/>
      <c r="N47" s="716" t="n"/>
      <c r="O47" s="716" t="n"/>
      <c r="P47" s="716" t="n"/>
      <c r="Q47" s="716" t="n"/>
      <c r="R47" s="716" t="n"/>
      <c r="S47" s="462">
        <f>IF(_epmOfflineCondition_,"粗钢产量（万吨）",EPMMemberDesc(U47))</f>
        <v/>
      </c>
      <c r="T47" s="716" t="n"/>
      <c r="U47" s="455" t="inlineStr">
        <is>
          <t>A0800101</t>
        </is>
      </c>
      <c r="V47" s="455">
        <f>IF(_epmOfflineCondition_,"A0800101",EPMOlapMemberO(U47,"[C_ACCOUNT].[PARENTH1].[A0800101]","A0800101 - 粗钢产量（万吨）","","000"))</f>
        <v/>
      </c>
      <c r="W47" s="462" t="n"/>
      <c r="X47" s="1389" t="inlineStr">
        <is>
          <t>粗钢产量（万吨）</t>
        </is>
      </c>
      <c r="Y47" s="1185">
        <f>ROW()-45</f>
        <v/>
      </c>
      <c r="Z47" s="1307">
        <f>AD47</f>
        <v/>
      </c>
      <c r="AA47" s="1307" t="n"/>
      <c r="AB47" s="1307" t="n"/>
      <c r="AC47" s="1390" t="n"/>
      <c r="AD47" s="1388">
        <f>IF(RIGHT($I$11,2)="01",AA47,AA47-AC47)</f>
        <v/>
      </c>
      <c r="AE47" s="716" t="n"/>
      <c r="AF47" s="716" t="n"/>
      <c r="AG47" s="716" t="n"/>
      <c r="AH47" s="716" t="n"/>
      <c r="AI47" s="716" t="n"/>
      <c r="AJ47" s="716" t="n"/>
      <c r="AK47" s="716" t="n"/>
      <c r="AL47" s="716" t="n"/>
      <c r="AM47" s="716" t="n"/>
      <c r="AN47" s="716" t="n"/>
      <c r="AO47" s="716" t="n"/>
      <c r="AP47" s="716" t="n"/>
      <c r="AQ47" s="716" t="n"/>
      <c r="AR47" s="716" t="n"/>
      <c r="AS47" s="716" t="n"/>
      <c r="AT47" s="716" t="n"/>
      <c r="AU47" s="716" t="n"/>
      <c r="AV47" s="716" t="n"/>
      <c r="AW47" s="716" t="n"/>
      <c r="AX47" s="716" t="n"/>
      <c r="AY47" s="716" t="n"/>
      <c r="AZ47" s="716" t="n"/>
      <c r="BA47" s="716" t="n"/>
      <c r="BB47" s="716" t="n"/>
      <c r="BC47" s="716" t="n"/>
      <c r="BD47" s="716" t="n"/>
      <c r="BE47" s="716" t="n"/>
      <c r="BF47" s="716" t="n"/>
      <c r="BG47" s="716" t="n"/>
      <c r="BH47" s="716" t="n"/>
      <c r="BI47" s="716" t="n"/>
      <c r="BJ47" s="716" t="n"/>
      <c r="BK47" s="716" t="n"/>
      <c r="BL47" s="716" t="n"/>
      <c r="BM47" s="716" t="n"/>
      <c r="BN47" s="716" t="n"/>
      <c r="BO47" s="716" t="n"/>
      <c r="BP47" s="716" t="n"/>
      <c r="BQ47" s="716" t="n"/>
      <c r="BR47" s="716" t="n"/>
      <c r="BS47" s="716" t="n"/>
      <c r="BT47" s="716" t="n"/>
      <c r="BU47" s="716" t="n"/>
      <c r="BV47" s="716" t="n"/>
      <c r="BW47" s="716" t="n"/>
      <c r="BX47" s="716" t="n"/>
      <c r="BY47" s="716" t="n"/>
      <c r="BZ47" s="716" t="n"/>
      <c r="CA47" s="716" t="n"/>
      <c r="CB47" s="716" t="n"/>
      <c r="CC47" s="716" t="n"/>
      <c r="CD47" s="716" t="n"/>
      <c r="CE47" s="716" t="n"/>
      <c r="CF47" s="716" t="n"/>
      <c r="CG47" s="716" t="n"/>
      <c r="CH47" s="716" t="n"/>
      <c r="CI47" s="716" t="n"/>
      <c r="CJ47" s="716" t="n"/>
      <c r="CK47" s="716" t="n"/>
      <c r="CL47" s="716" t="n"/>
      <c r="CM47" s="716" t="n"/>
      <c r="CN47" s="716" t="n"/>
      <c r="CO47" s="716" t="n"/>
      <c r="CP47" s="716" t="n"/>
      <c r="CQ47" s="716" t="n"/>
    </row>
    <row r="48" ht="16.5" customFormat="1" customHeight="1" s="716">
      <c r="A48" s="716" t="n"/>
      <c r="B48" s="716" t="n"/>
      <c r="C48" s="716" t="n"/>
      <c r="D48" s="716" t="n"/>
      <c r="E48" s="716" t="n"/>
      <c r="F48" s="716" t="n"/>
      <c r="G48" s="716" t="n"/>
      <c r="H48" s="716" t="n"/>
      <c r="I48" s="716" t="n"/>
      <c r="J48" s="716" t="n"/>
      <c r="K48" s="716" t="n"/>
      <c r="L48" s="716" t="n"/>
      <c r="M48" s="716" t="n"/>
      <c r="N48" s="716" t="n"/>
      <c r="O48" s="716" t="n"/>
      <c r="P48" s="716" t="n"/>
      <c r="Q48" s="716" t="n"/>
      <c r="R48" s="716" t="n"/>
      <c r="S48" s="462">
        <f>IF(_epmOfflineCondition_,"钢材产量（万吨）",EPMMemberDesc(U48))</f>
        <v/>
      </c>
      <c r="T48" s="716" t="n"/>
      <c r="U48" s="455" t="inlineStr">
        <is>
          <t>A0800102</t>
        </is>
      </c>
      <c r="V48" s="455">
        <f>IF(_epmOfflineCondition_,"A0800102",EPMOlapMemberO(U48,"[C_ACCOUNT].[PARENTH1].[A0800102]","A0800102 - 钢材产量（万吨）","","000"))</f>
        <v/>
      </c>
      <c r="W48" s="462" t="n"/>
      <c r="X48" s="1389" t="inlineStr">
        <is>
          <t>钢材产量（万吨）</t>
        </is>
      </c>
      <c r="Y48" s="1185">
        <f>ROW()-45</f>
        <v/>
      </c>
      <c r="Z48" s="1307">
        <f>AD48</f>
        <v/>
      </c>
      <c r="AA48" s="1307" t="n"/>
      <c r="AB48" s="1307" t="n"/>
      <c r="AC48" s="1390" t="n"/>
      <c r="AD48" s="1388">
        <f>IF(RIGHT($I$11,2)="01",AA48,AA48-AC48)</f>
        <v/>
      </c>
      <c r="AE48" s="716" t="n"/>
      <c r="AF48" s="716" t="n"/>
      <c r="AG48" s="716" t="n"/>
      <c r="AH48" s="716" t="n"/>
      <c r="AI48" s="716" t="n"/>
      <c r="AJ48" s="716" t="n"/>
      <c r="AK48" s="716" t="n"/>
      <c r="AL48" s="716" t="n"/>
      <c r="AM48" s="716" t="n"/>
      <c r="AN48" s="716" t="n"/>
      <c r="AO48" s="716" t="n"/>
      <c r="AP48" s="716" t="n"/>
      <c r="AQ48" s="716" t="n"/>
      <c r="AR48" s="716" t="n"/>
      <c r="AS48" s="716" t="n"/>
      <c r="AT48" s="716" t="n"/>
      <c r="AU48" s="716" t="n"/>
      <c r="AV48" s="716" t="n"/>
      <c r="AW48" s="716" t="n"/>
      <c r="AX48" s="716" t="n"/>
      <c r="AY48" s="716" t="n"/>
      <c r="AZ48" s="716" t="n"/>
      <c r="BA48" s="716" t="n"/>
      <c r="BB48" s="716" t="n"/>
      <c r="BC48" s="716" t="n"/>
      <c r="BD48" s="716" t="n"/>
      <c r="BE48" s="716" t="n"/>
      <c r="BF48" s="716" t="n"/>
      <c r="BG48" s="716" t="n"/>
      <c r="BH48" s="716" t="n"/>
      <c r="BI48" s="716" t="n"/>
      <c r="BJ48" s="716" t="n"/>
      <c r="BK48" s="716" t="n"/>
      <c r="BL48" s="716" t="n"/>
      <c r="BM48" s="716" t="n"/>
      <c r="BN48" s="716" t="n"/>
      <c r="BO48" s="716" t="n"/>
      <c r="BP48" s="716" t="n"/>
      <c r="BQ48" s="716" t="n"/>
      <c r="BR48" s="716" t="n"/>
      <c r="BS48" s="716" t="n"/>
      <c r="BT48" s="716" t="n"/>
      <c r="BU48" s="716" t="n"/>
      <c r="BV48" s="716" t="n"/>
      <c r="BW48" s="716" t="n"/>
      <c r="BX48" s="716" t="n"/>
      <c r="BY48" s="716" t="n"/>
      <c r="BZ48" s="716" t="n"/>
      <c r="CA48" s="716" t="n"/>
      <c r="CB48" s="716" t="n"/>
      <c r="CC48" s="716" t="n"/>
      <c r="CD48" s="716" t="n"/>
      <c r="CE48" s="716" t="n"/>
      <c r="CF48" s="716" t="n"/>
      <c r="CG48" s="716" t="n"/>
      <c r="CH48" s="716" t="n"/>
      <c r="CI48" s="716" t="n"/>
      <c r="CJ48" s="716" t="n"/>
      <c r="CK48" s="716" t="n"/>
      <c r="CL48" s="716" t="n"/>
      <c r="CM48" s="716" t="n"/>
      <c r="CN48" s="716" t="n"/>
      <c r="CO48" s="716" t="n"/>
      <c r="CP48" s="716" t="n"/>
      <c r="CQ48" s="716" t="n"/>
    </row>
    <row r="49" ht="16.5" customFormat="1" customHeight="1" s="716">
      <c r="A49" s="716" t="n"/>
      <c r="B49" s="716" t="n"/>
      <c r="C49" s="716" t="n"/>
      <c r="D49" s="716" t="n"/>
      <c r="E49" s="716" t="n"/>
      <c r="F49" s="716" t="n"/>
      <c r="G49" s="716" t="n"/>
      <c r="H49" s="716" t="n"/>
      <c r="I49" s="716" t="n"/>
      <c r="J49" s="716" t="n"/>
      <c r="K49" s="716" t="n"/>
      <c r="L49" s="716" t="n"/>
      <c r="M49" s="716" t="n"/>
      <c r="N49" s="716" t="n"/>
      <c r="O49" s="716" t="n"/>
      <c r="P49" s="716" t="n"/>
      <c r="Q49" s="716" t="n"/>
      <c r="R49" s="716" t="n"/>
      <c r="S49" s="462">
        <f>IF(_epmOfflineCondition_,"钢材销售量（万吨）",EPMMemberDesc(U49))</f>
        <v/>
      </c>
      <c r="T49" s="716" t="n"/>
      <c r="U49" s="455" t="inlineStr">
        <is>
          <t>A0800103</t>
        </is>
      </c>
      <c r="V49" s="455">
        <f>IF(_epmOfflineCondition_,"A0800103",EPMOlapMemberO(U49,"[C_ACCOUNT].[PARENTH1].[A0800103]","A0800103 - 钢材销售量（万吨）","","000"))</f>
        <v/>
      </c>
      <c r="W49" s="462" t="n"/>
      <c r="X49" s="1389" t="inlineStr">
        <is>
          <t>钢材销售量（万吨）</t>
        </is>
      </c>
      <c r="Y49" s="1185">
        <f>ROW()-45</f>
        <v/>
      </c>
      <c r="Z49" s="1307">
        <f>AD49</f>
        <v/>
      </c>
      <c r="AA49" s="1307" t="n"/>
      <c r="AB49" s="1307" t="n"/>
      <c r="AC49" s="1390" t="n"/>
      <c r="AD49" s="1388">
        <f>IF(RIGHT($I$11,2)="01",AA49,AA49-AC49)</f>
        <v/>
      </c>
      <c r="AE49" s="716" t="n"/>
      <c r="AF49" s="716" t="n"/>
      <c r="AG49" s="716" t="n"/>
      <c r="AH49" s="716" t="n"/>
      <c r="AI49" s="716" t="n"/>
      <c r="AJ49" s="716" t="n"/>
      <c r="AK49" s="716" t="n"/>
      <c r="AL49" s="716" t="n"/>
      <c r="AM49" s="716" t="n"/>
      <c r="AN49" s="716" t="n"/>
      <c r="AO49" s="716" t="n"/>
      <c r="AP49" s="716" t="n"/>
      <c r="AQ49" s="716" t="n"/>
      <c r="AR49" s="716" t="n"/>
      <c r="AS49" s="716" t="n"/>
      <c r="AT49" s="716" t="n"/>
      <c r="AU49" s="716" t="n"/>
      <c r="AV49" s="716" t="n"/>
      <c r="AW49" s="716" t="n"/>
      <c r="AX49" s="716" t="n"/>
      <c r="AY49" s="716" t="n"/>
      <c r="AZ49" s="716" t="n"/>
      <c r="BA49" s="716" t="n"/>
      <c r="BB49" s="716" t="n"/>
      <c r="BC49" s="716" t="n"/>
      <c r="BD49" s="716" t="n"/>
      <c r="BE49" s="716" t="n"/>
      <c r="BF49" s="716" t="n"/>
      <c r="BG49" s="716" t="n"/>
      <c r="BH49" s="716" t="n"/>
      <c r="BI49" s="716" t="n"/>
      <c r="BJ49" s="716" t="n"/>
      <c r="BK49" s="716" t="n"/>
      <c r="BL49" s="716" t="n"/>
      <c r="BM49" s="716" t="n"/>
      <c r="BN49" s="716" t="n"/>
      <c r="BO49" s="716" t="n"/>
      <c r="BP49" s="716" t="n"/>
      <c r="BQ49" s="716" t="n"/>
      <c r="BR49" s="716" t="n"/>
      <c r="BS49" s="716" t="n"/>
      <c r="BT49" s="716" t="n"/>
      <c r="BU49" s="716" t="n"/>
      <c r="BV49" s="716" t="n"/>
      <c r="BW49" s="716" t="n"/>
      <c r="BX49" s="716" t="n"/>
      <c r="BY49" s="716" t="n"/>
      <c r="BZ49" s="716" t="n"/>
      <c r="CA49" s="716" t="n"/>
      <c r="CB49" s="716" t="n"/>
      <c r="CC49" s="716" t="n"/>
      <c r="CD49" s="716" t="n"/>
      <c r="CE49" s="716" t="n"/>
      <c r="CF49" s="716" t="n"/>
      <c r="CG49" s="716" t="n"/>
      <c r="CH49" s="716" t="n"/>
      <c r="CI49" s="716" t="n"/>
      <c r="CJ49" s="716" t="n"/>
      <c r="CK49" s="716" t="n"/>
      <c r="CL49" s="716" t="n"/>
      <c r="CM49" s="716" t="n"/>
      <c r="CN49" s="716" t="n"/>
      <c r="CO49" s="716" t="n"/>
      <c r="CP49" s="716" t="n"/>
      <c r="CQ49" s="716" t="n"/>
    </row>
    <row r="50" ht="16.5" customFormat="1" customHeight="1" s="716">
      <c r="A50" s="716" t="n"/>
      <c r="B50" s="716" t="n"/>
      <c r="C50" s="716" t="n"/>
      <c r="D50" s="716" t="n"/>
      <c r="E50" s="716" t="n"/>
      <c r="F50" s="716" t="n"/>
      <c r="G50" s="716" t="n"/>
      <c r="H50" s="716" t="n"/>
      <c r="I50" s="716" t="n"/>
      <c r="J50" s="716" t="n"/>
      <c r="K50" s="716" t="n"/>
      <c r="L50" s="716" t="n"/>
      <c r="M50" s="716" t="n"/>
      <c r="N50" s="716" t="n"/>
      <c r="O50" s="716" t="n"/>
      <c r="P50" s="716" t="n"/>
      <c r="Q50" s="716" t="n"/>
      <c r="R50" s="716" t="n"/>
      <c r="S50" s="462">
        <f>IF(_epmOfflineCondition_,"钢材出口量（万吨）",EPMMemberDesc(U50))</f>
        <v/>
      </c>
      <c r="T50" s="716" t="n"/>
      <c r="U50" s="455" t="inlineStr">
        <is>
          <t>A0800104</t>
        </is>
      </c>
      <c r="V50" s="455">
        <f>IF(_epmOfflineCondition_,"A0800104",EPMOlapMemberO(U50,"[C_ACCOUNT].[PARENTH1].[A0800104]","A0800104 - 钢材出口量（万吨）","","000"))</f>
        <v/>
      </c>
      <c r="W50" s="462" t="n"/>
      <c r="X50" s="1391" t="inlineStr">
        <is>
          <t>钢材出口量（万吨）</t>
        </is>
      </c>
      <c r="Y50" s="1185">
        <f>ROW()-45</f>
        <v/>
      </c>
      <c r="Z50" s="1307">
        <f>AD50</f>
        <v/>
      </c>
      <c r="AA50" s="1307" t="n"/>
      <c r="AB50" s="1307" t="n"/>
      <c r="AC50" s="1390" t="n"/>
      <c r="AD50" s="1388">
        <f>IF(RIGHT($I$11,2)="01",AA50,AA50-AC50)</f>
        <v/>
      </c>
      <c r="AE50" s="716" t="n"/>
      <c r="AF50" s="716" t="n"/>
      <c r="AG50" s="716" t="n"/>
      <c r="AH50" s="716" t="n"/>
      <c r="AI50" s="716" t="n"/>
      <c r="AJ50" s="716" t="n"/>
      <c r="AK50" s="716" t="n"/>
      <c r="AL50" s="716" t="n"/>
      <c r="AM50" s="716" t="n"/>
      <c r="AN50" s="716" t="n"/>
      <c r="AO50" s="716" t="n"/>
      <c r="AP50" s="716" t="n"/>
      <c r="AQ50" s="716" t="n"/>
      <c r="AR50" s="716" t="n"/>
      <c r="AS50" s="716" t="n"/>
      <c r="AT50" s="716" t="n"/>
      <c r="AU50" s="716" t="n"/>
      <c r="AV50" s="716" t="n"/>
      <c r="AW50" s="716" t="n"/>
      <c r="AX50" s="716" t="n"/>
      <c r="AY50" s="716" t="n"/>
      <c r="AZ50" s="716" t="n"/>
      <c r="BA50" s="716" t="n"/>
      <c r="BB50" s="716" t="n"/>
      <c r="BC50" s="716" t="n"/>
      <c r="BD50" s="716" t="n"/>
      <c r="BE50" s="716" t="n"/>
      <c r="BF50" s="716" t="n"/>
      <c r="BG50" s="716" t="n"/>
      <c r="BH50" s="716" t="n"/>
      <c r="BI50" s="716" t="n"/>
      <c r="BJ50" s="716" t="n"/>
      <c r="BK50" s="716" t="n"/>
      <c r="BL50" s="716" t="n"/>
      <c r="BM50" s="716" t="n"/>
      <c r="BN50" s="716" t="n"/>
      <c r="BO50" s="716" t="n"/>
      <c r="BP50" s="716" t="n"/>
      <c r="BQ50" s="716" t="n"/>
      <c r="BR50" s="716" t="n"/>
      <c r="BS50" s="716" t="n"/>
      <c r="BT50" s="716" t="n"/>
      <c r="BU50" s="716" t="n"/>
      <c r="BV50" s="716" t="n"/>
      <c r="BW50" s="716" t="n"/>
      <c r="BX50" s="716" t="n"/>
      <c r="BY50" s="716" t="n"/>
      <c r="BZ50" s="716" t="n"/>
      <c r="CA50" s="716" t="n"/>
      <c r="CB50" s="716" t="n"/>
      <c r="CC50" s="716" t="n"/>
      <c r="CD50" s="716" t="n"/>
      <c r="CE50" s="716" t="n"/>
      <c r="CF50" s="716" t="n"/>
      <c r="CG50" s="716" t="n"/>
      <c r="CH50" s="716" t="n"/>
      <c r="CI50" s="716" t="n"/>
      <c r="CJ50" s="716" t="n"/>
      <c r="CK50" s="716" t="n"/>
      <c r="CL50" s="716" t="n"/>
      <c r="CM50" s="716" t="n"/>
      <c r="CN50" s="716" t="n"/>
      <c r="CO50" s="716" t="n"/>
      <c r="CP50" s="716" t="n"/>
      <c r="CQ50" s="716" t="n"/>
    </row>
    <row r="51" ht="16.5" customFormat="1" customHeight="1" s="716">
      <c r="A51" s="716" t="n"/>
      <c r="B51" s="716" t="n"/>
      <c r="C51" s="716" t="n"/>
      <c r="D51" s="716" t="n"/>
      <c r="E51" s="716" t="n"/>
      <c r="F51" s="716" t="n"/>
      <c r="G51" s="716" t="n"/>
      <c r="H51" s="716" t="n"/>
      <c r="I51" s="716" t="n"/>
      <c r="J51" s="716" t="n"/>
      <c r="K51" s="716" t="n"/>
      <c r="L51" s="716" t="n"/>
      <c r="M51" s="716" t="n"/>
      <c r="N51" s="716" t="n"/>
      <c r="O51" s="716" t="n"/>
      <c r="P51" s="716" t="n"/>
      <c r="Q51" s="716" t="n"/>
      <c r="R51" s="716" t="n"/>
      <c r="S51" s="462">
        <f>IF(_epmOfflineCondition_,"钢材平均销售价格（元/吨）",EPMMemberDesc(U51))</f>
        <v/>
      </c>
      <c r="T51" s="716" t="n"/>
      <c r="U51" s="455" t="inlineStr">
        <is>
          <t>A0800105</t>
        </is>
      </c>
      <c r="V51" s="455">
        <f>IF(_epmOfflineCondition_,"A0800105",EPMOlapMemberO(U51,"[C_ACCOUNT].[PARENTH1].[A0800105]","A0800105 - 钢材平均销售价格（元/吨）","","000"))</f>
        <v/>
      </c>
      <c r="W51" s="462" t="n"/>
      <c r="X51" s="1391" t="inlineStr">
        <is>
          <t>钢材平均销售价格（元/吨）</t>
        </is>
      </c>
      <c r="Y51" s="1185">
        <f>ROW()-45</f>
        <v/>
      </c>
      <c r="Z51" s="1307" t="inlineStr"/>
      <c r="AA51" s="1307" t="inlineStr"/>
      <c r="AB51" s="1307">
        <f>IF(_epmOfflineCondition_,0,EPMRetrieveData(,U51,$AB$41,$AB$42,$AB$43,$AB$44,$AB$45,$D$21,C22,$D$31,$D$25,$D$26,$D$27,$D$28))</f>
        <v/>
      </c>
      <c r="AC51" s="1390" t="n"/>
      <c r="AD51" s="1388" t="n"/>
      <c r="AE51" s="716" t="n"/>
      <c r="AF51" s="716" t="n"/>
      <c r="AG51" s="716" t="n"/>
      <c r="AH51" s="716" t="n"/>
      <c r="AI51" s="716" t="n"/>
      <c r="AJ51" s="716" t="n"/>
      <c r="AK51" s="716" t="n"/>
      <c r="AL51" s="716" t="n"/>
      <c r="AM51" s="716" t="n"/>
      <c r="AN51" s="716" t="n"/>
      <c r="AO51" s="716" t="n"/>
      <c r="AP51" s="716" t="n"/>
      <c r="AQ51" s="716" t="n"/>
      <c r="AR51" s="716" t="n"/>
      <c r="AS51" s="716" t="n"/>
      <c r="AT51" s="716" t="n"/>
      <c r="AU51" s="716" t="n"/>
      <c r="AV51" s="716" t="n"/>
      <c r="AW51" s="716" t="n"/>
      <c r="AX51" s="716" t="n"/>
      <c r="AY51" s="716" t="n"/>
      <c r="AZ51" s="716" t="n"/>
      <c r="BA51" s="716" t="n"/>
      <c r="BB51" s="716" t="n"/>
      <c r="BC51" s="716" t="n"/>
      <c r="BD51" s="716" t="n"/>
      <c r="BE51" s="716" t="n"/>
      <c r="BF51" s="716" t="n"/>
      <c r="BG51" s="716" t="n"/>
      <c r="BH51" s="716" t="n"/>
      <c r="BI51" s="716" t="n"/>
      <c r="BJ51" s="716" t="n"/>
      <c r="BK51" s="716" t="n"/>
      <c r="BL51" s="716" t="n"/>
      <c r="BM51" s="716" t="n"/>
      <c r="BN51" s="716" t="n"/>
      <c r="BO51" s="716" t="n"/>
      <c r="BP51" s="716" t="n"/>
      <c r="BQ51" s="716" t="n"/>
      <c r="BR51" s="716" t="n"/>
      <c r="BS51" s="716" t="n"/>
      <c r="BT51" s="716" t="n"/>
      <c r="BU51" s="716" t="n"/>
      <c r="BV51" s="716" t="n"/>
      <c r="BW51" s="716" t="n"/>
      <c r="BX51" s="716" t="n"/>
      <c r="BY51" s="716" t="n"/>
      <c r="BZ51" s="716" t="n"/>
      <c r="CA51" s="716" t="n"/>
      <c r="CB51" s="716" t="n"/>
      <c r="CC51" s="716" t="n"/>
      <c r="CD51" s="716" t="n"/>
      <c r="CE51" s="716" t="n"/>
      <c r="CF51" s="716" t="n"/>
      <c r="CG51" s="716" t="n"/>
      <c r="CH51" s="716" t="n"/>
      <c r="CI51" s="716" t="n"/>
      <c r="CJ51" s="716" t="n"/>
      <c r="CK51" s="716" t="n"/>
      <c r="CL51" s="716" t="n"/>
      <c r="CM51" s="716" t="n"/>
      <c r="CN51" s="716" t="n"/>
      <c r="CO51" s="716" t="n"/>
      <c r="CP51" s="716" t="n"/>
      <c r="CQ51" s="716" t="n"/>
    </row>
    <row r="52" ht="16.5" customFormat="1" customHeight="1" s="716">
      <c r="A52" s="716" t="n"/>
      <c r="B52" s="716" t="n"/>
      <c r="C52" s="716" t="n"/>
      <c r="D52" s="716" t="n"/>
      <c r="E52" s="716" t="n"/>
      <c r="F52" s="716" t="n"/>
      <c r="G52" s="716" t="n"/>
      <c r="H52" s="716" t="n"/>
      <c r="I52" s="716" t="n"/>
      <c r="J52" s="716" t="n"/>
      <c r="K52" s="716" t="n"/>
      <c r="L52" s="716" t="n"/>
      <c r="M52" s="716" t="n"/>
      <c r="N52" s="716" t="n"/>
      <c r="O52" s="716" t="n"/>
      <c r="P52" s="716" t="n"/>
      <c r="Q52" s="716" t="n"/>
      <c r="R52" s="716" t="n"/>
      <c r="S52" s="462">
        <f>IF(_epmOfflineCondition_,"原煤产量（万吨）",EPMMemberDesc(U52))</f>
        <v/>
      </c>
      <c r="T52" s="716" t="n"/>
      <c r="U52" s="455" t="inlineStr">
        <is>
          <t>A0800106</t>
        </is>
      </c>
      <c r="V52" s="455">
        <f>IF(_epmOfflineCondition_,"A0800106",EPMOlapMemberO(U52,"[C_ACCOUNT].[PARENTH1].[A0800106]","A0800106 - 原煤产量（万吨）","","000"))</f>
        <v/>
      </c>
      <c r="W52" s="462" t="n"/>
      <c r="X52" s="1391" t="inlineStr">
        <is>
          <t>原煤产量（万吨）</t>
        </is>
      </c>
      <c r="Y52" s="1185">
        <f>ROW()-45</f>
        <v/>
      </c>
      <c r="Z52" s="1307">
        <f>AD52</f>
        <v/>
      </c>
      <c r="AA52" s="1307" t="n"/>
      <c r="AB52" s="1307" t="n"/>
      <c r="AC52" s="1390" t="n"/>
      <c r="AD52" s="1388">
        <f>IF(RIGHT($I$11,2)="01",AA52,AA52-AC52)</f>
        <v/>
      </c>
      <c r="AE52" s="716" t="n"/>
      <c r="AF52" s="716" t="n"/>
      <c r="AG52" s="716" t="n"/>
      <c r="AH52" s="716" t="n"/>
      <c r="AI52" s="716" t="n"/>
      <c r="AJ52" s="716" t="n"/>
      <c r="AK52" s="716" t="n"/>
      <c r="AL52" s="716" t="n"/>
      <c r="AM52" s="716" t="n"/>
      <c r="AN52" s="716" t="n"/>
      <c r="AO52" s="716" t="n"/>
      <c r="AP52" s="716" t="n"/>
      <c r="AQ52" s="716" t="n"/>
      <c r="AR52" s="716" t="n"/>
      <c r="AS52" s="716" t="n"/>
      <c r="AT52" s="716" t="n"/>
      <c r="AU52" s="716" t="n"/>
      <c r="AV52" s="716" t="n"/>
      <c r="AW52" s="716" t="n"/>
      <c r="AX52" s="716" t="n"/>
      <c r="AY52" s="716" t="n"/>
      <c r="AZ52" s="716" t="n"/>
      <c r="BA52" s="716" t="n"/>
      <c r="BB52" s="716" t="n"/>
      <c r="BC52" s="716" t="n"/>
      <c r="BD52" s="716" t="n"/>
      <c r="BE52" s="716" t="n"/>
      <c r="BF52" s="716" t="n"/>
      <c r="BG52" s="716" t="n"/>
      <c r="BH52" s="716" t="n"/>
      <c r="BI52" s="716" t="n"/>
      <c r="BJ52" s="716" t="n"/>
      <c r="BK52" s="716" t="n"/>
      <c r="BL52" s="716" t="n"/>
      <c r="BM52" s="716" t="n"/>
      <c r="BN52" s="716" t="n"/>
      <c r="BO52" s="716" t="n"/>
      <c r="BP52" s="716" t="n"/>
      <c r="BQ52" s="716" t="n"/>
      <c r="BR52" s="716" t="n"/>
      <c r="BS52" s="716" t="n"/>
      <c r="BT52" s="716" t="n"/>
      <c r="BU52" s="716" t="n"/>
      <c r="BV52" s="716" t="n"/>
      <c r="BW52" s="716" t="n"/>
      <c r="BX52" s="716" t="n"/>
      <c r="BY52" s="716" t="n"/>
      <c r="BZ52" s="716" t="n"/>
      <c r="CA52" s="716" t="n"/>
      <c r="CB52" s="716" t="n"/>
      <c r="CC52" s="716" t="n"/>
      <c r="CD52" s="716" t="n"/>
      <c r="CE52" s="716" t="n"/>
      <c r="CF52" s="716" t="n"/>
      <c r="CG52" s="716" t="n"/>
      <c r="CH52" s="716" t="n"/>
      <c r="CI52" s="716" t="n"/>
      <c r="CJ52" s="716" t="n"/>
      <c r="CK52" s="716" t="n"/>
      <c r="CL52" s="716" t="n"/>
      <c r="CM52" s="716" t="n"/>
      <c r="CN52" s="716" t="n"/>
      <c r="CO52" s="716" t="n"/>
      <c r="CP52" s="716" t="n"/>
      <c r="CQ52" s="716" t="n"/>
    </row>
    <row r="53" ht="16.5" customFormat="1" customHeight="1" s="716">
      <c r="A53" s="716" t="n"/>
      <c r="B53" s="716" t="n"/>
      <c r="C53" s="716" t="n"/>
      <c r="D53" s="716" t="n"/>
      <c r="E53" s="716" t="n"/>
      <c r="F53" s="716" t="n"/>
      <c r="G53" s="716" t="n"/>
      <c r="H53" s="716" t="n"/>
      <c r="I53" s="716" t="n"/>
      <c r="J53" s="716" t="n"/>
      <c r="K53" s="716" t="n"/>
      <c r="L53" s="716" t="n"/>
      <c r="M53" s="716" t="n"/>
      <c r="N53" s="716" t="n"/>
      <c r="O53" s="716" t="n"/>
      <c r="P53" s="716" t="n"/>
      <c r="Q53" s="716" t="n"/>
      <c r="R53" s="716" t="n"/>
      <c r="S53" s="462">
        <f>IF(_epmOfflineCondition_,"商品煤销售量（万吨）",EPMMemberDesc(U53))</f>
        <v/>
      </c>
      <c r="T53" s="716" t="n"/>
      <c r="U53" s="455" t="inlineStr">
        <is>
          <t>A0800107</t>
        </is>
      </c>
      <c r="V53" s="455">
        <f>IF(_epmOfflineCondition_,"A0800107",EPMOlapMemberO(U53,"[C_ACCOUNT].[PARENTH1].[A0800107]","A0800107 - 商品煤销售量（万吨）","","000"))</f>
        <v/>
      </c>
      <c r="W53" s="462" t="n"/>
      <c r="X53" s="1391" t="inlineStr">
        <is>
          <t>商品煤销售量（万吨）</t>
        </is>
      </c>
      <c r="Y53" s="1185">
        <f>ROW()-45</f>
        <v/>
      </c>
      <c r="Z53" s="1307">
        <f>AD53</f>
        <v/>
      </c>
      <c r="AA53" s="1307" t="n"/>
      <c r="AB53" s="1307" t="n"/>
      <c r="AC53" s="1390" t="n"/>
      <c r="AD53" s="1388">
        <f>IF(RIGHT($I$11,2)="01",AA53,AA53-AC53)</f>
        <v/>
      </c>
      <c r="AE53" s="716" t="n"/>
      <c r="AF53" s="716" t="n"/>
      <c r="AG53" s="716" t="n"/>
      <c r="AH53" s="716" t="n"/>
      <c r="AI53" s="716" t="n"/>
      <c r="AJ53" s="716" t="n"/>
      <c r="AK53" s="716" t="n"/>
      <c r="AL53" s="716" t="n"/>
      <c r="AM53" s="716" t="n"/>
      <c r="AN53" s="716" t="n"/>
      <c r="AO53" s="716" t="n"/>
      <c r="AP53" s="716" t="n"/>
      <c r="AQ53" s="716" t="n"/>
      <c r="AR53" s="716" t="n"/>
      <c r="AS53" s="716" t="n"/>
      <c r="AT53" s="716" t="n"/>
      <c r="AU53" s="716" t="n"/>
      <c r="AV53" s="716" t="n"/>
      <c r="AW53" s="716" t="n"/>
      <c r="AX53" s="716" t="n"/>
      <c r="AY53" s="716" t="n"/>
      <c r="AZ53" s="716" t="n"/>
      <c r="BA53" s="716" t="n"/>
      <c r="BB53" s="716" t="n"/>
      <c r="BC53" s="716" t="n"/>
      <c r="BD53" s="716" t="n"/>
      <c r="BE53" s="716" t="n"/>
      <c r="BF53" s="716" t="n"/>
      <c r="BG53" s="716" t="n"/>
      <c r="BH53" s="716" t="n"/>
      <c r="BI53" s="716" t="n"/>
      <c r="BJ53" s="716" t="n"/>
      <c r="BK53" s="716" t="n"/>
      <c r="BL53" s="716" t="n"/>
      <c r="BM53" s="716" t="n"/>
      <c r="BN53" s="716" t="n"/>
      <c r="BO53" s="716" t="n"/>
      <c r="BP53" s="716" t="n"/>
      <c r="BQ53" s="716" t="n"/>
      <c r="BR53" s="716" t="n"/>
      <c r="BS53" s="716" t="n"/>
      <c r="BT53" s="716" t="n"/>
      <c r="BU53" s="716" t="n"/>
      <c r="BV53" s="716" t="n"/>
      <c r="BW53" s="716" t="n"/>
      <c r="BX53" s="716" t="n"/>
      <c r="BY53" s="716" t="n"/>
      <c r="BZ53" s="716" t="n"/>
      <c r="CA53" s="716" t="n"/>
      <c r="CB53" s="716" t="n"/>
      <c r="CC53" s="716" t="n"/>
      <c r="CD53" s="716" t="n"/>
      <c r="CE53" s="716" t="n"/>
      <c r="CF53" s="716" t="n"/>
      <c r="CG53" s="716" t="n"/>
      <c r="CH53" s="716" t="n"/>
      <c r="CI53" s="716" t="n"/>
      <c r="CJ53" s="716" t="n"/>
      <c r="CK53" s="716" t="n"/>
      <c r="CL53" s="716" t="n"/>
      <c r="CM53" s="716" t="n"/>
      <c r="CN53" s="716" t="n"/>
      <c r="CO53" s="716" t="n"/>
      <c r="CP53" s="716" t="n"/>
      <c r="CQ53" s="716" t="n"/>
    </row>
    <row r="54" ht="16.5" customFormat="1" customHeight="1" s="716">
      <c r="A54" s="716" t="n"/>
      <c r="B54" s="716" t="n"/>
      <c r="C54" s="716" t="n"/>
      <c r="D54" s="716" t="n"/>
      <c r="E54" s="716" t="n"/>
      <c r="F54" s="716" t="n"/>
      <c r="G54" s="716" t="n"/>
      <c r="H54" s="716" t="n"/>
      <c r="I54" s="716" t="n"/>
      <c r="J54" s="716" t="n"/>
      <c r="K54" s="716" t="n"/>
      <c r="L54" s="716" t="n"/>
      <c r="M54" s="716" t="n"/>
      <c r="N54" s="716" t="n"/>
      <c r="O54" s="716" t="n"/>
      <c r="P54" s="716" t="n"/>
      <c r="Q54" s="716" t="n"/>
      <c r="R54" s="716" t="n"/>
      <c r="S54" s="462">
        <f>IF(_epmOfflineCondition_,"煤炭出口量（万吨）",EPMMemberDesc(U54))</f>
        <v/>
      </c>
      <c r="T54" s="716" t="n"/>
      <c r="U54" s="455" t="inlineStr">
        <is>
          <t>A0800108</t>
        </is>
      </c>
      <c r="V54" s="455">
        <f>IF(_epmOfflineCondition_,"A0800108",EPMOlapMemberO(U54,"[C_ACCOUNT].[PARENTH1].[A0800108]","A0800108 - 煤炭出口量（万吨）","","000"))</f>
        <v/>
      </c>
      <c r="W54" s="462" t="n"/>
      <c r="X54" s="1391" t="inlineStr">
        <is>
          <t>煤炭出口量（万吨）</t>
        </is>
      </c>
      <c r="Y54" s="1185">
        <f>ROW()-45</f>
        <v/>
      </c>
      <c r="Z54" s="1307">
        <f>AD54</f>
        <v/>
      </c>
      <c r="AA54" s="1307" t="n"/>
      <c r="AB54" s="1307" t="n"/>
      <c r="AC54" s="1390" t="n"/>
      <c r="AD54" s="1388">
        <f>IF(RIGHT($I$11,2)="01",AA54,AA54-AC54)</f>
        <v/>
      </c>
      <c r="AE54" s="716" t="n"/>
      <c r="AF54" s="716" t="n"/>
      <c r="AG54" s="716" t="n"/>
      <c r="AH54" s="716" t="n"/>
      <c r="AI54" s="716" t="n"/>
      <c r="AJ54" s="716" t="n"/>
      <c r="AK54" s="716" t="n"/>
      <c r="AL54" s="716" t="n"/>
      <c r="AM54" s="716" t="n"/>
      <c r="AN54" s="716" t="n"/>
      <c r="AO54" s="716" t="n"/>
      <c r="AP54" s="716" t="n"/>
      <c r="AQ54" s="716" t="n"/>
      <c r="AR54" s="716" t="n"/>
      <c r="AS54" s="716" t="n"/>
      <c r="AT54" s="716" t="n"/>
      <c r="AU54" s="716" t="n"/>
      <c r="AV54" s="716" t="n"/>
      <c r="AW54" s="716" t="n"/>
      <c r="AX54" s="716" t="n"/>
      <c r="AY54" s="716" t="n"/>
      <c r="AZ54" s="716" t="n"/>
      <c r="BA54" s="716" t="n"/>
      <c r="BB54" s="716" t="n"/>
      <c r="BC54" s="716" t="n"/>
      <c r="BD54" s="716" t="n"/>
      <c r="BE54" s="716" t="n"/>
      <c r="BF54" s="716" t="n"/>
      <c r="BG54" s="716" t="n"/>
      <c r="BH54" s="716" t="n"/>
      <c r="BI54" s="716" t="n"/>
      <c r="BJ54" s="716" t="n"/>
      <c r="BK54" s="716" t="n"/>
      <c r="BL54" s="716" t="n"/>
      <c r="BM54" s="716" t="n"/>
      <c r="BN54" s="716" t="n"/>
      <c r="BO54" s="716" t="n"/>
      <c r="BP54" s="716" t="n"/>
      <c r="BQ54" s="716" t="n"/>
      <c r="BR54" s="716" t="n"/>
      <c r="BS54" s="716" t="n"/>
      <c r="BT54" s="716" t="n"/>
      <c r="BU54" s="716" t="n"/>
      <c r="BV54" s="716" t="n"/>
      <c r="BW54" s="716" t="n"/>
      <c r="BX54" s="716" t="n"/>
      <c r="BY54" s="716" t="n"/>
      <c r="BZ54" s="716" t="n"/>
      <c r="CA54" s="716" t="n"/>
      <c r="CB54" s="716" t="n"/>
      <c r="CC54" s="716" t="n"/>
      <c r="CD54" s="716" t="n"/>
      <c r="CE54" s="716" t="n"/>
      <c r="CF54" s="716" t="n"/>
      <c r="CG54" s="716" t="n"/>
      <c r="CH54" s="716" t="n"/>
      <c r="CI54" s="716" t="n"/>
      <c r="CJ54" s="716" t="n"/>
      <c r="CK54" s="716" t="n"/>
      <c r="CL54" s="716" t="n"/>
      <c r="CM54" s="716" t="n"/>
      <c r="CN54" s="716" t="n"/>
      <c r="CO54" s="716" t="n"/>
      <c r="CP54" s="716" t="n"/>
      <c r="CQ54" s="716" t="n"/>
    </row>
    <row r="55" ht="16.5" customFormat="1" customHeight="1" s="716">
      <c r="A55" s="716" t="n"/>
      <c r="B55" s="716" t="n"/>
      <c r="C55" s="716" t="n"/>
      <c r="D55" s="716" t="n"/>
      <c r="E55" s="716" t="n"/>
      <c r="F55" s="716" t="n"/>
      <c r="G55" s="716" t="n"/>
      <c r="H55" s="716" t="n"/>
      <c r="I55" s="716" t="n"/>
      <c r="J55" s="716" t="n"/>
      <c r="K55" s="716" t="n"/>
      <c r="L55" s="716" t="n"/>
      <c r="M55" s="716" t="n"/>
      <c r="N55" s="716" t="n"/>
      <c r="O55" s="716" t="n"/>
      <c r="P55" s="716" t="n"/>
      <c r="Q55" s="716" t="n"/>
      <c r="R55" s="716" t="n"/>
      <c r="S55" s="462">
        <f>IF(_epmOfflineCondition_,"商品煤平均销售价格（元/吨）",EPMMemberDesc(U55))</f>
        <v/>
      </c>
      <c r="T55" s="716" t="n"/>
      <c r="U55" s="455" t="inlineStr">
        <is>
          <t>A0800109</t>
        </is>
      </c>
      <c r="V55" s="455">
        <f>IF(_epmOfflineCondition_,"A0800109",EPMOlapMemberO(U55,"[C_ACCOUNT].[PARENTH1].[A0800109]","A0800109 - 商品煤平均销售价格（元/吨）","","000"))</f>
        <v/>
      </c>
      <c r="W55" s="462" t="n"/>
      <c r="X55" s="1391" t="inlineStr">
        <is>
          <t>商品煤平均销售价格（元/吨）</t>
        </is>
      </c>
      <c r="Y55" s="1185">
        <f>ROW()-45</f>
        <v/>
      </c>
      <c r="Z55" s="1307" t="inlineStr"/>
      <c r="AA55" s="1307" t="inlineStr"/>
      <c r="AB55" s="1307">
        <f>IF(_epmOfflineCondition_,0,EPMRetrieveData(,U55,$AB$41,$AB$42,$AB$43,$AB$44,$AB$45,$D$21,C22,$D$31,$D$25,$D$26,$D$27,$D$28))</f>
        <v/>
      </c>
      <c r="AC55" s="1390" t="n"/>
      <c r="AD55" s="1388" t="n"/>
      <c r="AE55" s="716" t="n"/>
      <c r="AF55" s="716" t="n"/>
      <c r="AG55" s="716" t="n"/>
      <c r="AH55" s="716" t="n"/>
      <c r="AI55" s="716" t="n"/>
      <c r="AJ55" s="716" t="n"/>
      <c r="AK55" s="716" t="n"/>
      <c r="AL55" s="716" t="n"/>
      <c r="AM55" s="716" t="n"/>
      <c r="AN55" s="716" t="n"/>
      <c r="AO55" s="716" t="n"/>
      <c r="AP55" s="716" t="n"/>
      <c r="AQ55" s="716" t="n"/>
      <c r="AR55" s="716" t="n"/>
      <c r="AS55" s="716" t="n"/>
      <c r="AT55" s="716" t="n"/>
      <c r="AU55" s="716" t="n"/>
      <c r="AV55" s="716" t="n"/>
      <c r="AW55" s="716" t="n"/>
      <c r="AX55" s="716" t="n"/>
      <c r="AY55" s="716" t="n"/>
      <c r="AZ55" s="716" t="n"/>
      <c r="BA55" s="716" t="n"/>
      <c r="BB55" s="716" t="n"/>
      <c r="BC55" s="716" t="n"/>
      <c r="BD55" s="716" t="n"/>
      <c r="BE55" s="716" t="n"/>
      <c r="BF55" s="716" t="n"/>
      <c r="BG55" s="716" t="n"/>
      <c r="BH55" s="716" t="n"/>
      <c r="BI55" s="716" t="n"/>
      <c r="BJ55" s="716" t="n"/>
      <c r="BK55" s="716" t="n"/>
      <c r="BL55" s="716" t="n"/>
      <c r="BM55" s="716" t="n"/>
      <c r="BN55" s="716" t="n"/>
      <c r="BO55" s="716" t="n"/>
      <c r="BP55" s="716" t="n"/>
      <c r="BQ55" s="716" t="n"/>
      <c r="BR55" s="716" t="n"/>
      <c r="BS55" s="716" t="n"/>
      <c r="BT55" s="716" t="n"/>
      <c r="BU55" s="716" t="n"/>
      <c r="BV55" s="716" t="n"/>
      <c r="BW55" s="716" t="n"/>
      <c r="BX55" s="716" t="n"/>
      <c r="BY55" s="716" t="n"/>
      <c r="BZ55" s="716" t="n"/>
      <c r="CA55" s="716" t="n"/>
      <c r="CB55" s="716" t="n"/>
      <c r="CC55" s="716" t="n"/>
      <c r="CD55" s="716" t="n"/>
      <c r="CE55" s="716" t="n"/>
      <c r="CF55" s="716" t="n"/>
      <c r="CG55" s="716" t="n"/>
      <c r="CH55" s="716" t="n"/>
      <c r="CI55" s="716" t="n"/>
      <c r="CJ55" s="716" t="n"/>
      <c r="CK55" s="716" t="n"/>
      <c r="CL55" s="716" t="n"/>
      <c r="CM55" s="716" t="n"/>
      <c r="CN55" s="716" t="n"/>
      <c r="CO55" s="716" t="n"/>
      <c r="CP55" s="716" t="n"/>
      <c r="CQ55" s="716" t="n"/>
    </row>
    <row r="56" ht="16.5" customFormat="1" customHeight="1" s="716">
      <c r="A56" s="716" t="n"/>
      <c r="B56" s="716" t="n"/>
      <c r="C56" s="716" t="n"/>
      <c r="D56" s="716" t="n"/>
      <c r="E56" s="716" t="n"/>
      <c r="F56" s="716" t="n"/>
      <c r="G56" s="716" t="n"/>
      <c r="H56" s="716" t="n"/>
      <c r="I56" s="716" t="n"/>
      <c r="J56" s="716" t="n"/>
      <c r="K56" s="716" t="n"/>
      <c r="L56" s="716" t="n"/>
      <c r="M56" s="716" t="n"/>
      <c r="N56" s="716" t="n"/>
      <c r="O56" s="716" t="n"/>
      <c r="P56" s="716" t="n"/>
      <c r="Q56" s="716" t="n"/>
      <c r="R56" s="716" t="n"/>
      <c r="S56" s="462">
        <f>IF(_epmOfflineCondition_,"汽车产量（万辆）",EPMMemberDesc(U56))</f>
        <v/>
      </c>
      <c r="T56" s="716" t="n"/>
      <c r="U56" s="455" t="inlineStr">
        <is>
          <t>A0800110</t>
        </is>
      </c>
      <c r="V56" s="455">
        <f>IF(_epmOfflineCondition_,"A0800110",EPMOlapMemberO(U56,"[C_ACCOUNT].[PARENTH1].[A0800110]","A0800110 - 汽车产量（万辆）","","000"))</f>
        <v/>
      </c>
      <c r="W56" s="462" t="n"/>
      <c r="X56" s="1391" t="inlineStr">
        <is>
          <t>汽车产量（万辆）</t>
        </is>
      </c>
      <c r="Y56" s="1185">
        <f>ROW()-45</f>
        <v/>
      </c>
      <c r="Z56" s="1307">
        <f>AD56</f>
        <v/>
      </c>
      <c r="AA56" s="1307" t="n"/>
      <c r="AB56" s="1307" t="n"/>
      <c r="AC56" s="1390" t="n"/>
      <c r="AD56" s="1388">
        <f>IF(RIGHT($I$11,2)="01",AA56,AA56-AC56)</f>
        <v/>
      </c>
      <c r="AE56" s="716" t="n"/>
      <c r="AF56" s="716" t="n"/>
      <c r="AG56" s="716" t="n"/>
      <c r="AH56" s="716" t="n"/>
      <c r="AI56" s="716" t="n"/>
      <c r="AJ56" s="716" t="n"/>
      <c r="AK56" s="716" t="n"/>
      <c r="AL56" s="716" t="n"/>
      <c r="AM56" s="716" t="n"/>
      <c r="AN56" s="716" t="n"/>
      <c r="AO56" s="716" t="n"/>
      <c r="AP56" s="716" t="n"/>
      <c r="AQ56" s="716" t="n"/>
      <c r="AR56" s="716" t="n"/>
      <c r="AS56" s="716" t="n"/>
      <c r="AT56" s="716" t="n"/>
      <c r="AU56" s="716" t="n"/>
      <c r="AV56" s="716" t="n"/>
      <c r="AW56" s="716" t="n"/>
      <c r="AX56" s="716" t="n"/>
      <c r="AY56" s="716" t="n"/>
      <c r="AZ56" s="716" t="n"/>
      <c r="BA56" s="716" t="n"/>
      <c r="BB56" s="716" t="n"/>
      <c r="BC56" s="716" t="n"/>
      <c r="BD56" s="716" t="n"/>
      <c r="BE56" s="716" t="n"/>
      <c r="BF56" s="716" t="n"/>
      <c r="BG56" s="716" t="n"/>
      <c r="BH56" s="716" t="n"/>
      <c r="BI56" s="716" t="n"/>
      <c r="BJ56" s="716" t="n"/>
      <c r="BK56" s="716" t="n"/>
      <c r="BL56" s="716" t="n"/>
      <c r="BM56" s="716" t="n"/>
      <c r="BN56" s="716" t="n"/>
      <c r="BO56" s="716" t="n"/>
      <c r="BP56" s="716" t="n"/>
      <c r="BQ56" s="716" t="n"/>
      <c r="BR56" s="716" t="n"/>
      <c r="BS56" s="716" t="n"/>
      <c r="BT56" s="716" t="n"/>
      <c r="BU56" s="716" t="n"/>
      <c r="BV56" s="716" t="n"/>
      <c r="BW56" s="716" t="n"/>
      <c r="BX56" s="716" t="n"/>
      <c r="BY56" s="716" t="n"/>
      <c r="BZ56" s="716" t="n"/>
      <c r="CA56" s="716" t="n"/>
      <c r="CB56" s="716" t="n"/>
      <c r="CC56" s="716" t="n"/>
      <c r="CD56" s="716" t="n"/>
      <c r="CE56" s="716" t="n"/>
      <c r="CF56" s="716" t="n"/>
      <c r="CG56" s="716" t="n"/>
      <c r="CH56" s="716" t="n"/>
      <c r="CI56" s="716" t="n"/>
      <c r="CJ56" s="716" t="n"/>
      <c r="CK56" s="716" t="n"/>
      <c r="CL56" s="716" t="n"/>
      <c r="CM56" s="716" t="n"/>
      <c r="CN56" s="716" t="n"/>
      <c r="CO56" s="716" t="n"/>
      <c r="CP56" s="716" t="n"/>
      <c r="CQ56" s="716" t="n"/>
    </row>
    <row r="57" ht="16.5" customFormat="1" customHeight="1" s="716">
      <c r="A57" s="716" t="n"/>
      <c r="B57" s="716" t="n"/>
      <c r="C57" s="716" t="n"/>
      <c r="D57" s="716" t="n"/>
      <c r="E57" s="716" t="n"/>
      <c r="F57" s="716" t="n"/>
      <c r="G57" s="716" t="n"/>
      <c r="H57" s="716" t="n"/>
      <c r="I57" s="716" t="n"/>
      <c r="J57" s="716" t="n"/>
      <c r="K57" s="716" t="n"/>
      <c r="L57" s="716" t="n"/>
      <c r="M57" s="716" t="n"/>
      <c r="N57" s="716" t="n"/>
      <c r="O57" s="716" t="n"/>
      <c r="P57" s="716" t="n"/>
      <c r="Q57" s="716" t="n"/>
      <c r="R57" s="716" t="n"/>
      <c r="S57" s="462">
        <f>IF(_epmOfflineCondition_,"其中：乘用车产量（万辆）",EPMMemberDesc(U57))</f>
        <v/>
      </c>
      <c r="T57" s="716" t="n"/>
      <c r="U57" s="455" t="inlineStr">
        <is>
          <t>A0800111</t>
        </is>
      </c>
      <c r="V57" s="455">
        <f>IF(_epmOfflineCondition_,"A0800111",EPMOlapMemberO(U57,"[C_ACCOUNT].[PARENTH1].[A0800111]","A0800111 - 其中：乘用车产量（万辆）","","000"))</f>
        <v/>
      </c>
      <c r="W57" s="462" t="n"/>
      <c r="X57" s="1391" t="inlineStr">
        <is>
          <t>其中：乘用车产量（万辆）</t>
        </is>
      </c>
      <c r="Y57" s="1185">
        <f>ROW()-45</f>
        <v/>
      </c>
      <c r="Z57" s="1307">
        <f>AD57</f>
        <v/>
      </c>
      <c r="AA57" s="1307" t="n"/>
      <c r="AB57" s="1307" t="n"/>
      <c r="AC57" s="1390" t="n"/>
      <c r="AD57" s="1388">
        <f>IF(RIGHT($I$11,2)="01",AA57,AA57-AC57)</f>
        <v/>
      </c>
      <c r="AE57" s="716" t="n"/>
      <c r="AF57" s="716" t="n"/>
      <c r="AG57" s="716" t="n"/>
      <c r="AH57" s="716" t="n"/>
      <c r="AI57" s="716" t="n"/>
      <c r="AJ57" s="716" t="n"/>
      <c r="AK57" s="716" t="n"/>
      <c r="AL57" s="716" t="n"/>
      <c r="AM57" s="716" t="n"/>
      <c r="AN57" s="716" t="n"/>
      <c r="AO57" s="716" t="n"/>
      <c r="AP57" s="716" t="n"/>
      <c r="AQ57" s="716" t="n"/>
      <c r="AR57" s="716" t="n"/>
      <c r="AS57" s="716" t="n"/>
      <c r="AT57" s="716" t="n"/>
      <c r="AU57" s="716" t="n"/>
      <c r="AV57" s="716" t="n"/>
      <c r="AW57" s="716" t="n"/>
      <c r="AX57" s="716" t="n"/>
      <c r="AY57" s="716" t="n"/>
      <c r="AZ57" s="716" t="n"/>
      <c r="BA57" s="716" t="n"/>
      <c r="BB57" s="716" t="n"/>
      <c r="BC57" s="716" t="n"/>
      <c r="BD57" s="716" t="n"/>
      <c r="BE57" s="716" t="n"/>
      <c r="BF57" s="716" t="n"/>
      <c r="BG57" s="716" t="n"/>
      <c r="BH57" s="716" t="n"/>
      <c r="BI57" s="716" t="n"/>
      <c r="BJ57" s="716" t="n"/>
      <c r="BK57" s="716" t="n"/>
      <c r="BL57" s="716" t="n"/>
      <c r="BM57" s="716" t="n"/>
      <c r="BN57" s="716" t="n"/>
      <c r="BO57" s="716" t="n"/>
      <c r="BP57" s="716" t="n"/>
      <c r="BQ57" s="716" t="n"/>
      <c r="BR57" s="716" t="n"/>
      <c r="BS57" s="716" t="n"/>
      <c r="BT57" s="716" t="n"/>
      <c r="BU57" s="716" t="n"/>
      <c r="BV57" s="716" t="n"/>
      <c r="BW57" s="716" t="n"/>
      <c r="BX57" s="716" t="n"/>
      <c r="BY57" s="716" t="n"/>
      <c r="BZ57" s="716" t="n"/>
      <c r="CA57" s="716" t="n"/>
      <c r="CB57" s="716" t="n"/>
      <c r="CC57" s="716" t="n"/>
      <c r="CD57" s="716" t="n"/>
      <c r="CE57" s="716" t="n"/>
      <c r="CF57" s="716" t="n"/>
      <c r="CG57" s="716" t="n"/>
      <c r="CH57" s="716" t="n"/>
      <c r="CI57" s="716" t="n"/>
      <c r="CJ57" s="716" t="n"/>
      <c r="CK57" s="716" t="n"/>
      <c r="CL57" s="716" t="n"/>
      <c r="CM57" s="716" t="n"/>
      <c r="CN57" s="716" t="n"/>
      <c r="CO57" s="716" t="n"/>
      <c r="CP57" s="716" t="n"/>
      <c r="CQ57" s="716" t="n"/>
    </row>
    <row r="58" ht="16.5" customFormat="1" customHeight="1" s="716">
      <c r="A58" s="716" t="n"/>
      <c r="B58" s="716" t="n"/>
      <c r="C58" s="716" t="n"/>
      <c r="D58" s="716" t="n"/>
      <c r="E58" s="716" t="n"/>
      <c r="F58" s="716" t="n"/>
      <c r="G58" s="716" t="n"/>
      <c r="H58" s="716" t="n"/>
      <c r="I58" s="716" t="n"/>
      <c r="J58" s="716" t="n"/>
      <c r="K58" s="716" t="n"/>
      <c r="L58" s="716" t="n"/>
      <c r="M58" s="716" t="n"/>
      <c r="N58" s="716" t="n"/>
      <c r="O58" s="716" t="n"/>
      <c r="P58" s="716" t="n"/>
      <c r="Q58" s="716" t="n"/>
      <c r="R58" s="716" t="n"/>
      <c r="S58" s="462">
        <f>IF(_epmOfflineCondition_,"商用车产量（万辆）",EPMMemberDesc(U58))</f>
        <v/>
      </c>
      <c r="T58" s="716" t="n"/>
      <c r="U58" s="455" t="inlineStr">
        <is>
          <t>A0800112</t>
        </is>
      </c>
      <c r="V58" s="455">
        <f>IF(_epmOfflineCondition_,"A0800112",EPMOlapMemberO(U58,"[C_ACCOUNT].[PARENTH1].[A0800112]","A0800112 - 商用车产量（万辆）","","000"))</f>
        <v/>
      </c>
      <c r="W58" s="462" t="n"/>
      <c r="X58" s="1391" t="inlineStr">
        <is>
          <t>商用车产量（万辆）</t>
        </is>
      </c>
      <c r="Y58" s="1185">
        <f>ROW()-45</f>
        <v/>
      </c>
      <c r="Z58" s="1307">
        <f>AD58</f>
        <v/>
      </c>
      <c r="AA58" s="1307" t="n"/>
      <c r="AB58" s="1307" t="n"/>
      <c r="AC58" s="1390" t="n"/>
      <c r="AD58" s="1388">
        <f>IF(RIGHT($I$11,2)="01",AA58,AA58-AC58)</f>
        <v/>
      </c>
      <c r="AE58" s="716" t="n"/>
      <c r="AF58" s="716" t="n"/>
      <c r="AG58" s="716" t="n"/>
      <c r="AH58" s="716" t="n"/>
      <c r="AI58" s="716" t="n"/>
      <c r="AJ58" s="716" t="n"/>
      <c r="AK58" s="716" t="n"/>
      <c r="AL58" s="716" t="n"/>
      <c r="AM58" s="716" t="n"/>
      <c r="AN58" s="716" t="n"/>
      <c r="AO58" s="716" t="n"/>
      <c r="AP58" s="716" t="n"/>
      <c r="AQ58" s="716" t="n"/>
      <c r="AR58" s="716" t="n"/>
      <c r="AS58" s="716" t="n"/>
      <c r="AT58" s="716" t="n"/>
      <c r="AU58" s="716" t="n"/>
      <c r="AV58" s="716" t="n"/>
      <c r="AW58" s="716" t="n"/>
      <c r="AX58" s="716" t="n"/>
      <c r="AY58" s="716" t="n"/>
      <c r="AZ58" s="716" t="n"/>
      <c r="BA58" s="716" t="n"/>
      <c r="BB58" s="716" t="n"/>
      <c r="BC58" s="716" t="n"/>
      <c r="BD58" s="716" t="n"/>
      <c r="BE58" s="716" t="n"/>
      <c r="BF58" s="716" t="n"/>
      <c r="BG58" s="716" t="n"/>
      <c r="BH58" s="716" t="n"/>
      <c r="BI58" s="716" t="n"/>
      <c r="BJ58" s="716" t="n"/>
      <c r="BK58" s="716" t="n"/>
      <c r="BL58" s="716" t="n"/>
      <c r="BM58" s="716" t="n"/>
      <c r="BN58" s="716" t="n"/>
      <c r="BO58" s="716" t="n"/>
      <c r="BP58" s="716" t="n"/>
      <c r="BQ58" s="716" t="n"/>
      <c r="BR58" s="716" t="n"/>
      <c r="BS58" s="716" t="n"/>
      <c r="BT58" s="716" t="n"/>
      <c r="BU58" s="716" t="n"/>
      <c r="BV58" s="716" t="n"/>
      <c r="BW58" s="716" t="n"/>
      <c r="BX58" s="716" t="n"/>
      <c r="BY58" s="716" t="n"/>
      <c r="BZ58" s="716" t="n"/>
      <c r="CA58" s="716" t="n"/>
      <c r="CB58" s="716" t="n"/>
      <c r="CC58" s="716" t="n"/>
      <c r="CD58" s="716" t="n"/>
      <c r="CE58" s="716" t="n"/>
      <c r="CF58" s="716" t="n"/>
      <c r="CG58" s="716" t="n"/>
      <c r="CH58" s="716" t="n"/>
      <c r="CI58" s="716" t="n"/>
      <c r="CJ58" s="716" t="n"/>
      <c r="CK58" s="716" t="n"/>
      <c r="CL58" s="716" t="n"/>
      <c r="CM58" s="716" t="n"/>
      <c r="CN58" s="716" t="n"/>
      <c r="CO58" s="716" t="n"/>
      <c r="CP58" s="716" t="n"/>
      <c r="CQ58" s="716" t="n"/>
    </row>
    <row r="59" ht="16.5" customFormat="1" customHeight="1" s="716">
      <c r="A59" s="716" t="n"/>
      <c r="B59" s="716" t="n"/>
      <c r="C59" s="716" t="n"/>
      <c r="D59" s="716" t="n"/>
      <c r="E59" s="716" t="n"/>
      <c r="F59" s="716" t="n"/>
      <c r="G59" s="716" t="n"/>
      <c r="H59" s="716" t="n"/>
      <c r="I59" s="716" t="n"/>
      <c r="J59" s="716" t="n"/>
      <c r="K59" s="716" t="n"/>
      <c r="L59" s="716" t="n"/>
      <c r="M59" s="716" t="n"/>
      <c r="N59" s="716" t="n"/>
      <c r="O59" s="716" t="n"/>
      <c r="P59" s="716" t="n"/>
      <c r="Q59" s="716" t="n"/>
      <c r="R59" s="716" t="n"/>
      <c r="S59" s="462">
        <f>IF(_epmOfflineCondition_,"汽车销量（万辆）",EPMMemberDesc(U59))</f>
        <v/>
      </c>
      <c r="T59" s="716" t="n"/>
      <c r="U59" s="455" t="inlineStr">
        <is>
          <t>A0800113</t>
        </is>
      </c>
      <c r="V59" s="455">
        <f>IF(_epmOfflineCondition_,"A0800113",EPMOlapMemberO(U59,"[C_ACCOUNT].[PARENTH1].[A0800113]","A0800113 - 汽车销量（万辆）","","000"))</f>
        <v/>
      </c>
      <c r="W59" s="462" t="n"/>
      <c r="X59" s="1391" t="inlineStr">
        <is>
          <t>汽车销量（万辆）</t>
        </is>
      </c>
      <c r="Y59" s="1185">
        <f>ROW()-45</f>
        <v/>
      </c>
      <c r="Z59" s="1307">
        <f>AD59</f>
        <v/>
      </c>
      <c r="AA59" s="1307" t="n"/>
      <c r="AB59" s="1307" t="n"/>
      <c r="AC59" s="1390" t="n"/>
      <c r="AD59" s="1388">
        <f>IF(RIGHT($I$11,2)="01",AA59,AA59-AC59)</f>
        <v/>
      </c>
      <c r="AE59" s="716" t="n"/>
      <c r="AF59" s="716" t="n"/>
      <c r="AG59" s="716" t="n"/>
      <c r="AH59" s="716" t="n"/>
      <c r="AI59" s="716" t="n"/>
      <c r="AJ59" s="716" t="n"/>
      <c r="AK59" s="716" t="n"/>
      <c r="AL59" s="716" t="n"/>
      <c r="AM59" s="716" t="n"/>
      <c r="AN59" s="716" t="n"/>
      <c r="AO59" s="716" t="n"/>
      <c r="AP59" s="716" t="n"/>
      <c r="AQ59" s="716" t="n"/>
      <c r="AR59" s="716" t="n"/>
      <c r="AS59" s="716" t="n"/>
      <c r="AT59" s="716" t="n"/>
      <c r="AU59" s="716" t="n"/>
      <c r="AV59" s="716" t="n"/>
      <c r="AW59" s="716" t="n"/>
      <c r="AX59" s="716" t="n"/>
      <c r="AY59" s="716" t="n"/>
      <c r="AZ59" s="716" t="n"/>
      <c r="BA59" s="716" t="n"/>
      <c r="BB59" s="716" t="n"/>
      <c r="BC59" s="716" t="n"/>
      <c r="BD59" s="716" t="n"/>
      <c r="BE59" s="716" t="n"/>
      <c r="BF59" s="716" t="n"/>
      <c r="BG59" s="716" t="n"/>
      <c r="BH59" s="716" t="n"/>
      <c r="BI59" s="716" t="n"/>
      <c r="BJ59" s="716" t="n"/>
      <c r="BK59" s="716" t="n"/>
      <c r="BL59" s="716" t="n"/>
      <c r="BM59" s="716" t="n"/>
      <c r="BN59" s="716" t="n"/>
      <c r="BO59" s="716" t="n"/>
      <c r="BP59" s="716" t="n"/>
      <c r="BQ59" s="716" t="n"/>
      <c r="BR59" s="716" t="n"/>
      <c r="BS59" s="716" t="n"/>
      <c r="BT59" s="716" t="n"/>
      <c r="BU59" s="716" t="n"/>
      <c r="BV59" s="716" t="n"/>
      <c r="BW59" s="716" t="n"/>
      <c r="BX59" s="716" t="n"/>
      <c r="BY59" s="716" t="n"/>
      <c r="BZ59" s="716" t="n"/>
      <c r="CA59" s="716" t="n"/>
      <c r="CB59" s="716" t="n"/>
      <c r="CC59" s="716" t="n"/>
      <c r="CD59" s="716" t="n"/>
      <c r="CE59" s="716" t="n"/>
      <c r="CF59" s="716" t="n"/>
      <c r="CG59" s="716" t="n"/>
      <c r="CH59" s="716" t="n"/>
      <c r="CI59" s="716" t="n"/>
      <c r="CJ59" s="716" t="n"/>
      <c r="CK59" s="716" t="n"/>
      <c r="CL59" s="716" t="n"/>
      <c r="CM59" s="716" t="n"/>
      <c r="CN59" s="716" t="n"/>
      <c r="CO59" s="716" t="n"/>
      <c r="CP59" s="716" t="n"/>
      <c r="CQ59" s="716" t="n"/>
    </row>
    <row r="60" ht="16.5" customFormat="1" customHeight="1" s="716">
      <c r="A60" s="716" t="n"/>
      <c r="B60" s="716" t="n"/>
      <c r="C60" s="716" t="n"/>
      <c r="D60" s="716" t="n"/>
      <c r="E60" s="716" t="n"/>
      <c r="F60" s="716" t="n"/>
      <c r="G60" s="716" t="n"/>
      <c r="H60" s="716" t="n"/>
      <c r="I60" s="716" t="n"/>
      <c r="J60" s="716" t="n"/>
      <c r="K60" s="716" t="n"/>
      <c r="L60" s="716" t="n"/>
      <c r="M60" s="716" t="n"/>
      <c r="N60" s="716" t="n"/>
      <c r="O60" s="716" t="n"/>
      <c r="P60" s="716" t="n"/>
      <c r="Q60" s="716" t="n"/>
      <c r="R60" s="716" t="n"/>
      <c r="S60" s="462">
        <f>IF(_epmOfflineCondition_,"其中：乘用车销量（万辆）",EPMMemberDesc(U60))</f>
        <v/>
      </c>
      <c r="T60" s="716" t="n"/>
      <c r="U60" s="455" t="inlineStr">
        <is>
          <t>A0800114</t>
        </is>
      </c>
      <c r="V60" s="455">
        <f>IF(_epmOfflineCondition_,"A0800114",EPMOlapMemberO(U60,"[C_ACCOUNT].[PARENTH1].[A0800114]","A0800114 - 其中：乘用车销量（万辆）","","000"))</f>
        <v/>
      </c>
      <c r="W60" s="462" t="n"/>
      <c r="X60" s="1391" t="inlineStr">
        <is>
          <t>其中：乘用车销量（万辆）</t>
        </is>
      </c>
      <c r="Y60" s="1185">
        <f>ROW()-45</f>
        <v/>
      </c>
      <c r="Z60" s="1307">
        <f>AD60</f>
        <v/>
      </c>
      <c r="AA60" s="1307" t="n"/>
      <c r="AB60" s="1307" t="n"/>
      <c r="AC60" s="1390" t="n"/>
      <c r="AD60" s="1388">
        <f>IF(RIGHT($I$11,2)="01",AA60,AA60-AC60)</f>
        <v/>
      </c>
      <c r="AE60" s="716" t="n"/>
      <c r="AF60" s="716" t="n"/>
      <c r="AG60" s="716" t="n"/>
      <c r="AH60" s="716" t="n"/>
      <c r="AI60" s="716" t="n"/>
      <c r="AJ60" s="716" t="n"/>
      <c r="AK60" s="716" t="n"/>
      <c r="AL60" s="716" t="n"/>
      <c r="AM60" s="716" t="n"/>
      <c r="AN60" s="716" t="n"/>
      <c r="AO60" s="716" t="n"/>
      <c r="AP60" s="716" t="n"/>
      <c r="AQ60" s="716" t="n"/>
      <c r="AR60" s="716" t="n"/>
      <c r="AS60" s="716" t="n"/>
      <c r="AT60" s="716" t="n"/>
      <c r="AU60" s="716" t="n"/>
      <c r="AV60" s="716" t="n"/>
      <c r="AW60" s="716" t="n"/>
      <c r="AX60" s="716" t="n"/>
      <c r="AY60" s="716" t="n"/>
      <c r="AZ60" s="716" t="n"/>
      <c r="BA60" s="716" t="n"/>
      <c r="BB60" s="716" t="n"/>
      <c r="BC60" s="716" t="n"/>
      <c r="BD60" s="716" t="n"/>
      <c r="BE60" s="716" t="n"/>
      <c r="BF60" s="716" t="n"/>
      <c r="BG60" s="716" t="n"/>
      <c r="BH60" s="716" t="n"/>
      <c r="BI60" s="716" t="n"/>
      <c r="BJ60" s="716" t="n"/>
      <c r="BK60" s="716" t="n"/>
      <c r="BL60" s="716" t="n"/>
      <c r="BM60" s="716" t="n"/>
      <c r="BN60" s="716" t="n"/>
      <c r="BO60" s="716" t="n"/>
      <c r="BP60" s="716" t="n"/>
      <c r="BQ60" s="716" t="n"/>
      <c r="BR60" s="716" t="n"/>
      <c r="BS60" s="716" t="n"/>
      <c r="BT60" s="716" t="n"/>
      <c r="BU60" s="716" t="n"/>
      <c r="BV60" s="716" t="n"/>
      <c r="BW60" s="716" t="n"/>
      <c r="BX60" s="716" t="n"/>
      <c r="BY60" s="716" t="n"/>
      <c r="BZ60" s="716" t="n"/>
      <c r="CA60" s="716" t="n"/>
      <c r="CB60" s="716" t="n"/>
      <c r="CC60" s="716" t="n"/>
      <c r="CD60" s="716" t="n"/>
      <c r="CE60" s="716" t="n"/>
      <c r="CF60" s="716" t="n"/>
      <c r="CG60" s="716" t="n"/>
      <c r="CH60" s="716" t="n"/>
      <c r="CI60" s="716" t="n"/>
      <c r="CJ60" s="716" t="n"/>
      <c r="CK60" s="716" t="n"/>
      <c r="CL60" s="716" t="n"/>
      <c r="CM60" s="716" t="n"/>
      <c r="CN60" s="716" t="n"/>
      <c r="CO60" s="716" t="n"/>
      <c r="CP60" s="716" t="n"/>
      <c r="CQ60" s="716" t="n"/>
    </row>
    <row r="61" ht="16.5" customFormat="1" customHeight="1" s="716">
      <c r="A61" s="716" t="n"/>
      <c r="B61" s="716" t="n"/>
      <c r="C61" s="716" t="n"/>
      <c r="D61" s="716" t="n"/>
      <c r="E61" s="716" t="n"/>
      <c r="F61" s="716" t="n"/>
      <c r="G61" s="716" t="n"/>
      <c r="H61" s="716" t="n"/>
      <c r="I61" s="716" t="n"/>
      <c r="J61" s="716" t="n"/>
      <c r="K61" s="716" t="n"/>
      <c r="L61" s="716" t="n"/>
      <c r="M61" s="716" t="n"/>
      <c r="N61" s="716" t="n"/>
      <c r="O61" s="716" t="n"/>
      <c r="P61" s="716" t="n"/>
      <c r="Q61" s="716" t="n"/>
      <c r="R61" s="716" t="n"/>
      <c r="S61" s="462">
        <f>IF(_epmOfflineCondition_,"商用车销量（万辆）",EPMMemberDesc(U61))</f>
        <v/>
      </c>
      <c r="T61" s="716" t="n"/>
      <c r="U61" s="455" t="inlineStr">
        <is>
          <t>A0800115</t>
        </is>
      </c>
      <c r="V61" s="455">
        <f>IF(_epmOfflineCondition_,"A0800115",EPMOlapMemberO(U61,"[C_ACCOUNT].[PARENTH1].[A0800115]","A0800115 - 商用车销量（万辆）","","000"))</f>
        <v/>
      </c>
      <c r="W61" s="462" t="n"/>
      <c r="X61" s="1391" t="inlineStr">
        <is>
          <t>商用车销量（万辆）</t>
        </is>
      </c>
      <c r="Y61" s="1185">
        <f>ROW()-45</f>
        <v/>
      </c>
      <c r="Z61" s="1307">
        <f>AD61</f>
        <v/>
      </c>
      <c r="AA61" s="1307" t="n"/>
      <c r="AB61" s="1307" t="n"/>
      <c r="AC61" s="1390" t="n"/>
      <c r="AD61" s="1388">
        <f>IF(RIGHT($I$11,2)="01",AA61,AA61-AC61)</f>
        <v/>
      </c>
      <c r="AE61" s="716" t="n"/>
      <c r="AF61" s="716" t="n"/>
      <c r="AG61" s="716" t="n"/>
      <c r="AH61" s="716" t="n"/>
      <c r="AI61" s="716" t="n"/>
      <c r="AJ61" s="716" t="n"/>
      <c r="AK61" s="716" t="n"/>
      <c r="AL61" s="716" t="n"/>
      <c r="AM61" s="716" t="n"/>
      <c r="AN61" s="716" t="n"/>
      <c r="AO61" s="716" t="n"/>
      <c r="AP61" s="716" t="n"/>
      <c r="AQ61" s="716" t="n"/>
      <c r="AR61" s="716" t="n"/>
      <c r="AS61" s="716" t="n"/>
      <c r="AT61" s="716" t="n"/>
      <c r="AU61" s="716" t="n"/>
      <c r="AV61" s="716" t="n"/>
      <c r="AW61" s="716" t="n"/>
      <c r="AX61" s="716" t="n"/>
      <c r="AY61" s="716" t="n"/>
      <c r="AZ61" s="716" t="n"/>
      <c r="BA61" s="716" t="n"/>
      <c r="BB61" s="716" t="n"/>
      <c r="BC61" s="716" t="n"/>
      <c r="BD61" s="716" t="n"/>
      <c r="BE61" s="716" t="n"/>
      <c r="BF61" s="716" t="n"/>
      <c r="BG61" s="716" t="n"/>
      <c r="BH61" s="716" t="n"/>
      <c r="BI61" s="716" t="n"/>
      <c r="BJ61" s="716" t="n"/>
      <c r="BK61" s="716" t="n"/>
      <c r="BL61" s="716" t="n"/>
      <c r="BM61" s="716" t="n"/>
      <c r="BN61" s="716" t="n"/>
      <c r="BO61" s="716" t="n"/>
      <c r="BP61" s="716" t="n"/>
      <c r="BQ61" s="716" t="n"/>
      <c r="BR61" s="716" t="n"/>
      <c r="BS61" s="716" t="n"/>
      <c r="BT61" s="716" t="n"/>
      <c r="BU61" s="716" t="n"/>
      <c r="BV61" s="716" t="n"/>
      <c r="BW61" s="716" t="n"/>
      <c r="BX61" s="716" t="n"/>
      <c r="BY61" s="716" t="n"/>
      <c r="BZ61" s="716" t="n"/>
      <c r="CA61" s="716" t="n"/>
      <c r="CB61" s="716" t="n"/>
      <c r="CC61" s="716" t="n"/>
      <c r="CD61" s="716" t="n"/>
      <c r="CE61" s="716" t="n"/>
      <c r="CF61" s="716" t="n"/>
      <c r="CG61" s="716" t="n"/>
      <c r="CH61" s="716" t="n"/>
      <c r="CI61" s="716" t="n"/>
      <c r="CJ61" s="716" t="n"/>
      <c r="CK61" s="716" t="n"/>
      <c r="CL61" s="716" t="n"/>
      <c r="CM61" s="716" t="n"/>
      <c r="CN61" s="716" t="n"/>
      <c r="CO61" s="716" t="n"/>
      <c r="CP61" s="716" t="n"/>
      <c r="CQ61" s="716" t="n"/>
    </row>
    <row r="62" ht="16.5" customFormat="1" customHeight="1" s="716">
      <c r="A62" s="716" t="n"/>
      <c r="B62" s="716" t="n"/>
      <c r="C62" s="716" t="n"/>
      <c r="D62" s="716" t="n"/>
      <c r="E62" s="716" t="n"/>
      <c r="F62" s="716" t="n"/>
      <c r="G62" s="716" t="n"/>
      <c r="H62" s="716" t="n"/>
      <c r="I62" s="716" t="n"/>
      <c r="J62" s="716" t="n"/>
      <c r="K62" s="716" t="n"/>
      <c r="L62" s="716" t="n"/>
      <c r="M62" s="716" t="n"/>
      <c r="N62" s="716" t="n"/>
      <c r="O62" s="716" t="n"/>
      <c r="P62" s="716" t="n"/>
      <c r="Q62" s="716" t="n"/>
      <c r="R62" s="716" t="n"/>
      <c r="S62" s="462">
        <f>IF(_epmOfflineCondition_,"发电量（万千瓦时）",EPMMemberDesc(U62))</f>
        <v/>
      </c>
      <c r="T62" s="716" t="n"/>
      <c r="U62" s="455" t="inlineStr">
        <is>
          <t>A0800116</t>
        </is>
      </c>
      <c r="V62" s="455">
        <f>IF(_epmOfflineCondition_,"A0800116",EPMOlapMemberO(U62,"[C_ACCOUNT].[PARENTH1].[A0800116]","A0800116 - 发电量（万千瓦时）","","000"))</f>
        <v/>
      </c>
      <c r="W62" s="462" t="n"/>
      <c r="X62" s="1391" t="inlineStr">
        <is>
          <t>发电量（万千瓦时）</t>
        </is>
      </c>
      <c r="Y62" s="1185">
        <f>ROW()-45</f>
        <v/>
      </c>
      <c r="Z62" s="1307">
        <f>AD62</f>
        <v/>
      </c>
      <c r="AA62" s="1307" t="inlineStr"/>
      <c r="AB62" s="1307" t="inlineStr"/>
      <c r="AC62" s="1390" t="inlineStr"/>
      <c r="AD62" s="1388">
        <f>IF(RIGHT($I$11,2)="01",AA62,AA62-AC62)</f>
        <v/>
      </c>
      <c r="AE62" s="1351" t="n"/>
      <c r="AF62" s="716" t="n"/>
      <c r="AG62" s="716" t="n"/>
      <c r="AH62" s="716" t="n"/>
      <c r="AI62" s="716" t="n"/>
      <c r="AJ62" s="716" t="n"/>
      <c r="AK62" s="716" t="n"/>
      <c r="AL62" s="716" t="n"/>
      <c r="AM62" s="716" t="n"/>
      <c r="AN62" s="716" t="n"/>
      <c r="AO62" s="716" t="n"/>
      <c r="AP62" s="716" t="n"/>
      <c r="AQ62" s="716" t="n"/>
      <c r="AR62" s="716" t="n"/>
      <c r="AS62" s="716" t="n"/>
      <c r="AT62" s="716" t="n"/>
      <c r="AU62" s="716" t="n"/>
      <c r="AV62" s="716" t="n"/>
      <c r="AW62" s="716" t="n"/>
      <c r="AX62" s="716" t="n"/>
      <c r="AY62" s="716" t="n"/>
      <c r="AZ62" s="716" t="n"/>
      <c r="BA62" s="716" t="n"/>
      <c r="BB62" s="716" t="n"/>
      <c r="BC62" s="716" t="n"/>
      <c r="BD62" s="716" t="n"/>
      <c r="BE62" s="716" t="n"/>
      <c r="BF62" s="716" t="n"/>
      <c r="BG62" s="716" t="n"/>
      <c r="BH62" s="716" t="n"/>
      <c r="BI62" s="716" t="n"/>
      <c r="BJ62" s="716" t="n"/>
      <c r="BK62" s="716" t="n"/>
      <c r="BL62" s="716" t="n"/>
      <c r="BM62" s="716" t="n"/>
      <c r="BN62" s="716" t="n"/>
      <c r="BO62" s="716" t="n"/>
      <c r="BP62" s="716" t="n"/>
      <c r="BQ62" s="716" t="n"/>
      <c r="BR62" s="716" t="n"/>
      <c r="BS62" s="716" t="n"/>
      <c r="BT62" s="716" t="n"/>
      <c r="BU62" s="716" t="n"/>
      <c r="BV62" s="716" t="n"/>
      <c r="BW62" s="716" t="n"/>
      <c r="BX62" s="716" t="n"/>
      <c r="BY62" s="716" t="n"/>
      <c r="BZ62" s="716" t="n"/>
      <c r="CA62" s="716" t="n"/>
      <c r="CB62" s="716" t="n"/>
      <c r="CC62" s="716" t="n"/>
      <c r="CD62" s="716" t="n"/>
      <c r="CE62" s="716" t="n"/>
      <c r="CF62" s="716" t="n"/>
      <c r="CG62" s="716" t="n"/>
      <c r="CH62" s="716" t="n"/>
      <c r="CI62" s="716" t="n"/>
      <c r="CJ62" s="716" t="n"/>
      <c r="CK62" s="716" t="n"/>
      <c r="CL62" s="716" t="n"/>
      <c r="CM62" s="716" t="n"/>
      <c r="CN62" s="716" t="n"/>
      <c r="CO62" s="716" t="n"/>
      <c r="CP62" s="716" t="n"/>
      <c r="CQ62" s="716" t="n"/>
    </row>
    <row r="63" ht="16.5" customFormat="1" customHeight="1" s="716">
      <c r="A63" s="716" t="n"/>
      <c r="B63" s="716" t="n"/>
      <c r="C63" s="716" t="n"/>
      <c r="D63" s="716" t="n"/>
      <c r="E63" s="716" t="n"/>
      <c r="F63" s="716" t="n"/>
      <c r="G63" s="716" t="n"/>
      <c r="H63" s="716" t="n"/>
      <c r="I63" s="716" t="n"/>
      <c r="J63" s="716" t="n"/>
      <c r="K63" s="716" t="n"/>
      <c r="L63" s="716" t="n"/>
      <c r="M63" s="716" t="n"/>
      <c r="N63" s="716" t="n"/>
      <c r="O63" s="716" t="n"/>
      <c r="P63" s="716" t="n"/>
      <c r="Q63" s="716" t="n"/>
      <c r="R63" s="716" t="n"/>
      <c r="S63" s="462">
        <f>IF(_epmOfflineCondition_,"售电量（万千瓦时）",EPMMemberDesc(U63))</f>
        <v/>
      </c>
      <c r="T63" s="716" t="n"/>
      <c r="U63" s="455" t="inlineStr">
        <is>
          <t>A0800117</t>
        </is>
      </c>
      <c r="V63" s="455">
        <f>IF(_epmOfflineCondition_,"A0800117",EPMOlapMemberO(U63,"[C_ACCOUNT].[PARENTH1].[A0800117]","A0800117 - 售电量（万千瓦时）","","000"))</f>
        <v/>
      </c>
      <c r="W63" s="462" t="n"/>
      <c r="X63" s="1391" t="inlineStr">
        <is>
          <t>售电量（万千瓦时）</t>
        </is>
      </c>
      <c r="Y63" s="1185">
        <f>ROW()-45</f>
        <v/>
      </c>
      <c r="Z63" s="1307">
        <f>AD63</f>
        <v/>
      </c>
      <c r="AA63" s="1307" t="inlineStr"/>
      <c r="AB63" s="1307" t="inlineStr"/>
      <c r="AC63" s="1390" t="inlineStr"/>
      <c r="AD63" s="1388">
        <f>IF(RIGHT($I$11,2)="01",AA63,AA63-AC63)</f>
        <v/>
      </c>
      <c r="AE63" s="716" t="n"/>
      <c r="AF63" s="716" t="n"/>
      <c r="AG63" s="716" t="n"/>
      <c r="AH63" s="716" t="n"/>
      <c r="AI63" s="716" t="n"/>
      <c r="AJ63" s="716" t="n"/>
      <c r="AK63" s="716" t="n"/>
      <c r="AL63" s="716" t="n"/>
      <c r="AM63" s="716" t="n"/>
      <c r="AN63" s="716" t="n"/>
      <c r="AO63" s="716" t="n"/>
      <c r="AP63" s="716" t="n"/>
      <c r="AQ63" s="716" t="n"/>
      <c r="AR63" s="716" t="n"/>
      <c r="AS63" s="716" t="n"/>
      <c r="AT63" s="716" t="n"/>
      <c r="AU63" s="716" t="n"/>
      <c r="AV63" s="716" t="n"/>
      <c r="AW63" s="716" t="n"/>
      <c r="AX63" s="716" t="n"/>
      <c r="AY63" s="716" t="n"/>
      <c r="AZ63" s="716" t="n"/>
      <c r="BA63" s="716" t="n"/>
      <c r="BB63" s="716" t="n"/>
      <c r="BC63" s="716" t="n"/>
      <c r="BD63" s="716" t="n"/>
      <c r="BE63" s="716" t="n"/>
      <c r="BF63" s="716" t="n"/>
      <c r="BG63" s="716" t="n"/>
      <c r="BH63" s="716" t="n"/>
      <c r="BI63" s="716" t="n"/>
      <c r="BJ63" s="716" t="n"/>
      <c r="BK63" s="716" t="n"/>
      <c r="BL63" s="716" t="n"/>
      <c r="BM63" s="716" t="n"/>
      <c r="BN63" s="716" t="n"/>
      <c r="BO63" s="716" t="n"/>
      <c r="BP63" s="716" t="n"/>
      <c r="BQ63" s="716" t="n"/>
      <c r="BR63" s="716" t="n"/>
      <c r="BS63" s="716" t="n"/>
      <c r="BT63" s="716" t="n"/>
      <c r="BU63" s="716" t="n"/>
      <c r="BV63" s="716" t="n"/>
      <c r="BW63" s="716" t="n"/>
      <c r="BX63" s="716" t="n"/>
      <c r="BY63" s="716" t="n"/>
      <c r="BZ63" s="716" t="n"/>
      <c r="CA63" s="716" t="n"/>
      <c r="CB63" s="716" t="n"/>
      <c r="CC63" s="716" t="n"/>
      <c r="CD63" s="716" t="n"/>
      <c r="CE63" s="716" t="n"/>
      <c r="CF63" s="716" t="n"/>
      <c r="CG63" s="716" t="n"/>
      <c r="CH63" s="716" t="n"/>
      <c r="CI63" s="716" t="n"/>
      <c r="CJ63" s="716" t="n"/>
      <c r="CK63" s="716" t="n"/>
      <c r="CL63" s="716" t="n"/>
      <c r="CM63" s="716" t="n"/>
      <c r="CN63" s="716" t="n"/>
      <c r="CO63" s="716" t="n"/>
      <c r="CP63" s="716" t="n"/>
      <c r="CQ63" s="716" t="n"/>
    </row>
    <row r="64" ht="16.5" customFormat="1" customHeight="1" s="716">
      <c r="A64" s="716" t="n"/>
      <c r="B64" s="716" t="n"/>
      <c r="C64" s="716" t="n"/>
      <c r="D64" s="716" t="n"/>
      <c r="E64" s="716" t="n"/>
      <c r="F64" s="716" t="n"/>
      <c r="G64" s="716" t="n"/>
      <c r="H64" s="716" t="n"/>
      <c r="I64" s="716" t="n"/>
      <c r="J64" s="716" t="n"/>
      <c r="K64" s="716" t="n"/>
      <c r="L64" s="716" t="n"/>
      <c r="M64" s="716" t="n"/>
      <c r="N64" s="716" t="n"/>
      <c r="O64" s="716" t="n"/>
      <c r="P64" s="716" t="n"/>
      <c r="Q64" s="716" t="n"/>
      <c r="R64" s="716" t="n"/>
      <c r="S64" s="462">
        <f>IF(_epmOfflineCondition_,"水泥产量（万吨）",EPMMemberDesc(U64))</f>
        <v/>
      </c>
      <c r="T64" s="716" t="n"/>
      <c r="U64" s="455" t="inlineStr">
        <is>
          <t>A0800118</t>
        </is>
      </c>
      <c r="V64" s="455">
        <f>IF(_epmOfflineCondition_,"A0800118",EPMOlapMemberO(U64,"[C_ACCOUNT].[PARENTH1].[A0800118]","A0800118 - 水泥产量（万吨）","","000"))</f>
        <v/>
      </c>
      <c r="W64" s="462" t="n"/>
      <c r="X64" s="1391" t="inlineStr">
        <is>
          <t>水泥产量（万吨）</t>
        </is>
      </c>
      <c r="Y64" s="1185">
        <f>ROW()-45</f>
        <v/>
      </c>
      <c r="Z64" s="1307">
        <f>AD64</f>
        <v/>
      </c>
      <c r="AA64" s="1307" t="n"/>
      <c r="AB64" s="1307" t="n"/>
      <c r="AC64" s="1390" t="n"/>
      <c r="AD64" s="1388">
        <f>IF(RIGHT($I$11,2)="01",AA64,AA64-AC64)</f>
        <v/>
      </c>
      <c r="AE64" s="716" t="n"/>
      <c r="AF64" s="716" t="n"/>
      <c r="AG64" s="716" t="n"/>
      <c r="AH64" s="716" t="n"/>
      <c r="AI64" s="716" t="n"/>
      <c r="AJ64" s="716" t="n"/>
      <c r="AK64" s="716" t="n"/>
      <c r="AL64" s="716" t="n"/>
      <c r="AM64" s="716" t="n"/>
      <c r="AN64" s="716" t="n"/>
      <c r="AO64" s="716" t="n"/>
      <c r="AP64" s="716" t="n"/>
      <c r="AQ64" s="716" t="n"/>
      <c r="AR64" s="716" t="n"/>
      <c r="AS64" s="716" t="n"/>
      <c r="AT64" s="716" t="n"/>
      <c r="AU64" s="716" t="n"/>
      <c r="AV64" s="716" t="n"/>
      <c r="AW64" s="716" t="n"/>
      <c r="AX64" s="716" t="n"/>
      <c r="AY64" s="716" t="n"/>
      <c r="AZ64" s="716" t="n"/>
      <c r="BA64" s="716" t="n"/>
      <c r="BB64" s="716" t="n"/>
      <c r="BC64" s="716" t="n"/>
      <c r="BD64" s="716" t="n"/>
      <c r="BE64" s="716" t="n"/>
      <c r="BF64" s="716" t="n"/>
      <c r="BG64" s="716" t="n"/>
      <c r="BH64" s="716" t="n"/>
      <c r="BI64" s="716" t="n"/>
      <c r="BJ64" s="716" t="n"/>
      <c r="BK64" s="716" t="n"/>
      <c r="BL64" s="716" t="n"/>
      <c r="BM64" s="716" t="n"/>
      <c r="BN64" s="716" t="n"/>
      <c r="BO64" s="716" t="n"/>
      <c r="BP64" s="716" t="n"/>
      <c r="BQ64" s="716" t="n"/>
      <c r="BR64" s="716" t="n"/>
      <c r="BS64" s="716" t="n"/>
      <c r="BT64" s="716" t="n"/>
      <c r="BU64" s="716" t="n"/>
      <c r="BV64" s="716" t="n"/>
      <c r="BW64" s="716" t="n"/>
      <c r="BX64" s="716" t="n"/>
      <c r="BY64" s="716" t="n"/>
      <c r="BZ64" s="716" t="n"/>
      <c r="CA64" s="716" t="n"/>
      <c r="CB64" s="716" t="n"/>
      <c r="CC64" s="716" t="n"/>
      <c r="CD64" s="716" t="n"/>
      <c r="CE64" s="716" t="n"/>
      <c r="CF64" s="716" t="n"/>
      <c r="CG64" s="716" t="n"/>
      <c r="CH64" s="716" t="n"/>
      <c r="CI64" s="716" t="n"/>
      <c r="CJ64" s="716" t="n"/>
      <c r="CK64" s="716" t="n"/>
      <c r="CL64" s="716" t="n"/>
      <c r="CM64" s="716" t="n"/>
      <c r="CN64" s="716" t="n"/>
      <c r="CO64" s="716" t="n"/>
      <c r="CP64" s="716" t="n"/>
      <c r="CQ64" s="716" t="n"/>
    </row>
    <row r="65" ht="16.5" customFormat="1" customHeight="1" s="716">
      <c r="A65" s="716" t="n"/>
      <c r="B65" s="716" t="n"/>
      <c r="C65" s="716" t="n"/>
      <c r="D65" s="716" t="n"/>
      <c r="E65" s="716" t="n"/>
      <c r="F65" s="716" t="n"/>
      <c r="G65" s="716" t="n"/>
      <c r="H65" s="716" t="n"/>
      <c r="I65" s="716" t="n"/>
      <c r="J65" s="716" t="n"/>
      <c r="K65" s="716" t="n"/>
      <c r="L65" s="716" t="n"/>
      <c r="M65" s="716" t="n"/>
      <c r="N65" s="716" t="n"/>
      <c r="O65" s="716" t="n"/>
      <c r="P65" s="716" t="n"/>
      <c r="Q65" s="716" t="n"/>
      <c r="R65" s="716" t="n"/>
      <c r="S65" s="462">
        <f>IF(_epmOfflineCondition_,"二、建筑企业",EPMMemberDesc(U65))</f>
        <v/>
      </c>
      <c r="T65" s="716" t="n"/>
      <c r="U65" s="462" t="inlineStr">
        <is>
          <t>A08002</t>
        </is>
      </c>
      <c r="V65" s="462">
        <f>IF(_epmOfflineCondition_,"A08002",EPMOlapMemberO(U65,"[C_ACCOUNT].[PARENTH1].[A08002]","A08002 - 二、建筑企业","","000"))</f>
        <v/>
      </c>
      <c r="W65" s="462" t="n"/>
      <c r="X65" s="1391" t="inlineStr">
        <is>
          <t>二、建筑企业</t>
        </is>
      </c>
      <c r="Y65" s="1185">
        <f>ROW()-45</f>
        <v/>
      </c>
      <c r="Z65" s="1307">
        <f>"——"</f>
        <v/>
      </c>
      <c r="AA65" s="1307">
        <f>"——"</f>
        <v/>
      </c>
      <c r="AB65" s="1307">
        <f>"——"</f>
        <v/>
      </c>
      <c r="AC65" s="1390" t="n"/>
      <c r="AD65" s="1388">
        <f>"——"</f>
        <v/>
      </c>
      <c r="AE65" s="716" t="n"/>
      <c r="AF65" s="716" t="n"/>
      <c r="AG65" s="716" t="n"/>
      <c r="AH65" s="716" t="n"/>
      <c r="AI65" s="716" t="n"/>
      <c r="AJ65" s="716" t="n"/>
      <c r="AK65" s="716" t="n"/>
      <c r="AL65" s="716" t="n"/>
      <c r="AM65" s="716" t="n"/>
      <c r="AN65" s="716" t="n"/>
      <c r="AO65" s="716" t="n"/>
      <c r="AP65" s="716" t="n"/>
      <c r="AQ65" s="716" t="n"/>
      <c r="AR65" s="716" t="n"/>
      <c r="AS65" s="716" t="n"/>
      <c r="AT65" s="716" t="n"/>
      <c r="AU65" s="716" t="n"/>
      <c r="AV65" s="716" t="n"/>
      <c r="AW65" s="716" t="n"/>
      <c r="AX65" s="716" t="n"/>
      <c r="AY65" s="716" t="n"/>
      <c r="AZ65" s="716" t="n"/>
      <c r="BA65" s="716" t="n"/>
      <c r="BB65" s="716" t="n"/>
      <c r="BC65" s="716" t="n"/>
      <c r="BD65" s="716" t="n"/>
      <c r="BE65" s="716" t="n"/>
      <c r="BF65" s="716" t="n"/>
      <c r="BG65" s="716" t="n"/>
      <c r="BH65" s="716" t="n"/>
      <c r="BI65" s="716" t="n"/>
      <c r="BJ65" s="716" t="n"/>
      <c r="BK65" s="716" t="n"/>
      <c r="BL65" s="716" t="n"/>
      <c r="BM65" s="716" t="n"/>
      <c r="BN65" s="716" t="n"/>
      <c r="BO65" s="716" t="n"/>
      <c r="BP65" s="716" t="n"/>
      <c r="BQ65" s="716" t="n"/>
      <c r="BR65" s="716" t="n"/>
      <c r="BS65" s="716" t="n"/>
      <c r="BT65" s="716" t="n"/>
      <c r="BU65" s="716" t="n"/>
      <c r="BV65" s="716" t="n"/>
      <c r="BW65" s="716" t="n"/>
      <c r="BX65" s="716" t="n"/>
      <c r="BY65" s="716" t="n"/>
      <c r="BZ65" s="716" t="n"/>
      <c r="CA65" s="716" t="n"/>
      <c r="CB65" s="716" t="n"/>
      <c r="CC65" s="716" t="n"/>
      <c r="CD65" s="716" t="n"/>
      <c r="CE65" s="716" t="n"/>
      <c r="CF65" s="716" t="n"/>
      <c r="CG65" s="716" t="n"/>
      <c r="CH65" s="716" t="n"/>
      <c r="CI65" s="716" t="n"/>
      <c r="CJ65" s="716" t="n"/>
      <c r="CK65" s="716" t="n"/>
      <c r="CL65" s="716" t="n"/>
      <c r="CM65" s="716" t="n"/>
      <c r="CN65" s="716" t="n"/>
      <c r="CO65" s="716" t="n"/>
      <c r="CP65" s="716" t="n"/>
      <c r="CQ65" s="716" t="n"/>
    </row>
    <row r="66" ht="16.5" customFormat="1" customHeight="1" s="716">
      <c r="A66" s="716" t="n"/>
      <c r="B66" s="716" t="n"/>
      <c r="C66" s="716" t="n"/>
      <c r="D66" s="716" t="n"/>
      <c r="E66" s="716" t="n"/>
      <c r="F66" s="716" t="n"/>
      <c r="G66" s="716" t="n"/>
      <c r="H66" s="716" t="n"/>
      <c r="I66" s="716" t="n"/>
      <c r="J66" s="716" t="n"/>
      <c r="K66" s="716" t="n"/>
      <c r="L66" s="716" t="n"/>
      <c r="M66" s="716" t="n"/>
      <c r="N66" s="716" t="n"/>
      <c r="O66" s="716" t="n"/>
      <c r="P66" s="716" t="n"/>
      <c r="Q66" s="716" t="n"/>
      <c r="R66" s="716" t="n"/>
      <c r="S66" s="462">
        <f>IF(_epmOfflineCondition_,"建筑总产值（万元）",EPMMemberDesc(U66))</f>
        <v/>
      </c>
      <c r="T66" s="716" t="n"/>
      <c r="U66" s="455" t="inlineStr">
        <is>
          <t>A0800201</t>
        </is>
      </c>
      <c r="V66" s="455">
        <f>IF(_epmOfflineCondition_,"A0800201",EPMOlapMemberO(U66,"[C_ACCOUNT].[PARENTH1].[A0800201]","A0800201 - 建筑总产值（万元）","","000"))</f>
        <v/>
      </c>
      <c r="W66" s="462" t="n"/>
      <c r="X66" s="1391" t="inlineStr">
        <is>
          <t>建筑总产值（万元）</t>
        </is>
      </c>
      <c r="Y66" s="1185">
        <f>ROW()-45</f>
        <v/>
      </c>
      <c r="Z66" s="1307">
        <f>AD66</f>
        <v/>
      </c>
      <c r="AA66" s="1307" t="n"/>
      <c r="AB66" s="1307" t="n"/>
      <c r="AC66" s="1390" t="n"/>
      <c r="AD66" s="1388">
        <f>IF(RIGHT($I$11,2)="01",AA66,AA66-AC66)</f>
        <v/>
      </c>
      <c r="AE66" s="716" t="n"/>
      <c r="AF66" s="716" t="n"/>
      <c r="AG66" s="716" t="n"/>
      <c r="AH66" s="716" t="n"/>
      <c r="AI66" s="716" t="n"/>
      <c r="AJ66" s="716" t="n"/>
      <c r="AK66" s="716" t="n"/>
      <c r="AL66" s="716" t="n"/>
      <c r="AM66" s="716" t="n"/>
      <c r="AN66" s="716" t="n"/>
      <c r="AO66" s="716" t="n"/>
      <c r="AP66" s="716" t="n"/>
      <c r="AQ66" s="716" t="n"/>
      <c r="AR66" s="716" t="n"/>
      <c r="AS66" s="716" t="n"/>
      <c r="AT66" s="716" t="n"/>
      <c r="AU66" s="716" t="n"/>
      <c r="AV66" s="716" t="n"/>
      <c r="AW66" s="716" t="n"/>
      <c r="AX66" s="716" t="n"/>
      <c r="AY66" s="716" t="n"/>
      <c r="AZ66" s="716" t="n"/>
      <c r="BA66" s="716" t="n"/>
      <c r="BB66" s="716" t="n"/>
      <c r="BC66" s="716" t="n"/>
      <c r="BD66" s="716" t="n"/>
      <c r="BE66" s="716" t="n"/>
      <c r="BF66" s="716" t="n"/>
      <c r="BG66" s="716" t="n"/>
      <c r="BH66" s="716" t="n"/>
      <c r="BI66" s="716" t="n"/>
      <c r="BJ66" s="716" t="n"/>
      <c r="BK66" s="716" t="n"/>
      <c r="BL66" s="716" t="n"/>
      <c r="BM66" s="716" t="n"/>
      <c r="BN66" s="716" t="n"/>
      <c r="BO66" s="716" t="n"/>
      <c r="BP66" s="716" t="n"/>
      <c r="BQ66" s="716" t="n"/>
      <c r="BR66" s="716" t="n"/>
      <c r="BS66" s="716" t="n"/>
      <c r="BT66" s="716" t="n"/>
      <c r="BU66" s="716" t="n"/>
      <c r="BV66" s="716" t="n"/>
      <c r="BW66" s="716" t="n"/>
      <c r="BX66" s="716" t="n"/>
      <c r="BY66" s="716" t="n"/>
      <c r="BZ66" s="716" t="n"/>
      <c r="CA66" s="716" t="n"/>
      <c r="CB66" s="716" t="n"/>
      <c r="CC66" s="716" t="n"/>
      <c r="CD66" s="716" t="n"/>
      <c r="CE66" s="716" t="n"/>
      <c r="CF66" s="716" t="n"/>
      <c r="CG66" s="716" t="n"/>
      <c r="CH66" s="716" t="n"/>
      <c r="CI66" s="716" t="n"/>
      <c r="CJ66" s="716" t="n"/>
      <c r="CK66" s="716" t="n"/>
      <c r="CL66" s="716" t="n"/>
      <c r="CM66" s="716" t="n"/>
      <c r="CN66" s="716" t="n"/>
      <c r="CO66" s="716" t="n"/>
      <c r="CP66" s="716" t="n"/>
      <c r="CQ66" s="716" t="n"/>
    </row>
    <row r="67" ht="16.5" customFormat="1" customHeight="1" s="716">
      <c r="A67" s="716" t="n"/>
      <c r="B67" s="716" t="n"/>
      <c r="C67" s="716" t="n"/>
      <c r="D67" s="716" t="n"/>
      <c r="E67" s="716" t="n"/>
      <c r="F67" s="716" t="n"/>
      <c r="G67" s="716" t="n"/>
      <c r="H67" s="716" t="n"/>
      <c r="I67" s="716" t="n"/>
      <c r="J67" s="716" t="n"/>
      <c r="K67" s="716" t="n"/>
      <c r="L67" s="716" t="n"/>
      <c r="M67" s="716" t="n"/>
      <c r="N67" s="716" t="n"/>
      <c r="O67" s="716" t="n"/>
      <c r="P67" s="716" t="n"/>
      <c r="Q67" s="716" t="n"/>
      <c r="R67" s="716" t="n"/>
      <c r="S67" s="462">
        <f>IF(_epmOfflineCondition_,"施工面积（万平方米）",EPMMemberDesc(U67))</f>
        <v/>
      </c>
      <c r="T67" s="716" t="n"/>
      <c r="U67" s="455" t="inlineStr">
        <is>
          <t>A0800202</t>
        </is>
      </c>
      <c r="V67" s="455">
        <f>IF(_epmOfflineCondition_,"A0800202",EPMOlapMemberO(U67,"[C_ACCOUNT].[PARENTH1].[A0800202]","A0800202 - 施工面积（万平方米）","","000"))</f>
        <v/>
      </c>
      <c r="W67" s="462" t="n"/>
      <c r="X67" s="1391" t="inlineStr">
        <is>
          <t>施工面积（万平方米）</t>
        </is>
      </c>
      <c r="Y67" s="1185">
        <f>ROW()-45</f>
        <v/>
      </c>
      <c r="Z67" s="1307">
        <f>AD67</f>
        <v/>
      </c>
      <c r="AA67" s="1307" t="n"/>
      <c r="AB67" s="1307" t="n"/>
      <c r="AC67" s="1390" t="n"/>
      <c r="AD67" s="1388">
        <f>IF(RIGHT($I$11,2)="01",AA67,AA67-AC67)</f>
        <v/>
      </c>
      <c r="AE67" s="716" t="n"/>
      <c r="AF67" s="716" t="n"/>
      <c r="AG67" s="716" t="n"/>
      <c r="AH67" s="716" t="n"/>
      <c r="AI67" s="716" t="n"/>
      <c r="AJ67" s="716" t="n"/>
      <c r="AK67" s="716" t="n"/>
      <c r="AL67" s="716" t="n"/>
      <c r="AM67" s="716" t="n"/>
      <c r="AN67" s="716" t="n"/>
      <c r="AO67" s="716" t="n"/>
      <c r="AP67" s="716" t="n"/>
      <c r="AQ67" s="716" t="n"/>
      <c r="AR67" s="716" t="n"/>
      <c r="AS67" s="716" t="n"/>
      <c r="AT67" s="716" t="n"/>
      <c r="AU67" s="716" t="n"/>
      <c r="AV67" s="716" t="n"/>
      <c r="AW67" s="716" t="n"/>
      <c r="AX67" s="716" t="n"/>
      <c r="AY67" s="716" t="n"/>
      <c r="AZ67" s="716" t="n"/>
      <c r="BA67" s="716" t="n"/>
      <c r="BB67" s="716" t="n"/>
      <c r="BC67" s="716" t="n"/>
      <c r="BD67" s="716" t="n"/>
      <c r="BE67" s="716" t="n"/>
      <c r="BF67" s="716" t="n"/>
      <c r="BG67" s="716" t="n"/>
      <c r="BH67" s="716" t="n"/>
      <c r="BI67" s="716" t="n"/>
      <c r="BJ67" s="716" t="n"/>
      <c r="BK67" s="716" t="n"/>
      <c r="BL67" s="716" t="n"/>
      <c r="BM67" s="716" t="n"/>
      <c r="BN67" s="716" t="n"/>
      <c r="BO67" s="716" t="n"/>
      <c r="BP67" s="716" t="n"/>
      <c r="BQ67" s="716" t="n"/>
      <c r="BR67" s="716" t="n"/>
      <c r="BS67" s="716" t="n"/>
      <c r="BT67" s="716" t="n"/>
      <c r="BU67" s="716" t="n"/>
      <c r="BV67" s="716" t="n"/>
      <c r="BW67" s="716" t="n"/>
      <c r="BX67" s="716" t="n"/>
      <c r="BY67" s="716" t="n"/>
      <c r="BZ67" s="716" t="n"/>
      <c r="CA67" s="716" t="n"/>
      <c r="CB67" s="716" t="n"/>
      <c r="CC67" s="716" t="n"/>
      <c r="CD67" s="716" t="n"/>
      <c r="CE67" s="716" t="n"/>
      <c r="CF67" s="716" t="n"/>
      <c r="CG67" s="716" t="n"/>
      <c r="CH67" s="716" t="n"/>
      <c r="CI67" s="716" t="n"/>
      <c r="CJ67" s="716" t="n"/>
      <c r="CK67" s="716" t="n"/>
      <c r="CL67" s="716" t="n"/>
      <c r="CM67" s="716" t="n"/>
      <c r="CN67" s="716" t="n"/>
      <c r="CO67" s="716" t="n"/>
      <c r="CP67" s="716" t="n"/>
      <c r="CQ67" s="716" t="n"/>
    </row>
    <row r="68" ht="16.5" customFormat="1" customHeight="1" s="716">
      <c r="A68" s="716" t="n"/>
      <c r="B68" s="716" t="n"/>
      <c r="C68" s="716" t="n"/>
      <c r="D68" s="716" t="n"/>
      <c r="E68" s="716" t="n"/>
      <c r="F68" s="716" t="n"/>
      <c r="G68" s="716" t="n"/>
      <c r="H68" s="716" t="n"/>
      <c r="I68" s="716" t="n"/>
      <c r="J68" s="716" t="n"/>
      <c r="K68" s="716" t="n"/>
      <c r="L68" s="716" t="n"/>
      <c r="M68" s="716" t="n"/>
      <c r="N68" s="716" t="n"/>
      <c r="O68" s="716" t="n"/>
      <c r="P68" s="716" t="n"/>
      <c r="Q68" s="716" t="n"/>
      <c r="R68" s="716" t="n"/>
      <c r="S68" s="462">
        <f>IF(_epmOfflineCondition_,"新开工面积（万平方米）",EPMMemberDesc(U68))</f>
        <v/>
      </c>
      <c r="T68" s="716" t="n"/>
      <c r="U68" s="455" t="inlineStr">
        <is>
          <t>A0800203</t>
        </is>
      </c>
      <c r="V68" s="455">
        <f>IF(_epmOfflineCondition_,"A0800203",EPMOlapMemberO(U68,"[C_ACCOUNT].[PARENTH1].[A0800203]","A0800203 - 新开工面积（万平方米）","","000"))</f>
        <v/>
      </c>
      <c r="W68" s="462" t="n"/>
      <c r="X68" s="1391" t="inlineStr">
        <is>
          <t>新开工面积（万平方米）</t>
        </is>
      </c>
      <c r="Y68" s="1185">
        <f>ROW()-45</f>
        <v/>
      </c>
      <c r="Z68" s="1307">
        <f>AD68</f>
        <v/>
      </c>
      <c r="AA68" s="1307" t="n"/>
      <c r="AB68" s="1307" t="n"/>
      <c r="AC68" s="1390" t="n"/>
      <c r="AD68" s="1388">
        <f>IF(RIGHT($I$11,2)="01",AA68,AA68-AC68)</f>
        <v/>
      </c>
      <c r="AE68" s="716" t="n"/>
      <c r="AF68" s="716" t="n"/>
      <c r="AG68" s="716" t="n"/>
      <c r="AH68" s="716" t="n"/>
      <c r="AI68" s="716" t="n"/>
      <c r="AJ68" s="716" t="n"/>
      <c r="AK68" s="716" t="n"/>
      <c r="AL68" s="716" t="n"/>
      <c r="AM68" s="716" t="n"/>
      <c r="AN68" s="716" t="n"/>
      <c r="AO68" s="716" t="n"/>
      <c r="AP68" s="716" t="n"/>
      <c r="AQ68" s="716" t="n"/>
      <c r="AR68" s="716" t="n"/>
      <c r="AS68" s="716" t="n"/>
      <c r="AT68" s="716" t="n"/>
      <c r="AU68" s="716" t="n"/>
      <c r="AV68" s="716" t="n"/>
      <c r="AW68" s="716" t="n"/>
      <c r="AX68" s="716" t="n"/>
      <c r="AY68" s="716" t="n"/>
      <c r="AZ68" s="716" t="n"/>
      <c r="BA68" s="716" t="n"/>
      <c r="BB68" s="716" t="n"/>
      <c r="BC68" s="716" t="n"/>
      <c r="BD68" s="716" t="n"/>
      <c r="BE68" s="716" t="n"/>
      <c r="BF68" s="716" t="n"/>
      <c r="BG68" s="716" t="n"/>
      <c r="BH68" s="716" t="n"/>
      <c r="BI68" s="716" t="n"/>
      <c r="BJ68" s="716" t="n"/>
      <c r="BK68" s="716" t="n"/>
      <c r="BL68" s="716" t="n"/>
      <c r="BM68" s="716" t="n"/>
      <c r="BN68" s="716" t="n"/>
      <c r="BO68" s="716" t="n"/>
      <c r="BP68" s="716" t="n"/>
      <c r="BQ68" s="716" t="n"/>
      <c r="BR68" s="716" t="n"/>
      <c r="BS68" s="716" t="n"/>
      <c r="BT68" s="716" t="n"/>
      <c r="BU68" s="716" t="n"/>
      <c r="BV68" s="716" t="n"/>
      <c r="BW68" s="716" t="n"/>
      <c r="BX68" s="716" t="n"/>
      <c r="BY68" s="716" t="n"/>
      <c r="BZ68" s="716" t="n"/>
      <c r="CA68" s="716" t="n"/>
      <c r="CB68" s="716" t="n"/>
      <c r="CC68" s="716" t="n"/>
      <c r="CD68" s="716" t="n"/>
      <c r="CE68" s="716" t="n"/>
      <c r="CF68" s="716" t="n"/>
      <c r="CG68" s="716" t="n"/>
      <c r="CH68" s="716" t="n"/>
      <c r="CI68" s="716" t="n"/>
      <c r="CJ68" s="716" t="n"/>
      <c r="CK68" s="716" t="n"/>
      <c r="CL68" s="716" t="n"/>
      <c r="CM68" s="716" t="n"/>
      <c r="CN68" s="716" t="n"/>
      <c r="CO68" s="716" t="n"/>
      <c r="CP68" s="716" t="n"/>
      <c r="CQ68" s="716" t="n"/>
    </row>
    <row r="69" ht="16.5" customFormat="1" customHeight="1" s="716">
      <c r="A69" s="716" t="n"/>
      <c r="B69" s="716" t="n"/>
      <c r="C69" s="716" t="n"/>
      <c r="D69" s="716" t="n"/>
      <c r="E69" s="716" t="n"/>
      <c r="F69" s="716" t="n"/>
      <c r="G69" s="716" t="n"/>
      <c r="H69" s="716" t="n"/>
      <c r="I69" s="716" t="n"/>
      <c r="J69" s="716" t="n"/>
      <c r="K69" s="716" t="n"/>
      <c r="L69" s="716" t="n"/>
      <c r="M69" s="716" t="n"/>
      <c r="N69" s="716" t="n"/>
      <c r="O69" s="716" t="n"/>
      <c r="P69" s="716" t="n"/>
      <c r="Q69" s="716" t="n"/>
      <c r="R69" s="716" t="n"/>
      <c r="S69" s="462">
        <f>IF(_epmOfflineCondition_,"竣工面积（万平方米）",EPMMemberDesc(U69))</f>
        <v/>
      </c>
      <c r="T69" s="716" t="n"/>
      <c r="U69" s="455" t="inlineStr">
        <is>
          <t>A0800204</t>
        </is>
      </c>
      <c r="V69" s="455">
        <f>IF(_epmOfflineCondition_,"A0800204",EPMOlapMemberO(U69,"[C_ACCOUNT].[PARENTH1].[A0800204]","A0800204 - 竣工面积（万平方米）","","000"))</f>
        <v/>
      </c>
      <c r="W69" s="462" t="n"/>
      <c r="X69" s="1391" t="inlineStr">
        <is>
          <t>竣工面积（万平方米）</t>
        </is>
      </c>
      <c r="Y69" s="1185">
        <f>ROW()-45</f>
        <v/>
      </c>
      <c r="Z69" s="1307">
        <f>AD69</f>
        <v/>
      </c>
      <c r="AA69" s="1307" t="n"/>
      <c r="AB69" s="1307" t="n"/>
      <c r="AC69" s="1390" t="n"/>
      <c r="AD69" s="1388">
        <f>IF(RIGHT($I$11,2)="01",AA69,AA69-AC69)</f>
        <v/>
      </c>
      <c r="AE69" s="716" t="n"/>
      <c r="AF69" s="716" t="n"/>
      <c r="AG69" s="716" t="n"/>
      <c r="AH69" s="716" t="n"/>
      <c r="AI69" s="716" t="n"/>
      <c r="AJ69" s="716" t="n"/>
      <c r="AK69" s="716" t="n"/>
      <c r="AL69" s="716" t="n"/>
      <c r="AM69" s="716" t="n"/>
      <c r="AN69" s="716" t="n"/>
      <c r="AO69" s="716" t="n"/>
      <c r="AP69" s="716" t="n"/>
      <c r="AQ69" s="716" t="n"/>
      <c r="AR69" s="716" t="n"/>
      <c r="AS69" s="716" t="n"/>
      <c r="AT69" s="716" t="n"/>
      <c r="AU69" s="716" t="n"/>
      <c r="AV69" s="716" t="n"/>
      <c r="AW69" s="716" t="n"/>
      <c r="AX69" s="716" t="n"/>
      <c r="AY69" s="716" t="n"/>
      <c r="AZ69" s="716" t="n"/>
      <c r="BA69" s="716" t="n"/>
      <c r="BB69" s="716" t="n"/>
      <c r="BC69" s="716" t="n"/>
      <c r="BD69" s="716" t="n"/>
      <c r="BE69" s="716" t="n"/>
      <c r="BF69" s="716" t="n"/>
      <c r="BG69" s="716" t="n"/>
      <c r="BH69" s="716" t="n"/>
      <c r="BI69" s="716" t="n"/>
      <c r="BJ69" s="716" t="n"/>
      <c r="BK69" s="716" t="n"/>
      <c r="BL69" s="716" t="n"/>
      <c r="BM69" s="716" t="n"/>
      <c r="BN69" s="716" t="n"/>
      <c r="BO69" s="716" t="n"/>
      <c r="BP69" s="716" t="n"/>
      <c r="BQ69" s="716" t="n"/>
      <c r="BR69" s="716" t="n"/>
      <c r="BS69" s="716" t="n"/>
      <c r="BT69" s="716" t="n"/>
      <c r="BU69" s="716" t="n"/>
      <c r="BV69" s="716" t="n"/>
      <c r="BW69" s="716" t="n"/>
      <c r="BX69" s="716" t="n"/>
      <c r="BY69" s="716" t="n"/>
      <c r="BZ69" s="716" t="n"/>
      <c r="CA69" s="716" t="n"/>
      <c r="CB69" s="716" t="n"/>
      <c r="CC69" s="716" t="n"/>
      <c r="CD69" s="716" t="n"/>
      <c r="CE69" s="716" t="n"/>
      <c r="CF69" s="716" t="n"/>
      <c r="CG69" s="716" t="n"/>
      <c r="CH69" s="716" t="n"/>
      <c r="CI69" s="716" t="n"/>
      <c r="CJ69" s="716" t="n"/>
      <c r="CK69" s="716" t="n"/>
      <c r="CL69" s="716" t="n"/>
      <c r="CM69" s="716" t="n"/>
      <c r="CN69" s="716" t="n"/>
      <c r="CO69" s="716" t="n"/>
      <c r="CP69" s="716" t="n"/>
      <c r="CQ69" s="716" t="n"/>
    </row>
    <row r="70" ht="16.5" customFormat="1" customHeight="1" s="716">
      <c r="A70" s="716" t="n"/>
      <c r="B70" s="716" t="n"/>
      <c r="C70" s="716" t="n"/>
      <c r="D70" s="716" t="n"/>
      <c r="E70" s="716" t="n"/>
      <c r="F70" s="716" t="n"/>
      <c r="G70" s="716" t="n"/>
      <c r="H70" s="716" t="n"/>
      <c r="I70" s="716" t="n"/>
      <c r="J70" s="716" t="n"/>
      <c r="K70" s="716" t="n"/>
      <c r="L70" s="716" t="n"/>
      <c r="M70" s="716" t="n"/>
      <c r="N70" s="716" t="n"/>
      <c r="O70" s="716" t="n"/>
      <c r="P70" s="716" t="n"/>
      <c r="Q70" s="716" t="n"/>
      <c r="R70" s="716" t="n"/>
      <c r="S70" s="462">
        <f>IF(_epmOfflineCondition_,"三、房地产企业",EPMMemberDesc(U70))</f>
        <v/>
      </c>
      <c r="T70" s="716" t="n"/>
      <c r="U70" s="462" t="inlineStr">
        <is>
          <t>A08003</t>
        </is>
      </c>
      <c r="V70" s="462">
        <f>IF(_epmOfflineCondition_,"A08003",EPMOlapMemberO(U70,"[C_ACCOUNT].[PARENTH1].[A08003]","A08003 - 三、房地产企业","","000"))</f>
        <v/>
      </c>
      <c r="W70" s="462" t="n"/>
      <c r="X70" s="1391" t="inlineStr">
        <is>
          <t>三、房地产企业</t>
        </is>
      </c>
      <c r="Y70" s="1185">
        <f>ROW()-45</f>
        <v/>
      </c>
      <c r="Z70" s="1307">
        <f>"——"</f>
        <v/>
      </c>
      <c r="AA70" s="1307">
        <f>"——"</f>
        <v/>
      </c>
      <c r="AB70" s="1307">
        <f>"——"</f>
        <v/>
      </c>
      <c r="AC70" s="1390" t="n"/>
      <c r="AD70" s="1388">
        <f>"——"</f>
        <v/>
      </c>
      <c r="AE70" s="716" t="n"/>
      <c r="AF70" s="716" t="n"/>
      <c r="AG70" s="716" t="n"/>
      <c r="AH70" s="716" t="n"/>
      <c r="AI70" s="716" t="n"/>
      <c r="AJ70" s="716" t="n"/>
      <c r="AK70" s="716" t="n"/>
      <c r="AL70" s="716" t="n"/>
      <c r="AM70" s="716" t="n"/>
      <c r="AN70" s="716" t="n"/>
      <c r="AO70" s="716" t="n"/>
      <c r="AP70" s="716" t="n"/>
      <c r="AQ70" s="716" t="n"/>
      <c r="AR70" s="716" t="n"/>
      <c r="AS70" s="716" t="n"/>
      <c r="AT70" s="716" t="n"/>
      <c r="AU70" s="716" t="n"/>
      <c r="AV70" s="716" t="n"/>
      <c r="AW70" s="716" t="n"/>
      <c r="AX70" s="716" t="n"/>
      <c r="AY70" s="716" t="n"/>
      <c r="AZ70" s="716" t="n"/>
      <c r="BA70" s="716" t="n"/>
      <c r="BB70" s="716" t="n"/>
      <c r="BC70" s="716" t="n"/>
      <c r="BD70" s="716" t="n"/>
      <c r="BE70" s="716" t="n"/>
      <c r="BF70" s="716" t="n"/>
      <c r="BG70" s="716" t="n"/>
      <c r="BH70" s="716" t="n"/>
      <c r="BI70" s="716" t="n"/>
      <c r="BJ70" s="716" t="n"/>
      <c r="BK70" s="716" t="n"/>
      <c r="BL70" s="716" t="n"/>
      <c r="BM70" s="716" t="n"/>
      <c r="BN70" s="716" t="n"/>
      <c r="BO70" s="716" t="n"/>
      <c r="BP70" s="716" t="n"/>
      <c r="BQ70" s="716" t="n"/>
      <c r="BR70" s="716" t="n"/>
      <c r="BS70" s="716" t="n"/>
      <c r="BT70" s="716" t="n"/>
      <c r="BU70" s="716" t="n"/>
      <c r="BV70" s="716" t="n"/>
      <c r="BW70" s="716" t="n"/>
      <c r="BX70" s="716" t="n"/>
      <c r="BY70" s="716" t="n"/>
      <c r="BZ70" s="716" t="n"/>
      <c r="CA70" s="716" t="n"/>
      <c r="CB70" s="716" t="n"/>
      <c r="CC70" s="716" t="n"/>
      <c r="CD70" s="716" t="n"/>
      <c r="CE70" s="716" t="n"/>
      <c r="CF70" s="716" t="n"/>
      <c r="CG70" s="716" t="n"/>
      <c r="CH70" s="716" t="n"/>
      <c r="CI70" s="716" t="n"/>
      <c r="CJ70" s="716" t="n"/>
      <c r="CK70" s="716" t="n"/>
      <c r="CL70" s="716" t="n"/>
      <c r="CM70" s="716" t="n"/>
      <c r="CN70" s="716" t="n"/>
      <c r="CO70" s="716" t="n"/>
      <c r="CP70" s="716" t="n"/>
      <c r="CQ70" s="716" t="n"/>
    </row>
    <row r="71" ht="16.5" customFormat="1" customHeight="1" s="716">
      <c r="A71" s="716" t="n"/>
      <c r="B71" s="716" t="n"/>
      <c r="C71" s="716" t="n"/>
      <c r="D71" s="716" t="n"/>
      <c r="E71" s="716" t="n"/>
      <c r="F71" s="716" t="n"/>
      <c r="G71" s="716" t="n"/>
      <c r="H71" s="716" t="n"/>
      <c r="I71" s="716" t="n"/>
      <c r="J71" s="716" t="n"/>
      <c r="K71" s="716" t="n"/>
      <c r="L71" s="716" t="n"/>
      <c r="M71" s="716" t="n"/>
      <c r="N71" s="716" t="n"/>
      <c r="O71" s="716" t="n"/>
      <c r="P71" s="716" t="n"/>
      <c r="Q71" s="716" t="n"/>
      <c r="R71" s="716" t="n"/>
      <c r="S71" s="462">
        <f>IF(_epmOfflineCondition_,"房地产开发投资（万元）",EPMMemberDesc(U71))</f>
        <v/>
      </c>
      <c r="T71" s="716" t="n"/>
      <c r="U71" s="455" t="inlineStr">
        <is>
          <t>A0800301</t>
        </is>
      </c>
      <c r="V71" s="455">
        <f>IF(_epmOfflineCondition_,"A0800301",EPMOlapMemberO(U71,"[C_ACCOUNT].[PARENTH1].[A0800301]","A0800301 - 房地产开发投资（万元）","","000"))</f>
        <v/>
      </c>
      <c r="W71" s="462" t="n"/>
      <c r="X71" s="1391" t="inlineStr">
        <is>
          <t>房地产开发投资（万元）</t>
        </is>
      </c>
      <c r="Y71" s="1185">
        <f>ROW()-45</f>
        <v/>
      </c>
      <c r="Z71" s="1307">
        <f>AD71</f>
        <v/>
      </c>
      <c r="AA71" s="1307" t="n"/>
      <c r="AB71" s="1307" t="n"/>
      <c r="AC71" s="1390" t="n"/>
      <c r="AD71" s="1388">
        <f>IF(RIGHT($I$11,2)="01",AA71,AA71-AC71)</f>
        <v/>
      </c>
      <c r="AE71" s="716" t="n"/>
      <c r="AF71" s="716" t="n"/>
      <c r="AG71" s="716" t="n"/>
      <c r="AH71" s="716" t="n"/>
      <c r="AI71" s="716" t="n"/>
      <c r="AJ71" s="716" t="n"/>
      <c r="AK71" s="716" t="n"/>
      <c r="AL71" s="716" t="n"/>
      <c r="AM71" s="716" t="n"/>
      <c r="AN71" s="716" t="n"/>
      <c r="AO71" s="716" t="n"/>
      <c r="AP71" s="716" t="n"/>
      <c r="AQ71" s="716" t="n"/>
      <c r="AR71" s="716" t="n"/>
      <c r="AS71" s="716" t="n"/>
      <c r="AT71" s="716" t="n"/>
      <c r="AU71" s="716" t="n"/>
      <c r="AV71" s="716" t="n"/>
      <c r="AW71" s="716" t="n"/>
      <c r="AX71" s="716" t="n"/>
      <c r="AY71" s="716" t="n"/>
      <c r="AZ71" s="716" t="n"/>
      <c r="BA71" s="716" t="n"/>
      <c r="BB71" s="716" t="n"/>
      <c r="BC71" s="716" t="n"/>
      <c r="BD71" s="716" t="n"/>
      <c r="BE71" s="716" t="n"/>
      <c r="BF71" s="716" t="n"/>
      <c r="BG71" s="716" t="n"/>
      <c r="BH71" s="716" t="n"/>
      <c r="BI71" s="716" t="n"/>
      <c r="BJ71" s="716" t="n"/>
      <c r="BK71" s="716" t="n"/>
      <c r="BL71" s="716" t="n"/>
      <c r="BM71" s="716" t="n"/>
      <c r="BN71" s="716" t="n"/>
      <c r="BO71" s="716" t="n"/>
      <c r="BP71" s="716" t="n"/>
      <c r="BQ71" s="716" t="n"/>
      <c r="BR71" s="716" t="n"/>
      <c r="BS71" s="716" t="n"/>
      <c r="BT71" s="716" t="n"/>
      <c r="BU71" s="716" t="n"/>
      <c r="BV71" s="716" t="n"/>
      <c r="BW71" s="716" t="n"/>
      <c r="BX71" s="716" t="n"/>
      <c r="BY71" s="716" t="n"/>
      <c r="BZ71" s="716" t="n"/>
      <c r="CA71" s="716" t="n"/>
      <c r="CB71" s="716" t="n"/>
      <c r="CC71" s="716" t="n"/>
      <c r="CD71" s="716" t="n"/>
      <c r="CE71" s="716" t="n"/>
      <c r="CF71" s="716" t="n"/>
      <c r="CG71" s="716" t="n"/>
      <c r="CH71" s="716" t="n"/>
      <c r="CI71" s="716" t="n"/>
      <c r="CJ71" s="716" t="n"/>
      <c r="CK71" s="716" t="n"/>
      <c r="CL71" s="716" t="n"/>
      <c r="CM71" s="716" t="n"/>
      <c r="CN71" s="716" t="n"/>
      <c r="CO71" s="716" t="n"/>
      <c r="CP71" s="716" t="n"/>
      <c r="CQ71" s="716" t="n"/>
    </row>
    <row r="72" ht="16.5" customFormat="1" customHeight="1" s="716">
      <c r="A72" s="716" t="n"/>
      <c r="B72" s="716" t="n"/>
      <c r="C72" s="716" t="n"/>
      <c r="D72" s="716" t="n"/>
      <c r="E72" s="716" t="n"/>
      <c r="F72" s="716" t="n"/>
      <c r="G72" s="716" t="n"/>
      <c r="H72" s="716" t="n"/>
      <c r="I72" s="716" t="n"/>
      <c r="J72" s="716" t="n"/>
      <c r="K72" s="716" t="n"/>
      <c r="L72" s="716" t="n"/>
      <c r="M72" s="716" t="n"/>
      <c r="N72" s="716" t="n"/>
      <c r="O72" s="716" t="n"/>
      <c r="P72" s="716" t="n"/>
      <c r="Q72" s="716" t="n"/>
      <c r="R72" s="716" t="n"/>
      <c r="S72" s="462">
        <f>IF(_epmOfflineCondition_,"土地购置面积（万平方米）",EPMMemberDesc(U72))</f>
        <v/>
      </c>
      <c r="T72" s="716" t="n"/>
      <c r="U72" s="455" t="inlineStr">
        <is>
          <t>A0800302</t>
        </is>
      </c>
      <c r="V72" s="455">
        <f>IF(_epmOfflineCondition_,"A0800302",EPMOlapMemberO(U72,"[C_ACCOUNT].[PARENTH1].[A0800302]","A0800302 - 土地购置面积（万平方米）","","000"))</f>
        <v/>
      </c>
      <c r="W72" s="462" t="n"/>
      <c r="X72" s="1391" t="inlineStr">
        <is>
          <t>土地购置面积（万平方米）</t>
        </is>
      </c>
      <c r="Y72" s="1185">
        <f>ROW()-45</f>
        <v/>
      </c>
      <c r="Z72" s="1307">
        <f>AD72</f>
        <v/>
      </c>
      <c r="AA72" s="1307" t="n"/>
      <c r="AB72" s="1307" t="n"/>
      <c r="AC72" s="1390" t="n"/>
      <c r="AD72" s="1388">
        <f>IF(RIGHT($I$11,2)="01",AA72,AA72-AC72)</f>
        <v/>
      </c>
      <c r="AE72" s="716" t="n"/>
      <c r="AF72" s="716" t="n"/>
      <c r="AG72" s="716" t="n"/>
      <c r="AH72" s="716" t="n"/>
      <c r="AI72" s="716" t="n"/>
      <c r="AJ72" s="716" t="n"/>
      <c r="AK72" s="716" t="n"/>
      <c r="AL72" s="716" t="n"/>
      <c r="AM72" s="716" t="n"/>
      <c r="AN72" s="716" t="n"/>
      <c r="AO72" s="716" t="n"/>
      <c r="AP72" s="716" t="n"/>
      <c r="AQ72" s="716" t="n"/>
      <c r="AR72" s="716" t="n"/>
      <c r="AS72" s="716" t="n"/>
      <c r="AT72" s="716" t="n"/>
      <c r="AU72" s="716" t="n"/>
      <c r="AV72" s="716" t="n"/>
      <c r="AW72" s="716" t="n"/>
      <c r="AX72" s="716" t="n"/>
      <c r="AY72" s="716" t="n"/>
      <c r="AZ72" s="716" t="n"/>
      <c r="BA72" s="716" t="n"/>
      <c r="BB72" s="716" t="n"/>
      <c r="BC72" s="716" t="n"/>
      <c r="BD72" s="716" t="n"/>
      <c r="BE72" s="716" t="n"/>
      <c r="BF72" s="716" t="n"/>
      <c r="BG72" s="716" t="n"/>
      <c r="BH72" s="716" t="n"/>
      <c r="BI72" s="716" t="n"/>
      <c r="BJ72" s="716" t="n"/>
      <c r="BK72" s="716" t="n"/>
      <c r="BL72" s="716" t="n"/>
      <c r="BM72" s="716" t="n"/>
      <c r="BN72" s="716" t="n"/>
      <c r="BO72" s="716" t="n"/>
      <c r="BP72" s="716" t="n"/>
      <c r="BQ72" s="716" t="n"/>
      <c r="BR72" s="716" t="n"/>
      <c r="BS72" s="716" t="n"/>
      <c r="BT72" s="716" t="n"/>
      <c r="BU72" s="716" t="n"/>
      <c r="BV72" s="716" t="n"/>
      <c r="BW72" s="716" t="n"/>
      <c r="BX72" s="716" t="n"/>
      <c r="BY72" s="716" t="n"/>
      <c r="BZ72" s="716" t="n"/>
      <c r="CA72" s="716" t="n"/>
      <c r="CB72" s="716" t="n"/>
      <c r="CC72" s="716" t="n"/>
      <c r="CD72" s="716" t="n"/>
      <c r="CE72" s="716" t="n"/>
      <c r="CF72" s="716" t="n"/>
      <c r="CG72" s="716" t="n"/>
      <c r="CH72" s="716" t="n"/>
      <c r="CI72" s="716" t="n"/>
      <c r="CJ72" s="716" t="n"/>
      <c r="CK72" s="716" t="n"/>
      <c r="CL72" s="716" t="n"/>
      <c r="CM72" s="716" t="n"/>
      <c r="CN72" s="716" t="n"/>
      <c r="CO72" s="716" t="n"/>
      <c r="CP72" s="716" t="n"/>
      <c r="CQ72" s="716" t="n"/>
    </row>
    <row r="73" ht="16.5" customFormat="1" customHeight="1" s="716">
      <c r="A73" s="716" t="n"/>
      <c r="B73" s="716" t="n"/>
      <c r="C73" s="716" t="n"/>
      <c r="D73" s="716" t="n"/>
      <c r="E73" s="716" t="n"/>
      <c r="F73" s="716" t="n"/>
      <c r="G73" s="716" t="n"/>
      <c r="H73" s="716" t="n"/>
      <c r="I73" s="716" t="n"/>
      <c r="J73" s="716" t="n"/>
      <c r="K73" s="716" t="n"/>
      <c r="L73" s="716" t="n"/>
      <c r="M73" s="716" t="n"/>
      <c r="N73" s="716" t="n"/>
      <c r="O73" s="716" t="n"/>
      <c r="P73" s="716" t="n"/>
      <c r="Q73" s="716" t="n"/>
      <c r="R73" s="716" t="n"/>
      <c r="S73" s="462">
        <f>IF(_epmOfflineCondition_,"商品房销售面积（万平米）",EPMMemberDesc(U73))</f>
        <v/>
      </c>
      <c r="T73" s="716" t="n"/>
      <c r="U73" s="455" t="inlineStr">
        <is>
          <t>A0800303</t>
        </is>
      </c>
      <c r="V73" s="455">
        <f>IF(_epmOfflineCondition_,"A0800303",EPMOlapMemberO(U73,"[C_ACCOUNT].[PARENTH1].[A0800303]","A0800303 - 商品房销售面积（万平米）","","000"))</f>
        <v/>
      </c>
      <c r="W73" s="462" t="n"/>
      <c r="X73" s="1391" t="inlineStr">
        <is>
          <t>商品房销售面积（万平米）</t>
        </is>
      </c>
      <c r="Y73" s="1185">
        <f>ROW()-45</f>
        <v/>
      </c>
      <c r="Z73" s="1307">
        <f>AD73</f>
        <v/>
      </c>
      <c r="AA73" s="1307" t="n"/>
      <c r="AB73" s="1307" t="n"/>
      <c r="AC73" s="1390" t="n"/>
      <c r="AD73" s="1388">
        <f>IF(RIGHT($I$11,2)="01",AA73,AA73-AC73)</f>
        <v/>
      </c>
      <c r="AE73" s="716" t="n"/>
      <c r="AF73" s="716" t="n"/>
      <c r="AG73" s="716" t="n"/>
      <c r="AH73" s="716" t="n"/>
      <c r="AI73" s="716" t="n"/>
      <c r="AJ73" s="716" t="n"/>
      <c r="AK73" s="716" t="n"/>
      <c r="AL73" s="716" t="n"/>
      <c r="AM73" s="716" t="n"/>
      <c r="AN73" s="716" t="n"/>
      <c r="AO73" s="716" t="n"/>
      <c r="AP73" s="716" t="n"/>
      <c r="AQ73" s="716" t="n"/>
      <c r="AR73" s="716" t="n"/>
      <c r="AS73" s="716" t="n"/>
      <c r="AT73" s="716" t="n"/>
      <c r="AU73" s="716" t="n"/>
      <c r="AV73" s="716" t="n"/>
      <c r="AW73" s="716" t="n"/>
      <c r="AX73" s="716" t="n"/>
      <c r="AY73" s="716" t="n"/>
      <c r="AZ73" s="716" t="n"/>
      <c r="BA73" s="716" t="n"/>
      <c r="BB73" s="716" t="n"/>
      <c r="BC73" s="716" t="n"/>
      <c r="BD73" s="716" t="n"/>
      <c r="BE73" s="716" t="n"/>
      <c r="BF73" s="716" t="n"/>
      <c r="BG73" s="716" t="n"/>
      <c r="BH73" s="716" t="n"/>
      <c r="BI73" s="716" t="n"/>
      <c r="BJ73" s="716" t="n"/>
      <c r="BK73" s="716" t="n"/>
      <c r="BL73" s="716" t="n"/>
      <c r="BM73" s="716" t="n"/>
      <c r="BN73" s="716" t="n"/>
      <c r="BO73" s="716" t="n"/>
      <c r="BP73" s="716" t="n"/>
      <c r="BQ73" s="716" t="n"/>
      <c r="BR73" s="716" t="n"/>
      <c r="BS73" s="716" t="n"/>
      <c r="BT73" s="716" t="n"/>
      <c r="BU73" s="716" t="n"/>
      <c r="BV73" s="716" t="n"/>
      <c r="BW73" s="716" t="n"/>
      <c r="BX73" s="716" t="n"/>
      <c r="BY73" s="716" t="n"/>
      <c r="BZ73" s="716" t="n"/>
      <c r="CA73" s="716" t="n"/>
      <c r="CB73" s="716" t="n"/>
      <c r="CC73" s="716" t="n"/>
      <c r="CD73" s="716" t="n"/>
      <c r="CE73" s="716" t="n"/>
      <c r="CF73" s="716" t="n"/>
      <c r="CG73" s="716" t="n"/>
      <c r="CH73" s="716" t="n"/>
      <c r="CI73" s="716" t="n"/>
      <c r="CJ73" s="716" t="n"/>
      <c r="CK73" s="716" t="n"/>
      <c r="CL73" s="716" t="n"/>
      <c r="CM73" s="716" t="n"/>
      <c r="CN73" s="716" t="n"/>
      <c r="CO73" s="716" t="n"/>
      <c r="CP73" s="716" t="n"/>
      <c r="CQ73" s="716" t="n"/>
    </row>
    <row r="74" ht="16.5" customFormat="1" customHeight="1" s="716">
      <c r="A74" s="716" t="n"/>
      <c r="B74" s="716" t="n"/>
      <c r="C74" s="716" t="n"/>
      <c r="D74" s="716" t="n"/>
      <c r="E74" s="716" t="n"/>
      <c r="F74" s="716" t="n"/>
      <c r="G74" s="716" t="n"/>
      <c r="H74" s="716" t="n"/>
      <c r="I74" s="716" t="n"/>
      <c r="J74" s="716" t="n"/>
      <c r="K74" s="716" t="n"/>
      <c r="L74" s="716" t="n"/>
      <c r="M74" s="716" t="n"/>
      <c r="N74" s="716" t="n"/>
      <c r="O74" s="716" t="n"/>
      <c r="P74" s="716" t="n"/>
      <c r="Q74" s="716" t="n"/>
      <c r="R74" s="716" t="n"/>
      <c r="S74" s="462">
        <f>IF(_epmOfflineCondition_,"商品房销售额（万元）",EPMMemberDesc(U74))</f>
        <v/>
      </c>
      <c r="T74" s="716" t="n"/>
      <c r="U74" s="455" t="inlineStr">
        <is>
          <t>A0800304</t>
        </is>
      </c>
      <c r="V74" s="455">
        <f>IF(_epmOfflineCondition_,"A0800304",EPMOlapMemberO(U74,"[C_ACCOUNT].[PARENTH1].[A0800304]","A0800304 - 商品房销售额（万元）","","000"))</f>
        <v/>
      </c>
      <c r="W74" s="462" t="n"/>
      <c r="X74" s="1391" t="inlineStr">
        <is>
          <t>商品房销售额（万元）</t>
        </is>
      </c>
      <c r="Y74" s="1185">
        <f>ROW()-45</f>
        <v/>
      </c>
      <c r="Z74" s="1307">
        <f>AD74</f>
        <v/>
      </c>
      <c r="AA74" s="1307" t="n"/>
      <c r="AB74" s="1307" t="n"/>
      <c r="AC74" s="1390" t="n"/>
      <c r="AD74" s="1388">
        <f>IF(RIGHT($I$11,2)="01",AA74,AA74-AC74)</f>
        <v/>
      </c>
      <c r="AE74" s="716" t="n"/>
      <c r="AF74" s="716" t="n"/>
      <c r="AG74" s="716" t="n"/>
      <c r="AH74" s="716" t="n"/>
      <c r="AI74" s="716" t="n"/>
      <c r="AJ74" s="716" t="n"/>
      <c r="AK74" s="716" t="n"/>
      <c r="AL74" s="716" t="n"/>
      <c r="AM74" s="716" t="n"/>
      <c r="AN74" s="716" t="n"/>
      <c r="AO74" s="716" t="n"/>
      <c r="AP74" s="716" t="n"/>
      <c r="AQ74" s="716" t="n"/>
      <c r="AR74" s="716" t="n"/>
      <c r="AS74" s="716" t="n"/>
      <c r="AT74" s="716" t="n"/>
      <c r="AU74" s="716" t="n"/>
      <c r="AV74" s="716" t="n"/>
      <c r="AW74" s="716" t="n"/>
      <c r="AX74" s="716" t="n"/>
      <c r="AY74" s="716" t="n"/>
      <c r="AZ74" s="716" t="n"/>
      <c r="BA74" s="716" t="n"/>
      <c r="BB74" s="716" t="n"/>
      <c r="BC74" s="716" t="n"/>
      <c r="BD74" s="716" t="n"/>
      <c r="BE74" s="716" t="n"/>
      <c r="BF74" s="716" t="n"/>
      <c r="BG74" s="716" t="n"/>
      <c r="BH74" s="716" t="n"/>
      <c r="BI74" s="716" t="n"/>
      <c r="BJ74" s="716" t="n"/>
      <c r="BK74" s="716" t="n"/>
      <c r="BL74" s="716" t="n"/>
      <c r="BM74" s="716" t="n"/>
      <c r="BN74" s="716" t="n"/>
      <c r="BO74" s="716" t="n"/>
      <c r="BP74" s="716" t="n"/>
      <c r="BQ74" s="716" t="n"/>
      <c r="BR74" s="716" t="n"/>
      <c r="BS74" s="716" t="n"/>
      <c r="BT74" s="716" t="n"/>
      <c r="BU74" s="716" t="n"/>
      <c r="BV74" s="716" t="n"/>
      <c r="BW74" s="716" t="n"/>
      <c r="BX74" s="716" t="n"/>
      <c r="BY74" s="716" t="n"/>
      <c r="BZ74" s="716" t="n"/>
      <c r="CA74" s="716" t="n"/>
      <c r="CB74" s="716" t="n"/>
      <c r="CC74" s="716" t="n"/>
      <c r="CD74" s="716" t="n"/>
      <c r="CE74" s="716" t="n"/>
      <c r="CF74" s="716" t="n"/>
      <c r="CG74" s="716" t="n"/>
      <c r="CH74" s="716" t="n"/>
      <c r="CI74" s="716" t="n"/>
      <c r="CJ74" s="716" t="n"/>
      <c r="CK74" s="716" t="n"/>
      <c r="CL74" s="716" t="n"/>
      <c r="CM74" s="716" t="n"/>
      <c r="CN74" s="716" t="n"/>
      <c r="CO74" s="716" t="n"/>
      <c r="CP74" s="716" t="n"/>
      <c r="CQ74" s="716" t="n"/>
    </row>
    <row r="75" ht="16.5" customFormat="1" customHeight="1" s="716">
      <c r="A75" s="716" t="n"/>
      <c r="B75" s="716" t="n"/>
      <c r="C75" s="716" t="n"/>
      <c r="D75" s="716" t="n"/>
      <c r="E75" s="716" t="n"/>
      <c r="F75" s="716" t="n"/>
      <c r="G75" s="716" t="n"/>
      <c r="H75" s="716" t="n"/>
      <c r="I75" s="716" t="n"/>
      <c r="J75" s="716" t="n"/>
      <c r="K75" s="716" t="n"/>
      <c r="L75" s="716" t="n"/>
      <c r="M75" s="716" t="n"/>
      <c r="N75" s="716" t="n"/>
      <c r="O75" s="716" t="n"/>
      <c r="P75" s="716" t="n"/>
      <c r="Q75" s="716" t="n"/>
      <c r="R75" s="716" t="n"/>
      <c r="S75" s="462">
        <f>IF(_epmOfflineCondition_,"商品房待售面积（万平方米）",EPMMemberDesc(U75))</f>
        <v/>
      </c>
      <c r="T75" s="716" t="n"/>
      <c r="U75" s="455" t="inlineStr">
        <is>
          <t>A0800305</t>
        </is>
      </c>
      <c r="V75" s="455">
        <f>IF(_epmOfflineCondition_,"A0800305",EPMOlapMemberO(U75,"[C_ACCOUNT].[PARENTH1].[A0800305]","A0800305 - 商品房待售面积（万平方米）","","000"))</f>
        <v/>
      </c>
      <c r="W75" s="462" t="n"/>
      <c r="X75" s="1391" t="inlineStr">
        <is>
          <t>商品房待售面积（万平方米）</t>
        </is>
      </c>
      <c r="Y75" s="1185">
        <f>ROW()-45</f>
        <v/>
      </c>
      <c r="Z75" s="1307">
        <f>AD75</f>
        <v/>
      </c>
      <c r="AA75" s="1307" t="n"/>
      <c r="AB75" s="1307" t="n"/>
      <c r="AC75" s="1390" t="n"/>
      <c r="AD75" s="1388">
        <f>IF(RIGHT($I$11,2)="01",AA75,AA75-AC75)</f>
        <v/>
      </c>
      <c r="AE75" s="716" t="n"/>
      <c r="AF75" s="716" t="n"/>
      <c r="AG75" s="716" t="n"/>
      <c r="AH75" s="716" t="n"/>
      <c r="AI75" s="716" t="n"/>
      <c r="AJ75" s="716" t="n"/>
      <c r="AK75" s="716" t="n"/>
      <c r="AL75" s="716" t="n"/>
      <c r="AM75" s="716" t="n"/>
      <c r="AN75" s="716" t="n"/>
      <c r="AO75" s="716" t="n"/>
      <c r="AP75" s="716" t="n"/>
      <c r="AQ75" s="716" t="n"/>
      <c r="AR75" s="716" t="n"/>
      <c r="AS75" s="716" t="n"/>
      <c r="AT75" s="716" t="n"/>
      <c r="AU75" s="716" t="n"/>
      <c r="AV75" s="716" t="n"/>
      <c r="AW75" s="716" t="n"/>
      <c r="AX75" s="716" t="n"/>
      <c r="AY75" s="716" t="n"/>
      <c r="AZ75" s="716" t="n"/>
      <c r="BA75" s="716" t="n"/>
      <c r="BB75" s="716" t="n"/>
      <c r="BC75" s="716" t="n"/>
      <c r="BD75" s="716" t="n"/>
      <c r="BE75" s="716" t="n"/>
      <c r="BF75" s="716" t="n"/>
      <c r="BG75" s="716" t="n"/>
      <c r="BH75" s="716" t="n"/>
      <c r="BI75" s="716" t="n"/>
      <c r="BJ75" s="716" t="n"/>
      <c r="BK75" s="716" t="n"/>
      <c r="BL75" s="716" t="n"/>
      <c r="BM75" s="716" t="n"/>
      <c r="BN75" s="716" t="n"/>
      <c r="BO75" s="716" t="n"/>
      <c r="BP75" s="716" t="n"/>
      <c r="BQ75" s="716" t="n"/>
      <c r="BR75" s="716" t="n"/>
      <c r="BS75" s="716" t="n"/>
      <c r="BT75" s="716" t="n"/>
      <c r="BU75" s="716" t="n"/>
      <c r="BV75" s="716" t="n"/>
      <c r="BW75" s="716" t="n"/>
      <c r="BX75" s="716" t="n"/>
      <c r="BY75" s="716" t="n"/>
      <c r="BZ75" s="716" t="n"/>
      <c r="CA75" s="716" t="n"/>
      <c r="CB75" s="716" t="n"/>
      <c r="CC75" s="716" t="n"/>
      <c r="CD75" s="716" t="n"/>
      <c r="CE75" s="716" t="n"/>
      <c r="CF75" s="716" t="n"/>
      <c r="CG75" s="716" t="n"/>
      <c r="CH75" s="716" t="n"/>
      <c r="CI75" s="716" t="n"/>
      <c r="CJ75" s="716" t="n"/>
      <c r="CK75" s="716" t="n"/>
      <c r="CL75" s="716" t="n"/>
      <c r="CM75" s="716" t="n"/>
      <c r="CN75" s="716" t="n"/>
      <c r="CO75" s="716" t="n"/>
      <c r="CP75" s="716" t="n"/>
      <c r="CQ75" s="716" t="n"/>
    </row>
    <row r="76" ht="16.5" customFormat="1" customHeight="1" s="716">
      <c r="A76" s="716" t="n"/>
      <c r="B76" s="716" t="n"/>
      <c r="C76" s="716" t="n"/>
      <c r="D76" s="716" t="n"/>
      <c r="E76" s="716" t="n"/>
      <c r="F76" s="716" t="n"/>
      <c r="G76" s="716" t="n"/>
      <c r="H76" s="716" t="n"/>
      <c r="I76" s="716" t="n"/>
      <c r="J76" s="716" t="n"/>
      <c r="K76" s="716" t="n"/>
      <c r="L76" s="716" t="n"/>
      <c r="M76" s="716" t="n"/>
      <c r="N76" s="716" t="n"/>
      <c r="O76" s="716" t="n"/>
      <c r="P76" s="716" t="n"/>
      <c r="Q76" s="716" t="n"/>
      <c r="R76" s="716" t="n"/>
      <c r="S76" s="462">
        <f>IF(_epmOfflineCondition_,"政策性住房施工面积（万平方米）",EPMMemberDesc(U76))</f>
        <v/>
      </c>
      <c r="T76" s="716" t="n"/>
      <c r="U76" s="455" t="inlineStr">
        <is>
          <t>A0800306</t>
        </is>
      </c>
      <c r="V76" s="455">
        <f>IF(_epmOfflineCondition_,"A0800306",EPMOlapMemberO(U76,"[C_ACCOUNT].[PARENTH1].[A0800306]","A0800306 - 政策性住房施工面积（万平方米）","","000"))</f>
        <v/>
      </c>
      <c r="W76" s="462" t="n"/>
      <c r="X76" s="1391" t="inlineStr">
        <is>
          <t>政策性住房施工面积（万平方米）</t>
        </is>
      </c>
      <c r="Y76" s="1185">
        <f>ROW()-45</f>
        <v/>
      </c>
      <c r="Z76" s="1307">
        <f>AD76</f>
        <v/>
      </c>
      <c r="AA76" s="1307" t="n"/>
      <c r="AB76" s="1307" t="n"/>
      <c r="AC76" s="1390" t="n"/>
      <c r="AD76" s="1388">
        <f>IF(RIGHT($I$11,2)="01",AA76,AA76-AC76)</f>
        <v/>
      </c>
      <c r="AE76" s="716" t="n"/>
      <c r="AF76" s="716" t="n"/>
      <c r="AG76" s="716" t="n"/>
      <c r="AH76" s="716" t="n"/>
      <c r="AI76" s="716" t="n"/>
      <c r="AJ76" s="716" t="n"/>
      <c r="AK76" s="716" t="n"/>
      <c r="AL76" s="716" t="n"/>
      <c r="AM76" s="716" t="n"/>
      <c r="AN76" s="716" t="n"/>
      <c r="AO76" s="716" t="n"/>
      <c r="AP76" s="716" t="n"/>
      <c r="AQ76" s="716" t="n"/>
      <c r="AR76" s="716" t="n"/>
      <c r="AS76" s="716" t="n"/>
      <c r="AT76" s="716" t="n"/>
      <c r="AU76" s="716" t="n"/>
      <c r="AV76" s="716" t="n"/>
      <c r="AW76" s="716" t="n"/>
      <c r="AX76" s="716" t="n"/>
      <c r="AY76" s="716" t="n"/>
      <c r="AZ76" s="716" t="n"/>
      <c r="BA76" s="716" t="n"/>
      <c r="BB76" s="716" t="n"/>
      <c r="BC76" s="716" t="n"/>
      <c r="BD76" s="716" t="n"/>
      <c r="BE76" s="716" t="n"/>
      <c r="BF76" s="716" t="n"/>
      <c r="BG76" s="716" t="n"/>
      <c r="BH76" s="716" t="n"/>
      <c r="BI76" s="716" t="n"/>
      <c r="BJ76" s="716" t="n"/>
      <c r="BK76" s="716" t="n"/>
      <c r="BL76" s="716" t="n"/>
      <c r="BM76" s="716" t="n"/>
      <c r="BN76" s="716" t="n"/>
      <c r="BO76" s="716" t="n"/>
      <c r="BP76" s="716" t="n"/>
      <c r="BQ76" s="716" t="n"/>
      <c r="BR76" s="716" t="n"/>
      <c r="BS76" s="716" t="n"/>
      <c r="BT76" s="716" t="n"/>
      <c r="BU76" s="716" t="n"/>
      <c r="BV76" s="716" t="n"/>
      <c r="BW76" s="716" t="n"/>
      <c r="BX76" s="716" t="n"/>
      <c r="BY76" s="716" t="n"/>
      <c r="BZ76" s="716" t="n"/>
      <c r="CA76" s="716" t="n"/>
      <c r="CB76" s="716" t="n"/>
      <c r="CC76" s="716" t="n"/>
      <c r="CD76" s="716" t="n"/>
      <c r="CE76" s="716" t="n"/>
      <c r="CF76" s="716" t="n"/>
      <c r="CG76" s="716" t="n"/>
      <c r="CH76" s="716" t="n"/>
      <c r="CI76" s="716" t="n"/>
      <c r="CJ76" s="716" t="n"/>
      <c r="CK76" s="716" t="n"/>
      <c r="CL76" s="716" t="n"/>
      <c r="CM76" s="716" t="n"/>
      <c r="CN76" s="716" t="n"/>
      <c r="CO76" s="716" t="n"/>
      <c r="CP76" s="716" t="n"/>
      <c r="CQ76" s="716" t="n"/>
    </row>
    <row r="77" ht="16.5" customFormat="1" customHeight="1" s="716">
      <c r="A77" s="716" t="n"/>
      <c r="B77" s="716" t="n"/>
      <c r="C77" s="716" t="n"/>
      <c r="D77" s="716" t="n"/>
      <c r="E77" s="716" t="n"/>
      <c r="F77" s="716" t="n"/>
      <c r="G77" s="716" t="n"/>
      <c r="H77" s="716" t="n"/>
      <c r="I77" s="716" t="n"/>
      <c r="J77" s="716" t="n"/>
      <c r="K77" s="716" t="n"/>
      <c r="L77" s="716" t="n"/>
      <c r="M77" s="716" t="n"/>
      <c r="N77" s="716" t="n"/>
      <c r="O77" s="716" t="n"/>
      <c r="P77" s="716" t="n"/>
      <c r="Q77" s="716" t="n"/>
      <c r="R77" s="716" t="n"/>
      <c r="S77" s="462">
        <f>IF(_epmOfflineCondition_,"四、商贸旅游企业",EPMMemberDesc(U77))</f>
        <v/>
      </c>
      <c r="T77" s="716" t="n"/>
      <c r="U77" s="462" t="inlineStr">
        <is>
          <t>A08004</t>
        </is>
      </c>
      <c r="V77" s="462">
        <f>IF(_epmOfflineCondition_,"A08004",EPMOlapMemberO(U77,"[C_ACCOUNT].[PARENTH1].[A08004]","A08004 - 四、商贸旅游企业","","000"))</f>
        <v/>
      </c>
      <c r="W77" s="462" t="n"/>
      <c r="X77" s="1391" t="inlineStr">
        <is>
          <t>四、商贸旅游企业</t>
        </is>
      </c>
      <c r="Y77" s="1185">
        <f>ROW()-45</f>
        <v/>
      </c>
      <c r="Z77" s="1307">
        <f>"——"</f>
        <v/>
      </c>
      <c r="AA77" s="1307">
        <f>"——"</f>
        <v/>
      </c>
      <c r="AB77" s="1307">
        <f>"——"</f>
        <v/>
      </c>
      <c r="AC77" s="1390" t="n"/>
      <c r="AD77" s="1388">
        <f>"——"</f>
        <v/>
      </c>
      <c r="AE77" s="716" t="n"/>
      <c r="AF77" s="716" t="n"/>
      <c r="AG77" s="716" t="n"/>
      <c r="AH77" s="716" t="n"/>
      <c r="AI77" s="716" t="n"/>
      <c r="AJ77" s="716" t="n"/>
      <c r="AK77" s="716" t="n"/>
      <c r="AL77" s="716" t="n"/>
      <c r="AM77" s="716" t="n"/>
      <c r="AN77" s="716" t="n"/>
      <c r="AO77" s="716" t="n"/>
      <c r="AP77" s="716" t="n"/>
      <c r="AQ77" s="716" t="n"/>
      <c r="AR77" s="716" t="n"/>
      <c r="AS77" s="716" t="n"/>
      <c r="AT77" s="716" t="n"/>
      <c r="AU77" s="716" t="n"/>
      <c r="AV77" s="716" t="n"/>
      <c r="AW77" s="716" t="n"/>
      <c r="AX77" s="716" t="n"/>
      <c r="AY77" s="716" t="n"/>
      <c r="AZ77" s="716" t="n"/>
      <c r="BA77" s="716" t="n"/>
      <c r="BB77" s="716" t="n"/>
      <c r="BC77" s="716" t="n"/>
      <c r="BD77" s="716" t="n"/>
      <c r="BE77" s="716" t="n"/>
      <c r="BF77" s="716" t="n"/>
      <c r="BG77" s="716" t="n"/>
      <c r="BH77" s="716" t="n"/>
      <c r="BI77" s="716" t="n"/>
      <c r="BJ77" s="716" t="n"/>
      <c r="BK77" s="716" t="n"/>
      <c r="BL77" s="716" t="n"/>
      <c r="BM77" s="716" t="n"/>
      <c r="BN77" s="716" t="n"/>
      <c r="BO77" s="716" t="n"/>
      <c r="BP77" s="716" t="n"/>
      <c r="BQ77" s="716" t="n"/>
      <c r="BR77" s="716" t="n"/>
      <c r="BS77" s="716" t="n"/>
      <c r="BT77" s="716" t="n"/>
      <c r="BU77" s="716" t="n"/>
      <c r="BV77" s="716" t="n"/>
      <c r="BW77" s="716" t="n"/>
      <c r="BX77" s="716" t="n"/>
      <c r="BY77" s="716" t="n"/>
      <c r="BZ77" s="716" t="n"/>
      <c r="CA77" s="716" t="n"/>
      <c r="CB77" s="716" t="n"/>
      <c r="CC77" s="716" t="n"/>
      <c r="CD77" s="716" t="n"/>
      <c r="CE77" s="716" t="n"/>
      <c r="CF77" s="716" t="n"/>
      <c r="CG77" s="716" t="n"/>
      <c r="CH77" s="716" t="n"/>
      <c r="CI77" s="716" t="n"/>
      <c r="CJ77" s="716" t="n"/>
      <c r="CK77" s="716" t="n"/>
      <c r="CL77" s="716" t="n"/>
      <c r="CM77" s="716" t="n"/>
      <c r="CN77" s="716" t="n"/>
      <c r="CO77" s="716" t="n"/>
      <c r="CP77" s="716" t="n"/>
      <c r="CQ77" s="716" t="n"/>
    </row>
    <row r="78" ht="16.5" customFormat="1" customHeight="1" s="716">
      <c r="A78" s="716" t="n"/>
      <c r="B78" s="716" t="n"/>
      <c r="C78" s="716" t="n"/>
      <c r="D78" s="716" t="n"/>
      <c r="E78" s="716" t="n"/>
      <c r="F78" s="716" t="n"/>
      <c r="G78" s="716" t="n"/>
      <c r="H78" s="716" t="n"/>
      <c r="I78" s="716" t="n"/>
      <c r="J78" s="716" t="n"/>
      <c r="K78" s="716" t="n"/>
      <c r="L78" s="716" t="n"/>
      <c r="M78" s="716" t="n"/>
      <c r="N78" s="716" t="n"/>
      <c r="O78" s="716" t="n"/>
      <c r="P78" s="716" t="n"/>
      <c r="Q78" s="716" t="n"/>
      <c r="R78" s="716" t="n"/>
      <c r="S78" s="462">
        <f>IF(_epmOfflineCondition_,"总销售额（万元）",EPMMemberDesc(U78))</f>
        <v/>
      </c>
      <c r="T78" s="716" t="n"/>
      <c r="U78" s="455" t="inlineStr">
        <is>
          <t>A0800401</t>
        </is>
      </c>
      <c r="V78" s="455">
        <f>IF(_epmOfflineCondition_,"A0800401",EPMOlapMemberO(U78,"[C_ACCOUNT].[PARENTH1].[A0800401]","A0800401 - 总销售额（万元）","","000"))</f>
        <v/>
      </c>
      <c r="W78" s="462" t="n"/>
      <c r="X78" s="1391" t="inlineStr">
        <is>
          <t>总销售额（万元）</t>
        </is>
      </c>
      <c r="Y78" s="1185">
        <f>ROW()-45</f>
        <v/>
      </c>
      <c r="Z78" s="1307">
        <f>AD78</f>
        <v/>
      </c>
      <c r="AA78" s="1307" t="n"/>
      <c r="AB78" s="1307" t="n"/>
      <c r="AC78" s="1390" t="n"/>
      <c r="AD78" s="1388">
        <f>IF(RIGHT($I$11,2)="01",AA78,AA78-AC78)</f>
        <v/>
      </c>
      <c r="AE78" s="716" t="n"/>
      <c r="AF78" s="716" t="n"/>
      <c r="AG78" s="716" t="n"/>
      <c r="AH78" s="716" t="n"/>
      <c r="AI78" s="716" t="n"/>
      <c r="AJ78" s="716" t="n"/>
      <c r="AK78" s="716" t="n"/>
      <c r="AL78" s="716" t="n"/>
      <c r="AM78" s="716" t="n"/>
      <c r="AN78" s="716" t="n"/>
      <c r="AO78" s="716" t="n"/>
      <c r="AP78" s="716" t="n"/>
      <c r="AQ78" s="716" t="n"/>
      <c r="AR78" s="716" t="n"/>
      <c r="AS78" s="716" t="n"/>
      <c r="AT78" s="716" t="n"/>
      <c r="AU78" s="716" t="n"/>
      <c r="AV78" s="716" t="n"/>
      <c r="AW78" s="716" t="n"/>
      <c r="AX78" s="716" t="n"/>
      <c r="AY78" s="716" t="n"/>
      <c r="AZ78" s="716" t="n"/>
      <c r="BA78" s="716" t="n"/>
      <c r="BB78" s="716" t="n"/>
      <c r="BC78" s="716" t="n"/>
      <c r="BD78" s="716" t="n"/>
      <c r="BE78" s="716" t="n"/>
      <c r="BF78" s="716" t="n"/>
      <c r="BG78" s="716" t="n"/>
      <c r="BH78" s="716" t="n"/>
      <c r="BI78" s="716" t="n"/>
      <c r="BJ78" s="716" t="n"/>
      <c r="BK78" s="716" t="n"/>
      <c r="BL78" s="716" t="n"/>
      <c r="BM78" s="716" t="n"/>
      <c r="BN78" s="716" t="n"/>
      <c r="BO78" s="716" t="n"/>
      <c r="BP78" s="716" t="n"/>
      <c r="BQ78" s="716" t="n"/>
      <c r="BR78" s="716" t="n"/>
      <c r="BS78" s="716" t="n"/>
      <c r="BT78" s="716" t="n"/>
      <c r="BU78" s="716" t="n"/>
      <c r="BV78" s="716" t="n"/>
      <c r="BW78" s="716" t="n"/>
      <c r="BX78" s="716" t="n"/>
      <c r="BY78" s="716" t="n"/>
      <c r="BZ78" s="716" t="n"/>
      <c r="CA78" s="716" t="n"/>
      <c r="CB78" s="716" t="n"/>
      <c r="CC78" s="716" t="n"/>
      <c r="CD78" s="716" t="n"/>
      <c r="CE78" s="716" t="n"/>
      <c r="CF78" s="716" t="n"/>
      <c r="CG78" s="716" t="n"/>
      <c r="CH78" s="716" t="n"/>
      <c r="CI78" s="716" t="n"/>
      <c r="CJ78" s="716" t="n"/>
      <c r="CK78" s="716" t="n"/>
      <c r="CL78" s="716" t="n"/>
      <c r="CM78" s="716" t="n"/>
      <c r="CN78" s="716" t="n"/>
      <c r="CO78" s="716" t="n"/>
      <c r="CP78" s="716" t="n"/>
      <c r="CQ78" s="716" t="n"/>
    </row>
    <row r="79" ht="16.5" customFormat="1" customHeight="1" s="716">
      <c r="A79" s="716" t="n"/>
      <c r="B79" s="716" t="n"/>
      <c r="C79" s="716" t="n"/>
      <c r="D79" s="716" t="n"/>
      <c r="E79" s="716" t="n"/>
      <c r="F79" s="716" t="n"/>
      <c r="G79" s="716" t="n"/>
      <c r="H79" s="716" t="n"/>
      <c r="I79" s="716" t="n"/>
      <c r="J79" s="716" t="n"/>
      <c r="K79" s="716" t="n"/>
      <c r="L79" s="716" t="n"/>
      <c r="M79" s="716" t="n"/>
      <c r="N79" s="716" t="n"/>
      <c r="O79" s="716" t="n"/>
      <c r="P79" s="716" t="n"/>
      <c r="Q79" s="716" t="n"/>
      <c r="R79" s="716" t="n"/>
      <c r="S79" s="462">
        <f>IF(_epmOfflineCondition_,"接待旅游总人次（万人次）",EPMMemberDesc(U79))</f>
        <v/>
      </c>
      <c r="T79" s="716" t="n"/>
      <c r="U79" s="455" t="inlineStr">
        <is>
          <t>A0800402</t>
        </is>
      </c>
      <c r="V79" s="455">
        <f>IF(_epmOfflineCondition_,"A0800402",EPMOlapMemberO(U79,"[C_ACCOUNT].[PARENTH1].[A0800402]","A0800402 - 接待旅游总人次（万人次）","","000"))</f>
        <v/>
      </c>
      <c r="W79" s="462" t="n"/>
      <c r="X79" s="1391" t="inlineStr">
        <is>
          <t>接待旅游总人次（万人次）</t>
        </is>
      </c>
      <c r="Y79" s="1185">
        <f>ROW()-45</f>
        <v/>
      </c>
      <c r="Z79" s="1307">
        <f>AD79</f>
        <v/>
      </c>
      <c r="AA79" s="1307" t="n"/>
      <c r="AB79" s="1307" t="n"/>
      <c r="AC79" s="1390" t="n"/>
      <c r="AD79" s="1388">
        <f>IF(RIGHT($I$11,2)="01",AA79,AA79-AC79)</f>
        <v/>
      </c>
      <c r="AE79" s="716" t="n"/>
      <c r="AF79" s="716" t="n"/>
      <c r="AG79" s="716" t="n"/>
      <c r="AH79" s="716" t="n"/>
      <c r="AI79" s="716" t="n"/>
      <c r="AJ79" s="716" t="n"/>
      <c r="AK79" s="716" t="n"/>
      <c r="AL79" s="716" t="n"/>
      <c r="AM79" s="716" t="n"/>
      <c r="AN79" s="716" t="n"/>
      <c r="AO79" s="716" t="n"/>
      <c r="AP79" s="716" t="n"/>
      <c r="AQ79" s="716" t="n"/>
      <c r="AR79" s="716" t="n"/>
      <c r="AS79" s="716" t="n"/>
      <c r="AT79" s="716" t="n"/>
      <c r="AU79" s="716" t="n"/>
      <c r="AV79" s="716" t="n"/>
      <c r="AW79" s="716" t="n"/>
      <c r="AX79" s="716" t="n"/>
      <c r="AY79" s="716" t="n"/>
      <c r="AZ79" s="716" t="n"/>
      <c r="BA79" s="716" t="n"/>
      <c r="BB79" s="716" t="n"/>
      <c r="BC79" s="716" t="n"/>
      <c r="BD79" s="716" t="n"/>
      <c r="BE79" s="716" t="n"/>
      <c r="BF79" s="716" t="n"/>
      <c r="BG79" s="716" t="n"/>
      <c r="BH79" s="716" t="n"/>
      <c r="BI79" s="716" t="n"/>
      <c r="BJ79" s="716" t="n"/>
      <c r="BK79" s="716" t="n"/>
      <c r="BL79" s="716" t="n"/>
      <c r="BM79" s="716" t="n"/>
      <c r="BN79" s="716" t="n"/>
      <c r="BO79" s="716" t="n"/>
      <c r="BP79" s="716" t="n"/>
      <c r="BQ79" s="716" t="n"/>
      <c r="BR79" s="716" t="n"/>
      <c r="BS79" s="716" t="n"/>
      <c r="BT79" s="716" t="n"/>
      <c r="BU79" s="716" t="n"/>
      <c r="BV79" s="716" t="n"/>
      <c r="BW79" s="716" t="n"/>
      <c r="BX79" s="716" t="n"/>
      <c r="BY79" s="716" t="n"/>
      <c r="BZ79" s="716" t="n"/>
      <c r="CA79" s="716" t="n"/>
      <c r="CB79" s="716" t="n"/>
      <c r="CC79" s="716" t="n"/>
      <c r="CD79" s="716" t="n"/>
      <c r="CE79" s="716" t="n"/>
      <c r="CF79" s="716" t="n"/>
      <c r="CG79" s="716" t="n"/>
      <c r="CH79" s="716" t="n"/>
      <c r="CI79" s="716" t="n"/>
      <c r="CJ79" s="716" t="n"/>
      <c r="CK79" s="716" t="n"/>
      <c r="CL79" s="716" t="n"/>
      <c r="CM79" s="716" t="n"/>
      <c r="CN79" s="716" t="n"/>
      <c r="CO79" s="716" t="n"/>
      <c r="CP79" s="716" t="n"/>
      <c r="CQ79" s="716" t="n"/>
    </row>
    <row r="80" ht="16.5" customFormat="1" customHeight="1" s="716">
      <c r="A80" s="716" t="n"/>
      <c r="B80" s="716" t="n"/>
      <c r="C80" s="716" t="n"/>
      <c r="D80" s="716" t="n"/>
      <c r="E80" s="716" t="n"/>
      <c r="F80" s="716" t="n"/>
      <c r="G80" s="716" t="n"/>
      <c r="H80" s="716" t="n"/>
      <c r="I80" s="716" t="n"/>
      <c r="J80" s="716" t="n"/>
      <c r="K80" s="716" t="n"/>
      <c r="L80" s="716" t="n"/>
      <c r="M80" s="716" t="n"/>
      <c r="N80" s="716" t="n"/>
      <c r="O80" s="716" t="n"/>
      <c r="P80" s="716" t="n"/>
      <c r="Q80" s="716" t="n"/>
      <c r="R80" s="716" t="n"/>
      <c r="S80" s="462">
        <f>IF(_epmOfflineCondition_,"旅游总收入（万元）",EPMMemberDesc(U80))</f>
        <v/>
      </c>
      <c r="T80" s="716" t="n"/>
      <c r="U80" s="455" t="inlineStr">
        <is>
          <t>A0800403</t>
        </is>
      </c>
      <c r="V80" s="455">
        <f>IF(_epmOfflineCondition_,"A0800403",EPMOlapMemberO(U80,"[C_ACCOUNT].[PARENTH1].[A0800403]","A0800403 - 旅游总收入（万元）","","000"))</f>
        <v/>
      </c>
      <c r="W80" s="462" t="n"/>
      <c r="X80" s="1391" t="inlineStr">
        <is>
          <t>旅游总收入（万元）</t>
        </is>
      </c>
      <c r="Y80" s="1185">
        <f>ROW()-45</f>
        <v/>
      </c>
      <c r="Z80" s="1307">
        <f>AD80</f>
        <v/>
      </c>
      <c r="AA80" s="1307" t="n"/>
      <c r="AB80" s="1307" t="n"/>
      <c r="AC80" s="1390" t="n"/>
      <c r="AD80" s="1388">
        <f>IF(RIGHT($I$11,2)="01",AA80,AA80-AC80)</f>
        <v/>
      </c>
      <c r="AE80" s="716" t="n"/>
      <c r="AF80" s="716" t="n"/>
      <c r="AG80" s="716" t="n"/>
      <c r="AH80" s="716" t="n"/>
      <c r="AI80" s="716" t="n"/>
      <c r="AJ80" s="716" t="n"/>
      <c r="AK80" s="716" t="n"/>
      <c r="AL80" s="716" t="n"/>
      <c r="AM80" s="716" t="n"/>
      <c r="AN80" s="716" t="n"/>
      <c r="AO80" s="716" t="n"/>
      <c r="AP80" s="716" t="n"/>
      <c r="AQ80" s="716" t="n"/>
      <c r="AR80" s="716" t="n"/>
      <c r="AS80" s="716" t="n"/>
      <c r="AT80" s="716" t="n"/>
      <c r="AU80" s="716" t="n"/>
      <c r="AV80" s="716" t="n"/>
      <c r="AW80" s="716" t="n"/>
      <c r="AX80" s="716" t="n"/>
      <c r="AY80" s="716" t="n"/>
      <c r="AZ80" s="716" t="n"/>
      <c r="BA80" s="716" t="n"/>
      <c r="BB80" s="716" t="n"/>
      <c r="BC80" s="716" t="n"/>
      <c r="BD80" s="716" t="n"/>
      <c r="BE80" s="716" t="n"/>
      <c r="BF80" s="716" t="n"/>
      <c r="BG80" s="716" t="n"/>
      <c r="BH80" s="716" t="n"/>
      <c r="BI80" s="716" t="n"/>
      <c r="BJ80" s="716" t="n"/>
      <c r="BK80" s="716" t="n"/>
      <c r="BL80" s="716" t="n"/>
      <c r="BM80" s="716" t="n"/>
      <c r="BN80" s="716" t="n"/>
      <c r="BO80" s="716" t="n"/>
      <c r="BP80" s="716" t="n"/>
      <c r="BQ80" s="716" t="n"/>
      <c r="BR80" s="716" t="n"/>
      <c r="BS80" s="716" t="n"/>
      <c r="BT80" s="716" t="n"/>
      <c r="BU80" s="716" t="n"/>
      <c r="BV80" s="716" t="n"/>
      <c r="BW80" s="716" t="n"/>
      <c r="BX80" s="716" t="n"/>
      <c r="BY80" s="716" t="n"/>
      <c r="BZ80" s="716" t="n"/>
      <c r="CA80" s="716" t="n"/>
      <c r="CB80" s="716" t="n"/>
      <c r="CC80" s="716" t="n"/>
      <c r="CD80" s="716" t="n"/>
      <c r="CE80" s="716" t="n"/>
      <c r="CF80" s="716" t="n"/>
      <c r="CG80" s="716" t="n"/>
      <c r="CH80" s="716" t="n"/>
      <c r="CI80" s="716" t="n"/>
      <c r="CJ80" s="716" t="n"/>
      <c r="CK80" s="716" t="n"/>
      <c r="CL80" s="716" t="n"/>
      <c r="CM80" s="716" t="n"/>
      <c r="CN80" s="716" t="n"/>
      <c r="CO80" s="716" t="n"/>
      <c r="CP80" s="716" t="n"/>
      <c r="CQ80" s="716" t="n"/>
    </row>
    <row r="81" ht="16.5" customFormat="1" customHeight="1" s="716">
      <c r="A81" s="716" t="n"/>
      <c r="B81" s="716" t="n"/>
      <c r="C81" s="716" t="n"/>
      <c r="D81" s="716" t="n"/>
      <c r="E81" s="716" t="n"/>
      <c r="F81" s="716" t="n"/>
      <c r="G81" s="716" t="n"/>
      <c r="H81" s="716" t="n"/>
      <c r="I81" s="716" t="n"/>
      <c r="J81" s="716" t="n"/>
      <c r="K81" s="716" t="n"/>
      <c r="L81" s="716" t="n"/>
      <c r="M81" s="716" t="n"/>
      <c r="N81" s="716" t="n"/>
      <c r="O81" s="716" t="n"/>
      <c r="P81" s="716" t="n"/>
      <c r="Q81" s="716" t="n"/>
      <c r="R81" s="716" t="n"/>
      <c r="S81" s="462">
        <f>IF(_epmOfflineCondition_,"酒店营业额（万元）",EPMMemberDesc(U81))</f>
        <v/>
      </c>
      <c r="T81" s="716" t="n"/>
      <c r="U81" s="455" t="inlineStr">
        <is>
          <t>A0800404</t>
        </is>
      </c>
      <c r="V81" s="455">
        <f>IF(_epmOfflineCondition_,"A0800404",EPMOlapMemberO(U81,"[C_ACCOUNT].[PARENTH1].[A0800404]","A0800404 - 酒店营业额（万元）","","000"))</f>
        <v/>
      </c>
      <c r="W81" s="462" t="n"/>
      <c r="X81" s="1391" t="inlineStr">
        <is>
          <t>酒店营业额（万元）</t>
        </is>
      </c>
      <c r="Y81" s="1185">
        <f>ROW()-45</f>
        <v/>
      </c>
      <c r="Z81" s="1307">
        <f>AD81</f>
        <v/>
      </c>
      <c r="AA81" s="1307" t="n"/>
      <c r="AB81" s="1307" t="n"/>
      <c r="AC81" s="1390" t="n"/>
      <c r="AD81" s="1388">
        <f>IF(RIGHT($I$11,2)="01",AA81,AA81-AC81)</f>
        <v/>
      </c>
      <c r="AE81" s="716" t="n"/>
      <c r="AF81" s="716" t="n"/>
      <c r="AG81" s="716" t="n"/>
      <c r="AH81" s="716" t="n"/>
      <c r="AI81" s="716" t="n"/>
      <c r="AJ81" s="716" t="n"/>
      <c r="AK81" s="716" t="n"/>
      <c r="AL81" s="716" t="n"/>
      <c r="AM81" s="716" t="n"/>
      <c r="AN81" s="716" t="n"/>
      <c r="AO81" s="716" t="n"/>
      <c r="AP81" s="716" t="n"/>
      <c r="AQ81" s="716" t="n"/>
      <c r="AR81" s="716" t="n"/>
      <c r="AS81" s="716" t="n"/>
      <c r="AT81" s="716" t="n"/>
      <c r="AU81" s="716" t="n"/>
      <c r="AV81" s="716" t="n"/>
      <c r="AW81" s="716" t="n"/>
      <c r="AX81" s="716" t="n"/>
      <c r="AY81" s="716" t="n"/>
      <c r="AZ81" s="716" t="n"/>
      <c r="BA81" s="716" t="n"/>
      <c r="BB81" s="716" t="n"/>
      <c r="BC81" s="716" t="n"/>
      <c r="BD81" s="716" t="n"/>
      <c r="BE81" s="716" t="n"/>
      <c r="BF81" s="716" t="n"/>
      <c r="BG81" s="716" t="n"/>
      <c r="BH81" s="716" t="n"/>
      <c r="BI81" s="716" t="n"/>
      <c r="BJ81" s="716" t="n"/>
      <c r="BK81" s="716" t="n"/>
      <c r="BL81" s="716" t="n"/>
      <c r="BM81" s="716" t="n"/>
      <c r="BN81" s="716" t="n"/>
      <c r="BO81" s="716" t="n"/>
      <c r="BP81" s="716" t="n"/>
      <c r="BQ81" s="716" t="n"/>
      <c r="BR81" s="716" t="n"/>
      <c r="BS81" s="716" t="n"/>
      <c r="BT81" s="716" t="n"/>
      <c r="BU81" s="716" t="n"/>
      <c r="BV81" s="716" t="n"/>
      <c r="BW81" s="716" t="n"/>
      <c r="BX81" s="716" t="n"/>
      <c r="BY81" s="716" t="n"/>
      <c r="BZ81" s="716" t="n"/>
      <c r="CA81" s="716" t="n"/>
      <c r="CB81" s="716" t="n"/>
      <c r="CC81" s="716" t="n"/>
      <c r="CD81" s="716" t="n"/>
      <c r="CE81" s="716" t="n"/>
      <c r="CF81" s="716" t="n"/>
      <c r="CG81" s="716" t="n"/>
      <c r="CH81" s="716" t="n"/>
      <c r="CI81" s="716" t="n"/>
      <c r="CJ81" s="716" t="n"/>
      <c r="CK81" s="716" t="n"/>
      <c r="CL81" s="716" t="n"/>
      <c r="CM81" s="716" t="n"/>
      <c r="CN81" s="716" t="n"/>
      <c r="CO81" s="716" t="n"/>
      <c r="CP81" s="716" t="n"/>
      <c r="CQ81" s="716" t="n"/>
    </row>
    <row r="82" ht="16.5" customFormat="1" customHeight="1" s="716">
      <c r="A82" s="716" t="n"/>
      <c r="B82" s="716" t="n"/>
      <c r="C82" s="716" t="n"/>
      <c r="D82" s="716" t="n"/>
      <c r="E82" s="716" t="n"/>
      <c r="F82" s="716" t="n"/>
      <c r="G82" s="716" t="n"/>
      <c r="H82" s="716" t="n"/>
      <c r="I82" s="716" t="n"/>
      <c r="J82" s="716" t="n"/>
      <c r="K82" s="716" t="n"/>
      <c r="L82" s="716" t="n"/>
      <c r="M82" s="716" t="n"/>
      <c r="N82" s="716" t="n"/>
      <c r="O82" s="716" t="n"/>
      <c r="P82" s="716" t="n"/>
      <c r="Q82" s="716" t="n"/>
      <c r="R82" s="716" t="n"/>
      <c r="S82" s="462">
        <f>IF(_epmOfflineCondition_,"酒店入住率（%）",EPMMemberDesc(U82))</f>
        <v/>
      </c>
      <c r="T82" s="716" t="n"/>
      <c r="U82" s="455" t="inlineStr">
        <is>
          <t>A0800405</t>
        </is>
      </c>
      <c r="V82" s="455">
        <f>IF(_epmOfflineCondition_,"A0800405",EPMOlapMemberO(U82,"[C_ACCOUNT].[PARENTH1].[A0800405]","A0800405 - 酒店入住率（%）","","000"))</f>
        <v/>
      </c>
      <c r="W82" s="462" t="n"/>
      <c r="X82" s="1391" t="inlineStr">
        <is>
          <t>酒店入住率（%）</t>
        </is>
      </c>
      <c r="Y82" s="1185">
        <f>ROW()-45</f>
        <v/>
      </c>
      <c r="Z82" s="1307" t="inlineStr"/>
      <c r="AA82" s="1307" t="inlineStr"/>
      <c r="AB82" s="1307">
        <f>IF(_epmOfflineCondition_,0,EPMRetrieveData(,U82,$AB$41,$AB$42,$AB$43,$AB$44,$AB$45,$D$21,C22,$D$31,$D$25,$D$26,$D$27,$D$28))</f>
        <v/>
      </c>
      <c r="AC82" s="1390" t="n"/>
      <c r="AD82" s="1388" t="n"/>
      <c r="AE82" s="716" t="n"/>
      <c r="AF82" s="716" t="n"/>
      <c r="AG82" s="716" t="n"/>
      <c r="AH82" s="716" t="n"/>
      <c r="AI82" s="716" t="n"/>
      <c r="AJ82" s="716" t="n"/>
      <c r="AK82" s="716" t="n"/>
      <c r="AL82" s="716" t="n"/>
      <c r="AM82" s="716" t="n"/>
      <c r="AN82" s="716" t="n"/>
      <c r="AO82" s="716" t="n"/>
      <c r="AP82" s="716" t="n"/>
      <c r="AQ82" s="716" t="n"/>
      <c r="AR82" s="716" t="n"/>
      <c r="AS82" s="716" t="n"/>
      <c r="AT82" s="716" t="n"/>
      <c r="AU82" s="716" t="n"/>
      <c r="AV82" s="716" t="n"/>
      <c r="AW82" s="716" t="n"/>
      <c r="AX82" s="716" t="n"/>
      <c r="AY82" s="716" t="n"/>
      <c r="AZ82" s="716" t="n"/>
      <c r="BA82" s="716" t="n"/>
      <c r="BB82" s="716" t="n"/>
      <c r="BC82" s="716" t="n"/>
      <c r="BD82" s="716" t="n"/>
      <c r="BE82" s="716" t="n"/>
      <c r="BF82" s="716" t="n"/>
      <c r="BG82" s="716" t="n"/>
      <c r="BH82" s="716" t="n"/>
      <c r="BI82" s="716" t="n"/>
      <c r="BJ82" s="716" t="n"/>
      <c r="BK82" s="716" t="n"/>
      <c r="BL82" s="716" t="n"/>
      <c r="BM82" s="716" t="n"/>
      <c r="BN82" s="716" t="n"/>
      <c r="BO82" s="716" t="n"/>
      <c r="BP82" s="716" t="n"/>
      <c r="BQ82" s="716" t="n"/>
      <c r="BR82" s="716" t="n"/>
      <c r="BS82" s="716" t="n"/>
      <c r="BT82" s="716" t="n"/>
      <c r="BU82" s="716" t="n"/>
      <c r="BV82" s="716" t="n"/>
      <c r="BW82" s="716" t="n"/>
      <c r="BX82" s="716" t="n"/>
      <c r="BY82" s="716" t="n"/>
      <c r="BZ82" s="716" t="n"/>
      <c r="CA82" s="716" t="n"/>
      <c r="CB82" s="716" t="n"/>
      <c r="CC82" s="716" t="n"/>
      <c r="CD82" s="716" t="n"/>
      <c r="CE82" s="716" t="n"/>
      <c r="CF82" s="716" t="n"/>
      <c r="CG82" s="716" t="n"/>
      <c r="CH82" s="716" t="n"/>
      <c r="CI82" s="716" t="n"/>
      <c r="CJ82" s="716" t="n"/>
      <c r="CK82" s="716" t="n"/>
      <c r="CL82" s="716" t="n"/>
      <c r="CM82" s="716" t="n"/>
      <c r="CN82" s="716" t="n"/>
      <c r="CO82" s="716" t="n"/>
      <c r="CP82" s="716" t="n"/>
      <c r="CQ82" s="716" t="n"/>
    </row>
    <row r="83" ht="16.5" customFormat="1" customHeight="1" s="716">
      <c r="A83" s="716" t="n"/>
      <c r="B83" s="716" t="n"/>
      <c r="C83" s="716" t="n"/>
      <c r="D83" s="716" t="n"/>
      <c r="E83" s="716" t="n"/>
      <c r="F83" s="716" t="n"/>
      <c r="G83" s="716" t="n"/>
      <c r="H83" s="716" t="n"/>
      <c r="I83" s="716" t="n"/>
      <c r="J83" s="716" t="n"/>
      <c r="K83" s="716" t="n"/>
      <c r="L83" s="716" t="n"/>
      <c r="M83" s="716" t="n"/>
      <c r="N83" s="716" t="n"/>
      <c r="O83" s="716" t="n"/>
      <c r="P83" s="716" t="n"/>
      <c r="Q83" s="716" t="n"/>
      <c r="R83" s="716" t="n"/>
      <c r="S83" s="462">
        <f>IF(_epmOfflineCondition_,"五、市政公用企业",EPMMemberDesc(U83))</f>
        <v/>
      </c>
      <c r="T83" s="716" t="n"/>
      <c r="U83" s="462" t="inlineStr">
        <is>
          <t>A08005</t>
        </is>
      </c>
      <c r="V83" s="462">
        <f>IF(_epmOfflineCondition_,"A08005",EPMOlapMemberO(U83,"[C_ACCOUNT].[PARENTH1].[A08005]","A08005 - 五、市政公用企业","","000"))</f>
        <v/>
      </c>
      <c r="W83" s="462" t="n"/>
      <c r="X83" s="1391" t="inlineStr">
        <is>
          <t>五、市政公用企业</t>
        </is>
      </c>
      <c r="Y83" s="1185">
        <f>ROW()-45</f>
        <v/>
      </c>
      <c r="Z83" s="1307">
        <f>"——"</f>
        <v/>
      </c>
      <c r="AA83" s="1307">
        <f>"——"</f>
        <v/>
      </c>
      <c r="AB83" s="1307">
        <f>"——"</f>
        <v/>
      </c>
      <c r="AC83" s="1390" t="n"/>
      <c r="AD83" s="1388">
        <f>"——"</f>
        <v/>
      </c>
      <c r="AE83" s="716" t="n"/>
      <c r="AF83" s="716" t="n"/>
      <c r="AG83" s="716" t="n"/>
      <c r="AH83" s="716" t="n"/>
      <c r="AI83" s="716" t="n"/>
      <c r="AJ83" s="716" t="n"/>
      <c r="AK83" s="716" t="n"/>
      <c r="AL83" s="716" t="n"/>
      <c r="AM83" s="716" t="n"/>
      <c r="AN83" s="716" t="n"/>
      <c r="AO83" s="716" t="n"/>
      <c r="AP83" s="716" t="n"/>
      <c r="AQ83" s="716" t="n"/>
      <c r="AR83" s="716" t="n"/>
      <c r="AS83" s="716" t="n"/>
      <c r="AT83" s="716" t="n"/>
      <c r="AU83" s="716" t="n"/>
      <c r="AV83" s="716" t="n"/>
      <c r="AW83" s="716" t="n"/>
      <c r="AX83" s="716" t="n"/>
      <c r="AY83" s="716" t="n"/>
      <c r="AZ83" s="716" t="n"/>
      <c r="BA83" s="716" t="n"/>
      <c r="BB83" s="716" t="n"/>
      <c r="BC83" s="716" t="n"/>
      <c r="BD83" s="716" t="n"/>
      <c r="BE83" s="716" t="n"/>
      <c r="BF83" s="716" t="n"/>
      <c r="BG83" s="716" t="n"/>
      <c r="BH83" s="716" t="n"/>
      <c r="BI83" s="716" t="n"/>
      <c r="BJ83" s="716" t="n"/>
      <c r="BK83" s="716" t="n"/>
      <c r="BL83" s="716" t="n"/>
      <c r="BM83" s="716" t="n"/>
      <c r="BN83" s="716" t="n"/>
      <c r="BO83" s="716" t="n"/>
      <c r="BP83" s="716" t="n"/>
      <c r="BQ83" s="716" t="n"/>
      <c r="BR83" s="716" t="n"/>
      <c r="BS83" s="716" t="n"/>
      <c r="BT83" s="716" t="n"/>
      <c r="BU83" s="716" t="n"/>
      <c r="BV83" s="716" t="n"/>
      <c r="BW83" s="716" t="n"/>
      <c r="BX83" s="716" t="n"/>
      <c r="BY83" s="716" t="n"/>
      <c r="BZ83" s="716" t="n"/>
      <c r="CA83" s="716" t="n"/>
      <c r="CB83" s="716" t="n"/>
      <c r="CC83" s="716" t="n"/>
      <c r="CD83" s="716" t="n"/>
      <c r="CE83" s="716" t="n"/>
      <c r="CF83" s="716" t="n"/>
      <c r="CG83" s="716" t="n"/>
      <c r="CH83" s="716" t="n"/>
      <c r="CI83" s="716" t="n"/>
      <c r="CJ83" s="716" t="n"/>
      <c r="CK83" s="716" t="n"/>
      <c r="CL83" s="716" t="n"/>
      <c r="CM83" s="716" t="n"/>
      <c r="CN83" s="716" t="n"/>
      <c r="CO83" s="716" t="n"/>
      <c r="CP83" s="716" t="n"/>
      <c r="CQ83" s="716" t="n"/>
    </row>
    <row r="84" ht="16.5" customFormat="1" customHeight="1" s="716">
      <c r="A84" s="716" t="n"/>
      <c r="B84" s="716" t="n"/>
      <c r="C84" s="716" t="n"/>
      <c r="D84" s="716" t="n"/>
      <c r="E84" s="716" t="n"/>
      <c r="F84" s="716" t="n"/>
      <c r="G84" s="716" t="n"/>
      <c r="H84" s="716" t="n"/>
      <c r="I84" s="716" t="n"/>
      <c r="J84" s="716" t="n"/>
      <c r="K84" s="716" t="n"/>
      <c r="L84" s="716" t="n"/>
      <c r="M84" s="716" t="n"/>
      <c r="N84" s="716" t="n"/>
      <c r="O84" s="716" t="n"/>
      <c r="P84" s="716" t="n"/>
      <c r="Q84" s="716" t="n"/>
      <c r="R84" s="716" t="n"/>
      <c r="S84" s="462">
        <f>IF(_epmOfflineCondition_,"自来水供水量(万立方米)",EPMMemberDesc(U84))</f>
        <v/>
      </c>
      <c r="T84" s="716" t="n"/>
      <c r="U84" s="455" t="inlineStr">
        <is>
          <t>A0800501</t>
        </is>
      </c>
      <c r="V84" s="455">
        <f>IF(_epmOfflineCondition_,"A0800501",EPMOlapMemberO(U84,"[C_ACCOUNT].[PARENTH1].[A0800501]","A0800501 - 自来水供水量(万立方米)","","000"))</f>
        <v/>
      </c>
      <c r="W84" s="462" t="n"/>
      <c r="X84" s="1389" t="inlineStr">
        <is>
          <t>自来水供水量(万立方米)</t>
        </is>
      </c>
      <c r="Y84" s="1185">
        <f>ROW()-45</f>
        <v/>
      </c>
      <c r="Z84" s="1307">
        <f>AD84</f>
        <v/>
      </c>
      <c r="AA84" s="1307" t="n"/>
      <c r="AB84" s="1307" t="n"/>
      <c r="AC84" s="1390" t="n"/>
      <c r="AD84" s="1388">
        <f>IF(RIGHT($I$11,2)="01",AA84,AA84-AC84)</f>
        <v/>
      </c>
      <c r="AE84" s="716" t="n"/>
      <c r="AF84" s="716" t="n"/>
      <c r="AG84" s="716" t="n"/>
      <c r="AH84" s="716" t="n"/>
      <c r="AI84" s="716" t="n"/>
      <c r="AJ84" s="716" t="n"/>
      <c r="AK84" s="716" t="n"/>
      <c r="AL84" s="716" t="n"/>
      <c r="AM84" s="716" t="n"/>
      <c r="AN84" s="716" t="n"/>
      <c r="AO84" s="716" t="n"/>
      <c r="AP84" s="716" t="n"/>
      <c r="AQ84" s="716" t="n"/>
      <c r="AR84" s="716" t="n"/>
      <c r="AS84" s="716" t="n"/>
      <c r="AT84" s="716" t="n"/>
      <c r="AU84" s="716" t="n"/>
      <c r="AV84" s="716" t="n"/>
      <c r="AW84" s="716" t="n"/>
      <c r="AX84" s="716" t="n"/>
      <c r="AY84" s="716" t="n"/>
      <c r="AZ84" s="716" t="n"/>
      <c r="BA84" s="716" t="n"/>
      <c r="BB84" s="716" t="n"/>
      <c r="BC84" s="716" t="n"/>
      <c r="BD84" s="716" t="n"/>
      <c r="BE84" s="716" t="n"/>
      <c r="BF84" s="716" t="n"/>
      <c r="BG84" s="716" t="n"/>
      <c r="BH84" s="716" t="n"/>
      <c r="BI84" s="716" t="n"/>
      <c r="BJ84" s="716" t="n"/>
      <c r="BK84" s="716" t="n"/>
      <c r="BL84" s="716" t="n"/>
      <c r="BM84" s="716" t="n"/>
      <c r="BN84" s="716" t="n"/>
      <c r="BO84" s="716" t="n"/>
      <c r="BP84" s="716" t="n"/>
      <c r="BQ84" s="716" t="n"/>
      <c r="BR84" s="716" t="n"/>
      <c r="BS84" s="716" t="n"/>
      <c r="BT84" s="716" t="n"/>
      <c r="BU84" s="716" t="n"/>
      <c r="BV84" s="716" t="n"/>
      <c r="BW84" s="716" t="n"/>
      <c r="BX84" s="716" t="n"/>
      <c r="BY84" s="716" t="n"/>
      <c r="BZ84" s="716" t="n"/>
      <c r="CA84" s="716" t="n"/>
      <c r="CB84" s="716" t="n"/>
      <c r="CC84" s="716" t="n"/>
      <c r="CD84" s="716" t="n"/>
      <c r="CE84" s="716" t="n"/>
      <c r="CF84" s="716" t="n"/>
      <c r="CG84" s="716" t="n"/>
      <c r="CH84" s="716" t="n"/>
      <c r="CI84" s="716" t="n"/>
      <c r="CJ84" s="716" t="n"/>
      <c r="CK84" s="716" t="n"/>
      <c r="CL84" s="716" t="n"/>
      <c r="CM84" s="716" t="n"/>
      <c r="CN84" s="716" t="n"/>
      <c r="CO84" s="716" t="n"/>
      <c r="CP84" s="716" t="n"/>
      <c r="CQ84" s="716" t="n"/>
    </row>
    <row r="85" ht="16.5" customFormat="1" customHeight="1" s="716">
      <c r="A85" s="716" t="n"/>
      <c r="B85" s="716" t="n"/>
      <c r="C85" s="716" t="n"/>
      <c r="D85" s="716" t="n"/>
      <c r="E85" s="716" t="n"/>
      <c r="F85" s="716" t="n"/>
      <c r="G85" s="716" t="n"/>
      <c r="H85" s="716" t="n"/>
      <c r="I85" s="716" t="n"/>
      <c r="J85" s="716" t="n"/>
      <c r="K85" s="716" t="n"/>
      <c r="L85" s="716" t="n"/>
      <c r="M85" s="716" t="n"/>
      <c r="N85" s="716" t="n"/>
      <c r="O85" s="716" t="n"/>
      <c r="P85" s="716" t="n"/>
      <c r="Q85" s="716" t="n"/>
      <c r="R85" s="716" t="n"/>
      <c r="S85" s="462">
        <f>IF(_epmOfflineCondition_,"公交客运量（万人次）",EPMMemberDesc(U85))</f>
        <v/>
      </c>
      <c r="T85" s="716" t="n"/>
      <c r="U85" s="455" t="inlineStr">
        <is>
          <t>A0800502</t>
        </is>
      </c>
      <c r="V85" s="455">
        <f>IF(_epmOfflineCondition_,"A0800502",EPMOlapMemberO(U85,"[C_ACCOUNT].[PARENTH1].[A0800502]","A0800502 - 公交客运量（万人次）","","000"))</f>
        <v/>
      </c>
      <c r="W85" s="462" t="n"/>
      <c r="X85" s="1389" t="inlineStr">
        <is>
          <t>公交客运量（万人次）</t>
        </is>
      </c>
      <c r="Y85" s="1185">
        <f>ROW()-45</f>
        <v/>
      </c>
      <c r="Z85" s="1307">
        <f>AD85</f>
        <v/>
      </c>
      <c r="AA85" s="1307" t="n"/>
      <c r="AB85" s="1307" t="n"/>
      <c r="AC85" s="1390" t="n"/>
      <c r="AD85" s="1388">
        <f>IF(RIGHT($I$11,2)="01",AA85,AA85-AC85)</f>
        <v/>
      </c>
      <c r="AE85" s="716" t="n"/>
      <c r="AF85" s="716" t="n"/>
      <c r="AG85" s="716" t="n"/>
      <c r="AH85" s="716" t="n"/>
      <c r="AI85" s="716" t="n"/>
      <c r="AJ85" s="716" t="n"/>
      <c r="AK85" s="716" t="n"/>
      <c r="AL85" s="716" t="n"/>
      <c r="AM85" s="716" t="n"/>
      <c r="AN85" s="716" t="n"/>
      <c r="AO85" s="716" t="n"/>
      <c r="AP85" s="716" t="n"/>
      <c r="AQ85" s="716" t="n"/>
      <c r="AR85" s="716" t="n"/>
      <c r="AS85" s="716" t="n"/>
      <c r="AT85" s="716" t="n"/>
      <c r="AU85" s="716" t="n"/>
      <c r="AV85" s="716" t="n"/>
      <c r="AW85" s="716" t="n"/>
      <c r="AX85" s="716" t="n"/>
      <c r="AY85" s="716" t="n"/>
      <c r="AZ85" s="716" t="n"/>
      <c r="BA85" s="716" t="n"/>
      <c r="BB85" s="716" t="n"/>
      <c r="BC85" s="716" t="n"/>
      <c r="BD85" s="716" t="n"/>
      <c r="BE85" s="716" t="n"/>
      <c r="BF85" s="716" t="n"/>
      <c r="BG85" s="716" t="n"/>
      <c r="BH85" s="716" t="n"/>
      <c r="BI85" s="716" t="n"/>
      <c r="BJ85" s="716" t="n"/>
      <c r="BK85" s="716" t="n"/>
      <c r="BL85" s="716" t="n"/>
      <c r="BM85" s="716" t="n"/>
      <c r="BN85" s="716" t="n"/>
      <c r="BO85" s="716" t="n"/>
      <c r="BP85" s="716" t="n"/>
      <c r="BQ85" s="716" t="n"/>
      <c r="BR85" s="716" t="n"/>
      <c r="BS85" s="716" t="n"/>
      <c r="BT85" s="716" t="n"/>
      <c r="BU85" s="716" t="n"/>
      <c r="BV85" s="716" t="n"/>
      <c r="BW85" s="716" t="n"/>
      <c r="BX85" s="716" t="n"/>
      <c r="BY85" s="716" t="n"/>
      <c r="BZ85" s="716" t="n"/>
      <c r="CA85" s="716" t="n"/>
      <c r="CB85" s="716" t="n"/>
      <c r="CC85" s="716" t="n"/>
      <c r="CD85" s="716" t="n"/>
      <c r="CE85" s="716" t="n"/>
      <c r="CF85" s="716" t="n"/>
      <c r="CG85" s="716" t="n"/>
      <c r="CH85" s="716" t="n"/>
      <c r="CI85" s="716" t="n"/>
      <c r="CJ85" s="716" t="n"/>
      <c r="CK85" s="716" t="n"/>
      <c r="CL85" s="716" t="n"/>
      <c r="CM85" s="716" t="n"/>
      <c r="CN85" s="716" t="n"/>
      <c r="CO85" s="716" t="n"/>
      <c r="CP85" s="716" t="n"/>
      <c r="CQ85" s="716" t="n"/>
    </row>
    <row r="86" ht="16.5" customFormat="1" customHeight="1" s="716">
      <c r="A86" s="716" t="n"/>
      <c r="B86" s="716" t="n"/>
      <c r="C86" s="716" t="n"/>
      <c r="D86" s="716" t="n"/>
      <c r="E86" s="716" t="n"/>
      <c r="F86" s="716" t="n"/>
      <c r="G86" s="716" t="n"/>
      <c r="H86" s="716" t="n"/>
      <c r="I86" s="716" t="n"/>
      <c r="J86" s="716" t="n"/>
      <c r="K86" s="716" t="n"/>
      <c r="L86" s="716" t="n"/>
      <c r="M86" s="716" t="n"/>
      <c r="N86" s="716" t="n"/>
      <c r="O86" s="716" t="n"/>
      <c r="P86" s="716" t="n"/>
      <c r="Q86" s="716" t="n"/>
      <c r="R86" s="716" t="n"/>
      <c r="S86" s="462">
        <f>IF(_epmOfflineCondition_,"公交运营里程(万公里)",EPMMemberDesc(U86))</f>
        <v/>
      </c>
      <c r="T86" s="716" t="n"/>
      <c r="U86" s="455" t="inlineStr">
        <is>
          <t>A0800503</t>
        </is>
      </c>
      <c r="V86" s="455">
        <f>IF(_epmOfflineCondition_,"A0800503",EPMOlapMemberO(U86,"[C_ACCOUNT].[PARENTH1].[A0800503]","A0800503 - 公交运营里程(万公里)","","000"))</f>
        <v/>
      </c>
      <c r="W86" s="462" t="n"/>
      <c r="X86" s="1389" t="inlineStr">
        <is>
          <t>公交运营里程(万公里)</t>
        </is>
      </c>
      <c r="Y86" s="1185">
        <f>ROW()-45</f>
        <v/>
      </c>
      <c r="Z86" s="1307">
        <f>AD86</f>
        <v/>
      </c>
      <c r="AA86" s="1307" t="n"/>
      <c r="AB86" s="1307" t="n"/>
      <c r="AC86" s="1390" t="n"/>
      <c r="AD86" s="1388">
        <f>IF(RIGHT($I$11,2)="01",AA86,AA86-AC86)</f>
        <v/>
      </c>
      <c r="AE86" s="716" t="n"/>
      <c r="AF86" s="716" t="n"/>
      <c r="AG86" s="716" t="n"/>
      <c r="AH86" s="716" t="n"/>
      <c r="AI86" s="716" t="n"/>
      <c r="AJ86" s="716" t="n"/>
      <c r="AK86" s="716" t="n"/>
      <c r="AL86" s="716" t="n"/>
      <c r="AM86" s="716" t="n"/>
      <c r="AN86" s="716" t="n"/>
      <c r="AO86" s="716" t="n"/>
      <c r="AP86" s="716" t="n"/>
      <c r="AQ86" s="716" t="n"/>
      <c r="AR86" s="716" t="n"/>
      <c r="AS86" s="716" t="n"/>
      <c r="AT86" s="716" t="n"/>
      <c r="AU86" s="716" t="n"/>
      <c r="AV86" s="716" t="n"/>
      <c r="AW86" s="716" t="n"/>
      <c r="AX86" s="716" t="n"/>
      <c r="AY86" s="716" t="n"/>
      <c r="AZ86" s="716" t="n"/>
      <c r="BA86" s="716" t="n"/>
      <c r="BB86" s="716" t="n"/>
      <c r="BC86" s="716" t="n"/>
      <c r="BD86" s="716" t="n"/>
      <c r="BE86" s="716" t="n"/>
      <c r="BF86" s="716" t="n"/>
      <c r="BG86" s="716" t="n"/>
      <c r="BH86" s="716" t="n"/>
      <c r="BI86" s="716" t="n"/>
      <c r="BJ86" s="716" t="n"/>
      <c r="BK86" s="716" t="n"/>
      <c r="BL86" s="716" t="n"/>
      <c r="BM86" s="716" t="n"/>
      <c r="BN86" s="716" t="n"/>
      <c r="BO86" s="716" t="n"/>
      <c r="BP86" s="716" t="n"/>
      <c r="BQ86" s="716" t="n"/>
      <c r="BR86" s="716" t="n"/>
      <c r="BS86" s="716" t="n"/>
      <c r="BT86" s="716" t="n"/>
      <c r="BU86" s="716" t="n"/>
      <c r="BV86" s="716" t="n"/>
      <c r="BW86" s="716" t="n"/>
      <c r="BX86" s="716" t="n"/>
      <c r="BY86" s="716" t="n"/>
      <c r="BZ86" s="716" t="n"/>
      <c r="CA86" s="716" t="n"/>
      <c r="CB86" s="716" t="n"/>
      <c r="CC86" s="716" t="n"/>
      <c r="CD86" s="716" t="n"/>
      <c r="CE86" s="716" t="n"/>
      <c r="CF86" s="716" t="n"/>
      <c r="CG86" s="716" t="n"/>
      <c r="CH86" s="716" t="n"/>
      <c r="CI86" s="716" t="n"/>
      <c r="CJ86" s="716" t="n"/>
      <c r="CK86" s="716" t="n"/>
      <c r="CL86" s="716" t="n"/>
      <c r="CM86" s="716" t="n"/>
      <c r="CN86" s="716" t="n"/>
      <c r="CO86" s="716" t="n"/>
      <c r="CP86" s="716" t="n"/>
      <c r="CQ86" s="716" t="n"/>
    </row>
    <row r="87" ht="16.5" customFormat="1" customHeight="1" s="716">
      <c r="A87" s="716" t="n"/>
      <c r="B87" s="716" t="n"/>
      <c r="C87" s="716" t="n"/>
      <c r="D87" s="716" t="n"/>
      <c r="E87" s="716" t="n"/>
      <c r="F87" s="716" t="n"/>
      <c r="G87" s="716" t="n"/>
      <c r="H87" s="716" t="n"/>
      <c r="I87" s="716" t="n"/>
      <c r="J87" s="716" t="n"/>
      <c r="K87" s="716" t="n"/>
      <c r="L87" s="716" t="n"/>
      <c r="M87" s="716" t="n"/>
      <c r="N87" s="716" t="n"/>
      <c r="O87" s="716" t="n"/>
      <c r="P87" s="716" t="n"/>
      <c r="Q87" s="716" t="n"/>
      <c r="R87" s="716" t="n"/>
      <c r="S87" s="462">
        <f>IF(_epmOfflineCondition_,"地铁客运量（万人次）",EPMMemberDesc(U87))</f>
        <v/>
      </c>
      <c r="T87" s="716" t="n"/>
      <c r="U87" s="455" t="inlineStr">
        <is>
          <t>A0800504</t>
        </is>
      </c>
      <c r="V87" s="455">
        <f>IF(_epmOfflineCondition_,"A0800504",EPMOlapMemberO(U87,"[C_ACCOUNT].[PARENTH1].[A0800504]","A0800504 - 地铁客运量（万人次）","","000"))</f>
        <v/>
      </c>
      <c r="W87" s="462" t="n"/>
      <c r="X87" s="1389" t="inlineStr">
        <is>
          <t>地铁客运量（万人次）</t>
        </is>
      </c>
      <c r="Y87" s="1185">
        <f>ROW()-45</f>
        <v/>
      </c>
      <c r="Z87" s="1307">
        <f>AD87</f>
        <v/>
      </c>
      <c r="AA87" s="1307" t="n"/>
      <c r="AB87" s="1307" t="n"/>
      <c r="AC87" s="1390" t="n"/>
      <c r="AD87" s="1388">
        <f>IF(RIGHT($I$11,2)="01",AA87,AA87-AC87)</f>
        <v/>
      </c>
      <c r="AE87" s="716" t="n"/>
      <c r="AF87" s="716" t="n"/>
      <c r="AG87" s="716" t="n"/>
      <c r="AH87" s="716" t="n"/>
      <c r="AI87" s="716" t="n"/>
      <c r="AJ87" s="716" t="n"/>
      <c r="AK87" s="716" t="n"/>
      <c r="AL87" s="716" t="n"/>
      <c r="AM87" s="716" t="n"/>
      <c r="AN87" s="716" t="n"/>
      <c r="AO87" s="716" t="n"/>
      <c r="AP87" s="716" t="n"/>
      <c r="AQ87" s="716" t="n"/>
      <c r="AR87" s="716" t="n"/>
      <c r="AS87" s="716" t="n"/>
      <c r="AT87" s="716" t="n"/>
      <c r="AU87" s="716" t="n"/>
      <c r="AV87" s="716" t="n"/>
      <c r="AW87" s="716" t="n"/>
      <c r="AX87" s="716" t="n"/>
      <c r="AY87" s="716" t="n"/>
      <c r="AZ87" s="716" t="n"/>
      <c r="BA87" s="716" t="n"/>
      <c r="BB87" s="716" t="n"/>
      <c r="BC87" s="716" t="n"/>
      <c r="BD87" s="716" t="n"/>
      <c r="BE87" s="716" t="n"/>
      <c r="BF87" s="716" t="n"/>
      <c r="BG87" s="716" t="n"/>
      <c r="BH87" s="716" t="n"/>
      <c r="BI87" s="716" t="n"/>
      <c r="BJ87" s="716" t="n"/>
      <c r="BK87" s="716" t="n"/>
      <c r="BL87" s="716" t="n"/>
      <c r="BM87" s="716" t="n"/>
      <c r="BN87" s="716" t="n"/>
      <c r="BO87" s="716" t="n"/>
      <c r="BP87" s="716" t="n"/>
      <c r="BQ87" s="716" t="n"/>
      <c r="BR87" s="716" t="n"/>
      <c r="BS87" s="716" t="n"/>
      <c r="BT87" s="716" t="n"/>
      <c r="BU87" s="716" t="n"/>
      <c r="BV87" s="716" t="n"/>
      <c r="BW87" s="716" t="n"/>
      <c r="BX87" s="716" t="n"/>
      <c r="BY87" s="716" t="n"/>
      <c r="BZ87" s="716" t="n"/>
      <c r="CA87" s="716" t="n"/>
      <c r="CB87" s="716" t="n"/>
      <c r="CC87" s="716" t="n"/>
      <c r="CD87" s="716" t="n"/>
      <c r="CE87" s="716" t="n"/>
      <c r="CF87" s="716" t="n"/>
      <c r="CG87" s="716" t="n"/>
      <c r="CH87" s="716" t="n"/>
      <c r="CI87" s="716" t="n"/>
      <c r="CJ87" s="716" t="n"/>
      <c r="CK87" s="716" t="n"/>
      <c r="CL87" s="716" t="n"/>
      <c r="CM87" s="716" t="n"/>
      <c r="CN87" s="716" t="n"/>
      <c r="CO87" s="716" t="n"/>
      <c r="CP87" s="716" t="n"/>
      <c r="CQ87" s="716" t="n"/>
    </row>
    <row r="88" ht="16.5" customFormat="1" customHeight="1" s="716">
      <c r="A88" s="716" t="n"/>
      <c r="B88" s="716" t="n"/>
      <c r="C88" s="716" t="n"/>
      <c r="D88" s="716" t="n"/>
      <c r="E88" s="716" t="n"/>
      <c r="F88" s="716" t="n"/>
      <c r="G88" s="716" t="n"/>
      <c r="H88" s="716" t="n"/>
      <c r="I88" s="716" t="n"/>
      <c r="J88" s="716" t="n"/>
      <c r="K88" s="716" t="n"/>
      <c r="L88" s="716" t="n"/>
      <c r="M88" s="716" t="n"/>
      <c r="N88" s="716" t="n"/>
      <c r="O88" s="716" t="n"/>
      <c r="P88" s="716" t="n"/>
      <c r="Q88" s="716" t="n"/>
      <c r="R88" s="716" t="n"/>
      <c r="S88" s="462">
        <f>IF(_epmOfflineCondition_,"地铁车辆走行公里(万车公里)",EPMMemberDesc(U88))</f>
        <v/>
      </c>
      <c r="T88" s="716" t="n"/>
      <c r="U88" s="455" t="inlineStr">
        <is>
          <t>A0800505</t>
        </is>
      </c>
      <c r="V88" s="455">
        <f>IF(_epmOfflineCondition_,"A0800505",EPMOlapMemberO(U88,"[C_ACCOUNT].[PARENTH1].[A0800505]","A0800505 - 地铁车辆走行公里(万车公里)","","000"))</f>
        <v/>
      </c>
      <c r="W88" s="462" t="n"/>
      <c r="X88" s="1389" t="inlineStr">
        <is>
          <t>地铁车辆走行公里(万车公里)</t>
        </is>
      </c>
      <c r="Y88" s="1185">
        <f>ROW()-45</f>
        <v/>
      </c>
      <c r="Z88" s="1307">
        <f>AD88</f>
        <v/>
      </c>
      <c r="AA88" s="1307" t="n"/>
      <c r="AB88" s="1307" t="n"/>
      <c r="AC88" s="1390" t="n"/>
      <c r="AD88" s="1388">
        <f>IF(RIGHT($I$11,2)="01",AA88,AA88-AC88)</f>
        <v/>
      </c>
      <c r="AE88" s="716" t="n"/>
      <c r="AF88" s="716" t="n"/>
      <c r="AG88" s="716" t="n"/>
      <c r="AH88" s="716" t="n"/>
      <c r="AI88" s="716" t="n"/>
      <c r="AJ88" s="716" t="n"/>
      <c r="AK88" s="716" t="n"/>
      <c r="AL88" s="716" t="n"/>
      <c r="AM88" s="716" t="n"/>
      <c r="AN88" s="716" t="n"/>
      <c r="AO88" s="716" t="n"/>
      <c r="AP88" s="716" t="n"/>
      <c r="AQ88" s="716" t="n"/>
      <c r="AR88" s="716" t="n"/>
      <c r="AS88" s="716" t="n"/>
      <c r="AT88" s="716" t="n"/>
      <c r="AU88" s="716" t="n"/>
      <c r="AV88" s="716" t="n"/>
      <c r="AW88" s="716" t="n"/>
      <c r="AX88" s="716" t="n"/>
      <c r="AY88" s="716" t="n"/>
      <c r="AZ88" s="716" t="n"/>
      <c r="BA88" s="716" t="n"/>
      <c r="BB88" s="716" t="n"/>
      <c r="BC88" s="716" t="n"/>
      <c r="BD88" s="716" t="n"/>
      <c r="BE88" s="716" t="n"/>
      <c r="BF88" s="716" t="n"/>
      <c r="BG88" s="716" t="n"/>
      <c r="BH88" s="716" t="n"/>
      <c r="BI88" s="716" t="n"/>
      <c r="BJ88" s="716" t="n"/>
      <c r="BK88" s="716" t="n"/>
      <c r="BL88" s="716" t="n"/>
      <c r="BM88" s="716" t="n"/>
      <c r="BN88" s="716" t="n"/>
      <c r="BO88" s="716" t="n"/>
      <c r="BP88" s="716" t="n"/>
      <c r="BQ88" s="716" t="n"/>
      <c r="BR88" s="716" t="n"/>
      <c r="BS88" s="716" t="n"/>
      <c r="BT88" s="716" t="n"/>
      <c r="BU88" s="716" t="n"/>
      <c r="BV88" s="716" t="n"/>
      <c r="BW88" s="716" t="n"/>
      <c r="BX88" s="716" t="n"/>
      <c r="BY88" s="716" t="n"/>
      <c r="BZ88" s="716" t="n"/>
      <c r="CA88" s="716" t="n"/>
      <c r="CB88" s="716" t="n"/>
      <c r="CC88" s="716" t="n"/>
      <c r="CD88" s="716" t="n"/>
      <c r="CE88" s="716" t="n"/>
      <c r="CF88" s="716" t="n"/>
      <c r="CG88" s="716" t="n"/>
      <c r="CH88" s="716" t="n"/>
      <c r="CI88" s="716" t="n"/>
      <c r="CJ88" s="716" t="n"/>
      <c r="CK88" s="716" t="n"/>
      <c r="CL88" s="716" t="n"/>
      <c r="CM88" s="716" t="n"/>
      <c r="CN88" s="716" t="n"/>
      <c r="CO88" s="716" t="n"/>
      <c r="CP88" s="716" t="n"/>
      <c r="CQ88" s="716" t="n"/>
    </row>
    <row r="89" hidden="1" s="1181">
      <c r="A89" s="384" t="n"/>
      <c r="B89" s="384" t="n"/>
      <c r="C89" s="384" t="n"/>
      <c r="D89" s="384" t="n"/>
      <c r="E89" s="384" t="n"/>
      <c r="F89" s="384" t="n"/>
      <c r="G89" s="384" t="n"/>
      <c r="H89" s="384" t="n"/>
      <c r="I89" s="384" t="n"/>
      <c r="J89" s="384" t="n"/>
      <c r="K89" s="384" t="n"/>
      <c r="L89" s="384" t="n"/>
      <c r="M89" s="384" t="n"/>
      <c r="N89" s="384" t="n"/>
      <c r="O89" s="384" t="n"/>
      <c r="P89" s="384" t="n"/>
      <c r="Q89" s="384" t="n"/>
      <c r="R89" s="384" t="n"/>
      <c r="S89" s="510" t="inlineStr">
        <is>
          <t>钢材平均销售价格（元/吨）</t>
        </is>
      </c>
      <c r="T89" s="384" t="n"/>
      <c r="U89" s="455">
        <f>U51</f>
        <v/>
      </c>
      <c r="V89" s="384" t="n"/>
      <c r="W89" s="384" t="n"/>
      <c r="X89" s="511">
        <f>IF(_epmOfflineCondition_,"钢材平均销售价格（元/吨）",EPMMemberDesc(U89))</f>
        <v/>
      </c>
      <c r="Y89" s="38" t="n"/>
      <c r="Z89" s="1392">
        <f>IF(_epmOfflineCondition_,0,EPMSaveData(Z51,,$U89,Z$41,Z$42,Z$43,Z$44,Z$45,$D$32,C22,$D$31,$D$25,$D$26,$D$27,$D$28))</f>
        <v/>
      </c>
      <c r="AA89" s="1392">
        <f>IF(_epmOfflineCondition_,0,EPMSaveData(AA51,,$U89,AA$41,AA$42,AA$43,AA$44,AA$45,$D$32,C22,$D$31,$D$25,$D$26,$D$27,$D$28))</f>
        <v/>
      </c>
      <c r="AB89" s="124" t="n"/>
      <c r="AC89" s="124" t="n"/>
      <c r="AD89" s="1392" t="n"/>
      <c r="AE89" s="384" t="n"/>
      <c r="AF89" s="384" t="n"/>
      <c r="AG89" s="384" t="n"/>
      <c r="AH89" s="384" t="n"/>
      <c r="AI89" s="384" t="n"/>
      <c r="AJ89" s="384" t="n"/>
      <c r="AK89" s="384" t="n"/>
      <c r="AL89" s="384" t="n"/>
      <c r="AM89" s="384" t="n"/>
      <c r="AN89" s="384" t="n"/>
      <c r="AO89" s="384" t="n"/>
      <c r="AP89" s="384" t="n"/>
      <c r="AQ89" s="384" t="n"/>
      <c r="AR89" s="384" t="n"/>
      <c r="AS89" s="384" t="n"/>
      <c r="AT89" s="384" t="n"/>
      <c r="AU89" s="384" t="n"/>
      <c r="AV89" s="384" t="n"/>
      <c r="AW89" s="384" t="n"/>
      <c r="AX89" s="384" t="n"/>
      <c r="AY89" s="384" t="n"/>
      <c r="AZ89" s="384" t="n"/>
      <c r="BA89" s="384" t="n"/>
      <c r="BB89" s="384" t="n"/>
      <c r="BC89" s="384" t="n"/>
      <c r="BD89" s="384" t="n"/>
      <c r="BE89" s="384" t="n"/>
      <c r="BF89" s="384" t="n"/>
      <c r="BG89" s="384" t="n"/>
      <c r="BH89" s="384" t="n"/>
      <c r="BI89" s="384" t="n"/>
      <c r="BJ89" s="384" t="n"/>
      <c r="BK89" s="384" t="n"/>
      <c r="BL89" s="384" t="n"/>
      <c r="BM89" s="384" t="n"/>
      <c r="BN89" s="384" t="n"/>
      <c r="BO89" s="384" t="n"/>
      <c r="BP89" s="384" t="n"/>
      <c r="BQ89" s="384" t="n"/>
      <c r="BR89" s="384" t="n"/>
      <c r="BS89" s="384" t="n"/>
      <c r="BT89" s="384" t="n"/>
      <c r="BU89" s="384" t="n"/>
      <c r="BV89" s="384" t="n"/>
      <c r="BW89" s="384" t="n"/>
      <c r="BX89" s="384" t="n"/>
      <c r="BY89" s="384" t="n"/>
      <c r="BZ89" s="384" t="n"/>
      <c r="CA89" s="384" t="n"/>
      <c r="CB89" s="384" t="n"/>
      <c r="CC89" s="384" t="n"/>
      <c r="CD89" s="384" t="n"/>
      <c r="CE89" s="384" t="n"/>
      <c r="CF89" s="384" t="n"/>
      <c r="CG89" s="384" t="n"/>
      <c r="CH89" s="384" t="n"/>
      <c r="CI89" s="384" t="n"/>
      <c r="CJ89" s="384" t="n"/>
      <c r="CK89" s="384" t="n"/>
      <c r="CL89" s="384" t="n"/>
      <c r="CM89" s="384" t="n"/>
      <c r="CN89" s="384" t="n"/>
      <c r="CO89" s="384" t="n"/>
      <c r="CP89" s="384" t="n"/>
      <c r="CQ89" s="384" t="n"/>
    </row>
    <row r="90" hidden="1" s="1181">
      <c r="A90" s="384" t="n"/>
      <c r="B90" s="384" t="n"/>
      <c r="C90" s="384" t="n"/>
      <c r="D90" s="384" t="n"/>
      <c r="E90" s="384" t="n"/>
      <c r="F90" s="384" t="n"/>
      <c r="G90" s="384" t="n"/>
      <c r="H90" s="384" t="n"/>
      <c r="I90" s="384" t="n"/>
      <c r="J90" s="384" t="n"/>
      <c r="K90" s="384" t="n"/>
      <c r="L90" s="384" t="n"/>
      <c r="M90" s="384" t="n"/>
      <c r="N90" s="384" t="n"/>
      <c r="O90" s="384" t="n"/>
      <c r="P90" s="384" t="n"/>
      <c r="Q90" s="384" t="n"/>
      <c r="R90" s="384" t="n"/>
      <c r="S90" s="510" t="inlineStr">
        <is>
          <t>商品煤平均销售价格（元/吨）</t>
        </is>
      </c>
      <c r="T90" s="384" t="n"/>
      <c r="U90" s="455">
        <f>U55</f>
        <v/>
      </c>
      <c r="V90" s="384" t="n"/>
      <c r="W90" s="384" t="n"/>
      <c r="X90" s="511">
        <f>IF(_epmOfflineCondition_,"商品煤平均销售价格（元/吨）",EPMMemberDesc(U90))</f>
        <v/>
      </c>
      <c r="Y90" s="38" t="n"/>
      <c r="Z90" s="1392">
        <f>IF(_epmOfflineCondition_,0,EPMSaveData(Z55,,$U90,Z$41,Z$42,Z$43,Z$44,Z$45,$D$32,C22,$D$31,$D$25,$D$26,$D$27,$D$28))</f>
        <v/>
      </c>
      <c r="AA90" s="1392">
        <f>IF(_epmOfflineCondition_,0,EPMSaveData(AA55,,$U90,AA$41,AA$42,AA$43,AA$44,AA$45,$D$32,C22,$D$31,$D$25,$D$26,$D$27,$D$28))</f>
        <v/>
      </c>
      <c r="AB90" s="124" t="n"/>
      <c r="AC90" s="124" t="n"/>
      <c r="AD90" s="1392" t="n"/>
      <c r="AE90" s="384" t="n"/>
      <c r="AF90" s="384" t="n"/>
      <c r="AG90" s="384" t="n"/>
      <c r="AH90" s="384" t="n"/>
      <c r="AI90" s="384" t="n"/>
      <c r="AJ90" s="384" t="n"/>
      <c r="AK90" s="384" t="n"/>
      <c r="AL90" s="384" t="n"/>
      <c r="AM90" s="384" t="n"/>
      <c r="AN90" s="384" t="n"/>
      <c r="AO90" s="384" t="n"/>
      <c r="AP90" s="384" t="n"/>
      <c r="AQ90" s="384" t="n"/>
      <c r="AR90" s="384" t="n"/>
      <c r="AS90" s="384" t="n"/>
      <c r="AT90" s="384" t="n"/>
      <c r="AU90" s="384" t="n"/>
      <c r="AV90" s="384" t="n"/>
      <c r="AW90" s="384" t="n"/>
      <c r="AX90" s="384" t="n"/>
      <c r="AY90" s="384" t="n"/>
      <c r="AZ90" s="384" t="n"/>
      <c r="BA90" s="384" t="n"/>
      <c r="BB90" s="384" t="n"/>
      <c r="BC90" s="384" t="n"/>
      <c r="BD90" s="384" t="n"/>
      <c r="BE90" s="384" t="n"/>
      <c r="BF90" s="384" t="n"/>
      <c r="BG90" s="384" t="n"/>
      <c r="BH90" s="384" t="n"/>
      <c r="BI90" s="384" t="n"/>
      <c r="BJ90" s="384" t="n"/>
      <c r="BK90" s="384" t="n"/>
      <c r="BL90" s="384" t="n"/>
      <c r="BM90" s="384" t="n"/>
      <c r="BN90" s="384" t="n"/>
      <c r="BO90" s="384" t="n"/>
      <c r="BP90" s="384" t="n"/>
      <c r="BQ90" s="384" t="n"/>
      <c r="BR90" s="384" t="n"/>
      <c r="BS90" s="384" t="n"/>
      <c r="BT90" s="384" t="n"/>
      <c r="BU90" s="384" t="n"/>
      <c r="BV90" s="384" t="n"/>
      <c r="BW90" s="384" t="n"/>
      <c r="BX90" s="384" t="n"/>
      <c r="BY90" s="384" t="n"/>
      <c r="BZ90" s="384" t="n"/>
      <c r="CA90" s="384" t="n"/>
      <c r="CB90" s="384" t="n"/>
      <c r="CC90" s="384" t="n"/>
      <c r="CD90" s="384" t="n"/>
      <c r="CE90" s="384" t="n"/>
      <c r="CF90" s="384" t="n"/>
      <c r="CG90" s="384" t="n"/>
      <c r="CH90" s="384" t="n"/>
      <c r="CI90" s="384" t="n"/>
      <c r="CJ90" s="384" t="n"/>
      <c r="CK90" s="384" t="n"/>
      <c r="CL90" s="384" t="n"/>
      <c r="CM90" s="384" t="n"/>
      <c r="CN90" s="384" t="n"/>
      <c r="CO90" s="384" t="n"/>
      <c r="CP90" s="384" t="n"/>
      <c r="CQ90" s="384" t="n"/>
    </row>
    <row r="91" hidden="1" s="1181">
      <c r="A91" s="384" t="n"/>
      <c r="B91" s="384" t="n"/>
      <c r="C91" s="384" t="n"/>
      <c r="D91" s="384" t="n"/>
      <c r="E91" s="384" t="n"/>
      <c r="F91" s="384" t="n"/>
      <c r="G91" s="384" t="n"/>
      <c r="H91" s="384" t="n"/>
      <c r="I91" s="384" t="n"/>
      <c r="J91" s="384" t="n"/>
      <c r="K91" s="384" t="n"/>
      <c r="L91" s="384" t="n"/>
      <c r="M91" s="384" t="n"/>
      <c r="N91" s="384" t="n"/>
      <c r="O91" s="384" t="n"/>
      <c r="P91" s="384" t="n"/>
      <c r="Q91" s="384" t="n"/>
      <c r="R91" s="384" t="n"/>
      <c r="S91" s="510" t="inlineStr">
        <is>
          <t>酒店入住率（%）</t>
        </is>
      </c>
      <c r="T91" s="384" t="n"/>
      <c r="U91" s="455">
        <f>U82</f>
        <v/>
      </c>
      <c r="V91" s="384" t="n"/>
      <c r="W91" s="384" t="n"/>
      <c r="X91" s="511">
        <f>IF(_epmOfflineCondition_,"酒店入住率（%）",EPMMemberDesc(U91))</f>
        <v/>
      </c>
      <c r="Y91" s="38" t="n"/>
      <c r="Z91" s="1392">
        <f>IF(_epmOfflineCondition_,0,EPMSaveData(Z82,,$U91,Z$41,Z$42,Z$43,Z$44,Z$45,$D$32,C22,$D$31,$D$25,$D$26,$D$27,$D$28))</f>
        <v/>
      </c>
      <c r="AA91" s="1392">
        <f>IF(_epmOfflineCondition_,0,EPMSaveData(AA82,,$U91,AA$41,AA$42,AA$43,AA$44,AA$45,$D$32,C22,$D$31,$D$25,$D$26,$D$27,$D$28))</f>
        <v/>
      </c>
      <c r="AB91" s="124" t="n"/>
      <c r="AC91" s="124" t="n"/>
      <c r="AD91" s="1392" t="n"/>
      <c r="AE91" s="384" t="n"/>
      <c r="AF91" s="384" t="n"/>
      <c r="AG91" s="384" t="n"/>
      <c r="AH91" s="384" t="n"/>
      <c r="AI91" s="384" t="n"/>
      <c r="AJ91" s="384" t="n"/>
      <c r="AK91" s="384" t="n"/>
      <c r="AL91" s="384" t="n"/>
      <c r="AM91" s="384" t="n"/>
      <c r="AN91" s="384" t="n"/>
      <c r="AO91" s="384" t="n"/>
      <c r="AP91" s="384" t="n"/>
      <c r="AQ91" s="384" t="n"/>
      <c r="AR91" s="384" t="n"/>
      <c r="AS91" s="384" t="n"/>
      <c r="AT91" s="384" t="n"/>
      <c r="AU91" s="384" t="n"/>
      <c r="AV91" s="384" t="n"/>
      <c r="AW91" s="384" t="n"/>
      <c r="AX91" s="384" t="n"/>
      <c r="AY91" s="384" t="n"/>
      <c r="AZ91" s="384" t="n"/>
      <c r="BA91" s="384" t="n"/>
      <c r="BB91" s="384" t="n"/>
      <c r="BC91" s="384" t="n"/>
      <c r="BD91" s="384" t="n"/>
      <c r="BE91" s="384" t="n"/>
      <c r="BF91" s="384" t="n"/>
      <c r="BG91" s="384" t="n"/>
      <c r="BH91" s="384" t="n"/>
      <c r="BI91" s="384" t="n"/>
      <c r="BJ91" s="384" t="n"/>
      <c r="BK91" s="384" t="n"/>
      <c r="BL91" s="384" t="n"/>
      <c r="BM91" s="384" t="n"/>
      <c r="BN91" s="384" t="n"/>
      <c r="BO91" s="384" t="n"/>
      <c r="BP91" s="384" t="n"/>
      <c r="BQ91" s="384" t="n"/>
      <c r="BR91" s="384" t="n"/>
      <c r="BS91" s="384" t="n"/>
      <c r="BT91" s="384" t="n"/>
      <c r="BU91" s="384" t="n"/>
      <c r="BV91" s="384" t="n"/>
      <c r="BW91" s="384" t="n"/>
      <c r="BX91" s="384" t="n"/>
      <c r="BY91" s="384" t="n"/>
      <c r="BZ91" s="384" t="n"/>
      <c r="CA91" s="384" t="n"/>
      <c r="CB91" s="384" t="n"/>
      <c r="CC91" s="384" t="n"/>
      <c r="CD91" s="384" t="n"/>
      <c r="CE91" s="384" t="n"/>
      <c r="CF91" s="384" t="n"/>
      <c r="CG91" s="384" t="n"/>
      <c r="CH91" s="384" t="n"/>
      <c r="CI91" s="384" t="n"/>
      <c r="CJ91" s="384" t="n"/>
      <c r="CK91" s="384" t="n"/>
      <c r="CL91" s="384" t="n"/>
      <c r="CM91" s="384" t="n"/>
      <c r="CN91" s="384" t="n"/>
      <c r="CO91" s="384" t="n"/>
      <c r="CP91" s="384" t="n"/>
      <c r="CQ91" s="384" t="n"/>
    </row>
  </sheetData>
  <sheetProtection selectLockedCells="0" selectUnlockedCells="0" algorithmName="SHA-512" sheet="1" objects="0" insertRows="1" insertHyperlinks="1" autoFilter="1" scenarios="1" formatColumns="1" deleteColumns="1" insertColumns="1" pivotTables="1" deleteRows="1" formatCells="1" saltValue="nzp9oNBw4Ddtzr3AyFWFTA==" formatRows="1" sort="1" spinCount="100000" hashValue="kebtfVlp+XaqkoQG9eg2ki6AlM3D1qLa2yw9CY4PHyaYAHRYEzYWj5O1SJ/5iR9JfRcPlcb7SOlDUwmWZUqJug=="/>
  <mergeCells count="2">
    <mergeCell ref="H2:J2"/>
    <mergeCell ref="D16:E16"/>
  </mergeCells>
  <pageMargins left="0.7" right="0.7" top="0.75" bottom="0.75" header="0.3" footer="0.3"/>
  <pageSetup orientation="portrait" paperSize="9"/>
  <drawing xmlns:r="http://schemas.openxmlformats.org/officeDocument/2006/relationships" r:id="rId1"/>
</worksheet>
</file>

<file path=xl/worksheets/sheet34.xml><?xml version="1.0" encoding="utf-8"?>
<worksheet xmlns="http://schemas.openxmlformats.org/spreadsheetml/2006/main">
  <sheetPr codeName="Sheet29">
    <outlinePr summaryBelow="1" summaryRight="1"/>
    <pageSetUpPr fitToPage="1"/>
  </sheetPr>
  <dimension ref="A1:CP81"/>
  <sheetViews>
    <sheetView topLeftCell="W51" zoomScale="90" zoomScaleNormal="90" workbookViewId="0">
      <selection activeCell="AA37" sqref="AA37"/>
    </sheetView>
  </sheetViews>
  <sheetFormatPr baseColWidth="8" defaultColWidth="8.375" defaultRowHeight="16.8"/>
  <cols>
    <col hidden="1" width="8" customWidth="1" style="1181" min="1" max="1"/>
    <col hidden="1" width="15.375" customWidth="1" style="1181" min="2" max="2"/>
    <col hidden="1" width="11.375" customWidth="1" style="1181" min="3" max="3"/>
    <col hidden="1" width="12.25" customWidth="1" style="1181" min="4" max="4"/>
    <col hidden="1" width="7.375" customWidth="1" style="1181" min="5" max="5"/>
    <col hidden="1" width="7.75" customWidth="1" style="1181" min="6" max="7"/>
    <col hidden="1" width="8.375" customWidth="1" style="1181" min="8" max="8"/>
    <col hidden="1" width="7.75" customWidth="1" style="1181" min="9" max="9"/>
    <col hidden="1" width="11.125" customWidth="1" style="1181" min="10" max="10"/>
    <col hidden="1" width="7.75" customWidth="1" style="1181" min="11" max="18"/>
    <col hidden="1" width="42.75" customWidth="1" style="32" min="19" max="19"/>
    <col hidden="1" width="2.375" customWidth="1" style="1181" min="20" max="20"/>
    <col hidden="1" width="13.75" customWidth="1" style="1181" min="21" max="21"/>
    <col hidden="1" width="18.75" customWidth="1" style="1181" min="22" max="22"/>
    <col width="1.375" customWidth="1" style="1181" min="23" max="23"/>
    <col width="46.375" customWidth="1" style="38" min="24" max="24"/>
    <col width="4.375" customWidth="1" style="38" min="25" max="25"/>
    <col width="24.375" customWidth="1" style="1181" min="26" max="28"/>
    <col hidden="1" width="20.375" customWidth="1" style="1181" min="29" max="29"/>
    <col hidden="1" width="17.375" customWidth="1" style="1181" min="30" max="30"/>
    <col width="16.75" customWidth="1" style="1181" min="31" max="31"/>
    <col width="17.375" customWidth="1" style="1181" min="32" max="33"/>
    <col width="16.75" customWidth="1" style="1181" min="34" max="36"/>
    <col width="17.375" customWidth="1" style="1181" min="37" max="38"/>
    <col width="16.75" customWidth="1" style="1181" min="39" max="41"/>
    <col width="17.375" customWidth="1" style="1181" min="42" max="43"/>
    <col width="16.75" customWidth="1" style="1181" min="44" max="46"/>
    <col width="17.375" customWidth="1" style="1181" min="47" max="48"/>
    <col width="16.75" customWidth="1" style="1181" min="49" max="49"/>
  </cols>
  <sheetData>
    <row r="1" hidden="1" customFormat="1" s="13">
      <c r="A1" s="172" t="inlineStr">
        <is>
          <t>维度清单</t>
        </is>
      </c>
      <c r="B1" s="462" t="n"/>
      <c r="C1" s="173" t="n"/>
      <c r="D1" s="173" t="n"/>
      <c r="E1" s="716" t="n"/>
      <c r="F1" s="13" t="n"/>
      <c r="G1" s="13" t="n"/>
      <c r="H1" s="13" t="n"/>
      <c r="I1" s="13" t="n"/>
      <c r="J1" s="13" t="n"/>
      <c r="K1" s="13" t="n"/>
      <c r="L1" s="13" t="n"/>
      <c r="M1" s="13" t="n"/>
      <c r="N1" s="13" t="n"/>
      <c r="O1" s="13" t="n"/>
      <c r="P1" s="13" t="n"/>
      <c r="Q1" s="13" t="n"/>
      <c r="R1" s="13" t="n"/>
      <c r="S1" s="1103" t="n"/>
      <c r="T1" s="13" t="n"/>
      <c r="U1" s="13" t="n"/>
      <c r="V1" s="13" t="n"/>
      <c r="W1" s="13" t="n"/>
      <c r="X1" s="171" t="n"/>
      <c r="Y1" s="171" t="n"/>
      <c r="Z1" s="13" t="n"/>
      <c r="AA1" s="13" t="n"/>
      <c r="AB1" s="13" t="n"/>
      <c r="AC1" s="13" t="n"/>
      <c r="AD1" s="13" t="n"/>
      <c r="AE1" s="220" t="n"/>
      <c r="AF1" s="13" t="n"/>
      <c r="AG1" s="13" t="n"/>
      <c r="AH1" s="13" t="n"/>
      <c r="AI1" s="13" t="n"/>
      <c r="AJ1" s="13" t="n"/>
      <c r="AK1" s="13" t="n"/>
      <c r="AL1" s="13" t="n"/>
      <c r="AM1" s="13" t="n"/>
      <c r="AN1" s="13" t="n"/>
      <c r="AO1" s="13" t="n"/>
      <c r="AP1" s="13" t="n"/>
      <c r="AQ1" s="13" t="n"/>
      <c r="AR1" s="13" t="n"/>
      <c r="AS1" s="13" t="n"/>
      <c r="AT1" s="13" t="n"/>
      <c r="AU1" s="13" t="n"/>
      <c r="AV1" s="13" t="n"/>
      <c r="AW1" s="13" t="n"/>
      <c r="AX1" s="13" t="n"/>
      <c r="AY1" s="13" t="n"/>
      <c r="AZ1" s="13" t="n"/>
      <c r="BA1" s="13" t="n"/>
      <c r="BB1" s="13" t="n"/>
      <c r="BC1" s="13" t="n"/>
      <c r="BD1" s="13" t="n"/>
      <c r="BE1" s="13" t="n"/>
      <c r="BF1" s="13" t="n"/>
      <c r="BG1" s="13" t="n"/>
      <c r="BH1" s="13" t="n"/>
      <c r="BI1" s="13" t="n"/>
      <c r="BJ1" s="13" t="n"/>
      <c r="BK1" s="13" t="n"/>
      <c r="BL1" s="13" t="n"/>
      <c r="BM1" s="13" t="n"/>
      <c r="BN1" s="13" t="n"/>
      <c r="BO1" s="13" t="n"/>
      <c r="BP1" s="13" t="n"/>
      <c r="BQ1" s="13" t="n"/>
      <c r="BR1" s="13" t="n"/>
      <c r="BS1" s="13" t="n"/>
      <c r="BT1" s="13" t="n"/>
      <c r="BU1" s="13" t="n"/>
      <c r="BV1" s="13" t="n"/>
      <c r="BW1" s="13" t="n"/>
      <c r="BX1" s="13" t="n"/>
      <c r="BY1" s="13" t="n"/>
      <c r="BZ1" s="13" t="n"/>
      <c r="CA1" s="13" t="n"/>
      <c r="CB1" s="13" t="n"/>
      <c r="CC1" s="13" t="n"/>
      <c r="CD1" s="13" t="n"/>
      <c r="CE1" s="13" t="n"/>
      <c r="CF1" s="13" t="n"/>
      <c r="CG1" s="13" t="n"/>
      <c r="CH1" s="13" t="n"/>
      <c r="CI1" s="13" t="n"/>
      <c r="CJ1" s="13" t="n"/>
      <c r="CK1" s="13" t="n"/>
      <c r="CL1" s="13" t="n"/>
      <c r="CM1" s="13" t="n"/>
      <c r="CN1" s="13" t="n"/>
      <c r="CO1" s="13" t="n"/>
      <c r="CP1" s="13" t="n"/>
    </row>
    <row r="2" hidden="1" customFormat="1" s="13">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103" t="n"/>
      <c r="T2" s="13" t="n"/>
      <c r="U2" s="13" t="n"/>
      <c r="V2" s="13" t="n"/>
      <c r="W2" s="13" t="n"/>
      <c r="X2" s="171" t="n"/>
      <c r="Y2" s="171" t="n"/>
      <c r="Z2" s="13" t="n"/>
      <c r="AA2" s="13" t="n"/>
      <c r="AB2" s="13" t="n"/>
      <c r="AC2" s="13" t="n"/>
      <c r="AD2" s="13" t="n"/>
      <c r="AE2" s="220" t="n"/>
      <c r="AF2" s="13" t="n"/>
      <c r="AG2" s="13" t="n"/>
      <c r="AH2" s="13" t="n"/>
      <c r="AI2" s="13" t="n"/>
      <c r="AJ2" s="13" t="n"/>
      <c r="AK2" s="13" t="n"/>
      <c r="AL2" s="13" t="n"/>
      <c r="AM2" s="13" t="n"/>
      <c r="AN2" s="13" t="n"/>
      <c r="AO2" s="13" t="n"/>
      <c r="AP2" s="13" t="n"/>
      <c r="AQ2" s="13" t="n"/>
      <c r="AR2" s="13" t="n"/>
      <c r="AS2" s="13" t="n"/>
      <c r="AT2" s="13" t="n"/>
      <c r="AU2" s="13" t="n"/>
      <c r="AV2" s="13" t="n"/>
      <c r="AW2" s="13" t="n"/>
      <c r="AX2" s="13" t="n"/>
      <c r="AY2" s="13" t="n"/>
      <c r="AZ2" s="13" t="n"/>
      <c r="BA2" s="13" t="n"/>
      <c r="BB2" s="13" t="n"/>
      <c r="BC2" s="13" t="n"/>
      <c r="BD2" s="13" t="n"/>
      <c r="BE2" s="13" t="n"/>
      <c r="BF2" s="13" t="n"/>
      <c r="BG2" s="13" t="n"/>
      <c r="BH2" s="13" t="n"/>
      <c r="BI2" s="13" t="n"/>
      <c r="BJ2" s="13" t="n"/>
      <c r="BK2" s="13" t="n"/>
      <c r="BL2" s="13" t="n"/>
      <c r="BM2" s="13" t="n"/>
      <c r="BN2" s="13" t="n"/>
      <c r="BO2" s="13" t="n"/>
      <c r="BP2" s="13" t="n"/>
      <c r="BQ2" s="13" t="n"/>
      <c r="BR2" s="13" t="n"/>
      <c r="BS2" s="13" t="n"/>
      <c r="BT2" s="13" t="n"/>
      <c r="BU2" s="13" t="n"/>
      <c r="BV2" s="13" t="n"/>
      <c r="BW2" s="13" t="n"/>
      <c r="BX2" s="13" t="n"/>
      <c r="BY2" s="13" t="n"/>
      <c r="BZ2" s="13" t="n"/>
      <c r="CA2" s="13" t="n"/>
      <c r="CB2" s="13" t="n"/>
      <c r="CC2" s="13" t="n"/>
      <c r="CD2" s="13" t="n"/>
      <c r="CE2" s="13" t="n"/>
      <c r="CF2" s="13" t="n"/>
      <c r="CG2" s="13" t="n"/>
      <c r="CH2" s="13" t="n"/>
      <c r="CI2" s="13" t="n"/>
      <c r="CJ2" s="13" t="n"/>
      <c r="CK2" s="13" t="n"/>
      <c r="CL2" s="13" t="n"/>
      <c r="CM2" s="13" t="n"/>
      <c r="CN2" s="13" t="n"/>
      <c r="CO2" s="13" t="n"/>
      <c r="CP2" s="13" t="n"/>
    </row>
    <row r="3" hidden="1" customFormat="1" s="13">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103" t="n"/>
      <c r="T3" s="13" t="n"/>
      <c r="U3" s="13" t="n"/>
      <c r="V3" s="13" t="n"/>
      <c r="W3" s="13" t="n"/>
      <c r="X3" s="171" t="n"/>
      <c r="Y3" s="171" t="n"/>
      <c r="Z3" s="13" t="n"/>
      <c r="AA3" s="13" t="n"/>
      <c r="AB3" s="13" t="n"/>
      <c r="AC3" s="13" t="n"/>
      <c r="AD3" s="13" t="n"/>
      <c r="AE3" s="220" t="n"/>
      <c r="AF3" s="13" t="n"/>
      <c r="AG3" s="13" t="n"/>
      <c r="AH3" s="13" t="n"/>
      <c r="AI3" s="13" t="n"/>
      <c r="AJ3" s="13" t="n"/>
      <c r="AK3" s="13" t="n"/>
      <c r="AL3" s="13" t="n"/>
      <c r="AM3" s="13" t="n"/>
      <c r="AN3" s="13" t="n"/>
      <c r="AO3" s="13" t="n"/>
      <c r="AP3" s="13" t="n"/>
      <c r="AQ3" s="13" t="n"/>
      <c r="AR3" s="13" t="n"/>
      <c r="AS3" s="13" t="n"/>
      <c r="AT3" s="13" t="n"/>
      <c r="AU3" s="13" t="n"/>
      <c r="AV3" s="13" t="n"/>
      <c r="AW3" s="13" t="n"/>
      <c r="AX3" s="13" t="n"/>
      <c r="AY3" s="13" t="n"/>
      <c r="AZ3" s="13" t="n"/>
      <c r="BA3" s="13" t="n"/>
      <c r="BB3" s="13" t="n"/>
      <c r="BC3" s="13" t="n"/>
      <c r="BD3" s="13" t="n"/>
      <c r="BE3" s="13" t="n"/>
      <c r="BF3" s="13" t="n"/>
      <c r="BG3" s="13" t="n"/>
      <c r="BH3" s="13" t="n"/>
      <c r="BI3" s="13" t="n"/>
      <c r="BJ3" s="13" t="n"/>
      <c r="BK3" s="13" t="n"/>
      <c r="BL3" s="13" t="n"/>
      <c r="BM3" s="13" t="n"/>
      <c r="BN3" s="13" t="n"/>
      <c r="BO3" s="13" t="n"/>
      <c r="BP3" s="13" t="n"/>
      <c r="BQ3" s="13" t="n"/>
      <c r="BR3" s="13" t="n"/>
      <c r="BS3" s="13" t="n"/>
      <c r="BT3" s="13" t="n"/>
      <c r="BU3" s="13" t="n"/>
      <c r="BV3" s="13" t="n"/>
      <c r="BW3" s="13" t="n"/>
      <c r="BX3" s="13" t="n"/>
      <c r="BY3" s="13" t="n"/>
      <c r="BZ3" s="13" t="n"/>
      <c r="CA3" s="13" t="n"/>
      <c r="CB3" s="13" t="n"/>
      <c r="CC3" s="13" t="n"/>
      <c r="CD3" s="13" t="n"/>
      <c r="CE3" s="13" t="n"/>
      <c r="CF3" s="13" t="n"/>
      <c r="CG3" s="13" t="n"/>
      <c r="CH3" s="13" t="n"/>
      <c r="CI3" s="13" t="n"/>
      <c r="CJ3" s="13" t="n"/>
      <c r="CK3" s="13" t="n"/>
      <c r="CL3" s="13" t="n"/>
      <c r="CM3" s="13" t="n"/>
      <c r="CN3" s="13" t="n"/>
      <c r="CO3" s="13" t="n"/>
      <c r="CP3" s="13" t="n"/>
    </row>
    <row r="4" hidden="1" customFormat="1" s="13">
      <c r="A4" s="175" t="inlineStr">
        <is>
          <t>C</t>
        </is>
      </c>
      <c r="B4" s="176">
        <f>IF(_epmOfflineCondition_,"C_CATEGORY",EPMDimensionType(,A4))</f>
        <v/>
      </c>
      <c r="C4" s="176">
        <f>IF(_epmOfflineCondition_,"C1001",IF(B4="","",EPMContextMember(,B4)))</f>
        <v/>
      </c>
      <c r="D4" s="176">
        <f>IF(_epmOfflineCondition_,"实际数/决算数",EPMMemberDesc(C4))</f>
        <v/>
      </c>
      <c r="E4" s="176" t="n"/>
      <c r="F4" s="13" t="n"/>
      <c r="G4" s="13" t="n"/>
      <c r="H4" s="184" t="inlineStr">
        <is>
          <t>预算年</t>
        </is>
      </c>
      <c r="I4" s="184">
        <f>"V_"&amp;$I$3</f>
        <v/>
      </c>
      <c r="J4" s="184">
        <f>$I$3&amp;".TOTAL"</f>
        <v/>
      </c>
      <c r="K4" s="13" t="n"/>
      <c r="L4" s="13" t="n"/>
      <c r="M4" s="13" t="n"/>
      <c r="N4" s="13" t="n"/>
      <c r="O4" s="13" t="n"/>
      <c r="P4" s="13" t="n"/>
      <c r="Q4" s="13" t="n"/>
      <c r="R4" s="13" t="n"/>
      <c r="S4" s="1103" t="n"/>
      <c r="T4" s="13" t="n"/>
      <c r="U4" s="13" t="n"/>
      <c r="V4" s="13" t="n"/>
      <c r="W4" s="13" t="n"/>
      <c r="X4" s="171" t="n"/>
      <c r="Y4" s="171" t="n"/>
      <c r="Z4" s="13" t="n"/>
      <c r="AA4" s="13" t="n"/>
      <c r="AB4" s="13" t="n"/>
      <c r="AC4" s="13" t="n"/>
      <c r="AD4" s="13" t="n"/>
      <c r="AE4" s="220" t="n"/>
      <c r="AF4" s="13" t="n"/>
      <c r="AG4" s="13" t="n"/>
      <c r="AH4" s="13" t="n"/>
      <c r="AI4" s="13" t="n"/>
      <c r="AJ4" s="13" t="n"/>
      <c r="AK4" s="13" t="n"/>
      <c r="AL4" s="13" t="n"/>
      <c r="AM4" s="13" t="n"/>
      <c r="AN4" s="13" t="n"/>
      <c r="AO4" s="13" t="n"/>
      <c r="AP4" s="13" t="n"/>
      <c r="AQ4" s="13" t="n"/>
      <c r="AR4" s="13" t="n"/>
      <c r="AS4" s="13" t="n"/>
      <c r="AT4" s="13" t="n"/>
      <c r="AU4" s="13" t="n"/>
      <c r="AV4" s="13" t="n"/>
      <c r="AW4" s="13" t="n"/>
      <c r="AX4" s="13" t="n"/>
      <c r="AY4" s="13" t="n"/>
      <c r="AZ4" s="13" t="n"/>
      <c r="BA4" s="13" t="n"/>
      <c r="BB4" s="13" t="n"/>
      <c r="BC4" s="13" t="n"/>
      <c r="BD4" s="13" t="n"/>
      <c r="BE4" s="13" t="n"/>
      <c r="BF4" s="13" t="n"/>
      <c r="BG4" s="13" t="n"/>
      <c r="BH4" s="13" t="n"/>
      <c r="BI4" s="13" t="n"/>
      <c r="BJ4" s="13" t="n"/>
      <c r="BK4" s="13" t="n"/>
      <c r="BL4" s="13" t="n"/>
      <c r="BM4" s="13" t="n"/>
      <c r="BN4" s="13" t="n"/>
      <c r="BO4" s="13" t="n"/>
      <c r="BP4" s="13" t="n"/>
      <c r="BQ4" s="13" t="n"/>
      <c r="BR4" s="13" t="n"/>
      <c r="BS4" s="13" t="n"/>
      <c r="BT4" s="13" t="n"/>
      <c r="BU4" s="13" t="n"/>
      <c r="BV4" s="13" t="n"/>
      <c r="BW4" s="13" t="n"/>
      <c r="BX4" s="13" t="n"/>
      <c r="BY4" s="13" t="n"/>
      <c r="BZ4" s="13" t="n"/>
      <c r="CA4" s="13" t="n"/>
      <c r="CB4" s="13" t="n"/>
      <c r="CC4" s="13" t="n"/>
      <c r="CD4" s="13" t="n"/>
      <c r="CE4" s="13" t="n"/>
      <c r="CF4" s="13" t="n"/>
      <c r="CG4" s="13" t="n"/>
      <c r="CH4" s="13" t="n"/>
      <c r="CI4" s="13" t="n"/>
      <c r="CJ4" s="13" t="n"/>
      <c r="CK4" s="13" t="n"/>
      <c r="CL4" s="13" t="n"/>
      <c r="CM4" s="13" t="n"/>
      <c r="CN4" s="13" t="n"/>
      <c r="CO4" s="13" t="n"/>
      <c r="CP4" s="13" t="n"/>
    </row>
    <row r="5" hidden="1" customFormat="1" s="13">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13" t="n"/>
      <c r="V5" s="13" t="n"/>
      <c r="W5" s="13" t="n"/>
      <c r="X5" s="171" t="n"/>
      <c r="Y5" s="171" t="n"/>
      <c r="Z5" s="13" t="n"/>
      <c r="AA5" s="13" t="n"/>
      <c r="AB5" s="13" t="n"/>
      <c r="AC5" s="13" t="n"/>
      <c r="AD5" s="13" t="n"/>
      <c r="AE5" s="220" t="n"/>
      <c r="AF5" s="13" t="n"/>
      <c r="AG5" s="13" t="n"/>
      <c r="AH5" s="13" t="n"/>
      <c r="AI5" s="13" t="n"/>
      <c r="AJ5" s="13" t="n"/>
      <c r="AK5" s="13" t="n"/>
      <c r="AL5" s="13" t="n"/>
      <c r="AM5" s="13" t="n"/>
      <c r="AN5" s="13" t="n"/>
      <c r="AO5" s="13" t="n"/>
      <c r="AP5" s="13" t="n"/>
      <c r="AQ5" s="13" t="n"/>
      <c r="AR5" s="13" t="n"/>
      <c r="AS5" s="13" t="n"/>
      <c r="AT5" s="13" t="n"/>
      <c r="AU5" s="13" t="n"/>
      <c r="AV5" s="13" t="n"/>
      <c r="AW5" s="13" t="n"/>
      <c r="AX5" s="13" t="n"/>
      <c r="AY5" s="13" t="n"/>
      <c r="AZ5" s="13" t="n"/>
      <c r="BA5" s="13" t="n"/>
      <c r="BB5" s="13" t="n"/>
      <c r="BC5" s="13" t="n"/>
      <c r="BD5" s="13" t="n"/>
      <c r="BE5" s="13" t="n"/>
      <c r="BF5" s="13" t="n"/>
      <c r="BG5" s="13" t="n"/>
      <c r="BH5" s="13" t="n"/>
      <c r="BI5" s="13" t="n"/>
      <c r="BJ5" s="13" t="n"/>
      <c r="BK5" s="13" t="n"/>
      <c r="BL5" s="13" t="n"/>
      <c r="BM5" s="13" t="n"/>
      <c r="BN5" s="13" t="n"/>
      <c r="BO5" s="13" t="n"/>
      <c r="BP5" s="13" t="n"/>
      <c r="BQ5" s="13" t="n"/>
      <c r="BR5" s="13" t="n"/>
      <c r="BS5" s="13" t="n"/>
      <c r="BT5" s="13" t="n"/>
      <c r="BU5" s="13" t="n"/>
      <c r="BV5" s="13" t="n"/>
      <c r="BW5" s="13" t="n"/>
      <c r="BX5" s="13" t="n"/>
      <c r="BY5" s="13" t="n"/>
      <c r="BZ5" s="13" t="n"/>
      <c r="CA5" s="13" t="n"/>
      <c r="CB5" s="13" t="n"/>
      <c r="CC5" s="13" t="n"/>
      <c r="CD5" s="13" t="n"/>
      <c r="CE5" s="13" t="n"/>
      <c r="CF5" s="13" t="n"/>
      <c r="CG5" s="13" t="n"/>
      <c r="CH5" s="13" t="n"/>
      <c r="CI5" s="13" t="n"/>
      <c r="CJ5" s="13" t="n"/>
      <c r="CK5" s="13" t="n"/>
      <c r="CL5" s="13" t="n"/>
      <c r="CM5" s="13" t="n"/>
      <c r="CN5" s="13" t="n"/>
      <c r="CO5" s="13" t="n"/>
      <c r="CP5" s="13" t="n"/>
    </row>
    <row r="6" hidden="1" customFormat="1" s="13">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103" t="n"/>
      <c r="T6" s="13" t="n"/>
      <c r="U6" s="13" t="n"/>
      <c r="V6" s="13" t="n"/>
      <c r="W6" s="13" t="n"/>
      <c r="X6" s="171" t="n"/>
      <c r="Y6" s="171" t="n"/>
      <c r="Z6" s="13" t="n"/>
      <c r="AA6" s="13" t="n"/>
      <c r="AB6" s="13" t="n"/>
      <c r="AC6" s="13" t="n"/>
      <c r="AD6" s="13" t="n"/>
      <c r="AE6" s="220" t="n"/>
      <c r="AF6" s="13" t="n"/>
      <c r="AG6" s="13" t="n"/>
      <c r="AH6" s="13" t="n"/>
      <c r="AI6" s="13" t="n"/>
      <c r="AJ6" s="13" t="n"/>
      <c r="AK6" s="13" t="n"/>
      <c r="AL6" s="13" t="n"/>
      <c r="AM6" s="13" t="n"/>
      <c r="AN6" s="13" t="n"/>
      <c r="AO6" s="13" t="n"/>
      <c r="AP6" s="13" t="n"/>
      <c r="AQ6" s="13" t="n"/>
      <c r="AR6" s="13" t="n"/>
      <c r="AS6" s="13" t="n"/>
      <c r="AT6" s="13" t="n"/>
      <c r="AU6" s="13" t="n"/>
      <c r="AV6" s="13" t="n"/>
      <c r="AW6" s="13" t="n"/>
      <c r="AX6" s="13" t="n"/>
      <c r="AY6" s="13" t="n"/>
      <c r="AZ6" s="13" t="n"/>
      <c r="BA6" s="13" t="n"/>
      <c r="BB6" s="13" t="n"/>
      <c r="BC6" s="13" t="n"/>
      <c r="BD6" s="13" t="n"/>
      <c r="BE6" s="13" t="n"/>
      <c r="BF6" s="13" t="n"/>
      <c r="BG6" s="13" t="n"/>
      <c r="BH6" s="13" t="n"/>
      <c r="BI6" s="13" t="n"/>
      <c r="BJ6" s="13" t="n"/>
      <c r="BK6" s="13" t="n"/>
      <c r="BL6" s="13" t="n"/>
      <c r="BM6" s="13" t="n"/>
      <c r="BN6" s="13" t="n"/>
      <c r="BO6" s="13" t="n"/>
      <c r="BP6" s="13" t="n"/>
      <c r="BQ6" s="13" t="n"/>
      <c r="BR6" s="13" t="n"/>
      <c r="BS6" s="13" t="n"/>
      <c r="BT6" s="13" t="n"/>
      <c r="BU6" s="13" t="n"/>
      <c r="BV6" s="13" t="n"/>
      <c r="BW6" s="13" t="n"/>
      <c r="BX6" s="13" t="n"/>
      <c r="BY6" s="13" t="n"/>
      <c r="BZ6" s="13" t="n"/>
      <c r="CA6" s="13" t="n"/>
      <c r="CB6" s="13" t="n"/>
      <c r="CC6" s="13" t="n"/>
      <c r="CD6" s="13" t="n"/>
      <c r="CE6" s="13" t="n"/>
      <c r="CF6" s="13" t="n"/>
      <c r="CG6" s="13" t="n"/>
      <c r="CH6" s="13" t="n"/>
      <c r="CI6" s="13" t="n"/>
      <c r="CJ6" s="13" t="n"/>
      <c r="CK6" s="13" t="n"/>
      <c r="CL6" s="13" t="n"/>
      <c r="CM6" s="13" t="n"/>
      <c r="CN6" s="13" t="n"/>
      <c r="CO6" s="13" t="n"/>
      <c r="CP6" s="13" t="n"/>
    </row>
    <row r="7" hidden="1" customFormat="1" s="13">
      <c r="A7" s="175" t="inlineStr">
        <is>
          <t>R</t>
        </is>
      </c>
      <c r="B7" s="176">
        <f>IF(_epmOfflineCondition_,"C_RPTCURRENCY",EPMDimensionType(,A7))</f>
        <v/>
      </c>
      <c r="C7" s="176">
        <f>IF(_epmOfflineCondition_,"AUD",IF(B7="","",EPMContextMember(,B7)))</f>
        <v/>
      </c>
      <c r="D7" s="176">
        <f>IF(_epmOfflineCondition_,"澳元",EPMMemberDesc(C7))</f>
        <v/>
      </c>
      <c r="E7" s="176" t="n"/>
      <c r="F7" s="13" t="n"/>
      <c r="G7" s="13" t="n"/>
      <c r="H7" s="13" t="n"/>
      <c r="I7" s="13" t="n"/>
      <c r="J7" s="13" t="n"/>
      <c r="K7" s="13" t="n"/>
      <c r="L7" s="13" t="n"/>
      <c r="M7" s="13" t="n"/>
      <c r="N7" s="13" t="n"/>
      <c r="O7" s="13" t="n"/>
      <c r="P7" s="13" t="n"/>
      <c r="Q7" s="13" t="n"/>
      <c r="R7" s="13" t="n"/>
      <c r="S7" s="1103" t="n"/>
      <c r="T7" s="13" t="n"/>
      <c r="U7" s="13" t="n"/>
      <c r="V7" s="13" t="n"/>
      <c r="W7" s="13" t="n"/>
      <c r="X7" s="171" t="n"/>
      <c r="Y7" s="171" t="n"/>
      <c r="Z7" s="13" t="n"/>
      <c r="AA7" s="13" t="n"/>
      <c r="AB7" s="13" t="n"/>
      <c r="AC7" s="13" t="n"/>
      <c r="AD7" s="13" t="n"/>
      <c r="AE7" s="220" t="n"/>
      <c r="AF7" s="13" t="n"/>
      <c r="AG7" s="13" t="n"/>
      <c r="AH7" s="13" t="n"/>
      <c r="AI7" s="13" t="n"/>
      <c r="AJ7" s="13" t="n"/>
      <c r="AK7" s="13" t="n"/>
      <c r="AL7" s="13" t="n"/>
      <c r="AM7" s="13" t="n"/>
      <c r="AN7" s="13" t="n"/>
      <c r="AO7" s="13" t="n"/>
      <c r="AP7" s="13" t="n"/>
      <c r="AQ7" s="13" t="n"/>
      <c r="AR7" s="13" t="n"/>
      <c r="AS7" s="13" t="n"/>
      <c r="AT7" s="13" t="n"/>
      <c r="AU7" s="13" t="n"/>
      <c r="AV7" s="13" t="n"/>
      <c r="AW7" s="13" t="n"/>
      <c r="AX7" s="13" t="n"/>
      <c r="AY7" s="13" t="n"/>
      <c r="AZ7" s="13" t="n"/>
      <c r="BA7" s="13" t="n"/>
      <c r="BB7" s="13" t="n"/>
      <c r="BC7" s="13" t="n"/>
      <c r="BD7" s="13" t="n"/>
      <c r="BE7" s="13" t="n"/>
      <c r="BF7" s="13" t="n"/>
      <c r="BG7" s="13" t="n"/>
      <c r="BH7" s="13" t="n"/>
      <c r="BI7" s="13" t="n"/>
      <c r="BJ7" s="13" t="n"/>
      <c r="BK7" s="13" t="n"/>
      <c r="BL7" s="13" t="n"/>
      <c r="BM7" s="13" t="n"/>
      <c r="BN7" s="13" t="n"/>
      <c r="BO7" s="13" t="n"/>
      <c r="BP7" s="13" t="n"/>
      <c r="BQ7" s="13" t="n"/>
      <c r="BR7" s="13" t="n"/>
      <c r="BS7" s="13" t="n"/>
      <c r="BT7" s="13" t="n"/>
      <c r="BU7" s="13" t="n"/>
      <c r="BV7" s="13" t="n"/>
      <c r="BW7" s="13" t="n"/>
      <c r="BX7" s="13" t="n"/>
      <c r="BY7" s="13" t="n"/>
      <c r="BZ7" s="13" t="n"/>
      <c r="CA7" s="13" t="n"/>
      <c r="CB7" s="13" t="n"/>
      <c r="CC7" s="13" t="n"/>
      <c r="CD7" s="13" t="n"/>
      <c r="CE7" s="13" t="n"/>
      <c r="CF7" s="13" t="n"/>
      <c r="CG7" s="13" t="n"/>
      <c r="CH7" s="13" t="n"/>
      <c r="CI7" s="13" t="n"/>
      <c r="CJ7" s="13" t="n"/>
      <c r="CK7" s="13" t="n"/>
      <c r="CL7" s="13" t="n"/>
      <c r="CM7" s="13" t="n"/>
      <c r="CN7" s="13" t="n"/>
      <c r="CO7" s="13" t="n"/>
      <c r="CP7" s="13" t="n"/>
    </row>
    <row r="8" hidden="1" customFormat="1" s="13">
      <c r="A8" s="175" t="inlineStr">
        <is>
          <t>D</t>
        </is>
      </c>
      <c r="B8" s="176">
        <f>IF(_epmOfflineCondition_,"C_AUDITTRAIL",EPMDimensionType(,A8))</f>
        <v/>
      </c>
      <c r="C8" s="176">
        <f>IF(_epmOfflineCondition_,"DTOTAL",IF(B8="","",EPMContextMember(,B8)))</f>
        <v/>
      </c>
      <c r="D8" s="176">
        <f>IF(_epmOfflineCondition_,"全部审计线索",EPMMemberDesc(C8))</f>
        <v/>
      </c>
      <c r="E8" s="176" t="n"/>
      <c r="F8" s="13" t="n"/>
      <c r="G8" s="13" t="n"/>
      <c r="H8" s="184" t="inlineStr">
        <is>
          <t>本月</t>
        </is>
      </c>
      <c r="I8" s="184">
        <f>IF(_epmOfflineCondition_,"03",RIGHT("0"&amp;EPMMemberProperty(,EPMContextMember(,"C_TIME"),"MONTHNUM"),2))</f>
        <v/>
      </c>
      <c r="J8" s="13" t="n"/>
      <c r="K8" s="13" t="n"/>
      <c r="L8" s="13" t="n"/>
      <c r="M8" s="13" t="n"/>
      <c r="N8" s="13" t="n"/>
      <c r="O8" s="13" t="n"/>
      <c r="P8" s="13" t="n"/>
      <c r="Q8" s="13" t="n"/>
      <c r="R8" s="13" t="n"/>
      <c r="S8" s="1103" t="n"/>
      <c r="T8" s="13" t="n"/>
      <c r="U8" s="13" t="n"/>
      <c r="V8" s="13" t="n"/>
      <c r="W8" s="13" t="n"/>
      <c r="X8" s="171" t="n"/>
      <c r="Y8" s="171" t="n"/>
      <c r="Z8" s="13" t="n"/>
      <c r="AA8" s="13" t="n"/>
      <c r="AB8" s="13" t="n"/>
      <c r="AC8" s="13" t="n"/>
      <c r="AD8" s="13" t="n"/>
      <c r="AE8" s="220" t="n"/>
      <c r="AF8" s="13" t="n"/>
      <c r="AG8" s="13" t="n"/>
      <c r="AH8" s="13" t="n"/>
      <c r="AI8" s="13" t="n"/>
      <c r="AJ8" s="13" t="n"/>
      <c r="AK8" s="13" t="n"/>
      <c r="AL8" s="13" t="n"/>
      <c r="AM8" s="13" t="n"/>
      <c r="AN8" s="13" t="n"/>
      <c r="AO8" s="13" t="n"/>
      <c r="AP8" s="13" t="n"/>
      <c r="AQ8" s="13" t="n"/>
      <c r="AR8" s="13" t="n"/>
      <c r="AS8" s="13" t="n"/>
      <c r="AT8" s="13" t="n"/>
      <c r="AU8" s="13" t="n"/>
      <c r="AV8" s="13" t="n"/>
      <c r="AW8" s="13" t="n"/>
      <c r="AX8" s="13" t="n"/>
      <c r="AY8" s="13" t="n"/>
      <c r="AZ8" s="13" t="n"/>
      <c r="BA8" s="13" t="n"/>
      <c r="BB8" s="13" t="n"/>
      <c r="BC8" s="13" t="n"/>
      <c r="BD8" s="13" t="n"/>
      <c r="BE8" s="13" t="n"/>
      <c r="BF8" s="13" t="n"/>
      <c r="BG8" s="13" t="n"/>
      <c r="BH8" s="13" t="n"/>
      <c r="BI8" s="13" t="n"/>
      <c r="BJ8" s="13" t="n"/>
      <c r="BK8" s="13" t="n"/>
      <c r="BL8" s="13" t="n"/>
      <c r="BM8" s="13" t="n"/>
      <c r="BN8" s="13" t="n"/>
      <c r="BO8" s="13" t="n"/>
      <c r="BP8" s="13" t="n"/>
      <c r="BQ8" s="13" t="n"/>
      <c r="BR8" s="13" t="n"/>
      <c r="BS8" s="13" t="n"/>
      <c r="BT8" s="13" t="n"/>
      <c r="BU8" s="13" t="n"/>
      <c r="BV8" s="13" t="n"/>
      <c r="BW8" s="13" t="n"/>
      <c r="BX8" s="13" t="n"/>
      <c r="BY8" s="13" t="n"/>
      <c r="BZ8" s="13" t="n"/>
      <c r="CA8" s="13" t="n"/>
      <c r="CB8" s="13" t="n"/>
      <c r="CC8" s="13" t="n"/>
      <c r="CD8" s="13" t="n"/>
      <c r="CE8" s="13" t="n"/>
      <c r="CF8" s="13" t="n"/>
      <c r="CG8" s="13" t="n"/>
      <c r="CH8" s="13" t="n"/>
      <c r="CI8" s="13" t="n"/>
      <c r="CJ8" s="13" t="n"/>
      <c r="CK8" s="13" t="n"/>
      <c r="CL8" s="13" t="n"/>
      <c r="CM8" s="13" t="n"/>
      <c r="CN8" s="13" t="n"/>
      <c r="CO8" s="13" t="n"/>
      <c r="CP8" s="13" t="n"/>
    </row>
    <row r="9" hidden="1" customFormat="1" s="13">
      <c r="A9" s="175" t="inlineStr">
        <is>
          <t>S</t>
        </is>
      </c>
      <c r="B9" s="176">
        <f>IF(_epmOfflineCondition_,"C_FLOW",EPMDimensionType(,A9))</f>
        <v/>
      </c>
      <c r="C9" s="176">
        <f>IF(_epmOfflineCondition_,"FTOTAL",IF(B9="","",EPMContextMember(,B9)))</f>
        <v/>
      </c>
      <c r="D9" s="176">
        <f>IF(_epmOfflineCondition_,"全部变动",EPMMemberDesc(C9))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13" t="n"/>
      <c r="V9" s="13" t="n"/>
      <c r="W9" s="13" t="n"/>
      <c r="X9" s="171" t="n"/>
      <c r="Y9" s="171" t="n"/>
      <c r="Z9" s="13" t="n"/>
      <c r="AA9" s="13" t="n"/>
      <c r="AB9" s="13" t="n"/>
      <c r="AC9" s="13" t="n"/>
      <c r="AD9" s="13" t="n"/>
      <c r="AE9" s="220" t="n"/>
      <c r="AF9" s="13" t="n"/>
      <c r="AG9" s="13" t="n"/>
      <c r="AH9" s="13" t="n"/>
      <c r="AI9" s="13" t="n"/>
      <c r="AJ9" s="13" t="n"/>
      <c r="AK9" s="13" t="n"/>
      <c r="AL9" s="13" t="n"/>
      <c r="AM9" s="13" t="n"/>
      <c r="AN9" s="13" t="n"/>
      <c r="AO9" s="13" t="n"/>
      <c r="AP9" s="13" t="n"/>
      <c r="AQ9" s="13" t="n"/>
      <c r="AR9" s="13" t="n"/>
      <c r="AS9" s="13" t="n"/>
      <c r="AT9" s="13" t="n"/>
      <c r="AU9" s="13" t="n"/>
      <c r="AV9" s="13" t="n"/>
      <c r="AW9" s="13" t="n"/>
      <c r="AX9" s="13" t="n"/>
      <c r="AY9" s="13" t="n"/>
      <c r="AZ9" s="13" t="n"/>
      <c r="BA9" s="13" t="n"/>
      <c r="BB9" s="13" t="n"/>
      <c r="BC9" s="13" t="n"/>
      <c r="BD9" s="13" t="n"/>
      <c r="BE9" s="13" t="n"/>
      <c r="BF9" s="13" t="n"/>
      <c r="BG9" s="13" t="n"/>
      <c r="BH9" s="13" t="n"/>
      <c r="BI9" s="13" t="n"/>
      <c r="BJ9" s="13" t="n"/>
      <c r="BK9" s="13" t="n"/>
      <c r="BL9" s="13" t="n"/>
      <c r="BM9" s="13" t="n"/>
      <c r="BN9" s="13" t="n"/>
      <c r="BO9" s="13" t="n"/>
      <c r="BP9" s="13" t="n"/>
      <c r="BQ9" s="13" t="n"/>
      <c r="BR9" s="13" t="n"/>
      <c r="BS9" s="13" t="n"/>
      <c r="BT9" s="13" t="n"/>
      <c r="BU9" s="13" t="n"/>
      <c r="BV9" s="13" t="n"/>
      <c r="BW9" s="13" t="n"/>
      <c r="BX9" s="13" t="n"/>
      <c r="BY9" s="13" t="n"/>
      <c r="BZ9" s="13" t="n"/>
      <c r="CA9" s="13" t="n"/>
      <c r="CB9" s="13" t="n"/>
      <c r="CC9" s="13" t="n"/>
      <c r="CD9" s="13" t="n"/>
      <c r="CE9" s="13" t="n"/>
      <c r="CF9" s="13" t="n"/>
      <c r="CG9" s="13" t="n"/>
      <c r="CH9" s="13" t="n"/>
      <c r="CI9" s="13" t="n"/>
      <c r="CJ9" s="13" t="n"/>
      <c r="CK9" s="13" t="n"/>
      <c r="CL9" s="13" t="n"/>
      <c r="CM9" s="13" t="n"/>
      <c r="CN9" s="13" t="n"/>
      <c r="CO9" s="13" t="n"/>
      <c r="CP9" s="13" t="n"/>
    </row>
    <row r="10" hidden="1" customFormat="1" s="13">
      <c r="A10" s="175" t="inlineStr">
        <is>
          <t>I</t>
        </is>
      </c>
      <c r="B10" s="176">
        <f>IF(_epmOfflineCondition_,"C_INTERCO",EPMDimensionType(,A10))</f>
        <v/>
      </c>
      <c r="C10" s="176">
        <f>IF(_epmOfflineCondition_,"I_DUMMY",IF(B10="","",EPMContextMember(,B10)))</f>
        <v/>
      </c>
      <c r="D10" s="176">
        <f>IF(_epmOfflineCondition_,"贸易伙伴无关",EPMMemberDesc(C10))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13" t="n"/>
      <c r="V10" s="13" t="n"/>
      <c r="W10" s="13" t="n"/>
      <c r="X10" s="171" t="n"/>
      <c r="Y10" s="171" t="n"/>
      <c r="Z10" s="13" t="n"/>
      <c r="AA10" s="13" t="n"/>
      <c r="AB10" s="13" t="n"/>
      <c r="AC10" s="13" t="n"/>
      <c r="AD10" s="13" t="n"/>
      <c r="AE10" s="220" t="n"/>
      <c r="AF10" s="13" t="n"/>
      <c r="AG10" s="13" t="n"/>
      <c r="AH10" s="13" t="n"/>
      <c r="AI10" s="13" t="n"/>
      <c r="AJ10" s="13" t="n"/>
      <c r="AK10" s="13" t="n"/>
      <c r="AL10" s="13" t="n"/>
      <c r="AM10" s="13" t="n"/>
      <c r="AN10" s="13" t="n"/>
      <c r="AO10" s="13" t="n"/>
      <c r="AP10" s="13" t="n"/>
      <c r="AQ10" s="13" t="n"/>
      <c r="AR10" s="13" t="n"/>
      <c r="AS10" s="13" t="n"/>
      <c r="AT10" s="13" t="n"/>
      <c r="AU10" s="13" t="n"/>
      <c r="AV10" s="13" t="n"/>
      <c r="AW10" s="13" t="n"/>
      <c r="AX10" s="13" t="n"/>
      <c r="AY10" s="13" t="n"/>
      <c r="AZ10" s="13" t="n"/>
      <c r="BA10" s="13" t="n"/>
      <c r="BB10" s="13" t="n"/>
      <c r="BC10" s="13" t="n"/>
      <c r="BD10" s="13" t="n"/>
      <c r="BE10" s="13" t="n"/>
      <c r="BF10" s="13" t="n"/>
      <c r="BG10" s="13" t="n"/>
      <c r="BH10" s="13" t="n"/>
      <c r="BI10" s="13" t="n"/>
      <c r="BJ10" s="13" t="n"/>
      <c r="BK10" s="13" t="n"/>
      <c r="BL10" s="13" t="n"/>
      <c r="BM10" s="13" t="n"/>
      <c r="BN10" s="13" t="n"/>
      <c r="BO10" s="13" t="n"/>
      <c r="BP10" s="13" t="n"/>
      <c r="BQ10" s="13" t="n"/>
      <c r="BR10" s="13" t="n"/>
      <c r="BS10" s="13" t="n"/>
      <c r="BT10" s="13" t="n"/>
      <c r="BU10" s="13" t="n"/>
      <c r="BV10" s="13" t="n"/>
      <c r="BW10" s="13" t="n"/>
      <c r="BX10" s="13" t="n"/>
      <c r="BY10" s="13" t="n"/>
      <c r="BZ10" s="13" t="n"/>
      <c r="CA10" s="13" t="n"/>
      <c r="CB10" s="13" t="n"/>
      <c r="CC10" s="13" t="n"/>
      <c r="CD10" s="13" t="n"/>
      <c r="CE10" s="13" t="n"/>
      <c r="CF10" s="13" t="n"/>
      <c r="CG10" s="13" t="n"/>
      <c r="CH10" s="13" t="n"/>
      <c r="CI10" s="13" t="n"/>
      <c r="CJ10" s="13" t="n"/>
      <c r="CK10" s="13" t="n"/>
      <c r="CL10" s="13" t="n"/>
      <c r="CM10" s="13" t="n"/>
      <c r="CN10" s="13" t="n"/>
      <c r="CO10" s="13" t="n"/>
      <c r="CP10" s="13" t="n"/>
    </row>
    <row r="11" hidden="1" customFormat="1" s="13">
      <c r="A11" s="175" t="inlineStr">
        <is>
          <t>G</t>
        </is>
      </c>
      <c r="B11" s="176">
        <f>IF(_epmOfflineCondition_,"C_SCOPE",EPMDimensionType(,A11))</f>
        <v/>
      </c>
      <c r="C11" s="176">
        <f>IF(_epmOfflineCondition_,"G_DUMMY",IF(B11="","",EPMContextMember(,B11)))</f>
        <v/>
      </c>
      <c r="D11" s="176">
        <f>IF(_epmOfflineCondition_,"合并范围无关",EPMMemberDesc(C11))</f>
        <v/>
      </c>
      <c r="E11" s="176" t="n"/>
      <c r="F11" s="13" t="n"/>
      <c r="G11" s="13" t="n"/>
      <c r="H11" s="184" t="inlineStr">
        <is>
          <t xml:space="preserve">本年月 </t>
        </is>
      </c>
      <c r="I11" s="184">
        <f>I3&amp;"."&amp;I8</f>
        <v/>
      </c>
      <c r="J11" s="13" t="n"/>
      <c r="K11" s="13" t="n"/>
      <c r="L11" s="13" t="n"/>
      <c r="M11" s="13" t="n"/>
      <c r="N11" s="13" t="n"/>
      <c r="O11" s="13" t="n"/>
      <c r="P11" s="13" t="n"/>
      <c r="Q11" s="13" t="n"/>
      <c r="R11" s="13" t="n"/>
      <c r="S11" s="1103" t="n"/>
      <c r="T11" s="13" t="n"/>
      <c r="U11" s="13" t="n"/>
      <c r="V11" s="13" t="n"/>
      <c r="W11" s="13" t="n"/>
      <c r="X11" s="171" t="n"/>
      <c r="Y11" s="171" t="n"/>
      <c r="Z11" s="13" t="n"/>
      <c r="AA11" s="13" t="n"/>
      <c r="AB11" s="13" t="n"/>
      <c r="AC11" s="13" t="n"/>
      <c r="AD11" s="13" t="n"/>
      <c r="AE11" s="220" t="n"/>
      <c r="AF11" s="13" t="n"/>
      <c r="AG11" s="13" t="n"/>
      <c r="AH11" s="13" t="n"/>
      <c r="AI11" s="13" t="n"/>
      <c r="AJ11" s="13" t="n"/>
      <c r="AK11" s="13" t="n"/>
      <c r="AL11" s="13" t="n"/>
      <c r="AM11" s="13" t="n"/>
      <c r="AN11" s="13" t="n"/>
      <c r="AO11" s="13" t="n"/>
      <c r="AP11" s="13" t="n"/>
      <c r="AQ11" s="13" t="n"/>
      <c r="AR11" s="13" t="n"/>
      <c r="AS11" s="13" t="n"/>
      <c r="AT11" s="13" t="n"/>
      <c r="AU11" s="13" t="n"/>
      <c r="AV11" s="13" t="n"/>
      <c r="AW11" s="13" t="n"/>
      <c r="AX11" s="13" t="n"/>
      <c r="AY11" s="13" t="n"/>
      <c r="AZ11" s="13" t="n"/>
      <c r="BA11" s="13" t="n"/>
      <c r="BB11" s="13" t="n"/>
      <c r="BC11" s="13" t="n"/>
      <c r="BD11" s="13" t="n"/>
      <c r="BE11" s="13" t="n"/>
      <c r="BF11" s="13" t="n"/>
      <c r="BG11" s="13" t="n"/>
      <c r="BH11" s="13" t="n"/>
      <c r="BI11" s="13" t="n"/>
      <c r="BJ11" s="13" t="n"/>
      <c r="BK11" s="13" t="n"/>
      <c r="BL11" s="13" t="n"/>
      <c r="BM11" s="13" t="n"/>
      <c r="BN11" s="13" t="n"/>
      <c r="BO11" s="13" t="n"/>
      <c r="BP11" s="13" t="n"/>
      <c r="BQ11" s="13" t="n"/>
      <c r="BR11" s="13" t="n"/>
      <c r="BS11" s="13" t="n"/>
      <c r="BT11" s="13" t="n"/>
      <c r="BU11" s="13" t="n"/>
      <c r="BV11" s="13" t="n"/>
      <c r="BW11" s="13" t="n"/>
      <c r="BX11" s="13" t="n"/>
      <c r="BY11" s="13" t="n"/>
      <c r="BZ11" s="13" t="n"/>
      <c r="CA11" s="13" t="n"/>
      <c r="CB11" s="13" t="n"/>
      <c r="CC11" s="13" t="n"/>
      <c r="CD11" s="13" t="n"/>
      <c r="CE11" s="13" t="n"/>
      <c r="CF11" s="13" t="n"/>
      <c r="CG11" s="13" t="n"/>
      <c r="CH11" s="13" t="n"/>
      <c r="CI11" s="13" t="n"/>
      <c r="CJ11" s="13" t="n"/>
      <c r="CK11" s="13" t="n"/>
      <c r="CL11" s="13" t="n"/>
      <c r="CM11" s="13" t="n"/>
      <c r="CN11" s="13" t="n"/>
      <c r="CO11" s="13" t="n"/>
      <c r="CP11" s="13" t="n"/>
    </row>
    <row r="12" hidden="1" customFormat="1" s="13">
      <c r="A12" s="175" t="inlineStr">
        <is>
          <t>U8</t>
        </is>
      </c>
      <c r="B12" s="176">
        <f>IF(_epmOfflineCondition_,"C_PROJECT",EPMDimensionType(,A12))</f>
        <v/>
      </c>
      <c r="C12" s="176">
        <f>IF(_epmOfflineCondition_,"ZP_ALL",IF(B12="","",EPMContextMember(,B12)))</f>
        <v/>
      </c>
      <c r="D12" s="176">
        <f>IF(_epmOfflineCondition_,"项目合计",EPMMemberDesc(C12))</f>
        <v/>
      </c>
      <c r="E12" s="176" t="n"/>
      <c r="F12" s="13" t="n"/>
      <c r="G12" s="13" t="n"/>
      <c r="H12" s="184" t="inlineStr">
        <is>
          <t>上年月</t>
        </is>
      </c>
      <c r="I12" s="184">
        <f>IF(I8="01",I10&amp;"."&amp;I9,I3&amp;"."&amp;I9)</f>
        <v/>
      </c>
      <c r="J12" s="13" t="n"/>
      <c r="K12" s="13" t="n"/>
      <c r="L12" s="13" t="n"/>
      <c r="M12" s="13" t="n"/>
      <c r="N12" s="13" t="n"/>
      <c r="O12" s="13" t="n"/>
      <c r="P12" s="13" t="n"/>
      <c r="Q12" s="13" t="n"/>
      <c r="R12" s="13" t="n"/>
      <c r="S12" s="1103" t="n"/>
      <c r="T12" s="13" t="n"/>
      <c r="U12" s="13" t="n"/>
      <c r="V12" s="13" t="n"/>
      <c r="W12" s="13" t="n"/>
      <c r="X12" s="171" t="n"/>
      <c r="Y12" s="171" t="n"/>
      <c r="Z12" s="13" t="n"/>
      <c r="AA12" s="13" t="n"/>
      <c r="AB12" s="13" t="n"/>
      <c r="AC12" s="13" t="n"/>
      <c r="AD12" s="13" t="n"/>
      <c r="AE12" s="220" t="n"/>
      <c r="AF12" s="13" t="n"/>
      <c r="AG12" s="13" t="n"/>
      <c r="AH12" s="13" t="n"/>
      <c r="AI12" s="13" t="n"/>
      <c r="AJ12" s="13" t="n"/>
      <c r="AK12" s="13" t="n"/>
      <c r="AL12" s="13" t="n"/>
      <c r="AM12" s="13" t="n"/>
      <c r="AN12" s="13" t="n"/>
      <c r="AO12" s="13" t="n"/>
      <c r="AP12" s="13" t="n"/>
      <c r="AQ12" s="13" t="n"/>
      <c r="AR12" s="13" t="n"/>
      <c r="AS12" s="13" t="n"/>
      <c r="AT12" s="13" t="n"/>
      <c r="AU12" s="13" t="n"/>
      <c r="AV12" s="13" t="n"/>
      <c r="AW12" s="13" t="n"/>
      <c r="AX12" s="13" t="n"/>
      <c r="AY12" s="13" t="n"/>
      <c r="AZ12" s="13" t="n"/>
      <c r="BA12" s="13" t="n"/>
      <c r="BB12" s="13" t="n"/>
      <c r="BC12" s="13" t="n"/>
      <c r="BD12" s="13" t="n"/>
      <c r="BE12" s="13" t="n"/>
      <c r="BF12" s="13" t="n"/>
      <c r="BG12" s="13" t="n"/>
      <c r="BH12" s="13" t="n"/>
      <c r="BI12" s="13" t="n"/>
      <c r="BJ12" s="13" t="n"/>
      <c r="BK12" s="13" t="n"/>
      <c r="BL12" s="13" t="n"/>
      <c r="BM12" s="13" t="n"/>
      <c r="BN12" s="13" t="n"/>
      <c r="BO12" s="13" t="n"/>
      <c r="BP12" s="13" t="n"/>
      <c r="BQ12" s="13" t="n"/>
      <c r="BR12" s="13" t="n"/>
      <c r="BS12" s="13" t="n"/>
      <c r="BT12" s="13" t="n"/>
      <c r="BU12" s="13" t="n"/>
      <c r="BV12" s="13" t="n"/>
      <c r="BW12" s="13" t="n"/>
      <c r="BX12" s="13" t="n"/>
      <c r="BY12" s="13" t="n"/>
      <c r="BZ12" s="13" t="n"/>
      <c r="CA12" s="13" t="n"/>
      <c r="CB12" s="13" t="n"/>
      <c r="CC12" s="13" t="n"/>
      <c r="CD12" s="13" t="n"/>
      <c r="CE12" s="13" t="n"/>
      <c r="CF12" s="13" t="n"/>
      <c r="CG12" s="13" t="n"/>
      <c r="CH12" s="13" t="n"/>
      <c r="CI12" s="13" t="n"/>
      <c r="CJ12" s="13" t="n"/>
      <c r="CK12" s="13" t="n"/>
      <c r="CL12" s="13" t="n"/>
      <c r="CM12" s="13" t="n"/>
      <c r="CN12" s="13" t="n"/>
      <c r="CO12" s="13" t="n"/>
      <c r="CP12" s="13" t="n"/>
    </row>
    <row r="13" hidden="1" customFormat="1" s="13">
      <c r="A13" s="175" t="inlineStr">
        <is>
          <t>U9</t>
        </is>
      </c>
      <c r="B13" s="176">
        <f>IF(_epmOfflineCondition_,"C_ITEM",EPMDimensionType(,A13))</f>
        <v/>
      </c>
      <c r="C13" s="176">
        <f>IF(_epmOfflineCondition_,"ZI_ALL",IF(B13="","",EPMContextMember(,B13)))</f>
        <v/>
      </c>
      <c r="D13" s="176">
        <f>IF(_epmOfflineCondition_,"全部ITEM",EPMMemberDesc(C13))</f>
        <v/>
      </c>
      <c r="E13" s="176" t="n"/>
      <c r="F13" s="13" t="n"/>
      <c r="G13" s="13" t="n"/>
      <c r="H13" s="184" t="inlineStr">
        <is>
          <t xml:space="preserve">上年同期 </t>
        </is>
      </c>
      <c r="I13" s="184">
        <f>I10&amp;"."&amp;I8</f>
        <v/>
      </c>
      <c r="J13" s="13" t="n"/>
      <c r="K13" s="13" t="n"/>
      <c r="L13" s="13" t="n"/>
      <c r="M13" s="13" t="n"/>
      <c r="N13" s="13" t="n"/>
      <c r="O13" s="13" t="n"/>
      <c r="P13" s="13" t="n"/>
      <c r="Q13" s="13" t="n"/>
      <c r="R13" s="13" t="n"/>
      <c r="S13" s="1103" t="n"/>
      <c r="T13" s="13" t="n"/>
      <c r="U13" s="13" t="n"/>
      <c r="V13" s="13" t="n"/>
      <c r="W13" s="13" t="n"/>
      <c r="X13" s="171" t="n"/>
      <c r="Y13" s="171" t="n"/>
      <c r="Z13" s="13" t="n"/>
      <c r="AA13" s="13" t="n"/>
      <c r="AB13" s="13" t="n"/>
      <c r="AC13" s="13" t="n"/>
      <c r="AD13" s="13" t="n"/>
      <c r="AE13" s="220" t="n"/>
      <c r="AF13" s="13" t="n"/>
      <c r="AG13" s="13" t="n"/>
      <c r="AH13" s="13" t="n"/>
      <c r="AI13" s="13" t="n"/>
      <c r="AJ13" s="13" t="n"/>
      <c r="AK13" s="13" t="n"/>
      <c r="AL13" s="13" t="n"/>
      <c r="AM13" s="13" t="n"/>
      <c r="AN13" s="13" t="n"/>
      <c r="AO13" s="13" t="n"/>
      <c r="AP13" s="13" t="n"/>
      <c r="AQ13" s="13" t="n"/>
      <c r="AR13" s="13" t="n"/>
      <c r="AS13" s="13" t="n"/>
      <c r="AT13" s="13" t="n"/>
      <c r="AU13" s="13" t="n"/>
      <c r="AV13" s="13" t="n"/>
      <c r="AW13" s="13" t="n"/>
      <c r="AX13" s="13" t="n"/>
      <c r="AY13" s="13" t="n"/>
      <c r="AZ13" s="13" t="n"/>
      <c r="BA13" s="13" t="n"/>
      <c r="BB13" s="13" t="n"/>
      <c r="BC13" s="13" t="n"/>
      <c r="BD13" s="13" t="n"/>
      <c r="BE13" s="13" t="n"/>
      <c r="BF13" s="13" t="n"/>
      <c r="BG13" s="13" t="n"/>
      <c r="BH13" s="13" t="n"/>
      <c r="BI13" s="13" t="n"/>
      <c r="BJ13" s="13" t="n"/>
      <c r="BK13" s="13" t="n"/>
      <c r="BL13" s="13" t="n"/>
      <c r="BM13" s="13" t="n"/>
      <c r="BN13" s="13" t="n"/>
      <c r="BO13" s="13" t="n"/>
      <c r="BP13" s="13" t="n"/>
      <c r="BQ13" s="13" t="n"/>
      <c r="BR13" s="13" t="n"/>
      <c r="BS13" s="13" t="n"/>
      <c r="BT13" s="13" t="n"/>
      <c r="BU13" s="13" t="n"/>
      <c r="BV13" s="13" t="n"/>
      <c r="BW13" s="13" t="n"/>
      <c r="BX13" s="13" t="n"/>
      <c r="BY13" s="13" t="n"/>
      <c r="BZ13" s="13" t="n"/>
      <c r="CA13" s="13" t="n"/>
      <c r="CB13" s="13" t="n"/>
      <c r="CC13" s="13" t="n"/>
      <c r="CD13" s="13" t="n"/>
      <c r="CE13" s="13" t="n"/>
      <c r="CF13" s="13" t="n"/>
      <c r="CG13" s="13" t="n"/>
      <c r="CH13" s="13" t="n"/>
      <c r="CI13" s="13" t="n"/>
      <c r="CJ13" s="13" t="n"/>
      <c r="CK13" s="13" t="n"/>
      <c r="CL13" s="13" t="n"/>
      <c r="CM13" s="13" t="n"/>
      <c r="CN13" s="13" t="n"/>
      <c r="CO13" s="13" t="n"/>
      <c r="CP13" s="13" t="n"/>
    </row>
    <row r="14" hidden="1" customFormat="1" s="13">
      <c r="A14" s="175" t="inlineStr">
        <is>
          <t>U10</t>
        </is>
      </c>
      <c r="B14" s="176">
        <f>IF(_epmOfflineCondition_,"C_MISK",EPMDimensionType(,A14))</f>
        <v/>
      </c>
      <c r="C14" s="176">
        <f>IF(_epmOfflineCondition_,"ZM_ALL",IF(B14="","",EPMContextMember(,B14)))</f>
        <v/>
      </c>
      <c r="D14" s="176">
        <f>IF(_epmOfflineCondition_,"ALL",EPMMemberDesc(C14))</f>
        <v/>
      </c>
      <c r="E14" s="176" t="n"/>
      <c r="F14" s="13" t="n"/>
      <c r="G14" s="13" t="n"/>
      <c r="H14" s="13" t="n"/>
      <c r="I14" s="13" t="n"/>
      <c r="J14" s="13" t="n"/>
      <c r="K14" s="13" t="n"/>
      <c r="L14" s="13" t="n"/>
      <c r="M14" s="13" t="n"/>
      <c r="N14" s="13" t="n"/>
      <c r="O14" s="13" t="n"/>
      <c r="P14" s="13" t="n"/>
      <c r="Q14" s="13" t="n"/>
      <c r="R14" s="13" t="n"/>
      <c r="S14" s="1103" t="n"/>
      <c r="T14" s="13" t="n"/>
      <c r="U14" s="13" t="n"/>
      <c r="V14" s="13" t="n"/>
      <c r="W14" s="13" t="n"/>
      <c r="X14" s="171" t="n"/>
      <c r="Y14" s="171" t="n"/>
      <c r="Z14" s="13" t="n"/>
      <c r="AA14" s="13" t="n"/>
      <c r="AB14" s="13" t="n"/>
      <c r="AC14" s="13" t="n"/>
      <c r="AD14" s="13" t="n"/>
      <c r="AE14" s="220" t="n"/>
      <c r="AF14" s="13" t="n"/>
      <c r="AG14" s="13" t="n"/>
      <c r="AH14" s="13" t="n"/>
      <c r="AI14" s="13" t="n"/>
      <c r="AJ14" s="13" t="n"/>
      <c r="AK14" s="13" t="n"/>
      <c r="AL14" s="13" t="n"/>
      <c r="AM14" s="13" t="n"/>
      <c r="AN14" s="13" t="n"/>
      <c r="AO14" s="13" t="n"/>
      <c r="AP14" s="13" t="n"/>
      <c r="AQ14" s="13" t="n"/>
      <c r="AR14" s="13" t="n"/>
      <c r="AS14" s="13" t="n"/>
      <c r="AT14" s="13" t="n"/>
      <c r="AU14" s="13" t="n"/>
      <c r="AV14" s="13" t="n"/>
      <c r="AW14" s="13" t="n"/>
      <c r="AX14" s="13" t="n"/>
      <c r="AY14" s="13" t="n"/>
      <c r="AZ14" s="13" t="n"/>
      <c r="BA14" s="13" t="n"/>
      <c r="BB14" s="13" t="n"/>
      <c r="BC14" s="13" t="n"/>
      <c r="BD14" s="13" t="n"/>
      <c r="BE14" s="13" t="n"/>
      <c r="BF14" s="13" t="n"/>
      <c r="BG14" s="13" t="n"/>
      <c r="BH14" s="13" t="n"/>
      <c r="BI14" s="13" t="n"/>
      <c r="BJ14" s="13" t="n"/>
      <c r="BK14" s="13" t="n"/>
      <c r="BL14" s="13" t="n"/>
      <c r="BM14" s="13" t="n"/>
      <c r="BN14" s="13" t="n"/>
      <c r="BO14" s="13" t="n"/>
      <c r="BP14" s="13" t="n"/>
      <c r="BQ14" s="13" t="n"/>
      <c r="BR14" s="13" t="n"/>
      <c r="BS14" s="13" t="n"/>
      <c r="BT14" s="13" t="n"/>
      <c r="BU14" s="13" t="n"/>
      <c r="BV14" s="13" t="n"/>
      <c r="BW14" s="13" t="n"/>
      <c r="BX14" s="13" t="n"/>
      <c r="BY14" s="13" t="n"/>
      <c r="BZ14" s="13" t="n"/>
      <c r="CA14" s="13" t="n"/>
      <c r="CB14" s="13" t="n"/>
      <c r="CC14" s="13" t="n"/>
      <c r="CD14" s="13" t="n"/>
      <c r="CE14" s="13" t="n"/>
      <c r="CF14" s="13" t="n"/>
      <c r="CG14" s="13" t="n"/>
      <c r="CH14" s="13" t="n"/>
      <c r="CI14" s="13" t="n"/>
      <c r="CJ14" s="13" t="n"/>
      <c r="CK14" s="13" t="n"/>
      <c r="CL14" s="13" t="n"/>
      <c r="CM14" s="13" t="n"/>
      <c r="CN14" s="13" t="n"/>
      <c r="CO14" s="13" t="n"/>
      <c r="CP14" s="13" t="n"/>
    </row>
    <row r="15" hidden="1" customFormat="1" s="13">
      <c r="A15" s="13" t="n"/>
      <c r="B15" s="1103" t="n"/>
      <c r="C15" s="1103" t="n"/>
      <c r="D15" s="1103" t="n"/>
      <c r="E15" s="13" t="n"/>
      <c r="F15" s="13" t="n"/>
      <c r="G15" s="13" t="n"/>
      <c r="H15" s="13" t="n"/>
      <c r="I15" s="13" t="n"/>
      <c r="J15" s="13" t="n"/>
      <c r="K15" s="13" t="n"/>
      <c r="L15" s="13" t="n"/>
      <c r="M15" s="13" t="n"/>
      <c r="N15" s="13" t="n"/>
      <c r="O15" s="13" t="n"/>
      <c r="P15" s="13" t="n"/>
      <c r="Q15" s="13" t="n"/>
      <c r="R15" s="13" t="n"/>
      <c r="S15" s="1103" t="n"/>
      <c r="T15" s="13" t="n"/>
      <c r="U15" s="13" t="n"/>
      <c r="V15" s="13" t="n"/>
      <c r="W15" s="13" t="n"/>
      <c r="X15" s="171" t="n"/>
      <c r="Y15" s="171" t="n"/>
      <c r="Z15" s="13" t="n"/>
      <c r="AA15" s="13" t="n"/>
      <c r="AB15" s="13" t="n"/>
      <c r="AC15" s="13" t="n"/>
      <c r="AD15" s="13" t="n"/>
      <c r="AE15" s="220" t="n"/>
      <c r="AF15" s="13" t="n"/>
      <c r="AG15" s="13" t="n"/>
      <c r="AH15" s="13" t="n"/>
      <c r="AI15" s="13" t="n"/>
      <c r="AJ15" s="13" t="n"/>
      <c r="AK15" s="13" t="n"/>
      <c r="AL15" s="13" t="n"/>
      <c r="AM15" s="13" t="n"/>
      <c r="AN15" s="13" t="n"/>
      <c r="AO15" s="13" t="n"/>
      <c r="AP15" s="13" t="n"/>
      <c r="AQ15" s="13" t="n"/>
      <c r="AR15" s="13" t="n"/>
      <c r="AS15" s="13" t="n"/>
      <c r="AT15" s="13" t="n"/>
      <c r="AU15" s="13" t="n"/>
      <c r="AV15" s="13" t="n"/>
      <c r="AW15" s="13" t="n"/>
      <c r="AX15" s="13" t="n"/>
      <c r="AY15" s="13" t="n"/>
      <c r="AZ15" s="13" t="n"/>
      <c r="BA15" s="13" t="n"/>
      <c r="BB15" s="13" t="n"/>
      <c r="BC15" s="13" t="n"/>
      <c r="BD15" s="13" t="n"/>
      <c r="BE15" s="13" t="n"/>
      <c r="BF15" s="13" t="n"/>
      <c r="BG15" s="13" t="n"/>
      <c r="BH15" s="13" t="n"/>
      <c r="BI15" s="13" t="n"/>
      <c r="BJ15" s="13" t="n"/>
      <c r="BK15" s="13" t="n"/>
      <c r="BL15" s="13" t="n"/>
      <c r="BM15" s="13" t="n"/>
      <c r="BN15" s="13" t="n"/>
      <c r="BO15" s="13" t="n"/>
      <c r="BP15" s="13" t="n"/>
      <c r="BQ15" s="13" t="n"/>
      <c r="BR15" s="13" t="n"/>
      <c r="BS15" s="13" t="n"/>
      <c r="BT15" s="13" t="n"/>
      <c r="BU15" s="13" t="n"/>
      <c r="BV15" s="13" t="n"/>
      <c r="BW15" s="13" t="n"/>
      <c r="BX15" s="13" t="n"/>
      <c r="BY15" s="13" t="n"/>
      <c r="BZ15" s="13" t="n"/>
      <c r="CA15" s="13" t="n"/>
      <c r="CB15" s="13" t="n"/>
      <c r="CC15" s="13" t="n"/>
      <c r="CD15" s="13" t="n"/>
      <c r="CE15" s="13" t="n"/>
      <c r="CF15" s="13" t="n"/>
      <c r="CG15" s="13" t="n"/>
      <c r="CH15" s="13" t="n"/>
      <c r="CI15" s="13" t="n"/>
      <c r="CJ15" s="13" t="n"/>
      <c r="CK15" s="13" t="n"/>
      <c r="CL15" s="13" t="n"/>
      <c r="CM15" s="13" t="n"/>
      <c r="CN15" s="13" t="n"/>
      <c r="CO15" s="13" t="n"/>
      <c r="CP15" s="13" t="n"/>
    </row>
    <row r="16" hidden="1" customFormat="1" s="13">
      <c r="A16" s="13" t="n"/>
      <c r="B16" s="13" t="n"/>
      <c r="C16" s="13" t="n"/>
      <c r="D16" s="174" t="inlineStr">
        <is>
          <t>页轴</t>
        </is>
      </c>
      <c r="E16" s="1183" t="n"/>
      <c r="F16" s="13" t="n"/>
      <c r="G16" s="13" t="n"/>
      <c r="H16" s="13" t="n"/>
      <c r="I16" s="13" t="n"/>
      <c r="J16" s="13" t="n"/>
      <c r="K16" s="13" t="n"/>
      <c r="L16" s="13" t="n"/>
      <c r="M16" s="13" t="n"/>
      <c r="N16" s="13" t="n"/>
      <c r="O16" s="13" t="n"/>
      <c r="P16" s="13" t="n"/>
      <c r="Q16" s="13" t="n"/>
      <c r="R16" s="13" t="n"/>
      <c r="S16" s="1103" t="n"/>
      <c r="T16" s="13" t="n"/>
      <c r="U16" s="13" t="n"/>
      <c r="V16" s="13" t="n"/>
      <c r="W16" s="13" t="n"/>
      <c r="X16" s="171" t="n"/>
      <c r="Y16" s="171" t="n"/>
      <c r="Z16" s="13" t="n"/>
      <c r="AA16" s="13" t="n"/>
      <c r="AB16" s="13" t="n"/>
      <c r="AC16" s="13" t="n"/>
      <c r="AD16" s="13" t="n"/>
      <c r="AE16" s="220" t="n"/>
      <c r="AF16" s="13" t="n"/>
      <c r="AG16" s="13" t="n"/>
      <c r="AH16" s="13" t="n"/>
      <c r="AI16" s="13" t="n"/>
      <c r="AJ16" s="13" t="n"/>
      <c r="AK16" s="13" t="n"/>
      <c r="AL16" s="13" t="n"/>
      <c r="AM16" s="13" t="n"/>
      <c r="AN16" s="13" t="n"/>
      <c r="AO16" s="13" t="n"/>
      <c r="AP16" s="13" t="n"/>
      <c r="AQ16" s="13" t="n"/>
      <c r="AR16" s="13" t="n"/>
      <c r="AS16" s="13" t="n"/>
      <c r="AT16" s="13" t="n"/>
      <c r="AU16" s="13" t="n"/>
      <c r="AV16" s="13" t="n"/>
      <c r="AW16" s="13" t="n"/>
      <c r="AX16" s="13" t="n"/>
      <c r="AY16" s="13" t="n"/>
      <c r="AZ16" s="13" t="n"/>
      <c r="BA16" s="13" t="n"/>
      <c r="BB16" s="13" t="n"/>
      <c r="BC16" s="13" t="n"/>
      <c r="BD16" s="13" t="n"/>
      <c r="BE16" s="13" t="n"/>
      <c r="BF16" s="13" t="n"/>
      <c r="BG16" s="13" t="n"/>
      <c r="BH16" s="13" t="n"/>
      <c r="BI16" s="13" t="n"/>
      <c r="BJ16" s="13" t="n"/>
      <c r="BK16" s="13" t="n"/>
      <c r="BL16" s="13" t="n"/>
      <c r="BM16" s="13" t="n"/>
      <c r="BN16" s="13" t="n"/>
      <c r="BO16" s="13" t="n"/>
      <c r="BP16" s="13" t="n"/>
      <c r="BQ16" s="13" t="n"/>
      <c r="BR16" s="13" t="n"/>
      <c r="BS16" s="13" t="n"/>
      <c r="BT16" s="13" t="n"/>
      <c r="BU16" s="13" t="n"/>
      <c r="BV16" s="13" t="n"/>
      <c r="BW16" s="13" t="n"/>
      <c r="BX16" s="13" t="n"/>
      <c r="BY16" s="13" t="n"/>
      <c r="BZ16" s="13" t="n"/>
      <c r="CA16" s="13" t="n"/>
      <c r="CB16" s="13" t="n"/>
      <c r="CC16" s="13" t="n"/>
      <c r="CD16" s="13" t="n"/>
      <c r="CE16" s="13" t="n"/>
      <c r="CF16" s="13" t="n"/>
      <c r="CG16" s="13" t="n"/>
      <c r="CH16" s="13" t="n"/>
      <c r="CI16" s="13" t="n"/>
      <c r="CJ16" s="13" t="n"/>
      <c r="CK16" s="13" t="n"/>
      <c r="CL16" s="13" t="n"/>
      <c r="CM16" s="13" t="n"/>
      <c r="CN16" s="13" t="n"/>
      <c r="CO16" s="13" t="n"/>
      <c r="CP16" s="13" t="n"/>
    </row>
    <row r="17" hidden="1" customFormat="1" s="13">
      <c r="A17" s="174" t="inlineStr">
        <is>
          <t>维度类型</t>
        </is>
      </c>
      <c r="B17" s="174" t="inlineStr">
        <is>
          <t>维度</t>
        </is>
      </c>
      <c r="C17" s="178" t="inlineStr">
        <is>
          <t>页轴替换</t>
        </is>
      </c>
      <c r="D17" s="174" t="inlineStr">
        <is>
          <t>报表001</t>
        </is>
      </c>
      <c r="E17" s="174" t="inlineStr">
        <is>
          <t>报表002</t>
        </is>
      </c>
      <c r="F17" s="13" t="n"/>
      <c r="G17" s="13" t="n"/>
      <c r="H17" s="13" t="n"/>
      <c r="I17" s="13" t="n"/>
      <c r="J17" s="13" t="n"/>
      <c r="K17" s="13" t="n"/>
      <c r="L17" s="13" t="n"/>
      <c r="M17" s="13" t="n"/>
      <c r="N17" s="13" t="n"/>
      <c r="O17" s="13" t="n"/>
      <c r="P17" s="13" t="n"/>
      <c r="Q17" s="13" t="n"/>
      <c r="R17" s="13" t="n"/>
      <c r="S17" s="1103" t="n"/>
      <c r="T17" s="13" t="n"/>
      <c r="U17" s="13" t="n"/>
      <c r="V17" s="13" t="n"/>
      <c r="W17" s="13" t="n"/>
      <c r="X17" s="171" t="n"/>
      <c r="Y17" s="171" t="n"/>
      <c r="Z17" s="13" t="n"/>
      <c r="AA17" s="13" t="n"/>
      <c r="AB17" s="13" t="n"/>
      <c r="AC17" s="13" t="n"/>
      <c r="AD17" s="13" t="n"/>
      <c r="AE17" s="220" t="n"/>
      <c r="AF17" s="13" t="n"/>
      <c r="AG17" s="13" t="n"/>
      <c r="AH17" s="13" t="n"/>
      <c r="AI17" s="13" t="n"/>
      <c r="AJ17" s="13" t="n"/>
      <c r="AK17" s="13" t="n"/>
      <c r="AL17" s="13" t="n"/>
      <c r="AM17" s="13" t="n"/>
      <c r="AN17" s="13" t="n"/>
      <c r="AO17" s="13" t="n"/>
      <c r="AP17" s="13" t="n"/>
      <c r="AQ17" s="13" t="n"/>
      <c r="AR17" s="13" t="n"/>
      <c r="AS17" s="13" t="n"/>
      <c r="AT17" s="13" t="n"/>
      <c r="AU17" s="13" t="n"/>
      <c r="AV17" s="13" t="n"/>
      <c r="AW17" s="13" t="n"/>
      <c r="AX17" s="13" t="n"/>
      <c r="AY17" s="13" t="n"/>
      <c r="AZ17" s="13" t="n"/>
      <c r="BA17" s="13" t="n"/>
      <c r="BB17" s="13" t="n"/>
      <c r="BC17" s="13" t="n"/>
      <c r="BD17" s="13" t="n"/>
      <c r="BE17" s="13" t="n"/>
      <c r="BF17" s="13" t="n"/>
      <c r="BG17" s="13" t="n"/>
      <c r="BH17" s="13" t="n"/>
      <c r="BI17" s="13" t="n"/>
      <c r="BJ17" s="13" t="n"/>
      <c r="BK17" s="13" t="n"/>
      <c r="BL17" s="13" t="n"/>
      <c r="BM17" s="13" t="n"/>
      <c r="BN17" s="13" t="n"/>
      <c r="BO17" s="13" t="n"/>
      <c r="BP17" s="13" t="n"/>
      <c r="BQ17" s="13" t="n"/>
      <c r="BR17" s="13" t="n"/>
      <c r="BS17" s="13" t="n"/>
      <c r="BT17" s="13" t="n"/>
      <c r="BU17" s="13" t="n"/>
      <c r="BV17" s="13" t="n"/>
      <c r="BW17" s="13" t="n"/>
      <c r="BX17" s="13" t="n"/>
      <c r="BY17" s="13" t="n"/>
      <c r="BZ17" s="13" t="n"/>
      <c r="CA17" s="13" t="n"/>
      <c r="CB17" s="13" t="n"/>
      <c r="CC17" s="13" t="n"/>
      <c r="CD17" s="13" t="n"/>
      <c r="CE17" s="13" t="n"/>
      <c r="CF17" s="13" t="n"/>
      <c r="CG17" s="13" t="n"/>
      <c r="CH17" s="13" t="n"/>
      <c r="CI17" s="13" t="n"/>
      <c r="CJ17" s="13" t="n"/>
      <c r="CK17" s="13" t="n"/>
      <c r="CL17" s="13" t="n"/>
      <c r="CM17" s="13" t="n"/>
      <c r="CN17" s="13" t="n"/>
      <c r="CO17" s="13" t="n"/>
      <c r="CP17" s="13" t="n"/>
    </row>
    <row r="18" hidden="1" customFormat="1" s="13">
      <c r="A18" s="175" t="inlineStr">
        <is>
          <t>A</t>
        </is>
      </c>
      <c r="B18" s="176">
        <f>IF(_epmOfflineCondition_,"C_ACCOUNT",EPMDimensionType(,A18))</f>
        <v/>
      </c>
      <c r="C18" s="182" t="inlineStr">
        <is>
          <t>A_NOUSED</t>
        </is>
      </c>
      <c r="D18" s="180" t="n"/>
      <c r="E18" s="180" t="n"/>
      <c r="F18" s="13" t="n"/>
      <c r="G18" s="13" t="n"/>
      <c r="H18" s="13" t="n"/>
      <c r="I18" s="13" t="n"/>
      <c r="J18" s="13" t="n"/>
      <c r="K18" s="13" t="n"/>
      <c r="L18" s="13" t="n"/>
      <c r="M18" s="13" t="n"/>
      <c r="N18" s="13" t="n"/>
      <c r="O18" s="13" t="n"/>
      <c r="P18" s="13" t="n"/>
      <c r="Q18" s="13" t="n"/>
      <c r="R18" s="13" t="n"/>
      <c r="S18" s="1103" t="n"/>
      <c r="T18" s="13" t="n"/>
      <c r="U18" s="13" t="n"/>
      <c r="V18" s="13" t="n"/>
      <c r="W18" s="13" t="n"/>
      <c r="X18" s="171" t="n"/>
      <c r="Y18" s="171" t="n"/>
      <c r="Z18" s="13" t="n"/>
      <c r="AA18" s="13" t="n"/>
      <c r="AB18" s="13" t="n"/>
      <c r="AC18" s="13" t="n"/>
      <c r="AD18" s="13" t="n"/>
      <c r="AE18" s="220" t="n"/>
      <c r="AF18" s="13" t="n"/>
      <c r="AG18" s="13" t="n"/>
      <c r="AH18" s="13" t="n"/>
      <c r="AI18" s="13" t="n"/>
      <c r="AJ18" s="13" t="n"/>
      <c r="AK18" s="13" t="n"/>
      <c r="AL18" s="13" t="n"/>
      <c r="AM18" s="13" t="n"/>
      <c r="AN18" s="13" t="n"/>
      <c r="AO18" s="13" t="n"/>
      <c r="AP18" s="13" t="n"/>
      <c r="AQ18" s="13" t="n"/>
      <c r="AR18" s="13" t="n"/>
      <c r="AS18" s="13" t="n"/>
      <c r="AT18" s="13" t="n"/>
      <c r="AU18" s="13" t="n"/>
      <c r="AV18" s="13" t="n"/>
      <c r="AW18" s="13" t="n"/>
      <c r="AX18" s="13" t="n"/>
      <c r="AY18" s="13" t="n"/>
      <c r="AZ18" s="13" t="n"/>
      <c r="BA18" s="13" t="n"/>
      <c r="BB18" s="13" t="n"/>
      <c r="BC18" s="13" t="n"/>
      <c r="BD18" s="13" t="n"/>
      <c r="BE18" s="13" t="n"/>
      <c r="BF18" s="13" t="n"/>
      <c r="BG18" s="13" t="n"/>
      <c r="BH18" s="13" t="n"/>
      <c r="BI18" s="13" t="n"/>
      <c r="BJ18" s="13" t="n"/>
      <c r="BK18" s="13" t="n"/>
      <c r="BL18" s="13" t="n"/>
      <c r="BM18" s="13" t="n"/>
      <c r="BN18" s="13" t="n"/>
      <c r="BO18" s="13" t="n"/>
      <c r="BP18" s="13" t="n"/>
      <c r="BQ18" s="13" t="n"/>
      <c r="BR18" s="13" t="n"/>
      <c r="BS18" s="13" t="n"/>
      <c r="BT18" s="13" t="n"/>
      <c r="BU18" s="13" t="n"/>
      <c r="BV18" s="13" t="n"/>
      <c r="BW18" s="13" t="n"/>
      <c r="BX18" s="13" t="n"/>
      <c r="BY18" s="13" t="n"/>
      <c r="BZ18" s="13" t="n"/>
      <c r="CA18" s="13" t="n"/>
      <c r="CB18" s="13" t="n"/>
      <c r="CC18" s="13" t="n"/>
      <c r="CD18" s="13" t="n"/>
      <c r="CE18" s="13" t="n"/>
      <c r="CF18" s="13" t="n"/>
      <c r="CG18" s="13" t="n"/>
      <c r="CH18" s="13" t="n"/>
      <c r="CI18" s="13" t="n"/>
      <c r="CJ18" s="13" t="n"/>
      <c r="CK18" s="13" t="n"/>
      <c r="CL18" s="13" t="n"/>
      <c r="CM18" s="13" t="n"/>
      <c r="CN18" s="13" t="n"/>
      <c r="CO18" s="13" t="n"/>
      <c r="CP18" s="13" t="n"/>
    </row>
    <row r="19" hidden="1" customFormat="1" s="13">
      <c r="A19" s="175" t="inlineStr">
        <is>
          <t>C</t>
        </is>
      </c>
      <c r="B19" s="176">
        <f>IF(_epmOfflineCondition_,"C_CATEGORY",EPMDimensionType(,A19))</f>
        <v/>
      </c>
      <c r="C19" s="182" t="inlineStr">
        <is>
          <t>C_DUMMY</t>
        </is>
      </c>
      <c r="D19" s="180" t="n"/>
      <c r="E19" s="180" t="n"/>
      <c r="F19" s="13" t="n"/>
      <c r="G19" s="13" t="n"/>
      <c r="H19" s="13" t="n"/>
      <c r="I19" s="13" t="n"/>
      <c r="J19" s="13" t="n"/>
      <c r="K19" s="13" t="n"/>
      <c r="L19" s="13" t="n"/>
      <c r="M19" s="13" t="n"/>
      <c r="N19" s="13" t="n"/>
      <c r="O19" s="13" t="n"/>
      <c r="P19" s="13" t="n"/>
      <c r="Q19" s="13" t="n"/>
      <c r="R19" s="13" t="n"/>
      <c r="S19" s="1103" t="n"/>
      <c r="T19" s="13" t="n"/>
      <c r="U19" s="13" t="n"/>
      <c r="V19" s="13" t="n"/>
      <c r="W19" s="13" t="n"/>
      <c r="X19" s="171" t="n"/>
      <c r="Y19" s="171" t="n"/>
      <c r="Z19" s="13" t="n"/>
      <c r="AA19" s="13" t="n"/>
      <c r="AB19" s="13" t="n"/>
      <c r="AC19" s="13" t="n"/>
      <c r="AD19" s="13" t="n"/>
      <c r="AE19" s="220" t="n"/>
      <c r="AF19" s="13" t="n"/>
      <c r="AG19" s="13" t="n"/>
      <c r="AH19" s="13" t="n"/>
      <c r="AI19" s="13" t="n"/>
      <c r="AJ19" s="13" t="n"/>
      <c r="AK19" s="13" t="n"/>
      <c r="AL19" s="13" t="n"/>
      <c r="AM19" s="13" t="n"/>
      <c r="AN19" s="13" t="n"/>
      <c r="AO19" s="13" t="n"/>
      <c r="AP19" s="13" t="n"/>
      <c r="AQ19" s="13" t="n"/>
      <c r="AR19" s="13" t="n"/>
      <c r="AS19" s="13" t="n"/>
      <c r="AT19" s="13" t="n"/>
      <c r="AU19" s="13" t="n"/>
      <c r="AV19" s="13" t="n"/>
      <c r="AW19" s="13" t="n"/>
      <c r="AX19" s="13" t="n"/>
      <c r="AY19" s="13" t="n"/>
      <c r="AZ19" s="13" t="n"/>
      <c r="BA19" s="13" t="n"/>
      <c r="BB19" s="13" t="n"/>
      <c r="BC19" s="13" t="n"/>
      <c r="BD19" s="13" t="n"/>
      <c r="BE19" s="13" t="n"/>
      <c r="BF19" s="13" t="n"/>
      <c r="BG19" s="13" t="n"/>
      <c r="BH19" s="13" t="n"/>
      <c r="BI19" s="13" t="n"/>
      <c r="BJ19" s="13" t="n"/>
      <c r="BK19" s="13" t="n"/>
      <c r="BL19" s="13" t="n"/>
      <c r="BM19" s="13" t="n"/>
      <c r="BN19" s="13" t="n"/>
      <c r="BO19" s="13" t="n"/>
      <c r="BP19" s="13" t="n"/>
      <c r="BQ19" s="13" t="n"/>
      <c r="BR19" s="13" t="n"/>
      <c r="BS19" s="13" t="n"/>
      <c r="BT19" s="13" t="n"/>
      <c r="BU19" s="13" t="n"/>
      <c r="BV19" s="13" t="n"/>
      <c r="BW19" s="13" t="n"/>
      <c r="BX19" s="13" t="n"/>
      <c r="BY19" s="13" t="n"/>
      <c r="BZ19" s="13" t="n"/>
      <c r="CA19" s="13" t="n"/>
      <c r="CB19" s="13" t="n"/>
      <c r="CC19" s="13" t="n"/>
      <c r="CD19" s="13" t="n"/>
      <c r="CE19" s="13" t="n"/>
      <c r="CF19" s="13" t="n"/>
      <c r="CG19" s="13" t="n"/>
      <c r="CH19" s="13" t="n"/>
      <c r="CI19" s="13" t="n"/>
      <c r="CJ19" s="13" t="n"/>
      <c r="CK19" s="13" t="n"/>
      <c r="CL19" s="13" t="n"/>
      <c r="CM19" s="13" t="n"/>
      <c r="CN19" s="13" t="n"/>
      <c r="CO19" s="13" t="n"/>
      <c r="CP19" s="13" t="n"/>
    </row>
    <row r="20" hidden="1" customFormat="1" s="13">
      <c r="A20" s="175" t="inlineStr">
        <is>
          <t>T</t>
        </is>
      </c>
      <c r="B20" s="176">
        <f>IF(_epmOfflineCondition_,"C_TIME",EPMDimensionType(,A20))</f>
        <v/>
      </c>
      <c r="C20" s="672" t="inlineStr">
        <is>
          <t>T_DUMMY</t>
        </is>
      </c>
      <c r="D20" s="180" t="n"/>
      <c r="E20" s="180" t="n"/>
      <c r="F20" s="384" t="n"/>
      <c r="G20" s="384" t="n"/>
      <c r="H20" s="13" t="n"/>
      <c r="I20" s="13" t="n"/>
      <c r="J20" s="13" t="n"/>
      <c r="K20" s="13" t="n"/>
      <c r="L20" s="13" t="n"/>
      <c r="M20" s="13" t="n"/>
      <c r="N20" s="13" t="n"/>
      <c r="O20" s="13" t="n"/>
      <c r="P20" s="13" t="n"/>
      <c r="Q20" s="13" t="n"/>
      <c r="R20" s="13" t="n"/>
      <c r="S20" s="1103" t="n"/>
      <c r="T20" s="13" t="n"/>
      <c r="U20" s="13" t="n"/>
      <c r="V20" s="13" t="n"/>
      <c r="W20" s="13" t="n"/>
      <c r="X20" s="171" t="n"/>
      <c r="Y20" s="171" t="n"/>
      <c r="Z20" s="384" t="n"/>
      <c r="AA20" s="384" t="n"/>
      <c r="AB20" s="13" t="n"/>
      <c r="AC20" s="13" t="n"/>
      <c r="AD20" s="13" t="n"/>
      <c r="AE20" s="220" t="n"/>
      <c r="AF20" s="13" t="n"/>
      <c r="AG20" s="13" t="n"/>
      <c r="AH20" s="13" t="n"/>
      <c r="AI20" s="13" t="n"/>
      <c r="AJ20" s="13" t="n"/>
      <c r="AK20" s="13" t="n"/>
      <c r="AL20" s="13" t="n"/>
      <c r="AM20" s="13" t="n"/>
      <c r="AN20" s="13" t="n"/>
      <c r="AO20" s="13" t="n"/>
      <c r="AP20" s="13" t="n"/>
      <c r="AQ20" s="13" t="n"/>
      <c r="AR20" s="13" t="n"/>
      <c r="AS20" s="13" t="n"/>
      <c r="AT20" s="13" t="n"/>
      <c r="AU20" s="13" t="n"/>
      <c r="AV20" s="13" t="n"/>
      <c r="AW20" s="13" t="n"/>
      <c r="AX20" s="13" t="n"/>
      <c r="AY20" s="13" t="n"/>
      <c r="AZ20" s="13" t="n"/>
      <c r="BA20" s="13" t="n"/>
      <c r="BB20" s="13" t="n"/>
      <c r="BC20" s="13" t="n"/>
      <c r="BD20" s="13" t="n"/>
      <c r="BE20" s="13" t="n"/>
      <c r="BF20" s="13" t="n"/>
      <c r="BG20" s="13" t="n"/>
      <c r="BH20" s="13" t="n"/>
      <c r="BI20" s="13" t="n"/>
      <c r="BJ20" s="13" t="n"/>
      <c r="BK20" s="13" t="n"/>
      <c r="BL20" s="13" t="n"/>
      <c r="BM20" s="13" t="n"/>
      <c r="BN20" s="13" t="n"/>
      <c r="BO20" s="13" t="n"/>
      <c r="BP20" s="13" t="n"/>
      <c r="BQ20" s="13" t="n"/>
      <c r="BR20" s="13" t="n"/>
      <c r="BS20" s="13" t="n"/>
      <c r="BT20" s="13" t="n"/>
      <c r="BU20" s="13" t="n"/>
      <c r="BV20" s="13" t="n"/>
      <c r="BW20" s="13" t="n"/>
      <c r="BX20" s="13" t="n"/>
      <c r="BY20" s="13" t="n"/>
      <c r="BZ20" s="13" t="n"/>
      <c r="CA20" s="13" t="n"/>
      <c r="CB20" s="13" t="n"/>
      <c r="CC20" s="13" t="n"/>
      <c r="CD20" s="13" t="n"/>
      <c r="CE20" s="13" t="n"/>
      <c r="CF20" s="13" t="n"/>
      <c r="CG20" s="13" t="n"/>
      <c r="CH20" s="13" t="n"/>
      <c r="CI20" s="13" t="n"/>
      <c r="CJ20" s="13" t="n"/>
      <c r="CK20" s="13" t="n"/>
      <c r="CL20" s="13" t="n"/>
      <c r="CM20" s="13" t="n"/>
      <c r="CN20" s="13" t="n"/>
      <c r="CO20" s="13" t="n"/>
      <c r="CP20" s="13" t="n"/>
    </row>
    <row r="21" hidden="1" customFormat="1" s="13">
      <c r="A21" s="175" t="inlineStr">
        <is>
          <t>E</t>
        </is>
      </c>
      <c r="B21" s="176">
        <f>IF(_epmOfflineCondition_,"C_ENTITY",EPMDimensionType(,A21))</f>
        <v/>
      </c>
      <c r="C21" s="672">
        <f>IF(_epmOfflineCondition_,"E100787",IF(B21="","",EPMContextMember(,B21)))</f>
        <v/>
      </c>
      <c r="D21" s="182">
        <f>IF(_epmOfflineCondition_,"E100787",EPMOlapMemberO(C21,"[C_ENTITY].[PARENTH1].[E100787]","E100787 - 内蒙古京能苏尼特风力发电有限公司（内蒙古分公司）","","000"))</f>
        <v/>
      </c>
      <c r="E21" s="180" t="n"/>
      <c r="F21" s="384" t="n"/>
      <c r="G21" s="384" t="n"/>
      <c r="H21" s="13" t="n"/>
      <c r="I21" s="13" t="n"/>
      <c r="J21" s="13" t="n"/>
      <c r="K21" s="13" t="n"/>
      <c r="L21" s="13" t="n"/>
      <c r="M21" s="13" t="n"/>
      <c r="N21" s="13" t="n"/>
      <c r="O21" s="13" t="n"/>
      <c r="P21" s="13" t="n"/>
      <c r="Q21" s="13" t="n"/>
      <c r="R21" s="13" t="n"/>
      <c r="S21" s="1103" t="n"/>
      <c r="T21" s="13" t="n"/>
      <c r="U21" s="13" t="n"/>
      <c r="V21" s="13" t="n"/>
      <c r="W21" s="13" t="n"/>
      <c r="X21" s="171" t="n"/>
      <c r="Y21" s="171" t="n"/>
      <c r="Z21" s="384" t="n"/>
      <c r="AA21" s="384" t="n"/>
      <c r="AB21" s="13" t="n"/>
      <c r="AC21" s="13" t="n"/>
      <c r="AD21" s="13" t="n"/>
      <c r="AE21" s="220" t="n"/>
      <c r="AF21" s="13" t="n"/>
      <c r="AG21" s="13" t="n"/>
      <c r="AH21" s="13" t="n"/>
      <c r="AI21" s="13" t="n"/>
      <c r="AJ21" s="13" t="n"/>
      <c r="AK21" s="13" t="n"/>
      <c r="AL21" s="13" t="n"/>
      <c r="AM21" s="13" t="n"/>
      <c r="AN21" s="13" t="n"/>
      <c r="AO21" s="13" t="n"/>
      <c r="AP21" s="13" t="n"/>
      <c r="AQ21" s="13" t="n"/>
      <c r="AR21" s="13" t="n"/>
      <c r="AS21" s="13" t="n"/>
      <c r="AT21" s="13" t="n"/>
      <c r="AU21" s="13" t="n"/>
      <c r="AV21" s="13" t="n"/>
      <c r="AW21" s="13" t="n"/>
      <c r="AX21" s="13" t="n"/>
      <c r="AY21" s="13" t="n"/>
      <c r="AZ21" s="13" t="n"/>
      <c r="BA21" s="13" t="n"/>
      <c r="BB21" s="13" t="n"/>
      <c r="BC21" s="13" t="n"/>
      <c r="BD21" s="13" t="n"/>
      <c r="BE21" s="13" t="n"/>
      <c r="BF21" s="13" t="n"/>
      <c r="BG21" s="13" t="n"/>
      <c r="BH21" s="13" t="n"/>
      <c r="BI21" s="13" t="n"/>
      <c r="BJ21" s="13" t="n"/>
      <c r="BK21" s="13" t="n"/>
      <c r="BL21" s="13" t="n"/>
      <c r="BM21" s="13" t="n"/>
      <c r="BN21" s="13" t="n"/>
      <c r="BO21" s="13" t="n"/>
      <c r="BP21" s="13" t="n"/>
      <c r="BQ21" s="13" t="n"/>
      <c r="BR21" s="13" t="n"/>
      <c r="BS21" s="13" t="n"/>
      <c r="BT21" s="13" t="n"/>
      <c r="BU21" s="13" t="n"/>
      <c r="BV21" s="13" t="n"/>
      <c r="BW21" s="13" t="n"/>
      <c r="BX21" s="13" t="n"/>
      <c r="BY21" s="13" t="n"/>
      <c r="BZ21" s="13" t="n"/>
      <c r="CA21" s="13" t="n"/>
      <c r="CB21" s="13" t="n"/>
      <c r="CC21" s="13" t="n"/>
      <c r="CD21" s="13" t="n"/>
      <c r="CE21" s="13" t="n"/>
      <c r="CF21" s="13" t="n"/>
      <c r="CG21" s="13" t="n"/>
      <c r="CH21" s="13" t="n"/>
      <c r="CI21" s="13" t="n"/>
      <c r="CJ21" s="13" t="n"/>
      <c r="CK21" s="13" t="n"/>
      <c r="CL21" s="13" t="n"/>
      <c r="CM21" s="13" t="n"/>
      <c r="CN21" s="13" t="n"/>
      <c r="CO21" s="13" t="n"/>
      <c r="CP21" s="13" t="n"/>
    </row>
    <row r="22" hidden="1" customFormat="1" s="13">
      <c r="A22" s="175" t="inlineStr">
        <is>
          <t>R</t>
        </is>
      </c>
      <c r="B22" s="176">
        <f>IF(_epmOfflineCondition_,"C_RPTCURRENCY",EPMDimensionType(,A22))</f>
        <v/>
      </c>
      <c r="C22" s="672" t="inlineStr">
        <is>
          <t>LC</t>
        </is>
      </c>
      <c r="D22" s="182">
        <f>IF(_epmOfflineCondition_,"LC",EPMOlapMemberO(Z37,"[C_RPTCURRENCY].[].[LC]","LC - 本位币","","000"))</f>
        <v/>
      </c>
      <c r="E22" s="180" t="n"/>
      <c r="F22" s="384" t="n"/>
      <c r="G22" s="384" t="n"/>
      <c r="H22" s="13" t="n"/>
      <c r="I22" s="13" t="n"/>
      <c r="J22" s="13" t="n"/>
      <c r="K22" s="13" t="n"/>
      <c r="L22" s="13" t="n"/>
      <c r="M22" s="13" t="n"/>
      <c r="N22" s="13" t="n"/>
      <c r="O22" s="13" t="n"/>
      <c r="P22" s="13" t="n"/>
      <c r="Q22" s="13" t="n"/>
      <c r="R22" s="13" t="n"/>
      <c r="S22" s="1103" t="n"/>
      <c r="T22" s="13" t="n"/>
      <c r="U22" s="13" t="n"/>
      <c r="V22" s="13" t="n"/>
      <c r="W22" s="13" t="n"/>
      <c r="X22" s="171" t="n"/>
      <c r="Y22" s="171" t="n"/>
      <c r="Z22" s="384" t="n"/>
      <c r="AA22" s="384" t="n"/>
      <c r="AB22" s="13" t="n"/>
      <c r="AC22" s="13" t="n"/>
      <c r="AD22" s="13" t="n"/>
      <c r="AE22" s="220" t="n"/>
      <c r="AF22" s="13" t="n"/>
      <c r="AG22" s="13" t="n"/>
      <c r="AH22" s="13" t="n"/>
      <c r="AI22" s="13" t="n"/>
      <c r="AJ22" s="13" t="n"/>
      <c r="AK22" s="13" t="n"/>
      <c r="AL22" s="13" t="n"/>
      <c r="AM22" s="13" t="n"/>
      <c r="AN22" s="13" t="n"/>
      <c r="AO22" s="13" t="n"/>
      <c r="AP22" s="13" t="n"/>
      <c r="AQ22" s="13" t="n"/>
      <c r="AR22" s="13" t="n"/>
      <c r="AS22" s="13" t="n"/>
      <c r="AT22" s="13" t="n"/>
      <c r="AU22" s="13" t="n"/>
      <c r="AV22" s="13" t="n"/>
      <c r="AW22" s="13" t="n"/>
      <c r="AX22" s="13" t="n"/>
      <c r="AY22" s="13" t="n"/>
      <c r="AZ22" s="13" t="n"/>
      <c r="BA22" s="13" t="n"/>
      <c r="BB22" s="13" t="n"/>
      <c r="BC22" s="13" t="n"/>
      <c r="BD22" s="13" t="n"/>
      <c r="BE22" s="13" t="n"/>
      <c r="BF22" s="13" t="n"/>
      <c r="BG22" s="13" t="n"/>
      <c r="BH22" s="13" t="n"/>
      <c r="BI22" s="13" t="n"/>
      <c r="BJ22" s="13" t="n"/>
      <c r="BK22" s="13" t="n"/>
      <c r="BL22" s="13" t="n"/>
      <c r="BM22" s="13" t="n"/>
      <c r="BN22" s="13" t="n"/>
      <c r="BO22" s="13" t="n"/>
      <c r="BP22" s="13" t="n"/>
      <c r="BQ22" s="13" t="n"/>
      <c r="BR22" s="13" t="n"/>
      <c r="BS22" s="13" t="n"/>
      <c r="BT22" s="13" t="n"/>
      <c r="BU22" s="13" t="n"/>
      <c r="BV22" s="13" t="n"/>
      <c r="BW22" s="13" t="n"/>
      <c r="BX22" s="13" t="n"/>
      <c r="BY22" s="13" t="n"/>
      <c r="BZ22" s="13" t="n"/>
      <c r="CA22" s="13" t="n"/>
      <c r="CB22" s="13" t="n"/>
      <c r="CC22" s="13" t="n"/>
      <c r="CD22" s="13" t="n"/>
      <c r="CE22" s="13" t="n"/>
      <c r="CF22" s="13" t="n"/>
      <c r="CG22" s="13" t="n"/>
      <c r="CH22" s="13" t="n"/>
      <c r="CI22" s="13" t="n"/>
      <c r="CJ22" s="13" t="n"/>
      <c r="CK22" s="13" t="n"/>
      <c r="CL22" s="13" t="n"/>
      <c r="CM22" s="13" t="n"/>
      <c r="CN22" s="13" t="n"/>
      <c r="CO22" s="13" t="n"/>
      <c r="CP22" s="13" t="n"/>
    </row>
    <row r="23" hidden="1" customFormat="1" s="13">
      <c r="A23" s="175" t="inlineStr">
        <is>
          <t>D</t>
        </is>
      </c>
      <c r="B23" s="176">
        <f>IF(_epmOfflineCondition_,"C_AUDITTRAIL",EPMDimensionType(,A23))</f>
        <v/>
      </c>
      <c r="C23" s="672" t="inlineStr">
        <is>
          <t>D1110</t>
        </is>
      </c>
      <c r="D23" s="182">
        <f>IF(_epmOfflineCondition_,"D1110",EPMOlapMemberO(C23,"[C_AUDITTRAIL].[PARENTH1].[D1110]","D1110 - 平台表单手工输入","","000"))</f>
        <v/>
      </c>
      <c r="E23" s="180" t="n"/>
      <c r="F23" s="384" t="n"/>
      <c r="G23" s="384" t="n"/>
      <c r="H23" s="13" t="n"/>
      <c r="I23" s="13" t="n"/>
      <c r="J23" s="13" t="n"/>
      <c r="K23" s="13" t="n"/>
      <c r="L23" s="13" t="n"/>
      <c r="M23" s="13" t="n"/>
      <c r="N23" s="13" t="n"/>
      <c r="O23" s="13" t="n"/>
      <c r="P23" s="13" t="n"/>
      <c r="Q23" s="13" t="n"/>
      <c r="R23" s="13" t="n"/>
      <c r="S23" s="1103" t="n"/>
      <c r="T23" s="13" t="n"/>
      <c r="U23" s="13" t="n"/>
      <c r="V23" s="13" t="n"/>
      <c r="W23" s="13" t="n"/>
      <c r="X23" s="171" t="n"/>
      <c r="Y23" s="171" t="n"/>
      <c r="Z23" s="384" t="n"/>
      <c r="AA23" s="384" t="n"/>
      <c r="AB23" s="13" t="n"/>
      <c r="AC23" s="13" t="n"/>
      <c r="AD23" s="13" t="n"/>
      <c r="AE23" s="220" t="n"/>
      <c r="AF23" s="13" t="n"/>
      <c r="AG23" s="13" t="n"/>
      <c r="AH23" s="13" t="n"/>
      <c r="AI23" s="13" t="n"/>
      <c r="AJ23" s="13" t="n"/>
      <c r="AK23" s="13" t="n"/>
      <c r="AL23" s="13" t="n"/>
      <c r="AM23" s="13" t="n"/>
      <c r="AN23" s="13" t="n"/>
      <c r="AO23" s="13" t="n"/>
      <c r="AP23" s="13" t="n"/>
      <c r="AQ23" s="13" t="n"/>
      <c r="AR23" s="13" t="n"/>
      <c r="AS23" s="13" t="n"/>
      <c r="AT23" s="13" t="n"/>
      <c r="AU23" s="13" t="n"/>
      <c r="AV23" s="13" t="n"/>
      <c r="AW23" s="13" t="n"/>
      <c r="AX23" s="13" t="n"/>
      <c r="AY23" s="13" t="n"/>
      <c r="AZ23" s="13" t="n"/>
      <c r="BA23" s="13" t="n"/>
      <c r="BB23" s="13" t="n"/>
      <c r="BC23" s="13" t="n"/>
      <c r="BD23" s="13" t="n"/>
      <c r="BE23" s="13" t="n"/>
      <c r="BF23" s="13" t="n"/>
      <c r="BG23" s="13" t="n"/>
      <c r="BH23" s="13" t="n"/>
      <c r="BI23" s="13" t="n"/>
      <c r="BJ23" s="13" t="n"/>
      <c r="BK23" s="13" t="n"/>
      <c r="BL23" s="13" t="n"/>
      <c r="BM23" s="13" t="n"/>
      <c r="BN23" s="13" t="n"/>
      <c r="BO23" s="13" t="n"/>
      <c r="BP23" s="13" t="n"/>
      <c r="BQ23" s="13" t="n"/>
      <c r="BR23" s="13" t="n"/>
      <c r="BS23" s="13" t="n"/>
      <c r="BT23" s="13" t="n"/>
      <c r="BU23" s="13" t="n"/>
      <c r="BV23" s="13" t="n"/>
      <c r="BW23" s="13" t="n"/>
      <c r="BX23" s="13" t="n"/>
      <c r="BY23" s="13" t="n"/>
      <c r="BZ23" s="13" t="n"/>
      <c r="CA23" s="13" t="n"/>
      <c r="CB23" s="13" t="n"/>
      <c r="CC23" s="13" t="n"/>
      <c r="CD23" s="13" t="n"/>
      <c r="CE23" s="13" t="n"/>
      <c r="CF23" s="13" t="n"/>
      <c r="CG23" s="13" t="n"/>
      <c r="CH23" s="13" t="n"/>
      <c r="CI23" s="13" t="n"/>
      <c r="CJ23" s="13" t="n"/>
      <c r="CK23" s="13" t="n"/>
      <c r="CL23" s="13" t="n"/>
      <c r="CM23" s="13" t="n"/>
      <c r="CN23" s="13" t="n"/>
      <c r="CO23" s="13" t="n"/>
      <c r="CP23" s="13" t="n"/>
    </row>
    <row r="24" hidden="1" customFormat="1" s="13">
      <c r="A24" s="175" t="inlineStr">
        <is>
          <t>S</t>
        </is>
      </c>
      <c r="B24" s="176">
        <f>IF(_epmOfflineCondition_,"C_FLOW",EPMDimensionType(,A24))</f>
        <v/>
      </c>
      <c r="C24" s="672">
        <f>IF(_epmOfflineCondition_,"FTOTAL",IF(B24="","",EPMContextMember(,B24)))</f>
        <v/>
      </c>
      <c r="D24" s="180" t="n"/>
      <c r="E24" s="180" t="n"/>
      <c r="F24" s="384" t="n"/>
      <c r="G24" s="384" t="n"/>
      <c r="H24" s="13" t="n"/>
      <c r="I24" s="13" t="n"/>
      <c r="J24" s="13" t="n"/>
      <c r="K24" s="13" t="n"/>
      <c r="L24" s="13" t="n"/>
      <c r="M24" s="13" t="n"/>
      <c r="N24" s="13" t="n"/>
      <c r="O24" s="13" t="n"/>
      <c r="P24" s="13" t="n"/>
      <c r="Q24" s="13" t="n"/>
      <c r="R24" s="13" t="n"/>
      <c r="S24" s="1103" t="n"/>
      <c r="T24" s="13" t="n"/>
      <c r="U24" s="13" t="n"/>
      <c r="V24" s="13" t="n"/>
      <c r="W24" s="13" t="n"/>
      <c r="X24" s="171" t="n"/>
      <c r="Y24" s="171" t="n"/>
      <c r="Z24" s="384" t="n"/>
      <c r="AA24" s="384" t="n"/>
      <c r="AB24" s="13" t="n"/>
      <c r="AC24" s="13" t="n"/>
      <c r="AD24" s="13" t="n"/>
      <c r="AE24" s="220" t="n"/>
      <c r="AF24" s="13" t="n"/>
      <c r="AG24" s="13" t="n"/>
      <c r="AH24" s="13" t="n"/>
      <c r="AI24" s="13" t="n"/>
      <c r="AJ24" s="13" t="n"/>
      <c r="AK24" s="13" t="n"/>
      <c r="AL24" s="13" t="n"/>
      <c r="AM24" s="13" t="n"/>
      <c r="AN24" s="13" t="n"/>
      <c r="AO24" s="13" t="n"/>
      <c r="AP24" s="13" t="n"/>
      <c r="AQ24" s="13" t="n"/>
      <c r="AR24" s="13" t="n"/>
      <c r="AS24" s="13" t="n"/>
      <c r="AT24" s="13" t="n"/>
      <c r="AU24" s="13" t="n"/>
      <c r="AV24" s="13" t="n"/>
      <c r="AW24" s="13" t="n"/>
      <c r="AX24" s="13" t="n"/>
      <c r="AY24" s="13" t="n"/>
      <c r="AZ24" s="13" t="n"/>
      <c r="BA24" s="13" t="n"/>
      <c r="BB24" s="13" t="n"/>
      <c r="BC24" s="13" t="n"/>
      <c r="BD24" s="13" t="n"/>
      <c r="BE24" s="13" t="n"/>
      <c r="BF24" s="13" t="n"/>
      <c r="BG24" s="13" t="n"/>
      <c r="BH24" s="13" t="n"/>
      <c r="BI24" s="13" t="n"/>
      <c r="BJ24" s="13" t="n"/>
      <c r="BK24" s="13" t="n"/>
      <c r="BL24" s="13" t="n"/>
      <c r="BM24" s="13" t="n"/>
      <c r="BN24" s="13" t="n"/>
      <c r="BO24" s="13" t="n"/>
      <c r="BP24" s="13" t="n"/>
      <c r="BQ24" s="13" t="n"/>
      <c r="BR24" s="13" t="n"/>
      <c r="BS24" s="13" t="n"/>
      <c r="BT24" s="13" t="n"/>
      <c r="BU24" s="13" t="n"/>
      <c r="BV24" s="13" t="n"/>
      <c r="BW24" s="13" t="n"/>
      <c r="BX24" s="13" t="n"/>
      <c r="BY24" s="13" t="n"/>
      <c r="BZ24" s="13" t="n"/>
      <c r="CA24" s="13" t="n"/>
      <c r="CB24" s="13" t="n"/>
      <c r="CC24" s="13" t="n"/>
      <c r="CD24" s="13" t="n"/>
      <c r="CE24" s="13" t="n"/>
      <c r="CF24" s="13" t="n"/>
      <c r="CG24" s="13" t="n"/>
      <c r="CH24" s="13" t="n"/>
      <c r="CI24" s="13" t="n"/>
      <c r="CJ24" s="13" t="n"/>
      <c r="CK24" s="13" t="n"/>
      <c r="CL24" s="13" t="n"/>
      <c r="CM24" s="13" t="n"/>
      <c r="CN24" s="13" t="n"/>
      <c r="CO24" s="13" t="n"/>
      <c r="CP24" s="13" t="n"/>
    </row>
    <row r="25" hidden="1" customFormat="1" s="13">
      <c r="A25" s="175" t="inlineStr">
        <is>
          <t>I</t>
        </is>
      </c>
      <c r="B25" s="176">
        <f>IF(_epmOfflineCondition_,"C_INTERCO",EPMDimensionType(,A25))</f>
        <v/>
      </c>
      <c r="C25" s="672" t="inlineStr">
        <is>
          <t>I_DUMMY</t>
        </is>
      </c>
      <c r="D25" s="182">
        <f>IF(_epmOfflineCondition_,"I_DUMMY",EPMOlapMemberO(C25,"[C_INTERCO].[PARENTH1].[I_DUMMY]","I_DUMMY - 贸易伙伴无关","","000"))</f>
        <v/>
      </c>
      <c r="E25" s="180" t="n"/>
      <c r="F25" s="384" t="n"/>
      <c r="G25" s="384" t="n"/>
      <c r="H25" s="13" t="n"/>
      <c r="I25" s="13" t="n"/>
      <c r="J25" s="13" t="n"/>
      <c r="K25" s="13" t="n"/>
      <c r="L25" s="13" t="n"/>
      <c r="M25" s="13" t="n"/>
      <c r="N25" s="13" t="n"/>
      <c r="O25" s="13" t="n"/>
      <c r="P25" s="13" t="n"/>
      <c r="Q25" s="13" t="n"/>
      <c r="R25" s="13" t="n"/>
      <c r="S25" s="1103" t="n"/>
      <c r="T25" s="13" t="n"/>
      <c r="U25" s="13" t="n"/>
      <c r="V25" s="13" t="n"/>
      <c r="W25" s="13" t="n"/>
      <c r="X25" s="171" t="n"/>
      <c r="Y25" s="178" t="inlineStr">
        <is>
          <t>CATEGORY</t>
        </is>
      </c>
      <c r="Z25" s="178" t="inlineStr">
        <is>
          <t>C1001</t>
        </is>
      </c>
      <c r="AA25" s="178" t="inlineStr">
        <is>
          <t>C1001</t>
        </is>
      </c>
      <c r="AB25" s="178">
        <f>$C$4</f>
        <v/>
      </c>
      <c r="AC25" s="178">
        <f>$C$4</f>
        <v/>
      </c>
      <c r="AD25" s="178" t="inlineStr">
        <is>
          <t>C1001</t>
        </is>
      </c>
      <c r="AE25" s="220" t="n"/>
      <c r="AF25" s="220" t="n"/>
      <c r="AG25" s="220" t="n"/>
      <c r="AH25" s="13" t="n"/>
      <c r="AI25" s="13" t="n"/>
      <c r="AJ25" s="13" t="n"/>
      <c r="AK25" s="13" t="n"/>
      <c r="AL25" s="13" t="n"/>
      <c r="AM25" s="13" t="n"/>
      <c r="AN25" s="13" t="n"/>
      <c r="AO25" s="13" t="n"/>
      <c r="AP25" s="13" t="n"/>
      <c r="AQ25" s="13" t="n"/>
      <c r="AR25" s="13" t="n"/>
      <c r="AS25" s="13" t="n"/>
      <c r="AT25" s="13" t="n"/>
      <c r="AU25" s="13" t="n"/>
      <c r="AV25" s="13" t="n"/>
      <c r="AW25" s="13" t="n"/>
      <c r="AX25" s="13" t="n"/>
      <c r="AY25" s="13" t="n"/>
      <c r="AZ25" s="13" t="n"/>
      <c r="BA25" s="13" t="n"/>
      <c r="BB25" s="13" t="n"/>
      <c r="BC25" s="13" t="n"/>
      <c r="BD25" s="13" t="n"/>
      <c r="BE25" s="13" t="n"/>
      <c r="BF25" s="13" t="n"/>
      <c r="BG25" s="13" t="n"/>
      <c r="BH25" s="13" t="n"/>
      <c r="BI25" s="13" t="n"/>
      <c r="BJ25" s="13" t="n"/>
      <c r="BK25" s="13" t="n"/>
      <c r="BL25" s="13" t="n"/>
      <c r="BM25" s="13" t="n"/>
      <c r="BN25" s="13" t="n"/>
      <c r="BO25" s="13" t="n"/>
      <c r="BP25" s="13" t="n"/>
      <c r="BQ25" s="13" t="n"/>
      <c r="BR25" s="13" t="n"/>
      <c r="BS25" s="13" t="n"/>
      <c r="BT25" s="13" t="n"/>
      <c r="BU25" s="13" t="n"/>
      <c r="BV25" s="13" t="n"/>
      <c r="BW25" s="13" t="n"/>
      <c r="BX25" s="13" t="n"/>
      <c r="BY25" s="13" t="n"/>
      <c r="BZ25" s="13" t="n"/>
      <c r="CA25" s="13" t="n"/>
      <c r="CB25" s="13" t="n"/>
      <c r="CC25" s="13" t="n"/>
      <c r="CD25" s="13" t="n"/>
      <c r="CE25" s="13" t="n"/>
      <c r="CF25" s="13" t="n"/>
      <c r="CG25" s="13" t="n"/>
      <c r="CH25" s="13" t="n"/>
      <c r="CI25" s="13" t="n"/>
      <c r="CJ25" s="13" t="n"/>
      <c r="CK25" s="13" t="n"/>
      <c r="CL25" s="13" t="n"/>
      <c r="CM25" s="13" t="n"/>
      <c r="CN25" s="13" t="n"/>
      <c r="CO25" s="13" t="n"/>
      <c r="CP25" s="13" t="n"/>
    </row>
    <row r="26" hidden="1" customFormat="1" s="13">
      <c r="A26" s="175" t="inlineStr">
        <is>
          <t>G</t>
        </is>
      </c>
      <c r="B26" s="176">
        <f>IF(_epmOfflineCondition_,"C_SCOPE",EPMDimensionType(,A26))</f>
        <v/>
      </c>
      <c r="C26" s="182" t="inlineStr">
        <is>
          <t>G_DUMMY</t>
        </is>
      </c>
      <c r="D26" s="182">
        <f>IF(_epmOfflineCondition_,"G_DUMMY",EPMOlapMemberO(C26,"[C_SCOPE].[PARENTH1].[G_DUMMY]","G_DUMMY - 合并范围无关","","000"))</f>
        <v/>
      </c>
      <c r="E26" s="180" t="n"/>
      <c r="F26" s="384" t="n"/>
      <c r="G26" s="384" t="n"/>
      <c r="H26" s="13" t="n"/>
      <c r="I26" s="13" t="n"/>
      <c r="J26" s="13" t="n"/>
      <c r="K26" s="13" t="n"/>
      <c r="L26" s="13" t="n"/>
      <c r="M26" s="13" t="n"/>
      <c r="N26" s="13" t="n"/>
      <c r="O26" s="13" t="n"/>
      <c r="P26" s="13" t="n"/>
      <c r="Q26" s="13" t="n"/>
      <c r="R26" s="13" t="n"/>
      <c r="S26" s="1103" t="n"/>
      <c r="T26" s="13" t="n"/>
      <c r="U26" s="13" t="n"/>
      <c r="V26" s="13" t="n"/>
      <c r="W26" s="13" t="n"/>
      <c r="X26" s="171" t="n"/>
      <c r="Y26" s="464" t="inlineStr">
        <is>
          <t>TIME</t>
        </is>
      </c>
      <c r="Z26" s="464">
        <f>$I$11</f>
        <v/>
      </c>
      <c r="AA26" s="464">
        <f>$I$11</f>
        <v/>
      </c>
      <c r="AB26" s="200">
        <f>$I$13</f>
        <v/>
      </c>
      <c r="AC26" s="200">
        <f>$I$11</f>
        <v/>
      </c>
      <c r="AD26" s="464">
        <f>$I$12</f>
        <v/>
      </c>
      <c r="AE26" s="220" t="n"/>
      <c r="AF26" s="220" t="n"/>
      <c r="AG26" s="220" t="n"/>
      <c r="AH26" s="13" t="n"/>
      <c r="AI26" s="13" t="n"/>
      <c r="AJ26" s="13" t="n"/>
      <c r="AK26" s="13" t="n"/>
      <c r="AL26" s="13" t="n"/>
      <c r="AM26" s="13" t="n"/>
      <c r="AN26" s="13" t="n"/>
      <c r="AO26" s="13" t="n"/>
      <c r="AP26" s="13" t="n"/>
      <c r="AQ26" s="13" t="n"/>
      <c r="AR26" s="13" t="n"/>
      <c r="AS26" s="13" t="n"/>
      <c r="AT26" s="13" t="n"/>
      <c r="AU26" s="13" t="n"/>
      <c r="AV26" s="13" t="n"/>
      <c r="AW26" s="13" t="n"/>
      <c r="AX26" s="13" t="n"/>
      <c r="AY26" s="13" t="n"/>
      <c r="AZ26" s="13" t="n"/>
      <c r="BA26" s="13" t="n"/>
      <c r="BB26" s="13" t="n"/>
      <c r="BC26" s="13" t="n"/>
      <c r="BD26" s="13" t="n"/>
      <c r="BE26" s="13" t="n"/>
      <c r="BF26" s="13" t="n"/>
      <c r="BG26" s="13" t="n"/>
      <c r="BH26" s="13" t="n"/>
      <c r="BI26" s="13" t="n"/>
      <c r="BJ26" s="13" t="n"/>
      <c r="BK26" s="13" t="n"/>
      <c r="BL26" s="13" t="n"/>
      <c r="BM26" s="13" t="n"/>
      <c r="BN26" s="13" t="n"/>
      <c r="BO26" s="13" t="n"/>
      <c r="BP26" s="13" t="n"/>
      <c r="BQ26" s="13" t="n"/>
      <c r="BR26" s="13" t="n"/>
      <c r="BS26" s="13" t="n"/>
      <c r="BT26" s="13" t="n"/>
      <c r="BU26" s="13" t="n"/>
      <c r="BV26" s="13" t="n"/>
      <c r="BW26" s="13" t="n"/>
      <c r="BX26" s="13" t="n"/>
      <c r="BY26" s="13" t="n"/>
      <c r="BZ26" s="13" t="n"/>
      <c r="CA26" s="13" t="n"/>
      <c r="CB26" s="13" t="n"/>
      <c r="CC26" s="13" t="n"/>
      <c r="CD26" s="13" t="n"/>
      <c r="CE26" s="13" t="n"/>
      <c r="CF26" s="13" t="n"/>
      <c r="CG26" s="13" t="n"/>
      <c r="CH26" s="13" t="n"/>
      <c r="CI26" s="13" t="n"/>
      <c r="CJ26" s="13" t="n"/>
      <c r="CK26" s="13" t="n"/>
      <c r="CL26" s="13" t="n"/>
      <c r="CM26" s="13" t="n"/>
      <c r="CN26" s="13" t="n"/>
      <c r="CO26" s="13" t="n"/>
      <c r="CP26" s="13" t="n"/>
    </row>
    <row r="27" hidden="1" customFormat="1" s="13">
      <c r="A27" s="175" t="inlineStr">
        <is>
          <t>U8</t>
        </is>
      </c>
      <c r="B27" s="176">
        <f>IF(_epmOfflineCondition_,"C_PROJECT",EPMDimensionType(,A27))</f>
        <v/>
      </c>
      <c r="C27" s="180" t="inlineStr">
        <is>
          <t>ZP_DUMMY</t>
        </is>
      </c>
      <c r="D27" s="182">
        <f>IF(_epmOfflineCondition_,"ZP_DUMMY",EPMOlapMemberO(C27,"[C_PROJECT].[PARENTH1].[ZP_DUMMY]","ZP_DUMMY - 项目无关","","000"))</f>
        <v/>
      </c>
      <c r="E27" s="180" t="n"/>
      <c r="F27" s="384" t="n"/>
      <c r="G27" s="384" t="n"/>
      <c r="H27" s="13" t="n"/>
      <c r="I27" s="13" t="n"/>
      <c r="J27" s="13" t="n"/>
      <c r="K27" s="13" t="n"/>
      <c r="L27" s="13" t="n"/>
      <c r="M27" s="13" t="n"/>
      <c r="N27" s="13" t="n"/>
      <c r="O27" s="13" t="n"/>
      <c r="P27" s="13" t="n"/>
      <c r="Q27" s="13" t="n"/>
      <c r="R27" s="13" t="n"/>
      <c r="S27" s="1103" t="n"/>
      <c r="T27" s="13" t="n"/>
      <c r="U27" s="13" t="n"/>
      <c r="V27" s="13" t="n"/>
      <c r="W27" s="13" t="n"/>
      <c r="X27" s="13" t="n"/>
      <c r="Y27" s="200" t="inlineStr">
        <is>
          <t>MEASURES</t>
        </is>
      </c>
      <c r="Z27" s="200" t="inlineStr">
        <is>
          <t>YTD</t>
        </is>
      </c>
      <c r="AA27" s="200" t="inlineStr">
        <is>
          <t>YTD</t>
        </is>
      </c>
      <c r="AB27" s="200" t="inlineStr">
        <is>
          <t>YTD</t>
        </is>
      </c>
      <c r="AC27" s="200" t="inlineStr">
        <is>
          <t>Periodic</t>
        </is>
      </c>
      <c r="AD27" s="200" t="inlineStr">
        <is>
          <t>YTD</t>
        </is>
      </c>
      <c r="AE27" s="220" t="n"/>
      <c r="AF27" s="220" t="n"/>
      <c r="AG27" s="220" t="n"/>
      <c r="AH27" s="13" t="n"/>
      <c r="AI27" s="13" t="n"/>
      <c r="AJ27" s="13" t="n"/>
      <c r="AK27" s="13" t="n"/>
      <c r="AL27" s="13" t="n"/>
      <c r="AM27" s="13" t="n"/>
      <c r="AN27" s="13" t="n"/>
      <c r="AO27" s="13" t="n"/>
      <c r="AP27" s="13" t="n"/>
      <c r="AQ27" s="13" t="n"/>
      <c r="AR27" s="13" t="n"/>
      <c r="AS27" s="13" t="n"/>
      <c r="AT27" s="13" t="n"/>
      <c r="AU27" s="13" t="n"/>
      <c r="AV27" s="13" t="n"/>
      <c r="AW27" s="13" t="n"/>
      <c r="AX27" s="13" t="n"/>
      <c r="AY27" s="13" t="n"/>
      <c r="AZ27" s="13" t="n"/>
      <c r="BA27" s="13" t="n"/>
      <c r="BB27" s="13" t="n"/>
      <c r="BC27" s="13" t="n"/>
      <c r="BD27" s="13" t="n"/>
      <c r="BE27" s="13" t="n"/>
      <c r="BF27" s="13" t="n"/>
      <c r="BG27" s="13" t="n"/>
      <c r="BH27" s="13" t="n"/>
      <c r="BI27" s="13" t="n"/>
      <c r="BJ27" s="13" t="n"/>
      <c r="BK27" s="13" t="n"/>
      <c r="BL27" s="13" t="n"/>
      <c r="BM27" s="13" t="n"/>
      <c r="BN27" s="13" t="n"/>
      <c r="BO27" s="13" t="n"/>
      <c r="BP27" s="13" t="n"/>
      <c r="BQ27" s="13" t="n"/>
      <c r="BR27" s="13" t="n"/>
      <c r="BS27" s="13" t="n"/>
      <c r="BT27" s="13" t="n"/>
      <c r="BU27" s="13" t="n"/>
      <c r="BV27" s="13" t="n"/>
      <c r="BW27" s="13" t="n"/>
      <c r="BX27" s="13" t="n"/>
      <c r="BY27" s="13" t="n"/>
      <c r="BZ27" s="13" t="n"/>
      <c r="CA27" s="13" t="n"/>
      <c r="CB27" s="13" t="n"/>
      <c r="CC27" s="13" t="n"/>
      <c r="CD27" s="13" t="n"/>
      <c r="CE27" s="13" t="n"/>
      <c r="CF27" s="13" t="n"/>
      <c r="CG27" s="13" t="n"/>
      <c r="CH27" s="13" t="n"/>
      <c r="CI27" s="13" t="n"/>
      <c r="CJ27" s="13" t="n"/>
      <c r="CK27" s="13" t="n"/>
      <c r="CL27" s="13" t="n"/>
      <c r="CM27" s="13" t="n"/>
      <c r="CN27" s="13" t="n"/>
      <c r="CO27" s="13" t="n"/>
      <c r="CP27" s="13" t="n"/>
    </row>
    <row r="28" hidden="1" customFormat="1" s="13">
      <c r="A28" s="175" t="inlineStr">
        <is>
          <t>U9</t>
        </is>
      </c>
      <c r="B28" s="176">
        <f>IF(_epmOfflineCondition_,"C_ITEM",EPMDimensionType(,A28))</f>
        <v/>
      </c>
      <c r="C28" s="180" t="inlineStr">
        <is>
          <t>ZI_DUMMY</t>
        </is>
      </c>
      <c r="D28" s="182">
        <f>IF(_epmOfflineCondition_,"ZI_DUMMY",EPMOlapMemberO(C28,"[C_ITEM].[PARENTH1].[ZI_DUMMY]","ZI_DUMMY - 与子项无关","","000"))</f>
        <v/>
      </c>
      <c r="E28" s="180" t="n"/>
      <c r="F28" s="384" t="n"/>
      <c r="G28" s="384" t="n"/>
      <c r="H28" s="13" t="n"/>
      <c r="I28" s="13" t="n"/>
      <c r="J28" s="13" t="n"/>
      <c r="K28" s="13" t="n"/>
      <c r="L28" s="13" t="n"/>
      <c r="M28" s="13" t="n"/>
      <c r="N28" s="13" t="n"/>
      <c r="O28" s="13" t="n"/>
      <c r="P28" s="13" t="n"/>
      <c r="Q28" s="13" t="n"/>
      <c r="R28" s="13" t="n"/>
      <c r="S28" s="13" t="n"/>
      <c r="T28" s="13" t="n"/>
      <c r="U28" s="13" t="n"/>
      <c r="V28" s="13" t="n"/>
      <c r="W28" s="13" t="n"/>
      <c r="X28" s="171" t="n"/>
      <c r="Y28" s="200" t="inlineStr">
        <is>
          <t>FLOW</t>
        </is>
      </c>
      <c r="Z28" s="200" t="inlineStr">
        <is>
          <t>F20</t>
        </is>
      </c>
      <c r="AA28" s="200" t="inlineStr">
        <is>
          <t>F20</t>
        </is>
      </c>
      <c r="AB28" s="200" t="inlineStr">
        <is>
          <t>FEND</t>
        </is>
      </c>
      <c r="AC28" s="200" t="inlineStr">
        <is>
          <t>F20</t>
        </is>
      </c>
      <c r="AD28" s="200" t="inlineStr">
        <is>
          <t>F20</t>
        </is>
      </c>
      <c r="AE28" s="220" t="n"/>
      <c r="AF28" s="220" t="n"/>
      <c r="AG28" s="13" t="n"/>
      <c r="AH28" s="13" t="n"/>
      <c r="AI28" s="13" t="n"/>
      <c r="AJ28" s="13" t="n"/>
      <c r="AK28" s="13" t="n"/>
      <c r="AL28" s="13" t="n"/>
      <c r="AM28" s="13" t="n"/>
      <c r="AN28" s="13" t="n"/>
      <c r="AO28" s="13" t="n"/>
      <c r="AP28" s="13" t="n"/>
      <c r="AQ28" s="13" t="n"/>
      <c r="AR28" s="13" t="n"/>
      <c r="AS28" s="13" t="n"/>
      <c r="AT28" s="13" t="n"/>
      <c r="AU28" s="13" t="n"/>
      <c r="AV28" s="13" t="n"/>
      <c r="AW28" s="13" t="n"/>
      <c r="AX28" s="13" t="n"/>
      <c r="AY28" s="13" t="n"/>
      <c r="AZ28" s="13" t="n"/>
      <c r="BA28" s="13" t="n"/>
      <c r="BB28" s="13" t="n"/>
      <c r="BC28" s="13" t="n"/>
      <c r="BD28" s="13" t="n"/>
      <c r="BE28" s="13" t="n"/>
      <c r="BF28" s="13" t="n"/>
      <c r="BG28" s="13" t="n"/>
      <c r="BH28" s="13" t="n"/>
      <c r="BI28" s="13" t="n"/>
      <c r="BJ28" s="13" t="n"/>
      <c r="BK28" s="13" t="n"/>
      <c r="BL28" s="13" t="n"/>
      <c r="BM28" s="13" t="n"/>
      <c r="BN28" s="13" t="n"/>
      <c r="BO28" s="13" t="n"/>
      <c r="BP28" s="13" t="n"/>
      <c r="BQ28" s="13" t="n"/>
      <c r="BR28" s="13" t="n"/>
      <c r="BS28" s="13" t="n"/>
      <c r="BT28" s="13" t="n"/>
      <c r="BU28" s="13" t="n"/>
      <c r="BV28" s="13" t="n"/>
      <c r="BW28" s="13" t="n"/>
      <c r="BX28" s="13" t="n"/>
      <c r="BY28" s="13" t="n"/>
      <c r="BZ28" s="13" t="n"/>
      <c r="CA28" s="13" t="n"/>
      <c r="CB28" s="13" t="n"/>
      <c r="CC28" s="13" t="n"/>
      <c r="CD28" s="13" t="n"/>
      <c r="CE28" s="13" t="n"/>
      <c r="CF28" s="13" t="n"/>
      <c r="CG28" s="13" t="n"/>
      <c r="CH28" s="13" t="n"/>
      <c r="CI28" s="13" t="n"/>
      <c r="CJ28" s="13" t="n"/>
      <c r="CK28" s="13" t="n"/>
      <c r="CL28" s="13" t="n"/>
      <c r="CM28" s="13" t="n"/>
      <c r="CN28" s="13" t="n"/>
      <c r="CO28" s="13" t="n"/>
      <c r="CP28" s="13" t="n"/>
    </row>
    <row r="29" hidden="1" customFormat="1" s="13">
      <c r="A29" s="175" t="inlineStr">
        <is>
          <t>U10</t>
        </is>
      </c>
      <c r="B29" s="176">
        <f>IF(_epmOfflineCondition_,"C_MISK",EPMDimensionType(,A29))</f>
        <v/>
      </c>
      <c r="C29" s="449" t="inlineStr">
        <is>
          <t>ZM_DUMMY</t>
        </is>
      </c>
      <c r="D29" s="182" t="n"/>
      <c r="E29" s="180" t="n"/>
      <c r="F29" s="384" t="n"/>
      <c r="G29" s="384" t="n"/>
      <c r="H29" s="13" t="n"/>
      <c r="I29" s="13" t="n"/>
      <c r="J29" s="13" t="n"/>
      <c r="K29" s="13" t="n"/>
      <c r="L29" s="13" t="n"/>
      <c r="M29" s="13" t="n"/>
      <c r="N29" s="13" t="n"/>
      <c r="O29" s="13" t="n"/>
      <c r="P29" s="13" t="n"/>
      <c r="Q29" s="13" t="n"/>
      <c r="R29" s="13" t="n"/>
      <c r="S29" s="13" t="n"/>
      <c r="T29" s="13" t="n"/>
      <c r="U29" s="13" t="n"/>
      <c r="V29" s="13" t="n"/>
      <c r="W29" s="13" t="n"/>
      <c r="X29" s="171" t="n"/>
      <c r="Y29" s="200" t="inlineStr">
        <is>
          <t>ZM_MISC</t>
        </is>
      </c>
      <c r="Z29" s="200" t="inlineStr">
        <is>
          <t>ZM09901</t>
        </is>
      </c>
      <c r="AA29" s="200" t="inlineStr">
        <is>
          <t>ZM09902</t>
        </is>
      </c>
      <c r="AB29" s="200" t="inlineStr">
        <is>
          <t>ZM09902</t>
        </is>
      </c>
      <c r="AC29" s="200" t="inlineStr">
        <is>
          <t>ZM09902</t>
        </is>
      </c>
      <c r="AD29" s="200" t="inlineStr">
        <is>
          <t>ZM09902</t>
        </is>
      </c>
      <c r="AE29" s="220" t="n"/>
      <c r="AF29" s="13" t="n"/>
      <c r="AG29" s="13" t="n"/>
      <c r="AH29" s="13" t="n"/>
      <c r="AI29" s="13" t="n"/>
      <c r="AJ29" s="13" t="n"/>
      <c r="AK29" s="13" t="n"/>
      <c r="AL29" s="13" t="n"/>
      <c r="AM29" s="13" t="n"/>
      <c r="AN29" s="13" t="n"/>
      <c r="AO29" s="13" t="n"/>
      <c r="AP29" s="13" t="n"/>
      <c r="AQ29" s="13" t="n"/>
      <c r="AR29" s="13" t="n"/>
      <c r="AS29" s="13" t="n"/>
      <c r="AT29" s="13" t="n"/>
      <c r="AU29" s="13" t="n"/>
      <c r="AV29" s="13" t="n"/>
      <c r="AW29" s="13" t="n"/>
      <c r="AX29" s="13" t="n"/>
      <c r="AY29" s="13" t="n"/>
      <c r="AZ29" s="13" t="n"/>
      <c r="BA29" s="13" t="n"/>
      <c r="BB29" s="13" t="n"/>
      <c r="BC29" s="13" t="n"/>
      <c r="BD29" s="13" t="n"/>
      <c r="BE29" s="13" t="n"/>
      <c r="BF29" s="13" t="n"/>
      <c r="BG29" s="13" t="n"/>
      <c r="BH29" s="13" t="n"/>
      <c r="BI29" s="13" t="n"/>
      <c r="BJ29" s="13" t="n"/>
      <c r="BK29" s="13" t="n"/>
      <c r="BL29" s="13" t="n"/>
      <c r="BM29" s="13" t="n"/>
      <c r="BN29" s="13" t="n"/>
      <c r="BO29" s="13" t="n"/>
      <c r="BP29" s="13" t="n"/>
      <c r="BQ29" s="13" t="n"/>
      <c r="BR29" s="13" t="n"/>
      <c r="BS29" s="13" t="n"/>
      <c r="BT29" s="13" t="n"/>
      <c r="BU29" s="13" t="n"/>
      <c r="BV29" s="13" t="n"/>
      <c r="BW29" s="13" t="n"/>
      <c r="BX29" s="13" t="n"/>
      <c r="BY29" s="13" t="n"/>
      <c r="BZ29" s="13" t="n"/>
      <c r="CA29" s="13" t="n"/>
      <c r="CB29" s="13" t="n"/>
      <c r="CC29" s="13" t="n"/>
      <c r="CD29" s="13" t="n"/>
      <c r="CE29" s="13" t="n"/>
      <c r="CF29" s="13" t="n"/>
      <c r="CG29" s="13" t="n"/>
      <c r="CH29" s="13" t="n"/>
      <c r="CI29" s="13" t="n"/>
      <c r="CJ29" s="13" t="n"/>
      <c r="CK29" s="13" t="n"/>
      <c r="CL29" s="13" t="n"/>
      <c r="CM29" s="13" t="n"/>
      <c r="CN29" s="13" t="n"/>
      <c r="CO29" s="13" t="n"/>
      <c r="CP29" s="13" t="n"/>
    </row>
    <row r="30" hidden="1" customFormat="1" s="13">
      <c r="A30" s="175" t="n"/>
      <c r="B30" s="175">
        <f>IF(_epmOfflineCondition_,"",EPMDimensionType(,A30))</f>
        <v/>
      </c>
      <c r="C30" s="182" t="inlineStr">
        <is>
          <t>PERIODIC</t>
        </is>
      </c>
      <c r="D30" s="390" t="n"/>
      <c r="E30" s="180" t="n"/>
      <c r="F30" s="384" t="n"/>
      <c r="G30" s="384" t="n"/>
      <c r="H30" s="13" t="n"/>
      <c r="I30" s="13" t="n"/>
      <c r="J30" s="13" t="n"/>
      <c r="K30" s="13" t="n"/>
      <c r="L30" s="13" t="n"/>
      <c r="M30" s="13" t="n"/>
      <c r="N30" s="13" t="n"/>
      <c r="O30" s="13" t="n"/>
      <c r="P30" s="13" t="n"/>
      <c r="Q30" s="13" t="n"/>
      <c r="R30" s="13" t="n"/>
      <c r="S30" s="13" t="n"/>
      <c r="T30" s="13" t="n"/>
      <c r="U30" s="13" t="n"/>
      <c r="V30" s="13" t="n"/>
      <c r="W30" s="13" t="n"/>
      <c r="X30" s="171" t="n"/>
      <c r="Y30" s="13" t="n"/>
      <c r="Z30" s="13" t="n"/>
      <c r="AA30" s="13" t="n"/>
      <c r="AB30" s="13" t="n"/>
      <c r="AC30" s="13" t="n"/>
      <c r="AD30" s="13" t="n"/>
      <c r="AE30" s="220" t="n"/>
      <c r="AF30" s="13" t="n"/>
      <c r="AG30" s="13" t="n"/>
      <c r="AH30" s="13" t="n"/>
      <c r="AI30" s="13" t="n"/>
      <c r="AJ30" s="13" t="n"/>
      <c r="AK30" s="13" t="n"/>
      <c r="AL30" s="13" t="n"/>
      <c r="AM30" s="13" t="n"/>
      <c r="AN30" s="13" t="n"/>
      <c r="AO30" s="13" t="n"/>
      <c r="AP30" s="13" t="n"/>
      <c r="AQ30" s="13" t="n"/>
      <c r="AR30" s="13" t="n"/>
      <c r="AS30" s="13" t="n"/>
      <c r="AT30" s="13" t="n"/>
      <c r="AU30" s="13" t="n"/>
      <c r="AV30" s="13" t="n"/>
      <c r="AW30" s="13" t="n"/>
      <c r="AX30" s="13" t="n"/>
      <c r="AY30" s="13" t="n"/>
      <c r="AZ30" s="13" t="n"/>
      <c r="BA30" s="13" t="n"/>
      <c r="BB30" s="13" t="n"/>
      <c r="BC30" s="13" t="n"/>
      <c r="BD30" s="13" t="n"/>
      <c r="BE30" s="13" t="n"/>
      <c r="BF30" s="13" t="n"/>
      <c r="BG30" s="13" t="n"/>
      <c r="BH30" s="13" t="n"/>
      <c r="BI30" s="13" t="n"/>
      <c r="BJ30" s="13" t="n"/>
      <c r="BK30" s="13" t="n"/>
      <c r="BL30" s="13" t="n"/>
      <c r="BM30" s="13" t="n"/>
      <c r="BN30" s="13" t="n"/>
      <c r="BO30" s="13" t="n"/>
      <c r="BP30" s="13" t="n"/>
      <c r="BQ30" s="13" t="n"/>
      <c r="BR30" s="13" t="n"/>
      <c r="BS30" s="13" t="n"/>
      <c r="BT30" s="13" t="n"/>
      <c r="BU30" s="13" t="n"/>
      <c r="BV30" s="13" t="n"/>
      <c r="BW30" s="13" t="n"/>
      <c r="BX30" s="13" t="n"/>
      <c r="BY30" s="13" t="n"/>
      <c r="BZ30" s="13" t="n"/>
      <c r="CA30" s="13" t="n"/>
      <c r="CB30" s="13" t="n"/>
      <c r="CC30" s="13" t="n"/>
      <c r="CD30" s="13" t="n"/>
      <c r="CE30" s="13" t="n"/>
      <c r="CF30" s="13" t="n"/>
      <c r="CG30" s="13" t="n"/>
      <c r="CH30" s="13" t="n"/>
      <c r="CI30" s="13" t="n"/>
      <c r="CJ30" s="13" t="n"/>
      <c r="CK30" s="13" t="n"/>
      <c r="CL30" s="13" t="n"/>
      <c r="CM30" s="13" t="n"/>
      <c r="CN30" s="13" t="n"/>
      <c r="CO30" s="13" t="n"/>
      <c r="CP30" s="13" t="n"/>
    </row>
    <row r="31" hidden="1" customFormat="1" s="13">
      <c r="A31" s="13" t="n"/>
      <c r="B31" s="1103" t="n"/>
      <c r="C31" s="1103" t="n"/>
      <c r="D31" s="1103" t="n"/>
      <c r="E31" s="13" t="n"/>
      <c r="F31" s="13" t="n"/>
      <c r="G31" s="13" t="n"/>
      <c r="H31" s="13" t="n"/>
      <c r="I31" s="13" t="n"/>
      <c r="J31" s="13" t="n"/>
      <c r="K31" s="13" t="n"/>
      <c r="L31" s="13" t="n"/>
      <c r="M31" s="13" t="n"/>
      <c r="N31" s="13" t="n"/>
      <c r="O31" s="13" t="n"/>
      <c r="P31" s="13" t="n"/>
      <c r="Q31" s="13" t="n"/>
      <c r="R31" s="13" t="n"/>
      <c r="S31" s="13" t="n"/>
      <c r="T31" s="13" t="n"/>
      <c r="U31" s="13" t="n"/>
      <c r="V31" s="13" t="n"/>
      <c r="W31" s="13" t="n"/>
      <c r="X31" s="171" t="n"/>
      <c r="Y31" s="171" t="n"/>
      <c r="Z31" s="384" t="n"/>
      <c r="AA31" s="384" t="n"/>
      <c r="AB31" s="13" t="n"/>
      <c r="AC31" s="13" t="n"/>
      <c r="AD31" s="13" t="n"/>
      <c r="AE31" s="220" t="n"/>
      <c r="AF31" s="13" t="n"/>
      <c r="AG31" s="13" t="n"/>
      <c r="AH31" s="13" t="n"/>
      <c r="AI31" s="13" t="n"/>
      <c r="AJ31" s="13" t="n"/>
      <c r="AK31" s="13" t="n"/>
      <c r="AL31" s="13" t="n"/>
      <c r="AM31" s="13" t="n"/>
      <c r="AN31" s="13" t="n"/>
      <c r="AO31" s="13" t="n"/>
      <c r="AP31" s="13" t="n"/>
      <c r="AQ31" s="13" t="n"/>
      <c r="AR31" s="13" t="n"/>
      <c r="AS31" s="13" t="n"/>
      <c r="AT31" s="13" t="n"/>
      <c r="AU31" s="13" t="n"/>
      <c r="AV31" s="13" t="n"/>
      <c r="AW31" s="13" t="n"/>
      <c r="AX31" s="13" t="n"/>
      <c r="AY31" s="13" t="n"/>
      <c r="AZ31" s="13" t="n"/>
      <c r="BA31" s="13" t="n"/>
      <c r="BB31" s="13" t="n"/>
      <c r="BC31" s="13" t="n"/>
      <c r="BD31" s="13" t="n"/>
      <c r="BE31" s="13" t="n"/>
      <c r="BF31" s="13" t="n"/>
      <c r="BG31" s="13" t="n"/>
      <c r="BH31" s="13" t="n"/>
      <c r="BI31" s="13" t="n"/>
      <c r="BJ31" s="13" t="n"/>
      <c r="BK31" s="13" t="n"/>
      <c r="BL31" s="13" t="n"/>
      <c r="BM31" s="13" t="n"/>
      <c r="BN31" s="13" t="n"/>
      <c r="BO31" s="13" t="n"/>
      <c r="BP31" s="13" t="n"/>
      <c r="BQ31" s="13" t="n"/>
      <c r="BR31" s="13" t="n"/>
      <c r="BS31" s="13" t="n"/>
      <c r="BT31" s="13" t="n"/>
      <c r="BU31" s="13" t="n"/>
      <c r="BV31" s="13" t="n"/>
      <c r="BW31" s="13" t="n"/>
      <c r="BX31" s="13" t="n"/>
      <c r="BY31" s="13" t="n"/>
      <c r="BZ31" s="13" t="n"/>
      <c r="CA31" s="13" t="n"/>
      <c r="CB31" s="13" t="n"/>
      <c r="CC31" s="13" t="n"/>
      <c r="CD31" s="13" t="n"/>
      <c r="CE31" s="13" t="n"/>
      <c r="CF31" s="13" t="n"/>
      <c r="CG31" s="13" t="n"/>
      <c r="CH31" s="13" t="n"/>
      <c r="CI31" s="13" t="n"/>
      <c r="CJ31" s="13" t="n"/>
      <c r="CK31" s="13" t="n"/>
      <c r="CL31" s="13" t="n"/>
      <c r="CM31" s="13" t="n"/>
      <c r="CN31" s="13" t="n"/>
      <c r="CO31" s="13" t="n"/>
      <c r="CP31" s="13" t="n"/>
    </row>
    <row r="32" hidden="1" customFormat="1" s="13">
      <c r="A32" s="13" t="n"/>
      <c r="B32" s="1103" t="n"/>
      <c r="C32" s="1103" t="n"/>
      <c r="D32" s="1103" t="n"/>
      <c r="E32" s="13" t="n"/>
      <c r="F32" s="13" t="n"/>
      <c r="G32" s="13" t="n"/>
      <c r="H32" s="13" t="n"/>
      <c r="I32" s="13" t="n"/>
      <c r="J32" s="13" t="n"/>
      <c r="K32" s="13" t="n"/>
      <c r="L32" s="13" t="n"/>
      <c r="M32" s="13" t="n"/>
      <c r="N32" s="13" t="n"/>
      <c r="O32" s="13" t="n"/>
      <c r="P32" s="13" t="n"/>
      <c r="Q32" s="13" t="n"/>
      <c r="R32" s="13" t="n"/>
      <c r="S32" s="13" t="n"/>
      <c r="T32" s="13" t="n"/>
      <c r="U32" s="13" t="n"/>
      <c r="V32" s="13" t="n"/>
      <c r="W32" s="13" t="n"/>
      <c r="X32" s="171" t="n"/>
      <c r="Y32" s="171" t="n"/>
      <c r="Z32" s="13" t="n"/>
      <c r="AA32" s="13" t="n"/>
      <c r="AB32" s="13" t="n"/>
      <c r="AC32" s="13" t="n"/>
      <c r="AD32" s="13" t="n"/>
      <c r="AE32" s="220" t="n"/>
      <c r="AF32" s="13" t="n"/>
      <c r="AG32" s="13" t="n"/>
      <c r="AH32" s="13" t="n"/>
      <c r="AI32" s="13" t="n"/>
      <c r="AJ32" s="13" t="n"/>
      <c r="AK32" s="13" t="n"/>
      <c r="AL32" s="13" t="n"/>
      <c r="AM32" s="13" t="n"/>
      <c r="AN32" s="13" t="n"/>
      <c r="AO32" s="13" t="n"/>
      <c r="AP32" s="13" t="n"/>
      <c r="AQ32" s="13" t="n"/>
      <c r="AR32" s="13" t="n"/>
      <c r="AS32" s="13" t="n"/>
      <c r="AT32" s="13" t="n"/>
      <c r="AU32" s="13" t="n"/>
      <c r="AV32" s="13" t="n"/>
      <c r="AW32" s="13" t="n"/>
      <c r="AX32" s="13" t="n"/>
      <c r="AY32" s="13" t="n"/>
      <c r="AZ32" s="13" t="n"/>
      <c r="BA32" s="13" t="n"/>
      <c r="BB32" s="13" t="n"/>
      <c r="BC32" s="13" t="n"/>
      <c r="BD32" s="13" t="n"/>
      <c r="BE32" s="13" t="n"/>
      <c r="BF32" s="13" t="n"/>
      <c r="BG32" s="13" t="n"/>
      <c r="BH32" s="13" t="n"/>
      <c r="BI32" s="13" t="n"/>
      <c r="BJ32" s="13" t="n"/>
      <c r="BK32" s="13" t="n"/>
      <c r="BL32" s="13" t="n"/>
      <c r="BM32" s="13" t="n"/>
      <c r="BN32" s="13" t="n"/>
      <c r="BO32" s="13" t="n"/>
      <c r="BP32" s="13" t="n"/>
      <c r="BQ32" s="13" t="n"/>
      <c r="BR32" s="13" t="n"/>
      <c r="BS32" s="13" t="n"/>
      <c r="BT32" s="13" t="n"/>
      <c r="BU32" s="13" t="n"/>
      <c r="BV32" s="13" t="n"/>
      <c r="BW32" s="13" t="n"/>
      <c r="BX32" s="13" t="n"/>
      <c r="BY32" s="13" t="n"/>
      <c r="BZ32" s="13" t="n"/>
      <c r="CA32" s="13" t="n"/>
      <c r="CB32" s="13" t="n"/>
      <c r="CC32" s="13" t="n"/>
      <c r="CD32" s="13" t="n"/>
      <c r="CE32" s="13" t="n"/>
      <c r="CF32" s="13" t="n"/>
      <c r="CG32" s="13" t="n"/>
      <c r="CH32" s="13" t="n"/>
      <c r="CI32" s="13" t="n"/>
      <c r="CJ32" s="13" t="n"/>
      <c r="CK32" s="13" t="n"/>
      <c r="CL32" s="13" t="n"/>
      <c r="CM32" s="13" t="n"/>
      <c r="CN32" s="13" t="n"/>
      <c r="CO32" s="13" t="n"/>
      <c r="CP32" s="13" t="n"/>
    </row>
    <row r="33" hidden="1" customFormat="1" s="13">
      <c r="A33" s="13" t="n"/>
      <c r="B33" s="1103" t="n"/>
      <c r="C33" s="1103" t="n"/>
      <c r="D33" s="1103" t="n"/>
      <c r="E33" s="13" t="n"/>
      <c r="F33" s="13" t="n"/>
      <c r="G33" s="13" t="n"/>
      <c r="H33" s="13" t="n"/>
      <c r="I33" s="13" t="n"/>
      <c r="J33" s="13" t="n"/>
      <c r="K33" s="13" t="n"/>
      <c r="L33" s="13" t="n"/>
      <c r="M33" s="13" t="n"/>
      <c r="N33" s="13" t="n"/>
      <c r="O33" s="13" t="n"/>
      <c r="P33" s="13" t="n"/>
      <c r="Q33" s="13" t="n"/>
      <c r="R33" s="13" t="n"/>
      <c r="S33" s="13" t="n"/>
      <c r="T33" s="13" t="n"/>
      <c r="U33" s="13" t="n"/>
      <c r="V33" s="13" t="n"/>
      <c r="W33" s="13" t="n"/>
      <c r="X33" s="171" t="n"/>
      <c r="Y33" s="171" t="n"/>
      <c r="Z33" s="13" t="n"/>
      <c r="AA33" s="13" t="n"/>
      <c r="AB33" s="13" t="n"/>
      <c r="AC33" s="13" t="n"/>
      <c r="AD33" s="13" t="n"/>
      <c r="AE33" s="220" t="n"/>
      <c r="AF33" s="13" t="n"/>
      <c r="AG33" s="13" t="n"/>
      <c r="AH33" s="13" t="n"/>
      <c r="AI33" s="13" t="n"/>
      <c r="AJ33" s="13" t="n"/>
      <c r="AK33" s="13" t="n"/>
      <c r="AL33" s="13" t="n"/>
      <c r="AM33" s="13" t="n"/>
      <c r="AN33" s="13" t="n"/>
      <c r="AO33" s="13" t="n"/>
      <c r="AP33" s="13" t="n"/>
      <c r="AQ33" s="13" t="n"/>
      <c r="AR33" s="13" t="n"/>
      <c r="AS33" s="13" t="n"/>
      <c r="AT33" s="13" t="n"/>
      <c r="AU33" s="13" t="n"/>
      <c r="AV33" s="13" t="n"/>
      <c r="AW33" s="13" t="n"/>
      <c r="AX33" s="13" t="n"/>
      <c r="AY33" s="13" t="n"/>
      <c r="AZ33" s="13" t="n"/>
      <c r="BA33" s="13" t="n"/>
      <c r="BB33" s="13" t="n"/>
      <c r="BC33" s="13" t="n"/>
      <c r="BD33" s="13" t="n"/>
      <c r="BE33" s="13" t="n"/>
      <c r="BF33" s="13" t="n"/>
      <c r="BG33" s="13" t="n"/>
      <c r="BH33" s="13" t="n"/>
      <c r="BI33" s="13" t="n"/>
      <c r="BJ33" s="13" t="n"/>
      <c r="BK33" s="13" t="n"/>
      <c r="BL33" s="13" t="n"/>
      <c r="BM33" s="13" t="n"/>
      <c r="BN33" s="13" t="n"/>
      <c r="BO33" s="13" t="n"/>
      <c r="BP33" s="13" t="n"/>
      <c r="BQ33" s="13" t="n"/>
      <c r="BR33" s="13" t="n"/>
      <c r="BS33" s="13" t="n"/>
      <c r="BT33" s="13" t="n"/>
      <c r="BU33" s="13" t="n"/>
      <c r="BV33" s="13" t="n"/>
      <c r="BW33" s="13" t="n"/>
      <c r="BX33" s="13" t="n"/>
      <c r="BY33" s="13" t="n"/>
      <c r="BZ33" s="13" t="n"/>
      <c r="CA33" s="13" t="n"/>
      <c r="CB33" s="13" t="n"/>
      <c r="CC33" s="13" t="n"/>
      <c r="CD33" s="13" t="n"/>
      <c r="CE33" s="13" t="n"/>
      <c r="CF33" s="13" t="n"/>
      <c r="CG33" s="13" t="n"/>
      <c r="CH33" s="13" t="n"/>
      <c r="CI33" s="13" t="n"/>
      <c r="CJ33" s="13" t="n"/>
      <c r="CK33" s="13" t="n"/>
      <c r="CL33" s="13" t="n"/>
      <c r="CM33" s="13" t="n"/>
      <c r="CN33" s="13" t="n"/>
      <c r="CO33" s="13" t="n"/>
      <c r="CP33" s="13" t="n"/>
    </row>
    <row r="34" ht="10.5" customFormat="1" customHeight="1" s="13">
      <c r="A34" s="13" t="n"/>
      <c r="B34" s="1103" t="n"/>
      <c r="C34" s="1103" t="n"/>
      <c r="D34" s="1103" t="n"/>
      <c r="E34" s="13" t="n"/>
      <c r="F34" s="13" t="n"/>
      <c r="G34" s="13" t="n"/>
      <c r="H34" s="13" t="n"/>
      <c r="I34" s="13" t="n"/>
      <c r="J34" s="13" t="n"/>
      <c r="K34" s="13" t="n"/>
      <c r="L34" s="13" t="n"/>
      <c r="M34" s="13" t="n"/>
      <c r="N34" s="13" t="n"/>
      <c r="O34" s="13" t="n"/>
      <c r="P34" s="13" t="n"/>
      <c r="Q34" s="13" t="n"/>
      <c r="R34" s="13" t="n"/>
      <c r="S34" s="13" t="n"/>
      <c r="T34" s="13" t="n"/>
      <c r="U34" s="13" t="n"/>
      <c r="V34" s="13" t="n"/>
      <c r="W34" s="13" t="n"/>
      <c r="X34" s="171" t="n"/>
      <c r="Y34" s="171" t="n"/>
      <c r="Z34" s="13" t="n"/>
      <c r="AA34" s="13" t="n"/>
      <c r="AB34" s="13" t="n"/>
      <c r="AC34" s="13" t="n"/>
      <c r="AD34" s="13" t="n"/>
      <c r="AE34" s="220" t="n"/>
      <c r="AF34" s="13" t="n"/>
      <c r="AG34" s="13" t="n"/>
      <c r="AH34" s="13" t="n"/>
      <c r="AI34" s="13" t="n"/>
      <c r="AJ34" s="13" t="n"/>
      <c r="AK34" s="13" t="n"/>
      <c r="AL34" s="13" t="n"/>
      <c r="AM34" s="13" t="n"/>
      <c r="AN34" s="13" t="n"/>
      <c r="AO34" s="13" t="n"/>
      <c r="AP34" s="13" t="n"/>
      <c r="AQ34" s="13" t="n"/>
      <c r="AR34" s="13" t="n"/>
      <c r="AS34" s="13" t="n"/>
      <c r="AT34" s="13" t="n"/>
      <c r="AU34" s="13" t="n"/>
      <c r="AV34" s="13" t="n"/>
      <c r="AW34" s="13" t="n"/>
      <c r="AX34" s="13" t="n"/>
      <c r="AY34" s="13" t="n"/>
      <c r="AZ34" s="13" t="n"/>
      <c r="BA34" s="13" t="n"/>
      <c r="BB34" s="13" t="n"/>
      <c r="BC34" s="13" t="n"/>
      <c r="BD34" s="13" t="n"/>
      <c r="BE34" s="13" t="n"/>
      <c r="BF34" s="13" t="n"/>
      <c r="BG34" s="13" t="n"/>
      <c r="BH34" s="13" t="n"/>
      <c r="BI34" s="13" t="n"/>
      <c r="BJ34" s="13" t="n"/>
      <c r="BK34" s="13" t="n"/>
      <c r="BL34" s="13" t="n"/>
      <c r="BM34" s="13" t="n"/>
      <c r="BN34" s="13" t="n"/>
      <c r="BO34" s="13" t="n"/>
      <c r="BP34" s="13" t="n"/>
      <c r="BQ34" s="13" t="n"/>
      <c r="BR34" s="13" t="n"/>
      <c r="BS34" s="13" t="n"/>
      <c r="BT34" s="13" t="n"/>
      <c r="BU34" s="13" t="n"/>
      <c r="BV34" s="13" t="n"/>
      <c r="BW34" s="13" t="n"/>
      <c r="BX34" s="13" t="n"/>
      <c r="BY34" s="13" t="n"/>
      <c r="BZ34" s="13" t="n"/>
      <c r="CA34" s="13" t="n"/>
      <c r="CB34" s="13" t="n"/>
      <c r="CC34" s="13" t="n"/>
      <c r="CD34" s="13" t="n"/>
      <c r="CE34" s="13" t="n"/>
      <c r="CF34" s="13" t="n"/>
      <c r="CG34" s="13" t="n"/>
      <c r="CH34" s="13" t="n"/>
      <c r="CI34" s="13" t="n"/>
      <c r="CJ34" s="13" t="n"/>
      <c r="CK34" s="13" t="n"/>
      <c r="CL34" s="13" t="n"/>
      <c r="CM34" s="13" t="n"/>
      <c r="CN34" s="13" t="n"/>
      <c r="CO34" s="13" t="n"/>
      <c r="CP34" s="13" t="n"/>
    </row>
    <row r="35" ht="32.25" customHeight="1" s="1181">
      <c r="A35" s="384" t="n"/>
      <c r="B35" s="384" t="n"/>
      <c r="C35" s="384" t="n"/>
      <c r="D35" s="384" t="n"/>
      <c r="E35" s="384" t="n"/>
      <c r="F35" s="384" t="n"/>
      <c r="G35" s="384" t="n"/>
      <c r="H35" s="384" t="n"/>
      <c r="I35" s="384" t="n"/>
      <c r="J35" s="384" t="n"/>
      <c r="K35" s="384" t="n"/>
      <c r="L35" s="384" t="n"/>
      <c r="M35" s="384" t="n"/>
      <c r="N35" s="384" t="n"/>
      <c r="O35" s="384" t="n"/>
      <c r="P35" s="384" t="n"/>
      <c r="Q35" s="384" t="n"/>
      <c r="R35" s="384" t="n"/>
      <c r="S35" s="32" t="n"/>
      <c r="T35" s="384" t="n"/>
      <c r="U35" s="384" t="n"/>
      <c r="V35" s="384" t="n"/>
      <c r="W35" s="384" t="n"/>
      <c r="X35" s="38" t="n"/>
      <c r="Y35" s="38" t="n"/>
      <c r="Z35" s="465" t="inlineStr">
        <is>
          <t>生产经营重点指标表</t>
        </is>
      </c>
      <c r="AA35" s="384" t="n"/>
      <c r="AB35" s="384" t="n"/>
      <c r="AC35" s="384" t="n"/>
      <c r="AD35" s="384" t="n"/>
      <c r="AE35" s="384" t="n"/>
      <c r="AF35" s="384" t="n"/>
      <c r="AG35" s="384" t="n"/>
      <c r="AH35" s="384" t="n"/>
      <c r="AI35" s="384" t="n"/>
      <c r="AJ35" s="384" t="n"/>
      <c r="AK35" s="384" t="n"/>
      <c r="AL35" s="384" t="n"/>
      <c r="AM35" s="384" t="n"/>
      <c r="AN35" s="384" t="n"/>
      <c r="AO35" s="384" t="n"/>
      <c r="AP35" s="384" t="n"/>
      <c r="AQ35" s="384" t="n"/>
      <c r="AR35" s="384" t="n"/>
      <c r="AS35" s="384" t="n"/>
      <c r="AT35" s="384" t="n"/>
      <c r="AU35" s="384" t="n"/>
      <c r="AV35" s="384" t="n"/>
      <c r="AW35" s="384" t="n"/>
      <c r="AX35" s="384" t="n"/>
      <c r="AY35" s="384" t="n"/>
      <c r="AZ35" s="384" t="n"/>
      <c r="BA35" s="384" t="n"/>
      <c r="BB35" s="384" t="n"/>
      <c r="BC35" s="384" t="n"/>
      <c r="BD35" s="384" t="n"/>
      <c r="BE35" s="384" t="n"/>
      <c r="BF35" s="384" t="n"/>
      <c r="BG35" s="384" t="n"/>
      <c r="BH35" s="384" t="n"/>
      <c r="BI35" s="384" t="n"/>
      <c r="BJ35" s="384" t="n"/>
      <c r="BK35" s="384" t="n"/>
      <c r="BL35" s="384" t="n"/>
      <c r="BM35" s="384" t="n"/>
      <c r="BN35" s="384" t="n"/>
      <c r="BO35" s="384" t="n"/>
      <c r="BP35" s="384" t="n"/>
      <c r="BQ35" s="384" t="n"/>
      <c r="BR35" s="384" t="n"/>
      <c r="BS35" s="384" t="n"/>
      <c r="BT35" s="384" t="n"/>
      <c r="BU35" s="384" t="n"/>
      <c r="BV35" s="384" t="n"/>
      <c r="BW35" s="384" t="n"/>
      <c r="BX35" s="384" t="n"/>
      <c r="BY35" s="384" t="n"/>
      <c r="BZ35" s="384" t="n"/>
      <c r="CA35" s="384" t="n"/>
      <c r="CB35" s="384" t="n"/>
      <c r="CC35" s="384" t="n"/>
      <c r="CD35" s="384" t="n"/>
      <c r="CE35" s="384" t="n"/>
      <c r="CF35" s="384" t="n"/>
      <c r="CG35" s="384" t="n"/>
      <c r="CH35" s="384" t="n"/>
      <c r="CI35" s="384" t="n"/>
      <c r="CJ35" s="384" t="n"/>
      <c r="CK35" s="384" t="n"/>
      <c r="CL35" s="384" t="n"/>
      <c r="CM35" s="384" t="n"/>
      <c r="CN35" s="384" t="n"/>
      <c r="CO35" s="384" t="n"/>
      <c r="CP35" s="384" t="n"/>
    </row>
    <row r="36" ht="15.2" customFormat="1" customHeight="1" s="716">
      <c r="A36" s="716" t="n"/>
      <c r="B36" s="716" t="n"/>
      <c r="C36" s="716" t="n"/>
      <c r="D36" s="716" t="n"/>
      <c r="E36" s="716" t="n"/>
      <c r="F36" s="716" t="n"/>
      <c r="G36" s="716" t="n"/>
      <c r="H36" s="716" t="n"/>
      <c r="I36" s="716" t="n"/>
      <c r="J36" s="716" t="n"/>
      <c r="K36" s="716" t="n"/>
      <c r="L36" s="716" t="n"/>
      <c r="M36" s="716" t="n"/>
      <c r="N36" s="716" t="n"/>
      <c r="O36" s="716" t="n"/>
      <c r="P36" s="716" t="n"/>
      <c r="Q36" s="716" t="n"/>
      <c r="R36" s="716" t="n"/>
      <c r="S36" s="462" t="n"/>
      <c r="T36" s="716" t="n"/>
      <c r="U36" s="716" t="n"/>
      <c r="V36" s="716" t="n"/>
      <c r="W36" s="716" t="n"/>
      <c r="X36" s="190">
        <f>IF(_epmOfflineCondition_,"编制单位：内蒙古京能苏尼特风力发电有限公司（内蒙古分公司）","编制单位："&amp;EPMMemberDesc($D$6))</f>
        <v/>
      </c>
      <c r="Y36" s="190" t="n"/>
      <c r="Z36" s="716" t="n"/>
      <c r="AA36" s="716" t="n"/>
      <c r="AB36" s="223" t="inlineStr">
        <is>
          <t>金额单位：元</t>
        </is>
      </c>
      <c r="AC36" s="716" t="n"/>
      <c r="AD36" s="716" t="n"/>
      <c r="AE36" s="716" t="n"/>
      <c r="AF36" s="716" t="n"/>
      <c r="AG36" s="716" t="n"/>
      <c r="AH36" s="716" t="n"/>
      <c r="AI36" s="716" t="n"/>
      <c r="AJ36" s="716" t="n"/>
      <c r="AK36" s="716" t="n"/>
      <c r="AL36" s="716" t="n"/>
      <c r="AM36" s="716" t="n"/>
      <c r="AN36" s="716" t="n"/>
      <c r="AO36" s="716" t="n"/>
      <c r="AP36" s="716" t="n"/>
      <c r="AQ36" s="716" t="n"/>
      <c r="AR36" s="716" t="n"/>
      <c r="AS36" s="716" t="n"/>
      <c r="AT36" s="716" t="n"/>
      <c r="AU36" s="716" t="n"/>
      <c r="AV36" s="716" t="n"/>
      <c r="AW36" s="716" t="n"/>
      <c r="AX36" s="716" t="n"/>
      <c r="AY36" s="716" t="n"/>
      <c r="AZ36" s="716" t="n"/>
      <c r="BA36" s="716" t="n"/>
      <c r="BB36" s="716" t="n"/>
      <c r="BC36" s="716" t="n"/>
      <c r="BD36" s="716" t="n"/>
      <c r="BE36" s="716" t="n"/>
      <c r="BF36" s="716" t="n"/>
      <c r="BG36" s="716" t="n"/>
      <c r="BH36" s="716" t="n"/>
      <c r="BI36" s="716" t="n"/>
      <c r="BJ36" s="716" t="n"/>
      <c r="BK36" s="716" t="n"/>
      <c r="BL36" s="716" t="n"/>
      <c r="BM36" s="716" t="n"/>
      <c r="BN36" s="716" t="n"/>
      <c r="BO36" s="716" t="n"/>
      <c r="BP36" s="716" t="n"/>
      <c r="BQ36" s="716" t="n"/>
      <c r="BR36" s="716" t="n"/>
      <c r="BS36" s="716" t="n"/>
      <c r="BT36" s="716" t="n"/>
      <c r="BU36" s="716" t="n"/>
      <c r="BV36" s="716" t="n"/>
      <c r="BW36" s="716" t="n"/>
      <c r="BX36" s="716" t="n"/>
      <c r="BY36" s="716" t="n"/>
      <c r="BZ36" s="716" t="n"/>
      <c r="CA36" s="716" t="n"/>
      <c r="CB36" s="716" t="n"/>
      <c r="CC36" s="716" t="n"/>
      <c r="CD36" s="716" t="n"/>
      <c r="CE36" s="716" t="n"/>
      <c r="CF36" s="716" t="n"/>
      <c r="CG36" s="716" t="n"/>
      <c r="CH36" s="716" t="n"/>
      <c r="CI36" s="716" t="n"/>
      <c r="CJ36" s="716" t="n"/>
      <c r="CK36" s="716" t="n"/>
      <c r="CL36" s="716" t="n"/>
      <c r="CM36" s="716" t="n"/>
      <c r="CN36" s="716" t="n"/>
      <c r="CO36" s="716" t="n"/>
      <c r="CP36" s="716" t="n"/>
    </row>
    <row r="37" ht="15.2" customFormat="1" customHeight="1" s="716">
      <c r="A37" s="716" t="n"/>
      <c r="B37" s="716" t="n"/>
      <c r="C37" s="716" t="n"/>
      <c r="D37" s="716" t="n"/>
      <c r="E37" s="716" t="n"/>
      <c r="F37" s="716" t="n"/>
      <c r="G37" s="716" t="n"/>
      <c r="H37" s="716" t="n"/>
      <c r="I37" s="716" t="n"/>
      <c r="J37" s="716" t="n"/>
      <c r="K37" s="716" t="n"/>
      <c r="L37" s="716" t="n"/>
      <c r="M37" s="716" t="n"/>
      <c r="N37" s="716" t="n"/>
      <c r="O37" s="716" t="n"/>
      <c r="P37" s="716" t="n"/>
      <c r="Q37" s="716" t="n"/>
      <c r="R37" s="716" t="n"/>
      <c r="S37" s="462" t="n"/>
      <c r="T37" s="716" t="n"/>
      <c r="U37" s="716" t="n"/>
      <c r="V37" s="716" t="n"/>
      <c r="W37" s="716" t="n"/>
      <c r="X37" s="190">
        <f>"编制月份："&amp;$I$3&amp;"年"&amp;$I$8&amp;"月"</f>
        <v/>
      </c>
      <c r="Y37" s="190" t="inlineStr">
        <is>
          <t>币种：</t>
        </is>
      </c>
      <c r="Z37" s="716" t="inlineStr">
        <is>
          <t>LC</t>
        </is>
      </c>
      <c r="AA37" s="716" t="n"/>
      <c r="AB37" s="716" t="n"/>
      <c r="AC37" s="716" t="n"/>
      <c r="AD37" s="716" t="n"/>
      <c r="AE37" s="716" t="n"/>
      <c r="AF37" s="716" t="n"/>
      <c r="AG37" s="716" t="n"/>
      <c r="AH37" s="716" t="n"/>
      <c r="AI37" s="716" t="n"/>
      <c r="AJ37" s="716" t="n"/>
      <c r="AK37" s="716" t="n"/>
      <c r="AL37" s="716" t="n"/>
      <c r="AM37" s="716" t="n"/>
      <c r="AN37" s="716" t="n"/>
      <c r="AO37" s="716" t="n"/>
      <c r="AP37" s="716" t="n"/>
      <c r="AQ37" s="716" t="n"/>
      <c r="AR37" s="716" t="n"/>
      <c r="AS37" s="716" t="n"/>
      <c r="AT37" s="716" t="n"/>
      <c r="AU37" s="716" t="n"/>
      <c r="AV37" s="716" t="n"/>
      <c r="AW37" s="716" t="n"/>
      <c r="AX37" s="716" t="n"/>
      <c r="AY37" s="716" t="n"/>
      <c r="AZ37" s="716" t="n"/>
      <c r="BA37" s="716" t="n"/>
      <c r="BB37" s="716" t="n"/>
      <c r="BC37" s="716" t="n"/>
      <c r="BD37" s="716" t="n"/>
      <c r="BE37" s="716" t="n"/>
      <c r="BF37" s="716" t="n"/>
      <c r="BG37" s="716" t="n"/>
      <c r="BH37" s="716" t="n"/>
      <c r="BI37" s="716" t="n"/>
      <c r="BJ37" s="716" t="n"/>
      <c r="BK37" s="716" t="n"/>
      <c r="BL37" s="716" t="n"/>
      <c r="BM37" s="716" t="n"/>
      <c r="BN37" s="716" t="n"/>
      <c r="BO37" s="716" t="n"/>
      <c r="BP37" s="716" t="n"/>
      <c r="BQ37" s="716" t="n"/>
      <c r="BR37" s="716" t="n"/>
      <c r="BS37" s="716" t="n"/>
      <c r="BT37" s="716" t="n"/>
      <c r="BU37" s="716" t="n"/>
      <c r="BV37" s="716" t="n"/>
      <c r="BW37" s="716" t="n"/>
      <c r="BX37" s="716" t="n"/>
      <c r="BY37" s="716" t="n"/>
      <c r="BZ37" s="716" t="n"/>
      <c r="CA37" s="716" t="n"/>
      <c r="CB37" s="716" t="n"/>
      <c r="CC37" s="716" t="n"/>
      <c r="CD37" s="716" t="n"/>
      <c r="CE37" s="716" t="n"/>
      <c r="CF37" s="716" t="n"/>
      <c r="CG37" s="716" t="n"/>
      <c r="CH37" s="716" t="n"/>
      <c r="CI37" s="716" t="n"/>
      <c r="CJ37" s="716" t="n"/>
      <c r="CK37" s="716" t="n"/>
      <c r="CL37" s="716" t="n"/>
      <c r="CM37" s="716" t="n"/>
      <c r="CN37" s="716" t="n"/>
      <c r="CO37" s="716" t="n"/>
      <c r="CP37" s="716" t="n"/>
    </row>
    <row r="38" hidden="1" ht="10.5" customFormat="1" customHeight="1" s="716">
      <c r="A38" s="716" t="n"/>
      <c r="B38" s="716" t="n"/>
      <c r="C38" s="716" t="n"/>
      <c r="D38" s="716" t="n"/>
      <c r="E38" s="716" t="n"/>
      <c r="F38" s="716" t="n"/>
      <c r="G38" s="716" t="n"/>
      <c r="H38" s="716" t="n"/>
      <c r="I38" s="716" t="n"/>
      <c r="J38" s="716" t="n"/>
      <c r="K38" s="716" t="n"/>
      <c r="L38" s="716" t="n"/>
      <c r="M38" s="716" t="n"/>
      <c r="N38" s="716" t="n"/>
      <c r="O38" s="716" t="n"/>
      <c r="P38" s="716" t="n"/>
      <c r="Q38" s="716" t="n"/>
      <c r="R38" s="716" t="n"/>
      <c r="S38" s="462" t="n"/>
      <c r="T38" s="716" t="n"/>
      <c r="U38" s="716" t="n"/>
      <c r="V38" s="716" t="n"/>
      <c r="W38" s="716" t="n"/>
      <c r="X38" s="190" t="n"/>
      <c r="Y38" s="190" t="n"/>
      <c r="Z38" s="716" t="n"/>
      <c r="AA38" s="716" t="n"/>
      <c r="AB38" s="203" t="n"/>
      <c r="AC38" s="716" t="n"/>
      <c r="AD38" s="716" t="n"/>
      <c r="AE38" s="716" t="n"/>
      <c r="AF38" s="716" t="n"/>
      <c r="AG38" s="716" t="n"/>
      <c r="AH38" s="716" t="n"/>
      <c r="AI38" s="716" t="n"/>
      <c r="AJ38" s="716" t="n"/>
      <c r="AK38" s="716" t="n"/>
      <c r="AL38" s="716" t="n"/>
      <c r="AM38" s="716" t="n"/>
      <c r="AN38" s="716" t="n"/>
      <c r="AO38" s="716" t="n"/>
      <c r="AP38" s="716" t="n"/>
      <c r="AQ38" s="716" t="n"/>
      <c r="AR38" s="716" t="n"/>
      <c r="AS38" s="716" t="n"/>
      <c r="AT38" s="716" t="n"/>
      <c r="AU38" s="716" t="n"/>
      <c r="AV38" s="716" t="n"/>
      <c r="AW38" s="716" t="n"/>
      <c r="AX38" s="716" t="n"/>
      <c r="AY38" s="716" t="n"/>
      <c r="AZ38" s="716" t="n"/>
      <c r="BA38" s="716" t="n"/>
      <c r="BB38" s="716" t="n"/>
      <c r="BC38" s="716" t="n"/>
      <c r="BD38" s="716" t="n"/>
      <c r="BE38" s="716" t="n"/>
      <c r="BF38" s="716" t="n"/>
      <c r="BG38" s="716" t="n"/>
      <c r="BH38" s="716" t="n"/>
      <c r="BI38" s="716" t="n"/>
      <c r="BJ38" s="716" t="n"/>
      <c r="BK38" s="716" t="n"/>
      <c r="BL38" s="716" t="n"/>
      <c r="BM38" s="716" t="n"/>
      <c r="BN38" s="716" t="n"/>
      <c r="BO38" s="716" t="n"/>
      <c r="BP38" s="716" t="n"/>
      <c r="BQ38" s="716" t="n"/>
      <c r="BR38" s="716" t="n"/>
      <c r="BS38" s="716" t="n"/>
      <c r="BT38" s="716" t="n"/>
      <c r="BU38" s="716" t="n"/>
      <c r="BV38" s="716" t="n"/>
      <c r="BW38" s="716" t="n"/>
      <c r="BX38" s="716" t="n"/>
      <c r="BY38" s="716" t="n"/>
      <c r="BZ38" s="716" t="n"/>
      <c r="CA38" s="716" t="n"/>
      <c r="CB38" s="716" t="n"/>
      <c r="CC38" s="716" t="n"/>
      <c r="CD38" s="716" t="n"/>
      <c r="CE38" s="716" t="n"/>
      <c r="CF38" s="716" t="n"/>
      <c r="CG38" s="716" t="n"/>
      <c r="CH38" s="716" t="n"/>
      <c r="CI38" s="716" t="n"/>
      <c r="CJ38" s="716" t="n"/>
      <c r="CK38" s="716" t="n"/>
      <c r="CL38" s="716" t="n"/>
      <c r="CM38" s="716" t="n"/>
      <c r="CN38" s="716" t="n"/>
      <c r="CO38" s="716" t="n"/>
      <c r="CP38" s="716" t="n"/>
    </row>
    <row r="39" ht="16.5" customFormat="1" customHeight="1" s="716">
      <c r="A39" s="716" t="n"/>
      <c r="B39" s="716" t="n"/>
      <c r="C39" s="716" t="n"/>
      <c r="D39" s="716" t="n"/>
      <c r="E39" s="716" t="n"/>
      <c r="F39" s="716" t="n"/>
      <c r="G39" s="716" t="n"/>
      <c r="H39" s="716" t="n"/>
      <c r="I39" s="716" t="n"/>
      <c r="J39" s="716" t="n"/>
      <c r="K39" s="716" t="n"/>
      <c r="L39" s="716" t="n"/>
      <c r="M39" s="716" t="n"/>
      <c r="N39" s="716" t="n"/>
      <c r="O39" s="716" t="n"/>
      <c r="P39" s="716" t="n"/>
      <c r="Q39" s="716" t="n"/>
      <c r="R39" s="716" t="n"/>
      <c r="S39" s="462" t="n"/>
      <c r="T39" s="716" t="n"/>
      <c r="U39" s="716" t="n"/>
      <c r="V39" s="716" t="n"/>
      <c r="W39" s="716" t="n"/>
      <c r="X39" s="450" t="inlineStr">
        <is>
          <t>指标名称</t>
        </is>
      </c>
      <c r="Y39" s="1393" t="inlineStr">
        <is>
          <t>行次</t>
        </is>
      </c>
      <c r="Z39" s="1382" t="inlineStr">
        <is>
          <t>本月数</t>
        </is>
      </c>
      <c r="AA39" s="1382" t="inlineStr">
        <is>
          <t>本年累计</t>
        </is>
      </c>
      <c r="AB39" s="1382" t="inlineStr">
        <is>
          <t>上年同期</t>
        </is>
      </c>
      <c r="AC39" s="1382" t="inlineStr">
        <is>
          <t>本月数</t>
        </is>
      </c>
      <c r="AD39" s="1382" t="inlineStr">
        <is>
          <t>上月本年累计数</t>
        </is>
      </c>
      <c r="AE39" s="716" t="n"/>
      <c r="AF39" s="716" t="n"/>
      <c r="AG39" s="716" t="n"/>
      <c r="AH39" s="716" t="n"/>
      <c r="AI39" s="716" t="n"/>
      <c r="AJ39" s="716" t="n"/>
      <c r="AK39" s="716" t="n"/>
      <c r="AL39" s="716" t="n"/>
      <c r="AM39" s="716" t="n"/>
      <c r="AN39" s="716" t="n"/>
      <c r="AO39" s="716" t="n"/>
      <c r="AP39" s="716" t="n"/>
      <c r="AQ39" s="716" t="n"/>
      <c r="AR39" s="716" t="n"/>
      <c r="AS39" s="716" t="n"/>
      <c r="AT39" s="716" t="n"/>
      <c r="AU39" s="716" t="n"/>
      <c r="AV39" s="716" t="n"/>
      <c r="AW39" s="716" t="n"/>
      <c r="AX39" s="716" t="n"/>
      <c r="AY39" s="716" t="n"/>
      <c r="AZ39" s="716" t="n"/>
      <c r="BA39" s="716" t="n"/>
      <c r="BB39" s="716" t="n"/>
      <c r="BC39" s="716" t="n"/>
      <c r="BD39" s="716" t="n"/>
      <c r="BE39" s="716" t="n"/>
      <c r="BF39" s="716" t="n"/>
      <c r="BG39" s="716" t="n"/>
      <c r="BH39" s="716" t="n"/>
      <c r="BI39" s="716" t="n"/>
      <c r="BJ39" s="716" t="n"/>
      <c r="BK39" s="716" t="n"/>
      <c r="BL39" s="716" t="n"/>
      <c r="BM39" s="716" t="n"/>
      <c r="BN39" s="716" t="n"/>
      <c r="BO39" s="716" t="n"/>
      <c r="BP39" s="716" t="n"/>
      <c r="BQ39" s="716" t="n"/>
      <c r="BR39" s="716" t="n"/>
      <c r="BS39" s="716" t="n"/>
      <c r="BT39" s="716" t="n"/>
      <c r="BU39" s="716" t="n"/>
      <c r="BV39" s="716" t="n"/>
      <c r="BW39" s="716" t="n"/>
      <c r="BX39" s="716" t="n"/>
      <c r="BY39" s="716" t="n"/>
      <c r="BZ39" s="716" t="n"/>
      <c r="CA39" s="716" t="n"/>
      <c r="CB39" s="716" t="n"/>
      <c r="CC39" s="716" t="n"/>
      <c r="CD39" s="716" t="n"/>
      <c r="CE39" s="716" t="n"/>
      <c r="CF39" s="716" t="n"/>
      <c r="CG39" s="716" t="n"/>
      <c r="CH39" s="716" t="n"/>
      <c r="CI39" s="716" t="n"/>
      <c r="CJ39" s="716" t="n"/>
      <c r="CK39" s="716" t="n"/>
      <c r="CL39" s="716" t="n"/>
      <c r="CM39" s="716" t="n"/>
      <c r="CN39" s="716" t="n"/>
      <c r="CO39" s="716" t="n"/>
      <c r="CP39" s="716" t="n"/>
    </row>
    <row r="40" hidden="1" ht="15.2" customFormat="1" customHeight="1" s="716">
      <c r="A40" s="716" t="n"/>
      <c r="B40" s="716" t="n"/>
      <c r="C40" s="716" t="n"/>
      <c r="D40" s="716" t="n"/>
      <c r="E40" s="716" t="n"/>
      <c r="F40" s="716" t="n"/>
      <c r="G40" s="716" t="n"/>
      <c r="H40" s="716" t="n"/>
      <c r="I40" s="716" t="n"/>
      <c r="J40" s="716" t="n"/>
      <c r="K40" s="716" t="n"/>
      <c r="L40" s="716" t="n"/>
      <c r="M40" s="716" t="n"/>
      <c r="N40" s="716" t="n"/>
      <c r="O40" s="716" t="n"/>
      <c r="P40" s="716" t="n"/>
      <c r="Q40" s="716" t="n"/>
      <c r="R40" s="716" t="n"/>
      <c r="S40" s="462" t="n"/>
      <c r="T40" s="716" t="n"/>
      <c r="U40" s="716" t="n"/>
      <c r="V40" s="716" t="n"/>
      <c r="W40" s="716" t="n"/>
      <c r="X40" s="316" t="inlineStr">
        <is>
          <t>measures</t>
        </is>
      </c>
      <c r="Y40" s="1385" t="n"/>
      <c r="Z40" s="296">
        <f>IF(_epmOfflineCondition_,"YTD",EPMOlapMemberO(Z$27,"[MEASURES].[].[YTD]","YTD - Year To Date","","000"))</f>
        <v/>
      </c>
      <c r="AA40" s="296">
        <f>IF(_epmOfflineCondition_,"YTD",EPMOlapMemberO(AA27,"[MEASURES].[].[YTD]","YTD - Year To Date","","000"))</f>
        <v/>
      </c>
      <c r="AB40" s="296">
        <f>IF(_epmOfflineCondition_,"YTD",EPMOlapMemberO(AB$27,"[MEASURES].[].[YTD]","YTD - Year To Date","","000"))</f>
        <v/>
      </c>
      <c r="AC40" s="296">
        <f>IF(_epmOfflineCondition_,"Periodic",EPMOlapMemberO(AC27,"[MEASURES].[].[PERIODIC]","PERIODIC - Periodic","","000"))</f>
        <v/>
      </c>
      <c r="AD40" s="296">
        <f>IF(_epmOfflineCondition_,"YTD",EPMOlapMemberO(AD27,"[MEASURES].[].[YTD]","YTD - Year To Date","","000"))</f>
        <v/>
      </c>
      <c r="AE40" s="716" t="n"/>
      <c r="AF40" s="716" t="n"/>
      <c r="AG40" s="716" t="n"/>
      <c r="AH40" s="716" t="n"/>
      <c r="AI40" s="716" t="n"/>
      <c r="AJ40" s="716" t="n"/>
      <c r="AK40" s="716" t="n"/>
      <c r="AL40" s="716" t="n"/>
      <c r="AM40" s="716" t="n"/>
      <c r="AN40" s="716" t="n"/>
      <c r="AO40" s="716" t="n"/>
      <c r="AP40" s="716" t="n"/>
      <c r="AQ40" s="716" t="n"/>
      <c r="AR40" s="716" t="n"/>
      <c r="AS40" s="716" t="n"/>
      <c r="AT40" s="716" t="n"/>
      <c r="AU40" s="716" t="n"/>
      <c r="AV40" s="716" t="n"/>
      <c r="AW40" s="716" t="n"/>
      <c r="AX40" s="716" t="n"/>
      <c r="AY40" s="716" t="n"/>
      <c r="AZ40" s="716" t="n"/>
      <c r="BA40" s="716" t="n"/>
      <c r="BB40" s="716" t="n"/>
      <c r="BC40" s="716" t="n"/>
      <c r="BD40" s="716" t="n"/>
      <c r="BE40" s="716" t="n"/>
      <c r="BF40" s="716" t="n"/>
      <c r="BG40" s="716" t="n"/>
      <c r="BH40" s="716" t="n"/>
      <c r="BI40" s="716" t="n"/>
      <c r="BJ40" s="716" t="n"/>
      <c r="BK40" s="716" t="n"/>
      <c r="BL40" s="716" t="n"/>
      <c r="BM40" s="716" t="n"/>
      <c r="BN40" s="716" t="n"/>
      <c r="BO40" s="716" t="n"/>
      <c r="BP40" s="716" t="n"/>
      <c r="BQ40" s="716" t="n"/>
      <c r="BR40" s="716" t="n"/>
      <c r="BS40" s="716" t="n"/>
      <c r="BT40" s="716" t="n"/>
      <c r="BU40" s="716" t="n"/>
      <c r="BV40" s="716" t="n"/>
      <c r="BW40" s="716" t="n"/>
      <c r="BX40" s="716" t="n"/>
      <c r="BY40" s="716" t="n"/>
      <c r="BZ40" s="716" t="n"/>
      <c r="CA40" s="716" t="n"/>
      <c r="CB40" s="716" t="n"/>
      <c r="CC40" s="716" t="n"/>
      <c r="CD40" s="716" t="n"/>
      <c r="CE40" s="716" t="n"/>
      <c r="CF40" s="716" t="n"/>
      <c r="CG40" s="716" t="n"/>
      <c r="CH40" s="716" t="n"/>
      <c r="CI40" s="716" t="n"/>
      <c r="CJ40" s="716" t="n"/>
      <c r="CK40" s="716" t="n"/>
      <c r="CL40" s="716" t="n"/>
      <c r="CM40" s="716" t="n"/>
      <c r="CN40" s="716" t="n"/>
      <c r="CO40" s="716" t="n"/>
      <c r="CP40" s="716" t="n"/>
    </row>
    <row r="41" hidden="1" ht="14.25" customFormat="1" customHeight="1" s="24">
      <c r="A41" s="24" t="n"/>
      <c r="B41" s="24" t="n"/>
      <c r="C41" s="24" t="n"/>
      <c r="D41" s="24" t="n"/>
      <c r="E41" s="24" t="n"/>
      <c r="F41" s="24" t="n"/>
      <c r="G41" s="24" t="n"/>
      <c r="H41" s="24" t="n"/>
      <c r="I41" s="24" t="n"/>
      <c r="J41" s="24" t="n"/>
      <c r="K41" s="24" t="n"/>
      <c r="L41" s="24" t="n"/>
      <c r="M41" s="24" t="n"/>
      <c r="N41" s="24" t="n"/>
      <c r="O41" s="24" t="n"/>
      <c r="P41" s="24" t="n"/>
      <c r="Q41" s="24" t="n"/>
      <c r="R41" s="24" t="n"/>
      <c r="S41" s="24" t="n"/>
      <c r="T41" s="24" t="n"/>
      <c r="U41" s="24" t="n"/>
      <c r="V41" s="24" t="n"/>
      <c r="W41" s="24" t="n"/>
      <c r="X41" s="316" t="inlineStr">
        <is>
          <t>time</t>
        </is>
      </c>
      <c r="Y41" s="479" t="n"/>
      <c r="Z41" s="286">
        <f>IF(_epmOfflineCondition_,"2025.03",EPMOlapMemberO(Z$26,"[C_TIME].[PARENTH1].[2025.03]","2025.03 - 2025.03","","000"))</f>
        <v/>
      </c>
      <c r="AA41" s="286">
        <f>IF(_epmOfflineCondition_,"2025.03",EPMOlapMemberO(AA26,"[C_TIME].[PARENTH1].[2025.03]","2025.03 - 2025.03","","000"))</f>
        <v/>
      </c>
      <c r="AB41" s="286">
        <f>IF(_epmOfflineCondition_,"2024.03",EPMOlapMemberO(AB$26,"[C_TIME].[PARENTH1].[2024.03]","2024.03 - 2024.03","","000"))</f>
        <v/>
      </c>
      <c r="AC41" s="286">
        <f>IF(_epmOfflineCondition_,"2025.03",EPMOlapMemberO(AC26,"[C_TIME].[PARENTH1].[2025.03]","2025.03 - 2025.03","","000"))</f>
        <v/>
      </c>
      <c r="AD41" s="286">
        <f>IF(_epmOfflineCondition_,"2025.02",EPMOlapMemberO(AD26,"[C_TIME].[PARENTH1].[2025.02]","2025.02 - 2025.02","","000"))</f>
        <v/>
      </c>
      <c r="AE41" s="716" t="n"/>
      <c r="AF41" s="716" t="n"/>
      <c r="AG41" s="716" t="n"/>
      <c r="AH41" s="716" t="n"/>
      <c r="AI41" s="716" t="n"/>
      <c r="AJ41" s="716" t="n"/>
      <c r="AK41" s="716" t="n"/>
      <c r="AL41" s="716" t="n"/>
      <c r="AM41" s="716" t="n"/>
      <c r="AN41" s="716" t="n"/>
      <c r="AO41" s="716" t="n"/>
      <c r="AP41" s="716" t="n"/>
      <c r="AQ41" s="716" t="n"/>
      <c r="AR41" s="716" t="n"/>
      <c r="AS41" s="716" t="n"/>
      <c r="AT41" s="716" t="n"/>
      <c r="AU41" s="716" t="n"/>
      <c r="AV41" s="716" t="n"/>
      <c r="AW41" s="716" t="n"/>
      <c r="AX41" s="716" t="n"/>
      <c r="AY41" s="716" t="n"/>
      <c r="AZ41" s="716" t="n"/>
      <c r="BA41" s="716" t="n"/>
      <c r="BB41" s="716" t="n"/>
      <c r="BC41" s="716" t="n"/>
      <c r="BD41" s="716" t="n"/>
      <c r="BE41" s="716" t="n"/>
      <c r="BF41" s="716" t="n"/>
      <c r="BG41" s="716" t="n"/>
      <c r="BH41" s="716" t="n"/>
      <c r="BI41" s="716" t="n"/>
      <c r="BJ41" s="716" t="n"/>
      <c r="BK41" s="716" t="n"/>
      <c r="BL41" s="716" t="n"/>
      <c r="BM41" s="716" t="n"/>
      <c r="BN41" s="716" t="n"/>
      <c r="BO41" s="716" t="n"/>
      <c r="BP41" s="716" t="n"/>
      <c r="BQ41" s="716" t="n"/>
      <c r="BR41" s="716" t="n"/>
      <c r="BS41" s="716" t="n"/>
      <c r="BT41" s="716" t="n"/>
      <c r="BU41" s="716" t="n"/>
      <c r="BV41" s="716" t="n"/>
      <c r="BW41" s="716" t="n"/>
      <c r="BX41" s="716" t="n"/>
      <c r="BY41" s="716" t="n"/>
      <c r="BZ41" s="716" t="n"/>
      <c r="CA41" s="716" t="n"/>
      <c r="CB41" s="716" t="n"/>
      <c r="CC41" s="716" t="n"/>
      <c r="CD41" s="716" t="n"/>
      <c r="CE41" s="716" t="n"/>
      <c r="CF41" s="716" t="n"/>
      <c r="CG41" s="716" t="n"/>
      <c r="CH41" s="716" t="n"/>
      <c r="CI41" s="716" t="n"/>
      <c r="CJ41" s="716" t="n"/>
      <c r="CK41" s="716" t="n"/>
      <c r="CL41" s="716" t="n"/>
      <c r="CM41" s="716" t="n"/>
      <c r="CN41" s="716" t="n"/>
      <c r="CO41" s="716" t="n"/>
      <c r="CP41" s="716" t="n"/>
    </row>
    <row r="42" hidden="1" ht="14.25" customFormat="1" customHeight="1" s="716">
      <c r="A42" s="716" t="n"/>
      <c r="B42" s="716" t="n"/>
      <c r="C42" s="716" t="n"/>
      <c r="D42" s="716" t="n"/>
      <c r="E42" s="716" t="n"/>
      <c r="F42" s="716" t="n"/>
      <c r="G42" s="716" t="n"/>
      <c r="H42" s="716" t="n"/>
      <c r="I42" s="716" t="n"/>
      <c r="J42" s="716" t="n"/>
      <c r="K42" s="716" t="n"/>
      <c r="L42" s="716" t="n"/>
      <c r="M42" s="716" t="n"/>
      <c r="N42" s="716" t="n"/>
      <c r="O42" s="716" t="n"/>
      <c r="P42" s="716" t="n"/>
      <c r="Q42" s="716" t="n"/>
      <c r="R42" s="716" t="n"/>
      <c r="S42" s="462" t="n"/>
      <c r="T42" s="716" t="n"/>
      <c r="U42" s="716" t="n"/>
      <c r="V42" s="716" t="n"/>
      <c r="W42" s="716" t="n"/>
      <c r="X42" s="316" t="inlineStr">
        <is>
          <t>category</t>
        </is>
      </c>
      <c r="Y42" s="316" t="n"/>
      <c r="Z42" s="296">
        <f>IF(_epmOfflineCondition_,"C1001",EPMOlapMemberO($Z$25,"[C_CATEGORY].[PARENTH1].[C1001]","C1001 - 实际数/决算数","","000"))</f>
        <v/>
      </c>
      <c r="AA42" s="296">
        <f>IF(_epmOfflineCondition_,"C1001",EPMOlapMemberO(AA25,"[C_CATEGORY].[PARENTH1].[C1001]","C1001 - 实际数/决算数","","000"))</f>
        <v/>
      </c>
      <c r="AB42" s="296">
        <f>IF(_epmOfflineCondition_,"C1001",EPMOlapMemberO($Z$25,"[C_CATEGORY].[PARENTH1].[C1001]","C1001 - 实际数/决算数","","000"))</f>
        <v/>
      </c>
      <c r="AC42" s="296">
        <f>IF(_epmOfflineCondition_,"C1001",EPMOlapMemberO(AC25,"[C_CATEGORY].[PARENTH1].[C1001]","C1001 - 实际数/决算数","","000"))</f>
        <v/>
      </c>
      <c r="AD42" s="296">
        <f>IF(_epmOfflineCondition_,"C1001",EPMOlapMemberO(AD25,"[C_CATEGORY].[PARENTH1].[C1001]","C1001 - 实际数/决算数","","000"))</f>
        <v/>
      </c>
      <c r="AE42" s="716" t="n"/>
      <c r="AF42" s="716" t="n"/>
      <c r="AG42" s="716" t="n"/>
      <c r="AH42" s="716" t="n"/>
      <c r="AI42" s="716" t="n"/>
      <c r="AJ42" s="716" t="n"/>
      <c r="AK42" s="716" t="n"/>
      <c r="AL42" s="716" t="n"/>
      <c r="AM42" s="716" t="n"/>
      <c r="AN42" s="716" t="n"/>
      <c r="AO42" s="716" t="n"/>
      <c r="AP42" s="716" t="n"/>
      <c r="AQ42" s="716" t="n"/>
      <c r="AR42" s="716" t="n"/>
      <c r="AS42" s="716" t="n"/>
      <c r="AT42" s="716" t="n"/>
      <c r="AU42" s="716" t="n"/>
      <c r="AV42" s="716" t="n"/>
      <c r="AW42" s="716" t="n"/>
      <c r="AX42" s="716" t="n"/>
      <c r="AY42" s="716" t="n"/>
      <c r="AZ42" s="716" t="n"/>
      <c r="BA42" s="716" t="n"/>
      <c r="BB42" s="716" t="n"/>
      <c r="BC42" s="716" t="n"/>
      <c r="BD42" s="716" t="n"/>
      <c r="BE42" s="716" t="n"/>
      <c r="BF42" s="716" t="n"/>
      <c r="BG42" s="716" t="n"/>
      <c r="BH42" s="716" t="n"/>
      <c r="BI42" s="716" t="n"/>
      <c r="BJ42" s="716" t="n"/>
      <c r="BK42" s="716" t="n"/>
      <c r="BL42" s="716" t="n"/>
      <c r="BM42" s="716" t="n"/>
      <c r="BN42" s="716" t="n"/>
      <c r="BO42" s="716" t="n"/>
      <c r="BP42" s="716" t="n"/>
      <c r="BQ42" s="716" t="n"/>
      <c r="BR42" s="716" t="n"/>
      <c r="BS42" s="716" t="n"/>
      <c r="BT42" s="716" t="n"/>
      <c r="BU42" s="716" t="n"/>
      <c r="BV42" s="716" t="n"/>
      <c r="BW42" s="716" t="n"/>
      <c r="BX42" s="716" t="n"/>
      <c r="BY42" s="716" t="n"/>
      <c r="BZ42" s="716" t="n"/>
      <c r="CA42" s="716" t="n"/>
      <c r="CB42" s="716" t="n"/>
      <c r="CC42" s="716" t="n"/>
      <c r="CD42" s="716" t="n"/>
      <c r="CE42" s="716" t="n"/>
      <c r="CF42" s="716" t="n"/>
      <c r="CG42" s="716" t="n"/>
      <c r="CH42" s="716" t="n"/>
      <c r="CI42" s="716" t="n"/>
      <c r="CJ42" s="716" t="n"/>
      <c r="CK42" s="716" t="n"/>
      <c r="CL42" s="716" t="n"/>
      <c r="CM42" s="716" t="n"/>
      <c r="CN42" s="716" t="n"/>
      <c r="CO42" s="716" t="n"/>
      <c r="CP42" s="716" t="n"/>
    </row>
    <row r="43" hidden="1" ht="13.5" customFormat="1" customHeight="1" s="716">
      <c r="A43" s="716" t="n"/>
      <c r="B43" s="716" t="n"/>
      <c r="C43" s="716" t="n"/>
      <c r="D43" s="716" t="n"/>
      <c r="E43" s="716" t="n"/>
      <c r="F43" s="716" t="n"/>
      <c r="G43" s="716" t="n"/>
      <c r="H43" s="716" t="n"/>
      <c r="I43" s="716" t="n"/>
      <c r="J43" s="716" t="n"/>
      <c r="K43" s="716" t="n"/>
      <c r="L43" s="716" t="n"/>
      <c r="M43" s="716" t="n"/>
      <c r="N43" s="716" t="n"/>
      <c r="O43" s="716" t="n"/>
      <c r="P43" s="716" t="n"/>
      <c r="Q43" s="716" t="n"/>
      <c r="R43" s="716" t="n"/>
      <c r="S43" s="462" t="n"/>
      <c r="T43" s="716" t="n"/>
      <c r="U43" s="716" t="n"/>
      <c r="V43" s="716" t="n"/>
      <c r="W43" s="716" t="n"/>
      <c r="X43" s="316" t="inlineStr">
        <is>
          <t>FLow</t>
        </is>
      </c>
      <c r="Y43" s="316" t="n"/>
      <c r="Z43" s="296">
        <f>IF(_epmOfflineCondition_,"F20",EPMOlapMemberO(Z$28,"[C_FLOW].[PARENTH1].[F20]","F20 - 本期增加","","000"))</f>
        <v/>
      </c>
      <c r="AA43" s="296">
        <f>IF(_epmOfflineCondition_,"F20",EPMOlapMemberO(AA28,"[C_FLOW].[PARENTH1].[F20]","F20 - 本期增加","","000"))</f>
        <v/>
      </c>
      <c r="AB43" s="296">
        <f>IF(_epmOfflineCondition_,"F20",EPMOlapMemberO(Z$28,"[C_FLOW].[PARENTH1].[F20]","F20 - 本期增加","","000"))</f>
        <v/>
      </c>
      <c r="AC43" s="296">
        <f>IF(_epmOfflineCondition_,"F20",EPMOlapMemberO(AC28,"[C_FLOW].[PARENTH1].[F20]","F20 - 本期增加","","000"))</f>
        <v/>
      </c>
      <c r="AD43" s="296">
        <f>IF(_epmOfflineCondition_,"F20",EPMOlapMemberO(AD28,"[C_FLOW].[PARENTH1].[F20]","F20 - 本期增加","","000"))</f>
        <v/>
      </c>
      <c r="AE43" s="716" t="n"/>
      <c r="AF43" s="716" t="n"/>
      <c r="AG43" s="716" t="n"/>
      <c r="AH43" s="716" t="n"/>
      <c r="AI43" s="716" t="n"/>
      <c r="AJ43" s="716" t="n"/>
      <c r="AK43" s="716" t="n"/>
      <c r="AL43" s="716" t="n"/>
      <c r="AM43" s="716" t="n"/>
      <c r="AN43" s="716" t="n"/>
      <c r="AO43" s="716" t="n"/>
      <c r="AP43" s="716" t="n"/>
      <c r="AQ43" s="716" t="n"/>
      <c r="AR43" s="716" t="n"/>
      <c r="AS43" s="716" t="n"/>
      <c r="AT43" s="716" t="n"/>
      <c r="AU43" s="716" t="n"/>
      <c r="AV43" s="716" t="n"/>
      <c r="AW43" s="716" t="n"/>
      <c r="AX43" s="716" t="n"/>
      <c r="AY43" s="716" t="n"/>
      <c r="AZ43" s="716" t="n"/>
      <c r="BA43" s="716" t="n"/>
      <c r="BB43" s="716" t="n"/>
      <c r="BC43" s="716" t="n"/>
      <c r="BD43" s="716" t="n"/>
      <c r="BE43" s="716" t="n"/>
      <c r="BF43" s="716" t="n"/>
      <c r="BG43" s="716" t="n"/>
      <c r="BH43" s="716" t="n"/>
      <c r="BI43" s="716" t="n"/>
      <c r="BJ43" s="716" t="n"/>
      <c r="BK43" s="716" t="n"/>
      <c r="BL43" s="716" t="n"/>
      <c r="BM43" s="716" t="n"/>
      <c r="BN43" s="716" t="n"/>
      <c r="BO43" s="716" t="n"/>
      <c r="BP43" s="716" t="n"/>
      <c r="BQ43" s="716" t="n"/>
      <c r="BR43" s="716" t="n"/>
      <c r="BS43" s="716" t="n"/>
      <c r="BT43" s="716" t="n"/>
      <c r="BU43" s="716" t="n"/>
      <c r="BV43" s="716" t="n"/>
      <c r="BW43" s="716" t="n"/>
      <c r="BX43" s="716" t="n"/>
      <c r="BY43" s="716" t="n"/>
      <c r="BZ43" s="716" t="n"/>
      <c r="CA43" s="716" t="n"/>
      <c r="CB43" s="716" t="n"/>
      <c r="CC43" s="716" t="n"/>
      <c r="CD43" s="716" t="n"/>
      <c r="CE43" s="716" t="n"/>
      <c r="CF43" s="716" t="n"/>
      <c r="CG43" s="716" t="n"/>
      <c r="CH43" s="716" t="n"/>
      <c r="CI43" s="716" t="n"/>
      <c r="CJ43" s="716" t="n"/>
      <c r="CK43" s="716" t="n"/>
      <c r="CL43" s="716" t="n"/>
      <c r="CM43" s="716" t="n"/>
      <c r="CN43" s="716" t="n"/>
      <c r="CO43" s="716" t="n"/>
      <c r="CP43" s="716" t="n"/>
    </row>
    <row r="44" hidden="1" ht="13.5" customFormat="1" customHeight="1" s="716">
      <c r="A44" s="716" t="n"/>
      <c r="B44" s="716" t="n"/>
      <c r="C44" s="716" t="n"/>
      <c r="D44" s="716" t="n"/>
      <c r="E44" s="716" t="n"/>
      <c r="F44" s="716" t="n"/>
      <c r="G44" s="716" t="n"/>
      <c r="H44" s="716" t="n"/>
      <c r="I44" s="716" t="n"/>
      <c r="J44" s="716" t="n"/>
      <c r="K44" s="716" t="n"/>
      <c r="L44" s="716" t="n"/>
      <c r="M44" s="716" t="n"/>
      <c r="N44" s="716" t="n"/>
      <c r="O44" s="716" t="n"/>
      <c r="P44" s="716" t="n"/>
      <c r="Q44" s="716" t="n"/>
      <c r="R44" s="716" t="n"/>
      <c r="S44" s="462" t="n"/>
      <c r="T44" s="716" t="n"/>
      <c r="U44" s="716" t="n"/>
      <c r="V44" s="716" t="n"/>
      <c r="W44" s="716" t="n"/>
      <c r="X44" s="316" t="inlineStr">
        <is>
          <t>misk</t>
        </is>
      </c>
      <c r="Y44" s="316" t="n"/>
      <c r="Z44" s="296">
        <f>IF(_epmOfflineCondition_,"ZM09901",EPMOlapMemberO(Z29,"[C_MISK].[PARENTH1].[ZM09901]","ZM09901 - 本月数","","000"))</f>
        <v/>
      </c>
      <c r="AA44" s="296">
        <f>IF(_epmOfflineCondition_,"ZM09902",EPMOlapMemberO(AA29,"[C_MISK].[PARENTH1].[ZM09902]","ZM09902 - 本年累计","","000"))</f>
        <v/>
      </c>
      <c r="AB44" s="296">
        <f>IF(_epmOfflineCondition_,"ZM09902",EPMOlapMemberO(AB29,"[C_MISK].[PARENTH1].[ZM09902]","ZM09902 - 本年累计","","000"))</f>
        <v/>
      </c>
      <c r="AC44" s="296">
        <f>IF(_epmOfflineCondition_,"ZM09902",EPMOlapMemberO(AC29,"[C_MISK].[PARENTH1].[ZM09902]","ZM09902 - 本年累计","","000"))</f>
        <v/>
      </c>
      <c r="AD44" s="296">
        <f>IF(_epmOfflineCondition_,"ZM09902",EPMOlapMemberO(AD29,"[C_MISK].[PARENTH1].[ZM09902]","ZM09902 - 本年累计","","000"))</f>
        <v/>
      </c>
      <c r="AE44" s="716" t="n"/>
      <c r="AF44" s="716" t="n"/>
      <c r="AG44" s="716" t="n"/>
      <c r="AH44" s="716" t="n"/>
      <c r="AI44" s="716" t="n"/>
      <c r="AJ44" s="716" t="n"/>
      <c r="AK44" s="716" t="n"/>
      <c r="AL44" s="716" t="n"/>
      <c r="AM44" s="716" t="n"/>
      <c r="AN44" s="716" t="n"/>
      <c r="AO44" s="716" t="n"/>
      <c r="AP44" s="716" t="n"/>
      <c r="AQ44" s="716" t="n"/>
      <c r="AR44" s="716" t="n"/>
      <c r="AS44" s="716" t="n"/>
      <c r="AT44" s="716" t="n"/>
      <c r="AU44" s="716" t="n"/>
      <c r="AV44" s="716" t="n"/>
      <c r="AW44" s="716" t="n"/>
      <c r="AX44" s="716" t="n"/>
      <c r="AY44" s="716" t="n"/>
      <c r="AZ44" s="716" t="n"/>
      <c r="BA44" s="716" t="n"/>
      <c r="BB44" s="716" t="n"/>
      <c r="BC44" s="716" t="n"/>
      <c r="BD44" s="716" t="n"/>
      <c r="BE44" s="716" t="n"/>
      <c r="BF44" s="716" t="n"/>
      <c r="BG44" s="716" t="n"/>
      <c r="BH44" s="716" t="n"/>
      <c r="BI44" s="716" t="n"/>
      <c r="BJ44" s="716" t="n"/>
      <c r="BK44" s="716" t="n"/>
      <c r="BL44" s="716" t="n"/>
      <c r="BM44" s="716" t="n"/>
      <c r="BN44" s="716" t="n"/>
      <c r="BO44" s="716" t="n"/>
      <c r="BP44" s="716" t="n"/>
      <c r="BQ44" s="716" t="n"/>
      <c r="BR44" s="716" t="n"/>
      <c r="BS44" s="716" t="n"/>
      <c r="BT44" s="716" t="n"/>
      <c r="BU44" s="716" t="n"/>
      <c r="BV44" s="716" t="n"/>
      <c r="BW44" s="716" t="n"/>
      <c r="BX44" s="716" t="n"/>
      <c r="BY44" s="716" t="n"/>
      <c r="BZ44" s="716" t="n"/>
      <c r="CA44" s="716" t="n"/>
      <c r="CB44" s="716" t="n"/>
      <c r="CC44" s="716" t="n"/>
      <c r="CD44" s="716" t="n"/>
      <c r="CE44" s="716" t="n"/>
      <c r="CF44" s="716" t="n"/>
      <c r="CG44" s="716" t="n"/>
      <c r="CH44" s="716" t="n"/>
      <c r="CI44" s="716" t="n"/>
      <c r="CJ44" s="716" t="n"/>
      <c r="CK44" s="716" t="n"/>
      <c r="CL44" s="716" t="n"/>
      <c r="CM44" s="716" t="n"/>
      <c r="CN44" s="716" t="n"/>
      <c r="CO44" s="716" t="n"/>
      <c r="CP44" s="716" t="n"/>
    </row>
    <row r="45" ht="13.5" customFormat="1" customHeight="1" s="716">
      <c r="A45" s="716" t="n"/>
      <c r="B45" s="716" t="n"/>
      <c r="C45" s="716" t="n"/>
      <c r="D45" s="716" t="n"/>
      <c r="E45" s="716" t="n"/>
      <c r="F45" s="716" t="n"/>
      <c r="G45" s="716" t="n"/>
      <c r="H45" s="716" t="n"/>
      <c r="I45" s="716" t="n"/>
      <c r="J45" s="716" t="n"/>
      <c r="K45" s="716" t="n"/>
      <c r="L45" s="716" t="n"/>
      <c r="M45" s="716" t="n"/>
      <c r="N45" s="716" t="n"/>
      <c r="O45" s="716" t="n"/>
      <c r="P45" s="716" t="n"/>
      <c r="Q45" s="716" t="n"/>
      <c r="R45" s="716" t="n"/>
      <c r="S45" s="462" t="n"/>
      <c r="T45" s="716" t="n"/>
      <c r="U45" s="462" t="n"/>
      <c r="V45" s="716" t="n"/>
      <c r="W45" s="716" t="n"/>
      <c r="X45" s="476" t="inlineStr">
        <is>
          <t>项目</t>
        </is>
      </c>
      <c r="Y45" s="316" t="n"/>
      <c r="Z45" s="1394">
        <f>"——"</f>
        <v/>
      </c>
      <c r="AA45" s="1394">
        <f>"——"</f>
        <v/>
      </c>
      <c r="AB45" s="1394">
        <f>"——"</f>
        <v/>
      </c>
      <c r="AC45" s="1394">
        <f>"——"</f>
        <v/>
      </c>
      <c r="AD45" s="1394">
        <f>"——"</f>
        <v/>
      </c>
      <c r="AE45" s="716" t="n"/>
      <c r="AF45" s="716" t="n"/>
      <c r="AG45" s="716" t="n"/>
      <c r="AH45" s="716" t="n"/>
      <c r="AI45" s="716" t="n"/>
      <c r="AJ45" s="716" t="n"/>
      <c r="AK45" s="716" t="n"/>
      <c r="AL45" s="716" t="n"/>
      <c r="AM45" s="716" t="n"/>
      <c r="AN45" s="716" t="n"/>
      <c r="AO45" s="716" t="n"/>
      <c r="AP45" s="716" t="n"/>
      <c r="AQ45" s="716" t="n"/>
      <c r="AR45" s="716" t="n"/>
      <c r="AS45" s="716" t="n"/>
      <c r="AT45" s="716" t="n"/>
      <c r="AU45" s="716" t="n"/>
      <c r="AV45" s="716" t="n"/>
      <c r="AW45" s="716" t="n"/>
      <c r="AX45" s="716" t="n"/>
      <c r="AY45" s="716" t="n"/>
      <c r="AZ45" s="716" t="n"/>
      <c r="BA45" s="716" t="n"/>
      <c r="BB45" s="716" t="n"/>
      <c r="BC45" s="716" t="n"/>
      <c r="BD45" s="716" t="n"/>
      <c r="BE45" s="716" t="n"/>
      <c r="BF45" s="716" t="n"/>
      <c r="BG45" s="716" t="n"/>
      <c r="BH45" s="716" t="n"/>
      <c r="BI45" s="716" t="n"/>
      <c r="BJ45" s="716" t="n"/>
      <c r="BK45" s="716" t="n"/>
      <c r="BL45" s="716" t="n"/>
      <c r="BM45" s="716" t="n"/>
      <c r="BN45" s="716" t="n"/>
      <c r="BO45" s="716" t="n"/>
      <c r="BP45" s="716" t="n"/>
      <c r="BQ45" s="716" t="n"/>
      <c r="BR45" s="716" t="n"/>
      <c r="BS45" s="716" t="n"/>
      <c r="BT45" s="716" t="n"/>
      <c r="BU45" s="716" t="n"/>
      <c r="BV45" s="716" t="n"/>
      <c r="BW45" s="716" t="n"/>
      <c r="BX45" s="716" t="n"/>
      <c r="BY45" s="716" t="n"/>
      <c r="BZ45" s="716" t="n"/>
      <c r="CA45" s="716" t="n"/>
      <c r="CB45" s="716" t="n"/>
      <c r="CC45" s="716" t="n"/>
      <c r="CD45" s="716" t="n"/>
      <c r="CE45" s="716" t="n"/>
      <c r="CF45" s="716" t="n"/>
      <c r="CG45" s="716" t="n"/>
      <c r="CH45" s="716" t="n"/>
      <c r="CI45" s="716" t="n"/>
      <c r="CJ45" s="716" t="n"/>
      <c r="CK45" s="716" t="n"/>
      <c r="CL45" s="716" t="n"/>
      <c r="CM45" s="716" t="n"/>
      <c r="CN45" s="716" t="n"/>
      <c r="CO45" s="716" t="n"/>
      <c r="CP45" s="716" t="n"/>
    </row>
    <row r="46" ht="16.5" customFormat="1" customHeight="1" s="716">
      <c r="A46" s="716" t="n"/>
      <c r="B46" s="716" t="n"/>
      <c r="C46" s="716" t="n"/>
      <c r="D46" s="716" t="n"/>
      <c r="E46" s="716" t="n"/>
      <c r="F46" s="716" t="n"/>
      <c r="G46" s="716" t="n"/>
      <c r="H46" s="716" t="n"/>
      <c r="I46" s="716" t="n"/>
      <c r="J46" s="716" t="n"/>
      <c r="K46" s="716" t="n"/>
      <c r="L46" s="716" t="n"/>
      <c r="M46" s="716" t="n"/>
      <c r="N46" s="716" t="n"/>
      <c r="O46" s="716" t="n"/>
      <c r="P46" s="716" t="n"/>
      <c r="Q46" s="716" t="n"/>
      <c r="R46" s="716" t="n"/>
      <c r="S46" s="462">
        <f>IF(_epmOfflineCondition_,"一、生产运营情况指标（相关企业填报）",EPMMemberDesc(U46))</f>
        <v/>
      </c>
      <c r="T46" s="716" t="n"/>
      <c r="U46" s="477" t="inlineStr">
        <is>
          <t>A08201</t>
        </is>
      </c>
      <c r="V46" s="462">
        <f>IF(_epmOfflineCondition_,"A08201",EPMOlapMemberO(U46,"[C_ACCOUNT].[PARENTH1].[A08201]","A08201 - 一、生产运营情况指标（相关企业填报）","","000"))</f>
        <v/>
      </c>
      <c r="W46" s="462" t="n"/>
      <c r="X46" s="478" t="inlineStr">
        <is>
          <t>一、生产运营情况指标（相关企业填报）</t>
        </is>
      </c>
      <c r="Y46" s="1185">
        <f>ROW()-45</f>
        <v/>
      </c>
      <c r="Z46" s="1216">
        <f>"——"</f>
        <v/>
      </c>
      <c r="AA46" s="1216">
        <f>"——"</f>
        <v/>
      </c>
      <c r="AB46" s="1216">
        <f>"——"</f>
        <v/>
      </c>
      <c r="AC46" s="1216">
        <f>"——"</f>
        <v/>
      </c>
      <c r="AD46" s="1216">
        <f>"——"</f>
        <v/>
      </c>
      <c r="AE46" s="716" t="n"/>
      <c r="AF46" s="716" t="n"/>
      <c r="AG46" s="716" t="n"/>
      <c r="AH46" s="716" t="n"/>
      <c r="AI46" s="716" t="n"/>
      <c r="AJ46" s="716" t="n"/>
      <c r="AK46" s="716" t="n"/>
      <c r="AL46" s="716" t="n"/>
      <c r="AM46" s="716" t="n"/>
      <c r="AN46" s="716" t="n"/>
      <c r="AO46" s="716" t="n"/>
      <c r="AP46" s="716" t="n"/>
      <c r="AQ46" s="716" t="n"/>
      <c r="AR46" s="716" t="n"/>
      <c r="AS46" s="716" t="n"/>
      <c r="AT46" s="716" t="n"/>
      <c r="AU46" s="716" t="n"/>
      <c r="AV46" s="716" t="n"/>
      <c r="AW46" s="716" t="n"/>
      <c r="AX46" s="716" t="n"/>
      <c r="AY46" s="716" t="n"/>
      <c r="AZ46" s="716" t="n"/>
      <c r="BA46" s="716" t="n"/>
      <c r="BB46" s="716" t="n"/>
      <c r="BC46" s="716" t="n"/>
      <c r="BD46" s="716" t="n"/>
      <c r="BE46" s="716" t="n"/>
      <c r="BF46" s="716" t="n"/>
      <c r="BG46" s="716" t="n"/>
      <c r="BH46" s="716" t="n"/>
      <c r="BI46" s="716" t="n"/>
      <c r="BJ46" s="716" t="n"/>
      <c r="BK46" s="716" t="n"/>
      <c r="BL46" s="716" t="n"/>
      <c r="BM46" s="716" t="n"/>
      <c r="BN46" s="716" t="n"/>
      <c r="BO46" s="716" t="n"/>
      <c r="BP46" s="716" t="n"/>
      <c r="BQ46" s="716" t="n"/>
      <c r="BR46" s="716" t="n"/>
      <c r="BS46" s="716" t="n"/>
      <c r="BT46" s="716" t="n"/>
      <c r="BU46" s="716" t="n"/>
      <c r="BV46" s="716" t="n"/>
      <c r="BW46" s="716" t="n"/>
      <c r="BX46" s="716" t="n"/>
      <c r="BY46" s="716" t="n"/>
      <c r="BZ46" s="716" t="n"/>
      <c r="CA46" s="716" t="n"/>
      <c r="CB46" s="716" t="n"/>
      <c r="CC46" s="716" t="n"/>
      <c r="CD46" s="716" t="n"/>
      <c r="CE46" s="716" t="n"/>
      <c r="CF46" s="716" t="n"/>
      <c r="CG46" s="716" t="n"/>
      <c r="CH46" s="716" t="n"/>
      <c r="CI46" s="716" t="n"/>
      <c r="CJ46" s="716" t="n"/>
      <c r="CK46" s="716" t="n"/>
      <c r="CL46" s="716" t="n"/>
      <c r="CM46" s="716" t="n"/>
      <c r="CN46" s="716" t="n"/>
      <c r="CO46" s="716" t="n"/>
      <c r="CP46" s="716" t="n"/>
    </row>
    <row r="47" ht="16.5" customFormat="1" customHeight="1" s="716">
      <c r="A47" s="716" t="n"/>
      <c r="B47" s="716" t="n"/>
      <c r="C47" s="716" t="n"/>
      <c r="D47" s="716" t="n"/>
      <c r="E47" s="716" t="n"/>
      <c r="F47" s="716" t="n"/>
      <c r="G47" s="716" t="n"/>
      <c r="H47" s="716" t="n"/>
      <c r="I47" s="716" t="n"/>
      <c r="J47" s="716" t="n"/>
      <c r="K47" s="716" t="n"/>
      <c r="L47" s="716" t="n"/>
      <c r="M47" s="716" t="n"/>
      <c r="N47" s="716" t="n"/>
      <c r="O47" s="716" t="n"/>
      <c r="P47" s="716" t="n"/>
      <c r="Q47" s="716" t="n"/>
      <c r="R47" s="716" t="n"/>
      <c r="S47" s="462">
        <f>IF(_epmOfflineCondition_,"01.工业企业（石油、石化、钢铁、煤炭、电力、汽车等）",EPMMemberDesc(U47))</f>
        <v/>
      </c>
      <c r="T47" s="716" t="n"/>
      <c r="U47" s="477" t="inlineStr">
        <is>
          <t>A0820101</t>
        </is>
      </c>
      <c r="V47" s="455">
        <f>IF(_epmOfflineCondition_,"A0820101",EPMOlapMemberO(U47,"[C_ACCOUNT].[PARENTH1].[A0820101]","A0820101 - 01.工业企业（石油、石化、钢铁、煤炭、电力、汽车等）","","000"))</f>
        <v/>
      </c>
      <c r="W47" s="462" t="n"/>
      <c r="X47" s="479" t="inlineStr">
        <is>
          <t>01.工业企业（石油、石化、钢铁、煤炭、电力、汽车等）</t>
        </is>
      </c>
      <c r="Y47" s="1185">
        <f>ROW()-45</f>
        <v/>
      </c>
      <c r="Z47" s="1216">
        <f>"——"</f>
        <v/>
      </c>
      <c r="AA47" s="1216">
        <f>"——"</f>
        <v/>
      </c>
      <c r="AB47" s="1216">
        <f>"——"</f>
        <v/>
      </c>
      <c r="AC47" s="1216">
        <f>"——"</f>
        <v/>
      </c>
      <c r="AD47" s="1216">
        <f>"——"</f>
        <v/>
      </c>
      <c r="AE47" s="716" t="n"/>
      <c r="AF47" s="716" t="n"/>
      <c r="AG47" s="716" t="n"/>
      <c r="AH47" s="716" t="n"/>
      <c r="AI47" s="716" t="n"/>
      <c r="AJ47" s="716" t="n"/>
      <c r="AK47" s="716" t="n"/>
      <c r="AL47" s="716" t="n"/>
      <c r="AM47" s="716" t="n"/>
      <c r="AN47" s="716" t="n"/>
      <c r="AO47" s="716" t="n"/>
      <c r="AP47" s="716" t="n"/>
      <c r="AQ47" s="716" t="n"/>
      <c r="AR47" s="716" t="n"/>
      <c r="AS47" s="716" t="n"/>
      <c r="AT47" s="716" t="n"/>
      <c r="AU47" s="716" t="n"/>
      <c r="AV47" s="716" t="n"/>
      <c r="AW47" s="716" t="n"/>
      <c r="AX47" s="716" t="n"/>
      <c r="AY47" s="716" t="n"/>
      <c r="AZ47" s="716" t="n"/>
      <c r="BA47" s="716" t="n"/>
      <c r="BB47" s="716" t="n"/>
      <c r="BC47" s="716" t="n"/>
      <c r="BD47" s="716" t="n"/>
      <c r="BE47" s="716" t="n"/>
      <c r="BF47" s="716" t="n"/>
      <c r="BG47" s="716" t="n"/>
      <c r="BH47" s="716" t="n"/>
      <c r="BI47" s="716" t="n"/>
      <c r="BJ47" s="716" t="n"/>
      <c r="BK47" s="716" t="n"/>
      <c r="BL47" s="716" t="n"/>
      <c r="BM47" s="716" t="n"/>
      <c r="BN47" s="716" t="n"/>
      <c r="BO47" s="716" t="n"/>
      <c r="BP47" s="716" t="n"/>
      <c r="BQ47" s="716" t="n"/>
      <c r="BR47" s="716" t="n"/>
      <c r="BS47" s="716" t="n"/>
      <c r="BT47" s="716" t="n"/>
      <c r="BU47" s="716" t="n"/>
      <c r="BV47" s="716" t="n"/>
      <c r="BW47" s="716" t="n"/>
      <c r="BX47" s="716" t="n"/>
      <c r="BY47" s="716" t="n"/>
      <c r="BZ47" s="716" t="n"/>
      <c r="CA47" s="716" t="n"/>
      <c r="CB47" s="716" t="n"/>
      <c r="CC47" s="716" t="n"/>
      <c r="CD47" s="716" t="n"/>
      <c r="CE47" s="716" t="n"/>
      <c r="CF47" s="716" t="n"/>
      <c r="CG47" s="716" t="n"/>
      <c r="CH47" s="716" t="n"/>
      <c r="CI47" s="716" t="n"/>
      <c r="CJ47" s="716" t="n"/>
      <c r="CK47" s="716" t="n"/>
      <c r="CL47" s="716" t="n"/>
      <c r="CM47" s="716" t="n"/>
      <c r="CN47" s="716" t="n"/>
      <c r="CO47" s="716" t="n"/>
      <c r="CP47" s="716" t="n"/>
    </row>
    <row r="48" ht="16.5" customFormat="1" customHeight="1" s="716">
      <c r="A48" s="716" t="n"/>
      <c r="B48" s="716" t="n"/>
      <c r="C48" s="716" t="n"/>
      <c r="D48" s="716" t="n"/>
      <c r="E48" s="716" t="n"/>
      <c r="F48" s="716" t="n"/>
      <c r="G48" s="716" t="n"/>
      <c r="H48" s="716" t="n"/>
      <c r="I48" s="716" t="n"/>
      <c r="J48" s="716" t="n"/>
      <c r="K48" s="716" t="n"/>
      <c r="L48" s="716" t="n"/>
      <c r="M48" s="716" t="n"/>
      <c r="N48" s="716" t="n"/>
      <c r="O48" s="716" t="n"/>
      <c r="P48" s="716" t="n"/>
      <c r="Q48" s="716" t="n"/>
      <c r="R48" s="716" t="n"/>
      <c r="S48" s="462">
        <f>IF(_epmOfflineCondition_,"(1)原油产量（万吨）",EPMMemberDesc(U48))</f>
        <v/>
      </c>
      <c r="T48" s="716" t="n"/>
      <c r="U48" s="477" t="inlineStr">
        <is>
          <t>A082010101</t>
        </is>
      </c>
      <c r="V48" s="535">
        <f>IF(_epmOfflineCondition_,"A082010101",EPMOlapMemberO(U48,"[C_ACCOUNT].[PARENTH1].[A082010101]","A082010101 - (1)原油产量（万吨）","","000"))</f>
        <v/>
      </c>
      <c r="W48" s="462" t="n"/>
      <c r="X48" s="480" t="inlineStr">
        <is>
          <t>(1)原油产量（万吨）</t>
        </is>
      </c>
      <c r="Y48" s="1185">
        <f>ROW()-45</f>
        <v/>
      </c>
      <c r="Z48" s="1307">
        <f>AC48</f>
        <v/>
      </c>
      <c r="AA48" s="1307">
        <f>SUM(AA49:AA50)</f>
        <v/>
      </c>
      <c r="AB48" s="1307">
        <f>SUM(AB49:AB50)</f>
        <v/>
      </c>
      <c r="AC48" s="489" t="n"/>
      <c r="AD48" s="489" t="n"/>
      <c r="AE48" s="716" t="n"/>
      <c r="AF48" s="716" t="n"/>
      <c r="AG48" s="716" t="n"/>
      <c r="AH48" s="716" t="n"/>
      <c r="AI48" s="716" t="n"/>
      <c r="AJ48" s="716" t="n"/>
      <c r="AK48" s="716" t="n"/>
      <c r="AL48" s="716" t="n"/>
      <c r="AM48" s="716" t="n"/>
      <c r="AN48" s="716" t="n"/>
      <c r="AO48" s="716" t="n"/>
      <c r="AP48" s="716" t="n"/>
      <c r="AQ48" s="716" t="n"/>
      <c r="AR48" s="716" t="n"/>
      <c r="AS48" s="716" t="n"/>
      <c r="AT48" s="716" t="n"/>
      <c r="AU48" s="716" t="n"/>
      <c r="AV48" s="716" t="n"/>
      <c r="AW48" s="716" t="n"/>
      <c r="AX48" s="716" t="n"/>
      <c r="AY48" s="716" t="n"/>
      <c r="AZ48" s="716" t="n"/>
      <c r="BA48" s="716" t="n"/>
      <c r="BB48" s="716" t="n"/>
      <c r="BC48" s="716" t="n"/>
      <c r="BD48" s="716" t="n"/>
      <c r="BE48" s="716" t="n"/>
      <c r="BF48" s="716" t="n"/>
      <c r="BG48" s="716" t="n"/>
      <c r="BH48" s="716" t="n"/>
      <c r="BI48" s="716" t="n"/>
      <c r="BJ48" s="716" t="n"/>
      <c r="BK48" s="716" t="n"/>
      <c r="BL48" s="716" t="n"/>
      <c r="BM48" s="716" t="n"/>
      <c r="BN48" s="716" t="n"/>
      <c r="BO48" s="716" t="n"/>
      <c r="BP48" s="716" t="n"/>
      <c r="BQ48" s="716" t="n"/>
      <c r="BR48" s="716" t="n"/>
      <c r="BS48" s="716" t="n"/>
      <c r="BT48" s="716" t="n"/>
      <c r="BU48" s="716" t="n"/>
      <c r="BV48" s="716" t="n"/>
      <c r="BW48" s="716" t="n"/>
      <c r="BX48" s="716" t="n"/>
      <c r="BY48" s="716" t="n"/>
      <c r="BZ48" s="716" t="n"/>
      <c r="CA48" s="716" t="n"/>
      <c r="CB48" s="716" t="n"/>
      <c r="CC48" s="716" t="n"/>
      <c r="CD48" s="716" t="n"/>
      <c r="CE48" s="716" t="n"/>
      <c r="CF48" s="716" t="n"/>
      <c r="CG48" s="716" t="n"/>
      <c r="CH48" s="716" t="n"/>
      <c r="CI48" s="716" t="n"/>
      <c r="CJ48" s="716" t="n"/>
      <c r="CK48" s="716" t="n"/>
      <c r="CL48" s="716" t="n"/>
      <c r="CM48" s="716" t="n"/>
      <c r="CN48" s="716" t="n"/>
      <c r="CO48" s="716" t="n"/>
      <c r="CP48" s="716" t="n"/>
    </row>
    <row r="49" ht="16.5" customFormat="1" customHeight="1" s="716">
      <c r="A49" s="716" t="n"/>
      <c r="B49" s="716" t="n"/>
      <c r="C49" s="716" t="n"/>
      <c r="D49" s="716" t="n"/>
      <c r="E49" s="716" t="n"/>
      <c r="F49" s="716" t="n"/>
      <c r="G49" s="716" t="n"/>
      <c r="H49" s="716" t="n"/>
      <c r="I49" s="716" t="n"/>
      <c r="J49" s="716" t="n"/>
      <c r="K49" s="716" t="n"/>
      <c r="L49" s="716" t="n"/>
      <c r="M49" s="716" t="n"/>
      <c r="N49" s="716" t="n"/>
      <c r="O49" s="716" t="n"/>
      <c r="P49" s="716" t="n"/>
      <c r="Q49" s="716" t="n"/>
      <c r="R49" s="716" t="n"/>
      <c r="S49" s="462">
        <f>IF(_epmOfflineCondition_,"       其中：境内",EPMMemberDesc(U49))</f>
        <v/>
      </c>
      <c r="T49" s="716" t="n"/>
      <c r="U49" s="477" t="inlineStr">
        <is>
          <t>A08201010101</t>
        </is>
      </c>
      <c r="V49" s="459">
        <f>IF(_epmOfflineCondition_,"A08201010101",EPMOlapMemberO(U49,"[C_ACCOUNT].[PARENTH1].[A08201010101]","A08201010101 -        其中：境内","","000"))</f>
        <v/>
      </c>
      <c r="W49" s="462" t="n"/>
      <c r="X49" s="480" t="inlineStr">
        <is>
          <t xml:space="preserve">       其中：境内</t>
        </is>
      </c>
      <c r="Y49" s="1185">
        <f>ROW()-45</f>
        <v/>
      </c>
      <c r="Z49" s="1307">
        <f>AC49</f>
        <v/>
      </c>
      <c r="AA49" s="1307" t="n"/>
      <c r="AB49" s="1307" t="n"/>
      <c r="AC49" s="489" t="n"/>
      <c r="AD49" s="489" t="n"/>
      <c r="AE49" s="716" t="n"/>
      <c r="AF49" s="716" t="n"/>
      <c r="AG49" s="716" t="n"/>
      <c r="AH49" s="716" t="n"/>
      <c r="AI49" s="716" t="n"/>
      <c r="AJ49" s="716" t="n"/>
      <c r="AK49" s="716" t="n"/>
      <c r="AL49" s="716" t="n"/>
      <c r="AM49" s="716" t="n"/>
      <c r="AN49" s="716" t="n"/>
      <c r="AO49" s="716" t="n"/>
      <c r="AP49" s="716" t="n"/>
      <c r="AQ49" s="716" t="n"/>
      <c r="AR49" s="716" t="n"/>
      <c r="AS49" s="716" t="n"/>
      <c r="AT49" s="716" t="n"/>
      <c r="AU49" s="716" t="n"/>
      <c r="AV49" s="716" t="n"/>
      <c r="AW49" s="716" t="n"/>
      <c r="AX49" s="716" t="n"/>
      <c r="AY49" s="716" t="n"/>
      <c r="AZ49" s="716" t="n"/>
      <c r="BA49" s="716" t="n"/>
      <c r="BB49" s="716" t="n"/>
      <c r="BC49" s="716" t="n"/>
      <c r="BD49" s="716" t="n"/>
      <c r="BE49" s="716" t="n"/>
      <c r="BF49" s="716" t="n"/>
      <c r="BG49" s="716" t="n"/>
      <c r="BH49" s="716" t="n"/>
      <c r="BI49" s="716" t="n"/>
      <c r="BJ49" s="716" t="n"/>
      <c r="BK49" s="716" t="n"/>
      <c r="BL49" s="716" t="n"/>
      <c r="BM49" s="716" t="n"/>
      <c r="BN49" s="716" t="n"/>
      <c r="BO49" s="716" t="n"/>
      <c r="BP49" s="716" t="n"/>
      <c r="BQ49" s="716" t="n"/>
      <c r="BR49" s="716" t="n"/>
      <c r="BS49" s="716" t="n"/>
      <c r="BT49" s="716" t="n"/>
      <c r="BU49" s="716" t="n"/>
      <c r="BV49" s="716" t="n"/>
      <c r="BW49" s="716" t="n"/>
      <c r="BX49" s="716" t="n"/>
      <c r="BY49" s="716" t="n"/>
      <c r="BZ49" s="716" t="n"/>
      <c r="CA49" s="716" t="n"/>
      <c r="CB49" s="716" t="n"/>
      <c r="CC49" s="716" t="n"/>
      <c r="CD49" s="716" t="n"/>
      <c r="CE49" s="716" t="n"/>
      <c r="CF49" s="716" t="n"/>
      <c r="CG49" s="716" t="n"/>
      <c r="CH49" s="716" t="n"/>
      <c r="CI49" s="716" t="n"/>
      <c r="CJ49" s="716" t="n"/>
      <c r="CK49" s="716" t="n"/>
      <c r="CL49" s="716" t="n"/>
      <c r="CM49" s="716" t="n"/>
      <c r="CN49" s="716" t="n"/>
      <c r="CO49" s="716" t="n"/>
      <c r="CP49" s="716" t="n"/>
    </row>
    <row r="50" ht="16.5" customFormat="1" customHeight="1" s="716">
      <c r="A50" s="716" t="n"/>
      <c r="B50" s="716" t="n"/>
      <c r="C50" s="716" t="n"/>
      <c r="D50" s="716" t="n"/>
      <c r="E50" s="716" t="n"/>
      <c r="F50" s="716" t="n"/>
      <c r="G50" s="716" t="n"/>
      <c r="H50" s="716" t="n"/>
      <c r="I50" s="716" t="n"/>
      <c r="J50" s="716" t="n"/>
      <c r="K50" s="716" t="n"/>
      <c r="L50" s="716" t="n"/>
      <c r="M50" s="716" t="n"/>
      <c r="N50" s="716" t="n"/>
      <c r="O50" s="716" t="n"/>
      <c r="P50" s="716" t="n"/>
      <c r="Q50" s="716" t="n"/>
      <c r="R50" s="716" t="n"/>
      <c r="S50" s="462">
        <f>IF(_epmOfflineCondition_,"             境外",EPMMemberDesc(U50))</f>
        <v/>
      </c>
      <c r="T50" s="716" t="n"/>
      <c r="U50" s="477" t="inlineStr">
        <is>
          <t>A08201010102</t>
        </is>
      </c>
      <c r="V50" s="459">
        <f>IF(_epmOfflineCondition_,"A08201010102",EPMOlapMemberO(U50,"[C_ACCOUNT].[PARENTH1].[A08201010102]","A08201010102 -              境外","","000"))</f>
        <v/>
      </c>
      <c r="W50" s="462" t="n"/>
      <c r="X50" s="481" t="inlineStr">
        <is>
          <t xml:space="preserve">             境外</t>
        </is>
      </c>
      <c r="Y50" s="1185">
        <f>ROW()-45</f>
        <v/>
      </c>
      <c r="Z50" s="1307">
        <f>AC50</f>
        <v/>
      </c>
      <c r="AA50" s="1307" t="n"/>
      <c r="AB50" s="1307" t="n"/>
      <c r="AC50" s="489" t="n"/>
      <c r="AD50" s="489" t="n"/>
      <c r="AE50" s="716" t="n"/>
      <c r="AF50" s="716" t="n"/>
      <c r="AG50" s="716" t="n"/>
      <c r="AH50" s="716" t="n"/>
      <c r="AI50" s="716" t="n"/>
      <c r="AJ50" s="716" t="n"/>
      <c r="AK50" s="716" t="n"/>
      <c r="AL50" s="716" t="n"/>
      <c r="AM50" s="716" t="n"/>
      <c r="AN50" s="716" t="n"/>
      <c r="AO50" s="716" t="n"/>
      <c r="AP50" s="716" t="n"/>
      <c r="AQ50" s="716" t="n"/>
      <c r="AR50" s="716" t="n"/>
      <c r="AS50" s="716" t="n"/>
      <c r="AT50" s="716" t="n"/>
      <c r="AU50" s="716" t="n"/>
      <c r="AV50" s="716" t="n"/>
      <c r="AW50" s="716" t="n"/>
      <c r="AX50" s="716" t="n"/>
      <c r="AY50" s="716" t="n"/>
      <c r="AZ50" s="716" t="n"/>
      <c r="BA50" s="716" t="n"/>
      <c r="BB50" s="716" t="n"/>
      <c r="BC50" s="716" t="n"/>
      <c r="BD50" s="716" t="n"/>
      <c r="BE50" s="716" t="n"/>
      <c r="BF50" s="716" t="n"/>
      <c r="BG50" s="716" t="n"/>
      <c r="BH50" s="716" t="n"/>
      <c r="BI50" s="716" t="n"/>
      <c r="BJ50" s="716" t="n"/>
      <c r="BK50" s="716" t="n"/>
      <c r="BL50" s="716" t="n"/>
      <c r="BM50" s="716" t="n"/>
      <c r="BN50" s="716" t="n"/>
      <c r="BO50" s="716" t="n"/>
      <c r="BP50" s="716" t="n"/>
      <c r="BQ50" s="716" t="n"/>
      <c r="BR50" s="716" t="n"/>
      <c r="BS50" s="716" t="n"/>
      <c r="BT50" s="716" t="n"/>
      <c r="BU50" s="716" t="n"/>
      <c r="BV50" s="716" t="n"/>
      <c r="BW50" s="716" t="n"/>
      <c r="BX50" s="716" t="n"/>
      <c r="BY50" s="716" t="n"/>
      <c r="BZ50" s="716" t="n"/>
      <c r="CA50" s="716" t="n"/>
      <c r="CB50" s="716" t="n"/>
      <c r="CC50" s="716" t="n"/>
      <c r="CD50" s="716" t="n"/>
      <c r="CE50" s="716" t="n"/>
      <c r="CF50" s="716" t="n"/>
      <c r="CG50" s="716" t="n"/>
      <c r="CH50" s="716" t="n"/>
      <c r="CI50" s="716" t="n"/>
      <c r="CJ50" s="716" t="n"/>
      <c r="CK50" s="716" t="n"/>
      <c r="CL50" s="716" t="n"/>
      <c r="CM50" s="716" t="n"/>
      <c r="CN50" s="716" t="n"/>
      <c r="CO50" s="716" t="n"/>
      <c r="CP50" s="716" t="n"/>
    </row>
    <row r="51" ht="16.5" customFormat="1" customHeight="1" s="716">
      <c r="A51" s="716" t="n"/>
      <c r="B51" s="716" t="n"/>
      <c r="C51" s="716" t="n"/>
      <c r="D51" s="716" t="n"/>
      <c r="E51" s="716" t="n"/>
      <c r="F51" s="716" t="n"/>
      <c r="G51" s="716" t="n"/>
      <c r="H51" s="716" t="n"/>
      <c r="I51" s="716" t="n"/>
      <c r="J51" s="716" t="n"/>
      <c r="K51" s="716" t="n"/>
      <c r="L51" s="716" t="n"/>
      <c r="M51" s="716" t="n"/>
      <c r="N51" s="716" t="n"/>
      <c r="O51" s="716" t="n"/>
      <c r="P51" s="716" t="n"/>
      <c r="Q51" s="716" t="n"/>
      <c r="R51" s="716" t="n"/>
      <c r="S51" s="462">
        <f>IF(_epmOfflineCondition_,"(2)进口原油（万吨）",EPMMemberDesc(U51))</f>
        <v/>
      </c>
      <c r="T51" s="716" t="n"/>
      <c r="U51" s="477" t="inlineStr">
        <is>
          <t>A082010102</t>
        </is>
      </c>
      <c r="V51" s="455">
        <f>IF(_epmOfflineCondition_,"A082010102",EPMOlapMemberO(U51,"[C_ACCOUNT].[PARENTH1].[A082010102]","A082010102 - (2)进口原油（万吨）","","000"))</f>
        <v/>
      </c>
      <c r="W51" s="462" t="n"/>
      <c r="X51" s="480" t="inlineStr">
        <is>
          <t>(2)进口原油（万吨）</t>
        </is>
      </c>
      <c r="Y51" s="1185">
        <f>ROW()-45</f>
        <v/>
      </c>
      <c r="Z51" s="1307">
        <f>AC51</f>
        <v/>
      </c>
      <c r="AA51" s="1307" t="n"/>
      <c r="AB51" s="1307" t="n"/>
      <c r="AC51" s="489" t="n"/>
      <c r="AD51" s="489" t="n"/>
      <c r="AE51" s="716" t="n"/>
      <c r="AF51" s="716" t="n"/>
      <c r="AG51" s="716" t="n"/>
      <c r="AH51" s="716" t="n"/>
      <c r="AI51" s="716" t="n"/>
      <c r="AJ51" s="716" t="n"/>
      <c r="AK51" s="716" t="n"/>
      <c r="AL51" s="716" t="n"/>
      <c r="AM51" s="716" t="n"/>
      <c r="AN51" s="716" t="n"/>
      <c r="AO51" s="716" t="n"/>
      <c r="AP51" s="716" t="n"/>
      <c r="AQ51" s="716" t="n"/>
      <c r="AR51" s="716" t="n"/>
      <c r="AS51" s="716" t="n"/>
      <c r="AT51" s="716" t="n"/>
      <c r="AU51" s="716" t="n"/>
      <c r="AV51" s="716" t="n"/>
      <c r="AW51" s="716" t="n"/>
      <c r="AX51" s="716" t="n"/>
      <c r="AY51" s="716" t="n"/>
      <c r="AZ51" s="716" t="n"/>
      <c r="BA51" s="716" t="n"/>
      <c r="BB51" s="716" t="n"/>
      <c r="BC51" s="716" t="n"/>
      <c r="BD51" s="716" t="n"/>
      <c r="BE51" s="716" t="n"/>
      <c r="BF51" s="716" t="n"/>
      <c r="BG51" s="716" t="n"/>
      <c r="BH51" s="716" t="n"/>
      <c r="BI51" s="716" t="n"/>
      <c r="BJ51" s="716" t="n"/>
      <c r="BK51" s="716" t="n"/>
      <c r="BL51" s="716" t="n"/>
      <c r="BM51" s="716" t="n"/>
      <c r="BN51" s="716" t="n"/>
      <c r="BO51" s="716" t="n"/>
      <c r="BP51" s="716" t="n"/>
      <c r="BQ51" s="716" t="n"/>
      <c r="BR51" s="716" t="n"/>
      <c r="BS51" s="716" t="n"/>
      <c r="BT51" s="716" t="n"/>
      <c r="BU51" s="716" t="n"/>
      <c r="BV51" s="716" t="n"/>
      <c r="BW51" s="716" t="n"/>
      <c r="BX51" s="716" t="n"/>
      <c r="BY51" s="716" t="n"/>
      <c r="BZ51" s="716" t="n"/>
      <c r="CA51" s="716" t="n"/>
      <c r="CB51" s="716" t="n"/>
      <c r="CC51" s="716" t="n"/>
      <c r="CD51" s="716" t="n"/>
      <c r="CE51" s="716" t="n"/>
      <c r="CF51" s="716" t="n"/>
      <c r="CG51" s="716" t="n"/>
      <c r="CH51" s="716" t="n"/>
      <c r="CI51" s="716" t="n"/>
      <c r="CJ51" s="716" t="n"/>
      <c r="CK51" s="716" t="n"/>
      <c r="CL51" s="716" t="n"/>
      <c r="CM51" s="716" t="n"/>
      <c r="CN51" s="716" t="n"/>
      <c r="CO51" s="716" t="n"/>
      <c r="CP51" s="716" t="n"/>
    </row>
    <row r="52" ht="16.5" customFormat="1" customHeight="1" s="716">
      <c r="A52" s="716" t="n"/>
      <c r="B52" s="716" t="n"/>
      <c r="C52" s="716" t="n"/>
      <c r="D52" s="716" t="n"/>
      <c r="E52" s="716" t="n"/>
      <c r="F52" s="716" t="n"/>
      <c r="G52" s="716" t="n"/>
      <c r="H52" s="716" t="n"/>
      <c r="I52" s="716" t="n"/>
      <c r="J52" s="716" t="n"/>
      <c r="K52" s="716" t="n"/>
      <c r="L52" s="716" t="n"/>
      <c r="M52" s="716" t="n"/>
      <c r="N52" s="716" t="n"/>
      <c r="O52" s="716" t="n"/>
      <c r="P52" s="716" t="n"/>
      <c r="Q52" s="716" t="n"/>
      <c r="R52" s="716" t="n"/>
      <c r="S52" s="462">
        <f>IF(_epmOfflineCondition_,"(3)成品油产量（万吨）",EPMMemberDesc(U52))</f>
        <v/>
      </c>
      <c r="T52" s="716" t="n"/>
      <c r="U52" s="477" t="inlineStr">
        <is>
          <t>A082010103</t>
        </is>
      </c>
      <c r="V52" s="455">
        <f>IF(_epmOfflineCondition_,"A082010103",EPMOlapMemberO(U52,"[C_ACCOUNT].[PARENTH1].[A082010103]","A082010103 - (3)成品油产量（万吨）","","000"))</f>
        <v/>
      </c>
      <c r="W52" s="462" t="n"/>
      <c r="X52" s="480" t="inlineStr">
        <is>
          <t>(3)成品油产量（万吨）</t>
        </is>
      </c>
      <c r="Y52" s="1185">
        <f>ROW()-45</f>
        <v/>
      </c>
      <c r="Z52" s="1307">
        <f>AC52</f>
        <v/>
      </c>
      <c r="AA52" s="1307">
        <f>SUM(AA53:AA54)</f>
        <v/>
      </c>
      <c r="AB52" s="1307">
        <f>SUM(AB53:AB54)</f>
        <v/>
      </c>
      <c r="AC52" s="489" t="n"/>
      <c r="AD52" s="489" t="n"/>
      <c r="AE52" s="716" t="n"/>
      <c r="AF52" s="716" t="n"/>
      <c r="AG52" s="716" t="n"/>
      <c r="AH52" s="716" t="n"/>
      <c r="AI52" s="716" t="n"/>
      <c r="AJ52" s="716" t="n"/>
      <c r="AK52" s="716" t="n"/>
      <c r="AL52" s="716" t="n"/>
      <c r="AM52" s="716" t="n"/>
      <c r="AN52" s="716" t="n"/>
      <c r="AO52" s="716" t="n"/>
      <c r="AP52" s="716" t="n"/>
      <c r="AQ52" s="716" t="n"/>
      <c r="AR52" s="716" t="n"/>
      <c r="AS52" s="716" t="n"/>
      <c r="AT52" s="716" t="n"/>
      <c r="AU52" s="716" t="n"/>
      <c r="AV52" s="716" t="n"/>
      <c r="AW52" s="716" t="n"/>
      <c r="AX52" s="716" t="n"/>
      <c r="AY52" s="716" t="n"/>
      <c r="AZ52" s="716" t="n"/>
      <c r="BA52" s="716" t="n"/>
      <c r="BB52" s="716" t="n"/>
      <c r="BC52" s="716" t="n"/>
      <c r="BD52" s="716" t="n"/>
      <c r="BE52" s="716" t="n"/>
      <c r="BF52" s="716" t="n"/>
      <c r="BG52" s="716" t="n"/>
      <c r="BH52" s="716" t="n"/>
      <c r="BI52" s="716" t="n"/>
      <c r="BJ52" s="716" t="n"/>
      <c r="BK52" s="716" t="n"/>
      <c r="BL52" s="716" t="n"/>
      <c r="BM52" s="716" t="n"/>
      <c r="BN52" s="716" t="n"/>
      <c r="BO52" s="716" t="n"/>
      <c r="BP52" s="716" t="n"/>
      <c r="BQ52" s="716" t="n"/>
      <c r="BR52" s="716" t="n"/>
      <c r="BS52" s="716" t="n"/>
      <c r="BT52" s="716" t="n"/>
      <c r="BU52" s="716" t="n"/>
      <c r="BV52" s="716" t="n"/>
      <c r="BW52" s="716" t="n"/>
      <c r="BX52" s="716" t="n"/>
      <c r="BY52" s="716" t="n"/>
      <c r="BZ52" s="716" t="n"/>
      <c r="CA52" s="716" t="n"/>
      <c r="CB52" s="716" t="n"/>
      <c r="CC52" s="716" t="n"/>
      <c r="CD52" s="716" t="n"/>
      <c r="CE52" s="716" t="n"/>
      <c r="CF52" s="716" t="n"/>
      <c r="CG52" s="716" t="n"/>
      <c r="CH52" s="716" t="n"/>
      <c r="CI52" s="716" t="n"/>
      <c r="CJ52" s="716" t="n"/>
      <c r="CK52" s="716" t="n"/>
      <c r="CL52" s="716" t="n"/>
      <c r="CM52" s="716" t="n"/>
      <c r="CN52" s="716" t="n"/>
      <c r="CO52" s="716" t="n"/>
      <c r="CP52" s="716" t="n"/>
    </row>
    <row r="53" ht="16.5" customFormat="1" customHeight="1" s="716">
      <c r="A53" s="716" t="n"/>
      <c r="B53" s="716" t="n"/>
      <c r="C53" s="716" t="n"/>
      <c r="D53" s="716" t="n"/>
      <c r="E53" s="716" t="n"/>
      <c r="F53" s="716" t="n"/>
      <c r="G53" s="716" t="n"/>
      <c r="H53" s="716" t="n"/>
      <c r="I53" s="716" t="n"/>
      <c r="J53" s="716" t="n"/>
      <c r="K53" s="716" t="n"/>
      <c r="L53" s="716" t="n"/>
      <c r="M53" s="716" t="n"/>
      <c r="N53" s="716" t="n"/>
      <c r="O53" s="716" t="n"/>
      <c r="P53" s="716" t="n"/>
      <c r="Q53" s="716" t="n"/>
      <c r="R53" s="716" t="n"/>
      <c r="S53" s="462">
        <f>IF(_epmOfflineCondition_,"       其中：汽油产量（万吨）",EPMMemberDesc(U53))</f>
        <v/>
      </c>
      <c r="T53" s="716" t="n"/>
      <c r="U53" s="477" t="inlineStr">
        <is>
          <t>A08201010201</t>
        </is>
      </c>
      <c r="V53" s="535">
        <f>IF(_epmOfflineCondition_,"A08201010201",EPMOlapMemberO(U53,"[C_ACCOUNT].[PARENTH1].[A08201010201]","A08201010201 -        其中：汽油产量（万吨）","","000"))</f>
        <v/>
      </c>
      <c r="W53" s="462" t="n"/>
      <c r="X53" s="480" t="inlineStr">
        <is>
          <t xml:space="preserve">       其中：汽油产量（万吨）</t>
        </is>
      </c>
      <c r="Y53" s="1185">
        <f>ROW()-45</f>
        <v/>
      </c>
      <c r="Z53" s="1307">
        <f>AC53</f>
        <v/>
      </c>
      <c r="AA53" s="1307" t="n"/>
      <c r="AB53" s="1307" t="n"/>
      <c r="AC53" s="489" t="n"/>
      <c r="AD53" s="489" t="n"/>
      <c r="AE53" s="716" t="n"/>
      <c r="AF53" s="716" t="n"/>
      <c r="AG53" s="716" t="n"/>
      <c r="AH53" s="716" t="n"/>
      <c r="AI53" s="716" t="n"/>
      <c r="AJ53" s="716" t="n"/>
      <c r="AK53" s="716" t="n"/>
      <c r="AL53" s="716" t="n"/>
      <c r="AM53" s="716" t="n"/>
      <c r="AN53" s="716" t="n"/>
      <c r="AO53" s="716" t="n"/>
      <c r="AP53" s="716" t="n"/>
      <c r="AQ53" s="716" t="n"/>
      <c r="AR53" s="716" t="n"/>
      <c r="AS53" s="716" t="n"/>
      <c r="AT53" s="716" t="n"/>
      <c r="AU53" s="716" t="n"/>
      <c r="AV53" s="716" t="n"/>
      <c r="AW53" s="716" t="n"/>
      <c r="AX53" s="716" t="n"/>
      <c r="AY53" s="716" t="n"/>
      <c r="AZ53" s="716" t="n"/>
      <c r="BA53" s="716" t="n"/>
      <c r="BB53" s="716" t="n"/>
      <c r="BC53" s="716" t="n"/>
      <c r="BD53" s="716" t="n"/>
      <c r="BE53" s="716" t="n"/>
      <c r="BF53" s="716" t="n"/>
      <c r="BG53" s="716" t="n"/>
      <c r="BH53" s="716" t="n"/>
      <c r="BI53" s="716" t="n"/>
      <c r="BJ53" s="716" t="n"/>
      <c r="BK53" s="716" t="n"/>
      <c r="BL53" s="716" t="n"/>
      <c r="BM53" s="716" t="n"/>
      <c r="BN53" s="716" t="n"/>
      <c r="BO53" s="716" t="n"/>
      <c r="BP53" s="716" t="n"/>
      <c r="BQ53" s="716" t="n"/>
      <c r="BR53" s="716" t="n"/>
      <c r="BS53" s="716" t="n"/>
      <c r="BT53" s="716" t="n"/>
      <c r="BU53" s="716" t="n"/>
      <c r="BV53" s="716" t="n"/>
      <c r="BW53" s="716" t="n"/>
      <c r="BX53" s="716" t="n"/>
      <c r="BY53" s="716" t="n"/>
      <c r="BZ53" s="716" t="n"/>
      <c r="CA53" s="716" t="n"/>
      <c r="CB53" s="716" t="n"/>
      <c r="CC53" s="716" t="n"/>
      <c r="CD53" s="716" t="n"/>
      <c r="CE53" s="716" t="n"/>
      <c r="CF53" s="716" t="n"/>
      <c r="CG53" s="716" t="n"/>
      <c r="CH53" s="716" t="n"/>
      <c r="CI53" s="716" t="n"/>
      <c r="CJ53" s="716" t="n"/>
      <c r="CK53" s="716" t="n"/>
      <c r="CL53" s="716" t="n"/>
      <c r="CM53" s="716" t="n"/>
      <c r="CN53" s="716" t="n"/>
      <c r="CO53" s="716" t="n"/>
      <c r="CP53" s="716" t="n"/>
    </row>
    <row r="54" ht="16.5" customFormat="1" customHeight="1" s="716">
      <c r="A54" s="716" t="n"/>
      <c r="B54" s="716" t="n"/>
      <c r="C54" s="716" t="n"/>
      <c r="D54" s="716" t="n"/>
      <c r="E54" s="716" t="n"/>
      <c r="F54" s="716" t="n"/>
      <c r="G54" s="716" t="n"/>
      <c r="H54" s="716" t="n"/>
      <c r="I54" s="716" t="n"/>
      <c r="J54" s="716" t="n"/>
      <c r="K54" s="716" t="n"/>
      <c r="L54" s="716" t="n"/>
      <c r="M54" s="716" t="n"/>
      <c r="N54" s="716" t="n"/>
      <c r="O54" s="716" t="n"/>
      <c r="P54" s="716" t="n"/>
      <c r="Q54" s="716" t="n"/>
      <c r="R54" s="716" t="n"/>
      <c r="S54" s="462">
        <f>IF(_epmOfflineCondition_,"             柴油产量（万吨）",EPMMemberDesc(U54))</f>
        <v/>
      </c>
      <c r="T54" s="716" t="n"/>
      <c r="U54" s="477" t="inlineStr">
        <is>
          <t>A08201010202</t>
        </is>
      </c>
      <c r="V54" s="535">
        <f>IF(_epmOfflineCondition_,"A08201010202",EPMOlapMemberO(U54,"[C_ACCOUNT].[PARENTH1].[A08201010202]","A08201010202 -              柴油产量（万吨）","","000"))</f>
        <v/>
      </c>
      <c r="W54" s="462" t="n"/>
      <c r="X54" s="481" t="inlineStr">
        <is>
          <t xml:space="preserve">             柴油产量（万吨）</t>
        </is>
      </c>
      <c r="Y54" s="1185">
        <f>ROW()-45</f>
        <v/>
      </c>
      <c r="Z54" s="1307">
        <f>AC54</f>
        <v/>
      </c>
      <c r="AA54" s="1307" t="n"/>
      <c r="AB54" s="1307" t="n"/>
      <c r="AC54" s="489" t="n"/>
      <c r="AD54" s="489" t="n"/>
      <c r="AE54" s="716" t="n"/>
      <c r="AF54" s="716" t="n"/>
      <c r="AG54" s="716" t="n"/>
      <c r="AH54" s="716" t="n"/>
      <c r="AI54" s="716" t="n"/>
      <c r="AJ54" s="716" t="n"/>
      <c r="AK54" s="716" t="n"/>
      <c r="AL54" s="716" t="n"/>
      <c r="AM54" s="716" t="n"/>
      <c r="AN54" s="716" t="n"/>
      <c r="AO54" s="716" t="n"/>
      <c r="AP54" s="716" t="n"/>
      <c r="AQ54" s="716" t="n"/>
      <c r="AR54" s="716" t="n"/>
      <c r="AS54" s="716" t="n"/>
      <c r="AT54" s="716" t="n"/>
      <c r="AU54" s="716" t="n"/>
      <c r="AV54" s="716" t="n"/>
      <c r="AW54" s="716" t="n"/>
      <c r="AX54" s="716" t="n"/>
      <c r="AY54" s="716" t="n"/>
      <c r="AZ54" s="716" t="n"/>
      <c r="BA54" s="716" t="n"/>
      <c r="BB54" s="716" t="n"/>
      <c r="BC54" s="716" t="n"/>
      <c r="BD54" s="716" t="n"/>
      <c r="BE54" s="716" t="n"/>
      <c r="BF54" s="716" t="n"/>
      <c r="BG54" s="716" t="n"/>
      <c r="BH54" s="716" t="n"/>
      <c r="BI54" s="716" t="n"/>
      <c r="BJ54" s="716" t="n"/>
      <c r="BK54" s="716" t="n"/>
      <c r="BL54" s="716" t="n"/>
      <c r="BM54" s="716" t="n"/>
      <c r="BN54" s="716" t="n"/>
      <c r="BO54" s="716" t="n"/>
      <c r="BP54" s="716" t="n"/>
      <c r="BQ54" s="716" t="n"/>
      <c r="BR54" s="716" t="n"/>
      <c r="BS54" s="716" t="n"/>
      <c r="BT54" s="716" t="n"/>
      <c r="BU54" s="716" t="n"/>
      <c r="BV54" s="716" t="n"/>
      <c r="BW54" s="716" t="n"/>
      <c r="BX54" s="716" t="n"/>
      <c r="BY54" s="716" t="n"/>
      <c r="BZ54" s="716" t="n"/>
      <c r="CA54" s="716" t="n"/>
      <c r="CB54" s="716" t="n"/>
      <c r="CC54" s="716" t="n"/>
      <c r="CD54" s="716" t="n"/>
      <c r="CE54" s="716" t="n"/>
      <c r="CF54" s="716" t="n"/>
      <c r="CG54" s="716" t="n"/>
      <c r="CH54" s="716" t="n"/>
      <c r="CI54" s="716" t="n"/>
      <c r="CJ54" s="716" t="n"/>
      <c r="CK54" s="716" t="n"/>
      <c r="CL54" s="716" t="n"/>
      <c r="CM54" s="716" t="n"/>
      <c r="CN54" s="716" t="n"/>
      <c r="CO54" s="716" t="n"/>
      <c r="CP54" s="716" t="n"/>
    </row>
    <row r="55" ht="16.5" customFormat="1" customHeight="1" s="716">
      <c r="A55" s="716" t="n"/>
      <c r="B55" s="716" t="n"/>
      <c r="C55" s="716" t="n"/>
      <c r="D55" s="716" t="n"/>
      <c r="E55" s="716" t="n"/>
      <c r="F55" s="716" t="n"/>
      <c r="G55" s="716" t="n"/>
      <c r="H55" s="716" t="n"/>
      <c r="I55" s="716" t="n"/>
      <c r="J55" s="716" t="n"/>
      <c r="K55" s="716" t="n"/>
      <c r="L55" s="716" t="n"/>
      <c r="M55" s="716" t="n"/>
      <c r="N55" s="716" t="n"/>
      <c r="O55" s="716" t="n"/>
      <c r="P55" s="716" t="n"/>
      <c r="Q55" s="716" t="n"/>
      <c r="R55" s="716" t="n"/>
      <c r="S55" s="462">
        <f>IF(_epmOfflineCondition_,"(4)天然气产量（万立方米）",EPMMemberDesc(U55))</f>
        <v/>
      </c>
      <c r="T55" s="716" t="n"/>
      <c r="U55" s="477" t="inlineStr">
        <is>
          <t>A082010104</t>
        </is>
      </c>
      <c r="V55" s="455">
        <f>IF(_epmOfflineCondition_,"A082010104",EPMOlapMemberO(U55,"[C_ACCOUNT].[PARENTH1].[A082010104]","A082010104 - (4)天然气产量（万立方米）","","000"))</f>
        <v/>
      </c>
      <c r="W55" s="462" t="n"/>
      <c r="X55" s="480" t="inlineStr">
        <is>
          <t>(4)天然气产量（万立方米）</t>
        </is>
      </c>
      <c r="Y55" s="1185">
        <f>ROW()-45</f>
        <v/>
      </c>
      <c r="Z55" s="1307">
        <f>AC55</f>
        <v/>
      </c>
      <c r="AA55" s="1307">
        <f>SUM(AA56:AA57)</f>
        <v/>
      </c>
      <c r="AB55" s="1307">
        <f>SUM(AB56:AB57)</f>
        <v/>
      </c>
      <c r="AC55" s="489" t="n"/>
      <c r="AD55" s="489" t="n"/>
      <c r="AE55" s="716" t="n"/>
      <c r="AF55" s="716" t="n"/>
      <c r="AG55" s="716" t="n"/>
      <c r="AH55" s="716" t="n"/>
      <c r="AI55" s="716" t="n"/>
      <c r="AJ55" s="716" t="n"/>
      <c r="AK55" s="716" t="n"/>
      <c r="AL55" s="716" t="n"/>
      <c r="AM55" s="716" t="n"/>
      <c r="AN55" s="716" t="n"/>
      <c r="AO55" s="716" t="n"/>
      <c r="AP55" s="716" t="n"/>
      <c r="AQ55" s="716" t="n"/>
      <c r="AR55" s="716" t="n"/>
      <c r="AS55" s="716" t="n"/>
      <c r="AT55" s="716" t="n"/>
      <c r="AU55" s="716" t="n"/>
      <c r="AV55" s="716" t="n"/>
      <c r="AW55" s="716" t="n"/>
      <c r="AX55" s="716" t="n"/>
      <c r="AY55" s="716" t="n"/>
      <c r="AZ55" s="716" t="n"/>
      <c r="BA55" s="716" t="n"/>
      <c r="BB55" s="716" t="n"/>
      <c r="BC55" s="716" t="n"/>
      <c r="BD55" s="716" t="n"/>
      <c r="BE55" s="716" t="n"/>
      <c r="BF55" s="716" t="n"/>
      <c r="BG55" s="716" t="n"/>
      <c r="BH55" s="716" t="n"/>
      <c r="BI55" s="716" t="n"/>
      <c r="BJ55" s="716" t="n"/>
      <c r="BK55" s="716" t="n"/>
      <c r="BL55" s="716" t="n"/>
      <c r="BM55" s="716" t="n"/>
      <c r="BN55" s="716" t="n"/>
      <c r="BO55" s="716" t="n"/>
      <c r="BP55" s="716" t="n"/>
      <c r="BQ55" s="716" t="n"/>
      <c r="BR55" s="716" t="n"/>
      <c r="BS55" s="716" t="n"/>
      <c r="BT55" s="716" t="n"/>
      <c r="BU55" s="716" t="n"/>
      <c r="BV55" s="716" t="n"/>
      <c r="BW55" s="716" t="n"/>
      <c r="BX55" s="716" t="n"/>
      <c r="BY55" s="716" t="n"/>
      <c r="BZ55" s="716" t="n"/>
      <c r="CA55" s="716" t="n"/>
      <c r="CB55" s="716" t="n"/>
      <c r="CC55" s="716" t="n"/>
      <c r="CD55" s="716" t="n"/>
      <c r="CE55" s="716" t="n"/>
      <c r="CF55" s="716" t="n"/>
      <c r="CG55" s="716" t="n"/>
      <c r="CH55" s="716" t="n"/>
      <c r="CI55" s="716" t="n"/>
      <c r="CJ55" s="716" t="n"/>
      <c r="CK55" s="716" t="n"/>
      <c r="CL55" s="716" t="n"/>
      <c r="CM55" s="716" t="n"/>
      <c r="CN55" s="716" t="n"/>
      <c r="CO55" s="716" t="n"/>
      <c r="CP55" s="716" t="n"/>
    </row>
    <row r="56" ht="16.5" customFormat="1" customHeight="1" s="716">
      <c r="A56" s="716" t="n"/>
      <c r="B56" s="716" t="n"/>
      <c r="C56" s="716" t="n"/>
      <c r="D56" s="716" t="n"/>
      <c r="E56" s="716" t="n"/>
      <c r="F56" s="716" t="n"/>
      <c r="G56" s="716" t="n"/>
      <c r="H56" s="716" t="n"/>
      <c r="I56" s="716" t="n"/>
      <c r="J56" s="716" t="n"/>
      <c r="K56" s="716" t="n"/>
      <c r="L56" s="716" t="n"/>
      <c r="M56" s="716" t="n"/>
      <c r="N56" s="716" t="n"/>
      <c r="O56" s="716" t="n"/>
      <c r="P56" s="716" t="n"/>
      <c r="Q56" s="716" t="n"/>
      <c r="R56" s="716" t="n"/>
      <c r="S56" s="462">
        <f>IF(_epmOfflineCondition_,"       其中：境内",EPMMemberDesc(U56))</f>
        <v/>
      </c>
      <c r="T56" s="716" t="n"/>
      <c r="U56" s="477" t="inlineStr">
        <is>
          <t>A08201010301</t>
        </is>
      </c>
      <c r="V56" s="535">
        <f>IF(_epmOfflineCondition_,"A08201010301",EPMOlapMemberO(U56,"[C_ACCOUNT].[PARENTH1].[A08201010301]","A08201010301 -        其中：境内","","000"))</f>
        <v/>
      </c>
      <c r="W56" s="462" t="n"/>
      <c r="X56" s="480" t="inlineStr">
        <is>
          <t xml:space="preserve">       其中：境内</t>
        </is>
      </c>
      <c r="Y56" s="1185">
        <f>ROW()-45</f>
        <v/>
      </c>
      <c r="Z56" s="1307">
        <f>AC56</f>
        <v/>
      </c>
      <c r="AA56" s="1307" t="n"/>
      <c r="AB56" s="1307" t="n"/>
      <c r="AC56" s="489" t="n"/>
      <c r="AD56" s="489" t="n"/>
      <c r="AE56" s="716" t="n"/>
      <c r="AF56" s="716" t="n"/>
      <c r="AG56" s="716" t="n"/>
      <c r="AH56" s="716" t="n"/>
      <c r="AI56" s="716" t="n"/>
      <c r="AJ56" s="716" t="n"/>
      <c r="AK56" s="716" t="n"/>
      <c r="AL56" s="716" t="n"/>
      <c r="AM56" s="716" t="n"/>
      <c r="AN56" s="716" t="n"/>
      <c r="AO56" s="716" t="n"/>
      <c r="AP56" s="716" t="n"/>
      <c r="AQ56" s="716" t="n"/>
      <c r="AR56" s="716" t="n"/>
      <c r="AS56" s="716" t="n"/>
      <c r="AT56" s="716" t="n"/>
      <c r="AU56" s="716" t="n"/>
      <c r="AV56" s="716" t="n"/>
      <c r="AW56" s="716" t="n"/>
      <c r="AX56" s="716" t="n"/>
      <c r="AY56" s="716" t="n"/>
      <c r="AZ56" s="716" t="n"/>
      <c r="BA56" s="716" t="n"/>
      <c r="BB56" s="716" t="n"/>
      <c r="BC56" s="716" t="n"/>
      <c r="BD56" s="716" t="n"/>
      <c r="BE56" s="716" t="n"/>
      <c r="BF56" s="716" t="n"/>
      <c r="BG56" s="716" t="n"/>
      <c r="BH56" s="716" t="n"/>
      <c r="BI56" s="716" t="n"/>
      <c r="BJ56" s="716" t="n"/>
      <c r="BK56" s="716" t="n"/>
      <c r="BL56" s="716" t="n"/>
      <c r="BM56" s="716" t="n"/>
      <c r="BN56" s="716" t="n"/>
      <c r="BO56" s="716" t="n"/>
      <c r="BP56" s="716" t="n"/>
      <c r="BQ56" s="716" t="n"/>
      <c r="BR56" s="716" t="n"/>
      <c r="BS56" s="716" t="n"/>
      <c r="BT56" s="716" t="n"/>
      <c r="BU56" s="716" t="n"/>
      <c r="BV56" s="716" t="n"/>
      <c r="BW56" s="716" t="n"/>
      <c r="BX56" s="716" t="n"/>
      <c r="BY56" s="716" t="n"/>
      <c r="BZ56" s="716" t="n"/>
      <c r="CA56" s="716" t="n"/>
      <c r="CB56" s="716" t="n"/>
      <c r="CC56" s="716" t="n"/>
      <c r="CD56" s="716" t="n"/>
      <c r="CE56" s="716" t="n"/>
      <c r="CF56" s="716" t="n"/>
      <c r="CG56" s="716" t="n"/>
      <c r="CH56" s="716" t="n"/>
      <c r="CI56" s="716" t="n"/>
      <c r="CJ56" s="716" t="n"/>
      <c r="CK56" s="716" t="n"/>
      <c r="CL56" s="716" t="n"/>
      <c r="CM56" s="716" t="n"/>
      <c r="CN56" s="716" t="n"/>
      <c r="CO56" s="716" t="n"/>
      <c r="CP56" s="716" t="n"/>
    </row>
    <row r="57" ht="16.5" customFormat="1" customHeight="1" s="716">
      <c r="A57" s="716" t="n"/>
      <c r="B57" s="716" t="n"/>
      <c r="C57" s="716" t="n"/>
      <c r="D57" s="716" t="n"/>
      <c r="E57" s="716" t="n"/>
      <c r="F57" s="716" t="n"/>
      <c r="G57" s="716" t="n"/>
      <c r="H57" s="716" t="n"/>
      <c r="I57" s="716" t="n"/>
      <c r="J57" s="716" t="n"/>
      <c r="K57" s="716" t="n"/>
      <c r="L57" s="716" t="n"/>
      <c r="M57" s="716" t="n"/>
      <c r="N57" s="716" t="n"/>
      <c r="O57" s="716" t="n"/>
      <c r="P57" s="716" t="n"/>
      <c r="Q57" s="716" t="n"/>
      <c r="R57" s="716" t="n"/>
      <c r="S57" s="462">
        <f>IF(_epmOfflineCondition_,"             境外",EPMMemberDesc(U57))</f>
        <v/>
      </c>
      <c r="T57" s="716" t="n"/>
      <c r="U57" s="477" t="inlineStr">
        <is>
          <t>A08201010302</t>
        </is>
      </c>
      <c r="V57" s="535">
        <f>IF(_epmOfflineCondition_,"A08201010302",EPMOlapMemberO(U57,"[C_ACCOUNT].[PARENTH1].[A08201010302]","A08201010302 -              境外","","000"))</f>
        <v/>
      </c>
      <c r="W57" s="462" t="n"/>
      <c r="X57" s="481" t="inlineStr">
        <is>
          <t xml:space="preserve">             境外</t>
        </is>
      </c>
      <c r="Y57" s="1185">
        <f>ROW()-45</f>
        <v/>
      </c>
      <c r="Z57" s="1307">
        <f>AC57</f>
        <v/>
      </c>
      <c r="AA57" s="1307" t="n"/>
      <c r="AB57" s="1307" t="n"/>
      <c r="AC57" s="489" t="n"/>
      <c r="AD57" s="489" t="n"/>
      <c r="AE57" s="716" t="n"/>
      <c r="AF57" s="716" t="n"/>
      <c r="AG57" s="716" t="n"/>
      <c r="AH57" s="716" t="n"/>
      <c r="AI57" s="716" t="n"/>
      <c r="AJ57" s="716" t="n"/>
      <c r="AK57" s="716" t="n"/>
      <c r="AL57" s="716" t="n"/>
      <c r="AM57" s="716" t="n"/>
      <c r="AN57" s="716" t="n"/>
      <c r="AO57" s="716" t="n"/>
      <c r="AP57" s="716" t="n"/>
      <c r="AQ57" s="716" t="n"/>
      <c r="AR57" s="716" t="n"/>
      <c r="AS57" s="716" t="n"/>
      <c r="AT57" s="716" t="n"/>
      <c r="AU57" s="716" t="n"/>
      <c r="AV57" s="716" t="n"/>
      <c r="AW57" s="716" t="n"/>
      <c r="AX57" s="716" t="n"/>
      <c r="AY57" s="716" t="n"/>
      <c r="AZ57" s="716" t="n"/>
      <c r="BA57" s="716" t="n"/>
      <c r="BB57" s="716" t="n"/>
      <c r="BC57" s="716" t="n"/>
      <c r="BD57" s="716" t="n"/>
      <c r="BE57" s="716" t="n"/>
      <c r="BF57" s="716" t="n"/>
      <c r="BG57" s="716" t="n"/>
      <c r="BH57" s="716" t="n"/>
      <c r="BI57" s="716" t="n"/>
      <c r="BJ57" s="716" t="n"/>
      <c r="BK57" s="716" t="n"/>
      <c r="BL57" s="716" t="n"/>
      <c r="BM57" s="716" t="n"/>
      <c r="BN57" s="716" t="n"/>
      <c r="BO57" s="716" t="n"/>
      <c r="BP57" s="716" t="n"/>
      <c r="BQ57" s="716" t="n"/>
      <c r="BR57" s="716" t="n"/>
      <c r="BS57" s="716" t="n"/>
      <c r="BT57" s="716" t="n"/>
      <c r="BU57" s="716" t="n"/>
      <c r="BV57" s="716" t="n"/>
      <c r="BW57" s="716" t="n"/>
      <c r="BX57" s="716" t="n"/>
      <c r="BY57" s="716" t="n"/>
      <c r="BZ57" s="716" t="n"/>
      <c r="CA57" s="716" t="n"/>
      <c r="CB57" s="716" t="n"/>
      <c r="CC57" s="716" t="n"/>
      <c r="CD57" s="716" t="n"/>
      <c r="CE57" s="716" t="n"/>
      <c r="CF57" s="716" t="n"/>
      <c r="CG57" s="716" t="n"/>
      <c r="CH57" s="716" t="n"/>
      <c r="CI57" s="716" t="n"/>
      <c r="CJ57" s="716" t="n"/>
      <c r="CK57" s="716" t="n"/>
      <c r="CL57" s="716" t="n"/>
      <c r="CM57" s="716" t="n"/>
      <c r="CN57" s="716" t="n"/>
      <c r="CO57" s="716" t="n"/>
      <c r="CP57" s="716" t="n"/>
    </row>
    <row r="58" ht="16.5" customFormat="1" customHeight="1" s="716">
      <c r="A58" s="716" t="n"/>
      <c r="B58" s="716" t="n"/>
      <c r="C58" s="716" t="n"/>
      <c r="D58" s="716" t="n"/>
      <c r="E58" s="716" t="n"/>
      <c r="F58" s="716" t="n"/>
      <c r="G58" s="716" t="n"/>
      <c r="H58" s="716" t="n"/>
      <c r="I58" s="716" t="n"/>
      <c r="J58" s="716" t="n"/>
      <c r="K58" s="716" t="n"/>
      <c r="L58" s="716" t="n"/>
      <c r="M58" s="716" t="n"/>
      <c r="N58" s="716" t="n"/>
      <c r="O58" s="716" t="n"/>
      <c r="P58" s="716" t="n"/>
      <c r="Q58" s="716" t="n"/>
      <c r="R58" s="716" t="n"/>
      <c r="S58" s="462">
        <f>IF(_epmOfflineCondition_,"粗钢产量（万吨）",EPMMemberDesc(U58))</f>
        <v/>
      </c>
      <c r="T58" s="716" t="n"/>
      <c r="U58" s="477" t="inlineStr">
        <is>
          <t>A0800101</t>
        </is>
      </c>
      <c r="V58" s="455">
        <f>IF(_epmOfflineCondition_,"A0800101",EPMOlapMemberO(U58,"[C_ACCOUNT].[PARENTH1].[A0800101]","A0800101 - 粗钢产量（万吨）","","000"))</f>
        <v/>
      </c>
      <c r="W58" s="462" t="n"/>
      <c r="X58" s="480" t="inlineStr">
        <is>
          <t>(5)粗钢产量（万吨）</t>
        </is>
      </c>
      <c r="Y58" s="1185">
        <f>ROW()-45</f>
        <v/>
      </c>
      <c r="Z58" s="1307">
        <f>IF($I$8="01",AA58,AD58-AA58)</f>
        <v/>
      </c>
      <c r="AA58" s="1307" t="n"/>
      <c r="AB58" s="1307" t="n"/>
      <c r="AC58" s="489" t="n"/>
      <c r="AD58" s="489" t="n"/>
      <c r="AE58" s="716" t="n"/>
      <c r="AF58" s="716" t="n"/>
      <c r="AG58" s="716" t="n"/>
      <c r="AH58" s="716" t="n"/>
      <c r="AI58" s="716" t="n"/>
      <c r="AJ58" s="716" t="n"/>
      <c r="AK58" s="716" t="n"/>
      <c r="AL58" s="716" t="n"/>
      <c r="AM58" s="716" t="n"/>
      <c r="AN58" s="716" t="n"/>
      <c r="AO58" s="716" t="n"/>
      <c r="AP58" s="716" t="n"/>
      <c r="AQ58" s="716" t="n"/>
      <c r="AR58" s="716" t="n"/>
      <c r="AS58" s="716" t="n"/>
      <c r="AT58" s="716" t="n"/>
      <c r="AU58" s="716" t="n"/>
      <c r="AV58" s="716" t="n"/>
      <c r="AW58" s="716" t="n"/>
      <c r="AX58" s="716" t="n"/>
      <c r="AY58" s="716" t="n"/>
      <c r="AZ58" s="716" t="n"/>
      <c r="BA58" s="716" t="n"/>
      <c r="BB58" s="716" t="n"/>
      <c r="BC58" s="716" t="n"/>
      <c r="BD58" s="716" t="n"/>
      <c r="BE58" s="716" t="n"/>
      <c r="BF58" s="716" t="n"/>
      <c r="BG58" s="716" t="n"/>
      <c r="BH58" s="716" t="n"/>
      <c r="BI58" s="716" t="n"/>
      <c r="BJ58" s="716" t="n"/>
      <c r="BK58" s="716" t="n"/>
      <c r="BL58" s="716" t="n"/>
      <c r="BM58" s="716" t="n"/>
      <c r="BN58" s="716" t="n"/>
      <c r="BO58" s="716" t="n"/>
      <c r="BP58" s="716" t="n"/>
      <c r="BQ58" s="716" t="n"/>
      <c r="BR58" s="716" t="n"/>
      <c r="BS58" s="716" t="n"/>
      <c r="BT58" s="716" t="n"/>
      <c r="BU58" s="716" t="n"/>
      <c r="BV58" s="716" t="n"/>
      <c r="BW58" s="716" t="n"/>
      <c r="BX58" s="716" t="n"/>
      <c r="BY58" s="716" t="n"/>
      <c r="BZ58" s="716" t="n"/>
      <c r="CA58" s="716" t="n"/>
      <c r="CB58" s="716" t="n"/>
      <c r="CC58" s="716" t="n"/>
      <c r="CD58" s="716" t="n"/>
      <c r="CE58" s="716" t="n"/>
      <c r="CF58" s="716" t="n"/>
      <c r="CG58" s="716" t="n"/>
      <c r="CH58" s="716" t="n"/>
      <c r="CI58" s="716" t="n"/>
      <c r="CJ58" s="716" t="n"/>
      <c r="CK58" s="716" t="n"/>
      <c r="CL58" s="716" t="n"/>
      <c r="CM58" s="716" t="n"/>
      <c r="CN58" s="716" t="n"/>
      <c r="CO58" s="716" t="n"/>
      <c r="CP58" s="716" t="n"/>
    </row>
    <row r="59" ht="16.5" customFormat="1" customHeight="1" s="716">
      <c r="A59" s="716" t="n"/>
      <c r="B59" s="716" t="n"/>
      <c r="C59" s="716" t="n"/>
      <c r="D59" s="716" t="n"/>
      <c r="E59" s="716" t="n"/>
      <c r="F59" s="716" t="n"/>
      <c r="G59" s="716" t="n"/>
      <c r="H59" s="716" t="n"/>
      <c r="I59" s="716" t="n"/>
      <c r="J59" s="716" t="n"/>
      <c r="K59" s="716" t="n"/>
      <c r="L59" s="716" t="n"/>
      <c r="M59" s="716" t="n"/>
      <c r="N59" s="716" t="n"/>
      <c r="O59" s="716" t="n"/>
      <c r="P59" s="716" t="n"/>
      <c r="Q59" s="716" t="n"/>
      <c r="R59" s="716" t="n"/>
      <c r="S59" s="462">
        <f>IF(_epmOfflineCondition_,"钢材产量（万吨）",EPMMemberDesc(U59))</f>
        <v/>
      </c>
      <c r="T59" s="716" t="n"/>
      <c r="U59" s="477" t="inlineStr">
        <is>
          <t>A0800102</t>
        </is>
      </c>
      <c r="V59" s="455">
        <f>IF(_epmOfflineCondition_,"A0800102",EPMOlapMemberO(U59,"[C_ACCOUNT].[PARENTH1].[A0800102]","A0800102 - 钢材产量（万吨）","","000"))</f>
        <v/>
      </c>
      <c r="W59" s="462" t="n"/>
      <c r="X59" s="480" t="inlineStr">
        <is>
          <t>(6)钢材销量（万吨）</t>
        </is>
      </c>
      <c r="Y59" s="1185">
        <f>ROW()-45</f>
        <v/>
      </c>
      <c r="Z59" s="1307">
        <f>IF($I$8="01",AA59,AD59-AA59)</f>
        <v/>
      </c>
      <c r="AA59" s="1307" t="n"/>
      <c r="AB59" s="1307" t="n"/>
      <c r="AC59" s="489" t="n"/>
      <c r="AD59" s="489" t="n"/>
      <c r="AE59" s="716" t="n"/>
      <c r="AF59" s="716" t="n"/>
      <c r="AG59" s="716" t="n"/>
      <c r="AH59" s="716" t="n"/>
      <c r="AI59" s="716" t="n"/>
      <c r="AJ59" s="716" t="n"/>
      <c r="AK59" s="716" t="n"/>
      <c r="AL59" s="716" t="n"/>
      <c r="AM59" s="716" t="n"/>
      <c r="AN59" s="716" t="n"/>
      <c r="AO59" s="716" t="n"/>
      <c r="AP59" s="716" t="n"/>
      <c r="AQ59" s="716" t="n"/>
      <c r="AR59" s="716" t="n"/>
      <c r="AS59" s="716" t="n"/>
      <c r="AT59" s="716" t="n"/>
      <c r="AU59" s="716" t="n"/>
      <c r="AV59" s="716" t="n"/>
      <c r="AW59" s="716" t="n"/>
      <c r="AX59" s="716" t="n"/>
      <c r="AY59" s="716" t="n"/>
      <c r="AZ59" s="716" t="n"/>
      <c r="BA59" s="716" t="n"/>
      <c r="BB59" s="716" t="n"/>
      <c r="BC59" s="716" t="n"/>
      <c r="BD59" s="716" t="n"/>
      <c r="BE59" s="716" t="n"/>
      <c r="BF59" s="716" t="n"/>
      <c r="BG59" s="716" t="n"/>
      <c r="BH59" s="716" t="n"/>
      <c r="BI59" s="716" t="n"/>
      <c r="BJ59" s="716" t="n"/>
      <c r="BK59" s="716" t="n"/>
      <c r="BL59" s="716" t="n"/>
      <c r="BM59" s="716" t="n"/>
      <c r="BN59" s="716" t="n"/>
      <c r="BO59" s="716" t="n"/>
      <c r="BP59" s="716" t="n"/>
      <c r="BQ59" s="716" t="n"/>
      <c r="BR59" s="716" t="n"/>
      <c r="BS59" s="716" t="n"/>
      <c r="BT59" s="716" t="n"/>
      <c r="BU59" s="716" t="n"/>
      <c r="BV59" s="716" t="n"/>
      <c r="BW59" s="716" t="n"/>
      <c r="BX59" s="716" t="n"/>
      <c r="BY59" s="716" t="n"/>
      <c r="BZ59" s="716" t="n"/>
      <c r="CA59" s="716" t="n"/>
      <c r="CB59" s="716" t="n"/>
      <c r="CC59" s="716" t="n"/>
      <c r="CD59" s="716" t="n"/>
      <c r="CE59" s="716" t="n"/>
      <c r="CF59" s="716" t="n"/>
      <c r="CG59" s="716" t="n"/>
      <c r="CH59" s="716" t="n"/>
      <c r="CI59" s="716" t="n"/>
      <c r="CJ59" s="716" t="n"/>
      <c r="CK59" s="716" t="n"/>
      <c r="CL59" s="716" t="n"/>
      <c r="CM59" s="716" t="n"/>
      <c r="CN59" s="716" t="n"/>
      <c r="CO59" s="716" t="n"/>
      <c r="CP59" s="716" t="n"/>
    </row>
    <row r="60" ht="16.5" customFormat="1" customHeight="1" s="716">
      <c r="A60" s="716" t="n"/>
      <c r="B60" s="716" t="n"/>
      <c r="C60" s="716" t="n"/>
      <c r="D60" s="716" t="n"/>
      <c r="E60" s="716" t="n"/>
      <c r="F60" s="716" t="n"/>
      <c r="G60" s="716" t="n"/>
      <c r="H60" s="716" t="n"/>
      <c r="I60" s="716" t="n"/>
      <c r="J60" s="716" t="n"/>
      <c r="K60" s="716" t="n"/>
      <c r="L60" s="716" t="n"/>
      <c r="M60" s="716" t="n"/>
      <c r="N60" s="716" t="n"/>
      <c r="O60" s="716" t="n"/>
      <c r="P60" s="716" t="n"/>
      <c r="Q60" s="716" t="n"/>
      <c r="R60" s="716" t="n"/>
      <c r="S60" s="462">
        <f>IF(_epmOfflineCondition_,"原煤产量（万吨）",EPMMemberDesc(U60))</f>
        <v/>
      </c>
      <c r="T60" s="716" t="n"/>
      <c r="U60" s="477" t="inlineStr">
        <is>
          <t>A0800106</t>
        </is>
      </c>
      <c r="V60" s="455">
        <f>IF(_epmOfflineCondition_,"A0800106",EPMOlapMemberO(U60,"[C_ACCOUNT].[PARENTH1].[A0800106]","A0800106 - 原煤产量（万吨）","","000"))</f>
        <v/>
      </c>
      <c r="W60" s="462" t="n"/>
      <c r="X60" s="480" t="inlineStr">
        <is>
          <t>(7)原煤产量（万吨）</t>
        </is>
      </c>
      <c r="Y60" s="1185">
        <f>ROW()-45</f>
        <v/>
      </c>
      <c r="Z60" s="1307">
        <f>IF($I$8="01",AA60,AD60-AA60)</f>
        <v/>
      </c>
      <c r="AA60" s="1307" t="n"/>
      <c r="AB60" s="1307" t="n"/>
      <c r="AC60" s="489" t="n"/>
      <c r="AD60" s="489" t="n"/>
      <c r="AE60" s="716" t="n"/>
      <c r="AF60" s="716" t="n"/>
      <c r="AG60" s="716" t="n"/>
      <c r="AH60" s="716" t="n"/>
      <c r="AI60" s="716" t="n"/>
      <c r="AJ60" s="716" t="n"/>
      <c r="AK60" s="716" t="n"/>
      <c r="AL60" s="716" t="n"/>
      <c r="AM60" s="716" t="n"/>
      <c r="AN60" s="716" t="n"/>
      <c r="AO60" s="716" t="n"/>
      <c r="AP60" s="716" t="n"/>
      <c r="AQ60" s="716" t="n"/>
      <c r="AR60" s="716" t="n"/>
      <c r="AS60" s="716" t="n"/>
      <c r="AT60" s="716" t="n"/>
      <c r="AU60" s="716" t="n"/>
      <c r="AV60" s="716" t="n"/>
      <c r="AW60" s="716" t="n"/>
      <c r="AX60" s="716" t="n"/>
      <c r="AY60" s="716" t="n"/>
      <c r="AZ60" s="716" t="n"/>
      <c r="BA60" s="716" t="n"/>
      <c r="BB60" s="716" t="n"/>
      <c r="BC60" s="716" t="n"/>
      <c r="BD60" s="716" t="n"/>
      <c r="BE60" s="716" t="n"/>
      <c r="BF60" s="716" t="n"/>
      <c r="BG60" s="716" t="n"/>
      <c r="BH60" s="716" t="n"/>
      <c r="BI60" s="716" t="n"/>
      <c r="BJ60" s="716" t="n"/>
      <c r="BK60" s="716" t="n"/>
      <c r="BL60" s="716" t="n"/>
      <c r="BM60" s="716" t="n"/>
      <c r="BN60" s="716" t="n"/>
      <c r="BO60" s="716" t="n"/>
      <c r="BP60" s="716" t="n"/>
      <c r="BQ60" s="716" t="n"/>
      <c r="BR60" s="716" t="n"/>
      <c r="BS60" s="716" t="n"/>
      <c r="BT60" s="716" t="n"/>
      <c r="BU60" s="716" t="n"/>
      <c r="BV60" s="716" t="n"/>
      <c r="BW60" s="716" t="n"/>
      <c r="BX60" s="716" t="n"/>
      <c r="BY60" s="716" t="n"/>
      <c r="BZ60" s="716" t="n"/>
      <c r="CA60" s="716" t="n"/>
      <c r="CB60" s="716" t="n"/>
      <c r="CC60" s="716" t="n"/>
      <c r="CD60" s="716" t="n"/>
      <c r="CE60" s="716" t="n"/>
      <c r="CF60" s="716" t="n"/>
      <c r="CG60" s="716" t="n"/>
      <c r="CH60" s="716" t="n"/>
      <c r="CI60" s="716" t="n"/>
      <c r="CJ60" s="716" t="n"/>
      <c r="CK60" s="716" t="n"/>
      <c r="CL60" s="716" t="n"/>
      <c r="CM60" s="716" t="n"/>
      <c r="CN60" s="716" t="n"/>
      <c r="CO60" s="716" t="n"/>
      <c r="CP60" s="716" t="n"/>
    </row>
    <row r="61" ht="16.5" customFormat="1" customHeight="1" s="716">
      <c r="A61" s="716" t="n"/>
      <c r="B61" s="716" t="n"/>
      <c r="C61" s="716" t="n"/>
      <c r="D61" s="716" t="n"/>
      <c r="E61" s="716" t="n"/>
      <c r="F61" s="716" t="n"/>
      <c r="G61" s="716" t="n"/>
      <c r="H61" s="716" t="n"/>
      <c r="I61" s="716" t="n"/>
      <c r="J61" s="716" t="n"/>
      <c r="K61" s="716" t="n"/>
      <c r="L61" s="716" t="n"/>
      <c r="M61" s="716" t="n"/>
      <c r="N61" s="716" t="n"/>
      <c r="O61" s="716" t="n"/>
      <c r="P61" s="716" t="n"/>
      <c r="Q61" s="716" t="n"/>
      <c r="R61" s="716" t="n"/>
      <c r="S61" s="462">
        <f>IF(_epmOfflineCondition_,"商品煤销售量（万吨）",EPMMemberDesc(U61))</f>
        <v/>
      </c>
      <c r="T61" s="716" t="n"/>
      <c r="U61" s="477" t="inlineStr">
        <is>
          <t>A0800107</t>
        </is>
      </c>
      <c r="V61" s="455">
        <f>IF(_epmOfflineCondition_,"A0800107",EPMOlapMemberO(U61,"[C_ACCOUNT].[PARENTH1].[A0800107]","A0800107 - 商品煤销售量（万吨）","","000"))</f>
        <v/>
      </c>
      <c r="W61" s="462" t="n"/>
      <c r="X61" s="480" t="inlineStr">
        <is>
          <t>(8)商品煤销量（万吨）</t>
        </is>
      </c>
      <c r="Y61" s="1185">
        <f>ROW()-45</f>
        <v/>
      </c>
      <c r="Z61" s="1307">
        <f>IF($I$8="01",AA61,AD61-AA61)</f>
        <v/>
      </c>
      <c r="AA61" s="1307" t="n"/>
      <c r="AB61" s="1307" t="n"/>
      <c r="AC61" s="489" t="n"/>
      <c r="AD61" s="489" t="n"/>
      <c r="AE61" s="716" t="n"/>
      <c r="AF61" s="716" t="n"/>
      <c r="AG61" s="716" t="n"/>
      <c r="AH61" s="716" t="n"/>
      <c r="AI61" s="716" t="n"/>
      <c r="AJ61" s="716" t="n"/>
      <c r="AK61" s="716" t="n"/>
      <c r="AL61" s="716" t="n"/>
      <c r="AM61" s="716" t="n"/>
      <c r="AN61" s="716" t="n"/>
      <c r="AO61" s="716" t="n"/>
      <c r="AP61" s="716" t="n"/>
      <c r="AQ61" s="716" t="n"/>
      <c r="AR61" s="716" t="n"/>
      <c r="AS61" s="716" t="n"/>
      <c r="AT61" s="716" t="n"/>
      <c r="AU61" s="716" t="n"/>
      <c r="AV61" s="716" t="n"/>
      <c r="AW61" s="716" t="n"/>
      <c r="AX61" s="716" t="n"/>
      <c r="AY61" s="716" t="n"/>
      <c r="AZ61" s="716" t="n"/>
      <c r="BA61" s="716" t="n"/>
      <c r="BB61" s="716" t="n"/>
      <c r="BC61" s="716" t="n"/>
      <c r="BD61" s="716" t="n"/>
      <c r="BE61" s="716" t="n"/>
      <c r="BF61" s="716" t="n"/>
      <c r="BG61" s="716" t="n"/>
      <c r="BH61" s="716" t="n"/>
      <c r="BI61" s="716" t="n"/>
      <c r="BJ61" s="716" t="n"/>
      <c r="BK61" s="716" t="n"/>
      <c r="BL61" s="716" t="n"/>
      <c r="BM61" s="716" t="n"/>
      <c r="BN61" s="716" t="n"/>
      <c r="BO61" s="716" t="n"/>
      <c r="BP61" s="716" t="n"/>
      <c r="BQ61" s="716" t="n"/>
      <c r="BR61" s="716" t="n"/>
      <c r="BS61" s="716" t="n"/>
      <c r="BT61" s="716" t="n"/>
      <c r="BU61" s="716" t="n"/>
      <c r="BV61" s="716" t="n"/>
      <c r="BW61" s="716" t="n"/>
      <c r="BX61" s="716" t="n"/>
      <c r="BY61" s="716" t="n"/>
      <c r="BZ61" s="716" t="n"/>
      <c r="CA61" s="716" t="n"/>
      <c r="CB61" s="716" t="n"/>
      <c r="CC61" s="716" t="n"/>
      <c r="CD61" s="716" t="n"/>
      <c r="CE61" s="716" t="n"/>
      <c r="CF61" s="716" t="n"/>
      <c r="CG61" s="716" t="n"/>
      <c r="CH61" s="716" t="n"/>
      <c r="CI61" s="716" t="n"/>
      <c r="CJ61" s="716" t="n"/>
      <c r="CK61" s="716" t="n"/>
      <c r="CL61" s="716" t="n"/>
      <c r="CM61" s="716" t="n"/>
      <c r="CN61" s="716" t="n"/>
      <c r="CO61" s="716" t="n"/>
      <c r="CP61" s="716" t="n"/>
    </row>
    <row r="62" ht="16.5" customFormat="1" customHeight="1" s="716">
      <c r="A62" s="716" t="n"/>
      <c r="B62" s="716" t="n"/>
      <c r="C62" s="716" t="n"/>
      <c r="D62" s="716" t="n"/>
      <c r="E62" s="716" t="n"/>
      <c r="F62" s="716" t="n"/>
      <c r="G62" s="716" t="n"/>
      <c r="H62" s="716" t="n"/>
      <c r="I62" s="716" t="n"/>
      <c r="J62" s="716" t="n"/>
      <c r="K62" s="716" t="n"/>
      <c r="L62" s="716" t="n"/>
      <c r="M62" s="716" t="n"/>
      <c r="N62" s="716" t="n"/>
      <c r="O62" s="716" t="n"/>
      <c r="P62" s="716" t="n"/>
      <c r="Q62" s="716" t="n"/>
      <c r="R62" s="716" t="n"/>
      <c r="S62" s="462">
        <f>IF(_epmOfflineCondition_,"(9)发电量（万千瓦时）",EPMMemberDesc(U62))</f>
        <v/>
      </c>
      <c r="T62" s="716" t="n"/>
      <c r="U62" s="477" t="inlineStr">
        <is>
          <t>A082010105</t>
        </is>
      </c>
      <c r="V62" s="455">
        <f>IF(_epmOfflineCondition_,"A082010105",EPMOlapMemberO(U62,"[C_ACCOUNT].[PARENTH1].[A082010105]","A082010105 - (9)发电量（万千瓦时）","","000"))</f>
        <v/>
      </c>
      <c r="W62" s="462" t="n"/>
      <c r="X62" s="480" t="inlineStr">
        <is>
          <t>(9)发电量（万千瓦时）</t>
        </is>
      </c>
      <c r="Y62" s="1185">
        <f>ROW()-45</f>
        <v/>
      </c>
      <c r="Z62" s="1307">
        <f>AC62</f>
        <v/>
      </c>
      <c r="AA62" s="1307">
        <f>SUM(AA63:AA67)</f>
        <v/>
      </c>
      <c r="AB62" s="1307">
        <f>SUM(AB63:AB67)</f>
        <v/>
      </c>
      <c r="AC62" s="489" t="inlineStr"/>
      <c r="AD62" s="489" t="inlineStr"/>
      <c r="AE62" s="716" t="n"/>
      <c r="AF62" s="716" t="n"/>
      <c r="AG62" s="716" t="n"/>
      <c r="AH62" s="716" t="n"/>
      <c r="AI62" s="716" t="n"/>
      <c r="AJ62" s="716" t="n"/>
      <c r="AK62" s="716" t="n"/>
      <c r="AL62" s="716" t="n"/>
      <c r="AM62" s="716" t="n"/>
      <c r="AN62" s="716" t="n"/>
      <c r="AO62" s="716" t="n"/>
      <c r="AP62" s="716" t="n"/>
      <c r="AQ62" s="716" t="n"/>
      <c r="AR62" s="716" t="n"/>
      <c r="AS62" s="716" t="n"/>
      <c r="AT62" s="716" t="n"/>
      <c r="AU62" s="716" t="n"/>
      <c r="AV62" s="716" t="n"/>
      <c r="AW62" s="716" t="n"/>
      <c r="AX62" s="716" t="n"/>
      <c r="AY62" s="716" t="n"/>
      <c r="AZ62" s="716" t="n"/>
      <c r="BA62" s="716" t="n"/>
      <c r="BB62" s="716" t="n"/>
      <c r="BC62" s="716" t="n"/>
      <c r="BD62" s="716" t="n"/>
      <c r="BE62" s="716" t="n"/>
      <c r="BF62" s="716" t="n"/>
      <c r="BG62" s="716" t="n"/>
      <c r="BH62" s="716" t="n"/>
      <c r="BI62" s="716" t="n"/>
      <c r="BJ62" s="716" t="n"/>
      <c r="BK62" s="716" t="n"/>
      <c r="BL62" s="716" t="n"/>
      <c r="BM62" s="716" t="n"/>
      <c r="BN62" s="716" t="n"/>
      <c r="BO62" s="716" t="n"/>
      <c r="BP62" s="716" t="n"/>
      <c r="BQ62" s="716" t="n"/>
      <c r="BR62" s="716" t="n"/>
      <c r="BS62" s="716" t="n"/>
      <c r="BT62" s="716" t="n"/>
      <c r="BU62" s="716" t="n"/>
      <c r="BV62" s="716" t="n"/>
      <c r="BW62" s="716" t="n"/>
      <c r="BX62" s="716" t="n"/>
      <c r="BY62" s="716" t="n"/>
      <c r="BZ62" s="716" t="n"/>
      <c r="CA62" s="716" t="n"/>
      <c r="CB62" s="716" t="n"/>
      <c r="CC62" s="716" t="n"/>
      <c r="CD62" s="716" t="n"/>
      <c r="CE62" s="716" t="n"/>
      <c r="CF62" s="716" t="n"/>
      <c r="CG62" s="716" t="n"/>
      <c r="CH62" s="716" t="n"/>
      <c r="CI62" s="716" t="n"/>
      <c r="CJ62" s="716" t="n"/>
      <c r="CK62" s="716" t="n"/>
      <c r="CL62" s="716" t="n"/>
      <c r="CM62" s="716" t="n"/>
      <c r="CN62" s="716" t="n"/>
      <c r="CO62" s="716" t="n"/>
      <c r="CP62" s="716" t="n"/>
    </row>
    <row r="63" ht="16.5" customFormat="1" customHeight="1" s="716">
      <c r="A63" s="716" t="n"/>
      <c r="B63" s="716" t="n"/>
      <c r="C63" s="716" t="n"/>
      <c r="D63" s="716" t="n"/>
      <c r="E63" s="716" t="n"/>
      <c r="F63" s="716" t="n"/>
      <c r="G63" s="716" t="n"/>
      <c r="H63" s="716" t="n"/>
      <c r="I63" s="716" t="n"/>
      <c r="J63" s="716" t="n"/>
      <c r="K63" s="716" t="n"/>
      <c r="L63" s="716" t="n"/>
      <c r="M63" s="716" t="n"/>
      <c r="N63" s="716" t="n"/>
      <c r="O63" s="716" t="n"/>
      <c r="P63" s="716" t="n"/>
      <c r="Q63" s="716" t="n"/>
      <c r="R63" s="716" t="n"/>
      <c r="S63" s="462">
        <f>IF(_epmOfflineCondition_,"   其中：火电",EPMMemberDesc(U63))</f>
        <v/>
      </c>
      <c r="T63" s="716" t="n"/>
      <c r="U63" s="477" t="inlineStr">
        <is>
          <t>A08201010501</t>
        </is>
      </c>
      <c r="V63" s="535">
        <f>IF(_epmOfflineCondition_,"A08201010501",EPMOlapMemberO(U63,"[C_ACCOUNT].[PARENTH1].[A08201010501]","A08201010501 -    其中：火电","","000"))</f>
        <v/>
      </c>
      <c r="W63" s="462" t="n"/>
      <c r="X63" s="482" t="inlineStr">
        <is>
          <t xml:space="preserve">   其中：火电</t>
        </is>
      </c>
      <c r="Y63" s="1185">
        <f>ROW()-45</f>
        <v/>
      </c>
      <c r="Z63" s="1307">
        <f>AC63</f>
        <v/>
      </c>
      <c r="AA63" s="1307" t="n"/>
      <c r="AB63" s="1307" t="n"/>
      <c r="AC63" s="489" t="n"/>
      <c r="AD63" s="489" t="n"/>
      <c r="AE63" s="716" t="n"/>
      <c r="AF63" s="716" t="n"/>
      <c r="AG63" s="716" t="n"/>
      <c r="AH63" s="716" t="n"/>
      <c r="AI63" s="716" t="n"/>
      <c r="AJ63" s="716" t="n"/>
      <c r="AK63" s="716" t="n"/>
      <c r="AL63" s="716" t="n"/>
      <c r="AM63" s="716" t="n"/>
      <c r="AN63" s="716" t="n"/>
      <c r="AO63" s="716" t="n"/>
      <c r="AP63" s="716" t="n"/>
      <c r="AQ63" s="716" t="n"/>
      <c r="AR63" s="716" t="n"/>
      <c r="AS63" s="716" t="n"/>
      <c r="AT63" s="716" t="n"/>
      <c r="AU63" s="716" t="n"/>
      <c r="AV63" s="716" t="n"/>
      <c r="AW63" s="716" t="n"/>
      <c r="AX63" s="716" t="n"/>
      <c r="AY63" s="716" t="n"/>
      <c r="AZ63" s="716" t="n"/>
      <c r="BA63" s="716" t="n"/>
      <c r="BB63" s="716" t="n"/>
      <c r="BC63" s="716" t="n"/>
      <c r="BD63" s="716" t="n"/>
      <c r="BE63" s="716" t="n"/>
      <c r="BF63" s="716" t="n"/>
      <c r="BG63" s="716" t="n"/>
      <c r="BH63" s="716" t="n"/>
      <c r="BI63" s="716" t="n"/>
      <c r="BJ63" s="716" t="n"/>
      <c r="BK63" s="716" t="n"/>
      <c r="BL63" s="716" t="n"/>
      <c r="BM63" s="716" t="n"/>
      <c r="BN63" s="716" t="n"/>
      <c r="BO63" s="716" t="n"/>
      <c r="BP63" s="716" t="n"/>
      <c r="BQ63" s="716" t="n"/>
      <c r="BR63" s="716" t="n"/>
      <c r="BS63" s="716" t="n"/>
      <c r="BT63" s="716" t="n"/>
      <c r="BU63" s="716" t="n"/>
      <c r="BV63" s="716" t="n"/>
      <c r="BW63" s="716" t="n"/>
      <c r="BX63" s="716" t="n"/>
      <c r="BY63" s="716" t="n"/>
      <c r="BZ63" s="716" t="n"/>
      <c r="CA63" s="716" t="n"/>
      <c r="CB63" s="716" t="n"/>
      <c r="CC63" s="716" t="n"/>
      <c r="CD63" s="716" t="n"/>
      <c r="CE63" s="716" t="n"/>
      <c r="CF63" s="716" t="n"/>
      <c r="CG63" s="716" t="n"/>
      <c r="CH63" s="716" t="n"/>
      <c r="CI63" s="716" t="n"/>
      <c r="CJ63" s="716" t="n"/>
      <c r="CK63" s="716" t="n"/>
      <c r="CL63" s="716" t="n"/>
      <c r="CM63" s="716" t="n"/>
      <c r="CN63" s="716" t="n"/>
      <c r="CO63" s="716" t="n"/>
      <c r="CP63" s="716" t="n"/>
    </row>
    <row r="64" ht="16.5" customFormat="1" customHeight="1" s="716">
      <c r="A64" s="716" t="n"/>
      <c r="B64" s="716" t="n"/>
      <c r="C64" s="716" t="n"/>
      <c r="D64" s="716" t="n"/>
      <c r="E64" s="716" t="n"/>
      <c r="F64" s="716" t="n"/>
      <c r="G64" s="716" t="n"/>
      <c r="H64" s="716" t="n"/>
      <c r="I64" s="716" t="n"/>
      <c r="J64" s="716" t="n"/>
      <c r="K64" s="716" t="n"/>
      <c r="L64" s="716" t="n"/>
      <c r="M64" s="716" t="n"/>
      <c r="N64" s="716" t="n"/>
      <c r="O64" s="716" t="n"/>
      <c r="P64" s="716" t="n"/>
      <c r="Q64" s="716" t="n"/>
      <c r="R64" s="716" t="n"/>
      <c r="S64" s="462">
        <f>IF(_epmOfflineCondition_,"         水电",EPMMemberDesc(U64))</f>
        <v/>
      </c>
      <c r="T64" s="716" t="n"/>
      <c r="U64" s="477" t="inlineStr">
        <is>
          <t>A08201010502</t>
        </is>
      </c>
      <c r="V64" s="535">
        <f>IF(_epmOfflineCondition_,"A08201010502",EPMOlapMemberO(U64,"[C_ACCOUNT].[PARENTH1].[A08201010502]","A08201010502 -          水电","","000"))</f>
        <v/>
      </c>
      <c r="W64" s="462" t="n"/>
      <c r="X64" s="481" t="inlineStr">
        <is>
          <t xml:space="preserve">         水电</t>
        </is>
      </c>
      <c r="Y64" s="1185">
        <f>ROW()-45</f>
        <v/>
      </c>
      <c r="Z64" s="1307">
        <f>AC64</f>
        <v/>
      </c>
      <c r="AA64" s="1307" t="n"/>
      <c r="AB64" s="1307" t="n"/>
      <c r="AC64" s="489" t="n"/>
      <c r="AD64" s="489" t="n"/>
      <c r="AE64" s="716" t="n"/>
      <c r="AF64" s="716" t="n"/>
      <c r="AG64" s="716" t="n"/>
      <c r="AH64" s="716" t="n"/>
      <c r="AI64" s="716" t="n"/>
      <c r="AJ64" s="716" t="n"/>
      <c r="AK64" s="716" t="n"/>
      <c r="AL64" s="716" t="n"/>
      <c r="AM64" s="716" t="n"/>
      <c r="AN64" s="716" t="n"/>
      <c r="AO64" s="716" t="n"/>
      <c r="AP64" s="716" t="n"/>
      <c r="AQ64" s="716" t="n"/>
      <c r="AR64" s="716" t="n"/>
      <c r="AS64" s="716" t="n"/>
      <c r="AT64" s="716" t="n"/>
      <c r="AU64" s="716" t="n"/>
      <c r="AV64" s="716" t="n"/>
      <c r="AW64" s="716" t="n"/>
      <c r="AX64" s="716" t="n"/>
      <c r="AY64" s="716" t="n"/>
      <c r="AZ64" s="716" t="n"/>
      <c r="BA64" s="716" t="n"/>
      <c r="BB64" s="716" t="n"/>
      <c r="BC64" s="716" t="n"/>
      <c r="BD64" s="716" t="n"/>
      <c r="BE64" s="716" t="n"/>
      <c r="BF64" s="716" t="n"/>
      <c r="BG64" s="716" t="n"/>
      <c r="BH64" s="716" t="n"/>
      <c r="BI64" s="716" t="n"/>
      <c r="BJ64" s="716" t="n"/>
      <c r="BK64" s="716" t="n"/>
      <c r="BL64" s="716" t="n"/>
      <c r="BM64" s="716" t="n"/>
      <c r="BN64" s="716" t="n"/>
      <c r="BO64" s="716" t="n"/>
      <c r="BP64" s="716" t="n"/>
      <c r="BQ64" s="716" t="n"/>
      <c r="BR64" s="716" t="n"/>
      <c r="BS64" s="716" t="n"/>
      <c r="BT64" s="716" t="n"/>
      <c r="BU64" s="716" t="n"/>
      <c r="BV64" s="716" t="n"/>
      <c r="BW64" s="716" t="n"/>
      <c r="BX64" s="716" t="n"/>
      <c r="BY64" s="716" t="n"/>
      <c r="BZ64" s="716" t="n"/>
      <c r="CA64" s="716" t="n"/>
      <c r="CB64" s="716" t="n"/>
      <c r="CC64" s="716" t="n"/>
      <c r="CD64" s="716" t="n"/>
      <c r="CE64" s="716" t="n"/>
      <c r="CF64" s="716" t="n"/>
      <c r="CG64" s="716" t="n"/>
      <c r="CH64" s="716" t="n"/>
      <c r="CI64" s="716" t="n"/>
      <c r="CJ64" s="716" t="n"/>
      <c r="CK64" s="716" t="n"/>
      <c r="CL64" s="716" t="n"/>
      <c r="CM64" s="716" t="n"/>
      <c r="CN64" s="716" t="n"/>
      <c r="CO64" s="716" t="n"/>
      <c r="CP64" s="716" t="n"/>
    </row>
    <row r="65" ht="16.5" customFormat="1" customHeight="1" s="716">
      <c r="A65" s="716" t="n"/>
      <c r="B65" s="716" t="n"/>
      <c r="C65" s="716" t="n"/>
      <c r="D65" s="716" t="n"/>
      <c r="E65" s="716" t="n"/>
      <c r="F65" s="716" t="n"/>
      <c r="G65" s="716" t="n"/>
      <c r="H65" s="716" t="n"/>
      <c r="I65" s="716" t="n"/>
      <c r="J65" s="716" t="n"/>
      <c r="K65" s="716" t="n"/>
      <c r="L65" s="716" t="n"/>
      <c r="M65" s="716" t="n"/>
      <c r="N65" s="716" t="n"/>
      <c r="O65" s="716" t="n"/>
      <c r="P65" s="716" t="n"/>
      <c r="Q65" s="716" t="n"/>
      <c r="R65" s="716" t="n"/>
      <c r="S65" s="462">
        <f>IF(_epmOfflineCondition_,"         核电",EPMMemberDesc(U65))</f>
        <v/>
      </c>
      <c r="T65" s="716" t="n"/>
      <c r="U65" s="477" t="inlineStr">
        <is>
          <t>A08201010503</t>
        </is>
      </c>
      <c r="V65" s="535">
        <f>IF(_epmOfflineCondition_,"A08201010503",EPMOlapMemberO(U65,"[C_ACCOUNT].[PARENTH1].[A08201010503]","A08201010503 -          核电","","000"))</f>
        <v/>
      </c>
      <c r="W65" s="462" t="n"/>
      <c r="X65" s="481" t="inlineStr">
        <is>
          <t xml:space="preserve">         核电</t>
        </is>
      </c>
      <c r="Y65" s="1185">
        <f>ROW()-45</f>
        <v/>
      </c>
      <c r="Z65" s="1307">
        <f>AC65</f>
        <v/>
      </c>
      <c r="AA65" s="1307" t="n"/>
      <c r="AB65" s="1307" t="n"/>
      <c r="AC65" s="489" t="n"/>
      <c r="AD65" s="489" t="n"/>
      <c r="AE65" s="716" t="n"/>
      <c r="AF65" s="716" t="n"/>
      <c r="AG65" s="716" t="n"/>
      <c r="AH65" s="716" t="n"/>
      <c r="AI65" s="716" t="n"/>
      <c r="AJ65" s="716" t="n"/>
      <c r="AK65" s="716" t="n"/>
      <c r="AL65" s="716" t="n"/>
      <c r="AM65" s="716" t="n"/>
      <c r="AN65" s="716" t="n"/>
      <c r="AO65" s="716" t="n"/>
      <c r="AP65" s="716" t="n"/>
      <c r="AQ65" s="716" t="n"/>
      <c r="AR65" s="716" t="n"/>
      <c r="AS65" s="716" t="n"/>
      <c r="AT65" s="716" t="n"/>
      <c r="AU65" s="716" t="n"/>
      <c r="AV65" s="716" t="n"/>
      <c r="AW65" s="716" t="n"/>
      <c r="AX65" s="716" t="n"/>
      <c r="AY65" s="716" t="n"/>
      <c r="AZ65" s="716" t="n"/>
      <c r="BA65" s="716" t="n"/>
      <c r="BB65" s="716" t="n"/>
      <c r="BC65" s="716" t="n"/>
      <c r="BD65" s="716" t="n"/>
      <c r="BE65" s="716" t="n"/>
      <c r="BF65" s="716" t="n"/>
      <c r="BG65" s="716" t="n"/>
      <c r="BH65" s="716" t="n"/>
      <c r="BI65" s="716" t="n"/>
      <c r="BJ65" s="716" t="n"/>
      <c r="BK65" s="716" t="n"/>
      <c r="BL65" s="716" t="n"/>
      <c r="BM65" s="716" t="n"/>
      <c r="BN65" s="716" t="n"/>
      <c r="BO65" s="716" t="n"/>
      <c r="BP65" s="716" t="n"/>
      <c r="BQ65" s="716" t="n"/>
      <c r="BR65" s="716" t="n"/>
      <c r="BS65" s="716" t="n"/>
      <c r="BT65" s="716" t="n"/>
      <c r="BU65" s="716" t="n"/>
      <c r="BV65" s="716" t="n"/>
      <c r="BW65" s="716" t="n"/>
      <c r="BX65" s="716" t="n"/>
      <c r="BY65" s="716" t="n"/>
      <c r="BZ65" s="716" t="n"/>
      <c r="CA65" s="716" t="n"/>
      <c r="CB65" s="716" t="n"/>
      <c r="CC65" s="716" t="n"/>
      <c r="CD65" s="716" t="n"/>
      <c r="CE65" s="716" t="n"/>
      <c r="CF65" s="716" t="n"/>
      <c r="CG65" s="716" t="n"/>
      <c r="CH65" s="716" t="n"/>
      <c r="CI65" s="716" t="n"/>
      <c r="CJ65" s="716" t="n"/>
      <c r="CK65" s="716" t="n"/>
      <c r="CL65" s="716" t="n"/>
      <c r="CM65" s="716" t="n"/>
      <c r="CN65" s="716" t="n"/>
      <c r="CO65" s="716" t="n"/>
      <c r="CP65" s="716" t="n"/>
    </row>
    <row r="66" ht="16.5" customFormat="1" customHeight="1" s="716">
      <c r="A66" s="716" t="n"/>
      <c r="B66" s="716" t="n"/>
      <c r="C66" s="716" t="n"/>
      <c r="D66" s="716" t="n"/>
      <c r="E66" s="716" t="n"/>
      <c r="F66" s="716" t="n"/>
      <c r="G66" s="716" t="n"/>
      <c r="H66" s="716" t="n"/>
      <c r="I66" s="716" t="n"/>
      <c r="J66" s="716" t="n"/>
      <c r="K66" s="716" t="n"/>
      <c r="L66" s="716" t="n"/>
      <c r="M66" s="716" t="n"/>
      <c r="N66" s="716" t="n"/>
      <c r="O66" s="716" t="n"/>
      <c r="P66" s="716" t="n"/>
      <c r="Q66" s="716" t="n"/>
      <c r="R66" s="716" t="n"/>
      <c r="S66" s="462">
        <f>IF(_epmOfflineCondition_,"         风电",EPMMemberDesc(U66))</f>
        <v/>
      </c>
      <c r="T66" s="716" t="n"/>
      <c r="U66" s="477" t="inlineStr">
        <is>
          <t>A08201010504</t>
        </is>
      </c>
      <c r="V66" s="535">
        <f>IF(_epmOfflineCondition_,"A08201010504",EPMOlapMemberO(U66,"[C_ACCOUNT].[PARENTH1].[A08201010504]","A08201010504 -          风电","","000"))</f>
        <v/>
      </c>
      <c r="W66" s="462" t="n"/>
      <c r="X66" s="481" t="inlineStr">
        <is>
          <t xml:space="preserve">         风电</t>
        </is>
      </c>
      <c r="Y66" s="1185">
        <f>ROW()-45</f>
        <v/>
      </c>
      <c r="Z66" s="1307">
        <f>AC66</f>
        <v/>
      </c>
      <c r="AA66" s="1307" t="inlineStr"/>
      <c r="AB66" s="1307" t="inlineStr"/>
      <c r="AC66" s="489" t="inlineStr"/>
      <c r="AD66" s="489" t="inlineStr"/>
      <c r="AE66" s="716" t="n"/>
      <c r="AF66" s="716" t="n"/>
      <c r="AG66" s="716" t="n"/>
      <c r="AH66" s="716" t="n"/>
      <c r="AI66" s="716" t="n"/>
      <c r="AJ66" s="716" t="n"/>
      <c r="AK66" s="716" t="n"/>
      <c r="AL66" s="716" t="n"/>
      <c r="AM66" s="716" t="n"/>
      <c r="AN66" s="716" t="n"/>
      <c r="AO66" s="716" t="n"/>
      <c r="AP66" s="716" t="n"/>
      <c r="AQ66" s="716" t="n"/>
      <c r="AR66" s="716" t="n"/>
      <c r="AS66" s="716" t="n"/>
      <c r="AT66" s="716" t="n"/>
      <c r="AU66" s="716" t="n"/>
      <c r="AV66" s="716" t="n"/>
      <c r="AW66" s="716" t="n"/>
      <c r="AX66" s="716" t="n"/>
      <c r="AY66" s="716" t="n"/>
      <c r="AZ66" s="716" t="n"/>
      <c r="BA66" s="716" t="n"/>
      <c r="BB66" s="716" t="n"/>
      <c r="BC66" s="716" t="n"/>
      <c r="BD66" s="716" t="n"/>
      <c r="BE66" s="716" t="n"/>
      <c r="BF66" s="716" t="n"/>
      <c r="BG66" s="716" t="n"/>
      <c r="BH66" s="716" t="n"/>
      <c r="BI66" s="716" t="n"/>
      <c r="BJ66" s="716" t="n"/>
      <c r="BK66" s="716" t="n"/>
      <c r="BL66" s="716" t="n"/>
      <c r="BM66" s="716" t="n"/>
      <c r="BN66" s="716" t="n"/>
      <c r="BO66" s="716" t="n"/>
      <c r="BP66" s="716" t="n"/>
      <c r="BQ66" s="716" t="n"/>
      <c r="BR66" s="716" t="n"/>
      <c r="BS66" s="716" t="n"/>
      <c r="BT66" s="716" t="n"/>
      <c r="BU66" s="716" t="n"/>
      <c r="BV66" s="716" t="n"/>
      <c r="BW66" s="716" t="n"/>
      <c r="BX66" s="716" t="n"/>
      <c r="BY66" s="716" t="n"/>
      <c r="BZ66" s="716" t="n"/>
      <c r="CA66" s="716" t="n"/>
      <c r="CB66" s="716" t="n"/>
      <c r="CC66" s="716" t="n"/>
      <c r="CD66" s="716" t="n"/>
      <c r="CE66" s="716" t="n"/>
      <c r="CF66" s="716" t="n"/>
      <c r="CG66" s="716" t="n"/>
      <c r="CH66" s="716" t="n"/>
      <c r="CI66" s="716" t="n"/>
      <c r="CJ66" s="716" t="n"/>
      <c r="CK66" s="716" t="n"/>
      <c r="CL66" s="716" t="n"/>
      <c r="CM66" s="716" t="n"/>
      <c r="CN66" s="716" t="n"/>
      <c r="CO66" s="716" t="n"/>
      <c r="CP66" s="716" t="n"/>
    </row>
    <row r="67" ht="16.5" customFormat="1" customHeight="1" s="716">
      <c r="A67" s="716" t="n"/>
      <c r="B67" s="716" t="n"/>
      <c r="C67" s="716" t="n"/>
      <c r="D67" s="716" t="n"/>
      <c r="E67" s="716" t="n"/>
      <c r="F67" s="716" t="n"/>
      <c r="G67" s="716" t="n"/>
      <c r="H67" s="716" t="n"/>
      <c r="I67" s="716" t="n"/>
      <c r="J67" s="716" t="n"/>
      <c r="K67" s="716" t="n"/>
      <c r="L67" s="716" t="n"/>
      <c r="M67" s="716" t="n"/>
      <c r="N67" s="716" t="n"/>
      <c r="O67" s="716" t="n"/>
      <c r="P67" s="716" t="n"/>
      <c r="Q67" s="716" t="n"/>
      <c r="R67" s="716" t="n"/>
      <c r="S67" s="462">
        <f>IF(_epmOfflineCondition_,"         光伏",EPMMemberDesc(U67))</f>
        <v/>
      </c>
      <c r="T67" s="716" t="n"/>
      <c r="U67" s="477" t="inlineStr">
        <is>
          <t>A08201010505</t>
        </is>
      </c>
      <c r="V67" s="535">
        <f>IF(_epmOfflineCondition_,"A08201010505",EPMOlapMemberO(U67,"[C_ACCOUNT].[PARENTH1].[A08201010505]","A08201010505 -          光伏","","000"))</f>
        <v/>
      </c>
      <c r="W67" s="462" t="n"/>
      <c r="X67" s="481" t="inlineStr">
        <is>
          <t xml:space="preserve">         光伏</t>
        </is>
      </c>
      <c r="Y67" s="1185">
        <f>ROW()-45</f>
        <v/>
      </c>
      <c r="Z67" s="1307">
        <f>AC67</f>
        <v/>
      </c>
      <c r="AA67" s="1307" t="n"/>
      <c r="AB67" s="1307" t="n"/>
      <c r="AC67" s="489" t="n"/>
      <c r="AD67" s="489" t="n"/>
      <c r="AE67" s="716" t="n"/>
      <c r="AF67" s="716" t="n"/>
      <c r="AG67" s="716" t="n"/>
      <c r="AH67" s="716" t="n"/>
      <c r="AI67" s="716" t="n"/>
      <c r="AJ67" s="716" t="n"/>
      <c r="AK67" s="716" t="n"/>
      <c r="AL67" s="716" t="n"/>
      <c r="AM67" s="716" t="n"/>
      <c r="AN67" s="716" t="n"/>
      <c r="AO67" s="716" t="n"/>
      <c r="AP67" s="716" t="n"/>
      <c r="AQ67" s="716" t="n"/>
      <c r="AR67" s="716" t="n"/>
      <c r="AS67" s="716" t="n"/>
      <c r="AT67" s="716" t="n"/>
      <c r="AU67" s="716" t="n"/>
      <c r="AV67" s="716" t="n"/>
      <c r="AW67" s="716" t="n"/>
      <c r="AX67" s="716" t="n"/>
      <c r="AY67" s="716" t="n"/>
      <c r="AZ67" s="716" t="n"/>
      <c r="BA67" s="716" t="n"/>
      <c r="BB67" s="716" t="n"/>
      <c r="BC67" s="716" t="n"/>
      <c r="BD67" s="716" t="n"/>
      <c r="BE67" s="716" t="n"/>
      <c r="BF67" s="716" t="n"/>
      <c r="BG67" s="716" t="n"/>
      <c r="BH67" s="716" t="n"/>
      <c r="BI67" s="716" t="n"/>
      <c r="BJ67" s="716" t="n"/>
      <c r="BK67" s="716" t="n"/>
      <c r="BL67" s="716" t="n"/>
      <c r="BM67" s="716" t="n"/>
      <c r="BN67" s="716" t="n"/>
      <c r="BO67" s="716" t="n"/>
      <c r="BP67" s="716" t="n"/>
      <c r="BQ67" s="716" t="n"/>
      <c r="BR67" s="716" t="n"/>
      <c r="BS67" s="716" t="n"/>
      <c r="BT67" s="716" t="n"/>
      <c r="BU67" s="716" t="n"/>
      <c r="BV67" s="716" t="n"/>
      <c r="BW67" s="716" t="n"/>
      <c r="BX67" s="716" t="n"/>
      <c r="BY67" s="716" t="n"/>
      <c r="BZ67" s="716" t="n"/>
      <c r="CA67" s="716" t="n"/>
      <c r="CB67" s="716" t="n"/>
      <c r="CC67" s="716" t="n"/>
      <c r="CD67" s="716" t="n"/>
      <c r="CE67" s="716" t="n"/>
      <c r="CF67" s="716" t="n"/>
      <c r="CG67" s="716" t="n"/>
      <c r="CH67" s="716" t="n"/>
      <c r="CI67" s="716" t="n"/>
      <c r="CJ67" s="716" t="n"/>
      <c r="CK67" s="716" t="n"/>
      <c r="CL67" s="716" t="n"/>
      <c r="CM67" s="716" t="n"/>
      <c r="CN67" s="716" t="n"/>
      <c r="CO67" s="716" t="n"/>
      <c r="CP67" s="716" t="n"/>
    </row>
    <row r="68" ht="16.5" customFormat="1" customHeight="1" s="716">
      <c r="A68" s="716" t="n"/>
      <c r="B68" s="716" t="n"/>
      <c r="C68" s="716" t="n"/>
      <c r="D68" s="716" t="n"/>
      <c r="E68" s="716" t="n"/>
      <c r="F68" s="716" t="n"/>
      <c r="G68" s="716" t="n"/>
      <c r="H68" s="716" t="n"/>
      <c r="I68" s="716" t="n"/>
      <c r="J68" s="716" t="n"/>
      <c r="K68" s="716" t="n"/>
      <c r="L68" s="716" t="n"/>
      <c r="M68" s="716" t="n"/>
      <c r="N68" s="716" t="n"/>
      <c r="O68" s="716" t="n"/>
      <c r="P68" s="716" t="n"/>
      <c r="Q68" s="716" t="n"/>
      <c r="R68" s="716" t="n"/>
      <c r="S68" s="462">
        <f>IF(_epmOfflineCondition_,"(10)售电量（万千瓦时）",EPMMemberDesc(U68))</f>
        <v/>
      </c>
      <c r="T68" s="716" t="n"/>
      <c r="U68" s="477" t="inlineStr">
        <is>
          <t>A082010106</t>
        </is>
      </c>
      <c r="V68" s="455">
        <f>IF(_epmOfflineCondition_,"A082010106",EPMOlapMemberO(U68,"[C_ACCOUNT].[PARENTH1].[A082010106]","A082010106 - (10)售电量（万千瓦时）","","000"))</f>
        <v/>
      </c>
      <c r="W68" s="462" t="n"/>
      <c r="X68" s="480" t="inlineStr">
        <is>
          <t>(10)售电量（万千瓦时）</t>
        </is>
      </c>
      <c r="Y68" s="1185">
        <f>ROW()-45</f>
        <v/>
      </c>
      <c r="Z68" s="1307">
        <f>AC68</f>
        <v/>
      </c>
      <c r="AA68" s="1307" t="inlineStr"/>
      <c r="AB68" s="1307" t="inlineStr"/>
      <c r="AC68" s="489" t="inlineStr"/>
      <c r="AD68" s="489" t="inlineStr"/>
      <c r="AE68" s="716" t="n"/>
      <c r="AF68" s="716" t="n"/>
      <c r="AG68" s="716" t="n"/>
      <c r="AH68" s="716" t="n"/>
      <c r="AI68" s="716" t="n"/>
      <c r="AJ68" s="716" t="n"/>
      <c r="AK68" s="716" t="n"/>
      <c r="AL68" s="716" t="n"/>
      <c r="AM68" s="716" t="n"/>
      <c r="AN68" s="716" t="n"/>
      <c r="AO68" s="716" t="n"/>
      <c r="AP68" s="716" t="n"/>
      <c r="AQ68" s="716" t="n"/>
      <c r="AR68" s="716" t="n"/>
      <c r="AS68" s="716" t="n"/>
      <c r="AT68" s="716" t="n"/>
      <c r="AU68" s="716" t="n"/>
      <c r="AV68" s="716" t="n"/>
      <c r="AW68" s="716" t="n"/>
      <c r="AX68" s="716" t="n"/>
      <c r="AY68" s="716" t="n"/>
      <c r="AZ68" s="716" t="n"/>
      <c r="BA68" s="716" t="n"/>
      <c r="BB68" s="716" t="n"/>
      <c r="BC68" s="716" t="n"/>
      <c r="BD68" s="716" t="n"/>
      <c r="BE68" s="716" t="n"/>
      <c r="BF68" s="716" t="n"/>
      <c r="BG68" s="716" t="n"/>
      <c r="BH68" s="716" t="n"/>
      <c r="BI68" s="716" t="n"/>
      <c r="BJ68" s="716" t="n"/>
      <c r="BK68" s="716" t="n"/>
      <c r="BL68" s="716" t="n"/>
      <c r="BM68" s="716" t="n"/>
      <c r="BN68" s="716" t="n"/>
      <c r="BO68" s="716" t="n"/>
      <c r="BP68" s="716" t="n"/>
      <c r="BQ68" s="716" t="n"/>
      <c r="BR68" s="716" t="n"/>
      <c r="BS68" s="716" t="n"/>
      <c r="BT68" s="716" t="n"/>
      <c r="BU68" s="716" t="n"/>
      <c r="BV68" s="716" t="n"/>
      <c r="BW68" s="716" t="n"/>
      <c r="BX68" s="716" t="n"/>
      <c r="BY68" s="716" t="n"/>
      <c r="BZ68" s="716" t="n"/>
      <c r="CA68" s="716" t="n"/>
      <c r="CB68" s="716" t="n"/>
      <c r="CC68" s="716" t="n"/>
      <c r="CD68" s="716" t="n"/>
      <c r="CE68" s="716" t="n"/>
      <c r="CF68" s="716" t="n"/>
      <c r="CG68" s="716" t="n"/>
      <c r="CH68" s="716" t="n"/>
      <c r="CI68" s="716" t="n"/>
      <c r="CJ68" s="716" t="n"/>
      <c r="CK68" s="716" t="n"/>
      <c r="CL68" s="716" t="n"/>
      <c r="CM68" s="716" t="n"/>
      <c r="CN68" s="716" t="n"/>
      <c r="CO68" s="716" t="n"/>
      <c r="CP68" s="716" t="n"/>
    </row>
    <row r="69" ht="16.5" customFormat="1" customHeight="1" s="716">
      <c r="A69" s="716" t="n"/>
      <c r="B69" s="716" t="n"/>
      <c r="C69" s="716" t="n"/>
      <c r="D69" s="716" t="n"/>
      <c r="E69" s="716" t="n"/>
      <c r="F69" s="716" t="n"/>
      <c r="G69" s="716" t="n"/>
      <c r="H69" s="716" t="n"/>
      <c r="I69" s="716" t="n"/>
      <c r="J69" s="716" t="n"/>
      <c r="K69" s="716" t="n"/>
      <c r="L69" s="716" t="n"/>
      <c r="M69" s="716" t="n"/>
      <c r="N69" s="716" t="n"/>
      <c r="O69" s="716" t="n"/>
      <c r="P69" s="716" t="n"/>
      <c r="Q69" s="716" t="n"/>
      <c r="R69" s="716" t="n"/>
      <c r="S69" s="462">
        <f>IF(_epmOfflineCondition_,"(11)汽车产量（万辆）",EPMMemberDesc(U69))</f>
        <v/>
      </c>
      <c r="T69" s="716" t="n"/>
      <c r="U69" s="477" t="inlineStr">
        <is>
          <t>A082010107</t>
        </is>
      </c>
      <c r="V69" s="455">
        <f>IF(_epmOfflineCondition_,"A082010107",EPMOlapMemberO(U69,"[C_ACCOUNT].[PARENTH1].[A082010107]","A082010107 - (11)汽车产量（万辆）","","000"))</f>
        <v/>
      </c>
      <c r="W69" s="462" t="n"/>
      <c r="X69" s="480" t="inlineStr">
        <is>
          <t>(11)汽车产量（万辆）</t>
        </is>
      </c>
      <c r="Y69" s="1185">
        <f>ROW()-45</f>
        <v/>
      </c>
      <c r="Z69" s="1307">
        <f>AC69</f>
        <v/>
      </c>
      <c r="AA69" s="1307">
        <f>SUM(AA70:AA71)</f>
        <v/>
      </c>
      <c r="AB69" s="1307">
        <f>SUM(AB70:AB71)</f>
        <v/>
      </c>
      <c r="AC69" s="489" t="n"/>
      <c r="AD69" s="489" t="n"/>
      <c r="AE69" s="716" t="n"/>
      <c r="AF69" s="716" t="n"/>
      <c r="AG69" s="716" t="n"/>
      <c r="AH69" s="716" t="n"/>
      <c r="AI69" s="716" t="n"/>
      <c r="AJ69" s="716" t="n"/>
      <c r="AK69" s="716" t="n"/>
      <c r="AL69" s="716" t="n"/>
      <c r="AM69" s="716" t="n"/>
      <c r="AN69" s="716" t="n"/>
      <c r="AO69" s="716" t="n"/>
      <c r="AP69" s="716" t="n"/>
      <c r="AQ69" s="716" t="n"/>
      <c r="AR69" s="716" t="n"/>
      <c r="AS69" s="716" t="n"/>
      <c r="AT69" s="716" t="n"/>
      <c r="AU69" s="716" t="n"/>
      <c r="AV69" s="716" t="n"/>
      <c r="AW69" s="716" t="n"/>
      <c r="AX69" s="716" t="n"/>
      <c r="AY69" s="716" t="n"/>
      <c r="AZ69" s="716" t="n"/>
      <c r="BA69" s="716" t="n"/>
      <c r="BB69" s="716" t="n"/>
      <c r="BC69" s="716" t="n"/>
      <c r="BD69" s="716" t="n"/>
      <c r="BE69" s="716" t="n"/>
      <c r="BF69" s="716" t="n"/>
      <c r="BG69" s="716" t="n"/>
      <c r="BH69" s="716" t="n"/>
      <c r="BI69" s="716" t="n"/>
      <c r="BJ69" s="716" t="n"/>
      <c r="BK69" s="716" t="n"/>
      <c r="BL69" s="716" t="n"/>
      <c r="BM69" s="716" t="n"/>
      <c r="BN69" s="716" t="n"/>
      <c r="BO69" s="716" t="n"/>
      <c r="BP69" s="716" t="n"/>
      <c r="BQ69" s="716" t="n"/>
      <c r="BR69" s="716" t="n"/>
      <c r="BS69" s="716" t="n"/>
      <c r="BT69" s="716" t="n"/>
      <c r="BU69" s="716" t="n"/>
      <c r="BV69" s="716" t="n"/>
      <c r="BW69" s="716" t="n"/>
      <c r="BX69" s="716" t="n"/>
      <c r="BY69" s="716" t="n"/>
      <c r="BZ69" s="716" t="n"/>
      <c r="CA69" s="716" t="n"/>
      <c r="CB69" s="716" t="n"/>
      <c r="CC69" s="716" t="n"/>
      <c r="CD69" s="716" t="n"/>
      <c r="CE69" s="716" t="n"/>
      <c r="CF69" s="716" t="n"/>
      <c r="CG69" s="716" t="n"/>
      <c r="CH69" s="716" t="n"/>
      <c r="CI69" s="716" t="n"/>
      <c r="CJ69" s="716" t="n"/>
      <c r="CK69" s="716" t="n"/>
      <c r="CL69" s="716" t="n"/>
      <c r="CM69" s="716" t="n"/>
      <c r="CN69" s="716" t="n"/>
      <c r="CO69" s="716" t="n"/>
      <c r="CP69" s="716" t="n"/>
    </row>
    <row r="70" ht="16.5" customFormat="1" customHeight="1" s="716">
      <c r="A70" s="716" t="n"/>
      <c r="B70" s="716" t="n"/>
      <c r="C70" s="716" t="n"/>
      <c r="D70" s="716" t="n"/>
      <c r="E70" s="716" t="n"/>
      <c r="F70" s="716" t="n"/>
      <c r="G70" s="716" t="n"/>
      <c r="H70" s="716" t="n"/>
      <c r="I70" s="716" t="n"/>
      <c r="J70" s="716" t="n"/>
      <c r="K70" s="716" t="n"/>
      <c r="L70" s="716" t="n"/>
      <c r="M70" s="716" t="n"/>
      <c r="N70" s="716" t="n"/>
      <c r="O70" s="716" t="n"/>
      <c r="P70" s="716" t="n"/>
      <c r="Q70" s="716" t="n"/>
      <c r="R70" s="716" t="n"/>
      <c r="S70" s="462">
        <f>IF(_epmOfflineCondition_,"        其中：新能源汽车",EPMMemberDesc(U70))</f>
        <v/>
      </c>
      <c r="T70" s="716" t="n"/>
      <c r="U70" s="477" t="inlineStr">
        <is>
          <t>A08201010701</t>
        </is>
      </c>
      <c r="V70" s="535">
        <f>IF(_epmOfflineCondition_,"A08201010701",EPMOlapMemberO(U70,"[C_ACCOUNT].[PARENTH1].[A08201010701]","A08201010701 -         其中：新能源汽车","","000"))</f>
        <v/>
      </c>
      <c r="W70" s="462" t="n"/>
      <c r="X70" s="480" t="inlineStr">
        <is>
          <t xml:space="preserve">        其中：新能源汽车</t>
        </is>
      </c>
      <c r="Y70" s="1185">
        <f>ROW()-45</f>
        <v/>
      </c>
      <c r="Z70" s="1307">
        <f>AC70</f>
        <v/>
      </c>
      <c r="AA70" s="1307" t="n"/>
      <c r="AB70" s="1307" t="n"/>
      <c r="AC70" s="489" t="n"/>
      <c r="AD70" s="489" t="n"/>
      <c r="AE70" s="716" t="n"/>
      <c r="AF70" s="716" t="n"/>
      <c r="AG70" s="716" t="n"/>
      <c r="AH70" s="716" t="n"/>
      <c r="AI70" s="716" t="n"/>
      <c r="AJ70" s="716" t="n"/>
      <c r="AK70" s="716" t="n"/>
      <c r="AL70" s="716" t="n"/>
      <c r="AM70" s="716" t="n"/>
      <c r="AN70" s="716" t="n"/>
      <c r="AO70" s="716" t="n"/>
      <c r="AP70" s="716" t="n"/>
      <c r="AQ70" s="716" t="n"/>
      <c r="AR70" s="716" t="n"/>
      <c r="AS70" s="716" t="n"/>
      <c r="AT70" s="716" t="n"/>
      <c r="AU70" s="716" t="n"/>
      <c r="AV70" s="716" t="n"/>
      <c r="AW70" s="716" t="n"/>
      <c r="AX70" s="716" t="n"/>
      <c r="AY70" s="716" t="n"/>
      <c r="AZ70" s="716" t="n"/>
      <c r="BA70" s="716" t="n"/>
      <c r="BB70" s="716" t="n"/>
      <c r="BC70" s="716" t="n"/>
      <c r="BD70" s="716" t="n"/>
      <c r="BE70" s="716" t="n"/>
      <c r="BF70" s="716" t="n"/>
      <c r="BG70" s="716" t="n"/>
      <c r="BH70" s="716" t="n"/>
      <c r="BI70" s="716" t="n"/>
      <c r="BJ70" s="716" t="n"/>
      <c r="BK70" s="716" t="n"/>
      <c r="BL70" s="716" t="n"/>
      <c r="BM70" s="716" t="n"/>
      <c r="BN70" s="716" t="n"/>
      <c r="BO70" s="716" t="n"/>
      <c r="BP70" s="716" t="n"/>
      <c r="BQ70" s="716" t="n"/>
      <c r="BR70" s="716" t="n"/>
      <c r="BS70" s="716" t="n"/>
      <c r="BT70" s="716" t="n"/>
      <c r="BU70" s="716" t="n"/>
      <c r="BV70" s="716" t="n"/>
      <c r="BW70" s="716" t="n"/>
      <c r="BX70" s="716" t="n"/>
      <c r="BY70" s="716" t="n"/>
      <c r="BZ70" s="716" t="n"/>
      <c r="CA70" s="716" t="n"/>
      <c r="CB70" s="716" t="n"/>
      <c r="CC70" s="716" t="n"/>
      <c r="CD70" s="716" t="n"/>
      <c r="CE70" s="716" t="n"/>
      <c r="CF70" s="716" t="n"/>
      <c r="CG70" s="716" t="n"/>
      <c r="CH70" s="716" t="n"/>
      <c r="CI70" s="716" t="n"/>
      <c r="CJ70" s="716" t="n"/>
      <c r="CK70" s="716" t="n"/>
      <c r="CL70" s="716" t="n"/>
      <c r="CM70" s="716" t="n"/>
      <c r="CN70" s="716" t="n"/>
      <c r="CO70" s="716" t="n"/>
      <c r="CP70" s="716" t="n"/>
    </row>
    <row r="71" ht="16.5" customFormat="1" customHeight="1" s="716">
      <c r="A71" s="716" t="n"/>
      <c r="B71" s="716" t="n"/>
      <c r="C71" s="716" t="n"/>
      <c r="D71" s="716" t="n"/>
      <c r="E71" s="716" t="n"/>
      <c r="F71" s="716" t="n"/>
      <c r="G71" s="716" t="n"/>
      <c r="H71" s="716" t="n"/>
      <c r="I71" s="716" t="n"/>
      <c r="J71" s="716" t="n"/>
      <c r="K71" s="716" t="n"/>
      <c r="L71" s="716" t="n"/>
      <c r="M71" s="716" t="n"/>
      <c r="N71" s="716" t="n"/>
      <c r="O71" s="716" t="n"/>
      <c r="P71" s="716" t="n"/>
      <c r="Q71" s="716" t="n"/>
      <c r="R71" s="716" t="n"/>
      <c r="S71" s="462">
        <f>IF(_epmOfflineCondition_,"             燃油汽车",EPMMemberDesc(U71))</f>
        <v/>
      </c>
      <c r="T71" s="716" t="n"/>
      <c r="U71" s="477" t="inlineStr">
        <is>
          <t>A08201010702</t>
        </is>
      </c>
      <c r="V71" s="535">
        <f>IF(_epmOfflineCondition_,"A08201010702",EPMOlapMemberO(U71,"[C_ACCOUNT].[PARENTH1].[A08201010702]","A08201010702 -              燃油汽车","","000"))</f>
        <v/>
      </c>
      <c r="W71" s="462" t="n"/>
      <c r="X71" s="481" t="inlineStr">
        <is>
          <t xml:space="preserve">             燃油汽车</t>
        </is>
      </c>
      <c r="Y71" s="1185">
        <f>ROW()-45</f>
        <v/>
      </c>
      <c r="Z71" s="1307">
        <f>AC71</f>
        <v/>
      </c>
      <c r="AA71" s="1307" t="n"/>
      <c r="AB71" s="1307" t="n"/>
      <c r="AC71" s="489" t="n"/>
      <c r="AD71" s="489" t="n"/>
      <c r="AE71" s="716" t="n"/>
      <c r="AF71" s="716" t="n"/>
      <c r="AG71" s="716" t="n"/>
      <c r="AH71" s="716" t="n"/>
      <c r="AI71" s="716" t="n"/>
      <c r="AJ71" s="716" t="n"/>
      <c r="AK71" s="716" t="n"/>
      <c r="AL71" s="716" t="n"/>
      <c r="AM71" s="716" t="n"/>
      <c r="AN71" s="716" t="n"/>
      <c r="AO71" s="716" t="n"/>
      <c r="AP71" s="716" t="n"/>
      <c r="AQ71" s="716" t="n"/>
      <c r="AR71" s="716" t="n"/>
      <c r="AS71" s="716" t="n"/>
      <c r="AT71" s="716" t="n"/>
      <c r="AU71" s="716" t="n"/>
      <c r="AV71" s="716" t="n"/>
      <c r="AW71" s="716" t="n"/>
      <c r="AX71" s="716" t="n"/>
      <c r="AY71" s="716" t="n"/>
      <c r="AZ71" s="716" t="n"/>
      <c r="BA71" s="716" t="n"/>
      <c r="BB71" s="716" t="n"/>
      <c r="BC71" s="716" t="n"/>
      <c r="BD71" s="716" t="n"/>
      <c r="BE71" s="716" t="n"/>
      <c r="BF71" s="716" t="n"/>
      <c r="BG71" s="716" t="n"/>
      <c r="BH71" s="716" t="n"/>
      <c r="BI71" s="716" t="n"/>
      <c r="BJ71" s="716" t="n"/>
      <c r="BK71" s="716" t="n"/>
      <c r="BL71" s="716" t="n"/>
      <c r="BM71" s="716" t="n"/>
      <c r="BN71" s="716" t="n"/>
      <c r="BO71" s="716" t="n"/>
      <c r="BP71" s="716" t="n"/>
      <c r="BQ71" s="716" t="n"/>
      <c r="BR71" s="716" t="n"/>
      <c r="BS71" s="716" t="n"/>
      <c r="BT71" s="716" t="n"/>
      <c r="BU71" s="716" t="n"/>
      <c r="BV71" s="716" t="n"/>
      <c r="BW71" s="716" t="n"/>
      <c r="BX71" s="716" t="n"/>
      <c r="BY71" s="716" t="n"/>
      <c r="BZ71" s="716" t="n"/>
      <c r="CA71" s="716" t="n"/>
      <c r="CB71" s="716" t="n"/>
      <c r="CC71" s="716" t="n"/>
      <c r="CD71" s="716" t="n"/>
      <c r="CE71" s="716" t="n"/>
      <c r="CF71" s="716" t="n"/>
      <c r="CG71" s="716" t="n"/>
      <c r="CH71" s="716" t="n"/>
      <c r="CI71" s="716" t="n"/>
      <c r="CJ71" s="716" t="n"/>
      <c r="CK71" s="716" t="n"/>
      <c r="CL71" s="716" t="n"/>
      <c r="CM71" s="716" t="n"/>
      <c r="CN71" s="716" t="n"/>
      <c r="CO71" s="716" t="n"/>
      <c r="CP71" s="716" t="n"/>
    </row>
    <row r="72" ht="16.5" customFormat="1" customHeight="1" s="716">
      <c r="A72" s="716" t="n"/>
      <c r="B72" s="716" t="n"/>
      <c r="C72" s="716" t="n"/>
      <c r="D72" s="716" t="n"/>
      <c r="E72" s="716" t="n"/>
      <c r="F72" s="716" t="n"/>
      <c r="G72" s="716" t="n"/>
      <c r="H72" s="716" t="n"/>
      <c r="I72" s="716" t="n"/>
      <c r="J72" s="716" t="n"/>
      <c r="K72" s="716" t="n"/>
      <c r="L72" s="716" t="n"/>
      <c r="M72" s="716" t="n"/>
      <c r="N72" s="716" t="n"/>
      <c r="O72" s="716" t="n"/>
      <c r="P72" s="716" t="n"/>
      <c r="Q72" s="716" t="n"/>
      <c r="R72" s="716" t="n"/>
      <c r="S72" s="462">
        <f>IF(_epmOfflineCondition_,"(12)汽车销量（万辆）",EPMMemberDesc(U72))</f>
        <v/>
      </c>
      <c r="T72" s="716" t="n"/>
      <c r="U72" s="477" t="inlineStr">
        <is>
          <t>A082010108</t>
        </is>
      </c>
      <c r="V72" s="455">
        <f>IF(_epmOfflineCondition_,"A082010108",EPMOlapMemberO(U72,"[C_ACCOUNT].[PARENTH1].[A082010108]","A082010108 - (12)汽车销量（万辆）","","000"))</f>
        <v/>
      </c>
      <c r="W72" s="462" t="n"/>
      <c r="X72" s="480" t="inlineStr">
        <is>
          <t>(12)汽车销量（万辆）</t>
        </is>
      </c>
      <c r="Y72" s="1185">
        <f>ROW()-45</f>
        <v/>
      </c>
      <c r="Z72" s="1307">
        <f>AC72</f>
        <v/>
      </c>
      <c r="AA72" s="1307">
        <f>SUM(AA73:AA74)</f>
        <v/>
      </c>
      <c r="AB72" s="1307">
        <f>SUM(AB73:AB74)</f>
        <v/>
      </c>
      <c r="AC72" s="489" t="n"/>
      <c r="AD72" s="489" t="n"/>
      <c r="AE72" s="716" t="n"/>
      <c r="AF72" s="716" t="n"/>
      <c r="AG72" s="716" t="n"/>
      <c r="AH72" s="716" t="n"/>
      <c r="AI72" s="716" t="n"/>
      <c r="AJ72" s="716" t="n"/>
      <c r="AK72" s="716" t="n"/>
      <c r="AL72" s="716" t="n"/>
      <c r="AM72" s="716" t="n"/>
      <c r="AN72" s="716" t="n"/>
      <c r="AO72" s="716" t="n"/>
      <c r="AP72" s="716" t="n"/>
      <c r="AQ72" s="716" t="n"/>
      <c r="AR72" s="716" t="n"/>
      <c r="AS72" s="716" t="n"/>
      <c r="AT72" s="716" t="n"/>
      <c r="AU72" s="716" t="n"/>
      <c r="AV72" s="716" t="n"/>
      <c r="AW72" s="716" t="n"/>
      <c r="AX72" s="716" t="n"/>
      <c r="AY72" s="716" t="n"/>
      <c r="AZ72" s="716" t="n"/>
      <c r="BA72" s="716" t="n"/>
      <c r="BB72" s="716" t="n"/>
      <c r="BC72" s="716" t="n"/>
      <c r="BD72" s="716" t="n"/>
      <c r="BE72" s="716" t="n"/>
      <c r="BF72" s="716" t="n"/>
      <c r="BG72" s="716" t="n"/>
      <c r="BH72" s="716" t="n"/>
      <c r="BI72" s="716" t="n"/>
      <c r="BJ72" s="716" t="n"/>
      <c r="BK72" s="716" t="n"/>
      <c r="BL72" s="716" t="n"/>
      <c r="BM72" s="716" t="n"/>
      <c r="BN72" s="716" t="n"/>
      <c r="BO72" s="716" t="n"/>
      <c r="BP72" s="716" t="n"/>
      <c r="BQ72" s="716" t="n"/>
      <c r="BR72" s="716" t="n"/>
      <c r="BS72" s="716" t="n"/>
      <c r="BT72" s="716" t="n"/>
      <c r="BU72" s="716" t="n"/>
      <c r="BV72" s="716" t="n"/>
      <c r="BW72" s="716" t="n"/>
      <c r="BX72" s="716" t="n"/>
      <c r="BY72" s="716" t="n"/>
      <c r="BZ72" s="716" t="n"/>
      <c r="CA72" s="716" t="n"/>
      <c r="CB72" s="716" t="n"/>
      <c r="CC72" s="716" t="n"/>
      <c r="CD72" s="716" t="n"/>
      <c r="CE72" s="716" t="n"/>
      <c r="CF72" s="716" t="n"/>
      <c r="CG72" s="716" t="n"/>
      <c r="CH72" s="716" t="n"/>
      <c r="CI72" s="716" t="n"/>
      <c r="CJ72" s="716" t="n"/>
      <c r="CK72" s="716" t="n"/>
      <c r="CL72" s="716" t="n"/>
      <c r="CM72" s="716" t="n"/>
      <c r="CN72" s="716" t="n"/>
      <c r="CO72" s="716" t="n"/>
      <c r="CP72" s="716" t="n"/>
    </row>
    <row r="73" ht="16.5" customFormat="1" customHeight="1" s="716">
      <c r="A73" s="716" t="n"/>
      <c r="B73" s="716" t="n"/>
      <c r="C73" s="716" t="n"/>
      <c r="D73" s="716" t="n"/>
      <c r="E73" s="716" t="n"/>
      <c r="F73" s="716" t="n"/>
      <c r="G73" s="716" t="n"/>
      <c r="H73" s="716" t="n"/>
      <c r="I73" s="716" t="n"/>
      <c r="J73" s="716" t="n"/>
      <c r="K73" s="716" t="n"/>
      <c r="L73" s="716" t="n"/>
      <c r="M73" s="716" t="n"/>
      <c r="N73" s="716" t="n"/>
      <c r="O73" s="716" t="n"/>
      <c r="P73" s="716" t="n"/>
      <c r="Q73" s="716" t="n"/>
      <c r="R73" s="716" t="n"/>
      <c r="S73" s="462">
        <f>IF(_epmOfflineCondition_,"        其中：新能源汽车",EPMMemberDesc(U73))</f>
        <v/>
      </c>
      <c r="T73" s="716" t="n"/>
      <c r="U73" s="477" t="inlineStr">
        <is>
          <t>A08201010801</t>
        </is>
      </c>
      <c r="V73" s="535">
        <f>IF(_epmOfflineCondition_,"A08201010801",EPMOlapMemberO(U73,"[C_ACCOUNT].[PARENTH1].[A08201010801]","A08201010801 -         其中：新能源汽车","","000"))</f>
        <v/>
      </c>
      <c r="W73" s="462" t="n"/>
      <c r="X73" s="480" t="inlineStr">
        <is>
          <t xml:space="preserve">        其中：新能源汽车</t>
        </is>
      </c>
      <c r="Y73" s="1185">
        <f>ROW()-45</f>
        <v/>
      </c>
      <c r="Z73" s="1307">
        <f>AC73</f>
        <v/>
      </c>
      <c r="AA73" s="1307" t="n"/>
      <c r="AB73" s="1307" t="n"/>
      <c r="AC73" s="489" t="n"/>
      <c r="AD73" s="489" t="n"/>
      <c r="AE73" s="716" t="n"/>
      <c r="AF73" s="716" t="n"/>
      <c r="AG73" s="716" t="n"/>
      <c r="AH73" s="716" t="n"/>
      <c r="AI73" s="716" t="n"/>
      <c r="AJ73" s="716" t="n"/>
      <c r="AK73" s="716" t="n"/>
      <c r="AL73" s="716" t="n"/>
      <c r="AM73" s="716" t="n"/>
      <c r="AN73" s="716" t="n"/>
      <c r="AO73" s="716" t="n"/>
      <c r="AP73" s="716" t="n"/>
      <c r="AQ73" s="716" t="n"/>
      <c r="AR73" s="716" t="n"/>
      <c r="AS73" s="716" t="n"/>
      <c r="AT73" s="716" t="n"/>
      <c r="AU73" s="716" t="n"/>
      <c r="AV73" s="716" t="n"/>
      <c r="AW73" s="716" t="n"/>
      <c r="AX73" s="716" t="n"/>
      <c r="AY73" s="716" t="n"/>
      <c r="AZ73" s="716" t="n"/>
      <c r="BA73" s="716" t="n"/>
      <c r="BB73" s="716" t="n"/>
      <c r="BC73" s="716" t="n"/>
      <c r="BD73" s="716" t="n"/>
      <c r="BE73" s="716" t="n"/>
      <c r="BF73" s="716" t="n"/>
      <c r="BG73" s="716" t="n"/>
      <c r="BH73" s="716" t="n"/>
      <c r="BI73" s="716" t="n"/>
      <c r="BJ73" s="716" t="n"/>
      <c r="BK73" s="716" t="n"/>
      <c r="BL73" s="716" t="n"/>
      <c r="BM73" s="716" t="n"/>
      <c r="BN73" s="716" t="n"/>
      <c r="BO73" s="716" t="n"/>
      <c r="BP73" s="716" t="n"/>
      <c r="BQ73" s="716" t="n"/>
      <c r="BR73" s="716" t="n"/>
      <c r="BS73" s="716" t="n"/>
      <c r="BT73" s="716" t="n"/>
      <c r="BU73" s="716" t="n"/>
      <c r="BV73" s="716" t="n"/>
      <c r="BW73" s="716" t="n"/>
      <c r="BX73" s="716" t="n"/>
      <c r="BY73" s="716" t="n"/>
      <c r="BZ73" s="716" t="n"/>
      <c r="CA73" s="716" t="n"/>
      <c r="CB73" s="716" t="n"/>
      <c r="CC73" s="716" t="n"/>
      <c r="CD73" s="716" t="n"/>
      <c r="CE73" s="716" t="n"/>
      <c r="CF73" s="716" t="n"/>
      <c r="CG73" s="716" t="n"/>
      <c r="CH73" s="716" t="n"/>
      <c r="CI73" s="716" t="n"/>
      <c r="CJ73" s="716" t="n"/>
      <c r="CK73" s="716" t="n"/>
      <c r="CL73" s="716" t="n"/>
      <c r="CM73" s="716" t="n"/>
      <c r="CN73" s="716" t="n"/>
      <c r="CO73" s="716" t="n"/>
      <c r="CP73" s="716" t="n"/>
    </row>
    <row r="74" ht="16.5" customFormat="1" customHeight="1" s="716">
      <c r="A74" s="716" t="n"/>
      <c r="B74" s="716" t="n"/>
      <c r="C74" s="716" t="n"/>
      <c r="D74" s="716" t="n"/>
      <c r="E74" s="716" t="n"/>
      <c r="F74" s="716" t="n"/>
      <c r="G74" s="716" t="n"/>
      <c r="H74" s="716" t="n"/>
      <c r="I74" s="716" t="n"/>
      <c r="J74" s="716" t="n"/>
      <c r="K74" s="716" t="n"/>
      <c r="L74" s="716" t="n"/>
      <c r="M74" s="716" t="n"/>
      <c r="N74" s="716" t="n"/>
      <c r="O74" s="716" t="n"/>
      <c r="P74" s="716" t="n"/>
      <c r="Q74" s="716" t="n"/>
      <c r="R74" s="716" t="n"/>
      <c r="S74" s="462">
        <f>IF(_epmOfflineCondition_,"             燃油汽车",EPMMemberDesc(U74))</f>
        <v/>
      </c>
      <c r="T74" s="716" t="n"/>
      <c r="U74" s="477" t="inlineStr">
        <is>
          <t>A08201010802</t>
        </is>
      </c>
      <c r="V74" s="535">
        <f>IF(_epmOfflineCondition_,"A08201010802",EPMOlapMemberO(U74,"[C_ACCOUNT].[PARENTH1].[A08201010802]","A08201010802 -              燃油汽车","","000"))</f>
        <v/>
      </c>
      <c r="W74" s="462" t="n"/>
      <c r="X74" s="481" t="inlineStr">
        <is>
          <t xml:space="preserve">             燃油汽车</t>
        </is>
      </c>
      <c r="Y74" s="1185">
        <f>ROW()-45</f>
        <v/>
      </c>
      <c r="Z74" s="1307">
        <f>AC74</f>
        <v/>
      </c>
      <c r="AA74" s="1307" t="n"/>
      <c r="AB74" s="1307" t="n"/>
      <c r="AC74" s="489" t="n"/>
      <c r="AD74" s="489" t="n"/>
      <c r="AE74" s="716" t="n"/>
      <c r="AF74" s="716" t="n"/>
      <c r="AG74" s="716" t="n"/>
      <c r="AH74" s="716" t="n"/>
      <c r="AI74" s="716" t="n"/>
      <c r="AJ74" s="716" t="n"/>
      <c r="AK74" s="716" t="n"/>
      <c r="AL74" s="716" t="n"/>
      <c r="AM74" s="716" t="n"/>
      <c r="AN74" s="716" t="n"/>
      <c r="AO74" s="716" t="n"/>
      <c r="AP74" s="716" t="n"/>
      <c r="AQ74" s="716" t="n"/>
      <c r="AR74" s="716" t="n"/>
      <c r="AS74" s="716" t="n"/>
      <c r="AT74" s="716" t="n"/>
      <c r="AU74" s="716" t="n"/>
      <c r="AV74" s="716" t="n"/>
      <c r="AW74" s="716" t="n"/>
      <c r="AX74" s="716" t="n"/>
      <c r="AY74" s="716" t="n"/>
      <c r="AZ74" s="716" t="n"/>
      <c r="BA74" s="716" t="n"/>
      <c r="BB74" s="716" t="n"/>
      <c r="BC74" s="716" t="n"/>
      <c r="BD74" s="716" t="n"/>
      <c r="BE74" s="716" t="n"/>
      <c r="BF74" s="716" t="n"/>
      <c r="BG74" s="716" t="n"/>
      <c r="BH74" s="716" t="n"/>
      <c r="BI74" s="716" t="n"/>
      <c r="BJ74" s="716" t="n"/>
      <c r="BK74" s="716" t="n"/>
      <c r="BL74" s="716" t="n"/>
      <c r="BM74" s="716" t="n"/>
      <c r="BN74" s="716" t="n"/>
      <c r="BO74" s="716" t="n"/>
      <c r="BP74" s="716" t="n"/>
      <c r="BQ74" s="716" t="n"/>
      <c r="BR74" s="716" t="n"/>
      <c r="BS74" s="716" t="n"/>
      <c r="BT74" s="716" t="n"/>
      <c r="BU74" s="716" t="n"/>
      <c r="BV74" s="716" t="n"/>
      <c r="BW74" s="716" t="n"/>
      <c r="BX74" s="716" t="n"/>
      <c r="BY74" s="716" t="n"/>
      <c r="BZ74" s="716" t="n"/>
      <c r="CA74" s="716" t="n"/>
      <c r="CB74" s="716" t="n"/>
      <c r="CC74" s="716" t="n"/>
      <c r="CD74" s="716" t="n"/>
      <c r="CE74" s="716" t="n"/>
      <c r="CF74" s="716" t="n"/>
      <c r="CG74" s="716" t="n"/>
      <c r="CH74" s="716" t="n"/>
      <c r="CI74" s="716" t="n"/>
      <c r="CJ74" s="716" t="n"/>
      <c r="CK74" s="716" t="n"/>
      <c r="CL74" s="716" t="n"/>
      <c r="CM74" s="716" t="n"/>
      <c r="CN74" s="716" t="n"/>
      <c r="CO74" s="716" t="n"/>
      <c r="CP74" s="716" t="n"/>
    </row>
    <row r="75" ht="16.5" customFormat="1" customHeight="1" s="716">
      <c r="A75" s="716" t="n"/>
      <c r="B75" s="716" t="n"/>
      <c r="C75" s="716" t="n"/>
      <c r="D75" s="716" t="n"/>
      <c r="E75" s="716" t="n"/>
      <c r="F75" s="716" t="n"/>
      <c r="G75" s="716" t="n"/>
      <c r="H75" s="716" t="n"/>
      <c r="I75" s="716" t="n"/>
      <c r="J75" s="716" t="n"/>
      <c r="K75" s="716" t="n"/>
      <c r="L75" s="716" t="n"/>
      <c r="M75" s="716" t="n"/>
      <c r="N75" s="716" t="n"/>
      <c r="O75" s="716" t="n"/>
      <c r="P75" s="716" t="n"/>
      <c r="Q75" s="716" t="n"/>
      <c r="R75" s="716" t="n"/>
      <c r="S75" s="462">
        <f>IF(_epmOfflineCondition_,"02.交通、民航企业",EPMMemberDesc(U75))</f>
        <v/>
      </c>
      <c r="T75" s="716" t="n"/>
      <c r="U75" s="477" t="inlineStr">
        <is>
          <t>A0820102</t>
        </is>
      </c>
      <c r="V75" s="455">
        <f>IF(_epmOfflineCondition_,"A0820102",EPMOlapMemberO(U75,"[C_ACCOUNT].[PARENTH1].[A0820102]","A0820102 - 02.交通、民航企业","","000"))</f>
        <v/>
      </c>
      <c r="W75" s="462" t="n"/>
      <c r="X75" s="479" t="inlineStr">
        <is>
          <t>02.交通、民航企业</t>
        </is>
      </c>
      <c r="Y75" s="1185">
        <f>ROW()-45</f>
        <v/>
      </c>
      <c r="Z75" s="1307">
        <f>AC75</f>
        <v/>
      </c>
      <c r="AA75" s="1307">
        <f>SUM(AA76:AA77)</f>
        <v/>
      </c>
      <c r="AB75" s="1307">
        <f>SUM(AB76:AB77)</f>
        <v/>
      </c>
      <c r="AC75" s="489" t="n"/>
      <c r="AD75" s="489" t="n"/>
      <c r="AE75" s="716" t="n"/>
      <c r="AF75" s="716" t="n"/>
      <c r="AG75" s="716" t="n"/>
      <c r="AH75" s="716" t="n"/>
      <c r="AI75" s="716" t="n"/>
      <c r="AJ75" s="716" t="n"/>
      <c r="AK75" s="716" t="n"/>
      <c r="AL75" s="716" t="n"/>
      <c r="AM75" s="716" t="n"/>
      <c r="AN75" s="716" t="n"/>
      <c r="AO75" s="716" t="n"/>
      <c r="AP75" s="716" t="n"/>
      <c r="AQ75" s="716" t="n"/>
      <c r="AR75" s="716" t="n"/>
      <c r="AS75" s="716" t="n"/>
      <c r="AT75" s="716" t="n"/>
      <c r="AU75" s="716" t="n"/>
      <c r="AV75" s="716" t="n"/>
      <c r="AW75" s="716" t="n"/>
      <c r="AX75" s="716" t="n"/>
      <c r="AY75" s="716" t="n"/>
      <c r="AZ75" s="716" t="n"/>
      <c r="BA75" s="716" t="n"/>
      <c r="BB75" s="716" t="n"/>
      <c r="BC75" s="716" t="n"/>
      <c r="BD75" s="716" t="n"/>
      <c r="BE75" s="716" t="n"/>
      <c r="BF75" s="716" t="n"/>
      <c r="BG75" s="716" t="n"/>
      <c r="BH75" s="716" t="n"/>
      <c r="BI75" s="716" t="n"/>
      <c r="BJ75" s="716" t="n"/>
      <c r="BK75" s="716" t="n"/>
      <c r="BL75" s="716" t="n"/>
      <c r="BM75" s="716" t="n"/>
      <c r="BN75" s="716" t="n"/>
      <c r="BO75" s="716" t="n"/>
      <c r="BP75" s="716" t="n"/>
      <c r="BQ75" s="716" t="n"/>
      <c r="BR75" s="716" t="n"/>
      <c r="BS75" s="716" t="n"/>
      <c r="BT75" s="716" t="n"/>
      <c r="BU75" s="716" t="n"/>
      <c r="BV75" s="716" t="n"/>
      <c r="BW75" s="716" t="n"/>
      <c r="BX75" s="716" t="n"/>
      <c r="BY75" s="716" t="n"/>
      <c r="BZ75" s="716" t="n"/>
      <c r="CA75" s="716" t="n"/>
      <c r="CB75" s="716" t="n"/>
      <c r="CC75" s="716" t="n"/>
      <c r="CD75" s="716" t="n"/>
      <c r="CE75" s="716" t="n"/>
      <c r="CF75" s="716" t="n"/>
      <c r="CG75" s="716" t="n"/>
      <c r="CH75" s="716" t="n"/>
      <c r="CI75" s="716" t="n"/>
      <c r="CJ75" s="716" t="n"/>
      <c r="CK75" s="716" t="n"/>
      <c r="CL75" s="716" t="n"/>
      <c r="CM75" s="716" t="n"/>
      <c r="CN75" s="716" t="n"/>
      <c r="CO75" s="716" t="n"/>
      <c r="CP75" s="716" t="n"/>
    </row>
    <row r="76" ht="16.5" customFormat="1" customHeight="1" s="716">
      <c r="A76" s="716" t="n"/>
      <c r="B76" s="716" t="n"/>
      <c r="C76" s="716" t="n"/>
      <c r="D76" s="716" t="n"/>
      <c r="E76" s="716" t="n"/>
      <c r="F76" s="716" t="n"/>
      <c r="G76" s="716" t="n"/>
      <c r="H76" s="716" t="n"/>
      <c r="I76" s="716" t="n"/>
      <c r="J76" s="716" t="n"/>
      <c r="K76" s="716" t="n"/>
      <c r="L76" s="716" t="n"/>
      <c r="M76" s="716" t="n"/>
      <c r="N76" s="716" t="n"/>
      <c r="O76" s="716" t="n"/>
      <c r="P76" s="716" t="n"/>
      <c r="Q76" s="716" t="n"/>
      <c r="R76" s="716" t="n"/>
      <c r="S76" s="462">
        <f>IF(_epmOfflineCondition_,"(1)客运量（万人次）",EPMMemberDesc(U76))</f>
        <v/>
      </c>
      <c r="T76" s="716" t="n"/>
      <c r="U76" s="477" t="inlineStr">
        <is>
          <t>A082010201</t>
        </is>
      </c>
      <c r="V76" s="535">
        <f>IF(_epmOfflineCondition_,"A082010201",EPMOlapMemberO(U76,"[C_ACCOUNT].[PARENTH1].[A082010201]","A082010201 - (1)客运量（万人次）","","000"))</f>
        <v/>
      </c>
      <c r="W76" s="462" t="n"/>
      <c r="X76" s="480" t="inlineStr">
        <is>
          <t>(1)客运量（万人次）</t>
        </is>
      </c>
      <c r="Y76" s="1185">
        <f>ROW()-45</f>
        <v/>
      </c>
      <c r="Z76" s="1307">
        <f>AC76</f>
        <v/>
      </c>
      <c r="AA76" s="1307" t="n"/>
      <c r="AB76" s="1307" t="n"/>
      <c r="AC76" s="489" t="n"/>
      <c r="AD76" s="489" t="n"/>
      <c r="AE76" s="716" t="n"/>
      <c r="AF76" s="716" t="n"/>
      <c r="AG76" s="716" t="n"/>
      <c r="AH76" s="716" t="n"/>
      <c r="AI76" s="716" t="n"/>
      <c r="AJ76" s="716" t="n"/>
      <c r="AK76" s="716" t="n"/>
      <c r="AL76" s="716" t="n"/>
      <c r="AM76" s="716" t="n"/>
      <c r="AN76" s="716" t="n"/>
      <c r="AO76" s="716" t="n"/>
      <c r="AP76" s="716" t="n"/>
      <c r="AQ76" s="716" t="n"/>
      <c r="AR76" s="716" t="n"/>
      <c r="AS76" s="716" t="n"/>
      <c r="AT76" s="716" t="n"/>
      <c r="AU76" s="716" t="n"/>
      <c r="AV76" s="716" t="n"/>
      <c r="AW76" s="716" t="n"/>
      <c r="AX76" s="716" t="n"/>
      <c r="AY76" s="716" t="n"/>
      <c r="AZ76" s="716" t="n"/>
      <c r="BA76" s="716" t="n"/>
      <c r="BB76" s="716" t="n"/>
      <c r="BC76" s="716" t="n"/>
      <c r="BD76" s="716" t="n"/>
      <c r="BE76" s="716" t="n"/>
      <c r="BF76" s="716" t="n"/>
      <c r="BG76" s="716" t="n"/>
      <c r="BH76" s="716" t="n"/>
      <c r="BI76" s="716" t="n"/>
      <c r="BJ76" s="716" t="n"/>
      <c r="BK76" s="716" t="n"/>
      <c r="BL76" s="716" t="n"/>
      <c r="BM76" s="716" t="n"/>
      <c r="BN76" s="716" t="n"/>
      <c r="BO76" s="716" t="n"/>
      <c r="BP76" s="716" t="n"/>
      <c r="BQ76" s="716" t="n"/>
      <c r="BR76" s="716" t="n"/>
      <c r="BS76" s="716" t="n"/>
      <c r="BT76" s="716" t="n"/>
      <c r="BU76" s="716" t="n"/>
      <c r="BV76" s="716" t="n"/>
      <c r="BW76" s="716" t="n"/>
      <c r="BX76" s="716" t="n"/>
      <c r="BY76" s="716" t="n"/>
      <c r="BZ76" s="716" t="n"/>
      <c r="CA76" s="716" t="n"/>
      <c r="CB76" s="716" t="n"/>
      <c r="CC76" s="716" t="n"/>
      <c r="CD76" s="716" t="n"/>
      <c r="CE76" s="716" t="n"/>
      <c r="CF76" s="716" t="n"/>
      <c r="CG76" s="716" t="n"/>
      <c r="CH76" s="716" t="n"/>
      <c r="CI76" s="716" t="n"/>
      <c r="CJ76" s="716" t="n"/>
      <c r="CK76" s="716" t="n"/>
      <c r="CL76" s="716" t="n"/>
      <c r="CM76" s="716" t="n"/>
      <c r="CN76" s="716" t="n"/>
      <c r="CO76" s="716" t="n"/>
      <c r="CP76" s="716" t="n"/>
    </row>
    <row r="77" ht="16.5" customFormat="1" customHeight="1" s="716">
      <c r="A77" s="716" t="n"/>
      <c r="B77" s="716" t="n"/>
      <c r="C77" s="716" t="n"/>
      <c r="D77" s="716" t="n"/>
      <c r="E77" s="716" t="n"/>
      <c r="F77" s="716" t="n"/>
      <c r="G77" s="716" t="n"/>
      <c r="H77" s="716" t="n"/>
      <c r="I77" s="716" t="n"/>
      <c r="J77" s="716" t="n"/>
      <c r="K77" s="716" t="n"/>
      <c r="L77" s="716" t="n"/>
      <c r="M77" s="716" t="n"/>
      <c r="N77" s="716" t="n"/>
      <c r="O77" s="716" t="n"/>
      <c r="P77" s="716" t="n"/>
      <c r="Q77" s="716" t="n"/>
      <c r="R77" s="716" t="n"/>
      <c r="S77" s="462">
        <f>IF(_epmOfflineCondition_,"(2)货运量（万吨）",EPMMemberDesc(U77))</f>
        <v/>
      </c>
      <c r="T77" s="716" t="n"/>
      <c r="U77" s="477" t="inlineStr">
        <is>
          <t>A082010202</t>
        </is>
      </c>
      <c r="V77" s="535">
        <f>IF(_epmOfflineCondition_,"A082010202",EPMOlapMemberO(U77,"[C_ACCOUNT].[PARENTH1].[A082010202]","A082010202 - (2)货运量（万吨）","","000"))</f>
        <v/>
      </c>
      <c r="W77" s="462" t="n"/>
      <c r="X77" s="480" t="inlineStr">
        <is>
          <t>(2)货运量（万吨）</t>
        </is>
      </c>
      <c r="Y77" s="1185">
        <f>ROW()-45</f>
        <v/>
      </c>
      <c r="Z77" s="1307">
        <f>AC77</f>
        <v/>
      </c>
      <c r="AA77" s="1307" t="n"/>
      <c r="AB77" s="1307" t="n"/>
      <c r="AC77" s="489" t="n"/>
      <c r="AD77" s="489" t="n"/>
      <c r="AE77" s="716" t="n"/>
      <c r="AF77" s="716" t="n"/>
      <c r="AG77" s="716" t="n"/>
      <c r="AH77" s="716" t="n"/>
      <c r="AI77" s="716" t="n"/>
      <c r="AJ77" s="716" t="n"/>
      <c r="AK77" s="716" t="n"/>
      <c r="AL77" s="716" t="n"/>
      <c r="AM77" s="716" t="n"/>
      <c r="AN77" s="716" t="n"/>
      <c r="AO77" s="716" t="n"/>
      <c r="AP77" s="716" t="n"/>
      <c r="AQ77" s="716" t="n"/>
      <c r="AR77" s="716" t="n"/>
      <c r="AS77" s="716" t="n"/>
      <c r="AT77" s="716" t="n"/>
      <c r="AU77" s="716" t="n"/>
      <c r="AV77" s="716" t="n"/>
      <c r="AW77" s="716" t="n"/>
      <c r="AX77" s="716" t="n"/>
      <c r="AY77" s="716" t="n"/>
      <c r="AZ77" s="716" t="n"/>
      <c r="BA77" s="716" t="n"/>
      <c r="BB77" s="716" t="n"/>
      <c r="BC77" s="716" t="n"/>
      <c r="BD77" s="716" t="n"/>
      <c r="BE77" s="716" t="n"/>
      <c r="BF77" s="716" t="n"/>
      <c r="BG77" s="716" t="n"/>
      <c r="BH77" s="716" t="n"/>
      <c r="BI77" s="716" t="n"/>
      <c r="BJ77" s="716" t="n"/>
      <c r="BK77" s="716" t="n"/>
      <c r="BL77" s="716" t="n"/>
      <c r="BM77" s="716" t="n"/>
      <c r="BN77" s="716" t="n"/>
      <c r="BO77" s="716" t="n"/>
      <c r="BP77" s="716" t="n"/>
      <c r="BQ77" s="716" t="n"/>
      <c r="BR77" s="716" t="n"/>
      <c r="BS77" s="716" t="n"/>
      <c r="BT77" s="716" t="n"/>
      <c r="BU77" s="716" t="n"/>
      <c r="BV77" s="716" t="n"/>
      <c r="BW77" s="716" t="n"/>
      <c r="BX77" s="716" t="n"/>
      <c r="BY77" s="716" t="n"/>
      <c r="BZ77" s="716" t="n"/>
      <c r="CA77" s="716" t="n"/>
      <c r="CB77" s="716" t="n"/>
      <c r="CC77" s="716" t="n"/>
      <c r="CD77" s="716" t="n"/>
      <c r="CE77" s="716" t="n"/>
      <c r="CF77" s="716" t="n"/>
      <c r="CG77" s="716" t="n"/>
      <c r="CH77" s="716" t="n"/>
      <c r="CI77" s="716" t="n"/>
      <c r="CJ77" s="716" t="n"/>
      <c r="CK77" s="716" t="n"/>
      <c r="CL77" s="716" t="n"/>
      <c r="CM77" s="716" t="n"/>
      <c r="CN77" s="716" t="n"/>
      <c r="CO77" s="716" t="n"/>
      <c r="CP77" s="716" t="n"/>
    </row>
    <row r="78" hidden="1" s="1181">
      <c r="A78" s="384" t="n"/>
      <c r="B78" s="384" t="n"/>
      <c r="C78" s="384" t="n"/>
      <c r="D78" s="384" t="n"/>
      <c r="E78" s="384" t="n"/>
      <c r="F78" s="384" t="n"/>
      <c r="G78" s="384" t="n"/>
      <c r="H78" s="384" t="n"/>
      <c r="I78" s="384" t="n"/>
      <c r="J78" s="384" t="n"/>
      <c r="K78" s="384" t="n"/>
      <c r="L78" s="384" t="n"/>
      <c r="M78" s="384" t="n"/>
      <c r="N78" s="384" t="n"/>
      <c r="O78" s="384" t="n"/>
      <c r="P78" s="384" t="n"/>
      <c r="Q78" s="384" t="n"/>
      <c r="R78" s="384" t="n"/>
      <c r="S78" s="32" t="n"/>
      <c r="T78" s="384" t="n"/>
      <c r="U78" s="384" t="n"/>
      <c r="V78" s="384" t="n"/>
      <c r="W78" s="384" t="n"/>
      <c r="X78" s="38" t="n"/>
      <c r="Y78" s="38" t="n"/>
      <c r="Z78" s="155" t="n"/>
      <c r="AA78" s="155" t="n"/>
      <c r="AB78" s="155" t="n"/>
      <c r="AC78" s="155" t="n"/>
      <c r="AD78" s="155" t="n"/>
      <c r="AE78" s="384" t="n"/>
      <c r="AF78" s="384" t="n"/>
      <c r="AG78" s="384" t="n"/>
      <c r="AH78" s="384" t="n"/>
      <c r="AI78" s="384" t="n"/>
      <c r="AJ78" s="384" t="n"/>
      <c r="AK78" s="384" t="n"/>
      <c r="AL78" s="384" t="n"/>
      <c r="AM78" s="384" t="n"/>
      <c r="AN78" s="384" t="n"/>
      <c r="AO78" s="384" t="n"/>
      <c r="AP78" s="384" t="n"/>
      <c r="AQ78" s="384" t="n"/>
      <c r="AR78" s="384" t="n"/>
      <c r="AS78" s="384" t="n"/>
      <c r="AT78" s="384" t="n"/>
      <c r="AU78" s="384" t="n"/>
      <c r="AV78" s="384" t="n"/>
      <c r="AW78" s="384" t="n"/>
      <c r="AX78" s="384" t="n"/>
      <c r="AY78" s="384" t="n"/>
      <c r="AZ78" s="384" t="n"/>
      <c r="BA78" s="384" t="n"/>
      <c r="BB78" s="384" t="n"/>
      <c r="BC78" s="384" t="n"/>
      <c r="BD78" s="384" t="n"/>
      <c r="BE78" s="384" t="n"/>
      <c r="BF78" s="384" t="n"/>
      <c r="BG78" s="384" t="n"/>
      <c r="BH78" s="384" t="n"/>
      <c r="BI78" s="384" t="n"/>
      <c r="BJ78" s="384" t="n"/>
      <c r="BK78" s="384" t="n"/>
      <c r="BL78" s="384" t="n"/>
      <c r="BM78" s="384" t="n"/>
      <c r="BN78" s="384" t="n"/>
      <c r="BO78" s="384" t="n"/>
      <c r="BP78" s="384" t="n"/>
      <c r="BQ78" s="384" t="n"/>
      <c r="BR78" s="384" t="n"/>
      <c r="BS78" s="384" t="n"/>
      <c r="BT78" s="384" t="n"/>
      <c r="BU78" s="384" t="n"/>
      <c r="BV78" s="384" t="n"/>
      <c r="BW78" s="384" t="n"/>
      <c r="BX78" s="384" t="n"/>
      <c r="BY78" s="384" t="n"/>
      <c r="BZ78" s="384" t="n"/>
      <c r="CA78" s="384" t="n"/>
      <c r="CB78" s="384" t="n"/>
      <c r="CC78" s="384" t="n"/>
      <c r="CD78" s="384" t="n"/>
      <c r="CE78" s="384" t="n"/>
      <c r="CF78" s="384" t="n"/>
      <c r="CG78" s="384" t="n"/>
      <c r="CH78" s="384" t="n"/>
      <c r="CI78" s="384" t="n"/>
      <c r="CJ78" s="384" t="n"/>
      <c r="CK78" s="384" t="n"/>
      <c r="CL78" s="384" t="n"/>
      <c r="CM78" s="384" t="n"/>
      <c r="CN78" s="384" t="n"/>
      <c r="CO78" s="384" t="n"/>
      <c r="CP78" s="384" t="n"/>
    </row>
    <row r="79" hidden="1" ht="18" customHeight="1" s="1181">
      <c r="A79" s="384" t="n"/>
      <c r="B79" s="384" t="n"/>
      <c r="C79" s="384" t="n"/>
      <c r="D79" s="384" t="n"/>
      <c r="E79" s="384" t="n"/>
      <c r="F79" s="384" t="n"/>
      <c r="G79" s="384" t="n"/>
      <c r="H79" s="384" t="n"/>
      <c r="I79" s="384" t="n"/>
      <c r="J79" s="384" t="n"/>
      <c r="K79" s="384" t="n"/>
      <c r="L79" s="384" t="n"/>
      <c r="M79" s="384" t="n"/>
      <c r="N79" s="384" t="n"/>
      <c r="O79" s="384" t="n"/>
      <c r="P79" s="384" t="n"/>
      <c r="Q79" s="384" t="n"/>
      <c r="R79" s="384" t="n"/>
      <c r="S79" s="462">
        <f>IF(_epmOfflineCondition_,"发电量（万千瓦时）",EPMMemberDesc(U79))</f>
        <v/>
      </c>
      <c r="T79" s="384" t="n"/>
      <c r="U79" s="477" t="inlineStr">
        <is>
          <t>A0800116</t>
        </is>
      </c>
      <c r="V79" s="455">
        <f>IF(_epmOfflineCondition_,"A0800116",EPMOlapMemberO(U79,"[C_ACCOUNT].[PARENTH1].[A0800116]","A0800116 - 发电量（万千瓦时）","","000"))</f>
        <v/>
      </c>
      <c r="W79" s="384" t="n"/>
      <c r="X79" s="38" t="inlineStr">
        <is>
          <t>发电量（万千瓦时）</t>
        </is>
      </c>
      <c r="Y79" s="38" t="n"/>
      <c r="Z79" s="1395" t="inlineStr"/>
      <c r="AA79" s="1395" t="inlineStr"/>
      <c r="AB79" s="1395" t="inlineStr"/>
      <c r="AC79" s="155" t="inlineStr"/>
      <c r="AD79" s="155" t="inlineStr"/>
      <c r="AE79" s="384" t="n"/>
      <c r="AF79" s="384" t="n"/>
      <c r="AG79" s="384" t="n"/>
      <c r="AH79" s="384" t="n"/>
      <c r="AI79" s="384" t="n"/>
      <c r="AJ79" s="384" t="n"/>
      <c r="AK79" s="384" t="n"/>
      <c r="AL79" s="384" t="n"/>
      <c r="AM79" s="384" t="n"/>
      <c r="AN79" s="384" t="n"/>
      <c r="AO79" s="384" t="n"/>
      <c r="AP79" s="384" t="n"/>
      <c r="AQ79" s="384" t="n"/>
      <c r="AR79" s="384" t="n"/>
      <c r="AS79" s="384" t="n"/>
      <c r="AT79" s="384" t="n"/>
      <c r="AU79" s="384" t="n"/>
      <c r="AV79" s="384" t="n"/>
      <c r="AW79" s="384" t="n"/>
      <c r="AX79" s="384" t="n"/>
      <c r="AY79" s="384" t="n"/>
      <c r="AZ79" s="384" t="n"/>
      <c r="BA79" s="384" t="n"/>
      <c r="BB79" s="384" t="n"/>
      <c r="BC79" s="384" t="n"/>
      <c r="BD79" s="384" t="n"/>
      <c r="BE79" s="384" t="n"/>
      <c r="BF79" s="384" t="n"/>
      <c r="BG79" s="384" t="n"/>
      <c r="BH79" s="384" t="n"/>
      <c r="BI79" s="384" t="n"/>
      <c r="BJ79" s="384" t="n"/>
      <c r="BK79" s="384" t="n"/>
      <c r="BL79" s="384" t="n"/>
      <c r="BM79" s="384" t="n"/>
      <c r="BN79" s="384" t="n"/>
      <c r="BO79" s="384" t="n"/>
      <c r="BP79" s="384" t="n"/>
      <c r="BQ79" s="384" t="n"/>
      <c r="BR79" s="384" t="n"/>
      <c r="BS79" s="384" t="n"/>
      <c r="BT79" s="384" t="n"/>
      <c r="BU79" s="384" t="n"/>
      <c r="BV79" s="384" t="n"/>
      <c r="BW79" s="384" t="n"/>
      <c r="BX79" s="384" t="n"/>
      <c r="BY79" s="384" t="n"/>
      <c r="BZ79" s="384" t="n"/>
      <c r="CA79" s="384" t="n"/>
      <c r="CB79" s="384" t="n"/>
      <c r="CC79" s="384" t="n"/>
      <c r="CD79" s="384" t="n"/>
      <c r="CE79" s="384" t="n"/>
      <c r="CF79" s="384" t="n"/>
      <c r="CG79" s="384" t="n"/>
      <c r="CH79" s="384" t="n"/>
      <c r="CI79" s="384" t="n"/>
      <c r="CJ79" s="384" t="n"/>
      <c r="CK79" s="384" t="n"/>
      <c r="CL79" s="384" t="n"/>
      <c r="CM79" s="384" t="n"/>
      <c r="CN79" s="384" t="n"/>
      <c r="CO79" s="384" t="n"/>
      <c r="CP79" s="384" t="n"/>
    </row>
    <row r="80" hidden="1" ht="18" customHeight="1" s="1181">
      <c r="A80" s="384" t="n"/>
      <c r="B80" s="384" t="n"/>
      <c r="C80" s="384" t="n"/>
      <c r="D80" s="384" t="n"/>
      <c r="E80" s="384" t="n"/>
      <c r="F80" s="384" t="n"/>
      <c r="G80" s="384" t="n"/>
      <c r="H80" s="384" t="n"/>
      <c r="I80" s="384" t="n"/>
      <c r="J80" s="384" t="n"/>
      <c r="K80" s="384" t="n"/>
      <c r="L80" s="384" t="n"/>
      <c r="M80" s="384" t="n"/>
      <c r="N80" s="384" t="n"/>
      <c r="O80" s="384" t="n"/>
      <c r="P80" s="384" t="n"/>
      <c r="Q80" s="384" t="n"/>
      <c r="R80" s="384" t="n"/>
      <c r="S80" s="462">
        <f>IF(_epmOfflineCondition_,"汽车产量（万辆）",EPMMemberDesc(U80))</f>
        <v/>
      </c>
      <c r="T80" s="384" t="n"/>
      <c r="U80" s="477" t="inlineStr">
        <is>
          <t>A0800110</t>
        </is>
      </c>
      <c r="V80" s="455">
        <f>IF(_epmOfflineCondition_,"A0800110",EPMOlapMemberO(U80,"[C_ACCOUNT].[PARENTH1].[A0800110]","A0800110 - 汽车产量（万辆）","","000"))</f>
        <v/>
      </c>
      <c r="W80" s="384" t="n"/>
      <c r="X80" s="38" t="inlineStr">
        <is>
          <t>汽车产量（万辆）</t>
        </is>
      </c>
      <c r="Y80" s="38" t="n"/>
      <c r="Z80" s="1395" t="n"/>
      <c r="AA80" s="1395" t="n"/>
      <c r="AB80" s="1395" t="n"/>
      <c r="AC80" s="155" t="n"/>
      <c r="AD80" s="155" t="n"/>
      <c r="AE80" s="384" t="n"/>
      <c r="AF80" s="384" t="n"/>
      <c r="AG80" s="384" t="n"/>
      <c r="AH80" s="384" t="n"/>
      <c r="AI80" s="384" t="n"/>
      <c r="AJ80" s="384" t="n"/>
      <c r="AK80" s="384" t="n"/>
      <c r="AL80" s="384" t="n"/>
      <c r="AM80" s="384" t="n"/>
      <c r="AN80" s="384" t="n"/>
      <c r="AO80" s="384" t="n"/>
      <c r="AP80" s="384" t="n"/>
      <c r="AQ80" s="384" t="n"/>
      <c r="AR80" s="384" t="n"/>
      <c r="AS80" s="384" t="n"/>
      <c r="AT80" s="384" t="n"/>
      <c r="AU80" s="384" t="n"/>
      <c r="AV80" s="384" t="n"/>
      <c r="AW80" s="384" t="n"/>
      <c r="AX80" s="384" t="n"/>
      <c r="AY80" s="384" t="n"/>
      <c r="AZ80" s="384" t="n"/>
      <c r="BA80" s="384" t="n"/>
      <c r="BB80" s="384" t="n"/>
      <c r="BC80" s="384" t="n"/>
      <c r="BD80" s="384" t="n"/>
      <c r="BE80" s="384" t="n"/>
      <c r="BF80" s="384" t="n"/>
      <c r="BG80" s="384" t="n"/>
      <c r="BH80" s="384" t="n"/>
      <c r="BI80" s="384" t="n"/>
      <c r="BJ80" s="384" t="n"/>
      <c r="BK80" s="384" t="n"/>
      <c r="BL80" s="384" t="n"/>
      <c r="BM80" s="384" t="n"/>
      <c r="BN80" s="384" t="n"/>
      <c r="BO80" s="384" t="n"/>
      <c r="BP80" s="384" t="n"/>
      <c r="BQ80" s="384" t="n"/>
      <c r="BR80" s="384" t="n"/>
      <c r="BS80" s="384" t="n"/>
      <c r="BT80" s="384" t="n"/>
      <c r="BU80" s="384" t="n"/>
      <c r="BV80" s="384" t="n"/>
      <c r="BW80" s="384" t="n"/>
      <c r="BX80" s="384" t="n"/>
      <c r="BY80" s="384" t="n"/>
      <c r="BZ80" s="384" t="n"/>
      <c r="CA80" s="384" t="n"/>
      <c r="CB80" s="384" t="n"/>
      <c r="CC80" s="384" t="n"/>
      <c r="CD80" s="384" t="n"/>
      <c r="CE80" s="384" t="n"/>
      <c r="CF80" s="384" t="n"/>
      <c r="CG80" s="384" t="n"/>
      <c r="CH80" s="384" t="n"/>
      <c r="CI80" s="384" t="n"/>
      <c r="CJ80" s="384" t="n"/>
      <c r="CK80" s="384" t="n"/>
      <c r="CL80" s="384" t="n"/>
      <c r="CM80" s="384" t="n"/>
      <c r="CN80" s="384" t="n"/>
      <c r="CO80" s="384" t="n"/>
      <c r="CP80" s="384" t="n"/>
    </row>
    <row r="81" hidden="1" ht="18" customHeight="1" s="1181">
      <c r="A81" s="384" t="n"/>
      <c r="B81" s="384" t="n"/>
      <c r="C81" s="384" t="n"/>
      <c r="D81" s="384" t="n"/>
      <c r="E81" s="384" t="n"/>
      <c r="F81" s="384" t="n"/>
      <c r="G81" s="384" t="n"/>
      <c r="H81" s="384" t="n"/>
      <c r="I81" s="384" t="n"/>
      <c r="J81" s="384" t="n"/>
      <c r="K81" s="384" t="n"/>
      <c r="L81" s="384" t="n"/>
      <c r="M81" s="384" t="n"/>
      <c r="N81" s="384" t="n"/>
      <c r="O81" s="384" t="n"/>
      <c r="P81" s="384" t="n"/>
      <c r="Q81" s="384" t="n"/>
      <c r="R81" s="384" t="n"/>
      <c r="S81" s="462">
        <f>IF(_epmOfflineCondition_,"汽车销量（万辆）",EPMMemberDesc(U81))</f>
        <v/>
      </c>
      <c r="T81" s="384" t="n"/>
      <c r="U81" s="477" t="inlineStr">
        <is>
          <t>A0800113</t>
        </is>
      </c>
      <c r="V81" s="455">
        <f>IF(_epmOfflineCondition_,"A0800113",EPMOlapMemberO(U81,"[C_ACCOUNT].[PARENTH1].[A0800113]","A0800113 - 汽车销量（万辆）","","000"))</f>
        <v/>
      </c>
      <c r="W81" s="384" t="n"/>
      <c r="X81" s="38" t="inlineStr">
        <is>
          <t>汽车销量（万辆）</t>
        </is>
      </c>
      <c r="Y81" s="38" t="n"/>
      <c r="Z81" s="1395" t="n"/>
      <c r="AA81" s="1395" t="n"/>
      <c r="AB81" s="1395" t="n"/>
      <c r="AC81" s="155" t="n"/>
      <c r="AD81" s="155" t="n"/>
      <c r="AE81" s="384" t="n"/>
      <c r="AF81" s="384" t="n"/>
      <c r="AG81" s="384" t="n"/>
      <c r="AH81" s="384" t="n"/>
      <c r="AI81" s="384" t="n"/>
      <c r="AJ81" s="384" t="n"/>
      <c r="AK81" s="384" t="n"/>
      <c r="AL81" s="384" t="n"/>
      <c r="AM81" s="384" t="n"/>
      <c r="AN81" s="384" t="n"/>
      <c r="AO81" s="384" t="n"/>
      <c r="AP81" s="384" t="n"/>
      <c r="AQ81" s="384" t="n"/>
      <c r="AR81" s="384" t="n"/>
      <c r="AS81" s="384" t="n"/>
      <c r="AT81" s="384" t="n"/>
      <c r="AU81" s="384" t="n"/>
      <c r="AV81" s="384" t="n"/>
      <c r="AW81" s="384" t="n"/>
      <c r="AX81" s="384" t="n"/>
      <c r="AY81" s="384" t="n"/>
      <c r="AZ81" s="384" t="n"/>
      <c r="BA81" s="384" t="n"/>
      <c r="BB81" s="384" t="n"/>
      <c r="BC81" s="384" t="n"/>
      <c r="BD81" s="384" t="n"/>
      <c r="BE81" s="384" t="n"/>
      <c r="BF81" s="384" t="n"/>
      <c r="BG81" s="384" t="n"/>
      <c r="BH81" s="384" t="n"/>
      <c r="BI81" s="384" t="n"/>
      <c r="BJ81" s="384" t="n"/>
      <c r="BK81" s="384" t="n"/>
      <c r="BL81" s="384" t="n"/>
      <c r="BM81" s="384" t="n"/>
      <c r="BN81" s="384" t="n"/>
      <c r="BO81" s="384" t="n"/>
      <c r="BP81" s="384" t="n"/>
      <c r="BQ81" s="384" t="n"/>
      <c r="BR81" s="384" t="n"/>
      <c r="BS81" s="384" t="n"/>
      <c r="BT81" s="384" t="n"/>
      <c r="BU81" s="384" t="n"/>
      <c r="BV81" s="384" t="n"/>
      <c r="BW81" s="384" t="n"/>
      <c r="BX81" s="384" t="n"/>
      <c r="BY81" s="384" t="n"/>
      <c r="BZ81" s="384" t="n"/>
      <c r="CA81" s="384" t="n"/>
      <c r="CB81" s="384" t="n"/>
      <c r="CC81" s="384" t="n"/>
      <c r="CD81" s="384" t="n"/>
      <c r="CE81" s="384" t="n"/>
      <c r="CF81" s="384" t="n"/>
      <c r="CG81" s="384" t="n"/>
      <c r="CH81" s="384" t="n"/>
      <c r="CI81" s="384" t="n"/>
      <c r="CJ81" s="384" t="n"/>
      <c r="CK81" s="384" t="n"/>
      <c r="CL81" s="384" t="n"/>
      <c r="CM81" s="384" t="n"/>
      <c r="CN81" s="384" t="n"/>
      <c r="CO81" s="384" t="n"/>
      <c r="CP81" s="384" t="n"/>
    </row>
  </sheetData>
  <sheetProtection selectLockedCells="0" selectUnlockedCells="0" algorithmName="SHA-512" sheet="1" objects="0" insertRows="1" insertHyperlinks="1" autoFilter="1" scenarios="1" formatColumns="1" deleteColumns="1" insertColumns="1" pivotTables="1" deleteRows="1" formatCells="1" saltValue="Yz8NEonhr2EQtT0u76D3PA==" formatRows="1" sort="1" spinCount="100000" hashValue="F4M6Z/OCix+iIxZrZx9cl0Bg9tEyRJrNUdiKeVJ7Q6NT6cT9SQR7IxlOjmK8F23VobXWwBtzgOTDex0/z55lAw=="/>
  <mergeCells count="2">
    <mergeCell ref="H2:J2"/>
    <mergeCell ref="D16:E16"/>
  </mergeCells>
  <dataValidations count="1">
    <dataValidation sqref="Z37" showErrorMessage="1" showInputMessage="1" allowBlank="1" type="list">
      <formula1>"LC,CNY"</formula1>
    </dataValidation>
  </dataValidations>
  <pageMargins left="0.7086614173228351" right="0.7086614173228351" top="0.748031496062992" bottom="0.748031496062992" header="0.31496062992126" footer="0.31496062992126"/>
  <pageSetup orientation="landscape" paperSize="9" scale="72"/>
  <drawing xmlns:r="http://schemas.openxmlformats.org/officeDocument/2006/relationships" r:id="rId1"/>
</worksheet>
</file>

<file path=xl/worksheets/sheet35.xml><?xml version="1.0" encoding="utf-8"?>
<worksheet xmlns="http://schemas.openxmlformats.org/spreadsheetml/2006/main">
  <sheetPr codeName="Sheet41">
    <outlinePr summaryBelow="1" summaryRight="1"/>
    <pageSetUpPr fitToPage="1"/>
  </sheetPr>
  <dimension ref="A1:AR78"/>
  <sheetViews>
    <sheetView topLeftCell="W34" zoomScale="85" zoomScaleNormal="85" workbookViewId="0">
      <selection activeCell="AE47" sqref="AE47"/>
    </sheetView>
  </sheetViews>
  <sheetFormatPr baseColWidth="8" defaultColWidth="9" defaultRowHeight="16.8"/>
  <cols>
    <col hidden="1" width="8" customWidth="1" style="1181" min="1" max="1"/>
    <col hidden="1" width="15.375" customWidth="1" style="1181" min="2" max="2"/>
    <col hidden="1" width="11.375" customWidth="1" style="1181" min="3" max="3"/>
    <col hidden="1" width="12.25" customWidth="1" style="1181" min="4" max="4"/>
    <col hidden="1" width="7.625" customWidth="1" style="1181" min="5" max="5"/>
    <col hidden="1" width="7.75" customWidth="1" style="1181" min="6" max="7"/>
    <col hidden="1" width="8.375" customWidth="1" style="1181" min="8" max="8"/>
    <col hidden="1" width="7.75" customWidth="1" style="1181" min="9" max="9"/>
    <col hidden="1" width="11.125" customWidth="1" style="1181" min="10" max="10"/>
    <col hidden="1" width="7.75" customWidth="1" style="1181" min="11" max="18"/>
    <col hidden="1" width="31" customWidth="1" style="32" min="19" max="19"/>
    <col hidden="1" width="2.375" customWidth="1" style="1181" min="20" max="20"/>
    <col hidden="1" width="12.75" customWidth="1" style="1181" min="21" max="21"/>
    <col hidden="1" width="21.25" customWidth="1" style="1181" min="22" max="22"/>
    <col width="1.625" customWidth="1" style="1181" min="23" max="23"/>
    <col width="51.125" customWidth="1" style="38" min="24" max="24"/>
    <col width="4.625" customWidth="1" style="38" min="25" max="25"/>
    <col width="23.625" customWidth="1" style="1181" min="26" max="31"/>
    <col width="20.625" customWidth="1" style="1181" min="32" max="36"/>
    <col width="16.75" customWidth="1" style="1181" min="37" max="37"/>
    <col width="17.375" customWidth="1" style="1181" min="38" max="39"/>
    <col width="16.75" customWidth="1" style="1181" min="40" max="42"/>
    <col width="17.375" customWidth="1" style="1181" min="43" max="44"/>
    <col width="16.75" customWidth="1" style="1181" min="45" max="47"/>
    <col width="17.375" customWidth="1" style="1181" min="48" max="49"/>
    <col width="16.75" customWidth="1" style="1181" min="50" max="52"/>
    <col width="17.375" customWidth="1" style="1181" min="53" max="54"/>
    <col width="16.75" customWidth="1" style="1181" min="55" max="57"/>
    <col width="17.375" customWidth="1" style="1181" min="58" max="59"/>
    <col width="16.75" customWidth="1" style="1181" min="60" max="60"/>
  </cols>
  <sheetData>
    <row r="1" hidden="1" customFormat="1" s="13">
      <c r="A1" s="172" t="inlineStr">
        <is>
          <t>维度清单</t>
        </is>
      </c>
      <c r="B1" s="462" t="n"/>
      <c r="C1" s="173" t="n"/>
      <c r="D1" s="173" t="n"/>
      <c r="E1" s="716" t="n"/>
      <c r="F1" s="13" t="n"/>
      <c r="G1" s="13" t="n"/>
      <c r="H1" s="13" t="n"/>
      <c r="I1" s="13" t="n"/>
      <c r="J1" s="13" t="n"/>
      <c r="K1" s="13" t="n"/>
      <c r="L1" s="13" t="n"/>
      <c r="M1" s="13" t="n"/>
      <c r="N1" s="13" t="n"/>
      <c r="O1" s="13" t="n"/>
      <c r="P1" s="13" t="n"/>
      <c r="Q1" s="13" t="n"/>
      <c r="R1" s="13" t="n"/>
      <c r="S1" s="1103" t="n"/>
      <c r="T1" s="13" t="n"/>
      <c r="U1" s="13" t="n"/>
      <c r="V1" s="13" t="n"/>
      <c r="W1" s="13" t="n"/>
      <c r="X1" s="171" t="n"/>
      <c r="Y1" s="171" t="n"/>
      <c r="Z1" s="13" t="n"/>
      <c r="AA1" s="13" t="n"/>
      <c r="AB1" s="13" t="n"/>
      <c r="AC1" s="13" t="n"/>
      <c r="AD1" s="13" t="n"/>
      <c r="AE1" s="13" t="n"/>
      <c r="AF1" s="13" t="n"/>
      <c r="AG1" s="13" t="n"/>
      <c r="AH1" s="13" t="n"/>
      <c r="AI1" s="13" t="n"/>
      <c r="AJ1" s="13" t="n"/>
      <c r="AK1" s="13" t="n"/>
      <c r="AL1" s="13" t="n"/>
      <c r="AM1" s="13" t="n"/>
      <c r="AN1" s="13" t="n"/>
      <c r="AO1" s="13" t="n"/>
      <c r="AP1" s="220" t="n"/>
      <c r="AQ1" s="13" t="n"/>
      <c r="AR1" s="13" t="n"/>
    </row>
    <row r="2" hidden="1" customFormat="1" s="13">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103" t="n"/>
      <c r="T2" s="13" t="n"/>
      <c r="U2" s="13" t="n"/>
      <c r="V2" s="13" t="n"/>
      <c r="W2" s="13" t="n"/>
      <c r="X2" s="171" t="n"/>
      <c r="Y2" s="171" t="n"/>
      <c r="Z2" s="13" t="n"/>
      <c r="AA2" s="13" t="n"/>
      <c r="AB2" s="13" t="n"/>
      <c r="AC2" s="13" t="n"/>
      <c r="AD2" s="13" t="n"/>
      <c r="AE2" s="13" t="n"/>
      <c r="AF2" s="13" t="n"/>
      <c r="AG2" s="13" t="n"/>
      <c r="AH2" s="13" t="n"/>
      <c r="AI2" s="13" t="n"/>
      <c r="AJ2" s="13" t="n"/>
      <c r="AK2" s="13" t="n"/>
      <c r="AL2" s="13" t="n"/>
      <c r="AM2" s="13" t="n"/>
      <c r="AN2" s="13" t="n"/>
      <c r="AO2" s="13" t="n"/>
      <c r="AP2" s="220" t="n"/>
      <c r="AQ2" s="13" t="n"/>
      <c r="AR2" s="13" t="n"/>
    </row>
    <row r="3" hidden="1" customFormat="1" s="13">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103" t="n"/>
      <c r="T3" s="13" t="n"/>
      <c r="U3" s="13" t="n"/>
      <c r="V3" s="13" t="n"/>
      <c r="W3" s="13" t="n"/>
      <c r="X3" s="171" t="n"/>
      <c r="Y3" s="171" t="n"/>
      <c r="Z3" s="13" t="n"/>
      <c r="AA3" s="13" t="n"/>
      <c r="AB3" s="13" t="n"/>
      <c r="AC3" s="13" t="n"/>
      <c r="AD3" s="13" t="n"/>
      <c r="AE3" s="13" t="n"/>
      <c r="AF3" s="13" t="n"/>
      <c r="AG3" s="13" t="n"/>
      <c r="AH3" s="13" t="n"/>
      <c r="AI3" s="13" t="n"/>
      <c r="AJ3" s="13" t="n"/>
      <c r="AK3" s="13" t="n"/>
      <c r="AL3" s="13" t="n"/>
      <c r="AM3" s="13" t="n"/>
      <c r="AN3" s="13" t="n"/>
      <c r="AO3" s="13" t="n"/>
      <c r="AP3" s="220" t="n"/>
      <c r="AQ3" s="13" t="n"/>
      <c r="AR3" s="13" t="n"/>
    </row>
    <row r="4" hidden="1" customFormat="1" s="13">
      <c r="A4" s="175" t="inlineStr">
        <is>
          <t>C</t>
        </is>
      </c>
      <c r="B4" s="176">
        <f>IF(_epmOfflineCondition_,"C_CATEGORY",EPMDimensionType(,A4))</f>
        <v/>
      </c>
      <c r="C4" s="176">
        <f>IF(_epmOfflineCondition_,"C1001",IF(B4="","",EPMContextMember(,B4)))</f>
        <v/>
      </c>
      <c r="D4" s="176">
        <f>IF(_epmOfflineCondition_,"实际数/决算数",EPMMemberDesc(C4))</f>
        <v/>
      </c>
      <c r="E4" s="176" t="n"/>
      <c r="F4" s="13" t="n"/>
      <c r="G4" s="13" t="n"/>
      <c r="H4" s="184" t="inlineStr">
        <is>
          <t>预算年</t>
        </is>
      </c>
      <c r="I4" s="184">
        <f>"V_"&amp;$I$3</f>
        <v/>
      </c>
      <c r="J4" s="184">
        <f>$I$3&amp;".TOTAL"</f>
        <v/>
      </c>
      <c r="K4" s="13" t="n"/>
      <c r="L4" s="13" t="n"/>
      <c r="M4" s="13" t="n"/>
      <c r="N4" s="13" t="n"/>
      <c r="O4" s="13" t="n"/>
      <c r="P4" s="13" t="n"/>
      <c r="Q4" s="13" t="n"/>
      <c r="R4" s="13" t="n"/>
      <c r="S4" s="1103" t="n"/>
      <c r="T4" s="13" t="n"/>
      <c r="U4" s="13" t="n"/>
      <c r="V4" s="13" t="n"/>
      <c r="W4" s="13" t="n"/>
      <c r="X4" s="171" t="n"/>
      <c r="Y4" s="171" t="n"/>
      <c r="Z4" s="13" t="n"/>
      <c r="AA4" s="13" t="n"/>
      <c r="AB4" s="13" t="n"/>
      <c r="AC4" s="13" t="n"/>
      <c r="AD4" s="13" t="n"/>
      <c r="AE4" s="13" t="n"/>
      <c r="AF4" s="13" t="n"/>
      <c r="AG4" s="13" t="n"/>
      <c r="AH4" s="13" t="n"/>
      <c r="AI4" s="13" t="n"/>
      <c r="AJ4" s="13" t="n"/>
      <c r="AK4" s="13" t="n"/>
      <c r="AL4" s="13" t="n"/>
      <c r="AM4" s="13" t="n"/>
      <c r="AN4" s="13" t="n"/>
      <c r="AO4" s="13" t="n"/>
      <c r="AP4" s="220" t="n"/>
      <c r="AQ4" s="13" t="n"/>
      <c r="AR4" s="13" t="n"/>
    </row>
    <row r="5" hidden="1" customFormat="1" s="13">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13" t="n"/>
      <c r="V5" s="13" t="n"/>
      <c r="W5" s="13" t="n"/>
      <c r="X5" s="171" t="n"/>
      <c r="Y5" s="171" t="n"/>
      <c r="Z5" s="13" t="n"/>
      <c r="AA5" s="13" t="n"/>
      <c r="AB5" s="13" t="n"/>
      <c r="AC5" s="13" t="n"/>
      <c r="AD5" s="13" t="n"/>
      <c r="AE5" s="13" t="n"/>
      <c r="AF5" s="13" t="n"/>
      <c r="AG5" s="13" t="n"/>
      <c r="AH5" s="13" t="n"/>
      <c r="AI5" s="13" t="n"/>
      <c r="AJ5" s="13" t="n"/>
      <c r="AK5" s="13" t="n"/>
      <c r="AL5" s="13" t="n"/>
      <c r="AM5" s="13" t="n"/>
      <c r="AN5" s="13" t="n"/>
      <c r="AO5" s="13" t="n"/>
      <c r="AP5" s="220" t="n"/>
      <c r="AQ5" s="13" t="n"/>
      <c r="AR5" s="13" t="n"/>
    </row>
    <row r="6" hidden="1" customFormat="1" s="13">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103" t="n"/>
      <c r="T6" s="13" t="n"/>
      <c r="U6" s="13" t="n"/>
      <c r="V6" s="13" t="n"/>
      <c r="W6" s="13" t="n"/>
      <c r="X6" s="171" t="n"/>
      <c r="Y6" s="171" t="n"/>
      <c r="Z6" s="13" t="n"/>
      <c r="AA6" s="13" t="n"/>
      <c r="AB6" s="13" t="n"/>
      <c r="AC6" s="13" t="n"/>
      <c r="AD6" s="13" t="n"/>
      <c r="AE6" s="13" t="n"/>
      <c r="AF6" s="13" t="n"/>
      <c r="AG6" s="13" t="n"/>
      <c r="AH6" s="13" t="n"/>
      <c r="AI6" s="13" t="n"/>
      <c r="AJ6" s="13" t="n"/>
      <c r="AK6" s="13" t="n"/>
      <c r="AL6" s="13" t="n"/>
      <c r="AM6" s="13" t="n"/>
      <c r="AN6" s="13" t="n"/>
      <c r="AO6" s="13" t="n"/>
      <c r="AP6" s="220" t="n"/>
      <c r="AQ6" s="13" t="n"/>
      <c r="AR6" s="13" t="n"/>
    </row>
    <row r="7" hidden="1" customFormat="1" s="13">
      <c r="A7" s="175" t="inlineStr">
        <is>
          <t>R</t>
        </is>
      </c>
      <c r="B7" s="176">
        <f>IF(_epmOfflineCondition_,"C_RPTCURRENCY",EPMDimensionType(,A7))</f>
        <v/>
      </c>
      <c r="C7" s="176">
        <f>IF(_epmOfflineCondition_,"CNY",IF(B7="","",EPMContextMember(,B7)))</f>
        <v/>
      </c>
      <c r="D7" s="176">
        <f>IF(_epmOfflineCondition_,"人民币",EPMMemberDesc(C7))</f>
        <v/>
      </c>
      <c r="E7" s="176" t="n"/>
      <c r="F7" s="13" t="n"/>
      <c r="G7" s="13" t="n"/>
      <c r="H7" s="13" t="n"/>
      <c r="I7" s="13" t="n"/>
      <c r="J7" s="13" t="n"/>
      <c r="K7" s="13" t="n"/>
      <c r="L7" s="13" t="n"/>
      <c r="M7" s="13" t="n"/>
      <c r="N7" s="13" t="n"/>
      <c r="O7" s="13" t="n"/>
      <c r="P7" s="13" t="n"/>
      <c r="Q7" s="13" t="n"/>
      <c r="R7" s="13" t="n"/>
      <c r="S7" s="1103" t="n"/>
      <c r="T7" s="13" t="n"/>
      <c r="U7" s="13" t="n"/>
      <c r="V7" s="13" t="n"/>
      <c r="W7" s="13" t="n"/>
      <c r="X7" s="171" t="n"/>
      <c r="Y7" s="171" t="n"/>
      <c r="Z7" s="13" t="n"/>
      <c r="AA7" s="13" t="n"/>
      <c r="AB7" s="13" t="n"/>
      <c r="AC7" s="13" t="n"/>
      <c r="AD7" s="13" t="n"/>
      <c r="AE7" s="13" t="n"/>
      <c r="AF7" s="13" t="n"/>
      <c r="AG7" s="13" t="n"/>
      <c r="AH7" s="13" t="n"/>
      <c r="AI7" s="13" t="n"/>
      <c r="AJ7" s="13" t="n"/>
      <c r="AK7" s="13" t="n"/>
      <c r="AL7" s="13" t="n"/>
      <c r="AM7" s="13" t="n"/>
      <c r="AN7" s="13" t="n"/>
      <c r="AO7" s="13" t="n"/>
      <c r="AP7" s="220" t="n"/>
      <c r="AQ7" s="13" t="n"/>
      <c r="AR7" s="13" t="n"/>
    </row>
    <row r="8" hidden="1" customFormat="1" s="13">
      <c r="A8" s="175" t="inlineStr">
        <is>
          <t>D</t>
        </is>
      </c>
      <c r="B8" s="176">
        <f>IF(_epmOfflineCondition_,"C_AUDITTRAIL",EPMDimensionType(,A8))</f>
        <v/>
      </c>
      <c r="C8" s="176">
        <f>IF(_epmOfflineCondition_,"DTOTAL",IF(B8="","",EPMContextMember(,B8)))</f>
        <v/>
      </c>
      <c r="D8" s="176">
        <f>IF(_epmOfflineCondition_,"全部审计线索",EPMMemberDesc(C8))</f>
        <v/>
      </c>
      <c r="E8" s="176" t="n"/>
      <c r="F8" s="13" t="n"/>
      <c r="G8" s="13" t="n"/>
      <c r="H8" s="184" t="inlineStr">
        <is>
          <t>本月</t>
        </is>
      </c>
      <c r="I8" s="184">
        <f>IF(_epmOfflineCondition_,"03",RIGHT("0"&amp;EPMMemberProperty(,EPMContextMember(,"C_TIME"),"MONTHNUM"),2))</f>
        <v/>
      </c>
      <c r="J8" s="13" t="n"/>
      <c r="K8" s="13" t="n"/>
      <c r="L8" s="13" t="n"/>
      <c r="M8" s="13" t="n"/>
      <c r="N8" s="13" t="n"/>
      <c r="O8" s="13" t="n"/>
      <c r="P8" s="13" t="n"/>
      <c r="Q8" s="13" t="n"/>
      <c r="R8" s="13" t="n"/>
      <c r="S8" s="1103" t="n"/>
      <c r="T8" s="13" t="n"/>
      <c r="U8" s="13" t="n"/>
      <c r="V8" s="13" t="n"/>
      <c r="W8" s="13" t="n"/>
      <c r="X8" s="171" t="n"/>
      <c r="Y8" s="171" t="n"/>
      <c r="Z8" s="13" t="n"/>
      <c r="AA8" s="13" t="n"/>
      <c r="AB8" s="13" t="n"/>
      <c r="AC8" s="13" t="n"/>
      <c r="AD8" s="13" t="n"/>
      <c r="AE8" s="13" t="n"/>
      <c r="AF8" s="13" t="n"/>
      <c r="AG8" s="13" t="n"/>
      <c r="AH8" s="13" t="n"/>
      <c r="AI8" s="13" t="n"/>
      <c r="AJ8" s="13" t="n"/>
      <c r="AK8" s="13" t="n"/>
      <c r="AL8" s="13" t="n"/>
      <c r="AM8" s="13" t="n"/>
      <c r="AN8" s="13" t="n"/>
      <c r="AO8" s="13" t="n"/>
      <c r="AP8" s="220" t="n"/>
      <c r="AQ8" s="13" t="n"/>
      <c r="AR8" s="13" t="n"/>
    </row>
    <row r="9" hidden="1" customFormat="1" s="13">
      <c r="A9" s="175" t="inlineStr">
        <is>
          <t>S</t>
        </is>
      </c>
      <c r="B9" s="176">
        <f>IF(_epmOfflineCondition_,"C_FLOW",EPMDimensionType(,A9))</f>
        <v/>
      </c>
      <c r="C9" s="176">
        <f>IF(_epmOfflineCondition_,"FEND",IF(B9="","",EPMContextMember(,B9)))</f>
        <v/>
      </c>
      <c r="D9" s="176">
        <f>IF(_epmOfflineCondition_,"期末金额",EPMMemberDesc(C9))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13" t="n"/>
      <c r="V9" s="13" t="n"/>
      <c r="W9" s="13" t="n"/>
      <c r="X9" s="171" t="n"/>
      <c r="Y9" s="171" t="n"/>
      <c r="Z9" s="13" t="n"/>
      <c r="AA9" s="13" t="n"/>
      <c r="AB9" s="13" t="n"/>
      <c r="AC9" s="13" t="n"/>
      <c r="AD9" s="13" t="n"/>
      <c r="AE9" s="13" t="n"/>
      <c r="AF9" s="13" t="n"/>
      <c r="AG9" s="13" t="n"/>
      <c r="AH9" s="13" t="n"/>
      <c r="AI9" s="13" t="n"/>
      <c r="AJ9" s="13" t="n"/>
      <c r="AK9" s="13" t="n"/>
      <c r="AL9" s="13" t="n"/>
      <c r="AM9" s="13" t="n"/>
      <c r="AN9" s="13" t="n"/>
      <c r="AO9" s="13" t="n"/>
      <c r="AP9" s="220" t="n"/>
      <c r="AQ9" s="13" t="n"/>
      <c r="AR9" s="13" t="n"/>
    </row>
    <row r="10" hidden="1" customFormat="1" s="13">
      <c r="A10" s="175" t="inlineStr">
        <is>
          <t>I</t>
        </is>
      </c>
      <c r="B10" s="176">
        <f>IF(_epmOfflineCondition_,"C_INTERCO",EPMDimensionType(,A10))</f>
        <v/>
      </c>
      <c r="C10" s="176">
        <f>IF(_epmOfflineCondition_,"I_ALL",IF(B10="","",EPMContextMember(,B10)))</f>
        <v/>
      </c>
      <c r="D10" s="176">
        <f>IF(_epmOfflineCondition_,"全部贸易伙伴",EPMMemberDesc(C10))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13" t="n"/>
      <c r="V10" s="13" t="n"/>
      <c r="W10" s="13" t="n"/>
      <c r="X10" s="171" t="n"/>
      <c r="Y10" s="171" t="n"/>
      <c r="Z10" s="13" t="n"/>
      <c r="AA10" s="13" t="n"/>
      <c r="AB10" s="13" t="n"/>
      <c r="AC10" s="13" t="n"/>
      <c r="AD10" s="13" t="n"/>
      <c r="AE10" s="13" t="n"/>
      <c r="AF10" s="13" t="n"/>
      <c r="AG10" s="13" t="n"/>
      <c r="AH10" s="13" t="n"/>
      <c r="AI10" s="13" t="n"/>
      <c r="AJ10" s="13" t="n"/>
      <c r="AK10" s="13" t="n"/>
      <c r="AL10" s="13" t="n"/>
      <c r="AM10" s="13" t="n"/>
      <c r="AN10" s="13" t="n"/>
      <c r="AO10" s="13" t="n"/>
      <c r="AP10" s="220" t="n"/>
      <c r="AQ10" s="13" t="n"/>
      <c r="AR10" s="13" t="n"/>
    </row>
    <row r="11" hidden="1" customFormat="1" s="13">
      <c r="A11" s="175" t="inlineStr">
        <is>
          <t>G</t>
        </is>
      </c>
      <c r="B11" s="176">
        <f>IF(_epmOfflineCondition_,"C_SCOPE",EPMDimensionType(,A11))</f>
        <v/>
      </c>
      <c r="C11" s="176">
        <f>IF(_epmOfflineCondition_,"G_DUMMY",IF(B11="","",EPMContextMember(,B11)))</f>
        <v/>
      </c>
      <c r="D11" s="176">
        <f>IF(_epmOfflineCondition_,"合并范围无关",EPMMemberDesc(C11))</f>
        <v/>
      </c>
      <c r="E11" s="176" t="n"/>
      <c r="F11" s="13" t="n"/>
      <c r="G11" s="13" t="n"/>
      <c r="H11" s="184" t="inlineStr">
        <is>
          <t xml:space="preserve">本年月 </t>
        </is>
      </c>
      <c r="I11" s="184">
        <f>I3&amp;"."&amp;I8</f>
        <v/>
      </c>
      <c r="J11" s="13" t="n"/>
      <c r="K11" s="13" t="n"/>
      <c r="L11" s="13" t="n"/>
      <c r="M11" s="13" t="n"/>
      <c r="N11" s="13" t="n"/>
      <c r="O11" s="13" t="n"/>
      <c r="P11" s="13" t="n"/>
      <c r="Q11" s="13" t="n"/>
      <c r="R11" s="13" t="n"/>
      <c r="S11" s="1103" t="n"/>
      <c r="T11" s="13" t="n"/>
      <c r="U11" s="13" t="n"/>
      <c r="V11" s="13" t="n"/>
      <c r="W11" s="13" t="n"/>
      <c r="X11" s="171" t="n"/>
      <c r="Y11" s="171" t="n"/>
      <c r="Z11" s="13" t="n"/>
      <c r="AA11" s="13" t="n"/>
      <c r="AB11" s="13" t="n"/>
      <c r="AC11" s="13" t="n"/>
      <c r="AD11" s="13" t="n"/>
      <c r="AE11" s="13" t="n"/>
      <c r="AF11" s="13" t="n"/>
      <c r="AG11" s="13" t="n"/>
      <c r="AH11" s="13" t="n"/>
      <c r="AI11" s="13" t="n"/>
      <c r="AJ11" s="13" t="n"/>
      <c r="AK11" s="13" t="n"/>
      <c r="AL11" s="13" t="n"/>
      <c r="AM11" s="13" t="n"/>
      <c r="AN11" s="13" t="n"/>
      <c r="AO11" s="13" t="n"/>
      <c r="AP11" s="220" t="n"/>
      <c r="AQ11" s="13" t="n"/>
      <c r="AR11" s="13" t="n"/>
    </row>
    <row r="12" hidden="1" customFormat="1" s="13">
      <c r="A12" s="175" t="inlineStr">
        <is>
          <t>U8</t>
        </is>
      </c>
      <c r="B12" s="176">
        <f>IF(_epmOfflineCondition_,"C_PROJECT",EPMDimensionType(,A12))</f>
        <v/>
      </c>
      <c r="C12" s="176">
        <f>IF(_epmOfflineCondition_,"ZP_ALL",IF(B12="","",EPMContextMember(,B12)))</f>
        <v/>
      </c>
      <c r="D12" s="176">
        <f>IF(_epmOfflineCondition_,"项目合计",EPMMemberDesc(C12))</f>
        <v/>
      </c>
      <c r="E12" s="176" t="n"/>
      <c r="F12" s="13" t="n"/>
      <c r="G12" s="13" t="n"/>
      <c r="H12" s="184" t="inlineStr">
        <is>
          <t>上年月</t>
        </is>
      </c>
      <c r="I12" s="184">
        <f>IF(I8="01",I10&amp;"."&amp;I9,I3&amp;"."&amp;I9)</f>
        <v/>
      </c>
      <c r="J12" s="13" t="n"/>
      <c r="K12" s="13" t="n"/>
      <c r="L12" s="13" t="n"/>
      <c r="M12" s="13" t="n"/>
      <c r="N12" s="13" t="n"/>
      <c r="O12" s="13" t="n"/>
      <c r="P12" s="13" t="n"/>
      <c r="Q12" s="13" t="n"/>
      <c r="R12" s="13" t="n"/>
      <c r="S12" s="1103" t="n"/>
      <c r="T12" s="13" t="n"/>
      <c r="U12" s="13" t="n"/>
      <c r="V12" s="13" t="n"/>
      <c r="W12" s="13" t="n"/>
      <c r="X12" s="171" t="n"/>
      <c r="Y12" s="171" t="n"/>
      <c r="Z12" s="13" t="n"/>
      <c r="AA12" s="13" t="n"/>
      <c r="AB12" s="13" t="n"/>
      <c r="AC12" s="13" t="n"/>
      <c r="AD12" s="13" t="n"/>
      <c r="AE12" s="13" t="n"/>
      <c r="AF12" s="13" t="n"/>
      <c r="AG12" s="13" t="n"/>
      <c r="AH12" s="13" t="n"/>
      <c r="AI12" s="13" t="n"/>
      <c r="AJ12" s="13" t="n"/>
      <c r="AK12" s="13" t="n"/>
      <c r="AL12" s="13" t="n"/>
      <c r="AM12" s="13" t="n"/>
      <c r="AN12" s="13" t="n"/>
      <c r="AO12" s="13" t="n"/>
      <c r="AP12" s="220" t="n"/>
      <c r="AQ12" s="13" t="n"/>
      <c r="AR12" s="13" t="n"/>
    </row>
    <row r="13" hidden="1" customFormat="1" s="13">
      <c r="A13" s="175" t="inlineStr">
        <is>
          <t>U9</t>
        </is>
      </c>
      <c r="B13" s="176">
        <f>IF(_epmOfflineCondition_,"C_ITEM",EPMDimensionType(,A13))</f>
        <v/>
      </c>
      <c r="C13" s="176">
        <f>IF(_epmOfflineCondition_,"ZI_ALL",IF(B13="","",EPMContextMember(,B13)))</f>
        <v/>
      </c>
      <c r="D13" s="176">
        <f>IF(_epmOfflineCondition_,"全部ITEM",EPMMemberDesc(C13))</f>
        <v/>
      </c>
      <c r="E13" s="176" t="n"/>
      <c r="F13" s="13" t="n"/>
      <c r="G13" s="13" t="n"/>
      <c r="H13" s="184" t="inlineStr">
        <is>
          <t xml:space="preserve">上年同期 </t>
        </is>
      </c>
      <c r="I13" s="184">
        <f>I10&amp;"."&amp;I8</f>
        <v/>
      </c>
      <c r="J13" s="13" t="n"/>
      <c r="K13" s="13" t="n"/>
      <c r="L13" s="13" t="n"/>
      <c r="M13" s="13" t="n"/>
      <c r="N13" s="13" t="n"/>
      <c r="O13" s="13" t="n"/>
      <c r="P13" s="13" t="n"/>
      <c r="Q13" s="13" t="n"/>
      <c r="R13" s="13" t="n"/>
      <c r="S13" s="1103" t="n"/>
      <c r="T13" s="13" t="n"/>
      <c r="U13" s="13" t="n"/>
      <c r="V13" s="13" t="n"/>
      <c r="W13" s="13" t="n"/>
      <c r="X13" s="171" t="n"/>
      <c r="Y13" s="171" t="n"/>
      <c r="Z13" s="13" t="n"/>
      <c r="AA13" s="13" t="n"/>
      <c r="AB13" s="13" t="n"/>
      <c r="AC13" s="13" t="n"/>
      <c r="AD13" s="13" t="n"/>
      <c r="AE13" s="13" t="n"/>
      <c r="AF13" s="13" t="n"/>
      <c r="AG13" s="13" t="n"/>
      <c r="AH13" s="13" t="n"/>
      <c r="AI13" s="13" t="n"/>
      <c r="AJ13" s="13" t="n"/>
      <c r="AK13" s="13" t="n"/>
      <c r="AL13" s="13" t="n"/>
      <c r="AM13" s="13" t="n"/>
      <c r="AN13" s="13" t="n"/>
      <c r="AO13" s="13" t="n"/>
      <c r="AP13" s="220" t="n"/>
      <c r="AQ13" s="13" t="n"/>
      <c r="AR13" s="13" t="n"/>
    </row>
    <row r="14" hidden="1" customFormat="1" s="13">
      <c r="A14" s="175" t="inlineStr">
        <is>
          <t>U10</t>
        </is>
      </c>
      <c r="B14" s="176">
        <f>IF(_epmOfflineCondition_,"C_MISK",EPMDimensionType(,A14))</f>
        <v/>
      </c>
      <c r="C14" s="176">
        <f>IF(_epmOfflineCondition_,"ZM_ALL",IF(B14="","",EPMContextMember(,B14)))</f>
        <v/>
      </c>
      <c r="D14" s="176">
        <f>IF(_epmOfflineCondition_,"ALL",EPMMemberDesc(C14))</f>
        <v/>
      </c>
      <c r="E14" s="176" t="n"/>
      <c r="F14" s="13" t="n"/>
      <c r="G14" s="13" t="n"/>
      <c r="H14" s="13" t="n"/>
      <c r="I14" s="13" t="n"/>
      <c r="J14" s="13" t="n"/>
      <c r="K14" s="13" t="n"/>
      <c r="L14" s="13" t="n"/>
      <c r="M14" s="13" t="n"/>
      <c r="N14" s="13" t="n"/>
      <c r="O14" s="13" t="n"/>
      <c r="P14" s="13" t="n"/>
      <c r="Q14" s="13" t="n"/>
      <c r="R14" s="13" t="n"/>
      <c r="S14" s="1103" t="n"/>
      <c r="T14" s="13" t="n"/>
      <c r="U14" s="13" t="n"/>
      <c r="V14" s="13" t="n"/>
      <c r="W14" s="13" t="n"/>
      <c r="X14" s="171" t="n"/>
      <c r="Y14" s="171" t="n"/>
      <c r="Z14" s="13" t="n"/>
      <c r="AA14" s="13" t="n"/>
      <c r="AB14" s="13" t="n"/>
      <c r="AC14" s="13" t="n"/>
      <c r="AD14" s="13" t="n"/>
      <c r="AE14" s="13" t="n"/>
      <c r="AF14" s="13" t="n"/>
      <c r="AG14" s="13" t="n"/>
      <c r="AH14" s="13" t="n"/>
      <c r="AI14" s="13" t="n"/>
      <c r="AJ14" s="13" t="n"/>
      <c r="AK14" s="13" t="n"/>
      <c r="AL14" s="13" t="n"/>
      <c r="AM14" s="13" t="n"/>
      <c r="AN14" s="13" t="n"/>
      <c r="AO14" s="13" t="n"/>
      <c r="AP14" s="220" t="n"/>
      <c r="AQ14" s="13" t="n"/>
      <c r="AR14" s="13" t="n"/>
    </row>
    <row r="15" hidden="1" customFormat="1" s="13">
      <c r="A15" s="13" t="n"/>
      <c r="B15" s="1103" t="n"/>
      <c r="C15" s="1103" t="n"/>
      <c r="D15" s="1103" t="n"/>
      <c r="E15" s="13" t="n"/>
      <c r="F15" s="13" t="n"/>
      <c r="G15" s="13" t="n"/>
      <c r="H15" s="13" t="n"/>
      <c r="I15" s="13" t="n"/>
      <c r="J15" s="13" t="n"/>
      <c r="K15" s="13" t="n"/>
      <c r="L15" s="13" t="n"/>
      <c r="M15" s="13" t="n"/>
      <c r="N15" s="13" t="n"/>
      <c r="O15" s="13" t="n"/>
      <c r="P15" s="13" t="n"/>
      <c r="Q15" s="13" t="n"/>
      <c r="R15" s="13" t="n"/>
      <c r="S15" s="1103" t="n"/>
      <c r="T15" s="13" t="n"/>
      <c r="U15" s="13" t="n"/>
      <c r="V15" s="13" t="n"/>
      <c r="W15" s="13" t="n"/>
      <c r="X15" s="171" t="n"/>
      <c r="Y15" s="171" t="n"/>
      <c r="Z15" s="13" t="n"/>
      <c r="AA15" s="13" t="n"/>
      <c r="AB15" s="13" t="n"/>
      <c r="AC15" s="13" t="n"/>
      <c r="AD15" s="13" t="n"/>
      <c r="AE15" s="13" t="n"/>
      <c r="AF15" s="13" t="n"/>
      <c r="AG15" s="13" t="n"/>
      <c r="AH15" s="13" t="n"/>
      <c r="AI15" s="13" t="n"/>
      <c r="AJ15" s="13" t="n"/>
      <c r="AK15" s="13" t="n"/>
      <c r="AL15" s="13" t="n"/>
      <c r="AM15" s="13" t="n"/>
      <c r="AN15" s="13" t="n"/>
      <c r="AO15" s="13" t="n"/>
      <c r="AP15" s="220" t="n"/>
      <c r="AQ15" s="13" t="n"/>
      <c r="AR15" s="13" t="n"/>
    </row>
    <row r="16" hidden="1" customFormat="1" s="13">
      <c r="A16" s="13" t="n"/>
      <c r="B16" s="13" t="n"/>
      <c r="C16" s="13" t="n"/>
      <c r="D16" s="174" t="inlineStr">
        <is>
          <t>页轴</t>
        </is>
      </c>
      <c r="E16" s="1183" t="n"/>
      <c r="F16" s="13" t="n"/>
      <c r="G16" s="13" t="n"/>
      <c r="H16" s="13" t="n"/>
      <c r="I16" s="13" t="n"/>
      <c r="J16" s="13" t="n"/>
      <c r="K16" s="13" t="n"/>
      <c r="L16" s="13" t="n"/>
      <c r="M16" s="13" t="n"/>
      <c r="N16" s="13" t="n"/>
      <c r="O16" s="13" t="n"/>
      <c r="P16" s="13" t="n"/>
      <c r="Q16" s="13" t="n"/>
      <c r="R16" s="13" t="n"/>
      <c r="S16" s="1103" t="n"/>
      <c r="T16" s="13" t="n"/>
      <c r="U16" s="13" t="n"/>
      <c r="V16" s="13" t="n"/>
      <c r="W16" s="13" t="n"/>
      <c r="X16" s="171" t="n"/>
      <c r="Y16" s="171" t="n"/>
      <c r="Z16" s="13" t="n"/>
      <c r="AA16" s="13" t="n"/>
      <c r="AB16" s="13" t="n"/>
      <c r="AC16" s="13" t="n"/>
      <c r="AD16" s="13" t="n"/>
      <c r="AE16" s="13" t="n"/>
      <c r="AF16" s="13" t="n"/>
      <c r="AG16" s="13" t="n"/>
      <c r="AH16" s="13" t="n"/>
      <c r="AI16" s="13" t="n"/>
      <c r="AJ16" s="13" t="n"/>
      <c r="AK16" s="13" t="n"/>
      <c r="AL16" s="13" t="n"/>
      <c r="AM16" s="13" t="n"/>
      <c r="AN16" s="13" t="n"/>
      <c r="AO16" s="13" t="n"/>
      <c r="AP16" s="220" t="n"/>
      <c r="AQ16" s="13" t="n"/>
      <c r="AR16" s="13" t="n"/>
    </row>
    <row r="17" hidden="1" customFormat="1" s="13">
      <c r="A17" s="174" t="inlineStr">
        <is>
          <t>维度类型</t>
        </is>
      </c>
      <c r="B17" s="174" t="inlineStr">
        <is>
          <t>维度</t>
        </is>
      </c>
      <c r="C17" s="178" t="inlineStr">
        <is>
          <t>页轴替换</t>
        </is>
      </c>
      <c r="D17" s="174" t="inlineStr">
        <is>
          <t>报表001</t>
        </is>
      </c>
      <c r="E17" s="174" t="inlineStr">
        <is>
          <t>报表002</t>
        </is>
      </c>
      <c r="F17" s="13" t="n"/>
      <c r="G17" s="13" t="n"/>
      <c r="H17" s="13" t="n"/>
      <c r="I17" s="13" t="n"/>
      <c r="J17" s="13" t="n"/>
      <c r="K17" s="13" t="n"/>
      <c r="L17" s="13" t="n"/>
      <c r="M17" s="13" t="n"/>
      <c r="N17" s="13" t="n"/>
      <c r="O17" s="13" t="n"/>
      <c r="P17" s="13" t="n"/>
      <c r="Q17" s="13" t="n"/>
      <c r="R17" s="13" t="n"/>
      <c r="S17" s="1103" t="n"/>
      <c r="T17" s="13" t="n"/>
      <c r="U17" s="13" t="n"/>
      <c r="V17" s="13" t="n"/>
      <c r="W17" s="13" t="n"/>
      <c r="X17" s="171" t="n"/>
      <c r="Y17" s="171" t="n"/>
      <c r="Z17" s="13" t="n"/>
      <c r="AA17" s="13" t="n"/>
      <c r="AB17" s="13" t="n"/>
      <c r="AC17" s="13" t="n"/>
      <c r="AD17" s="13" t="n"/>
      <c r="AE17" s="13" t="n"/>
      <c r="AF17" s="13" t="n"/>
      <c r="AG17" s="13" t="n"/>
      <c r="AH17" s="13" t="n"/>
      <c r="AI17" s="13" t="n"/>
      <c r="AJ17" s="13" t="n"/>
      <c r="AK17" s="13" t="n"/>
      <c r="AL17" s="13" t="n"/>
      <c r="AM17" s="13" t="n"/>
      <c r="AN17" s="13" t="n"/>
      <c r="AO17" s="13" t="n"/>
      <c r="AP17" s="220" t="n"/>
      <c r="AQ17" s="13" t="n"/>
      <c r="AR17" s="13" t="n"/>
    </row>
    <row r="18" hidden="1" customFormat="1" s="13">
      <c r="A18" s="175" t="inlineStr">
        <is>
          <t>A</t>
        </is>
      </c>
      <c r="B18" s="176">
        <f>IF(_epmOfflineCondition_,"C_ACCOUNT",EPMDimensionType(,A18))</f>
        <v/>
      </c>
      <c r="C18" s="182" t="inlineStr">
        <is>
          <t>A_NOUSED</t>
        </is>
      </c>
      <c r="D18" s="180" t="n"/>
      <c r="E18" s="13" t="n"/>
      <c r="F18" s="13" t="n"/>
      <c r="G18" s="13" t="n"/>
      <c r="H18" s="13" t="n"/>
      <c r="I18" s="13" t="n"/>
      <c r="J18" s="13" t="n"/>
      <c r="K18" s="13" t="n"/>
      <c r="L18" s="13" t="n"/>
      <c r="M18" s="13" t="n"/>
      <c r="N18" s="13" t="n"/>
      <c r="O18" s="13" t="n"/>
      <c r="P18" s="13" t="n"/>
      <c r="Q18" s="13" t="n"/>
      <c r="R18" s="13" t="n"/>
      <c r="S18" s="1103" t="n"/>
      <c r="T18" s="13" t="n"/>
      <c r="U18" s="13" t="n"/>
      <c r="V18" s="13" t="n"/>
      <c r="W18" s="13" t="n"/>
      <c r="X18" s="171" t="n"/>
      <c r="Y18" s="171" t="n"/>
      <c r="Z18" s="13" t="n"/>
      <c r="AA18" s="13" t="n"/>
      <c r="AB18" s="13" t="n"/>
      <c r="AC18" s="13" t="n"/>
      <c r="AD18" s="13" t="n"/>
      <c r="AE18" s="13" t="n"/>
      <c r="AF18" s="13" t="n"/>
      <c r="AG18" s="13" t="n"/>
      <c r="AH18" s="13" t="n"/>
      <c r="AI18" s="13" t="n"/>
      <c r="AJ18" s="13" t="n"/>
      <c r="AK18" s="13" t="n"/>
      <c r="AL18" s="13" t="n"/>
      <c r="AM18" s="13" t="n"/>
      <c r="AN18" s="13" t="n"/>
      <c r="AO18" s="13" t="n"/>
      <c r="AP18" s="220" t="n"/>
      <c r="AQ18" s="13" t="n"/>
      <c r="AR18" s="13" t="n"/>
    </row>
    <row r="19" hidden="1" customFormat="1" s="13">
      <c r="A19" s="175" t="inlineStr">
        <is>
          <t>C</t>
        </is>
      </c>
      <c r="B19" s="176">
        <f>IF(_epmOfflineCondition_,"C_CATEGORY",EPMDimensionType(,A19))</f>
        <v/>
      </c>
      <c r="C19" s="182" t="inlineStr">
        <is>
          <t>C_DUMMY</t>
        </is>
      </c>
      <c r="D19" s="180" t="n"/>
      <c r="E19" s="13" t="n"/>
      <c r="F19" s="13" t="n"/>
      <c r="G19" s="13" t="n"/>
      <c r="H19" s="13" t="n"/>
      <c r="I19" s="13" t="n"/>
      <c r="J19" s="13" t="n"/>
      <c r="K19" s="13" t="n"/>
      <c r="L19" s="13" t="n"/>
      <c r="M19" s="13" t="n"/>
      <c r="N19" s="13" t="n"/>
      <c r="O19" s="13" t="n"/>
      <c r="P19" s="13" t="n"/>
      <c r="Q19" s="13" t="n"/>
      <c r="R19" s="13" t="n"/>
      <c r="S19" s="1103" t="n"/>
      <c r="T19" s="13" t="n"/>
      <c r="U19" s="13" t="n"/>
      <c r="V19" s="13" t="n"/>
      <c r="W19" s="13" t="n"/>
      <c r="X19" s="171" t="n"/>
      <c r="Y19" s="171" t="n"/>
      <c r="Z19" s="13" t="n"/>
      <c r="AA19" s="13" t="n"/>
      <c r="AB19" s="13" t="n"/>
      <c r="AC19" s="13" t="n"/>
      <c r="AD19" s="13" t="n"/>
      <c r="AE19" s="13" t="n"/>
      <c r="AF19" s="13" t="n"/>
      <c r="AG19" s="13" t="n"/>
      <c r="AH19" s="13" t="n"/>
      <c r="AI19" s="13" t="n"/>
      <c r="AJ19" s="13" t="n"/>
      <c r="AK19" s="13" t="n"/>
      <c r="AL19" s="13" t="n"/>
      <c r="AM19" s="13" t="n"/>
      <c r="AN19" s="13" t="n"/>
      <c r="AO19" s="13" t="n"/>
      <c r="AP19" s="220" t="n"/>
      <c r="AQ19" s="13" t="n"/>
      <c r="AR19" s="13" t="n"/>
    </row>
    <row r="20" hidden="1" customFormat="1" s="13">
      <c r="A20" s="175" t="inlineStr">
        <is>
          <t>T</t>
        </is>
      </c>
      <c r="B20" s="176">
        <f>IF(_epmOfflineCondition_,"C_TIME",EPMDimensionType(,A20))</f>
        <v/>
      </c>
      <c r="C20" s="672" t="inlineStr">
        <is>
          <t>T_DUMMY</t>
        </is>
      </c>
      <c r="D20" s="180" t="n"/>
      <c r="E20" s="13" t="n"/>
      <c r="F20" s="384" t="n"/>
      <c r="G20" s="384" t="n"/>
      <c r="H20" s="13" t="n"/>
      <c r="I20" s="13" t="n"/>
      <c r="J20" s="13" t="n"/>
      <c r="K20" s="13" t="n"/>
      <c r="L20" s="13" t="n"/>
      <c r="M20" s="13" t="n"/>
      <c r="N20" s="13" t="n"/>
      <c r="O20" s="13" t="n"/>
      <c r="P20" s="13" t="n"/>
      <c r="Q20" s="13" t="n"/>
      <c r="R20" s="13" t="n"/>
      <c r="S20" s="1103" t="n"/>
      <c r="T20" s="13" t="n"/>
      <c r="U20" s="13" t="n"/>
      <c r="V20" s="13" t="n"/>
      <c r="W20" s="13" t="n"/>
      <c r="X20" s="171" t="n"/>
      <c r="Y20" s="171" t="n"/>
      <c r="Z20" s="384" t="n"/>
      <c r="AA20" s="13" t="n"/>
      <c r="AB20" s="13" t="n"/>
      <c r="AC20" s="13" t="n"/>
      <c r="AD20" s="13" t="n"/>
      <c r="AE20" s="13" t="n"/>
      <c r="AF20" s="13" t="n"/>
      <c r="AG20" s="13" t="n"/>
      <c r="AH20" s="13" t="n"/>
      <c r="AI20" s="13" t="n"/>
      <c r="AJ20" s="13" t="n"/>
      <c r="AK20" s="13" t="n"/>
      <c r="AL20" s="13" t="n"/>
      <c r="AM20" s="13" t="n"/>
      <c r="AN20" s="13" t="n"/>
      <c r="AO20" s="13" t="n"/>
      <c r="AP20" s="220" t="n"/>
      <c r="AQ20" s="13" t="n"/>
      <c r="AR20" s="13" t="n"/>
    </row>
    <row r="21" hidden="1" customFormat="1" s="13">
      <c r="A21" s="175" t="inlineStr">
        <is>
          <t>E</t>
        </is>
      </c>
      <c r="B21" s="176">
        <f>IF(_epmOfflineCondition_,"C_ENTITY",EPMDimensionType(,A21))</f>
        <v/>
      </c>
      <c r="C21" s="447">
        <f>IF(_epmOfflineCondition_,"E100787",IF(B21="","",EPMContextMember(,B21)))</f>
        <v/>
      </c>
      <c r="D21" s="390">
        <f>IF(_epmOfflineCondition_,"E100787",EPMOlapMemberO(C21,"[C_ENTITY].[PARENTH1].[E100787]","E100787 - 内蒙古京能苏尼特风力发电有限公司（内蒙古分公司）","","000"))</f>
        <v/>
      </c>
      <c r="E21" s="13" t="n"/>
      <c r="F21" s="384" t="n"/>
      <c r="G21" s="384" t="n"/>
      <c r="H21" s="13" t="n"/>
      <c r="I21" s="13" t="n"/>
      <c r="J21" s="13" t="n"/>
      <c r="K21" s="13" t="n"/>
      <c r="L21" s="13" t="n"/>
      <c r="M21" s="13" t="n"/>
      <c r="N21" s="13" t="n"/>
      <c r="O21" s="13" t="n"/>
      <c r="P21" s="13" t="n"/>
      <c r="Q21" s="13" t="n"/>
      <c r="R21" s="13" t="n"/>
      <c r="S21" s="1103" t="n"/>
      <c r="T21" s="13" t="n"/>
      <c r="U21" s="13" t="n"/>
      <c r="V21" s="13" t="n"/>
      <c r="W21" s="13" t="n"/>
      <c r="X21" s="171" t="n"/>
      <c r="Y21" s="171" t="n"/>
      <c r="Z21" s="384" t="n"/>
      <c r="AA21" s="13" t="n"/>
      <c r="AB21" s="13" t="n"/>
      <c r="AC21" s="13" t="n"/>
      <c r="AD21" s="13" t="n"/>
      <c r="AE21" s="13" t="n"/>
      <c r="AF21" s="13" t="n"/>
      <c r="AG21" s="13" t="n"/>
      <c r="AH21" s="13" t="n"/>
      <c r="AI21" s="13" t="n"/>
      <c r="AJ21" s="13" t="n"/>
      <c r="AK21" s="13" t="n"/>
      <c r="AL21" s="13" t="n"/>
      <c r="AM21" s="13" t="n"/>
      <c r="AN21" s="13" t="n"/>
      <c r="AO21" s="13" t="n"/>
      <c r="AP21" s="220" t="n"/>
      <c r="AQ21" s="13" t="n"/>
      <c r="AR21" s="13" t="n"/>
    </row>
    <row r="22" hidden="1" customFormat="1" s="13">
      <c r="A22" s="175" t="inlineStr">
        <is>
          <t>R</t>
        </is>
      </c>
      <c r="B22" s="176">
        <f>IF(_epmOfflineCondition_,"C_RPTCURRENCY",EPMDimensionType(,A22))</f>
        <v/>
      </c>
      <c r="C22" s="176" t="inlineStr">
        <is>
          <t>LC</t>
        </is>
      </c>
      <c r="D22" s="998">
        <f>IF(_epmOfflineCondition_,"LC - 本位币",EPMOlapMemberO("[C_RPTCURRENCY].[].[LC]","","LC - 本位币","","000"))</f>
        <v/>
      </c>
      <c r="E22" s="13" t="n"/>
      <c r="F22" s="384" t="n"/>
      <c r="G22" s="384" t="n"/>
      <c r="H22" s="13" t="n"/>
      <c r="I22" s="13" t="n"/>
      <c r="J22" s="13" t="n"/>
      <c r="K22" s="13" t="n"/>
      <c r="L22" s="13" t="n"/>
      <c r="M22" s="13" t="n"/>
      <c r="N22" s="13" t="n"/>
      <c r="O22" s="13" t="n"/>
      <c r="P22" s="13" t="n"/>
      <c r="Q22" s="13" t="n"/>
      <c r="R22" s="13" t="n"/>
      <c r="S22" s="1103" t="n"/>
      <c r="T22" s="13" t="n"/>
      <c r="U22" s="13" t="n"/>
      <c r="V22" s="13" t="n"/>
      <c r="W22" s="13" t="n"/>
      <c r="X22" s="171" t="n"/>
      <c r="Y22" s="171" t="n"/>
      <c r="Z22" s="384" t="n"/>
      <c r="AA22" s="13" t="n"/>
      <c r="AB22" s="13" t="n"/>
      <c r="AC22" s="13" t="n"/>
      <c r="AD22" s="13" t="n"/>
      <c r="AE22" s="13" t="n"/>
      <c r="AF22" s="13" t="n"/>
      <c r="AG22" s="13" t="n"/>
      <c r="AH22" s="13" t="n"/>
      <c r="AI22" s="13" t="n"/>
      <c r="AJ22" s="13" t="n"/>
      <c r="AK22" s="13" t="n"/>
      <c r="AL22" s="13" t="n"/>
      <c r="AM22" s="13" t="n"/>
      <c r="AN22" s="13" t="n"/>
      <c r="AO22" s="13" t="n"/>
      <c r="AP22" s="220" t="n"/>
      <c r="AQ22" s="13" t="n"/>
      <c r="AR22" s="13" t="n"/>
    </row>
    <row r="23" hidden="1" customFormat="1" s="13">
      <c r="A23" s="175" t="inlineStr">
        <is>
          <t>D</t>
        </is>
      </c>
      <c r="B23" s="176">
        <f>IF(_epmOfflineCondition_,"C_AUDITTRAIL",EPMDimensionType(,A23))</f>
        <v/>
      </c>
      <c r="C23" s="447">
        <f>IF(_epmOfflineCondition_,"DTOTAL",IF(B23="","",EPMContextMember(,B23)))</f>
        <v/>
      </c>
      <c r="D23" s="390" t="n"/>
      <c r="E23" s="13" t="n"/>
      <c r="F23" s="384" t="n"/>
      <c r="G23" s="384" t="n"/>
      <c r="H23" s="13" t="n"/>
      <c r="I23" s="13" t="n"/>
      <c r="J23" s="13" t="n"/>
      <c r="K23" s="13" t="n"/>
      <c r="L23" s="13" t="n"/>
      <c r="M23" s="13" t="n"/>
      <c r="N23" s="13" t="n"/>
      <c r="O23" s="13" t="n"/>
      <c r="P23" s="13" t="n"/>
      <c r="Q23" s="13" t="n"/>
      <c r="R23" s="13" t="n"/>
      <c r="S23" s="1103" t="n"/>
      <c r="T23" s="13" t="n"/>
      <c r="U23" s="13" t="n"/>
      <c r="V23" s="13" t="n"/>
      <c r="W23" s="13" t="n"/>
      <c r="X23" s="171" t="n"/>
      <c r="Y23" s="171" t="n"/>
      <c r="Z23" s="384" t="n"/>
      <c r="AA23" s="13" t="n"/>
      <c r="AB23" s="13" t="n"/>
      <c r="AC23" s="13" t="n"/>
      <c r="AD23" s="13" t="n"/>
      <c r="AE23" s="13" t="n"/>
      <c r="AF23" s="13" t="n"/>
      <c r="AG23" s="13" t="n"/>
      <c r="AH23" s="13" t="n"/>
      <c r="AI23" s="13" t="n"/>
      <c r="AJ23" s="13" t="n"/>
      <c r="AK23" s="13" t="n"/>
      <c r="AL23" s="13" t="n"/>
      <c r="AM23" s="13" t="n"/>
      <c r="AN23" s="13" t="n"/>
      <c r="AO23" s="13" t="n"/>
      <c r="AP23" s="220" t="n"/>
      <c r="AQ23" s="13" t="n"/>
      <c r="AR23" s="13" t="n"/>
    </row>
    <row r="24" hidden="1" customFormat="1" s="13">
      <c r="A24" s="175" t="inlineStr">
        <is>
          <t>S</t>
        </is>
      </c>
      <c r="B24" s="176">
        <f>IF(_epmOfflineCondition_,"C_FLOW",EPMDimensionType(,A24))</f>
        <v/>
      </c>
      <c r="C24" s="176">
        <f>IF(_epmOfflineCondition_,"FEND",IF(B24="","",EPMContextMember(,B24)))</f>
        <v/>
      </c>
      <c r="D24" s="390" t="n"/>
      <c r="E24" s="13" t="n"/>
      <c r="F24" s="384" t="n"/>
      <c r="G24" s="384" t="n"/>
      <c r="H24" s="13" t="n"/>
      <c r="I24" s="13" t="n"/>
      <c r="J24" s="13" t="n"/>
      <c r="K24" s="13" t="n"/>
      <c r="L24" s="13" t="n"/>
      <c r="M24" s="13" t="n"/>
      <c r="N24" s="13" t="n"/>
      <c r="O24" s="13" t="n"/>
      <c r="P24" s="13" t="n"/>
      <c r="Q24" s="13" t="n"/>
      <c r="R24" s="13" t="n"/>
      <c r="S24" s="1103" t="n"/>
      <c r="T24" s="13" t="n"/>
      <c r="U24" s="13" t="n"/>
      <c r="V24" s="13" t="n"/>
      <c r="W24" s="13" t="n"/>
      <c r="X24" s="171" t="n"/>
      <c r="Y24" s="171" t="n"/>
      <c r="Z24" s="384" t="n"/>
      <c r="AA24" s="13" t="n"/>
      <c r="AB24" s="13" t="n"/>
      <c r="AC24" s="13" t="n"/>
      <c r="AD24" s="13" t="n"/>
      <c r="AE24" s="13" t="n"/>
      <c r="AF24" s="13" t="n"/>
      <c r="AG24" s="13" t="n"/>
      <c r="AH24" s="13" t="n"/>
      <c r="AI24" s="13" t="n"/>
      <c r="AJ24" s="13" t="n"/>
      <c r="AK24" s="13" t="n"/>
      <c r="AL24" s="13" t="n"/>
      <c r="AM24" s="13" t="n"/>
      <c r="AN24" s="13" t="n"/>
      <c r="AO24" s="13" t="n"/>
      <c r="AP24" s="220" t="n"/>
      <c r="AQ24" s="13" t="n"/>
      <c r="AR24" s="13" t="n"/>
    </row>
    <row r="25" hidden="1" customFormat="1" s="13">
      <c r="A25" s="175" t="inlineStr">
        <is>
          <t>I</t>
        </is>
      </c>
      <c r="B25" s="176">
        <f>IF(_epmOfflineCondition_,"C_INTERCO",EPMDimensionType(,A25))</f>
        <v/>
      </c>
      <c r="C25" s="176">
        <f>IF(_epmOfflineCondition_,"I_ALL",IF(B25="","",EPMContextMember(,B25)))</f>
        <v/>
      </c>
      <c r="D25" s="390">
        <f>IF(_epmOfflineCondition_,"I_ALL",EPMOlapMemberO(C25,"[C_INTERCO].[PARENTH1].[I_ALL]","I_ALL - 全部贸易伙伴","","000"))</f>
        <v/>
      </c>
      <c r="E25" s="13" t="n"/>
      <c r="F25" s="384" t="n"/>
      <c r="G25" s="384" t="n"/>
      <c r="H25" s="13" t="n"/>
      <c r="I25" s="13" t="n"/>
      <c r="J25" s="13" t="n"/>
      <c r="K25" s="13" t="n"/>
      <c r="L25" s="13" t="n"/>
      <c r="M25" s="13" t="n"/>
      <c r="N25" s="13" t="n"/>
      <c r="O25" s="13" t="n"/>
      <c r="P25" s="13" t="n"/>
      <c r="Q25" s="13" t="n"/>
      <c r="R25" s="13" t="n"/>
      <c r="S25" s="1103" t="n"/>
      <c r="T25" s="13" t="n"/>
      <c r="U25" s="13" t="n"/>
      <c r="V25" s="13" t="n"/>
      <c r="W25" s="13" t="n"/>
      <c r="X25" s="171" t="n"/>
      <c r="Y25" s="171" t="n"/>
      <c r="Z25" s="178" t="inlineStr">
        <is>
          <t>CATEGORY</t>
        </is>
      </c>
      <c r="AA25" s="178" t="inlineStr">
        <is>
          <t>C1001</t>
        </is>
      </c>
      <c r="AB25" s="178" t="n"/>
      <c r="AC25" s="178" t="inlineStr">
        <is>
          <t>C1001</t>
        </is>
      </c>
      <c r="AD25" s="178">
        <f>$C$4</f>
        <v/>
      </c>
      <c r="AE25" s="178">
        <f>$C$4</f>
        <v/>
      </c>
      <c r="AF25" s="178">
        <f>$C$4</f>
        <v/>
      </c>
      <c r="AG25" s="13" t="n"/>
      <c r="AH25" s="384" t="n"/>
      <c r="AI25" s="13" t="n"/>
      <c r="AJ25" s="13" t="n"/>
      <c r="AK25" s="13" t="n"/>
      <c r="AL25" s="13" t="n"/>
      <c r="AM25" s="13" t="n"/>
      <c r="AN25" s="220" t="n"/>
      <c r="AO25" s="220" t="n"/>
      <c r="AP25" s="220" t="n"/>
      <c r="AQ25" s="220" t="n"/>
      <c r="AR25" s="220" t="n"/>
    </row>
    <row r="26" hidden="1" customFormat="1" s="13">
      <c r="A26" s="175" t="inlineStr">
        <is>
          <t>G</t>
        </is>
      </c>
      <c r="B26" s="176">
        <f>IF(_epmOfflineCondition_,"C_SCOPE",EPMDimensionType(,A26))</f>
        <v/>
      </c>
      <c r="C26" s="182" t="inlineStr">
        <is>
          <t>G_DUMMY</t>
        </is>
      </c>
      <c r="D26" s="390">
        <f>IF(_epmOfflineCondition_,"G_DUMMY",EPMOlapMemberO(C26,"[C_SCOPE].[PARENTH1].[G_DUMMY]","G_DUMMY - 合并范围无关","","000"))</f>
        <v/>
      </c>
      <c r="E26" s="13" t="n"/>
      <c r="F26" s="384" t="n"/>
      <c r="G26" s="384" t="n"/>
      <c r="H26" s="13" t="n"/>
      <c r="I26" s="13" t="n"/>
      <c r="J26" s="13" t="n"/>
      <c r="K26" s="13" t="n"/>
      <c r="L26" s="13" t="n"/>
      <c r="M26" s="13" t="n"/>
      <c r="N26" s="13" t="n"/>
      <c r="O26" s="13" t="n"/>
      <c r="P26" s="13" t="n"/>
      <c r="Q26" s="13" t="n"/>
      <c r="R26" s="13" t="n"/>
      <c r="S26" s="1103" t="n"/>
      <c r="T26" s="13" t="n"/>
      <c r="U26" s="13" t="n"/>
      <c r="V26" s="13" t="n"/>
      <c r="W26" s="13" t="n"/>
      <c r="X26" s="171" t="n"/>
      <c r="Y26" s="171" t="n"/>
      <c r="Z26" s="464" t="inlineStr">
        <is>
          <t>TIME</t>
        </is>
      </c>
      <c r="AA26" s="464">
        <f>$I$11</f>
        <v/>
      </c>
      <c r="AB26" s="464" t="n"/>
      <c r="AC26" s="464">
        <f>$I$11</f>
        <v/>
      </c>
      <c r="AD26" s="464">
        <f>$I$11</f>
        <v/>
      </c>
      <c r="AE26" s="178">
        <f>$J$4</f>
        <v/>
      </c>
      <c r="AF26" s="200">
        <f>$I$13</f>
        <v/>
      </c>
      <c r="AG26" s="13" t="n"/>
      <c r="AH26" s="384" t="n"/>
      <c r="AI26" s="13" t="n"/>
      <c r="AJ26" s="13" t="n"/>
      <c r="AK26" s="13" t="n"/>
      <c r="AL26" s="13" t="n"/>
      <c r="AM26" s="13" t="n"/>
      <c r="AN26" s="220" t="n"/>
      <c r="AO26" s="220" t="n"/>
      <c r="AP26" s="220" t="n"/>
      <c r="AQ26" s="220" t="n"/>
      <c r="AR26" s="220" t="n"/>
    </row>
    <row r="27" hidden="1" customFormat="1" s="13">
      <c r="A27" s="175" t="inlineStr">
        <is>
          <t>U8</t>
        </is>
      </c>
      <c r="B27" s="176">
        <f>IF(_epmOfflineCondition_,"C_PROJECT",EPMDimensionType(,A27))</f>
        <v/>
      </c>
      <c r="C27" s="180" t="inlineStr">
        <is>
          <t>ZP_ALL</t>
        </is>
      </c>
      <c r="D27" s="390">
        <f>IF(_epmOfflineCondition_,"ZP_ALL - 项目合计",EPMOlapMemberO("[C_PROJECT].[PARENTH1].[ZP_ALL]","","ZP_ALL - 项目合计","","000"))</f>
        <v/>
      </c>
      <c r="E27" s="13" t="n"/>
      <c r="F27" s="384" t="n"/>
      <c r="G27" s="384" t="n"/>
      <c r="H27" s="13" t="n"/>
      <c r="I27" s="13" t="n"/>
      <c r="J27" s="13" t="n"/>
      <c r="K27" s="13" t="n"/>
      <c r="L27" s="13" t="n"/>
      <c r="M27" s="13" t="n"/>
      <c r="N27" s="13" t="n"/>
      <c r="O27" s="13" t="n"/>
      <c r="P27" s="13" t="n"/>
      <c r="Q27" s="13" t="n"/>
      <c r="R27" s="13" t="n"/>
      <c r="S27" s="1103" t="n"/>
      <c r="T27" s="13" t="n"/>
      <c r="U27" s="13" t="n"/>
      <c r="V27" s="13" t="n"/>
      <c r="W27" s="13" t="n"/>
      <c r="X27" s="171" t="n"/>
      <c r="Y27" s="171" t="n"/>
      <c r="Z27" s="200" t="inlineStr">
        <is>
          <t>MEASURES</t>
        </is>
      </c>
      <c r="AA27" s="200" t="inlineStr">
        <is>
          <t>YTD</t>
        </is>
      </c>
      <c r="AB27" s="200" t="n"/>
      <c r="AC27" s="200" t="inlineStr">
        <is>
          <t>YTD</t>
        </is>
      </c>
      <c r="AD27" s="200" t="inlineStr">
        <is>
          <t>Periodic</t>
        </is>
      </c>
      <c r="AE27" s="200" t="inlineStr">
        <is>
          <t>Periodic</t>
        </is>
      </c>
      <c r="AF27" s="200" t="inlineStr">
        <is>
          <t>Periodic</t>
        </is>
      </c>
      <c r="AG27" s="200" t="n"/>
      <c r="AH27" s="200" t="n"/>
      <c r="AI27" s="13" t="n"/>
      <c r="AJ27" s="13" t="n"/>
      <c r="AK27" s="13" t="n"/>
      <c r="AL27" s="13" t="n"/>
      <c r="AM27" s="13" t="n"/>
      <c r="AN27" s="220" t="n"/>
      <c r="AO27" s="220" t="n"/>
      <c r="AP27" s="220" t="n"/>
      <c r="AQ27" s="220" t="n"/>
      <c r="AR27" s="220" t="n"/>
    </row>
    <row r="28" hidden="1" customFormat="1" s="13">
      <c r="A28" s="175" t="inlineStr">
        <is>
          <t>U9</t>
        </is>
      </c>
      <c r="B28" s="176">
        <f>IF(_epmOfflineCondition_,"C_ITEM",EPMDimensionType(,A28))</f>
        <v/>
      </c>
      <c r="C28" s="180" t="inlineStr">
        <is>
          <t>ZI_ALL</t>
        </is>
      </c>
      <c r="D28" s="390">
        <f>IF(_epmOfflineCondition_,"ZI_ALL",EPMOlapMemberO(C28,"[C_ITEM].[PARENTH1].[ZI_ALL]","ZI_ALL - 全部ITEM","","000"))</f>
        <v/>
      </c>
      <c r="E28" s="13" t="n"/>
      <c r="F28" s="384" t="n"/>
      <c r="G28" s="384" t="n"/>
      <c r="H28" s="13" t="n"/>
      <c r="I28" s="13" t="n"/>
      <c r="J28" s="13" t="n"/>
      <c r="K28" s="13" t="n"/>
      <c r="L28" s="13" t="n"/>
      <c r="M28" s="13" t="n"/>
      <c r="N28" s="13" t="n"/>
      <c r="O28" s="13" t="n"/>
      <c r="P28" s="13" t="n"/>
      <c r="Q28" s="13" t="n"/>
      <c r="R28" s="13" t="n"/>
      <c r="S28" s="1103" t="n"/>
      <c r="T28" s="13" t="n"/>
      <c r="U28" s="13" t="n"/>
      <c r="V28" s="13" t="n"/>
      <c r="W28" s="13" t="n"/>
      <c r="X28" s="171" t="n"/>
      <c r="Y28" s="171" t="n"/>
      <c r="Z28" s="200" t="inlineStr">
        <is>
          <t>FLOW</t>
        </is>
      </c>
      <c r="AA28" s="200" t="inlineStr">
        <is>
          <t>F20</t>
        </is>
      </c>
      <c r="AB28" s="200" t="n"/>
      <c r="AC28" s="200" t="inlineStr">
        <is>
          <t>F20</t>
        </is>
      </c>
      <c r="AD28" s="200" t="inlineStr">
        <is>
          <t>F20</t>
        </is>
      </c>
      <c r="AE28" s="200" t="inlineStr">
        <is>
          <t>F99</t>
        </is>
      </c>
      <c r="AF28" s="200" t="inlineStr">
        <is>
          <t>FEND</t>
        </is>
      </c>
      <c r="AG28" s="200" t="inlineStr">
        <is>
          <t>FMOV</t>
        </is>
      </c>
      <c r="AH28" s="200" t="inlineStr">
        <is>
          <t>FEND</t>
        </is>
      </c>
      <c r="AI28" s="13" t="n"/>
      <c r="AJ28" s="13" t="n"/>
      <c r="AK28" s="13" t="n"/>
      <c r="AL28" s="13" t="n"/>
      <c r="AM28" s="13" t="n"/>
      <c r="AN28" s="13" t="n"/>
      <c r="AO28" s="13" t="n"/>
      <c r="AP28" s="220" t="n"/>
      <c r="AQ28" s="220" t="n"/>
      <c r="AR28" s="13" t="n"/>
    </row>
    <row r="29" hidden="1" customFormat="1" s="13">
      <c r="A29" s="175" t="inlineStr">
        <is>
          <t>U10</t>
        </is>
      </c>
      <c r="B29" s="176">
        <f>IF(_epmOfflineCondition_,"C_MISK",EPMDimensionType(,A29))</f>
        <v/>
      </c>
      <c r="C29" s="449" t="inlineStr">
        <is>
          <t>ZM_ALL</t>
        </is>
      </c>
      <c r="D29" s="390">
        <f>IF(_epmOfflineCondition_,"ZM_ALL",EPMOlapMemberO(C29,"[C_MISK].[PARENTH1].[ZM_ALL]","ZM_ALL - ALL","","000"))</f>
        <v/>
      </c>
      <c r="E29" s="13" t="n"/>
      <c r="F29" s="384" t="n"/>
      <c r="G29" s="384" t="n"/>
      <c r="H29" s="13" t="n"/>
      <c r="I29" s="13" t="n"/>
      <c r="J29" s="13" t="n"/>
      <c r="K29" s="13" t="n"/>
      <c r="L29" s="13" t="n"/>
      <c r="M29" s="13" t="n"/>
      <c r="N29" s="13" t="n"/>
      <c r="O29" s="13" t="n"/>
      <c r="P29" s="13" t="n"/>
      <c r="Q29" s="13" t="n"/>
      <c r="R29" s="13" t="n"/>
      <c r="S29" s="1103" t="n"/>
      <c r="T29" s="13" t="n"/>
      <c r="U29" s="13" t="n"/>
      <c r="V29" s="13" t="n"/>
      <c r="W29" s="13" t="n"/>
      <c r="X29" s="171" t="n"/>
      <c r="Y29" s="171" t="n"/>
      <c r="Z29" s="200" t="inlineStr">
        <is>
          <t>AUDITTRAIL</t>
        </is>
      </c>
      <c r="AA29" s="200" t="inlineStr">
        <is>
          <t>DLC_BK</t>
        </is>
      </c>
      <c r="AB29" s="200" t="inlineStr">
        <is>
          <t>D1003</t>
        </is>
      </c>
      <c r="AC29" s="200" t="inlineStr">
        <is>
          <t>DLC_RC</t>
        </is>
      </c>
      <c r="AD29" s="200" t="inlineStr">
        <is>
          <t>DLC</t>
        </is>
      </c>
      <c r="AE29" s="200" t="inlineStr">
        <is>
          <t>DLC</t>
        </is>
      </c>
      <c r="AF29" s="200" t="inlineStr">
        <is>
          <t>DLC</t>
        </is>
      </c>
      <c r="AG29" s="200" t="inlineStr">
        <is>
          <t>DLC_ADJ</t>
        </is>
      </c>
      <c r="AH29" s="384" t="n"/>
      <c r="AI29" s="13" t="n"/>
      <c r="AJ29" s="13" t="n"/>
      <c r="AK29" s="13" t="n"/>
      <c r="AL29" s="13" t="n"/>
      <c r="AM29" s="13" t="n"/>
      <c r="AN29" s="13" t="n"/>
      <c r="AO29" s="13" t="n"/>
      <c r="AP29" s="220" t="n"/>
      <c r="AQ29" s="13" t="n"/>
      <c r="AR29" s="13" t="n"/>
    </row>
    <row r="30" hidden="1" customFormat="1" s="13">
      <c r="A30" s="175" t="n"/>
      <c r="B30" s="175">
        <f>IF(_epmOfflineCondition_,"",EPMDimensionType(,A30))</f>
        <v/>
      </c>
      <c r="C30" s="182" t="inlineStr">
        <is>
          <t>PERIODIC</t>
        </is>
      </c>
      <c r="D30" s="390" t="n"/>
      <c r="E30" s="13" t="n"/>
      <c r="F30" s="384" t="n"/>
      <c r="G30" s="384" t="n"/>
      <c r="H30" s="13" t="n"/>
      <c r="I30" s="13" t="n"/>
      <c r="J30" s="13" t="n"/>
      <c r="K30" s="13" t="n"/>
      <c r="L30" s="13" t="n"/>
      <c r="M30" s="13" t="n"/>
      <c r="N30" s="13" t="n"/>
      <c r="O30" s="13" t="n"/>
      <c r="P30" s="13" t="n"/>
      <c r="Q30" s="13" t="n"/>
      <c r="R30" s="13" t="n"/>
      <c r="S30" s="1103" t="n"/>
      <c r="T30" s="13" t="n"/>
      <c r="U30" s="13" t="n"/>
      <c r="V30" s="13" t="n"/>
      <c r="W30" s="13" t="n"/>
      <c r="X30" s="171" t="n"/>
      <c r="Y30" s="171" t="n"/>
      <c r="Z30" s="13" t="n"/>
      <c r="AA30" s="13">
        <f>IF(_epmOfflineCondition_,"单体账面",EPMMemberDesc(AA29))</f>
        <v/>
      </c>
      <c r="AB30" s="13" t="n"/>
      <c r="AC30" s="13">
        <f>IF(_epmOfflineCondition_,"单体重分类",EPMMemberDesc(AC29))</f>
        <v/>
      </c>
      <c r="AD30" s="13">
        <f>IF(_epmOfflineCondition_,"单体报表",EPMMemberDesc(AD29))</f>
        <v/>
      </c>
      <c r="AE30" s="13">
        <f>IF(_epmOfflineCondition_,"单体报表",EPMMemberDesc(AE29))</f>
        <v/>
      </c>
      <c r="AF30" s="13">
        <f>IF(_epmOfflineCondition_,"单体报表",EPMMemberDesc(AF29))</f>
        <v/>
      </c>
      <c r="AG30" s="13">
        <f>IF(_epmOfflineCondition_,"单体调整",EPMMemberDesc(AG29))</f>
        <v/>
      </c>
      <c r="AH30" s="384" t="n"/>
      <c r="AI30" s="13" t="n"/>
      <c r="AJ30" s="13" t="n"/>
      <c r="AK30" s="13" t="n"/>
      <c r="AL30" s="13" t="n"/>
      <c r="AM30" s="13" t="n"/>
      <c r="AN30" s="13" t="n"/>
      <c r="AO30" s="13" t="n"/>
      <c r="AP30" s="220" t="n"/>
      <c r="AQ30" s="13" t="n"/>
      <c r="AR30" s="13" t="n"/>
    </row>
    <row r="31" hidden="1" customFormat="1" s="13">
      <c r="A31" s="13" t="n"/>
      <c r="B31" s="1103" t="n"/>
      <c r="C31" s="1103" t="n"/>
      <c r="D31" s="1103" t="n"/>
      <c r="E31" s="13" t="n"/>
      <c r="F31" s="13" t="n"/>
      <c r="G31" s="13" t="n"/>
      <c r="H31" s="13" t="n"/>
      <c r="I31" s="13" t="n"/>
      <c r="J31" s="13" t="n"/>
      <c r="K31" s="13" t="n"/>
      <c r="L31" s="13" t="n"/>
      <c r="M31" s="13" t="n"/>
      <c r="N31" s="13" t="n"/>
      <c r="O31" s="13" t="n"/>
      <c r="P31" s="13" t="n"/>
      <c r="Q31" s="13" t="n"/>
      <c r="R31" s="13" t="n"/>
      <c r="S31" s="1103" t="n"/>
      <c r="T31" s="13" t="n"/>
      <c r="U31" s="13" t="n"/>
      <c r="V31" s="13" t="n"/>
      <c r="W31" s="13" t="n"/>
      <c r="X31" s="171" t="n"/>
      <c r="Y31" s="171" t="n"/>
      <c r="Z31" s="13" t="n"/>
      <c r="AA31" s="13" t="n"/>
      <c r="AB31" s="13" t="n"/>
      <c r="AC31" s="13" t="n"/>
      <c r="AD31" s="13" t="n"/>
      <c r="AE31" s="13" t="n"/>
      <c r="AF31" s="13" t="n"/>
      <c r="AG31" s="13" t="n"/>
      <c r="AH31" s="13" t="n"/>
      <c r="AI31" s="13" t="n"/>
      <c r="AJ31" s="13" t="n"/>
      <c r="AK31" s="13" t="n"/>
      <c r="AL31" s="13" t="n"/>
      <c r="AM31" s="13" t="n"/>
      <c r="AN31" s="13" t="n"/>
      <c r="AO31" s="13" t="n"/>
      <c r="AP31" s="220" t="n"/>
      <c r="AQ31" s="13" t="n"/>
      <c r="AR31" s="13" t="n"/>
    </row>
    <row r="32" hidden="1" customFormat="1" s="13">
      <c r="A32" s="13" t="n"/>
      <c r="B32" s="1103" t="n"/>
      <c r="C32" s="1103" t="n"/>
      <c r="D32" s="1103" t="n"/>
      <c r="E32" s="13" t="n"/>
      <c r="F32" s="13" t="n"/>
      <c r="G32" s="13" t="n"/>
      <c r="H32" s="13" t="n"/>
      <c r="I32" s="13" t="n"/>
      <c r="J32" s="13" t="n"/>
      <c r="K32" s="13" t="n"/>
      <c r="L32" s="13" t="n"/>
      <c r="M32" s="13" t="n"/>
      <c r="N32" s="13" t="n"/>
      <c r="O32" s="13" t="n"/>
      <c r="P32" s="13" t="n"/>
      <c r="Q32" s="13" t="n"/>
      <c r="R32" s="13" t="n"/>
      <c r="S32" s="1103" t="n"/>
      <c r="T32" s="13" t="n"/>
      <c r="U32" s="13" t="n"/>
      <c r="V32" s="13" t="n"/>
      <c r="W32" s="13" t="n"/>
      <c r="X32" s="171" t="n"/>
      <c r="Y32" s="171" t="n"/>
      <c r="Z32" s="13" t="n"/>
      <c r="AA32" s="13" t="n"/>
      <c r="AB32" s="13" t="n"/>
      <c r="AC32" s="13" t="n"/>
      <c r="AD32" s="13" t="n"/>
      <c r="AE32" s="13" t="n"/>
      <c r="AF32" s="13" t="n"/>
      <c r="AG32" s="13" t="n"/>
      <c r="AH32" s="13" t="n"/>
      <c r="AI32" s="13" t="n"/>
      <c r="AJ32" s="13" t="n"/>
      <c r="AK32" s="13" t="n"/>
      <c r="AL32" s="13" t="n"/>
      <c r="AM32" s="13" t="n"/>
      <c r="AN32" s="13" t="n"/>
      <c r="AO32" s="13" t="n"/>
      <c r="AP32" s="220" t="n"/>
      <c r="AQ32" s="13" t="n"/>
      <c r="AR32" s="13" t="n"/>
    </row>
    <row r="33" hidden="1" customFormat="1" s="13">
      <c r="A33" s="13" t="n"/>
      <c r="B33" s="1103" t="n"/>
      <c r="C33" s="1103" t="n"/>
      <c r="D33" s="1103" t="n"/>
      <c r="E33" s="13" t="n"/>
      <c r="F33" s="13" t="n"/>
      <c r="G33" s="13" t="n"/>
      <c r="H33" s="13" t="n"/>
      <c r="I33" s="13" t="n"/>
      <c r="J33" s="13" t="n"/>
      <c r="K33" s="13" t="n"/>
      <c r="L33" s="13" t="n"/>
      <c r="M33" s="13" t="n"/>
      <c r="N33" s="13" t="n"/>
      <c r="O33" s="13" t="n"/>
      <c r="P33" s="13" t="n"/>
      <c r="Q33" s="13" t="n"/>
      <c r="R33" s="13" t="n"/>
      <c r="S33" s="1103" t="n"/>
      <c r="T33" s="13" t="n"/>
      <c r="U33" s="13" t="n"/>
      <c r="V33" s="13" t="n"/>
      <c r="W33" s="13" t="n"/>
      <c r="X33" s="171" t="n"/>
      <c r="Y33" s="171" t="n"/>
      <c r="Z33" s="13" t="n"/>
      <c r="AA33" s="13" t="n"/>
      <c r="AB33" s="13" t="n"/>
      <c r="AC33" s="13" t="n"/>
      <c r="AD33" s="13" t="n"/>
      <c r="AE33" s="13" t="n"/>
      <c r="AF33" s="13" t="n"/>
      <c r="AG33" s="13" t="n"/>
      <c r="AH33" s="13" t="n"/>
      <c r="AI33" s="13" t="n"/>
      <c r="AJ33" s="13" t="n"/>
      <c r="AK33" s="13" t="n"/>
      <c r="AL33" s="13" t="n"/>
      <c r="AM33" s="13" t="n"/>
      <c r="AN33" s="13" t="n"/>
      <c r="AO33" s="13" t="n"/>
      <c r="AP33" s="220" t="n"/>
      <c r="AQ33" s="13" t="n"/>
      <c r="AR33" s="13" t="n"/>
    </row>
    <row r="34" ht="10.5" customFormat="1" customHeight="1" s="13">
      <c r="A34" s="13" t="n"/>
      <c r="B34" s="1103" t="n"/>
      <c r="C34" s="1103" t="n"/>
      <c r="D34" s="1103" t="n"/>
      <c r="E34" s="13" t="n"/>
      <c r="F34" s="13" t="n"/>
      <c r="G34" s="13" t="n"/>
      <c r="H34" s="13" t="n"/>
      <c r="I34" s="13" t="n"/>
      <c r="J34" s="13" t="n"/>
      <c r="K34" s="13" t="n"/>
      <c r="L34" s="13" t="n"/>
      <c r="M34" s="13" t="n"/>
      <c r="N34" s="13" t="n"/>
      <c r="O34" s="13" t="n"/>
      <c r="P34" s="13" t="n"/>
      <c r="Q34" s="13" t="n"/>
      <c r="R34" s="13" t="n"/>
      <c r="S34" s="1103" t="n"/>
      <c r="T34" s="13" t="n"/>
      <c r="U34" s="13" t="n"/>
      <c r="V34" s="13" t="n"/>
      <c r="W34" s="13" t="n"/>
      <c r="X34" s="171" t="n"/>
      <c r="Y34" s="171" t="n"/>
      <c r="Z34" s="13" t="n"/>
      <c r="AA34" s="13" t="n"/>
      <c r="AB34" s="13" t="n"/>
      <c r="AC34" s="13" t="n"/>
      <c r="AD34" s="13" t="n"/>
      <c r="AE34" s="13" t="n"/>
      <c r="AF34" s="13" t="n"/>
      <c r="AG34" s="13" t="n"/>
      <c r="AH34" s="13" t="n"/>
      <c r="AI34" s="13" t="n"/>
      <c r="AJ34" s="13" t="n"/>
      <c r="AK34" s="13" t="n"/>
      <c r="AL34" s="716" t="n"/>
      <c r="AM34" s="13" t="n"/>
      <c r="AN34" s="13" t="n"/>
      <c r="AO34" s="13" t="n"/>
      <c r="AP34" s="220" t="n"/>
      <c r="AQ34" s="13" t="n"/>
      <c r="AR34" s="13" t="n"/>
    </row>
    <row r="35" ht="32.25" customHeight="1" s="1181">
      <c r="A35" s="384" t="n"/>
      <c r="B35" s="384" t="n"/>
      <c r="C35" s="384" t="n"/>
      <c r="D35" s="384" t="n"/>
      <c r="E35" s="384" t="n"/>
      <c r="F35" s="384" t="n"/>
      <c r="G35" s="384" t="n"/>
      <c r="H35" s="384" t="n"/>
      <c r="I35" s="384" t="n"/>
      <c r="J35" s="384" t="n"/>
      <c r="K35" s="384" t="n"/>
      <c r="L35" s="384" t="n"/>
      <c r="M35" s="384" t="n"/>
      <c r="N35" s="384" t="n"/>
      <c r="O35" s="384" t="n"/>
      <c r="P35" s="384" t="n"/>
      <c r="Q35" s="384" t="n"/>
      <c r="R35" s="384" t="n"/>
      <c r="S35" s="32" t="n"/>
      <c r="T35" s="384" t="n"/>
      <c r="U35" s="384" t="n"/>
      <c r="V35" s="384" t="n"/>
      <c r="W35" s="384" t="n"/>
      <c r="X35" s="38" t="n"/>
      <c r="Y35" s="38" t="n"/>
      <c r="Z35" s="465" t="inlineStr">
        <is>
          <t>资产负债主要指标表</t>
        </is>
      </c>
      <c r="AA35" s="384" t="n"/>
      <c r="AB35" s="384" t="n"/>
      <c r="AC35" s="384" t="n"/>
      <c r="AD35" s="384" t="n"/>
      <c r="AE35" s="465" t="n"/>
      <c r="AF35" s="384" t="n"/>
      <c r="AG35" s="384" t="n"/>
      <c r="AH35" s="384" t="n"/>
      <c r="AI35" s="384" t="n"/>
      <c r="AJ35" s="384" t="n"/>
      <c r="AK35" s="384" t="n"/>
      <c r="AL35" s="384" t="n"/>
      <c r="AM35" s="384" t="n"/>
      <c r="AN35" s="384" t="n"/>
      <c r="AO35" s="384" t="n"/>
      <c r="AP35" s="384" t="n"/>
      <c r="AQ35" s="384" t="n"/>
      <c r="AR35" s="384" t="n"/>
    </row>
    <row r="36" ht="15.2" customFormat="1" customHeight="1" s="716">
      <c r="A36" s="716" t="n"/>
      <c r="B36" s="716" t="n"/>
      <c r="C36" s="716" t="n"/>
      <c r="D36" s="716" t="n"/>
      <c r="E36" s="716" t="n"/>
      <c r="F36" s="716" t="n"/>
      <c r="G36" s="716" t="n"/>
      <c r="H36" s="716" t="n"/>
      <c r="I36" s="716" t="n"/>
      <c r="J36" s="716" t="n"/>
      <c r="K36" s="716" t="n"/>
      <c r="L36" s="716" t="n"/>
      <c r="M36" s="716" t="n"/>
      <c r="N36" s="716" t="n"/>
      <c r="O36" s="716" t="n"/>
      <c r="P36" s="716" t="n"/>
      <c r="Q36" s="716" t="n"/>
      <c r="R36" s="716" t="n"/>
      <c r="S36" s="462" t="n"/>
      <c r="T36" s="716" t="n"/>
      <c r="U36" s="716" t="n"/>
      <c r="V36" s="716" t="n"/>
      <c r="W36" s="716" t="n"/>
      <c r="X36" s="190">
        <f>IF(_epmOfflineCondition_,"编制单位：内蒙古京能苏尼特风力发电有限公司（内蒙古分公司）","编制单位："&amp;EPMMemberDesc($D$6))</f>
        <v/>
      </c>
      <c r="Y36" s="190" t="n"/>
      <c r="Z36" s="716" t="n"/>
      <c r="AA36" s="203" t="n"/>
      <c r="AB36" s="203" t="n"/>
      <c r="AC36" s="716" t="n"/>
      <c r="AD36" s="716" t="n"/>
      <c r="AE36" s="716" t="n"/>
      <c r="AF36" s="716" t="n"/>
      <c r="AG36" s="716" t="n"/>
      <c r="AH36" s="716" t="n"/>
      <c r="AI36" s="716" t="n"/>
      <c r="AJ36" s="716" t="n"/>
      <c r="AK36" s="716" t="n"/>
      <c r="AL36" s="716" t="n"/>
      <c r="AM36" s="716" t="n"/>
      <c r="AN36" s="716" t="n"/>
      <c r="AO36" s="716" t="n"/>
      <c r="AP36" s="716" t="n"/>
      <c r="AQ36" s="716" t="n"/>
      <c r="AR36" s="716" t="n"/>
    </row>
    <row r="37" ht="15.2" customFormat="1" customHeight="1" s="716">
      <c r="A37" s="716" t="n"/>
      <c r="B37" s="716" t="n"/>
      <c r="C37" s="716" t="n"/>
      <c r="D37" s="716" t="n"/>
      <c r="E37" s="716" t="n"/>
      <c r="F37" s="716" t="n"/>
      <c r="G37" s="716" t="n"/>
      <c r="H37" s="716" t="n"/>
      <c r="I37" s="716" t="n"/>
      <c r="J37" s="716" t="n"/>
      <c r="K37" s="716" t="n"/>
      <c r="L37" s="716" t="n"/>
      <c r="M37" s="716" t="n"/>
      <c r="N37" s="716" t="n"/>
      <c r="O37" s="716" t="n"/>
      <c r="P37" s="716" t="n"/>
      <c r="Q37" s="716" t="n"/>
      <c r="R37" s="716" t="n"/>
      <c r="S37" s="462" t="n"/>
      <c r="T37" s="716" t="n"/>
      <c r="U37" s="716" t="n"/>
      <c r="V37" s="716" t="n"/>
      <c r="W37" s="716" t="n"/>
      <c r="X37" s="190">
        <f>"编制月份："&amp;$I$3&amp;"年"&amp;$I$8&amp;"月"</f>
        <v/>
      </c>
      <c r="Y37" s="190" t="n"/>
      <c r="Z37" s="716" t="n"/>
      <c r="AA37" s="203" t="n"/>
      <c r="AB37" s="203" t="n"/>
      <c r="AC37" s="223" t="inlineStr">
        <is>
          <t>金额单位：元</t>
        </is>
      </c>
      <c r="AD37" s="716" t="n"/>
      <c r="AE37" s="716" t="n"/>
      <c r="AF37" s="716" t="n"/>
      <c r="AG37" s="716" t="n"/>
      <c r="AH37" s="716" t="n"/>
      <c r="AI37" s="716" t="n"/>
      <c r="AJ37" s="716" t="n"/>
      <c r="AK37" s="716" t="n"/>
      <c r="AL37" s="716" t="n"/>
      <c r="AM37" s="716" t="n"/>
      <c r="AN37" s="716" t="n"/>
      <c r="AO37" s="716" t="n"/>
      <c r="AP37" s="716" t="n"/>
      <c r="AQ37" s="716" t="n"/>
      <c r="AR37" s="716" t="n"/>
    </row>
    <row r="38" ht="16" customFormat="1" customHeight="1" s="716">
      <c r="A38" s="716" t="n"/>
      <c r="B38" s="716" t="n"/>
      <c r="C38" s="716" t="n"/>
      <c r="D38" s="716" t="n"/>
      <c r="E38" s="716" t="n"/>
      <c r="F38" s="716" t="n"/>
      <c r="G38" s="716" t="n"/>
      <c r="H38" s="716" t="n"/>
      <c r="I38" s="716" t="n"/>
      <c r="J38" s="716" t="n"/>
      <c r="K38" s="716" t="n"/>
      <c r="L38" s="716" t="n"/>
      <c r="M38" s="716" t="n"/>
      <c r="N38" s="716" t="n"/>
      <c r="O38" s="716" t="n"/>
      <c r="P38" s="716" t="n"/>
      <c r="Q38" s="716" t="n"/>
      <c r="R38" s="716" t="n"/>
      <c r="S38" s="462" t="n"/>
      <c r="T38" s="716" t="n"/>
      <c r="U38" s="716" t="n"/>
      <c r="V38" s="716" t="n"/>
      <c r="W38" s="716" t="n"/>
      <c r="X38" s="450" t="inlineStr">
        <is>
          <t>项        目</t>
        </is>
      </c>
      <c r="Y38" s="450" t="inlineStr">
        <is>
          <t>行次</t>
        </is>
      </c>
      <c r="Z38" s="466" t="inlineStr">
        <is>
          <t>本月数</t>
        </is>
      </c>
      <c r="AA38" s="467" t="inlineStr">
        <is>
          <t>本年累计</t>
        </is>
      </c>
      <c r="AB38" s="467" t="inlineStr">
        <is>
          <t>本年累计</t>
        </is>
      </c>
      <c r="AC38" s="467" t="inlineStr">
        <is>
          <t>上年同期累计</t>
        </is>
      </c>
      <c r="AD38" s="716" t="n"/>
      <c r="AE38" s="716" t="n"/>
      <c r="AF38" s="716" t="n"/>
      <c r="AG38" s="716" t="n"/>
      <c r="AH38" s="716" t="n"/>
      <c r="AI38" s="716" t="n"/>
      <c r="AJ38" s="716" t="n"/>
      <c r="AK38" s="716" t="n"/>
      <c r="AL38" s="716" t="n"/>
      <c r="AM38" s="716" t="n"/>
      <c r="AN38" s="716" t="n"/>
      <c r="AO38" s="716" t="n"/>
      <c r="AP38" s="716" t="n"/>
      <c r="AQ38" s="716" t="n"/>
      <c r="AR38" s="716" t="n"/>
    </row>
    <row r="39" hidden="1" ht="14.25" customFormat="1" customHeight="1" s="24">
      <c r="A39" s="24" t="n"/>
      <c r="B39" s="24" t="n"/>
      <c r="C39" s="24" t="n"/>
      <c r="D39" s="24" t="n"/>
      <c r="E39" s="24" t="n"/>
      <c r="F39" s="24" t="n"/>
      <c r="G39" s="24" t="n"/>
      <c r="H39" s="24" t="n"/>
      <c r="I39" s="24" t="n"/>
      <c r="J39" s="24" t="n"/>
      <c r="K39" s="24" t="n"/>
      <c r="L39" s="24" t="n"/>
      <c r="M39" s="24" t="n"/>
      <c r="N39" s="24" t="n"/>
      <c r="O39" s="24" t="n"/>
      <c r="P39" s="24" t="n"/>
      <c r="Q39" s="24" t="n"/>
      <c r="R39" s="24" t="n"/>
      <c r="S39" s="24" t="n"/>
      <c r="T39" s="24" t="n"/>
      <c r="U39" s="24" t="n"/>
      <c r="V39" s="24" t="n"/>
      <c r="W39" s="24" t="n"/>
      <c r="X39" s="451" t="inlineStr">
        <is>
          <t>time</t>
        </is>
      </c>
      <c r="Y39" s="726" t="n"/>
      <c r="Z39" s="469">
        <f>IF(_epmOfflineCondition_,"2025.03",EPMOlapMemberO(I11,"[C_TIME].[PARENTH1].[2025.03]","2025.03 - 2025.03","","000"))</f>
        <v/>
      </c>
      <c r="AA39" s="469">
        <f>IF(_epmOfflineCondition_,"2025.03",EPMOlapMemberO(I11,"[C_TIME].[PARENTH1].[2025.03]","2025.03 - 2025.03","","000"))</f>
        <v/>
      </c>
      <c r="AB39" s="469">
        <f>IF(_epmOfflineCondition_,"2025.03",EPMOlapMemberO(I11,"[C_TIME].[PARENTH1].[2025.03]","2025.03 - 2025.03","","000"))</f>
        <v/>
      </c>
      <c r="AC39" s="469">
        <f>IF(_epmOfflineCondition_,"2024.03",EPMOlapMemberO(I13,"[C_TIME].[PARENTH1].[2024.03]","2024.03 - 2024.03","","000"))</f>
        <v/>
      </c>
      <c r="AD39" s="716" t="n"/>
      <c r="AE39" s="462" t="n"/>
      <c r="AF39" s="462" t="n"/>
      <c r="AG39" s="462" t="n"/>
      <c r="AH39" s="462" t="n"/>
      <c r="AI39" s="462" t="n"/>
      <c r="AJ39" s="462" t="n"/>
      <c r="AK39" s="462" t="n"/>
      <c r="AL39" s="24" t="n"/>
      <c r="AM39" s="24" t="n"/>
      <c r="AN39" s="24" t="n"/>
      <c r="AO39" s="24" t="n"/>
      <c r="AP39" s="24" t="n"/>
      <c r="AQ39" s="24" t="n"/>
      <c r="AR39" s="24" t="n"/>
    </row>
    <row r="40" hidden="1" ht="14.25" customFormat="1" customHeight="1" s="716">
      <c r="A40" s="716" t="n"/>
      <c r="B40" s="716" t="n"/>
      <c r="C40" s="716" t="n"/>
      <c r="D40" s="716" t="n"/>
      <c r="E40" s="716" t="n"/>
      <c r="F40" s="716" t="n"/>
      <c r="G40" s="716" t="n"/>
      <c r="H40" s="716" t="n"/>
      <c r="I40" s="716" t="n"/>
      <c r="J40" s="716" t="n"/>
      <c r="K40" s="716" t="n"/>
      <c r="L40" s="716" t="n"/>
      <c r="M40" s="716" t="n"/>
      <c r="N40" s="716" t="n"/>
      <c r="O40" s="716" t="n"/>
      <c r="P40" s="716" t="n"/>
      <c r="Q40" s="716" t="n"/>
      <c r="R40" s="716" t="n"/>
      <c r="S40" s="462" t="n"/>
      <c r="T40" s="716" t="n"/>
      <c r="U40" s="716" t="n"/>
      <c r="V40" s="716" t="n"/>
      <c r="W40" s="716" t="n"/>
      <c r="X40" s="451" t="inlineStr">
        <is>
          <t>category</t>
        </is>
      </c>
      <c r="Y40" s="451" t="n"/>
      <c r="Z40" s="182">
        <f>IF(_epmOfflineCondition_,"C1001",EPMOlapMemberO($AC$25,"[C_CATEGORY].[PARENTH1].[C1001]","C1001 - 实际数/决算数","","000"))</f>
        <v/>
      </c>
      <c r="AA40" s="182">
        <f>IF(_epmOfflineCondition_,"C1001",EPMOlapMemberO($AC$25,"[C_CATEGORY].[PARENTH1].[C1001]","C1001 - 实际数/决算数","","000"))</f>
        <v/>
      </c>
      <c r="AB40" s="182">
        <f>IF(_epmOfflineCondition_,"C1001",EPMOlapMemberO($AC$25,"[C_CATEGORY].[PARENTH1].[C1001]","C1001 - 实际数/决算数","","000"))</f>
        <v/>
      </c>
      <c r="AC40" s="182">
        <f>IF(_epmOfflineCondition_,"C1001",EPMOlapMemberO($AC$25,"[C_CATEGORY].[PARENTH1].[C1001]","C1001 - 实际数/决算数","","000"))</f>
        <v/>
      </c>
      <c r="AD40" s="716" t="n"/>
      <c r="AE40" s="716" t="n"/>
      <c r="AF40" s="716" t="n"/>
      <c r="AG40" s="716" t="n"/>
      <c r="AH40" s="716" t="n"/>
      <c r="AI40" s="716" t="n"/>
      <c r="AJ40" s="716" t="n"/>
      <c r="AK40" s="716" t="n"/>
      <c r="AL40" s="716" t="n"/>
      <c r="AM40" s="716" t="n"/>
      <c r="AN40" s="716" t="n"/>
      <c r="AO40" s="716" t="n"/>
      <c r="AP40" s="716" t="n"/>
      <c r="AQ40" s="716" t="n"/>
      <c r="AR40" s="716" t="n"/>
    </row>
    <row r="41" hidden="1" ht="13.5" customFormat="1" customHeight="1" s="716">
      <c r="A41" s="716" t="n"/>
      <c r="B41" s="716" t="n"/>
      <c r="C41" s="716" t="n"/>
      <c r="D41" s="716" t="n"/>
      <c r="E41" s="716" t="n"/>
      <c r="F41" s="716" t="n"/>
      <c r="G41" s="716" t="n"/>
      <c r="H41" s="716" t="n"/>
      <c r="I41" s="716" t="n"/>
      <c r="J41" s="716" t="n"/>
      <c r="K41" s="716" t="n"/>
      <c r="L41" s="716" t="n"/>
      <c r="M41" s="716" t="n"/>
      <c r="N41" s="716" t="n"/>
      <c r="O41" s="716" t="n"/>
      <c r="P41" s="716" t="n"/>
      <c r="Q41" s="716" t="n"/>
      <c r="R41" s="716" t="n"/>
      <c r="S41" s="462" t="n"/>
      <c r="T41" s="716" t="n"/>
      <c r="U41" s="716" t="n"/>
      <c r="V41" s="716" t="n"/>
      <c r="W41" s="716" t="n"/>
      <c r="X41" s="451" t="inlineStr">
        <is>
          <t>AUDITTRAIL</t>
        </is>
      </c>
      <c r="Y41" s="451" t="n"/>
      <c r="Z41" s="182">
        <f>IF(_epmOfflineCondition_,"DLC_BK",EPMOlapMemberO($AA$29,"[C_AUDITTRAIL].[PARENTH1].[DLC_BK]","DLC_BK - 单体账面","","000"))</f>
        <v/>
      </c>
      <c r="AA41" s="182">
        <f>IF(_epmOfflineCondition_,"DLC",EPMOlapMemberO($AD$29,"[C_AUDITTRAIL].[PARENTH1].[DLC]","DLC - 单体报表","","000"))</f>
        <v/>
      </c>
      <c r="AB41" s="182">
        <f>IF(_epmOfflineCondition_,"D1003",EPMOlapMemberO($AB$29,"[C_AUDITTRAIL].[PARENTH1].[D1003]","D1003 - 手工报表导入_正常期间","","000"))</f>
        <v/>
      </c>
      <c r="AC41" s="182">
        <f>IF(_epmOfflineCondition_,"DLC",EPMOlapMemberO($AD$29,"[C_AUDITTRAIL].[PARENTH1].[DLC]","DLC - 单体报表","","000"))</f>
        <v/>
      </c>
      <c r="AD41" s="716" t="n"/>
      <c r="AE41" s="716" t="n"/>
      <c r="AF41" s="716" t="n"/>
      <c r="AG41" s="716" t="n"/>
      <c r="AH41" s="716" t="n"/>
      <c r="AI41" s="716" t="n"/>
      <c r="AJ41" s="716" t="n"/>
      <c r="AK41" s="716" t="n"/>
      <c r="AL41" s="716" t="n"/>
      <c r="AM41" s="716" t="n"/>
      <c r="AN41" s="716" t="n"/>
      <c r="AO41" s="716" t="n"/>
      <c r="AP41" s="716" t="n"/>
      <c r="AQ41" s="716" t="n"/>
      <c r="AR41" s="716" t="n"/>
    </row>
    <row r="42" hidden="1" ht="13.5" customFormat="1" customHeight="1" s="716">
      <c r="A42" s="716" t="n"/>
      <c r="B42" s="716" t="n"/>
      <c r="C42" s="716" t="n"/>
      <c r="D42" s="716" t="n"/>
      <c r="E42" s="716" t="n"/>
      <c r="F42" s="716" t="n"/>
      <c r="G42" s="716" t="n"/>
      <c r="H42" s="716" t="n"/>
      <c r="I42" s="716" t="n"/>
      <c r="J42" s="716" t="n"/>
      <c r="K42" s="716" t="n"/>
      <c r="L42" s="716" t="n"/>
      <c r="M42" s="716" t="n"/>
      <c r="N42" s="716" t="n"/>
      <c r="O42" s="716" t="n"/>
      <c r="P42" s="716" t="n"/>
      <c r="Q42" s="716" t="n"/>
      <c r="R42" s="716" t="n"/>
      <c r="S42" s="462" t="n"/>
      <c r="T42" s="716" t="n"/>
      <c r="U42" s="716" t="n"/>
      <c r="V42" s="452" t="n"/>
      <c r="W42" s="716" t="n"/>
      <c r="X42" s="451" t="inlineStr">
        <is>
          <t>flow</t>
        </is>
      </c>
      <c r="Y42" s="451" t="n"/>
      <c r="Z42" s="182">
        <f>IF(_epmOfflineCondition_,"FMOV",EPMOlapMemberO($AG$28,"[C_FLOW].[PARENTH1].[FMOV]","FMOV - 本期变动","","000"))</f>
        <v/>
      </c>
      <c r="AA42" s="182">
        <f>IF(_epmOfflineCondition_,"FEND",EPMOlapMemberO($AF$28,"[C_FLOW].[PARENTH1].[FEND]","FEND - 期末金额","","000"))</f>
        <v/>
      </c>
      <c r="AB42" s="182">
        <f>IF(_epmOfflineCondition_,"FEND",EPMOlapMemberO($AF$28,"[C_FLOW].[PARENTH1].[FEND]","FEND - 期末金额","","000"))</f>
        <v/>
      </c>
      <c r="AC42" s="182">
        <f>IF(_epmOfflineCondition_,"FEND",EPMOlapMemberO($AF$28,"[C_FLOW].[PARENTH1].[FEND]","FEND - 期末金额","","000"))</f>
        <v/>
      </c>
      <c r="AD42" s="716" t="n"/>
      <c r="AE42" s="716" t="n"/>
      <c r="AF42" s="716" t="n"/>
      <c r="AG42" s="716" t="n"/>
      <c r="AH42" s="716" t="n"/>
      <c r="AI42" s="716" t="n"/>
      <c r="AJ42" s="716" t="n"/>
      <c r="AK42" s="716" t="n"/>
      <c r="AL42" s="716" t="n"/>
      <c r="AM42" s="716" t="n"/>
      <c r="AN42" s="716" t="n"/>
      <c r="AO42" s="716" t="n"/>
      <c r="AP42" s="716" t="n"/>
      <c r="AQ42" s="716" t="n"/>
      <c r="AR42" s="716" t="n"/>
    </row>
    <row r="43" hidden="1" ht="13.5" customFormat="1" customHeight="1" s="716">
      <c r="A43" s="716" t="n"/>
      <c r="B43" s="716" t="n"/>
      <c r="C43" s="716" t="n"/>
      <c r="D43" s="716" t="n"/>
      <c r="E43" s="716" t="n"/>
      <c r="F43" s="716" t="n"/>
      <c r="G43" s="716" t="n"/>
      <c r="H43" s="716" t="n"/>
      <c r="I43" s="716" t="n"/>
      <c r="J43" s="716" t="n"/>
      <c r="K43" s="716" t="n"/>
      <c r="L43" s="716" t="n"/>
      <c r="M43" s="716" t="n"/>
      <c r="N43" s="716" t="n"/>
      <c r="O43" s="716" t="n"/>
      <c r="P43" s="716" t="n"/>
      <c r="Q43" s="716" t="n"/>
      <c r="R43" s="716" t="n"/>
      <c r="S43" s="462" t="n"/>
      <c r="T43" s="716" t="n"/>
      <c r="U43" s="716" t="n"/>
      <c r="V43" s="716" t="n"/>
      <c r="W43" s="716" t="n"/>
      <c r="X43" s="451" t="inlineStr">
        <is>
          <t>measures</t>
        </is>
      </c>
      <c r="Y43" s="451" t="n"/>
      <c r="Z43" s="182">
        <f>IF(_epmOfflineCondition_,"Periodic",EPMOlapMemberO($AD$27,"[MEASURES].[].[PERIODIC]","PERIODIC - Periodic","","000"))</f>
        <v/>
      </c>
      <c r="AA43" s="182">
        <f>IF(_epmOfflineCondition_,"YTD",EPMOlapMemberO($AC$27,"[MEASURES].[].[YTD]","YTD - Year To Date","","000"))</f>
        <v/>
      </c>
      <c r="AB43" s="182">
        <f>IF(_epmOfflineCondition_,"YTD",EPMOlapMemberO($AC$27,"[MEASURES].[].[YTD]","YTD - Year To Date","","000"))</f>
        <v/>
      </c>
      <c r="AC43" s="182">
        <f>IF(_epmOfflineCondition_,"YTD",EPMOlapMemberO($AC$27,"[MEASURES].[].[YTD]","YTD - Year To Date","","000"))</f>
        <v/>
      </c>
      <c r="AD43" s="716" t="n"/>
      <c r="AE43" s="716" t="n"/>
      <c r="AF43" s="716" t="n"/>
      <c r="AG43" s="716" t="n"/>
      <c r="AH43" s="716" t="n"/>
      <c r="AI43" s="716" t="n"/>
      <c r="AJ43" s="716" t="n"/>
      <c r="AK43" s="716" t="n"/>
      <c r="AL43" s="716" t="n"/>
      <c r="AM43" s="716" t="n"/>
      <c r="AN43" s="716" t="n"/>
      <c r="AO43" s="716" t="n"/>
      <c r="AP43" s="716" t="n"/>
      <c r="AQ43" s="716" t="n"/>
      <c r="AR43" s="716" t="n"/>
    </row>
    <row r="44" ht="16.35" customFormat="1" customHeight="1" s="716">
      <c r="A44" s="716" t="n"/>
      <c r="B44" s="716" t="n"/>
      <c r="C44" s="716" t="n"/>
      <c r="D44" s="716" t="n"/>
      <c r="E44" s="716" t="n"/>
      <c r="F44" s="716" t="n"/>
      <c r="G44" s="716" t="n"/>
      <c r="H44" s="716" t="n"/>
      <c r="I44" s="716" t="n"/>
      <c r="J44" s="716" t="n"/>
      <c r="K44" s="716" t="n"/>
      <c r="L44" s="716" t="n"/>
      <c r="M44" s="716" t="n"/>
      <c r="N44" s="716" t="n"/>
      <c r="O44" s="716" t="n"/>
      <c r="P44" s="716" t="n"/>
      <c r="Q44" s="716" t="n"/>
      <c r="R44" s="716" t="n"/>
      <c r="S44" s="462">
        <f>IF(_epmOfflineCondition_,"",EPMMemberDesc(U44))</f>
        <v/>
      </c>
      <c r="T44" s="716" t="n"/>
      <c r="U44" s="716" t="n"/>
      <c r="V44" s="459" t="n"/>
      <c r="W44" s="462" t="n"/>
      <c r="X44" s="454" t="inlineStr">
        <is>
          <t>一、资产负债表指标</t>
        </is>
      </c>
      <c r="Y44" s="1396" t="inlineStr">
        <is>
          <t>-</t>
        </is>
      </c>
      <c r="Z44" s="1397" t="inlineStr">
        <is>
          <t xml:space="preserve"> —— </t>
        </is>
      </c>
      <c r="AA44" s="1394" t="inlineStr">
        <is>
          <t xml:space="preserve"> —— </t>
        </is>
      </c>
      <c r="AB44" s="1394">
        <f>AA44</f>
        <v/>
      </c>
      <c r="AC44" s="1397" t="inlineStr">
        <is>
          <t xml:space="preserve"> —— </t>
        </is>
      </c>
      <c r="AD44" s="716" t="n"/>
      <c r="AE44" s="716" t="n"/>
      <c r="AF44" s="716" t="n"/>
      <c r="AG44" s="716" t="n"/>
      <c r="AH44" s="716" t="n"/>
      <c r="AI44" s="716" t="n"/>
      <c r="AJ44" s="716" t="n"/>
      <c r="AK44" s="716" t="n"/>
      <c r="AL44" s="716" t="n"/>
      <c r="AM44" s="716" t="n"/>
      <c r="AN44" s="716" t="n"/>
      <c r="AO44" s="716" t="n"/>
      <c r="AP44" s="716" t="n"/>
      <c r="AQ44" s="716" t="n"/>
      <c r="AR44" s="716" t="n"/>
    </row>
    <row r="45" ht="16.35" customFormat="1" customHeight="1" s="716">
      <c r="A45" s="716" t="n"/>
      <c r="B45" s="716" t="n"/>
      <c r="C45" s="716" t="n"/>
      <c r="D45" s="716" t="n"/>
      <c r="E45" s="716" t="n"/>
      <c r="F45" s="716" t="n"/>
      <c r="G45" s="716" t="n"/>
      <c r="H45" s="716" t="n"/>
      <c r="I45" s="716" t="n"/>
      <c r="J45" s="716" t="n"/>
      <c r="K45" s="716" t="n"/>
      <c r="L45" s="716" t="n"/>
      <c r="M45" s="716" t="n"/>
      <c r="N45" s="716" t="n"/>
      <c r="O45" s="716" t="n"/>
      <c r="P45" s="716" t="n"/>
      <c r="Q45" s="716" t="n"/>
      <c r="R45" s="716" t="n"/>
      <c r="S45" s="462">
        <f>IF(_epmOfflineCondition_,"　       流动资产合计",EPMMemberDesc(U45))</f>
        <v/>
      </c>
      <c r="T45" s="716" t="n"/>
      <c r="U45" s="716" t="inlineStr">
        <is>
          <t>A0010101</t>
        </is>
      </c>
      <c r="V45" s="455">
        <f>IF(_epmOfflineCondition_,"A0010101",EPMOlapMemberO(U45,"[C_ACCOUNT].[PARENTH1].[A0010101]","A0010101 - 　       流动资产合计","","000"))</f>
        <v/>
      </c>
      <c r="W45" s="462" t="n"/>
      <c r="X45" s="454" t="inlineStr">
        <is>
          <t>流动资产合计</t>
        </is>
      </c>
      <c r="Y45" s="1396" t="inlineStr"/>
      <c r="Z45" s="1189" t="inlineStr"/>
      <c r="AA45" s="1190" t="inlineStr"/>
      <c r="AB45" s="1190">
        <f>AA45</f>
        <v/>
      </c>
      <c r="AC45" s="1189" t="inlineStr"/>
      <c r="AD45" s="716" t="n"/>
      <c r="AE45" s="716" t="n"/>
      <c r="AF45" s="716" t="n"/>
      <c r="AG45" s="716" t="n"/>
      <c r="AH45" s="716" t="n"/>
      <c r="AI45" s="716" t="n"/>
      <c r="AJ45" s="716" t="n"/>
      <c r="AK45" s="716" t="n"/>
      <c r="AL45" s="716" t="n"/>
      <c r="AM45" s="716" t="n"/>
      <c r="AN45" s="716" t="n"/>
      <c r="AO45" s="716" t="n"/>
      <c r="AP45" s="716" t="n"/>
      <c r="AQ45" s="716" t="n"/>
      <c r="AR45" s="716" t="n"/>
    </row>
    <row r="46" ht="16.35" customFormat="1" customHeight="1" s="716">
      <c r="A46" s="716" t="n"/>
      <c r="B46" s="716" t="n"/>
      <c r="C46" s="716" t="n"/>
      <c r="D46" s="716" t="n"/>
      <c r="E46" s="716" t="n"/>
      <c r="F46" s="716" t="n"/>
      <c r="G46" s="716" t="n"/>
      <c r="H46" s="716" t="n"/>
      <c r="I46" s="716" t="n"/>
      <c r="J46" s="716" t="n"/>
      <c r="K46" s="716" t="n"/>
      <c r="L46" s="716" t="n"/>
      <c r="M46" s="716" t="n"/>
      <c r="N46" s="716" t="n"/>
      <c r="O46" s="716" t="n"/>
      <c r="P46" s="716" t="n"/>
      <c r="Q46" s="716" t="n"/>
      <c r="R46" s="716" t="n"/>
      <c r="S46" s="462">
        <f>IF(_epmOfflineCondition_,"  货币资金",EPMMemberDesc(U46))</f>
        <v/>
      </c>
      <c r="T46" s="716" t="n"/>
      <c r="U46" s="716" t="inlineStr">
        <is>
          <t>A001010101</t>
        </is>
      </c>
      <c r="V46" s="535">
        <f>IF(_epmOfflineCondition_,"A001010101",EPMOlapMemberO(U46,"[C_ACCOUNT].[PARENTH1].[A001010101]","A001010101 -   货币资金","","000"))</f>
        <v/>
      </c>
      <c r="W46" s="462" t="n"/>
      <c r="X46" s="457" t="inlineStr">
        <is>
          <t>其中：货币资金</t>
        </is>
      </c>
      <c r="Y46" s="1396" t="inlineStr"/>
      <c r="Z46" s="1189" t="inlineStr"/>
      <c r="AA46" s="1190" t="inlineStr"/>
      <c r="AB46" s="1190">
        <f>AA46</f>
        <v/>
      </c>
      <c r="AC46" s="1189" t="inlineStr"/>
      <c r="AD46" s="716" t="n"/>
      <c r="AE46" s="716" t="n"/>
      <c r="AF46" s="716" t="n"/>
      <c r="AG46" s="716" t="n"/>
      <c r="AH46" s="716" t="n"/>
      <c r="AI46" s="716" t="n"/>
      <c r="AJ46" s="716" t="n"/>
      <c r="AK46" s="716" t="n"/>
      <c r="AL46" s="716" t="n"/>
      <c r="AM46" s="716" t="n"/>
      <c r="AN46" s="716" t="n"/>
      <c r="AO46" s="716" t="n"/>
      <c r="AP46" s="716" t="n"/>
      <c r="AQ46" s="716" t="n"/>
      <c r="AR46" s="716" t="n"/>
    </row>
    <row r="47" ht="16.35" customFormat="1" customHeight="1" s="716">
      <c r="A47" s="716" t="n"/>
      <c r="B47" s="716" t="n"/>
      <c r="C47" s="716" t="n"/>
      <c r="D47" s="716" t="n"/>
      <c r="E47" s="716" t="n"/>
      <c r="F47" s="716" t="n"/>
      <c r="G47" s="716" t="n"/>
      <c r="H47" s="716" t="n"/>
      <c r="I47" s="716" t="n"/>
      <c r="J47" s="716" t="n"/>
      <c r="K47" s="716" t="n"/>
      <c r="L47" s="716" t="n"/>
      <c r="M47" s="716" t="n"/>
      <c r="N47" s="716" t="n"/>
      <c r="O47" s="716" t="n"/>
      <c r="P47" s="716" t="n"/>
      <c r="Q47" s="716" t="n"/>
      <c r="R47" s="716" t="n"/>
      <c r="S47" s="462">
        <f>IF(_epmOfflineCondition_,"  应收票据",EPMMemberDesc(U47))</f>
        <v/>
      </c>
      <c r="T47" s="716" t="n"/>
      <c r="U47" s="716" t="inlineStr">
        <is>
          <t>A001010106</t>
        </is>
      </c>
      <c r="V47" s="535">
        <f>IF(_epmOfflineCondition_,"A001010106",EPMOlapMemberO(U47,"[C_ACCOUNT].[PARENTH1].[A001010106]","A001010106 -   应收票据","","000"))</f>
        <v/>
      </c>
      <c r="W47" s="462" t="n"/>
      <c r="X47" s="458" t="inlineStr">
        <is>
          <t>应收票据</t>
        </is>
      </c>
      <c r="Y47" s="1396" t="inlineStr"/>
      <c r="Z47" s="1189" t="n"/>
      <c r="AA47" s="1190" t="n"/>
      <c r="AB47" s="1190">
        <f>AA47</f>
        <v/>
      </c>
      <c r="AC47" s="1189" t="n"/>
      <c r="AD47" s="716" t="n"/>
      <c r="AE47" s="716" t="n"/>
      <c r="AF47" s="716" t="n"/>
      <c r="AG47" s="716" t="n"/>
      <c r="AH47" s="716" t="n"/>
      <c r="AI47" s="716" t="n"/>
      <c r="AJ47" s="716" t="n"/>
      <c r="AK47" s="716" t="n"/>
      <c r="AL47" s="716" t="n"/>
      <c r="AM47" s="716" t="n"/>
      <c r="AN47" s="716" t="n"/>
      <c r="AO47" s="716" t="n"/>
      <c r="AP47" s="716" t="n"/>
      <c r="AQ47" s="716" t="n"/>
      <c r="AR47" s="716" t="n"/>
    </row>
    <row r="48" ht="16.35" customFormat="1" customHeight="1" s="716">
      <c r="A48" s="716" t="n"/>
      <c r="B48" s="716" t="n"/>
      <c r="C48" s="716" t="n"/>
      <c r="D48" s="716" t="n"/>
      <c r="E48" s="716" t="n"/>
      <c r="F48" s="716" t="n"/>
      <c r="G48" s="716" t="n"/>
      <c r="H48" s="716" t="n"/>
      <c r="I48" s="716" t="n"/>
      <c r="J48" s="716" t="n"/>
      <c r="K48" s="716" t="n"/>
      <c r="L48" s="716" t="n"/>
      <c r="M48" s="716" t="n"/>
      <c r="N48" s="716" t="n"/>
      <c r="O48" s="716" t="n"/>
      <c r="P48" s="716" t="n"/>
      <c r="Q48" s="716" t="n"/>
      <c r="R48" s="716" t="n"/>
      <c r="S48" s="462">
        <f>IF(_epmOfflineCondition_,"  应收账款",EPMMemberDesc(U48))</f>
        <v/>
      </c>
      <c r="T48" s="716" t="n"/>
      <c r="U48" s="716" t="inlineStr">
        <is>
          <t>A001010107</t>
        </is>
      </c>
      <c r="V48" s="535">
        <f>IF(_epmOfflineCondition_,"A001010107",EPMOlapMemberO(U48,"[C_ACCOUNT].[PARENTH1].[A001010107]","A001010107 -   应收账款","","000"))</f>
        <v/>
      </c>
      <c r="W48" s="462" t="n"/>
      <c r="X48" s="458" t="inlineStr">
        <is>
          <t>应收账款</t>
        </is>
      </c>
      <c r="Y48" s="1396" t="inlineStr"/>
      <c r="Z48" s="1189" t="inlineStr"/>
      <c r="AA48" s="1190" t="inlineStr"/>
      <c r="AB48" s="1190">
        <f>AA48</f>
        <v/>
      </c>
      <c r="AC48" s="1189" t="inlineStr"/>
      <c r="AD48" s="716" t="n"/>
      <c r="AE48" s="716" t="n"/>
      <c r="AF48" s="716" t="n"/>
      <c r="AG48" s="716" t="n"/>
      <c r="AH48" s="716" t="n"/>
      <c r="AI48" s="716" t="n"/>
      <c r="AJ48" s="716" t="n"/>
      <c r="AK48" s="716" t="n"/>
      <c r="AL48" s="716" t="n"/>
      <c r="AM48" s="716" t="n"/>
      <c r="AN48" s="716" t="n"/>
      <c r="AO48" s="716" t="n"/>
      <c r="AP48" s="716" t="n"/>
      <c r="AQ48" s="716" t="n"/>
      <c r="AR48" s="716" t="n"/>
    </row>
    <row r="49" ht="16.35" customFormat="1" customHeight="1" s="716">
      <c r="A49" s="716" t="n"/>
      <c r="B49" s="716" t="n"/>
      <c r="C49" s="716" t="n"/>
      <c r="D49" s="716" t="n"/>
      <c r="E49" s="716" t="n"/>
      <c r="F49" s="716" t="n"/>
      <c r="G49" s="716" t="n"/>
      <c r="H49" s="716" t="n"/>
      <c r="I49" s="716" t="n"/>
      <c r="J49" s="716" t="n"/>
      <c r="K49" s="716" t="n"/>
      <c r="L49" s="716" t="n"/>
      <c r="M49" s="716" t="n"/>
      <c r="N49" s="716" t="n"/>
      <c r="O49" s="716" t="n"/>
      <c r="P49" s="716" t="n"/>
      <c r="Q49" s="716" t="n"/>
      <c r="R49" s="716" t="n"/>
      <c r="S49" s="462">
        <f>IF(_epmOfflineCondition_,"  存货",EPMMemberDesc(U49))</f>
        <v/>
      </c>
      <c r="T49" s="716" t="n"/>
      <c r="U49" s="716" t="inlineStr">
        <is>
          <t>A001010113</t>
        </is>
      </c>
      <c r="V49" s="535">
        <f>IF(_epmOfflineCondition_,"A001010113",EPMOlapMemberO(U49,"[C_ACCOUNT].[PARENTH1].[A001010113]","A001010113 -   存货","","000"))</f>
        <v/>
      </c>
      <c r="W49" s="462" t="n"/>
      <c r="X49" s="458" t="inlineStr">
        <is>
          <t>存货</t>
        </is>
      </c>
      <c r="Y49" s="1396" t="inlineStr"/>
      <c r="Z49" s="1189" t="n"/>
      <c r="AA49" s="1190" t="n"/>
      <c r="AB49" s="1190">
        <f>AA49</f>
        <v/>
      </c>
      <c r="AC49" s="1189" t="n"/>
      <c r="AD49" s="716" t="n"/>
      <c r="AE49" s="716" t="n"/>
      <c r="AF49" s="716" t="n"/>
      <c r="AG49" s="716" t="n"/>
      <c r="AH49" s="716" t="n"/>
      <c r="AI49" s="716" t="n"/>
      <c r="AJ49" s="716" t="n"/>
      <c r="AK49" s="716" t="n"/>
      <c r="AL49" s="716" t="n"/>
      <c r="AM49" s="716" t="n"/>
      <c r="AN49" s="716" t="n"/>
      <c r="AO49" s="716" t="n"/>
      <c r="AP49" s="716" t="n"/>
      <c r="AQ49" s="716" t="n"/>
      <c r="AR49" s="716" t="n"/>
    </row>
    <row r="50" ht="16.35" customFormat="1" customHeight="1" s="716">
      <c r="A50" s="716" t="n"/>
      <c r="B50" s="716" t="n"/>
      <c r="C50" s="716" t="n"/>
      <c r="D50" s="716" t="n"/>
      <c r="E50" s="716" t="n"/>
      <c r="F50" s="716" t="n"/>
      <c r="G50" s="716" t="n"/>
      <c r="H50" s="716" t="n"/>
      <c r="I50" s="716" t="n"/>
      <c r="J50" s="716" t="n"/>
      <c r="K50" s="716" t="n"/>
      <c r="L50" s="716" t="n"/>
      <c r="M50" s="716" t="n"/>
      <c r="N50" s="716" t="n"/>
      <c r="O50" s="716" t="n"/>
      <c r="P50" s="716" t="n"/>
      <c r="Q50" s="716" t="n"/>
      <c r="R50" s="716" t="n"/>
      <c r="S50" s="462">
        <f>IF(_epmOfflineCondition_,"     其中：原材料",EPMMemberDesc(U50))</f>
        <v/>
      </c>
      <c r="T50" s="716" t="n"/>
      <c r="U50" s="716" t="inlineStr">
        <is>
          <t>A00101011301</t>
        </is>
      </c>
      <c r="V50" s="459">
        <f>IF(_epmOfflineCondition_,"A00101011301",EPMOlapMemberO(U50,"[C_ACCOUNT].[PARENTH1].[A00101011301]","A00101011301 -      其中：原材料","","000"))</f>
        <v/>
      </c>
      <c r="W50" s="462" t="n"/>
      <c r="X50" s="460" t="inlineStr">
        <is>
          <t>其中：原材料</t>
        </is>
      </c>
      <c r="Y50" s="1396" t="inlineStr"/>
      <c r="Z50" s="1189" t="n"/>
      <c r="AA50" s="1190" t="n"/>
      <c r="AB50" s="1190">
        <f>AA50</f>
        <v/>
      </c>
      <c r="AC50" s="1189" t="n"/>
      <c r="AD50" s="716" t="n"/>
      <c r="AE50" s="716" t="n"/>
      <c r="AF50" s="716" t="n"/>
      <c r="AG50" s="716" t="n"/>
      <c r="AH50" s="716" t="n"/>
      <c r="AI50" s="716" t="n"/>
      <c r="AJ50" s="716" t="n"/>
      <c r="AK50" s="716" t="n"/>
      <c r="AL50" s="716" t="n"/>
      <c r="AM50" s="716" t="n"/>
      <c r="AN50" s="716" t="n"/>
      <c r="AO50" s="716" t="n"/>
      <c r="AP50" s="716" t="n"/>
      <c r="AQ50" s="716" t="n"/>
      <c r="AR50" s="716" t="n"/>
    </row>
    <row r="51" ht="16.35" customFormat="1" customHeight="1" s="716">
      <c r="A51" s="716" t="n"/>
      <c r="B51" s="716" t="n"/>
      <c r="C51" s="716" t="n"/>
      <c r="D51" s="716" t="n"/>
      <c r="E51" s="716" t="n"/>
      <c r="F51" s="716" t="n"/>
      <c r="G51" s="716" t="n"/>
      <c r="H51" s="716" t="n"/>
      <c r="I51" s="716" t="n"/>
      <c r="J51" s="716" t="n"/>
      <c r="K51" s="716" t="n"/>
      <c r="L51" s="716" t="n"/>
      <c r="M51" s="716" t="n"/>
      <c r="N51" s="716" t="n"/>
      <c r="O51" s="716" t="n"/>
      <c r="P51" s="716" t="n"/>
      <c r="Q51" s="716" t="n"/>
      <c r="R51" s="716" t="n"/>
      <c r="S51" s="462">
        <f>IF(_epmOfflineCondition_,"               库存商品（产成品）",EPMMemberDesc(U51))</f>
        <v/>
      </c>
      <c r="T51" s="716" t="n"/>
      <c r="U51" s="716" t="inlineStr">
        <is>
          <t>A00101011303</t>
        </is>
      </c>
      <c r="V51" s="459">
        <f>IF(_epmOfflineCondition_,"A00101011303",EPMOlapMemberO(U51,"[C_ACCOUNT].[PARENTH1].[A00101011303]","A00101011303 -                库存商品（产成品）","","000"))</f>
        <v/>
      </c>
      <c r="W51" s="462" t="n"/>
      <c r="X51" s="461" t="inlineStr">
        <is>
          <t>库存商品(产成品)</t>
        </is>
      </c>
      <c r="Y51" s="1396" t="inlineStr"/>
      <c r="Z51" s="1189" t="n"/>
      <c r="AA51" s="1190" t="n"/>
      <c r="AB51" s="1190">
        <f>AA51</f>
        <v/>
      </c>
      <c r="AC51" s="1189" t="n"/>
      <c r="AD51" s="716" t="n"/>
      <c r="AE51" s="716" t="n"/>
      <c r="AF51" s="716" t="n"/>
      <c r="AG51" s="716" t="n"/>
      <c r="AH51" s="716" t="n"/>
      <c r="AI51" s="716" t="n"/>
      <c r="AJ51" s="716" t="n"/>
      <c r="AK51" s="716" t="n"/>
      <c r="AL51" s="716" t="n"/>
      <c r="AM51" s="716" t="n"/>
      <c r="AN51" s="716" t="n"/>
      <c r="AO51" s="716" t="n"/>
      <c r="AP51" s="716" t="n"/>
      <c r="AQ51" s="716" t="n"/>
      <c r="AR51" s="716" t="n"/>
    </row>
    <row r="52" ht="16.35" customFormat="1" customHeight="1" s="716">
      <c r="A52" s="716" t="n"/>
      <c r="B52" s="716" t="n"/>
      <c r="C52" s="716" t="n"/>
      <c r="D52" s="716" t="n"/>
      <c r="E52" s="716" t="n"/>
      <c r="F52" s="716" t="n"/>
      <c r="G52" s="716" t="n"/>
      <c r="H52" s="716" t="n"/>
      <c r="I52" s="716" t="n"/>
      <c r="J52" s="716" t="n"/>
      <c r="K52" s="716" t="n"/>
      <c r="L52" s="716" t="n"/>
      <c r="M52" s="716" t="n"/>
      <c r="N52" s="716" t="n"/>
      <c r="O52" s="716" t="n"/>
      <c r="P52" s="716" t="n"/>
      <c r="Q52" s="716" t="n"/>
      <c r="R52" s="716" t="n"/>
      <c r="S52" s="462">
        <f>IF(_epmOfflineCondition_,"　       非流动资产合计",EPMMemberDesc(U52))</f>
        <v/>
      </c>
      <c r="T52" s="716" t="n"/>
      <c r="U52" s="716" t="inlineStr">
        <is>
          <t>A0010102</t>
        </is>
      </c>
      <c r="V52" s="455">
        <f>IF(_epmOfflineCondition_,"A0010102",EPMOlapMemberO(U52,"[C_ACCOUNT].[PARENTH1].[A0010102]","A0010102 - 　       非流动资产合计","","000"))</f>
        <v/>
      </c>
      <c r="W52" s="462" t="n"/>
      <c r="X52" s="454" t="inlineStr">
        <is>
          <t>非流动资产合计</t>
        </is>
      </c>
      <c r="Y52" s="1396" t="inlineStr"/>
      <c r="Z52" s="1189" t="inlineStr"/>
      <c r="AA52" s="1190" t="inlineStr"/>
      <c r="AB52" s="1190">
        <f>AA52</f>
        <v/>
      </c>
      <c r="AC52" s="1189" t="inlineStr"/>
      <c r="AD52" s="716" t="n"/>
      <c r="AE52" s="716" t="n"/>
      <c r="AF52" s="716" t="n"/>
      <c r="AG52" s="716" t="n"/>
      <c r="AH52" s="716" t="n"/>
      <c r="AI52" s="716" t="n"/>
      <c r="AJ52" s="716" t="n"/>
      <c r="AK52" s="716" t="n"/>
      <c r="AL52" s="716" t="n"/>
      <c r="AM52" s="716" t="n"/>
      <c r="AN52" s="716" t="n"/>
      <c r="AO52" s="716" t="n"/>
      <c r="AP52" s="716" t="n"/>
      <c r="AQ52" s="716" t="n"/>
      <c r="AR52" s="716" t="n"/>
    </row>
    <row r="53" ht="16.35" customFormat="1" customHeight="1" s="716">
      <c r="A53" s="716" t="n"/>
      <c r="B53" s="716" t="n"/>
      <c r="C53" s="716" t="n"/>
      <c r="D53" s="716" t="n"/>
      <c r="E53" s="716" t="n"/>
      <c r="F53" s="716" t="n"/>
      <c r="G53" s="716" t="n"/>
      <c r="H53" s="716" t="n"/>
      <c r="I53" s="716" t="n"/>
      <c r="J53" s="716" t="n"/>
      <c r="K53" s="716" t="n"/>
      <c r="L53" s="716" t="n"/>
      <c r="M53" s="716" t="n"/>
      <c r="N53" s="716" t="n"/>
      <c r="O53" s="716" t="n"/>
      <c r="P53" s="716" t="n"/>
      <c r="Q53" s="716" t="n"/>
      <c r="R53" s="716" t="n"/>
      <c r="S53" s="462">
        <f>IF(_epmOfflineCondition_,"  长期股权投资",EPMMemberDesc(U53))</f>
        <v/>
      </c>
      <c r="T53" s="716" t="n"/>
      <c r="U53" s="716" t="inlineStr">
        <is>
          <t>A001010205</t>
        </is>
      </c>
      <c r="V53" s="535">
        <f>IF(_epmOfflineCondition_,"A001010205",EPMOlapMemberO(U53,"[C_ACCOUNT].[PARENTH1].[A001010205]","A001010205 -   长期股权投资","","000"))</f>
        <v/>
      </c>
      <c r="W53" s="462" t="n"/>
      <c r="X53" s="457" t="inlineStr">
        <is>
          <t>其中：长期股权投资</t>
        </is>
      </c>
      <c r="Y53" s="1396" t="inlineStr"/>
      <c r="Z53" s="1189" t="n"/>
      <c r="AA53" s="1190" t="n"/>
      <c r="AB53" s="1190">
        <f>AA53</f>
        <v/>
      </c>
      <c r="AC53" s="1189" t="n"/>
      <c r="AD53" s="716" t="n"/>
      <c r="AE53" s="716" t="n"/>
      <c r="AF53" s="716" t="n"/>
      <c r="AG53" s="716" t="n"/>
      <c r="AH53" s="716" t="n"/>
      <c r="AI53" s="716" t="n"/>
      <c r="AJ53" s="716" t="n"/>
      <c r="AK53" s="716" t="n"/>
      <c r="AL53" s="716" t="n"/>
      <c r="AM53" s="716" t="n"/>
      <c r="AN53" s="716" t="n"/>
      <c r="AO53" s="716" t="n"/>
      <c r="AP53" s="716" t="n"/>
      <c r="AQ53" s="716" t="n"/>
      <c r="AR53" s="716" t="n"/>
    </row>
    <row r="54" ht="16.35" customFormat="1" customHeight="1" s="716">
      <c r="A54" s="716" t="n"/>
      <c r="B54" s="716" t="n"/>
      <c r="C54" s="716" t="n"/>
      <c r="D54" s="716" t="n"/>
      <c r="E54" s="716" t="n"/>
      <c r="F54" s="716" t="n"/>
      <c r="G54" s="716" t="n"/>
      <c r="H54" s="716" t="n"/>
      <c r="I54" s="716" t="n"/>
      <c r="J54" s="716" t="n"/>
      <c r="K54" s="716" t="n"/>
      <c r="L54" s="716" t="n"/>
      <c r="M54" s="716" t="n"/>
      <c r="N54" s="716" t="n"/>
      <c r="O54" s="716" t="n"/>
      <c r="P54" s="716" t="n"/>
      <c r="Q54" s="716" t="n"/>
      <c r="R54" s="716" t="n"/>
      <c r="S54" s="462">
        <f>IF(_epmOfflineCondition_,"  固定资产净额",EPMMemberDesc(U54))</f>
        <v/>
      </c>
      <c r="T54" s="716" t="n"/>
      <c r="U54" s="716" t="inlineStr">
        <is>
          <t>A001010214</t>
        </is>
      </c>
      <c r="V54" s="535">
        <f>IF(_epmOfflineCondition_,"A001010214",EPMOlapMemberO(U54,"[C_ACCOUNT].[PARENTH1].[A001010214]","A001010214 -   固定资产净额","","000"))</f>
        <v/>
      </c>
      <c r="W54" s="462" t="n"/>
      <c r="X54" s="458" t="inlineStr">
        <is>
          <t>固定资产</t>
        </is>
      </c>
      <c r="Y54" s="1396" t="inlineStr"/>
      <c r="Z54" s="1189" t="inlineStr"/>
      <c r="AA54" s="1190" t="inlineStr"/>
      <c r="AB54" s="1190">
        <f>AA54</f>
        <v/>
      </c>
      <c r="AC54" s="1189" t="inlineStr"/>
      <c r="AD54" s="716" t="n"/>
      <c r="AE54" s="716" t="n"/>
      <c r="AF54" s="716" t="n"/>
      <c r="AG54" s="716" t="n"/>
      <c r="AH54" s="716" t="n"/>
      <c r="AI54" s="716" t="n"/>
      <c r="AJ54" s="716" t="n"/>
      <c r="AK54" s="716" t="n"/>
      <c r="AL54" s="716" t="n"/>
      <c r="AM54" s="716" t="n"/>
      <c r="AN54" s="716" t="n"/>
      <c r="AO54" s="716" t="n"/>
      <c r="AP54" s="716" t="n"/>
      <c r="AQ54" s="716" t="n"/>
      <c r="AR54" s="716" t="n"/>
    </row>
    <row r="55" ht="16.35" customFormat="1" customHeight="1" s="716">
      <c r="A55" s="716" t="n"/>
      <c r="B55" s="716" t="n"/>
      <c r="C55" s="716" t="n"/>
      <c r="D55" s="716" t="n"/>
      <c r="E55" s="716" t="n"/>
      <c r="F55" s="716" t="n"/>
      <c r="G55" s="716" t="n"/>
      <c r="H55" s="716" t="n"/>
      <c r="I55" s="716" t="n"/>
      <c r="J55" s="716" t="n"/>
      <c r="K55" s="716" t="n"/>
      <c r="L55" s="716" t="n"/>
      <c r="M55" s="716" t="n"/>
      <c r="N55" s="716" t="n"/>
      <c r="O55" s="716" t="n"/>
      <c r="P55" s="716" t="n"/>
      <c r="Q55" s="716" t="n"/>
      <c r="R55" s="716" t="n"/>
      <c r="S55" s="462">
        <f>IF(_epmOfflineCondition_,"  无形资产",EPMMemberDesc(U55))</f>
        <v/>
      </c>
      <c r="T55" s="716" t="n"/>
      <c r="U55" s="716" t="inlineStr">
        <is>
          <t>A001010220</t>
        </is>
      </c>
      <c r="V55" s="535">
        <f>IF(_epmOfflineCondition_,"A001010220",EPMOlapMemberO(U55,"[C_ACCOUNT].[PARENTH1].[A001010220]","A001010220 -   无形资产","","000"))</f>
        <v/>
      </c>
      <c r="W55" s="462" t="n"/>
      <c r="X55" s="458" t="inlineStr">
        <is>
          <t>无形资产</t>
        </is>
      </c>
      <c r="Y55" s="1396" t="inlineStr"/>
      <c r="Z55" s="1189" t="inlineStr"/>
      <c r="AA55" s="1190" t="inlineStr"/>
      <c r="AB55" s="1190">
        <f>AA55</f>
        <v/>
      </c>
      <c r="AC55" s="1189" t="inlineStr"/>
      <c r="AD55" s="716" t="n"/>
      <c r="AE55" s="716" t="n"/>
      <c r="AF55" s="716" t="n"/>
      <c r="AG55" s="716" t="n"/>
      <c r="AH55" s="716" t="n"/>
      <c r="AI55" s="716" t="n"/>
      <c r="AJ55" s="716" t="n"/>
      <c r="AK55" s="716" t="n"/>
      <c r="AL55" s="716" t="n"/>
      <c r="AM55" s="716" t="n"/>
      <c r="AN55" s="716" t="n"/>
      <c r="AO55" s="716" t="n"/>
      <c r="AP55" s="716" t="n"/>
      <c r="AQ55" s="716" t="n"/>
      <c r="AR55" s="716" t="n"/>
    </row>
    <row r="56" ht="16.35" customFormat="1" customHeight="1" s="716">
      <c r="A56" s="716" t="n"/>
      <c r="B56" s="716" t="n"/>
      <c r="C56" s="716" t="n"/>
      <c r="D56" s="716" t="n"/>
      <c r="E56" s="716" t="n"/>
      <c r="F56" s="716" t="n"/>
      <c r="G56" s="716" t="n"/>
      <c r="H56" s="716" t="n"/>
      <c r="I56" s="716" t="n"/>
      <c r="J56" s="716" t="n"/>
      <c r="K56" s="716" t="n"/>
      <c r="L56" s="716" t="n"/>
      <c r="M56" s="716" t="n"/>
      <c r="N56" s="716" t="n"/>
      <c r="O56" s="716" t="n"/>
      <c r="P56" s="716" t="n"/>
      <c r="Q56" s="716" t="n"/>
      <c r="R56" s="716" t="n"/>
      <c r="S56" s="462">
        <f>IF(_epmOfflineCondition_,"　        资产总计",EPMMemberDesc(U56))</f>
        <v/>
      </c>
      <c r="T56" s="716" t="n"/>
      <c r="U56" s="716" t="inlineStr">
        <is>
          <t>A00101</t>
        </is>
      </c>
      <c r="V56" s="462">
        <f>IF(_epmOfflineCondition_,"A00101",EPMOlapMemberO(U56,"[C_ACCOUNT].[PARENTH1].[A00101]","A00101 - 　        资产总计","","000"))</f>
        <v/>
      </c>
      <c r="W56" s="462" t="n"/>
      <c r="X56" s="463" t="inlineStr">
        <is>
          <t>资产总计</t>
        </is>
      </c>
      <c r="Y56" s="1396" t="inlineStr"/>
      <c r="Z56" s="1189" t="inlineStr"/>
      <c r="AA56" s="1190" t="inlineStr"/>
      <c r="AB56" s="1190">
        <f>AA56</f>
        <v/>
      </c>
      <c r="AC56" s="1189" t="inlineStr"/>
      <c r="AD56" s="716" t="n"/>
      <c r="AE56" s="716" t="n"/>
      <c r="AF56" s="716" t="n"/>
      <c r="AG56" s="716" t="n"/>
      <c r="AH56" s="716" t="n"/>
      <c r="AI56" s="716" t="n"/>
      <c r="AJ56" s="716" t="n"/>
      <c r="AK56" s="716" t="n"/>
      <c r="AL56" s="716" t="n"/>
      <c r="AM56" s="716" t="n"/>
      <c r="AN56" s="716" t="n"/>
      <c r="AO56" s="716" t="n"/>
      <c r="AP56" s="716" t="n"/>
      <c r="AQ56" s="716" t="n"/>
      <c r="AR56" s="716" t="n"/>
    </row>
    <row r="57" ht="16.35" customFormat="1" customHeight="1" s="716">
      <c r="A57" s="716" t="n"/>
      <c r="B57" s="716" t="n"/>
      <c r="C57" s="716" t="n"/>
      <c r="D57" s="716" t="n"/>
      <c r="E57" s="716" t="n"/>
      <c r="F57" s="716" t="n"/>
      <c r="G57" s="716" t="n"/>
      <c r="H57" s="716" t="n"/>
      <c r="I57" s="716" t="n"/>
      <c r="J57" s="716" t="n"/>
      <c r="K57" s="716" t="n"/>
      <c r="L57" s="716" t="n"/>
      <c r="M57" s="716" t="n"/>
      <c r="N57" s="716" t="n"/>
      <c r="O57" s="716" t="n"/>
      <c r="P57" s="716" t="n"/>
      <c r="Q57" s="716" t="n"/>
      <c r="R57" s="716" t="n"/>
      <c r="S57" s="462">
        <f>IF(_epmOfflineCondition_,"　       流动负债合计",EPMMemberDesc(U57))</f>
        <v/>
      </c>
      <c r="T57" s="716" t="n"/>
      <c r="U57" s="716" t="inlineStr">
        <is>
          <t>A0010201</t>
        </is>
      </c>
      <c r="V57" s="535">
        <f>IF(_epmOfflineCondition_,"A0010201",EPMOlapMemberO(U57,"[C_ACCOUNT].[PARENTH1].[A0010201]","A0010201 - 　       流动负债合计","","000"))</f>
        <v/>
      </c>
      <c r="W57" s="462" t="n"/>
      <c r="X57" s="463" t="inlineStr">
        <is>
          <t>流动负债合计</t>
        </is>
      </c>
      <c r="Y57" s="1396" t="inlineStr"/>
      <c r="Z57" s="1189" t="inlineStr"/>
      <c r="AA57" s="1190" t="inlineStr"/>
      <c r="AB57" s="1190">
        <f>AA57</f>
        <v/>
      </c>
      <c r="AC57" s="1189" t="inlineStr"/>
      <c r="AD57" s="716" t="n"/>
      <c r="AE57" s="716" t="n"/>
      <c r="AF57" s="716" t="n"/>
      <c r="AG57" s="716" t="n"/>
      <c r="AH57" s="716" t="n"/>
      <c r="AI57" s="716" t="n"/>
      <c r="AJ57" s="716" t="n"/>
      <c r="AK57" s="716" t="n"/>
      <c r="AL57" s="716" t="n"/>
      <c r="AM57" s="716" t="n"/>
      <c r="AN57" s="716" t="n"/>
      <c r="AO57" s="716" t="n"/>
      <c r="AP57" s="716" t="n"/>
      <c r="AQ57" s="716" t="n"/>
      <c r="AR57" s="716" t="n"/>
    </row>
    <row r="58" ht="16.35" customFormat="1" customHeight="1" s="716">
      <c r="A58" s="716" t="n"/>
      <c r="B58" s="716" t="n"/>
      <c r="C58" s="716" t="n"/>
      <c r="D58" s="716" t="n"/>
      <c r="E58" s="716" t="n"/>
      <c r="F58" s="716" t="n"/>
      <c r="G58" s="716" t="n"/>
      <c r="H58" s="716" t="n"/>
      <c r="I58" s="716" t="n"/>
      <c r="J58" s="716" t="n"/>
      <c r="K58" s="716" t="n"/>
      <c r="L58" s="716" t="n"/>
      <c r="M58" s="716" t="n"/>
      <c r="N58" s="716" t="n"/>
      <c r="O58" s="716" t="n"/>
      <c r="P58" s="716" t="n"/>
      <c r="Q58" s="716" t="n"/>
      <c r="R58" s="716" t="n"/>
      <c r="S58" s="462">
        <f>IF(_epmOfflineCondition_,"  短期借款",EPMMemberDesc(U58))</f>
        <v/>
      </c>
      <c r="T58" s="716" t="n"/>
      <c r="U58" s="716" t="inlineStr">
        <is>
          <t>A001020101</t>
        </is>
      </c>
      <c r="V58" s="459">
        <f>IF(_epmOfflineCondition_,"A001020101",EPMOlapMemberO(U58,"[C_ACCOUNT].[PARENTH1].[A001020101]","A001020101 -   短期借款","","000"))</f>
        <v/>
      </c>
      <c r="W58" s="462" t="n"/>
      <c r="X58" s="457" t="inlineStr">
        <is>
          <t>其中：短期借款</t>
        </is>
      </c>
      <c r="Y58" s="1396" t="inlineStr"/>
      <c r="Z58" s="1189" t="n"/>
      <c r="AA58" s="1190" t="inlineStr"/>
      <c r="AB58" s="1190">
        <f>AA58</f>
        <v/>
      </c>
      <c r="AC58" s="1189" t="inlineStr"/>
      <c r="AD58" s="716" t="n"/>
      <c r="AE58" s="716" t="n"/>
      <c r="AF58" s="716" t="n"/>
      <c r="AG58" s="716" t="n"/>
      <c r="AH58" s="716" t="n"/>
      <c r="AI58" s="716" t="n"/>
      <c r="AJ58" s="716" t="n"/>
      <c r="AK58" s="716" t="n"/>
      <c r="AL58" s="716" t="n"/>
      <c r="AM58" s="716" t="n"/>
      <c r="AN58" s="716" t="n"/>
      <c r="AO58" s="716" t="n"/>
      <c r="AP58" s="716" t="n"/>
      <c r="AQ58" s="716" t="n"/>
      <c r="AR58" s="716" t="n"/>
    </row>
    <row r="59" ht="16.35" customFormat="1" customHeight="1" s="716">
      <c r="A59" s="716" t="n"/>
      <c r="B59" s="716" t="n"/>
      <c r="C59" s="716" t="n"/>
      <c r="D59" s="716" t="n"/>
      <c r="E59" s="716" t="n"/>
      <c r="F59" s="716" t="n"/>
      <c r="G59" s="716" t="n"/>
      <c r="H59" s="716" t="n"/>
      <c r="I59" s="716" t="n"/>
      <c r="J59" s="716" t="n"/>
      <c r="K59" s="716" t="n"/>
      <c r="L59" s="716" t="n"/>
      <c r="M59" s="716" t="n"/>
      <c r="N59" s="716" t="n"/>
      <c r="O59" s="716" t="n"/>
      <c r="P59" s="716" t="n"/>
      <c r="Q59" s="716" t="n"/>
      <c r="R59" s="716" t="n"/>
      <c r="S59" s="462">
        <f>IF(_epmOfflineCondition_,"   应付票据",EPMMemberDesc(U59))</f>
        <v/>
      </c>
      <c r="T59" s="716" t="n"/>
      <c r="U59" s="716" t="inlineStr">
        <is>
          <t>A001020107</t>
        </is>
      </c>
      <c r="V59" s="459">
        <f>IF(_epmOfflineCondition_,"A001020107",EPMOlapMemberO(U59,"[C_ACCOUNT].[PARENTH1].[A001020107]","A001020107 -    应付票据","","000"))</f>
        <v/>
      </c>
      <c r="W59" s="462" t="n"/>
      <c r="X59" s="458" t="inlineStr">
        <is>
          <t>应付票据</t>
        </is>
      </c>
      <c r="Y59" s="1396" t="inlineStr"/>
      <c r="Z59" s="1189" t="n"/>
      <c r="AA59" s="1190" t="n"/>
      <c r="AB59" s="1190">
        <f>AA59</f>
        <v/>
      </c>
      <c r="AC59" s="1189" t="n"/>
      <c r="AD59" s="716" t="n"/>
      <c r="AE59" s="716" t="n"/>
      <c r="AF59" s="716" t="n"/>
      <c r="AG59" s="716" t="n"/>
      <c r="AH59" s="716" t="n"/>
      <c r="AI59" s="716" t="n"/>
      <c r="AJ59" s="716" t="n"/>
      <c r="AK59" s="716" t="n"/>
      <c r="AL59" s="716" t="n"/>
      <c r="AM59" s="716" t="n"/>
      <c r="AN59" s="716" t="n"/>
      <c r="AO59" s="716" t="n"/>
      <c r="AP59" s="716" t="n"/>
      <c r="AQ59" s="716" t="n"/>
      <c r="AR59" s="716" t="n"/>
    </row>
    <row r="60" ht="16.35" customFormat="1" customHeight="1" s="716">
      <c r="A60" s="716" t="n"/>
      <c r="B60" s="716" t="n"/>
      <c r="C60" s="716" t="n"/>
      <c r="D60" s="716" t="n"/>
      <c r="E60" s="716" t="n"/>
      <c r="F60" s="716" t="n"/>
      <c r="G60" s="716" t="n"/>
      <c r="H60" s="716" t="n"/>
      <c r="I60" s="716" t="n"/>
      <c r="J60" s="716" t="n"/>
      <c r="K60" s="716" t="n"/>
      <c r="L60" s="716" t="n"/>
      <c r="M60" s="716" t="n"/>
      <c r="N60" s="716" t="n"/>
      <c r="O60" s="716" t="n"/>
      <c r="P60" s="716" t="n"/>
      <c r="Q60" s="716" t="n"/>
      <c r="R60" s="716" t="n"/>
      <c r="S60" s="462">
        <f>IF(_epmOfflineCondition_,"   应付账款",EPMMemberDesc(U60))</f>
        <v/>
      </c>
      <c r="T60" s="716" t="n"/>
      <c r="U60" s="716" t="inlineStr">
        <is>
          <t>A001020108</t>
        </is>
      </c>
      <c r="V60" s="459" t="n"/>
      <c r="W60" s="462" t="n"/>
      <c r="X60" s="458" t="inlineStr">
        <is>
          <t>应付账款</t>
        </is>
      </c>
      <c r="Y60" s="1396" t="inlineStr"/>
      <c r="Z60" s="1189" t="n"/>
      <c r="AA60" s="1190" t="n"/>
      <c r="AB60" s="1190">
        <f>AA60</f>
        <v/>
      </c>
      <c r="AC60" s="1189" t="n"/>
      <c r="AD60" s="716" t="n"/>
      <c r="AE60" s="716" t="n"/>
      <c r="AF60" s="716" t="n"/>
      <c r="AG60" s="716" t="n"/>
      <c r="AH60" s="716" t="n"/>
      <c r="AI60" s="716" t="n"/>
      <c r="AJ60" s="716" t="n"/>
      <c r="AK60" s="716" t="n"/>
      <c r="AL60" s="716" t="n"/>
      <c r="AM60" s="716" t="n"/>
      <c r="AN60" s="716" t="n"/>
      <c r="AO60" s="716" t="n"/>
      <c r="AP60" s="716" t="n"/>
      <c r="AQ60" s="716" t="n"/>
      <c r="AR60" s="716" t="n"/>
    </row>
    <row r="61" ht="16.35" customFormat="1" customHeight="1" s="716">
      <c r="A61" s="716" t="n"/>
      <c r="B61" s="716" t="n"/>
      <c r="C61" s="716" t="n"/>
      <c r="D61" s="716" t="n"/>
      <c r="E61" s="716" t="n"/>
      <c r="F61" s="716" t="n"/>
      <c r="G61" s="716" t="n"/>
      <c r="H61" s="716" t="n"/>
      <c r="I61" s="716" t="n"/>
      <c r="J61" s="716" t="n"/>
      <c r="K61" s="716" t="n"/>
      <c r="L61" s="716" t="n"/>
      <c r="M61" s="716" t="n"/>
      <c r="N61" s="716" t="n"/>
      <c r="O61" s="716" t="n"/>
      <c r="P61" s="716" t="n"/>
      <c r="Q61" s="716" t="n"/>
      <c r="R61" s="716" t="n"/>
      <c r="S61" s="462">
        <f>IF(_epmOfflineCondition_,"    一年内到期的非流动负债",EPMMemberDesc(U61))</f>
        <v/>
      </c>
      <c r="T61" s="716" t="n"/>
      <c r="U61" s="716" t="inlineStr">
        <is>
          <t>A001020121</t>
        </is>
      </c>
      <c r="V61" s="459">
        <f>IF(_epmOfflineCondition_,"A001020121",EPMOlapMemberO(U61,"[C_ACCOUNT].[PARENTH1].[A001020121]","A001020121 -     一年内到期的非流动负债","","000"))</f>
        <v/>
      </c>
      <c r="W61" s="462" t="n"/>
      <c r="X61" s="458" t="inlineStr">
        <is>
          <t>一年内到期的非流动负债</t>
        </is>
      </c>
      <c r="Y61" s="1396" t="inlineStr"/>
      <c r="Z61" s="1189" t="inlineStr"/>
      <c r="AA61" s="1190" t="inlineStr"/>
      <c r="AB61" s="1190">
        <f>AA61</f>
        <v/>
      </c>
      <c r="AC61" s="1189" t="inlineStr"/>
      <c r="AD61" s="716" t="n"/>
      <c r="AE61" s="716" t="n"/>
      <c r="AF61" s="716" t="n"/>
      <c r="AG61" s="716" t="n"/>
      <c r="AH61" s="716" t="n"/>
      <c r="AI61" s="716" t="n"/>
      <c r="AJ61" s="716" t="n"/>
      <c r="AK61" s="716" t="n"/>
      <c r="AL61" s="716" t="n"/>
      <c r="AM61" s="716" t="n"/>
      <c r="AN61" s="716" t="n"/>
      <c r="AO61" s="716" t="n"/>
      <c r="AP61" s="716" t="n"/>
      <c r="AQ61" s="716" t="n"/>
      <c r="AR61" s="716" t="n"/>
    </row>
    <row r="62" ht="16.35" customFormat="1" customHeight="1" s="716">
      <c r="A62" s="716" t="n"/>
      <c r="B62" s="716" t="n"/>
      <c r="C62" s="716" t="n"/>
      <c r="D62" s="716" t="n"/>
      <c r="E62" s="716" t="n"/>
      <c r="F62" s="716" t="n"/>
      <c r="G62" s="716" t="n"/>
      <c r="H62" s="716" t="n"/>
      <c r="I62" s="716" t="n"/>
      <c r="J62" s="716" t="n"/>
      <c r="K62" s="716" t="n"/>
      <c r="L62" s="716" t="n"/>
      <c r="M62" s="716" t="n"/>
      <c r="N62" s="716" t="n"/>
      <c r="O62" s="716" t="n"/>
      <c r="P62" s="716" t="n"/>
      <c r="Q62" s="716" t="n"/>
      <c r="R62" s="716" t="n"/>
      <c r="S62" s="462">
        <f>IF(_epmOfflineCondition_,"其他带息流动负债",EPMMemberDesc(U62))</f>
        <v/>
      </c>
      <c r="T62" s="716" t="n"/>
      <c r="U62" s="716" t="inlineStr">
        <is>
          <t>A0830201</t>
        </is>
      </c>
      <c r="V62" s="455">
        <f>IF(_epmOfflineCondition_,"A0830201",EPMOlapMemberO(U62,"[C_ACCOUNT].[PARENTH1].[A0830201]","A0830201 - 其他带息流动负债","","000"))</f>
        <v/>
      </c>
      <c r="W62" s="462" t="n"/>
      <c r="X62" s="458" t="inlineStr">
        <is>
          <t>其他带息流动负债</t>
        </is>
      </c>
      <c r="Y62" s="1396" t="inlineStr"/>
      <c r="Z62" s="1189" t="n"/>
      <c r="AA62" s="1189" t="n"/>
      <c r="AB62" s="1189" t="n"/>
      <c r="AC62" s="1189" t="n"/>
      <c r="AD62" s="716" t="n"/>
      <c r="AE62" s="716" t="n"/>
      <c r="AF62" s="716" t="n"/>
      <c r="AG62" s="716" t="n"/>
      <c r="AH62" s="716" t="n"/>
      <c r="AI62" s="716" t="n"/>
      <c r="AJ62" s="716" t="n"/>
      <c r="AK62" s="716" t="n"/>
      <c r="AL62" s="716" t="n"/>
      <c r="AM62" s="716" t="n"/>
      <c r="AN62" s="716" t="n"/>
      <c r="AO62" s="716" t="n"/>
      <c r="AP62" s="716" t="n"/>
      <c r="AQ62" s="716" t="n"/>
      <c r="AR62" s="716" t="n"/>
    </row>
    <row r="63" ht="16.35" customFormat="1" customHeight="1" s="716">
      <c r="A63" s="716" t="n"/>
      <c r="B63" s="716" t="n"/>
      <c r="C63" s="716" t="n"/>
      <c r="D63" s="716" t="n"/>
      <c r="E63" s="716" t="n"/>
      <c r="F63" s="716" t="n"/>
      <c r="G63" s="716" t="n"/>
      <c r="H63" s="716" t="n"/>
      <c r="I63" s="716" t="n"/>
      <c r="J63" s="716" t="n"/>
      <c r="K63" s="716" t="n"/>
      <c r="L63" s="716" t="n"/>
      <c r="M63" s="716" t="n"/>
      <c r="N63" s="716" t="n"/>
      <c r="O63" s="716" t="n"/>
      <c r="P63" s="716" t="n"/>
      <c r="Q63" s="716" t="n"/>
      <c r="R63" s="716" t="n"/>
      <c r="S63" s="462">
        <f>IF(_epmOfflineCondition_,"　       非流动负债合计",EPMMemberDesc(U63))</f>
        <v/>
      </c>
      <c r="T63" s="716" t="n"/>
      <c r="U63" s="716" t="inlineStr">
        <is>
          <t>A0010202</t>
        </is>
      </c>
      <c r="V63" s="535">
        <f>IF(_epmOfflineCondition_,"A0010202",EPMOlapMemberO(U63,"[C_ACCOUNT].[PARENTH1].[A0010202]","A0010202 - 　       非流动负债合计","","000"))</f>
        <v/>
      </c>
      <c r="W63" s="462" t="n"/>
      <c r="X63" s="454" t="inlineStr">
        <is>
          <t>非流动负债合计</t>
        </is>
      </c>
      <c r="Y63" s="1396" t="inlineStr"/>
      <c r="Z63" s="1189" t="inlineStr"/>
      <c r="AA63" s="1190" t="inlineStr"/>
      <c r="AB63" s="1190">
        <f>AA63</f>
        <v/>
      </c>
      <c r="AC63" s="1189" t="inlineStr"/>
      <c r="AD63" s="716" t="n"/>
      <c r="AE63" s="716" t="n"/>
      <c r="AF63" s="716" t="n"/>
      <c r="AG63" s="716" t="n"/>
      <c r="AH63" s="716" t="n"/>
      <c r="AI63" s="716" t="n"/>
      <c r="AJ63" s="716" t="n"/>
      <c r="AK63" s="716" t="n"/>
      <c r="AL63" s="716" t="n"/>
      <c r="AM63" s="716" t="n"/>
      <c r="AN63" s="716" t="n"/>
      <c r="AO63" s="716" t="n"/>
      <c r="AP63" s="716" t="n"/>
      <c r="AQ63" s="716" t="n"/>
      <c r="AR63" s="716" t="n"/>
    </row>
    <row r="64" ht="16.35" customFormat="1" customHeight="1" s="716">
      <c r="A64" s="716" t="n"/>
      <c r="B64" s="716" t="n"/>
      <c r="C64" s="716" t="n"/>
      <c r="D64" s="716" t="n"/>
      <c r="E64" s="716" t="n"/>
      <c r="F64" s="716" t="n"/>
      <c r="G64" s="716" t="n"/>
      <c r="H64" s="716" t="n"/>
      <c r="I64" s="716" t="n"/>
      <c r="J64" s="716" t="n"/>
      <c r="K64" s="716" t="n"/>
      <c r="L64" s="716" t="n"/>
      <c r="M64" s="716" t="n"/>
      <c r="N64" s="716" t="n"/>
      <c r="O64" s="716" t="n"/>
      <c r="P64" s="716" t="n"/>
      <c r="Q64" s="716" t="n"/>
      <c r="R64" s="716" t="n"/>
      <c r="S64" s="462">
        <f>IF(_epmOfflineCondition_,"  长期借款",EPMMemberDesc(U64))</f>
        <v/>
      </c>
      <c r="T64" s="716" t="n"/>
      <c r="U64" s="716" t="inlineStr">
        <is>
          <t>A001020201</t>
        </is>
      </c>
      <c r="V64" s="459">
        <f>IF(_epmOfflineCondition_,"A001020201",EPMOlapMemberO(U64,"[C_ACCOUNT].[PARENTH1].[A001020201]","A001020201 -   长期借款","","000"))</f>
        <v/>
      </c>
      <c r="W64" s="462" t="n"/>
      <c r="X64" s="457" t="inlineStr">
        <is>
          <t>其中：长期借款</t>
        </is>
      </c>
      <c r="Y64" s="1396" t="inlineStr"/>
      <c r="Z64" s="1189" t="inlineStr"/>
      <c r="AA64" s="1190" t="inlineStr"/>
      <c r="AB64" s="1190">
        <f>AA64</f>
        <v/>
      </c>
      <c r="AC64" s="1189" t="inlineStr"/>
      <c r="AD64" s="716" t="n"/>
      <c r="AE64" s="716" t="n"/>
      <c r="AF64" s="716" t="n"/>
      <c r="AG64" s="716" t="n"/>
      <c r="AH64" s="716" t="n"/>
      <c r="AI64" s="716" t="n"/>
      <c r="AJ64" s="716" t="n"/>
      <c r="AK64" s="716" t="n"/>
      <c r="AL64" s="716" t="n"/>
      <c r="AM64" s="716" t="n"/>
      <c r="AN64" s="716" t="n"/>
      <c r="AO64" s="716" t="n"/>
      <c r="AP64" s="716" t="n"/>
      <c r="AQ64" s="716" t="n"/>
      <c r="AR64" s="716" t="n"/>
    </row>
    <row r="65" ht="16.35" customFormat="1" customHeight="1" s="716">
      <c r="A65" s="716" t="n"/>
      <c r="B65" s="716" t="n"/>
      <c r="C65" s="716" t="n"/>
      <c r="D65" s="716" t="n"/>
      <c r="E65" s="716" t="n"/>
      <c r="F65" s="716" t="n"/>
      <c r="G65" s="716" t="n"/>
      <c r="H65" s="716" t="n"/>
      <c r="I65" s="716" t="n"/>
      <c r="J65" s="716" t="n"/>
      <c r="K65" s="716" t="n"/>
      <c r="L65" s="716" t="n"/>
      <c r="M65" s="716" t="n"/>
      <c r="N65" s="716" t="n"/>
      <c r="O65" s="716" t="n"/>
      <c r="P65" s="716" t="n"/>
      <c r="Q65" s="716" t="n"/>
      <c r="R65" s="716" t="n"/>
      <c r="S65" s="462">
        <f>IF(_epmOfflineCondition_,"  应付债券",EPMMemberDesc(U65))</f>
        <v/>
      </c>
      <c r="T65" s="716" t="n"/>
      <c r="U65" s="716" t="inlineStr">
        <is>
          <t>A001020202</t>
        </is>
      </c>
      <c r="V65" s="459">
        <f>IF(_epmOfflineCondition_,"A001020202",EPMOlapMemberO(U65,"[C_ACCOUNT].[PARENTH1].[A001020202]","A001020202 -   应付债券","","000"))</f>
        <v/>
      </c>
      <c r="W65" s="462" t="n"/>
      <c r="X65" s="458" t="inlineStr">
        <is>
          <t>应付债券</t>
        </is>
      </c>
      <c r="Y65" s="1396" t="inlineStr"/>
      <c r="Z65" s="1189" t="n"/>
      <c r="AA65" s="1190" t="n"/>
      <c r="AB65" s="1190">
        <f>AA65</f>
        <v/>
      </c>
      <c r="AC65" s="1189" t="n"/>
      <c r="AD65" s="716" t="n"/>
      <c r="AE65" s="716" t="n"/>
      <c r="AF65" s="716" t="n"/>
      <c r="AG65" s="716" t="n"/>
      <c r="AH65" s="716" t="n"/>
      <c r="AI65" s="716" t="n"/>
      <c r="AJ65" s="716" t="n"/>
      <c r="AK65" s="716" t="n"/>
      <c r="AL65" s="716" t="n"/>
      <c r="AM65" s="716" t="n"/>
      <c r="AN65" s="716" t="n"/>
      <c r="AO65" s="716" t="n"/>
      <c r="AP65" s="716" t="n"/>
      <c r="AQ65" s="716" t="n"/>
      <c r="AR65" s="716" t="n"/>
    </row>
    <row r="66" ht="16.35" customFormat="1" customHeight="1" s="716">
      <c r="A66" s="716" t="n"/>
      <c r="B66" s="716" t="n"/>
      <c r="C66" s="716" t="n"/>
      <c r="D66" s="716" t="n"/>
      <c r="E66" s="716" t="n"/>
      <c r="F66" s="716" t="n"/>
      <c r="G66" s="716" t="n"/>
      <c r="H66" s="716" t="n"/>
      <c r="I66" s="716" t="n"/>
      <c r="J66" s="716" t="n"/>
      <c r="K66" s="716" t="n"/>
      <c r="L66" s="716" t="n"/>
      <c r="M66" s="716" t="n"/>
      <c r="N66" s="716" t="n"/>
      <c r="O66" s="716" t="n"/>
      <c r="P66" s="716" t="n"/>
      <c r="Q66" s="716" t="n"/>
      <c r="R66" s="716" t="n"/>
      <c r="S66" s="462">
        <f>IF(_epmOfflineCondition_,"其他带息非流动负债",EPMMemberDesc(U66))</f>
        <v/>
      </c>
      <c r="T66" s="716" t="n"/>
      <c r="U66" s="716" t="inlineStr">
        <is>
          <t>A0830202</t>
        </is>
      </c>
      <c r="V66" s="455">
        <f>IF(_epmOfflineCondition_,"A0830202",EPMOlapMemberO(U66,"[C_ACCOUNT].[PARENTH1].[A0830202]","A0830202 - 其他带息非流动负债","","000"))</f>
        <v/>
      </c>
      <c r="W66" s="462" t="n"/>
      <c r="X66" s="458" t="inlineStr">
        <is>
          <t>其他带息非流动负债</t>
        </is>
      </c>
      <c r="Y66" s="1396" t="inlineStr"/>
      <c r="Z66" s="1189" t="n"/>
      <c r="AA66" s="1189" t="n"/>
      <c r="AB66" s="1189" t="n"/>
      <c r="AC66" s="1189" t="n"/>
      <c r="AD66" s="716" t="n"/>
      <c r="AE66" s="716" t="n"/>
      <c r="AF66" s="716" t="n"/>
      <c r="AG66" s="716" t="n"/>
      <c r="AH66" s="716" t="n"/>
      <c r="AI66" s="716" t="n"/>
      <c r="AJ66" s="716" t="n"/>
      <c r="AK66" s="716" t="n"/>
      <c r="AL66" s="716" t="n"/>
      <c r="AM66" s="716" t="n"/>
      <c r="AN66" s="716" t="n"/>
      <c r="AO66" s="716" t="n"/>
      <c r="AP66" s="716" t="n"/>
      <c r="AQ66" s="716" t="n"/>
      <c r="AR66" s="716" t="n"/>
    </row>
    <row r="67" ht="16.35" customFormat="1" customHeight="1" s="716">
      <c r="A67" s="716" t="n"/>
      <c r="B67" s="716" t="n"/>
      <c r="C67" s="716" t="n"/>
      <c r="D67" s="716" t="n"/>
      <c r="E67" s="716" t="n"/>
      <c r="F67" s="716" t="n"/>
      <c r="G67" s="716" t="n"/>
      <c r="H67" s="716" t="n"/>
      <c r="I67" s="716" t="n"/>
      <c r="J67" s="716" t="n"/>
      <c r="K67" s="716" t="n"/>
      <c r="L67" s="716" t="n"/>
      <c r="M67" s="716" t="n"/>
      <c r="N67" s="716" t="n"/>
      <c r="O67" s="716" t="n"/>
      <c r="P67" s="716" t="n"/>
      <c r="Q67" s="716" t="n"/>
      <c r="R67" s="716" t="n"/>
      <c r="S67" s="462">
        <f>IF(_epmOfflineCondition_,"　       负债合计",EPMMemberDesc(U67))</f>
        <v/>
      </c>
      <c r="T67" s="716" t="n"/>
      <c r="U67" s="716" t="inlineStr">
        <is>
          <t>A00102</t>
        </is>
      </c>
      <c r="V67" s="455">
        <f>IF(_epmOfflineCondition_,"A00102",EPMOlapMemberO(U67,"[C_ACCOUNT].[PARENTH1].[A00102]","A00102 - 　       负债合计","","000"))</f>
        <v/>
      </c>
      <c r="W67" s="462" t="n"/>
      <c r="X67" s="454" t="inlineStr">
        <is>
          <t>负债合计</t>
        </is>
      </c>
      <c r="Y67" s="1396" t="inlineStr"/>
      <c r="Z67" s="1189" t="inlineStr"/>
      <c r="AA67" s="1190" t="inlineStr"/>
      <c r="AB67" s="1190">
        <f>AA67</f>
        <v/>
      </c>
      <c r="AC67" s="1189" t="inlineStr"/>
      <c r="AD67" s="716" t="n"/>
      <c r="AE67" s="716" t="n"/>
      <c r="AF67" s="716" t="n"/>
      <c r="AG67" s="716" t="n"/>
      <c r="AH67" s="716" t="n"/>
      <c r="AI67" s="716" t="n"/>
      <c r="AJ67" s="716" t="n"/>
      <c r="AK67" s="716" t="n"/>
      <c r="AL67" s="716" t="n"/>
      <c r="AM67" s="716" t="n"/>
      <c r="AN67" s="716" t="n"/>
      <c r="AO67" s="716" t="n"/>
      <c r="AP67" s="716" t="n"/>
      <c r="AQ67" s="716" t="n"/>
      <c r="AR67" s="716" t="n"/>
    </row>
    <row r="68" ht="16.35" customFormat="1" customHeight="1" s="716">
      <c r="A68" s="716" t="n"/>
      <c r="B68" s="716" t="n"/>
      <c r="C68" s="716" t="n"/>
      <c r="D68" s="716" t="n"/>
      <c r="E68" s="716" t="n"/>
      <c r="F68" s="716" t="n"/>
      <c r="G68" s="716" t="n"/>
      <c r="H68" s="716" t="n"/>
      <c r="I68" s="716" t="n"/>
      <c r="J68" s="716" t="n"/>
      <c r="K68" s="716" t="n"/>
      <c r="L68" s="716" t="n"/>
      <c r="M68" s="716" t="n"/>
      <c r="N68" s="716" t="n"/>
      <c r="O68" s="716" t="n"/>
      <c r="P68" s="716" t="n"/>
      <c r="Q68" s="716" t="n"/>
      <c r="R68" s="716" t="n"/>
      <c r="S68" s="462">
        <f>IF(_epmOfflineCondition_,"其中：带息负债总额",EPMMemberDesc(U68))</f>
        <v/>
      </c>
      <c r="T68" s="716" t="n"/>
      <c r="U68" s="716" t="inlineStr">
        <is>
          <t>A08302</t>
        </is>
      </c>
      <c r="V68" s="462">
        <f>IF(_epmOfflineCondition_,"A08302",EPMOlapMemberO(U68,"[C_ACCOUNT].[PARENTH1].[A08302]","A08302 - 其中：带息负债总额","","000"))</f>
        <v/>
      </c>
      <c r="W68" s="462" t="n"/>
      <c r="X68" s="457" t="inlineStr">
        <is>
          <t>其中：带息负债总额</t>
        </is>
      </c>
      <c r="Y68" s="1396" t="inlineStr"/>
      <c r="Z68" s="1189" t="n"/>
      <c r="AA68" s="1189" t="n"/>
      <c r="AB68" s="1189" t="n"/>
      <c r="AC68" s="1189" t="n"/>
      <c r="AD68" s="716" t="n"/>
      <c r="AE68" s="716" t="n"/>
      <c r="AF68" s="716" t="n"/>
      <c r="AG68" s="716" t="n"/>
      <c r="AH68" s="716" t="n"/>
      <c r="AI68" s="716" t="n"/>
      <c r="AJ68" s="716" t="n"/>
      <c r="AK68" s="716" t="n"/>
      <c r="AL68" s="716" t="n"/>
      <c r="AM68" s="716" t="n"/>
      <c r="AN68" s="716" t="n"/>
      <c r="AO68" s="716" t="n"/>
      <c r="AP68" s="716" t="n"/>
      <c r="AQ68" s="716" t="n"/>
      <c r="AR68" s="716" t="n"/>
    </row>
    <row r="69" ht="16.35" customFormat="1" customHeight="1" s="716">
      <c r="A69" s="716" t="n"/>
      <c r="B69" s="716" t="n"/>
      <c r="C69" s="716" t="n"/>
      <c r="D69" s="716" t="n"/>
      <c r="E69" s="716" t="n"/>
      <c r="F69" s="716" t="n"/>
      <c r="G69" s="716" t="n"/>
      <c r="H69" s="716" t="n"/>
      <c r="I69" s="716" t="n"/>
      <c r="J69" s="716" t="n"/>
      <c r="K69" s="716" t="n"/>
      <c r="L69" s="716" t="n"/>
      <c r="M69" s="716" t="n"/>
      <c r="N69" s="716" t="n"/>
      <c r="O69" s="716" t="n"/>
      <c r="P69" s="716" t="n"/>
      <c r="Q69" s="716" t="n"/>
      <c r="R69" s="716" t="n"/>
      <c r="S69" s="462">
        <f>IF(_epmOfflineCondition_,"  实收资本（或股本）",EPMMemberDesc(U69))</f>
        <v/>
      </c>
      <c r="T69" s="716" t="n"/>
      <c r="U69" s="716" t="inlineStr">
        <is>
          <t>A0010301</t>
        </is>
      </c>
      <c r="V69" s="459">
        <f>IF(_epmOfflineCondition_,"A0010301",EPMOlapMemberO(U69,"[C_ACCOUNT].[PARENTH1].[A0010301]","A0010301 -   实收资本（或股本）","","000"))</f>
        <v/>
      </c>
      <c r="W69" s="462" t="n"/>
      <c r="X69" s="475" t="inlineStr">
        <is>
          <t>实收资本（股本）</t>
        </is>
      </c>
      <c r="Y69" s="1396" t="inlineStr"/>
      <c r="Z69" s="1189" t="n"/>
      <c r="AA69" s="1189" t="inlineStr"/>
      <c r="AB69" s="1189">
        <f>AA69</f>
        <v/>
      </c>
      <c r="AC69" s="1189" t="inlineStr"/>
      <c r="AD69" s="716" t="n"/>
      <c r="AE69" s="716" t="n"/>
      <c r="AF69" s="716" t="n"/>
      <c r="AG69" s="716" t="n"/>
      <c r="AH69" s="716" t="n"/>
      <c r="AI69" s="716" t="n"/>
      <c r="AJ69" s="716" t="n"/>
      <c r="AK69" s="716" t="n"/>
      <c r="AL69" s="716" t="n"/>
      <c r="AM69" s="716" t="n"/>
      <c r="AN69" s="716" t="n"/>
      <c r="AO69" s="716" t="n"/>
      <c r="AP69" s="716" t="n"/>
      <c r="AQ69" s="716" t="n"/>
      <c r="AR69" s="716" t="n"/>
    </row>
    <row r="70" ht="16.35" customFormat="1" customHeight="1" s="716">
      <c r="A70" s="716" t="n"/>
      <c r="B70" s="716" t="n"/>
      <c r="C70" s="716" t="n"/>
      <c r="D70" s="716" t="n"/>
      <c r="E70" s="716" t="n"/>
      <c r="F70" s="716" t="n"/>
      <c r="G70" s="716" t="n"/>
      <c r="H70" s="716" t="n"/>
      <c r="I70" s="716" t="n"/>
      <c r="J70" s="716" t="n"/>
      <c r="K70" s="716" t="n"/>
      <c r="L70" s="716" t="n"/>
      <c r="M70" s="716" t="n"/>
      <c r="N70" s="716" t="n"/>
      <c r="O70" s="716" t="n"/>
      <c r="P70" s="716" t="n"/>
      <c r="Q70" s="716" t="n"/>
      <c r="R70" s="716" t="n"/>
      <c r="S70" s="462">
        <f>IF(_epmOfflineCondition_,"其中：国家资本",EPMMemberDesc(U70))</f>
        <v/>
      </c>
      <c r="T70" s="716" t="n"/>
      <c r="U70" s="716" t="inlineStr">
        <is>
          <t>A08303</t>
        </is>
      </c>
      <c r="V70" s="462">
        <f>IF(_epmOfflineCondition_,"A08303",EPMOlapMemberO(U70,"[C_ACCOUNT].[PARENTH1].[A08303]","A08303 - 其中：国家资本","","000"))</f>
        <v/>
      </c>
      <c r="W70" s="462" t="n"/>
      <c r="X70" s="457" t="inlineStr">
        <is>
          <t>其中：国家资本</t>
        </is>
      </c>
      <c r="Y70" s="1396" t="inlineStr"/>
      <c r="Z70" s="1189" t="n"/>
      <c r="AA70" s="1189" t="n"/>
      <c r="AB70" s="1189" t="n"/>
      <c r="AC70" s="1189" t="n"/>
      <c r="AD70" s="716" t="n"/>
      <c r="AE70" s="716" t="n"/>
      <c r="AF70" s="716" t="n"/>
      <c r="AG70" s="716" t="n"/>
      <c r="AH70" s="716" t="n"/>
      <c r="AI70" s="716" t="n"/>
      <c r="AJ70" s="716" t="n"/>
      <c r="AK70" s="716" t="n"/>
      <c r="AL70" s="716" t="n"/>
      <c r="AM70" s="716" t="n"/>
      <c r="AN70" s="716" t="n"/>
      <c r="AO70" s="716" t="n"/>
      <c r="AP70" s="716" t="n"/>
      <c r="AQ70" s="716" t="n"/>
      <c r="AR70" s="716" t="n"/>
    </row>
    <row r="71" ht="16.35" customFormat="1" customHeight="1" s="716">
      <c r="A71" s="716" t="n"/>
      <c r="B71" s="716" t="n"/>
      <c r="C71" s="716" t="n"/>
      <c r="D71" s="716" t="n"/>
      <c r="E71" s="716" t="n"/>
      <c r="F71" s="716" t="n"/>
      <c r="G71" s="716" t="n"/>
      <c r="H71" s="716" t="n"/>
      <c r="I71" s="716" t="n"/>
      <c r="J71" s="716" t="n"/>
      <c r="K71" s="716" t="n"/>
      <c r="L71" s="716" t="n"/>
      <c r="M71" s="716" t="n"/>
      <c r="N71" s="716" t="n"/>
      <c r="O71" s="716" t="n"/>
      <c r="P71" s="716" t="n"/>
      <c r="Q71" s="716" t="n"/>
      <c r="R71" s="716" t="n"/>
      <c r="S71" s="462">
        <f>IF(_epmOfflineCondition_,"国有法人资本",EPMMemberDesc(U71))</f>
        <v/>
      </c>
      <c r="T71" s="716" t="n"/>
      <c r="U71" s="716" t="inlineStr">
        <is>
          <t>A08304</t>
        </is>
      </c>
      <c r="V71" s="462">
        <f>IF(_epmOfflineCondition_,"A08304",EPMOlapMemberO(U71,"[C_ACCOUNT].[PARENTH1].[A08304]","A08304 - 国有法人资本","","000"))</f>
        <v/>
      </c>
      <c r="W71" s="462" t="n"/>
      <c r="X71" s="458" t="inlineStr">
        <is>
          <t>国有法人资本</t>
        </is>
      </c>
      <c r="Y71" s="1396" t="inlineStr"/>
      <c r="Z71" s="1189" t="n"/>
      <c r="AA71" s="1189" t="n"/>
      <c r="AB71" s="1189" t="n"/>
      <c r="AC71" s="1189" t="n"/>
      <c r="AD71" s="716" t="n"/>
      <c r="AE71" s="716" t="n"/>
      <c r="AF71" s="716" t="n"/>
      <c r="AG71" s="716" t="n"/>
      <c r="AH71" s="716" t="n"/>
      <c r="AI71" s="716" t="n"/>
      <c r="AJ71" s="716" t="n"/>
      <c r="AK71" s="716" t="n"/>
      <c r="AL71" s="716" t="n"/>
      <c r="AM71" s="716" t="n"/>
      <c r="AN71" s="716" t="n"/>
      <c r="AO71" s="716" t="n"/>
      <c r="AP71" s="716" t="n"/>
      <c r="AQ71" s="716" t="n"/>
      <c r="AR71" s="716" t="n"/>
    </row>
    <row r="72" ht="16.35" customFormat="1" customHeight="1" s="716">
      <c r="A72" s="716" t="n"/>
      <c r="B72" s="716" t="n"/>
      <c r="C72" s="716" t="n"/>
      <c r="D72" s="716" t="n"/>
      <c r="E72" s="716" t="n"/>
      <c r="F72" s="716" t="n"/>
      <c r="G72" s="716" t="n"/>
      <c r="H72" s="716" t="n"/>
      <c r="I72" s="716" t="n"/>
      <c r="J72" s="716" t="n"/>
      <c r="K72" s="716" t="n"/>
      <c r="L72" s="716" t="n"/>
      <c r="M72" s="716" t="n"/>
      <c r="N72" s="716" t="n"/>
      <c r="O72" s="716" t="n"/>
      <c r="P72" s="716" t="n"/>
      <c r="Q72" s="716" t="n"/>
      <c r="R72" s="716" t="n"/>
      <c r="S72" s="462">
        <f>IF(_epmOfflineCondition_,"  其他权益工具",EPMMemberDesc(U72))</f>
        <v/>
      </c>
      <c r="T72" s="716" t="n"/>
      <c r="U72" s="716" t="inlineStr">
        <is>
          <t>A0010302</t>
        </is>
      </c>
      <c r="V72" s="459">
        <f>IF(_epmOfflineCondition_,"A0010302",EPMOlapMemberO(U72,"[C_ACCOUNT].[PARENTH1].[A0010302]","A0010302 -   其他权益工具","","000"))</f>
        <v/>
      </c>
      <c r="W72" s="462" t="n"/>
      <c r="X72" s="475" t="inlineStr">
        <is>
          <t>其他权益工具</t>
        </is>
      </c>
      <c r="Y72" s="1396" t="inlineStr"/>
      <c r="Z72" s="1189" t="n"/>
      <c r="AA72" s="1190" t="n"/>
      <c r="AB72" s="1190">
        <f>AA72</f>
        <v/>
      </c>
      <c r="AC72" s="1189" t="n"/>
      <c r="AD72" s="716" t="n"/>
      <c r="AE72" s="716" t="n"/>
      <c r="AF72" s="716" t="n"/>
      <c r="AG72" s="716" t="n"/>
      <c r="AH72" s="716" t="n"/>
      <c r="AI72" s="716" t="n"/>
      <c r="AJ72" s="716" t="n"/>
      <c r="AK72" s="716" t="n"/>
      <c r="AL72" s="716" t="n"/>
      <c r="AM72" s="716" t="n"/>
      <c r="AN72" s="716" t="n"/>
      <c r="AO72" s="716" t="n"/>
      <c r="AP72" s="716" t="n"/>
      <c r="AQ72" s="716" t="n"/>
      <c r="AR72" s="716" t="n"/>
    </row>
    <row r="73" ht="16.35" customFormat="1" customHeight="1" s="716">
      <c r="A73" s="716" t="n"/>
      <c r="B73" s="716" t="n"/>
      <c r="C73" s="716" t="n"/>
      <c r="D73" s="716" t="n"/>
      <c r="E73" s="716" t="n"/>
      <c r="F73" s="716" t="n"/>
      <c r="G73" s="716" t="n"/>
      <c r="H73" s="716" t="n"/>
      <c r="I73" s="716" t="n"/>
      <c r="J73" s="716" t="n"/>
      <c r="K73" s="716" t="n"/>
      <c r="L73" s="716" t="n"/>
      <c r="M73" s="716" t="n"/>
      <c r="N73" s="716" t="n"/>
      <c r="O73" s="716" t="n"/>
      <c r="P73" s="716" t="n"/>
      <c r="Q73" s="716" t="n"/>
      <c r="R73" s="716" t="n"/>
      <c r="S73" s="462">
        <f>IF(_epmOfflineCondition_,"  资本公积",EPMMemberDesc(U73))</f>
        <v/>
      </c>
      <c r="T73" s="716" t="n"/>
      <c r="U73" s="716" t="inlineStr">
        <is>
          <t>A0010303</t>
        </is>
      </c>
      <c r="V73" s="459">
        <f>IF(_epmOfflineCondition_,"A0010303",EPMOlapMemberO(U73,"[C_ACCOUNT].[PARENTH1].[A0010303]","A0010303 -   资本公积","","000"))</f>
        <v/>
      </c>
      <c r="W73" s="462" t="n"/>
      <c r="X73" s="475" t="inlineStr">
        <is>
          <t>资本公积</t>
        </is>
      </c>
      <c r="Y73" s="1396" t="inlineStr"/>
      <c r="Z73" s="1189" t="n"/>
      <c r="AA73" s="1190" t="n"/>
      <c r="AB73" s="1190">
        <f>AA73</f>
        <v/>
      </c>
      <c r="AC73" s="1189" t="n"/>
      <c r="AD73" s="716" t="n"/>
      <c r="AE73" s="716" t="n"/>
      <c r="AF73" s="716" t="n"/>
      <c r="AG73" s="716" t="n"/>
      <c r="AH73" s="716" t="n"/>
      <c r="AI73" s="716" t="n"/>
      <c r="AJ73" s="716" t="n"/>
      <c r="AK73" s="716" t="n"/>
      <c r="AL73" s="716" t="n"/>
      <c r="AM73" s="716" t="n"/>
      <c r="AN73" s="716" t="n"/>
      <c r="AO73" s="716" t="n"/>
      <c r="AP73" s="716" t="n"/>
      <c r="AQ73" s="716" t="n"/>
      <c r="AR73" s="716" t="n"/>
    </row>
    <row r="74" ht="16.35" customFormat="1" customHeight="1" s="716">
      <c r="A74" s="716" t="n"/>
      <c r="B74" s="716" t="n"/>
      <c r="C74" s="716" t="n"/>
      <c r="D74" s="716" t="n"/>
      <c r="E74" s="716" t="n"/>
      <c r="F74" s="716" t="n"/>
      <c r="G74" s="716" t="n"/>
      <c r="H74" s="716" t="n"/>
      <c r="I74" s="716" t="n"/>
      <c r="J74" s="716" t="n"/>
      <c r="K74" s="716" t="n"/>
      <c r="L74" s="716" t="n"/>
      <c r="M74" s="716" t="n"/>
      <c r="N74" s="716" t="n"/>
      <c r="O74" s="716" t="n"/>
      <c r="P74" s="716" t="n"/>
      <c r="Q74" s="716" t="n"/>
      <c r="R74" s="716" t="n"/>
      <c r="S74" s="462">
        <f>IF(_epmOfflineCondition_,"其中：资本溢价",EPMMemberDesc(U74))</f>
        <v/>
      </c>
      <c r="T74" s="716" t="n"/>
      <c r="U74" s="716" t="inlineStr">
        <is>
          <t>A08305</t>
        </is>
      </c>
      <c r="V74" s="462">
        <f>IF(_epmOfflineCondition_,"A08305",EPMOlapMemberO(U74,"[C_ACCOUNT].[PARENTH1].[A08305]","A08305 - 其中：资本溢价","","000"))</f>
        <v/>
      </c>
      <c r="W74" s="462" t="n"/>
      <c r="X74" s="457" t="inlineStr">
        <is>
          <t>其中：资本溢价</t>
        </is>
      </c>
      <c r="Y74" s="1396" t="inlineStr"/>
      <c r="Z74" s="1189" t="n"/>
      <c r="AA74" s="1189" t="n"/>
      <c r="AB74" s="1189" t="n"/>
      <c r="AC74" s="1189" t="n"/>
      <c r="AD74" s="716" t="n"/>
      <c r="AE74" s="716" t="n"/>
      <c r="AF74" s="716" t="n"/>
      <c r="AG74" s="716" t="n"/>
      <c r="AH74" s="716" t="n"/>
      <c r="AI74" s="716" t="n"/>
      <c r="AJ74" s="716" t="n"/>
      <c r="AK74" s="716" t="n"/>
      <c r="AL74" s="716" t="n"/>
      <c r="AM74" s="716" t="n"/>
      <c r="AN74" s="716" t="n"/>
      <c r="AO74" s="716" t="n"/>
      <c r="AP74" s="716" t="n"/>
      <c r="AQ74" s="716" t="n"/>
      <c r="AR74" s="716" t="n"/>
    </row>
    <row r="75" ht="16.35" customFormat="1" customHeight="1" s="716">
      <c r="A75" s="716" t="n"/>
      <c r="B75" s="716" t="n"/>
      <c r="C75" s="716" t="n"/>
      <c r="D75" s="716" t="n"/>
      <c r="E75" s="716" t="n"/>
      <c r="F75" s="716" t="n"/>
      <c r="G75" s="716" t="n"/>
      <c r="H75" s="716" t="n"/>
      <c r="I75" s="716" t="n"/>
      <c r="J75" s="716" t="n"/>
      <c r="K75" s="716" t="n"/>
      <c r="L75" s="716" t="n"/>
      <c r="M75" s="716" t="n"/>
      <c r="N75" s="716" t="n"/>
      <c r="O75" s="716" t="n"/>
      <c r="P75" s="716" t="n"/>
      <c r="Q75" s="716" t="n"/>
      <c r="R75" s="716" t="n"/>
      <c r="S75" s="462">
        <f>IF(_epmOfflineCondition_,"  盈余公积",EPMMemberDesc(U75))</f>
        <v/>
      </c>
      <c r="T75" s="716" t="n"/>
      <c r="U75" s="716" t="inlineStr">
        <is>
          <t>A0010307</t>
        </is>
      </c>
      <c r="V75" s="459">
        <f>IF(_epmOfflineCondition_,"A0010307",EPMOlapMemberO(U75,"[C_ACCOUNT].[PARENTH1].[A0010307]","A0010307 -   盈余公积","","000"))</f>
        <v/>
      </c>
      <c r="W75" s="462" t="n"/>
      <c r="X75" s="458" t="inlineStr">
        <is>
          <t>盈余公积</t>
        </is>
      </c>
      <c r="Y75" s="1396" t="inlineStr"/>
      <c r="Z75" s="1189" t="n"/>
      <c r="AA75" s="1190" t="n"/>
      <c r="AB75" s="1190">
        <f>AA75</f>
        <v/>
      </c>
      <c r="AC75" s="1189" t="n"/>
      <c r="AD75" s="716" t="n"/>
      <c r="AE75" s="716" t="n"/>
      <c r="AF75" s="716" t="n"/>
      <c r="AG75" s="716" t="n"/>
      <c r="AH75" s="716" t="n"/>
      <c r="AI75" s="716" t="n"/>
      <c r="AJ75" s="716" t="n"/>
      <c r="AK75" s="716" t="n"/>
      <c r="AL75" s="716" t="n"/>
      <c r="AM75" s="716" t="n"/>
      <c r="AN75" s="716" t="n"/>
      <c r="AO75" s="716" t="n"/>
      <c r="AP75" s="716" t="n"/>
      <c r="AQ75" s="716" t="n"/>
      <c r="AR75" s="716" t="n"/>
    </row>
    <row r="76" ht="16.35" customFormat="1" customHeight="1" s="716">
      <c r="A76" s="716" t="n"/>
      <c r="B76" s="716" t="n"/>
      <c r="C76" s="716" t="n"/>
      <c r="D76" s="716" t="n"/>
      <c r="E76" s="716" t="n"/>
      <c r="F76" s="716" t="n"/>
      <c r="G76" s="716" t="n"/>
      <c r="H76" s="716" t="n"/>
      <c r="I76" s="716" t="n"/>
      <c r="J76" s="716" t="n"/>
      <c r="K76" s="716" t="n"/>
      <c r="L76" s="716" t="n"/>
      <c r="M76" s="716" t="n"/>
      <c r="N76" s="716" t="n"/>
      <c r="O76" s="716" t="n"/>
      <c r="P76" s="716" t="n"/>
      <c r="Q76" s="716" t="n"/>
      <c r="R76" s="716" t="n"/>
      <c r="S76" s="462">
        <f>IF(_epmOfflineCondition_,"　未分配利润",EPMMemberDesc(U76))</f>
        <v/>
      </c>
      <c r="T76" s="716" t="n"/>
      <c r="U76" s="716" t="inlineStr">
        <is>
          <t>A0010309</t>
        </is>
      </c>
      <c r="V76" s="459">
        <f>IF(_epmOfflineCondition_,"A0010309",EPMOlapMemberO(U76,"[C_ACCOUNT].[PARENTH1].[A0010309]","A0010309 - 　未分配利润","","000"))</f>
        <v/>
      </c>
      <c r="W76" s="462" t="n"/>
      <c r="X76" s="458" t="inlineStr">
        <is>
          <t>未分配利润</t>
        </is>
      </c>
      <c r="Y76" s="1396" t="inlineStr"/>
      <c r="Z76" s="1189" t="inlineStr"/>
      <c r="AA76" s="1190" t="inlineStr"/>
      <c r="AB76" s="1190">
        <f>AA76</f>
        <v/>
      </c>
      <c r="AC76" s="1189" t="inlineStr"/>
      <c r="AD76" s="716" t="n"/>
      <c r="AE76" s="716" t="n"/>
      <c r="AF76" s="716" t="n"/>
      <c r="AG76" s="716" t="n"/>
      <c r="AH76" s="716" t="n"/>
      <c r="AI76" s="716" t="n"/>
      <c r="AJ76" s="716" t="n"/>
      <c r="AK76" s="716" t="n"/>
      <c r="AL76" s="716" t="n"/>
      <c r="AM76" s="716" t="n"/>
      <c r="AN76" s="716" t="n"/>
      <c r="AO76" s="716" t="n"/>
      <c r="AP76" s="716" t="n"/>
      <c r="AQ76" s="716" t="n"/>
      <c r="AR76" s="716" t="n"/>
    </row>
    <row r="77" ht="16.35" customFormat="1" customHeight="1" s="716">
      <c r="A77" s="716" t="n"/>
      <c r="B77" s="716" t="n"/>
      <c r="C77" s="716" t="n"/>
      <c r="D77" s="716" t="n"/>
      <c r="E77" s="716" t="n"/>
      <c r="F77" s="716" t="n"/>
      <c r="G77" s="716" t="n"/>
      <c r="H77" s="716" t="n"/>
      <c r="I77" s="716" t="n"/>
      <c r="J77" s="716" t="n"/>
      <c r="K77" s="716" t="n"/>
      <c r="L77" s="716" t="n"/>
      <c r="M77" s="716" t="n"/>
      <c r="N77" s="716" t="n"/>
      <c r="O77" s="716" t="n"/>
      <c r="P77" s="716" t="n"/>
      <c r="Q77" s="716" t="n"/>
      <c r="R77" s="716" t="n"/>
      <c r="S77" s="462">
        <f>IF(_epmOfflineCondition_,"        所有者权益合计",EPMMemberDesc(U77))</f>
        <v/>
      </c>
      <c r="T77" s="716" t="n"/>
      <c r="U77" s="716" t="inlineStr">
        <is>
          <t>A00103</t>
        </is>
      </c>
      <c r="V77" s="455">
        <f>IF(_epmOfflineCondition_,"A00103",EPMOlapMemberO(U77,"[C_ACCOUNT].[PARENTH1].[A00103]","A00103 -         所有者权益合计","","000"))</f>
        <v/>
      </c>
      <c r="W77" s="462" t="n"/>
      <c r="X77" s="454" t="inlineStr">
        <is>
          <t>所有者权益（或股东权益）合计</t>
        </is>
      </c>
      <c r="Y77" s="1396" t="inlineStr"/>
      <c r="Z77" s="1189" t="inlineStr"/>
      <c r="AA77" s="1190" t="inlineStr"/>
      <c r="AB77" s="1190">
        <f>AA77</f>
        <v/>
      </c>
      <c r="AC77" s="1189" t="inlineStr"/>
      <c r="AD77" s="716" t="n"/>
      <c r="AE77" s="716" t="n"/>
      <c r="AF77" s="716" t="n"/>
      <c r="AG77" s="716" t="n"/>
      <c r="AH77" s="716" t="n"/>
      <c r="AI77" s="716" t="n"/>
      <c r="AJ77" s="716" t="n"/>
      <c r="AK77" s="716" t="n"/>
      <c r="AL77" s="716" t="n"/>
      <c r="AM77" s="716" t="n"/>
      <c r="AN77" s="716" t="n"/>
      <c r="AO77" s="716" t="n"/>
      <c r="AP77" s="716" t="n"/>
      <c r="AQ77" s="716" t="n"/>
      <c r="AR77" s="716" t="n"/>
    </row>
    <row r="78" ht="16.35" customFormat="1" customHeight="1" s="716">
      <c r="A78" s="716" t="n"/>
      <c r="B78" s="716" t="n"/>
      <c r="C78" s="716" t="n"/>
      <c r="D78" s="716" t="n"/>
      <c r="E78" s="716" t="n"/>
      <c r="F78" s="716" t="n"/>
      <c r="G78" s="716" t="n"/>
      <c r="H78" s="716" t="n"/>
      <c r="I78" s="716" t="n"/>
      <c r="J78" s="716" t="n"/>
      <c r="K78" s="716" t="n"/>
      <c r="L78" s="716" t="n"/>
      <c r="M78" s="716" t="n"/>
      <c r="N78" s="716" t="n"/>
      <c r="O78" s="716" t="n"/>
      <c r="P78" s="716" t="n"/>
      <c r="Q78" s="716" t="n"/>
      <c r="R78" s="716" t="n"/>
      <c r="S78" s="462">
        <f>IF(_epmOfflineCondition_,"　归属于母公司所有者权益合计",EPMMemberDesc(U78))</f>
        <v/>
      </c>
      <c r="T78" s="716" t="n"/>
      <c r="U78" s="716" t="inlineStr">
        <is>
          <t>A0010310</t>
        </is>
      </c>
      <c r="V78" s="535">
        <f>IF(_epmOfflineCondition_,"A0010310",EPMOlapMemberO(U78,"[C_ACCOUNT].[PARENTH1].[A0010310]","A0010310 - 　归属于母公司所有者权益合计","","000"))</f>
        <v/>
      </c>
      <c r="W78" s="462" t="n"/>
      <c r="X78" s="457" t="inlineStr">
        <is>
          <t>其中：归属于母公司所有者权益（或股东权益）合计</t>
        </is>
      </c>
      <c r="Y78" s="1396" t="inlineStr"/>
      <c r="Z78" s="1189" t="inlineStr"/>
      <c r="AA78" s="1190" t="inlineStr"/>
      <c r="AB78" s="1190">
        <f>AA78</f>
        <v/>
      </c>
      <c r="AC78" s="1189" t="inlineStr"/>
      <c r="AD78" s="716" t="n"/>
      <c r="AE78" s="716" t="n"/>
      <c r="AF78" s="716" t="n"/>
      <c r="AG78" s="716" t="n"/>
      <c r="AH78" s="716" t="n"/>
      <c r="AI78" s="716" t="n"/>
      <c r="AJ78" s="716" t="n"/>
      <c r="AK78" s="716" t="n"/>
      <c r="AL78" s="716" t="n"/>
      <c r="AM78" s="716" t="n"/>
      <c r="AN78" s="716" t="n"/>
      <c r="AO78" s="716" t="n"/>
      <c r="AP78" s="716" t="n"/>
      <c r="AQ78" s="716" t="n"/>
      <c r="AR78" s="716" t="n"/>
    </row>
  </sheetData>
  <sheetProtection selectLockedCells="0" selectUnlockedCells="0" algorithmName="SHA-512" sheet="1" objects="0" insertRows="1" insertHyperlinks="1" autoFilter="1" scenarios="1" formatColumns="1" deleteColumns="1" insertColumns="1" pivotTables="1" deleteRows="1" formatCells="1" saltValue="SfP44fZie2O3deHJF9NWqw==" formatRows="1" sort="1" spinCount="100000" hashValue="P9Cig7xq9Ph3Tl9XG64mYI4yqM7tPomUfgLsaLwvjMollomfMANAeNho8sWw0uD8S/NL/6iDgtzWR1/h9NJl4Q=="/>
  <mergeCells count="2">
    <mergeCell ref="H2:J2"/>
    <mergeCell ref="D16:E16"/>
  </mergeCells>
  <pageMargins left="0.7086614173228351" right="0.7086614173228351" top="0.748031496062992" bottom="0.748031496062992" header="0.31496062992126" footer="0.31496062992126"/>
  <pageSetup orientation="landscape" paperSize="9" scale="84" fitToHeight="0"/>
  <drawing xmlns:r="http://schemas.openxmlformats.org/officeDocument/2006/relationships" r:id="rId1"/>
</worksheet>
</file>

<file path=xl/worksheets/sheet36.xml><?xml version="1.0" encoding="utf-8"?>
<worksheet xmlns="http://schemas.openxmlformats.org/spreadsheetml/2006/main">
  <sheetPr codeName="Sheet26">
    <outlinePr showOutlineSymbols="0"/>
    <pageSetUpPr/>
  </sheetPr>
  <dimension ref="A1:CK107"/>
  <sheetViews>
    <sheetView showOutlineSymbols="0" topLeftCell="Q34" workbookViewId="0">
      <pane xSplit="6" ySplit="18" topLeftCell="CF52" activePane="bottomRight" state="frozen"/>
      <selection activeCell="A1" sqref="A1"/>
      <selection pane="topRight" activeCell="A1" sqref="A1"/>
      <selection pane="bottomLeft" activeCell="A1" sqref="A1"/>
      <selection pane="bottomRight" activeCell="CG62" sqref="CG62"/>
    </sheetView>
  </sheetViews>
  <sheetFormatPr baseColWidth="8" defaultColWidth="9" defaultRowHeight="16.8"/>
  <cols>
    <col hidden="1" outlineLevel="1" width="8.625" customWidth="1" style="1181" min="1" max="1"/>
    <col hidden="1" outlineLevel="1" width="15.125" customWidth="1" style="1181" min="2" max="2"/>
    <col hidden="1" outlineLevel="1" width="11.375" customWidth="1" style="1181" min="3" max="3"/>
    <col hidden="1" outlineLevel="1" width="21.875" customWidth="1" style="1181" min="4" max="4"/>
    <col hidden="1" outlineLevel="1" width="15" customWidth="1" style="1181" min="5" max="5"/>
    <col hidden="1" outlineLevel="1" width="14.125" customWidth="1" style="1181" min="6" max="6"/>
    <col hidden="1" outlineLevel="1" width="7.625" customWidth="1" style="1181" min="7" max="9"/>
    <col hidden="1" outlineLevel="1" width="8.625" customWidth="1" style="1181" min="10" max="14"/>
    <col hidden="1" outlineLevel="1" width="37.875" customWidth="1" style="1181" min="15" max="15"/>
    <col hidden="1" outlineLevel="1" width="10.125" customWidth="1" style="1181" min="16" max="16"/>
    <col collapsed="1" width="1.625" customWidth="1" style="1181" min="17" max="17"/>
    <col width="43.5" customWidth="1" style="1181" min="18" max="18"/>
    <col width="4.5" customWidth="1" style="1181" min="19" max="19"/>
    <col width="10.625" customWidth="1" style="1181" min="20" max="20"/>
    <col hidden="1" outlineLevel="1" width="13.625" customWidth="1" style="1181" min="21" max="22"/>
    <col collapsed="1" width="20.625" customWidth="1" style="1181" min="23" max="23"/>
    <col width="20.625" customWidth="1" style="1181" min="24" max="36"/>
    <col hidden="1" outlineLevel="1" width="20.625" customWidth="1" style="1181" min="37" max="48"/>
    <col collapsed="1" width="20.625" customWidth="1" style="1181" min="49" max="49"/>
    <col width="20.625" customWidth="1" style="1181" min="50" max="76"/>
    <col hidden="1" outlineLevel="1" width="20.625" customWidth="1" style="1181" min="77" max="82"/>
    <col collapsed="1" width="20.625" customWidth="1" style="1181" min="83" max="83"/>
    <col width="20.625" customWidth="1" style="1181" min="84" max="89"/>
  </cols>
  <sheetData>
    <row r="1" hidden="1" outlineLevel="1" s="1181">
      <c r="A1" s="172" t="inlineStr">
        <is>
          <t>维度清单</t>
        </is>
      </c>
      <c r="B1" s="462" t="n"/>
      <c r="C1" s="173" t="n"/>
      <c r="D1" s="173" t="n"/>
      <c r="E1" s="716" t="n"/>
      <c r="F1" s="384" t="n"/>
      <c r="G1" s="384" t="n"/>
      <c r="H1" s="384" t="n"/>
      <c r="I1" s="384" t="n"/>
      <c r="J1" s="384" t="n"/>
      <c r="K1" s="384" t="n"/>
      <c r="L1" s="384" t="n"/>
      <c r="M1" s="384" t="n"/>
      <c r="N1" s="384" t="n"/>
      <c r="O1" s="384" t="n"/>
      <c r="P1" s="384" t="n"/>
      <c r="Q1" s="384" t="n"/>
      <c r="R1" s="384" t="n"/>
      <c r="S1" s="384" t="n"/>
      <c r="T1" s="384" t="n"/>
      <c r="U1" s="384" t="n"/>
      <c r="V1" s="384" t="n"/>
      <c r="W1" s="384" t="n"/>
      <c r="X1" s="384" t="n"/>
      <c r="Y1" s="384" t="n"/>
      <c r="Z1" s="384" t="n"/>
      <c r="AA1" s="384" t="n"/>
      <c r="AB1" s="384" t="n"/>
      <c r="AC1" s="384" t="n"/>
      <c r="AD1" s="384" t="n"/>
      <c r="AE1" s="384" t="n"/>
      <c r="AF1" s="384" t="n"/>
      <c r="AG1" s="384" t="n"/>
      <c r="AH1" s="384" t="n"/>
      <c r="AI1" s="384" t="n"/>
      <c r="AJ1" s="384" t="n"/>
      <c r="AK1" s="384" t="n"/>
      <c r="AL1" s="384" t="n"/>
      <c r="AM1" s="384" t="n"/>
      <c r="AN1" s="384" t="n"/>
      <c r="AO1" s="384" t="n"/>
      <c r="AP1" s="384" t="n"/>
      <c r="AQ1" s="384" t="n"/>
      <c r="AR1" s="384" t="n"/>
      <c r="AS1" s="384" t="n"/>
      <c r="AT1" s="384" t="n"/>
      <c r="AU1" s="384" t="n"/>
      <c r="AV1" s="384" t="n"/>
      <c r="AW1" s="384" t="n"/>
      <c r="AX1" s="384" t="n"/>
      <c r="AY1" s="384" t="n"/>
      <c r="AZ1" s="384" t="n"/>
      <c r="BA1" s="384" t="n"/>
      <c r="BB1" s="384" t="n"/>
      <c r="BC1" s="384" t="n"/>
      <c r="BD1" s="384" t="n"/>
      <c r="BE1" s="384" t="n"/>
      <c r="BF1" s="384" t="n"/>
      <c r="BG1" s="384" t="n"/>
      <c r="BH1" s="384" t="n"/>
      <c r="BI1" s="384" t="n"/>
      <c r="BJ1" s="384" t="n"/>
      <c r="BK1" s="384" t="n"/>
      <c r="BL1" s="384" t="n"/>
      <c r="BM1" s="384" t="n"/>
      <c r="BN1" s="384" t="n"/>
      <c r="BO1" s="384" t="n"/>
      <c r="BP1" s="384" t="n"/>
      <c r="BQ1" s="384" t="n"/>
      <c r="BR1" s="384" t="n"/>
      <c r="BS1" s="384" t="n"/>
      <c r="BT1" s="384" t="n"/>
      <c r="BU1" s="384" t="n"/>
      <c r="BV1" s="384" t="n"/>
      <c r="BW1" s="384" t="n"/>
      <c r="BX1" s="384" t="n"/>
      <c r="BY1" s="384" t="n"/>
      <c r="BZ1" s="384" t="n"/>
      <c r="CA1" s="384" t="n"/>
      <c r="CB1" s="384" t="n"/>
      <c r="CC1" s="384" t="n"/>
      <c r="CD1" s="384" t="n"/>
      <c r="CE1" s="384" t="n"/>
      <c r="CF1" s="384" t="n"/>
      <c r="CG1" s="384" t="n"/>
      <c r="CH1" s="384" t="n"/>
      <c r="CI1" s="384" t="n"/>
      <c r="CJ1" s="384" t="n"/>
      <c r="CK1" s="384" t="n"/>
    </row>
    <row r="2" hidden="1" outlineLevel="1" s="1181">
      <c r="A2" s="174" t="inlineStr">
        <is>
          <t>维度类型</t>
        </is>
      </c>
      <c r="B2" s="174" t="inlineStr">
        <is>
          <t>维度</t>
        </is>
      </c>
      <c r="C2" s="174" t="inlineStr">
        <is>
          <t>维度CV值</t>
        </is>
      </c>
      <c r="D2" s="174" t="inlineStr">
        <is>
          <t>描述</t>
        </is>
      </c>
      <c r="E2" s="174" t="inlineStr">
        <is>
          <t>拓展1</t>
        </is>
      </c>
      <c r="F2" s="174" t="inlineStr">
        <is>
          <t>拓展2</t>
        </is>
      </c>
      <c r="G2" s="174" t="inlineStr">
        <is>
          <t>拓展3</t>
        </is>
      </c>
      <c r="H2" s="174" t="inlineStr">
        <is>
          <t>拓展4</t>
        </is>
      </c>
      <c r="I2" s="174" t="inlineStr">
        <is>
          <t>拓展5</t>
        </is>
      </c>
      <c r="J2" s="384" t="n"/>
      <c r="K2" s="384" t="n"/>
      <c r="L2" s="384" t="n"/>
      <c r="M2" s="384" t="n"/>
      <c r="N2" s="384" t="n"/>
      <c r="O2" s="384" t="n"/>
      <c r="P2" s="384" t="n"/>
      <c r="Q2" s="384" t="n"/>
      <c r="R2" s="384" t="n"/>
      <c r="S2" s="384" t="n"/>
      <c r="T2" s="384" t="n"/>
      <c r="U2" s="384" t="n"/>
      <c r="V2" s="384" t="n"/>
      <c r="W2" s="384" t="n"/>
      <c r="X2" s="384" t="n"/>
      <c r="Y2" s="384" t="n"/>
      <c r="Z2" s="384" t="n"/>
      <c r="AA2" s="384" t="n"/>
      <c r="AB2" s="384" t="n"/>
      <c r="AC2" s="384" t="n"/>
      <c r="AD2" s="384" t="n"/>
      <c r="AE2" s="384" t="n"/>
      <c r="AF2" s="384" t="n"/>
      <c r="AG2" s="384" t="n"/>
      <c r="AH2" s="384" t="n"/>
      <c r="AI2" s="384" t="n"/>
      <c r="AJ2" s="384" t="n"/>
      <c r="AK2" s="384" t="n"/>
      <c r="AL2" s="384" t="n"/>
      <c r="AM2" s="384" t="n"/>
      <c r="AN2" s="384" t="n"/>
      <c r="AO2" s="384" t="n"/>
      <c r="AP2" s="384" t="n"/>
      <c r="AQ2" s="384" t="n"/>
      <c r="AR2" s="384" t="n"/>
      <c r="AS2" s="384" t="n"/>
      <c r="AT2" s="384" t="n"/>
      <c r="AU2" s="384" t="n"/>
      <c r="AV2" s="384" t="n"/>
      <c r="AW2" s="384" t="n"/>
      <c r="AX2" s="384" t="n"/>
      <c r="AY2" s="384" t="n"/>
      <c r="AZ2" s="384" t="n"/>
      <c r="BA2" s="384" t="n"/>
      <c r="BB2" s="384" t="n"/>
      <c r="BC2" s="384" t="n"/>
      <c r="BD2" s="384" t="n"/>
      <c r="BE2" s="384" t="n"/>
      <c r="BF2" s="384" t="n"/>
      <c r="BG2" s="384" t="n"/>
      <c r="BH2" s="384" t="n"/>
      <c r="BI2" s="384" t="n"/>
      <c r="BJ2" s="384" t="n"/>
      <c r="BK2" s="384" t="n"/>
      <c r="BL2" s="384" t="n"/>
      <c r="BM2" s="384" t="n"/>
      <c r="BN2" s="384" t="n"/>
      <c r="BO2" s="384" t="n"/>
      <c r="BP2" s="384" t="n"/>
      <c r="BQ2" s="384" t="n"/>
      <c r="BR2" s="384" t="n"/>
      <c r="BS2" s="384" t="n"/>
      <c r="BT2" s="384" t="n"/>
      <c r="BU2" s="384" t="n"/>
      <c r="BV2" s="384" t="n"/>
      <c r="BW2" s="384" t="n"/>
      <c r="BX2" s="384" t="n"/>
      <c r="BY2" s="384" t="n"/>
      <c r="BZ2" s="384" t="n"/>
      <c r="CA2" s="384" t="n"/>
      <c r="CB2" s="384" t="n"/>
      <c r="CC2" s="384" t="n"/>
      <c r="CD2" s="384" t="n"/>
      <c r="CE2" s="384" t="n"/>
      <c r="CF2" s="384" t="n"/>
      <c r="CG2" s="384" t="n"/>
      <c r="CH2" s="384" t="n"/>
      <c r="CI2" s="384" t="n"/>
      <c r="CJ2" s="384" t="n"/>
      <c r="CK2" s="384" t="n"/>
    </row>
    <row r="3" hidden="1" outlineLevel="1" s="1181">
      <c r="A3" s="175" t="inlineStr">
        <is>
          <t>A</t>
        </is>
      </c>
      <c r="B3" s="176">
        <f>IF(_epmOfflineCondition_,"C_ACCOUNT",EPMDimensionType(,A3))</f>
        <v/>
      </c>
      <c r="C3" s="176">
        <f>IF(_epmOfflineCondition_,"A_ALL",IF(B3="","",EPMContextMember(,B3)))</f>
        <v/>
      </c>
      <c r="D3" s="176">
        <f>IF(_epmOfflineCondition_,"所有科目",EPMMemberDesc(C3))</f>
        <v/>
      </c>
      <c r="E3" s="176" t="n"/>
      <c r="F3" s="176" t="n"/>
      <c r="G3" s="176" t="n"/>
      <c r="H3" s="176" t="n"/>
      <c r="I3" s="176" t="n"/>
      <c r="J3" s="384" t="n"/>
      <c r="K3" s="384" t="n"/>
      <c r="L3" s="384" t="n"/>
      <c r="M3" s="384" t="n"/>
      <c r="N3" s="384" t="n"/>
      <c r="O3" s="384" t="n"/>
      <c r="P3" s="384" t="n"/>
      <c r="Q3" s="384" t="n"/>
      <c r="R3" s="384" t="n"/>
      <c r="S3" s="384" t="n"/>
      <c r="T3" s="384" t="n"/>
      <c r="U3" s="384" t="n"/>
      <c r="V3" s="384" t="n"/>
      <c r="W3" s="384" t="n"/>
      <c r="X3" s="384" t="n"/>
      <c r="Y3" s="384" t="n"/>
      <c r="Z3" s="384" t="n"/>
      <c r="AA3" s="384" t="n"/>
      <c r="AB3" s="384" t="n"/>
      <c r="AC3" s="384" t="n"/>
      <c r="AD3" s="384" t="n"/>
      <c r="AE3" s="384" t="n"/>
      <c r="AF3" s="384" t="n"/>
      <c r="AG3" s="384" t="n"/>
      <c r="AH3" s="384" t="n"/>
      <c r="AI3" s="384" t="n"/>
      <c r="AJ3" s="384" t="n"/>
      <c r="AK3" s="384" t="n"/>
      <c r="AL3" s="384" t="n"/>
      <c r="AM3" s="384" t="n"/>
      <c r="AN3" s="384" t="n"/>
      <c r="AO3" s="384" t="n"/>
      <c r="AP3" s="384" t="n"/>
      <c r="AQ3" s="384" t="n"/>
      <c r="AR3" s="384" t="n"/>
      <c r="AS3" s="384" t="n"/>
      <c r="AT3" s="384" t="n"/>
      <c r="AU3" s="384" t="n"/>
      <c r="AV3" s="384" t="n"/>
      <c r="AW3" s="384" t="n"/>
      <c r="AX3" s="384" t="n"/>
      <c r="AY3" s="384" t="n"/>
      <c r="AZ3" s="384" t="n"/>
      <c r="BA3" s="384" t="n"/>
      <c r="BB3" s="384" t="n"/>
      <c r="BC3" s="384" t="n"/>
      <c r="BD3" s="384" t="n"/>
      <c r="BE3" s="384" t="n"/>
      <c r="BF3" s="384" t="n"/>
      <c r="BG3" s="384" t="n"/>
      <c r="BH3" s="384" t="n"/>
      <c r="BI3" s="384" t="n"/>
      <c r="BJ3" s="384" t="n"/>
      <c r="BK3" s="384" t="n"/>
      <c r="BL3" s="384" t="n"/>
      <c r="BM3" s="384" t="n"/>
      <c r="BN3" s="384" t="n"/>
      <c r="BO3" s="384" t="n"/>
      <c r="BP3" s="384" t="n"/>
      <c r="BQ3" s="384" t="n"/>
      <c r="BR3" s="384" t="n"/>
      <c r="BS3" s="384" t="n"/>
      <c r="BT3" s="384" t="n"/>
      <c r="BU3" s="384" t="n"/>
      <c r="BV3" s="384" t="n"/>
      <c r="BW3" s="384" t="n"/>
      <c r="BX3" s="384" t="n"/>
      <c r="BY3" s="384" t="n"/>
      <c r="BZ3" s="384" t="n"/>
      <c r="CA3" s="384" t="n"/>
      <c r="CB3" s="384" t="n"/>
      <c r="CC3" s="384" t="n"/>
      <c r="CD3" s="384" t="n"/>
      <c r="CE3" s="384" t="n"/>
      <c r="CF3" s="384" t="n"/>
      <c r="CG3" s="384" t="n"/>
      <c r="CH3" s="384" t="n"/>
      <c r="CI3" s="384" t="n"/>
      <c r="CJ3" s="384" t="n"/>
      <c r="CK3" s="384" t="n"/>
    </row>
    <row r="4" hidden="1" outlineLevel="1" s="1181">
      <c r="A4" s="175" t="inlineStr">
        <is>
          <t>C</t>
        </is>
      </c>
      <c r="B4" s="176">
        <f>IF(_epmOfflineCondition_,"C_CATEGORY",EPMDimensionType(,A4))</f>
        <v/>
      </c>
      <c r="C4" s="176">
        <f>IF(_epmOfflineCondition_,"C_ALL",IF(B4="","",EPMContextMember(,B4)))</f>
        <v/>
      </c>
      <c r="D4" s="176">
        <f>IF(_epmOfflineCondition_,"全部类别",EPMMemberDesc(C4))</f>
        <v/>
      </c>
      <c r="E4" s="176" t="n"/>
      <c r="F4" s="176" t="n"/>
      <c r="G4" s="176" t="n"/>
      <c r="H4" s="176" t="n"/>
      <c r="I4" s="176" t="n"/>
      <c r="J4" s="384" t="n"/>
      <c r="K4" s="384" t="n"/>
      <c r="L4" s="384" t="n"/>
      <c r="M4" s="384" t="n"/>
      <c r="N4" s="384" t="n"/>
      <c r="O4" s="384" t="n"/>
      <c r="P4" s="384" t="n"/>
      <c r="Q4" s="384" t="n"/>
      <c r="R4" s="384" t="n"/>
      <c r="S4" s="384" t="n"/>
      <c r="T4" s="384" t="n"/>
      <c r="U4" s="384" t="n"/>
      <c r="V4" s="384" t="n"/>
      <c r="W4" s="384" t="n"/>
      <c r="X4" s="384" t="n"/>
      <c r="Y4" s="384" t="n"/>
      <c r="Z4" s="384" t="n"/>
      <c r="AA4" s="384" t="n"/>
      <c r="AB4" s="384" t="n"/>
      <c r="AC4" s="384" t="n"/>
      <c r="AD4" s="384" t="n"/>
      <c r="AE4" s="384" t="n"/>
      <c r="AF4" s="384" t="n"/>
      <c r="AG4" s="384" t="n"/>
      <c r="AH4" s="384" t="n"/>
      <c r="AI4" s="384" t="n"/>
      <c r="AJ4" s="384" t="n"/>
      <c r="AK4" s="384" t="n"/>
      <c r="AL4" s="384" t="n"/>
      <c r="AM4" s="384" t="n"/>
      <c r="AN4" s="384" t="n"/>
      <c r="AO4" s="384" t="n"/>
      <c r="AP4" s="384" t="n"/>
      <c r="AQ4" s="384" t="n"/>
      <c r="AR4" s="384" t="n"/>
      <c r="AS4" s="384" t="n"/>
      <c r="AT4" s="384" t="n"/>
      <c r="AU4" s="384" t="n"/>
      <c r="AV4" s="384" t="n"/>
      <c r="AW4" s="384" t="n"/>
      <c r="AX4" s="384" t="n"/>
      <c r="AY4" s="384" t="n"/>
      <c r="AZ4" s="384" t="n"/>
      <c r="BA4" s="384" t="n"/>
      <c r="BB4" s="384" t="n"/>
      <c r="BC4" s="384" t="n"/>
      <c r="BD4" s="384" t="n"/>
      <c r="BE4" s="384" t="n"/>
      <c r="BF4" s="384" t="n"/>
      <c r="BG4" s="384" t="n"/>
      <c r="BH4" s="384" t="n"/>
      <c r="BI4" s="384" t="n"/>
      <c r="BJ4" s="384" t="n"/>
      <c r="BK4" s="384" t="n"/>
      <c r="BL4" s="384" t="n"/>
      <c r="BM4" s="384" t="n"/>
      <c r="BN4" s="384" t="n"/>
      <c r="BO4" s="384" t="n"/>
      <c r="BP4" s="384" t="n"/>
      <c r="BQ4" s="384" t="n"/>
      <c r="BR4" s="384" t="n"/>
      <c r="BS4" s="384" t="n"/>
      <c r="BT4" s="384" t="n"/>
      <c r="BU4" s="384" t="n"/>
      <c r="BV4" s="384" t="n"/>
      <c r="BW4" s="384" t="n"/>
      <c r="BX4" s="384" t="n"/>
      <c r="BY4" s="384" t="n"/>
      <c r="BZ4" s="384" t="n"/>
      <c r="CA4" s="384" t="n"/>
      <c r="CB4" s="384" t="n"/>
      <c r="CC4" s="384" t="n"/>
      <c r="CD4" s="384" t="n"/>
      <c r="CE4" s="384" t="n"/>
      <c r="CF4" s="384" t="n"/>
      <c r="CG4" s="384" t="n"/>
      <c r="CH4" s="384" t="n"/>
      <c r="CI4" s="384" t="n"/>
      <c r="CJ4" s="384" t="n"/>
      <c r="CK4" s="384" t="n"/>
    </row>
    <row r="5" hidden="1" outlineLevel="1" s="1181">
      <c r="A5" s="175" t="inlineStr">
        <is>
          <t>T</t>
        </is>
      </c>
      <c r="B5" s="176">
        <f>IF(_epmOfflineCondition_,"C_TIME",EPMDimensionType(,A5))</f>
        <v/>
      </c>
      <c r="C5" s="176">
        <f>IF(_epmOfflineCondition_,"2025.03",IF(B5="","",EPMContextMember(,B5)))</f>
        <v/>
      </c>
      <c r="D5" s="176">
        <f>IF(_epmOfflineCondition_,"2025.03",EPMMemberDesc(C5))</f>
        <v/>
      </c>
      <c r="E5" s="176">
        <f>LEFT(C5,4)</f>
        <v/>
      </c>
      <c r="F5" s="176">
        <f>RIGHT(C5,2)</f>
        <v/>
      </c>
      <c r="G5" s="176">
        <f>IF(_epmOfflineCondition_,"2025.02",IF(F5="01","2021.01",EPMMemberOffset(,C5,-1)))</f>
        <v/>
      </c>
      <c r="H5" s="176">
        <f>IF(_epmOfflineCondition_,"2025.01",IF(OR(F5="01",F5="02"),"2021.01",EPMMemberOffset(,C5,-2)))</f>
        <v/>
      </c>
      <c r="I5" s="176">
        <f>IF(_epmOfflineCondition_,"2024.03",EPMMemberOffset(,C5,-12))</f>
        <v/>
      </c>
      <c r="J5" s="384" t="n"/>
      <c r="K5" s="384" t="n"/>
      <c r="L5" s="384" t="n"/>
      <c r="M5" s="384" t="n"/>
      <c r="N5" s="384" t="n"/>
      <c r="O5" s="384" t="n"/>
      <c r="P5" s="384" t="n"/>
      <c r="Q5" s="384" t="n"/>
      <c r="R5" s="384" t="n"/>
      <c r="S5" s="384" t="n"/>
      <c r="T5" s="384" t="n"/>
      <c r="U5" s="384" t="n"/>
      <c r="V5" s="384" t="n"/>
      <c r="W5" s="384" t="n"/>
      <c r="X5" s="384" t="n"/>
      <c r="Y5" s="384" t="n"/>
      <c r="Z5" s="384" t="n"/>
      <c r="AA5" s="384" t="n"/>
      <c r="AB5" s="384" t="n"/>
      <c r="AC5" s="384" t="n"/>
      <c r="AD5" s="384" t="n"/>
      <c r="AE5" s="384" t="n"/>
      <c r="AF5" s="384" t="n"/>
      <c r="AG5" s="384" t="n"/>
      <c r="AH5" s="384" t="n"/>
      <c r="AI5" s="384" t="n"/>
      <c r="AJ5" s="384" t="n"/>
      <c r="AK5" s="384" t="n"/>
      <c r="AL5" s="384" t="n"/>
      <c r="AM5" s="384" t="n"/>
      <c r="AN5" s="384" t="n"/>
      <c r="AO5" s="384" t="n"/>
      <c r="AP5" s="384" t="n"/>
      <c r="AQ5" s="384" t="n"/>
      <c r="AR5" s="384" t="n"/>
      <c r="AS5" s="384" t="n"/>
      <c r="AT5" s="384" t="n"/>
      <c r="AU5" s="384" t="n"/>
      <c r="AV5" s="384" t="n"/>
      <c r="AW5" s="384" t="n"/>
      <c r="AX5" s="384" t="n"/>
      <c r="AY5" s="384" t="n"/>
      <c r="AZ5" s="384" t="n"/>
      <c r="BA5" s="384" t="n"/>
      <c r="BB5" s="384" t="n"/>
      <c r="BC5" s="384" t="n"/>
      <c r="BD5" s="384" t="n"/>
      <c r="BE5" s="384" t="n"/>
      <c r="BF5" s="384" t="n"/>
      <c r="BG5" s="384" t="n"/>
      <c r="BH5" s="384" t="n"/>
      <c r="BI5" s="384" t="n"/>
      <c r="BJ5" s="384" t="n"/>
      <c r="BK5" s="384" t="n"/>
      <c r="BL5" s="384" t="n"/>
      <c r="BM5" s="384" t="n"/>
      <c r="BN5" s="384" t="n"/>
      <c r="BO5" s="384" t="n"/>
      <c r="BP5" s="384" t="n"/>
      <c r="BQ5" s="384" t="n"/>
      <c r="BR5" s="384" t="n"/>
      <c r="BS5" s="384" t="n"/>
      <c r="BT5" s="384" t="n"/>
      <c r="BU5" s="384" t="n"/>
      <c r="BV5" s="384" t="n"/>
      <c r="BW5" s="384" t="n"/>
      <c r="BX5" s="384" t="n"/>
      <c r="BY5" s="384" t="n"/>
      <c r="BZ5" s="384" t="n"/>
      <c r="CA5" s="384" t="n"/>
      <c r="CB5" s="384" t="n"/>
      <c r="CC5" s="384" t="n"/>
      <c r="CD5" s="384" t="n"/>
      <c r="CE5" s="384" t="n"/>
      <c r="CF5" s="384" t="n"/>
      <c r="CG5" s="384" t="n"/>
      <c r="CH5" s="384" t="n"/>
      <c r="CI5" s="384" t="n"/>
      <c r="CJ5" s="384" t="n"/>
      <c r="CK5" s="384" t="n"/>
    </row>
    <row r="6" hidden="1" outlineLevel="1" s="1181">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f>IF(_epmOfflineCondition_,"内蒙古京能苏尼特风力发电有限公司（内蒙古分公司）",IF(C6="E_ALL",EPMMemberDesc(EPMMemberProperty(,C11,"GENTITY")),D6))</f>
        <v/>
      </c>
      <c r="F6" s="176" t="n"/>
      <c r="G6" s="176" t="n"/>
      <c r="H6" s="176" t="n"/>
      <c r="I6" s="176" t="n"/>
      <c r="J6" s="384" t="n"/>
      <c r="K6" s="384" t="n"/>
      <c r="L6" s="384" t="n"/>
      <c r="M6" s="384" t="n"/>
      <c r="N6" s="384" t="n"/>
      <c r="O6" s="384" t="n"/>
      <c r="P6" s="384" t="n"/>
      <c r="Q6" s="384" t="n"/>
      <c r="R6" s="384" t="n"/>
      <c r="S6" s="384" t="n"/>
      <c r="T6" s="384" t="n"/>
      <c r="U6" s="384" t="n"/>
      <c r="V6" s="384" t="n"/>
      <c r="W6" s="384" t="n"/>
      <c r="X6" s="384" t="n"/>
      <c r="Y6" s="384" t="n"/>
      <c r="Z6" s="384" t="n"/>
      <c r="AA6" s="384" t="n"/>
      <c r="AB6" s="384" t="n"/>
      <c r="AC6" s="384" t="n"/>
      <c r="AD6" s="384" t="n"/>
      <c r="AE6" s="384" t="n"/>
      <c r="AF6" s="384" t="n"/>
      <c r="AG6" s="384" t="n"/>
      <c r="AH6" s="384" t="n"/>
      <c r="AI6" s="384" t="n"/>
      <c r="AJ6" s="384" t="n"/>
      <c r="AK6" s="384" t="n"/>
      <c r="AL6" s="384" t="n"/>
      <c r="AM6" s="384" t="n"/>
      <c r="AN6" s="384" t="n"/>
      <c r="AO6" s="384" t="n"/>
      <c r="AP6" s="384" t="n"/>
      <c r="AQ6" s="384" t="n"/>
      <c r="AR6" s="384" t="n"/>
      <c r="AS6" s="384" t="n"/>
      <c r="AT6" s="384" t="n"/>
      <c r="AU6" s="384" t="n"/>
      <c r="AV6" s="384" t="n"/>
      <c r="AW6" s="384" t="n"/>
      <c r="AX6" s="384" t="n"/>
      <c r="AY6" s="384" t="n"/>
      <c r="AZ6" s="384" t="n"/>
      <c r="BA6" s="384" t="n"/>
      <c r="BB6" s="384" t="n"/>
      <c r="BC6" s="384" t="n"/>
      <c r="BD6" s="384" t="n"/>
      <c r="BE6" s="384" t="n"/>
      <c r="BF6" s="384" t="n"/>
      <c r="BG6" s="384" t="n"/>
      <c r="BH6" s="384" t="n"/>
      <c r="BI6" s="384" t="n"/>
      <c r="BJ6" s="384" t="n"/>
      <c r="BK6" s="384" t="n"/>
      <c r="BL6" s="384" t="n"/>
      <c r="BM6" s="384" t="n"/>
      <c r="BN6" s="384" t="n"/>
      <c r="BO6" s="384" t="n"/>
      <c r="BP6" s="384" t="n"/>
      <c r="BQ6" s="384" t="n"/>
      <c r="BR6" s="384" t="n"/>
      <c r="BS6" s="384" t="n"/>
      <c r="BT6" s="384" t="n"/>
      <c r="BU6" s="384" t="n"/>
      <c r="BV6" s="384" t="n"/>
      <c r="BW6" s="384" t="n"/>
      <c r="BX6" s="384" t="n"/>
      <c r="BY6" s="384" t="n"/>
      <c r="BZ6" s="384" t="n"/>
      <c r="CA6" s="384" t="n"/>
      <c r="CB6" s="384" t="n"/>
      <c r="CC6" s="384" t="n"/>
      <c r="CD6" s="384" t="n"/>
      <c r="CE6" s="384" t="n"/>
      <c r="CF6" s="384" t="n"/>
      <c r="CG6" s="384" t="n"/>
      <c r="CH6" s="384" t="n"/>
      <c r="CI6" s="384" t="n"/>
      <c r="CJ6" s="384" t="n"/>
      <c r="CK6" s="384" t="n"/>
    </row>
    <row r="7" hidden="1" outlineLevel="1" s="1181">
      <c r="A7" s="175" t="inlineStr">
        <is>
          <t>R</t>
        </is>
      </c>
      <c r="B7" s="176">
        <f>IF(_epmOfflineCondition_,"C_RPTCURRENCY",EPMDimensionType(,A7))</f>
        <v/>
      </c>
      <c r="C7" s="176">
        <f>IF(_epmOfflineCondition_,"AUD",IF(B7="","",EPMContextMember(,B7)))</f>
        <v/>
      </c>
      <c r="D7" s="176">
        <f>IF(_epmOfflineCondition_,"澳元",EPMMemberDesc(C7))</f>
        <v/>
      </c>
      <c r="E7" s="176">
        <f>IF($X$37=$E$17,"LC",IF(AND($X$37=$E$19,E11="G_DUMMY"),"LC","CNY"))</f>
        <v/>
      </c>
      <c r="F7" s="176" t="n"/>
      <c r="G7" s="176" t="n"/>
      <c r="H7" s="176" t="n"/>
      <c r="I7" s="176" t="n"/>
      <c r="J7" s="384" t="n"/>
      <c r="K7" s="384" t="n"/>
      <c r="L7" s="384" t="n"/>
      <c r="M7" s="384" t="n"/>
      <c r="N7" s="384" t="n"/>
      <c r="O7" s="384" t="n"/>
      <c r="P7" s="384" t="n"/>
      <c r="Q7" s="384" t="n"/>
      <c r="R7" s="384" t="n"/>
      <c r="S7" s="384" t="n"/>
      <c r="T7" s="384" t="n"/>
      <c r="U7" s="384" t="n"/>
      <c r="V7" s="384" t="n"/>
      <c r="W7" s="384" t="n"/>
      <c r="X7" s="384" t="n"/>
      <c r="Y7" s="384" t="n"/>
      <c r="Z7" s="384" t="n"/>
      <c r="AA7" s="384" t="n"/>
      <c r="AB7" s="384" t="n"/>
      <c r="AC7" s="384" t="n"/>
      <c r="AD7" s="384" t="n"/>
      <c r="AE7" s="384" t="n"/>
      <c r="AF7" s="384" t="n"/>
      <c r="AG7" s="384" t="n"/>
      <c r="AH7" s="384" t="n"/>
      <c r="AI7" s="384" t="n"/>
      <c r="AJ7" s="384" t="n"/>
      <c r="AK7" s="384" t="n"/>
      <c r="AL7" s="384" t="n"/>
      <c r="AM7" s="384" t="n"/>
      <c r="AN7" s="384" t="n"/>
      <c r="AO7" s="384" t="n"/>
      <c r="AP7" s="384" t="n"/>
      <c r="AQ7" s="384" t="n"/>
      <c r="AR7" s="384" t="n"/>
      <c r="AS7" s="384" t="n"/>
      <c r="AT7" s="384" t="n"/>
      <c r="AU7" s="384" t="n"/>
      <c r="AV7" s="384" t="n"/>
      <c r="AW7" s="384" t="n"/>
      <c r="AX7" s="384" t="n"/>
      <c r="AY7" s="384" t="n"/>
      <c r="AZ7" s="384" t="n"/>
      <c r="BA7" s="384" t="n"/>
      <c r="BB7" s="384" t="n"/>
      <c r="BC7" s="384" t="n"/>
      <c r="BD7" s="384" t="n"/>
      <c r="BE7" s="384" t="n"/>
      <c r="BF7" s="384" t="n"/>
      <c r="BG7" s="384" t="n"/>
      <c r="BH7" s="384" t="n"/>
      <c r="BI7" s="384" t="n"/>
      <c r="BJ7" s="384" t="n"/>
      <c r="BK7" s="384" t="n"/>
      <c r="BL7" s="384" t="n"/>
      <c r="BM7" s="384" t="n"/>
      <c r="BN7" s="384" t="n"/>
      <c r="BO7" s="384" t="n"/>
      <c r="BP7" s="384" t="n"/>
      <c r="BQ7" s="384" t="n"/>
      <c r="BR7" s="384" t="n"/>
      <c r="BS7" s="384" t="n"/>
      <c r="BT7" s="384" t="n"/>
      <c r="BU7" s="384" t="n"/>
      <c r="BV7" s="384" t="n"/>
      <c r="BW7" s="384" t="n"/>
      <c r="BX7" s="384" t="n"/>
      <c r="BY7" s="384" t="n"/>
      <c r="BZ7" s="384" t="n"/>
      <c r="CA7" s="384" t="n"/>
      <c r="CB7" s="384" t="n"/>
      <c r="CC7" s="384" t="n"/>
      <c r="CD7" s="384" t="n"/>
      <c r="CE7" s="384" t="n"/>
      <c r="CF7" s="384" t="n"/>
      <c r="CG7" s="384" t="n"/>
      <c r="CH7" s="384" t="n"/>
      <c r="CI7" s="384" t="n"/>
      <c r="CJ7" s="384" t="n"/>
      <c r="CK7" s="384" t="n"/>
    </row>
    <row r="8" hidden="1" outlineLevel="1" s="1181">
      <c r="A8" s="175" t="inlineStr">
        <is>
          <t>D</t>
        </is>
      </c>
      <c r="B8" s="176">
        <f>IF(_epmOfflineCondition_,"C_AUDITTRAIL",EPMDimensionType(,A8))</f>
        <v/>
      </c>
      <c r="C8" s="176">
        <f>IF(_epmOfflineCondition_,"DALL",IF(B8="","",EPMContextMember(,B8)))</f>
        <v/>
      </c>
      <c r="D8" s="176">
        <f>IF(_epmOfflineCondition_,"合并后",EPMMemberDesc(C8))</f>
        <v/>
      </c>
      <c r="E8" s="176" t="n"/>
      <c r="F8" s="176" t="n"/>
      <c r="G8" s="176" t="n"/>
      <c r="H8" s="176" t="n"/>
      <c r="I8" s="176" t="n"/>
      <c r="J8" s="384" t="n"/>
      <c r="K8" s="384" t="n"/>
      <c r="L8" s="384" t="n"/>
      <c r="M8" s="384" t="n"/>
      <c r="N8" s="384" t="n"/>
      <c r="O8" s="384" t="n"/>
      <c r="P8" s="384" t="n"/>
      <c r="Q8" s="384" t="n"/>
      <c r="R8" s="384" t="n"/>
      <c r="S8" s="384" t="n"/>
      <c r="T8" s="384" t="n"/>
      <c r="U8" s="384" t="n"/>
      <c r="V8" s="384" t="n"/>
      <c r="W8" s="384" t="n"/>
      <c r="X8" s="384" t="n"/>
      <c r="Y8" s="384" t="n"/>
      <c r="Z8" s="384" t="n"/>
      <c r="AA8" s="384" t="n"/>
      <c r="AB8" s="384" t="n"/>
      <c r="AC8" s="384" t="n"/>
      <c r="AD8" s="384" t="n"/>
      <c r="AE8" s="384" t="n"/>
      <c r="AF8" s="384" t="n"/>
      <c r="AG8" s="384" t="n"/>
      <c r="AH8" s="384" t="n"/>
      <c r="AI8" s="384" t="n"/>
      <c r="AJ8" s="384" t="n"/>
      <c r="AK8" s="384" t="n"/>
      <c r="AL8" s="384" t="n"/>
      <c r="AM8" s="384" t="n"/>
      <c r="AN8" s="384" t="n"/>
      <c r="AO8" s="384" t="n"/>
      <c r="AP8" s="384" t="n"/>
      <c r="AQ8" s="384" t="n"/>
      <c r="AR8" s="384" t="n"/>
      <c r="AS8" s="384" t="n"/>
      <c r="AT8" s="384" t="n"/>
      <c r="AU8" s="384" t="n"/>
      <c r="AV8" s="384" t="n"/>
      <c r="AW8" s="384" t="n"/>
      <c r="AX8" s="384" t="n"/>
      <c r="AY8" s="384" t="n"/>
      <c r="AZ8" s="384" t="n"/>
      <c r="BA8" s="384" t="n"/>
      <c r="BB8" s="384" t="n"/>
      <c r="BC8" s="384" t="n"/>
      <c r="BD8" s="384" t="n"/>
      <c r="BE8" s="384" t="n"/>
      <c r="BF8" s="384" t="n"/>
      <c r="BG8" s="384" t="n"/>
      <c r="BH8" s="384" t="n"/>
      <c r="BI8" s="384" t="n"/>
      <c r="BJ8" s="384" t="n"/>
      <c r="BK8" s="384" t="n"/>
      <c r="BL8" s="384" t="n"/>
      <c r="BM8" s="384" t="n"/>
      <c r="BN8" s="384" t="n"/>
      <c r="BO8" s="384" t="n"/>
      <c r="BP8" s="384" t="n"/>
      <c r="BQ8" s="384" t="n"/>
      <c r="BR8" s="384" t="n"/>
      <c r="BS8" s="384" t="n"/>
      <c r="BT8" s="384" t="n"/>
      <c r="BU8" s="384" t="n"/>
      <c r="BV8" s="384" t="n"/>
      <c r="BW8" s="384" t="n"/>
      <c r="BX8" s="384" t="n"/>
      <c r="BY8" s="384" t="n"/>
      <c r="BZ8" s="384" t="n"/>
      <c r="CA8" s="384" t="n"/>
      <c r="CB8" s="384" t="n"/>
      <c r="CC8" s="384" t="n"/>
      <c r="CD8" s="384" t="n"/>
      <c r="CE8" s="384" t="n"/>
      <c r="CF8" s="384" t="n"/>
      <c r="CG8" s="384" t="n"/>
      <c r="CH8" s="384" t="n"/>
      <c r="CI8" s="384" t="n"/>
      <c r="CJ8" s="384" t="n"/>
      <c r="CK8" s="384" t="n"/>
    </row>
    <row r="9" hidden="1" outlineLevel="1" s="1181">
      <c r="A9" s="175" t="inlineStr">
        <is>
          <t>S</t>
        </is>
      </c>
      <c r="B9" s="176">
        <f>IF(_epmOfflineCondition_,"C_FLOW",EPMDimensionType(,A9))</f>
        <v/>
      </c>
      <c r="C9" s="176">
        <f>IF(_epmOfflineCondition_,"FTOTAL",IF(B9="","",EPMContextMember(,B9)))</f>
        <v/>
      </c>
      <c r="D9" s="176">
        <f>IF(_epmOfflineCondition_,"全部变动",EPMMemberDesc(C9))</f>
        <v/>
      </c>
      <c r="E9" s="176">
        <f>IF($X$37=$E$19,"FEND","F20")</f>
        <v/>
      </c>
      <c r="F9" s="176" t="n"/>
      <c r="G9" s="176" t="n"/>
      <c r="H9" s="176" t="n"/>
      <c r="I9" s="176" t="n"/>
      <c r="J9" s="384" t="n"/>
      <c r="K9" s="384" t="n"/>
      <c r="L9" s="384" t="n"/>
      <c r="M9" s="384" t="n"/>
      <c r="N9" s="384" t="n"/>
      <c r="O9" s="384" t="n"/>
      <c r="P9" s="384" t="n"/>
      <c r="Q9" s="384" t="n"/>
      <c r="R9" s="384" t="n"/>
      <c r="S9" s="384" t="n"/>
      <c r="T9" s="384" t="n"/>
      <c r="U9" s="384" t="n"/>
      <c r="V9" s="384" t="n"/>
      <c r="W9" s="384" t="n"/>
      <c r="X9" s="384" t="n"/>
      <c r="Y9" s="384" t="n"/>
      <c r="Z9" s="384" t="n"/>
      <c r="AA9" s="384" t="n"/>
      <c r="AB9" s="384" t="n"/>
      <c r="AC9" s="384" t="n"/>
      <c r="AD9" s="384" t="n"/>
      <c r="AE9" s="384" t="n"/>
      <c r="AF9" s="384" t="n"/>
      <c r="AG9" s="384" t="n"/>
      <c r="AH9" s="384" t="n"/>
      <c r="AI9" s="384" t="n"/>
      <c r="AJ9" s="384" t="n"/>
      <c r="AK9" s="384" t="n"/>
      <c r="AL9" s="384" t="n"/>
      <c r="AM9" s="384" t="n"/>
      <c r="AN9" s="384" t="n"/>
      <c r="AO9" s="384" t="n"/>
      <c r="AP9" s="384" t="n"/>
      <c r="AQ9" s="384" t="n"/>
      <c r="AR9" s="384" t="n"/>
      <c r="AS9" s="384" t="n"/>
      <c r="AT9" s="384" t="n"/>
      <c r="AU9" s="384" t="n"/>
      <c r="AV9" s="384" t="n"/>
      <c r="AW9" s="384" t="n"/>
      <c r="AX9" s="384" t="n"/>
      <c r="AY9" s="384" t="n"/>
      <c r="AZ9" s="384" t="n"/>
      <c r="BA9" s="384" t="n"/>
      <c r="BB9" s="384" t="n"/>
      <c r="BC9" s="384" t="n"/>
      <c r="BD9" s="384" t="n"/>
      <c r="BE9" s="384" t="n"/>
      <c r="BF9" s="384" t="n"/>
      <c r="BG9" s="384" t="n"/>
      <c r="BH9" s="384" t="n"/>
      <c r="BI9" s="384" t="n"/>
      <c r="BJ9" s="384" t="n"/>
      <c r="BK9" s="384" t="n"/>
      <c r="BL9" s="384" t="n"/>
      <c r="BM9" s="384" t="n"/>
      <c r="BN9" s="384" t="n"/>
      <c r="BO9" s="384" t="n"/>
      <c r="BP9" s="384" t="n"/>
      <c r="BQ9" s="384" t="n"/>
      <c r="BR9" s="384" t="n"/>
      <c r="BS9" s="384" t="n"/>
      <c r="BT9" s="384" t="n"/>
      <c r="BU9" s="384" t="n"/>
      <c r="BV9" s="384" t="n"/>
      <c r="BW9" s="384" t="n"/>
      <c r="BX9" s="384" t="n"/>
      <c r="BY9" s="384" t="n"/>
      <c r="BZ9" s="384" t="n"/>
      <c r="CA9" s="384" t="n"/>
      <c r="CB9" s="384" t="n"/>
      <c r="CC9" s="384" t="n"/>
      <c r="CD9" s="384" t="n"/>
      <c r="CE9" s="384" t="n"/>
      <c r="CF9" s="384" t="n"/>
      <c r="CG9" s="384" t="n"/>
      <c r="CH9" s="384" t="n"/>
      <c r="CI9" s="384" t="n"/>
      <c r="CJ9" s="384" t="n"/>
      <c r="CK9" s="384" t="n"/>
    </row>
    <row r="10" hidden="1" outlineLevel="1" s="1181">
      <c r="A10" s="175" t="inlineStr">
        <is>
          <t>I</t>
        </is>
      </c>
      <c r="B10" s="176">
        <f>IF(_epmOfflineCondition_,"C_INTERCO",EPMDimensionType(,A10))</f>
        <v/>
      </c>
      <c r="C10" s="176">
        <f>IF(_epmOfflineCondition_,"I_ALL",IF(B10="","",EPMContextMember(,B10)))</f>
        <v/>
      </c>
      <c r="D10" s="176">
        <f>IF(_epmOfflineCondition_,"全部贸易伙伴",EPMMemberDesc(C10))</f>
        <v/>
      </c>
      <c r="E10" s="176">
        <f>IF($X$37=$E$19,"I_ALL","I_DUMMY")</f>
        <v/>
      </c>
      <c r="F10" s="176" t="n"/>
      <c r="G10" s="176" t="n"/>
      <c r="H10" s="176" t="n"/>
      <c r="I10" s="176" t="n"/>
      <c r="J10" s="384" t="n"/>
      <c r="K10" s="384" t="n"/>
      <c r="L10" s="384" t="n"/>
      <c r="M10" s="384" t="n"/>
      <c r="N10" s="384" t="n"/>
      <c r="O10" s="384" t="n"/>
      <c r="P10" s="384" t="n"/>
      <c r="Q10" s="384" t="n"/>
      <c r="R10" s="384" t="n"/>
      <c r="S10" s="384" t="n"/>
      <c r="T10" s="384" t="n"/>
      <c r="U10" s="384" t="n"/>
      <c r="V10" s="384" t="n"/>
      <c r="W10" s="384" t="n"/>
      <c r="X10" s="384" t="n"/>
      <c r="Y10" s="384" t="n"/>
      <c r="Z10" s="384" t="n"/>
      <c r="AA10" s="384" t="n"/>
      <c r="AB10" s="384" t="n"/>
      <c r="AC10" s="384" t="n"/>
      <c r="AD10" s="384" t="n"/>
      <c r="AE10" s="384" t="n"/>
      <c r="AF10" s="384" t="n"/>
      <c r="AG10" s="384" t="n"/>
      <c r="AH10" s="384" t="n"/>
      <c r="AI10" s="384" t="n"/>
      <c r="AJ10" s="384" t="n"/>
      <c r="AK10" s="384" t="n"/>
      <c r="AL10" s="384" t="n"/>
      <c r="AM10" s="384" t="n"/>
      <c r="AN10" s="384" t="n"/>
      <c r="AO10" s="384" t="n"/>
      <c r="AP10" s="384" t="n"/>
      <c r="AQ10" s="384" t="n"/>
      <c r="AR10" s="384" t="n"/>
      <c r="AS10" s="384" t="n"/>
      <c r="AT10" s="384" t="n"/>
      <c r="AU10" s="384" t="n"/>
      <c r="AV10" s="384" t="n"/>
      <c r="AW10" s="384" t="n"/>
      <c r="AX10" s="384" t="n"/>
      <c r="AY10" s="384" t="n"/>
      <c r="AZ10" s="384" t="n"/>
      <c r="BA10" s="384" t="n"/>
      <c r="BB10" s="384" t="n"/>
      <c r="BC10" s="384" t="n"/>
      <c r="BD10" s="384" t="n"/>
      <c r="BE10" s="384" t="n"/>
      <c r="BF10" s="384" t="n"/>
      <c r="BG10" s="384" t="n"/>
      <c r="BH10" s="384" t="n"/>
      <c r="BI10" s="384" t="n"/>
      <c r="BJ10" s="384" t="n"/>
      <c r="BK10" s="384" t="n"/>
      <c r="BL10" s="384" t="n"/>
      <c r="BM10" s="384" t="n"/>
      <c r="BN10" s="384" t="n"/>
      <c r="BO10" s="384" t="n"/>
      <c r="BP10" s="384" t="n"/>
      <c r="BQ10" s="384" t="n"/>
      <c r="BR10" s="384" t="n"/>
      <c r="BS10" s="384" t="n"/>
      <c r="BT10" s="384" t="n"/>
      <c r="BU10" s="384" t="n"/>
      <c r="BV10" s="384" t="n"/>
      <c r="BW10" s="384" t="n"/>
      <c r="BX10" s="384" t="n"/>
      <c r="BY10" s="384" t="n"/>
      <c r="BZ10" s="384" t="n"/>
      <c r="CA10" s="384" t="n"/>
      <c r="CB10" s="384" t="n"/>
      <c r="CC10" s="384" t="n"/>
      <c r="CD10" s="384" t="n"/>
      <c r="CE10" s="384" t="n"/>
      <c r="CF10" s="384" t="n"/>
      <c r="CG10" s="384" t="n"/>
      <c r="CH10" s="384" t="n"/>
      <c r="CI10" s="384" t="n"/>
      <c r="CJ10" s="384" t="n"/>
      <c r="CK10" s="384" t="n"/>
    </row>
    <row r="11" hidden="1" outlineLevel="1" s="1181">
      <c r="A11" s="175" t="inlineStr">
        <is>
          <t>G</t>
        </is>
      </c>
      <c r="B11" s="176">
        <f>IF(_epmOfflineCondition_,"C_SCOPE",EPMDimensionType(,A11))</f>
        <v/>
      </c>
      <c r="C11" s="176">
        <f>IF(_epmOfflineCondition_,"G_DUMMY",IF(B11="","",EPMContextMember(,B11)))</f>
        <v/>
      </c>
      <c r="D11" s="176">
        <f>IF(_epmOfflineCondition_,"合并范围无关",EPMMemberDesc(C11))</f>
        <v/>
      </c>
      <c r="E11" s="176">
        <f>IF(OR(RIGHT(C11,1)="P",RIGHT(C11,1)="S"),LEFT(C11,LEN(C11)-1),C11)</f>
        <v/>
      </c>
      <c r="F11" s="176" t="n"/>
      <c r="G11" s="176" t="n"/>
      <c r="H11" s="176" t="n"/>
      <c r="I11" s="176" t="n"/>
      <c r="J11" s="384" t="n"/>
      <c r="K11" s="384" t="n"/>
      <c r="L11" s="384" t="n"/>
      <c r="M11" s="384" t="n"/>
      <c r="N11" s="384" t="n"/>
      <c r="O11" s="384" t="n"/>
      <c r="P11" s="384" t="n"/>
      <c r="Q11" s="384" t="n"/>
      <c r="R11" s="384" t="n"/>
      <c r="S11" s="384" t="n"/>
      <c r="T11" s="384" t="n"/>
      <c r="U11" s="384" t="n"/>
      <c r="V11" s="384" t="n"/>
      <c r="W11" s="384" t="n"/>
      <c r="X11" s="384" t="n"/>
      <c r="Y11" s="384" t="n"/>
      <c r="Z11" s="384" t="n"/>
      <c r="AA11" s="384" t="n"/>
      <c r="AB11" s="384" t="n"/>
      <c r="AC11" s="384" t="n"/>
      <c r="AD11" s="384" t="n"/>
      <c r="AE11" s="384" t="n"/>
      <c r="AF11" s="384" t="n"/>
      <c r="AG11" s="384" t="n"/>
      <c r="AH11" s="384" t="n"/>
      <c r="AI11" s="384" t="n"/>
      <c r="AJ11" s="384" t="n"/>
      <c r="AK11" s="384" t="n"/>
      <c r="AL11" s="384" t="n"/>
      <c r="AM11" s="384" t="n"/>
      <c r="AN11" s="384" t="n"/>
      <c r="AO11" s="384" t="n"/>
      <c r="AP11" s="384" t="n"/>
      <c r="AQ11" s="384" t="n"/>
      <c r="AR11" s="384" t="n"/>
      <c r="AS11" s="384" t="n"/>
      <c r="AT11" s="384" t="n"/>
      <c r="AU11" s="384" t="n"/>
      <c r="AV11" s="384" t="n"/>
      <c r="AW11" s="384" t="n"/>
      <c r="AX11" s="384" t="n"/>
      <c r="AY11" s="384" t="n"/>
      <c r="AZ11" s="384" t="n"/>
      <c r="BA11" s="384" t="n"/>
      <c r="BB11" s="384" t="n"/>
      <c r="BC11" s="384" t="n"/>
      <c r="BD11" s="384" t="n"/>
      <c r="BE11" s="384" t="n"/>
      <c r="BF11" s="384" t="n"/>
      <c r="BG11" s="384" t="n"/>
      <c r="BH11" s="384" t="n"/>
      <c r="BI11" s="384" t="n"/>
      <c r="BJ11" s="384" t="n"/>
      <c r="BK11" s="384" t="n"/>
      <c r="BL11" s="384" t="n"/>
      <c r="BM11" s="384" t="n"/>
      <c r="BN11" s="384" t="n"/>
      <c r="BO11" s="384" t="n"/>
      <c r="BP11" s="384" t="n"/>
      <c r="BQ11" s="384" t="n"/>
      <c r="BR11" s="384" t="n"/>
      <c r="BS11" s="384" t="n"/>
      <c r="BT11" s="384" t="n"/>
      <c r="BU11" s="384" t="n"/>
      <c r="BV11" s="384" t="n"/>
      <c r="BW11" s="384" t="n"/>
      <c r="BX11" s="384" t="n"/>
      <c r="BY11" s="384" t="n"/>
      <c r="BZ11" s="384" t="n"/>
      <c r="CA11" s="384" t="n"/>
      <c r="CB11" s="384" t="n"/>
      <c r="CC11" s="384" t="n"/>
      <c r="CD11" s="384" t="n"/>
      <c r="CE11" s="384" t="n"/>
      <c r="CF11" s="384" t="n"/>
      <c r="CG11" s="384" t="n"/>
      <c r="CH11" s="384" t="n"/>
      <c r="CI11" s="384" t="n"/>
      <c r="CJ11" s="384" t="n"/>
      <c r="CK11" s="384" t="n"/>
    </row>
    <row r="12" hidden="1" outlineLevel="1" s="1181">
      <c r="A12" s="175" t="inlineStr">
        <is>
          <t>U8</t>
        </is>
      </c>
      <c r="B12" s="176">
        <f>IF(_epmOfflineCondition_,"C_PROJECT",EPMDimensionType(,A12))</f>
        <v/>
      </c>
      <c r="C12" s="176">
        <f>IF(_epmOfflineCondition_,"ZP_ALL",IF(B12="","",EPMContextMember(,B12)))</f>
        <v/>
      </c>
      <c r="D12" s="176">
        <f>IF(_epmOfflineCondition_,"项目合计",EPMMemberDesc(C12))</f>
        <v/>
      </c>
      <c r="E12" s="176">
        <f>IF($X$37=$E$19,"ZP_ALL","ZP_DUMMY")</f>
        <v/>
      </c>
      <c r="F12" s="176" t="n"/>
      <c r="G12" s="176" t="n"/>
      <c r="H12" s="176" t="n"/>
      <c r="I12" s="176" t="n"/>
      <c r="J12" s="384" t="n"/>
      <c r="K12" s="384" t="n"/>
      <c r="L12" s="384" t="n"/>
      <c r="M12" s="384" t="n"/>
      <c r="N12" s="384" t="n"/>
      <c r="O12" s="384" t="n"/>
      <c r="P12" s="384" t="n"/>
      <c r="Q12" s="384" t="n"/>
      <c r="R12" s="384" t="n"/>
      <c r="S12" s="384" t="n"/>
      <c r="T12" s="384" t="n"/>
      <c r="U12" s="384" t="n"/>
      <c r="V12" s="384" t="n"/>
      <c r="W12" s="384" t="n"/>
      <c r="X12" s="384" t="n"/>
      <c r="Y12" s="384" t="n"/>
      <c r="Z12" s="384" t="n"/>
      <c r="AA12" s="384" t="n"/>
      <c r="AB12" s="384" t="n"/>
      <c r="AC12" s="384" t="n"/>
      <c r="AD12" s="384" t="n"/>
      <c r="AE12" s="384" t="n"/>
      <c r="AF12" s="384" t="n"/>
      <c r="AG12" s="384" t="n"/>
      <c r="AH12" s="384" t="n"/>
      <c r="AI12" s="384" t="n"/>
      <c r="AJ12" s="384" t="n"/>
      <c r="AK12" s="384" t="n"/>
      <c r="AL12" s="384" t="n"/>
      <c r="AM12" s="384" t="n"/>
      <c r="AN12" s="384" t="n"/>
      <c r="AO12" s="384" t="n"/>
      <c r="AP12" s="384" t="n"/>
      <c r="AQ12" s="384" t="n"/>
      <c r="AR12" s="384" t="n"/>
      <c r="AS12" s="384" t="n"/>
      <c r="AT12" s="384" t="n"/>
      <c r="AU12" s="384" t="n"/>
      <c r="AV12" s="384" t="n"/>
      <c r="AW12" s="384" t="n"/>
      <c r="AX12" s="384" t="n"/>
      <c r="AY12" s="384" t="n"/>
      <c r="AZ12" s="384" t="n"/>
      <c r="BA12" s="384" t="n"/>
      <c r="BB12" s="384" t="n"/>
      <c r="BC12" s="384" t="n"/>
      <c r="BD12" s="384" t="n"/>
      <c r="BE12" s="384" t="n"/>
      <c r="BF12" s="384" t="n"/>
      <c r="BG12" s="384" t="n"/>
      <c r="BH12" s="384" t="n"/>
      <c r="BI12" s="384" t="n"/>
      <c r="BJ12" s="384" t="n"/>
      <c r="BK12" s="384" t="n"/>
      <c r="BL12" s="384" t="n"/>
      <c r="BM12" s="384" t="n"/>
      <c r="BN12" s="384" t="n"/>
      <c r="BO12" s="384" t="n"/>
      <c r="BP12" s="384" t="n"/>
      <c r="BQ12" s="384" t="n"/>
      <c r="BR12" s="384" t="n"/>
      <c r="BS12" s="384" t="n"/>
      <c r="BT12" s="384" t="n"/>
      <c r="BU12" s="384" t="n"/>
      <c r="BV12" s="384" t="n"/>
      <c r="BW12" s="384" t="n"/>
      <c r="BX12" s="384" t="n"/>
      <c r="BY12" s="384" t="n"/>
      <c r="BZ12" s="384" t="n"/>
      <c r="CA12" s="384" t="n"/>
      <c r="CB12" s="384" t="n"/>
      <c r="CC12" s="384" t="n"/>
      <c r="CD12" s="384" t="n"/>
      <c r="CE12" s="384" t="n"/>
      <c r="CF12" s="384" t="n"/>
      <c r="CG12" s="384" t="n"/>
      <c r="CH12" s="384" t="n"/>
      <c r="CI12" s="384" t="n"/>
      <c r="CJ12" s="384" t="n"/>
      <c r="CK12" s="384" t="n"/>
    </row>
    <row r="13" hidden="1" outlineLevel="1" s="1181">
      <c r="A13" s="175" t="inlineStr">
        <is>
          <t>U9</t>
        </is>
      </c>
      <c r="B13" s="176">
        <f>IF(_epmOfflineCondition_,"C_ITEM",EPMDimensionType(,A13))</f>
        <v/>
      </c>
      <c r="C13" s="176">
        <f>IF(_epmOfflineCondition_,"ZI_ALL",IF(B13="","",EPMContextMember(,B13)))</f>
        <v/>
      </c>
      <c r="D13" s="176">
        <f>IF(_epmOfflineCondition_,"全部ITEM",EPMMemberDesc(C13))</f>
        <v/>
      </c>
      <c r="E13" s="176">
        <f>IF($X$37=$E$19,"ZI_ALL","ZI_DUMMY")</f>
        <v/>
      </c>
      <c r="F13" s="186" t="n"/>
      <c r="G13" s="186" t="n"/>
      <c r="H13" s="186" t="n"/>
      <c r="I13" s="186" t="n"/>
      <c r="J13" s="384" t="n"/>
      <c r="K13" s="384" t="n"/>
      <c r="L13" s="384" t="n"/>
      <c r="M13" s="384" t="n"/>
      <c r="N13" s="384" t="n"/>
      <c r="O13" s="384" t="n"/>
      <c r="P13" s="384" t="n"/>
      <c r="Q13" s="384" t="n"/>
      <c r="R13" s="384" t="n"/>
      <c r="S13" s="384" t="n"/>
      <c r="T13" s="384" t="n"/>
      <c r="U13" s="384" t="n"/>
      <c r="V13" s="384" t="n"/>
      <c r="W13" s="384" t="n"/>
      <c r="X13" s="384" t="n"/>
      <c r="Y13" s="384" t="n"/>
      <c r="Z13" s="384" t="n"/>
      <c r="AA13" s="384" t="n"/>
      <c r="AB13" s="384" t="n"/>
      <c r="AC13" s="384" t="n"/>
      <c r="AD13" s="384" t="n"/>
      <c r="AE13" s="384" t="n"/>
      <c r="AF13" s="384" t="n"/>
      <c r="AG13" s="384" t="n"/>
      <c r="AH13" s="384" t="n"/>
      <c r="AI13" s="384" t="n"/>
      <c r="AJ13" s="384" t="n"/>
      <c r="AK13" s="384" t="n"/>
      <c r="AL13" s="384" t="n"/>
      <c r="AM13" s="384" t="n"/>
      <c r="AN13" s="384" t="n"/>
      <c r="AO13" s="384" t="n"/>
      <c r="AP13" s="384" t="n"/>
      <c r="AQ13" s="384" t="n"/>
      <c r="AR13" s="384" t="n"/>
      <c r="AS13" s="384" t="n"/>
      <c r="AT13" s="384" t="n"/>
      <c r="AU13" s="384" t="n"/>
      <c r="AV13" s="384" t="n"/>
      <c r="AW13" s="384" t="n"/>
      <c r="AX13" s="384" t="n"/>
      <c r="AY13" s="384" t="n"/>
      <c r="AZ13" s="384" t="n"/>
      <c r="BA13" s="384" t="n"/>
      <c r="BB13" s="384" t="n"/>
      <c r="BC13" s="384" t="n"/>
      <c r="BD13" s="384" t="n"/>
      <c r="BE13" s="384" t="n"/>
      <c r="BF13" s="384" t="n"/>
      <c r="BG13" s="384" t="n"/>
      <c r="BH13" s="384" t="n"/>
      <c r="BI13" s="384" t="n"/>
      <c r="BJ13" s="384" t="n"/>
      <c r="BK13" s="384" t="n"/>
      <c r="BL13" s="384" t="n"/>
      <c r="BM13" s="384" t="n"/>
      <c r="BN13" s="384" t="n"/>
      <c r="BO13" s="384" t="n"/>
      <c r="BP13" s="384" t="n"/>
      <c r="BQ13" s="384" t="n"/>
      <c r="BR13" s="384" t="n"/>
      <c r="BS13" s="384" t="n"/>
      <c r="BT13" s="384" t="n"/>
      <c r="BU13" s="384" t="n"/>
      <c r="BV13" s="384" t="n"/>
      <c r="BW13" s="384" t="n"/>
      <c r="BX13" s="384" t="n"/>
      <c r="BY13" s="384" t="n"/>
      <c r="BZ13" s="384" t="n"/>
      <c r="CA13" s="384" t="n"/>
      <c r="CB13" s="384" t="n"/>
      <c r="CC13" s="384" t="n"/>
      <c r="CD13" s="384" t="n"/>
      <c r="CE13" s="384" t="n"/>
      <c r="CF13" s="384" t="n"/>
      <c r="CG13" s="384" t="n"/>
      <c r="CH13" s="384" t="n"/>
      <c r="CI13" s="384" t="n"/>
      <c r="CJ13" s="384" t="n"/>
      <c r="CK13" s="384" t="n"/>
    </row>
    <row r="14" hidden="1" outlineLevel="1" s="1181">
      <c r="A14" s="175" t="inlineStr">
        <is>
          <t>U10</t>
        </is>
      </c>
      <c r="B14" s="176">
        <f>IF(_epmOfflineCondition_,"C_MISK",EPMDimensionType(,A14))</f>
        <v/>
      </c>
      <c r="C14" s="176">
        <f>IF(_epmOfflineCondition_,"ZM_ALL",IF(B14="","",EPMContextMember(,B14)))</f>
        <v/>
      </c>
      <c r="D14" s="176">
        <f>IF(_epmOfflineCondition_,"ALL",EPMMemberDesc(C14))</f>
        <v/>
      </c>
      <c r="E14" s="186" t="n"/>
      <c r="F14" s="186" t="n"/>
      <c r="G14" s="186" t="n"/>
      <c r="H14" s="186" t="n"/>
      <c r="I14" s="186" t="n"/>
      <c r="J14" s="384" t="n"/>
      <c r="K14" s="384" t="n"/>
      <c r="L14" s="384" t="n"/>
      <c r="M14" s="384" t="n"/>
      <c r="N14" s="384" t="n"/>
      <c r="O14" s="384" t="n"/>
      <c r="P14" s="384" t="n"/>
      <c r="Q14" s="384" t="n"/>
      <c r="R14" s="384" t="n"/>
      <c r="S14" s="384" t="n"/>
      <c r="T14" s="384" t="n"/>
      <c r="U14" s="384" t="n"/>
      <c r="V14" s="384" t="n"/>
      <c r="W14" s="384" t="n"/>
      <c r="X14" s="384" t="n"/>
      <c r="Y14" s="384" t="n"/>
      <c r="Z14" s="384" t="n"/>
      <c r="AA14" s="384" t="n"/>
      <c r="AB14" s="384" t="n"/>
      <c r="AC14" s="384" t="n"/>
      <c r="AD14" s="384" t="n"/>
      <c r="AE14" s="384" t="n"/>
      <c r="AF14" s="384" t="n"/>
      <c r="AG14" s="384" t="n"/>
      <c r="AH14" s="384" t="n"/>
      <c r="AI14" s="384" t="n"/>
      <c r="AJ14" s="384" t="n"/>
      <c r="AK14" s="384" t="n"/>
      <c r="AL14" s="384" t="n"/>
      <c r="AM14" s="384" t="n"/>
      <c r="AN14" s="384" t="n"/>
      <c r="AO14" s="384" t="n"/>
      <c r="AP14" s="384" t="n"/>
      <c r="AQ14" s="384" t="n"/>
      <c r="AR14" s="384" t="n"/>
      <c r="AS14" s="384" t="n"/>
      <c r="AT14" s="384" t="n"/>
      <c r="AU14" s="384" t="n"/>
      <c r="AV14" s="384" t="n"/>
      <c r="AW14" s="384" t="n"/>
      <c r="AX14" s="384" t="n"/>
      <c r="AY14" s="384" t="n"/>
      <c r="AZ14" s="384" t="n"/>
      <c r="BA14" s="384" t="n"/>
      <c r="BB14" s="384" t="n"/>
      <c r="BC14" s="384" t="n"/>
      <c r="BD14" s="384" t="n"/>
      <c r="BE14" s="384" t="n"/>
      <c r="BF14" s="384" t="n"/>
      <c r="BG14" s="384" t="n"/>
      <c r="BH14" s="384" t="n"/>
      <c r="BI14" s="384" t="n"/>
      <c r="BJ14" s="384" t="n"/>
      <c r="BK14" s="384" t="n"/>
      <c r="BL14" s="384" t="n"/>
      <c r="BM14" s="384" t="n"/>
      <c r="BN14" s="384" t="n"/>
      <c r="BO14" s="384" t="n"/>
      <c r="BP14" s="384" t="n"/>
      <c r="BQ14" s="384" t="n"/>
      <c r="BR14" s="384" t="n"/>
      <c r="BS14" s="384" t="n"/>
      <c r="BT14" s="384" t="n"/>
      <c r="BU14" s="384" t="n"/>
      <c r="BV14" s="384" t="n"/>
      <c r="BW14" s="384" t="n"/>
      <c r="BX14" s="384" t="n"/>
      <c r="BY14" s="384" t="n"/>
      <c r="BZ14" s="384" t="n"/>
      <c r="CA14" s="384" t="n"/>
      <c r="CB14" s="384" t="n"/>
      <c r="CC14" s="384" t="n"/>
      <c r="CD14" s="384" t="n"/>
      <c r="CE14" s="384" t="n"/>
      <c r="CF14" s="384" t="n"/>
      <c r="CG14" s="384" t="n"/>
      <c r="CH14" s="384" t="n"/>
      <c r="CI14" s="384" t="n"/>
      <c r="CJ14" s="384" t="n"/>
      <c r="CK14" s="384" t="n"/>
    </row>
    <row r="15" hidden="1" outlineLevel="1" s="1181">
      <c r="A15" s="384" t="n"/>
      <c r="B15" s="384" t="n"/>
      <c r="C15" s="384" t="n"/>
      <c r="D15" s="384" t="n"/>
      <c r="E15" s="384" t="n"/>
      <c r="F15" s="384" t="n"/>
      <c r="G15" s="384" t="n"/>
      <c r="H15" s="384" t="n"/>
      <c r="I15" s="384" t="n"/>
      <c r="J15" s="384" t="n"/>
      <c r="K15" s="384" t="n"/>
      <c r="L15" s="384" t="n"/>
      <c r="M15" s="384" t="n"/>
      <c r="N15" s="384" t="n"/>
      <c r="O15" s="384" t="n"/>
      <c r="P15" s="384" t="n"/>
      <c r="Q15" s="384" t="n"/>
      <c r="R15" s="384" t="n"/>
      <c r="S15" s="384" t="n"/>
      <c r="T15" s="384" t="n"/>
      <c r="U15" s="384" t="n"/>
      <c r="V15" s="384" t="n"/>
      <c r="W15" s="384" t="n"/>
      <c r="X15" s="384" t="n"/>
      <c r="Y15" s="384" t="n"/>
      <c r="Z15" s="384" t="n"/>
      <c r="AA15" s="384" t="n"/>
      <c r="AB15" s="384" t="n"/>
      <c r="AC15" s="384" t="n"/>
      <c r="AD15" s="384" t="n"/>
      <c r="AE15" s="384" t="n"/>
      <c r="AF15" s="384" t="n"/>
      <c r="AG15" s="384" t="n"/>
      <c r="AH15" s="384" t="n"/>
      <c r="AI15" s="384" t="n"/>
      <c r="AJ15" s="384" t="n"/>
      <c r="AK15" s="384" t="n"/>
      <c r="AL15" s="384" t="n"/>
      <c r="AM15" s="384" t="n"/>
      <c r="AN15" s="384" t="n"/>
      <c r="AO15" s="384" t="n"/>
      <c r="AP15" s="384" t="n"/>
      <c r="AQ15" s="384" t="n"/>
      <c r="AR15" s="384" t="n"/>
      <c r="AS15" s="384" t="n"/>
      <c r="AT15" s="384" t="n"/>
      <c r="AU15" s="384" t="n"/>
      <c r="AV15" s="384" t="n"/>
      <c r="AW15" s="384" t="n"/>
      <c r="AX15" s="384" t="n"/>
      <c r="AY15" s="384" t="n"/>
      <c r="AZ15" s="384" t="n"/>
      <c r="BA15" s="384" t="n"/>
      <c r="BB15" s="384" t="n"/>
      <c r="BC15" s="384" t="n"/>
      <c r="BD15" s="384" t="n"/>
      <c r="BE15" s="384" t="n"/>
      <c r="BF15" s="384" t="n"/>
      <c r="BG15" s="384" t="n"/>
      <c r="BH15" s="384" t="n"/>
      <c r="BI15" s="384" t="n"/>
      <c r="BJ15" s="384" t="n"/>
      <c r="BK15" s="384" t="n"/>
      <c r="BL15" s="384" t="n"/>
      <c r="BM15" s="384" t="n"/>
      <c r="BN15" s="384" t="n"/>
      <c r="BO15" s="384" t="n"/>
      <c r="BP15" s="384" t="n"/>
      <c r="BQ15" s="384" t="n"/>
      <c r="BR15" s="384" t="n"/>
      <c r="BS15" s="384" t="n"/>
      <c r="BT15" s="384" t="n"/>
      <c r="BU15" s="384" t="n"/>
      <c r="BV15" s="384" t="n"/>
      <c r="BW15" s="384" t="n"/>
      <c r="BX15" s="384" t="n"/>
      <c r="BY15" s="384" t="n"/>
      <c r="BZ15" s="384" t="n"/>
      <c r="CA15" s="384" t="n"/>
      <c r="CB15" s="384" t="n"/>
      <c r="CC15" s="384" t="n"/>
      <c r="CD15" s="384" t="n"/>
      <c r="CE15" s="384" t="n"/>
      <c r="CF15" s="384" t="n"/>
      <c r="CG15" s="384" t="n"/>
      <c r="CH15" s="384" t="n"/>
      <c r="CI15" s="384" t="n"/>
      <c r="CJ15" s="384" t="n"/>
      <c r="CK15" s="384" t="n"/>
    </row>
    <row r="16" hidden="1" outlineLevel="1" s="1181">
      <c r="A16" s="418" t="inlineStr">
        <is>
          <t>页轴</t>
        </is>
      </c>
      <c r="B16" s="384" t="n"/>
      <c r="C16" s="384" t="n"/>
      <c r="D16" s="384" t="n"/>
      <c r="E16" s="180" t="inlineStr">
        <is>
          <t>选择的值</t>
        </is>
      </c>
      <c r="F16" s="180">
        <f>VLOOKUP(X37,E17:F19,2,FALSE)</f>
        <v/>
      </c>
      <c r="G16" s="384" t="n"/>
      <c r="H16" s="384" t="n"/>
      <c r="I16" s="384" t="n"/>
      <c r="J16" s="384" t="n"/>
      <c r="K16" s="384" t="n"/>
      <c r="L16" s="384" t="n"/>
      <c r="M16" s="384" t="n"/>
      <c r="N16" s="384" t="n"/>
      <c r="O16" s="384" t="n"/>
      <c r="P16" s="384" t="n"/>
      <c r="Q16" s="384" t="n"/>
      <c r="R16" s="384" t="n"/>
      <c r="S16" s="384" t="n"/>
      <c r="T16" s="384" t="n"/>
      <c r="U16" s="384" t="n"/>
      <c r="V16" s="384" t="n"/>
      <c r="W16" s="384" t="n"/>
      <c r="X16" s="384" t="n"/>
      <c r="Y16" s="384" t="n"/>
      <c r="Z16" s="384" t="n"/>
      <c r="AA16" s="384" t="n"/>
      <c r="AB16" s="384" t="n"/>
      <c r="AC16" s="384" t="n"/>
      <c r="AD16" s="384" t="n"/>
      <c r="AE16" s="384" t="n"/>
      <c r="AF16" s="384" t="n"/>
      <c r="AG16" s="384" t="n"/>
      <c r="AH16" s="384" t="n"/>
      <c r="AI16" s="384" t="n"/>
      <c r="AJ16" s="384" t="n"/>
      <c r="AK16" s="384" t="n"/>
      <c r="AL16" s="384" t="n"/>
      <c r="AM16" s="384" t="n"/>
      <c r="AN16" s="384" t="n"/>
      <c r="AO16" s="384" t="n"/>
      <c r="AP16" s="384" t="n"/>
      <c r="AQ16" s="384" t="n"/>
      <c r="AR16" s="384" t="n"/>
      <c r="AS16" s="384" t="n"/>
      <c r="AT16" s="384" t="n"/>
      <c r="AU16" s="384" t="n"/>
      <c r="AV16" s="384" t="n"/>
      <c r="AW16" s="384" t="n"/>
      <c r="AX16" s="384" t="n"/>
      <c r="AY16" s="384" t="n"/>
      <c r="AZ16" s="384" t="n"/>
      <c r="BA16" s="384" t="n"/>
      <c r="BB16" s="384" t="n"/>
      <c r="BC16" s="384" t="n"/>
      <c r="BD16" s="384" t="n"/>
      <c r="BE16" s="384" t="n"/>
      <c r="BF16" s="384" t="n"/>
      <c r="BG16" s="384" t="n"/>
      <c r="BH16" s="384" t="n"/>
      <c r="BI16" s="384" t="n"/>
      <c r="BJ16" s="384" t="n"/>
      <c r="BK16" s="384" t="n"/>
      <c r="BL16" s="384" t="n"/>
      <c r="BM16" s="384" t="n"/>
      <c r="BN16" s="384" t="n"/>
      <c r="BO16" s="384" t="n"/>
      <c r="BP16" s="384" t="n"/>
      <c r="BQ16" s="384" t="n"/>
      <c r="BR16" s="384" t="n"/>
      <c r="BS16" s="384" t="n"/>
      <c r="BT16" s="384" t="n"/>
      <c r="BU16" s="384" t="n"/>
      <c r="BV16" s="384" t="n"/>
      <c r="BW16" s="384" t="n"/>
      <c r="BX16" s="384" t="n"/>
      <c r="BY16" s="384" t="n"/>
      <c r="BZ16" s="384" t="n"/>
      <c r="CA16" s="384" t="n"/>
      <c r="CB16" s="384" t="n"/>
      <c r="CC16" s="384" t="n"/>
      <c r="CD16" s="384" t="n"/>
      <c r="CE16" s="384" t="n"/>
      <c r="CF16" s="384" t="n"/>
      <c r="CG16" s="384" t="n"/>
      <c r="CH16" s="384" t="n"/>
      <c r="CI16" s="384" t="n"/>
      <c r="CJ16" s="384" t="n"/>
      <c r="CK16" s="384" t="n"/>
    </row>
    <row r="17" hidden="1" outlineLevel="1" s="1181">
      <c r="A17" s="174" t="inlineStr">
        <is>
          <t>维度</t>
        </is>
      </c>
      <c r="B17" s="174" t="inlineStr">
        <is>
          <t>维度值</t>
        </is>
      </c>
      <c r="C17" s="384" t="n"/>
      <c r="D17" s="384" t="n"/>
      <c r="E17" s="180" t="inlineStr">
        <is>
          <t>单体录入</t>
        </is>
      </c>
      <c r="F17" s="180" t="inlineStr">
        <is>
          <t>D1110</t>
        </is>
      </c>
      <c r="G17" s="384" t="n"/>
      <c r="H17" s="384" t="n"/>
      <c r="I17" s="384" t="n"/>
      <c r="J17" s="384" t="n"/>
      <c r="K17" s="384" t="n"/>
      <c r="L17" s="384" t="n"/>
      <c r="M17" s="384" t="n"/>
      <c r="N17" s="384" t="n"/>
      <c r="O17" s="384" t="n"/>
      <c r="P17" s="384" t="n"/>
      <c r="Q17" s="384" t="n"/>
      <c r="R17" s="384" t="n"/>
      <c r="S17" s="384" t="n"/>
      <c r="T17" s="384" t="n"/>
      <c r="U17" s="384" t="n"/>
      <c r="V17" s="384" t="n"/>
      <c r="W17" s="384" t="n"/>
      <c r="X17" s="384" t="n"/>
      <c r="Y17" s="384" t="n"/>
      <c r="Z17" s="384" t="n"/>
      <c r="AA17" s="384" t="n"/>
      <c r="AB17" s="384" t="n"/>
      <c r="AC17" s="384" t="n"/>
      <c r="AD17" s="384" t="n"/>
      <c r="AE17" s="384" t="n"/>
      <c r="AF17" s="384" t="n"/>
      <c r="AG17" s="384" t="n"/>
      <c r="AH17" s="384" t="n"/>
      <c r="AI17" s="384" t="n"/>
      <c r="AJ17" s="384" t="n"/>
      <c r="AK17" s="384" t="n"/>
      <c r="AL17" s="384" t="n"/>
      <c r="AM17" s="384" t="n"/>
      <c r="AN17" s="384" t="n"/>
      <c r="AO17" s="384" t="n"/>
      <c r="AP17" s="384" t="n"/>
      <c r="AQ17" s="384" t="n"/>
      <c r="AR17" s="384" t="n"/>
      <c r="AS17" s="384" t="n"/>
      <c r="AT17" s="384" t="n"/>
      <c r="AU17" s="384" t="n"/>
      <c r="AV17" s="384" t="n"/>
      <c r="AW17" s="384" t="n"/>
      <c r="AX17" s="384" t="n"/>
      <c r="AY17" s="384" t="n"/>
      <c r="AZ17" s="384" t="n"/>
      <c r="BA17" s="384" t="n"/>
      <c r="BB17" s="384" t="n"/>
      <c r="BC17" s="384" t="n"/>
      <c r="BD17" s="384" t="n"/>
      <c r="BE17" s="384" t="n"/>
      <c r="BF17" s="384" t="n"/>
      <c r="BG17" s="384" t="n"/>
      <c r="BH17" s="384" t="n"/>
      <c r="BI17" s="384" t="n"/>
      <c r="BJ17" s="384" t="n"/>
      <c r="BK17" s="384" t="n"/>
      <c r="BL17" s="384" t="n"/>
      <c r="BM17" s="384" t="n"/>
      <c r="BN17" s="384" t="n"/>
      <c r="BO17" s="384" t="n"/>
      <c r="BP17" s="384" t="n"/>
      <c r="BQ17" s="384" t="n"/>
      <c r="BR17" s="384" t="n"/>
      <c r="BS17" s="384" t="n"/>
      <c r="BT17" s="384" t="n"/>
      <c r="BU17" s="384" t="n"/>
      <c r="BV17" s="384" t="n"/>
      <c r="BW17" s="384" t="n"/>
      <c r="BX17" s="384" t="n"/>
      <c r="BY17" s="384" t="n"/>
      <c r="BZ17" s="384" t="n"/>
      <c r="CA17" s="384" t="n"/>
      <c r="CB17" s="384" t="n"/>
      <c r="CC17" s="384" t="n"/>
      <c r="CD17" s="384" t="n"/>
      <c r="CE17" s="384" t="n"/>
      <c r="CF17" s="384" t="n"/>
      <c r="CG17" s="384" t="n"/>
      <c r="CH17" s="384" t="n"/>
      <c r="CI17" s="384" t="n"/>
      <c r="CJ17" s="384" t="n"/>
      <c r="CK17" s="384" t="n"/>
    </row>
    <row r="18" hidden="1" outlineLevel="1" s="1181">
      <c r="A18" s="175" t="inlineStr">
        <is>
          <t>C_SCOPE</t>
        </is>
      </c>
      <c r="B18" s="390">
        <f>IF(_epmOfflineCondition_,"G_DUMMY",EPMOlapMemberO(E11,"[C_SCOPE].[PARENTH1].[G_DUMMY]","合并范围无关","","000"))</f>
        <v/>
      </c>
      <c r="C18" s="384" t="n"/>
      <c r="D18" s="384" t="n"/>
      <c r="E18" s="180" t="inlineStr">
        <is>
          <t>合并调整</t>
        </is>
      </c>
      <c r="F18" s="180" t="inlineStr">
        <is>
          <t>DELIM_IPT_IC_BP_99</t>
        </is>
      </c>
      <c r="G18" s="384" t="n"/>
      <c r="H18" s="384" t="n"/>
      <c r="I18" s="384" t="n"/>
      <c r="J18" s="384" t="n"/>
      <c r="K18" s="384" t="n"/>
      <c r="L18" s="384" t="n"/>
      <c r="M18" s="384" t="n"/>
      <c r="N18" s="384" t="n"/>
      <c r="O18" s="384" t="n"/>
      <c r="P18" s="384" t="n"/>
      <c r="Q18" s="384" t="n"/>
      <c r="R18" s="384" t="n"/>
      <c r="S18" s="384" t="n"/>
      <c r="T18" s="384" t="inlineStr">
        <is>
          <t>FLOW</t>
        </is>
      </c>
      <c r="U18" s="384" t="n"/>
      <c r="V18" s="384" t="n"/>
      <c r="W18" s="384" t="inlineStr">
        <is>
          <t>FEND</t>
        </is>
      </c>
      <c r="X18" s="384" t="inlineStr">
        <is>
          <t>FEND</t>
        </is>
      </c>
      <c r="Y18" s="384" t="inlineStr">
        <is>
          <t>FEND</t>
        </is>
      </c>
      <c r="Z18" s="384" t="inlineStr">
        <is>
          <t>FEND</t>
        </is>
      </c>
      <c r="AA18" s="384" t="inlineStr">
        <is>
          <t>FEND</t>
        </is>
      </c>
      <c r="AB18" s="384" t="inlineStr">
        <is>
          <t>FEND</t>
        </is>
      </c>
      <c r="AC18" s="384" t="inlineStr">
        <is>
          <t>FEND</t>
        </is>
      </c>
      <c r="AD18" s="384">
        <f>$E$9</f>
        <v/>
      </c>
      <c r="AE18" s="384">
        <f>$E$9</f>
        <v/>
      </c>
      <c r="AF18" s="384">
        <f>$E$9</f>
        <v/>
      </c>
      <c r="AG18" s="384">
        <f>$E$9</f>
        <v/>
      </c>
      <c r="AH18" s="384">
        <f>$E$9</f>
        <v/>
      </c>
      <c r="AI18" s="384">
        <f>$E$9</f>
        <v/>
      </c>
      <c r="AJ18" s="384" t="inlineStr">
        <is>
          <t>FEND</t>
        </is>
      </c>
      <c r="AK18" s="384" t="inlineStr">
        <is>
          <t>FEND</t>
        </is>
      </c>
      <c r="AL18" s="384" t="inlineStr">
        <is>
          <t>FEND</t>
        </is>
      </c>
      <c r="AM18" s="384" t="inlineStr">
        <is>
          <t>FEND</t>
        </is>
      </c>
      <c r="AN18" s="384" t="inlineStr">
        <is>
          <t>FEND</t>
        </is>
      </c>
      <c r="AO18" s="384" t="inlineStr">
        <is>
          <t>FEND</t>
        </is>
      </c>
      <c r="AP18" s="384" t="inlineStr">
        <is>
          <t>FEND</t>
        </is>
      </c>
      <c r="AQ18" s="384" t="inlineStr">
        <is>
          <t>FEND</t>
        </is>
      </c>
      <c r="AR18" s="384" t="inlineStr">
        <is>
          <t>FEND</t>
        </is>
      </c>
      <c r="AS18" s="384" t="inlineStr">
        <is>
          <t>FEND</t>
        </is>
      </c>
      <c r="AT18" s="384" t="inlineStr">
        <is>
          <t>FEND</t>
        </is>
      </c>
      <c r="AU18" s="384" t="inlineStr">
        <is>
          <t>FEND</t>
        </is>
      </c>
      <c r="AV18" s="384" t="inlineStr">
        <is>
          <t>FEND</t>
        </is>
      </c>
      <c r="AW18" s="384" t="inlineStr">
        <is>
          <t>FEND</t>
        </is>
      </c>
      <c r="AX18" s="384" t="inlineStr">
        <is>
          <t>FEND</t>
        </is>
      </c>
      <c r="AY18" s="384" t="inlineStr">
        <is>
          <t>FEND</t>
        </is>
      </c>
      <c r="AZ18" s="384" t="inlineStr">
        <is>
          <t>FEND</t>
        </is>
      </c>
      <c r="BA18" s="384" t="inlineStr">
        <is>
          <t>FEND</t>
        </is>
      </c>
      <c r="BB18" s="384" t="inlineStr">
        <is>
          <t>FEND</t>
        </is>
      </c>
      <c r="BC18" s="384" t="inlineStr">
        <is>
          <t>FEND</t>
        </is>
      </c>
      <c r="BD18" s="384" t="inlineStr">
        <is>
          <t>FEND</t>
        </is>
      </c>
      <c r="BE18" s="384" t="inlineStr">
        <is>
          <t>FEND</t>
        </is>
      </c>
      <c r="BF18" s="384" t="inlineStr">
        <is>
          <t>FEND</t>
        </is>
      </c>
      <c r="BG18" s="384" t="inlineStr">
        <is>
          <t>FEND</t>
        </is>
      </c>
      <c r="BH18" s="384" t="inlineStr">
        <is>
          <t>FEND</t>
        </is>
      </c>
      <c r="BI18" s="384" t="inlineStr">
        <is>
          <t>FEND</t>
        </is>
      </c>
      <c r="BJ18" s="384" t="inlineStr">
        <is>
          <t>FEND</t>
        </is>
      </c>
      <c r="BK18" s="384" t="inlineStr">
        <is>
          <t>FEND</t>
        </is>
      </c>
      <c r="BL18" s="384" t="inlineStr">
        <is>
          <t>FEND</t>
        </is>
      </c>
      <c r="BM18" s="384" t="inlineStr">
        <is>
          <t>FEND</t>
        </is>
      </c>
      <c r="BN18" s="384" t="inlineStr">
        <is>
          <t>FEND</t>
        </is>
      </c>
      <c r="BO18" s="384" t="inlineStr">
        <is>
          <t>FEND</t>
        </is>
      </c>
      <c r="BP18" s="384" t="inlineStr">
        <is>
          <t>FEND</t>
        </is>
      </c>
      <c r="BQ18" s="384" t="inlineStr">
        <is>
          <t>FEND</t>
        </is>
      </c>
      <c r="BR18" s="384" t="inlineStr">
        <is>
          <t>FEND</t>
        </is>
      </c>
      <c r="BS18" s="384" t="inlineStr">
        <is>
          <t>FEND</t>
        </is>
      </c>
      <c r="BT18" s="384" t="inlineStr">
        <is>
          <t>FEND</t>
        </is>
      </c>
      <c r="BU18" s="384" t="inlineStr">
        <is>
          <t>FEND</t>
        </is>
      </c>
      <c r="BV18" s="384" t="inlineStr">
        <is>
          <t>FEND</t>
        </is>
      </c>
      <c r="BW18" s="384" t="inlineStr">
        <is>
          <t>FEND</t>
        </is>
      </c>
      <c r="BX18" s="384" t="inlineStr">
        <is>
          <t>FEND</t>
        </is>
      </c>
      <c r="BY18" s="384" t="inlineStr">
        <is>
          <t>FEND</t>
        </is>
      </c>
      <c r="BZ18" s="384" t="inlineStr">
        <is>
          <t>FEND</t>
        </is>
      </c>
      <c r="CA18" s="384" t="inlineStr">
        <is>
          <t>FEND</t>
        </is>
      </c>
      <c r="CB18" s="384" t="inlineStr">
        <is>
          <t>FEND</t>
        </is>
      </c>
      <c r="CC18" s="384" t="inlineStr">
        <is>
          <t>FEND</t>
        </is>
      </c>
      <c r="CD18" s="384" t="inlineStr">
        <is>
          <t>FEND</t>
        </is>
      </c>
      <c r="CE18" s="384" t="inlineStr">
        <is>
          <t>FEND</t>
        </is>
      </c>
      <c r="CF18" s="384" t="inlineStr">
        <is>
          <t>FEND</t>
        </is>
      </c>
      <c r="CG18" s="384" t="inlineStr">
        <is>
          <t>FEND</t>
        </is>
      </c>
      <c r="CH18" s="384" t="inlineStr">
        <is>
          <t>FEND</t>
        </is>
      </c>
      <c r="CI18" s="384" t="inlineStr">
        <is>
          <t>FEND</t>
        </is>
      </c>
      <c r="CJ18" s="384" t="inlineStr">
        <is>
          <t>FEND</t>
        </is>
      </c>
      <c r="CK18" s="384" t="inlineStr">
        <is>
          <t>FEND</t>
        </is>
      </c>
    </row>
    <row r="19" hidden="1" outlineLevel="1" s="1181">
      <c r="A19" s="176" t="inlineStr">
        <is>
          <t>C_FLOW</t>
        </is>
      </c>
      <c r="B19" s="390" t="n"/>
      <c r="C19" s="384" t="n"/>
      <c r="D19" s="384" t="n"/>
      <c r="E19" s="180" t="inlineStr">
        <is>
          <t>查询</t>
        </is>
      </c>
      <c r="F19" s="180" t="inlineStr">
        <is>
          <t>DALL</t>
        </is>
      </c>
      <c r="G19" s="384" t="n"/>
      <c r="H19" s="384" t="n"/>
      <c r="I19" s="384" t="n"/>
      <c r="J19" s="384" t="n"/>
      <c r="K19" s="384" t="n"/>
      <c r="L19" s="384" t="n"/>
      <c r="M19" s="384" t="n"/>
      <c r="N19" s="384" t="n"/>
      <c r="O19" s="384" t="n"/>
      <c r="P19" s="384" t="n"/>
      <c r="Q19" s="384" t="n"/>
      <c r="R19" s="384" t="n"/>
      <c r="S19" s="384" t="n"/>
      <c r="T19" s="43" t="inlineStr">
        <is>
          <t>C_PROJECT</t>
        </is>
      </c>
      <c r="U19" s="384" t="n"/>
      <c r="V19" s="384" t="n"/>
      <c r="W19" s="178" t="inlineStr">
        <is>
          <t>ZP_ALL</t>
        </is>
      </c>
      <c r="X19" s="178" t="inlineStr">
        <is>
          <t>ZP_ALL</t>
        </is>
      </c>
      <c r="Y19" s="178" t="inlineStr">
        <is>
          <t>ZP_ALL</t>
        </is>
      </c>
      <c r="Z19" s="178" t="inlineStr">
        <is>
          <t>ZP_ALL</t>
        </is>
      </c>
      <c r="AA19" s="178" t="inlineStr">
        <is>
          <t>ZP_ALL</t>
        </is>
      </c>
      <c r="AB19" s="178" t="inlineStr">
        <is>
          <t>ZP_ALL</t>
        </is>
      </c>
      <c r="AC19" s="178" t="inlineStr">
        <is>
          <t>ZP_ALL</t>
        </is>
      </c>
      <c r="AD19" s="178">
        <f>$E$12</f>
        <v/>
      </c>
      <c r="AE19" s="178">
        <f>$E$12</f>
        <v/>
      </c>
      <c r="AF19" s="178">
        <f>$E$12</f>
        <v/>
      </c>
      <c r="AG19" s="178">
        <f>$E$12</f>
        <v/>
      </c>
      <c r="AH19" s="178">
        <f>$E$12</f>
        <v/>
      </c>
      <c r="AI19" s="178">
        <f>$E$12</f>
        <v/>
      </c>
      <c r="AJ19" s="178" t="inlineStr">
        <is>
          <t>ZP_ALL</t>
        </is>
      </c>
      <c r="AK19" s="178" t="inlineStr">
        <is>
          <t>ZP_ALL</t>
        </is>
      </c>
      <c r="AL19" s="178" t="inlineStr">
        <is>
          <t>ZP_ALL</t>
        </is>
      </c>
      <c r="AM19" s="178" t="inlineStr">
        <is>
          <t>ZP_ALL</t>
        </is>
      </c>
      <c r="AN19" s="178" t="inlineStr">
        <is>
          <t>ZP_ALL</t>
        </is>
      </c>
      <c r="AO19" s="178" t="inlineStr">
        <is>
          <t>ZP_ALL</t>
        </is>
      </c>
      <c r="AP19" s="178" t="inlineStr">
        <is>
          <t>ZP_ALL</t>
        </is>
      </c>
      <c r="AQ19" s="178" t="inlineStr">
        <is>
          <t>ZP_ALL</t>
        </is>
      </c>
      <c r="AR19" s="178" t="inlineStr">
        <is>
          <t>ZP_ALL</t>
        </is>
      </c>
      <c r="AS19" s="178" t="inlineStr">
        <is>
          <t>ZP_ALL</t>
        </is>
      </c>
      <c r="AT19" s="178" t="inlineStr">
        <is>
          <t>ZP_ALL</t>
        </is>
      </c>
      <c r="AU19" s="178" t="inlineStr">
        <is>
          <t>ZP_ALL</t>
        </is>
      </c>
      <c r="AV19" s="178" t="inlineStr">
        <is>
          <t>ZP_ALL</t>
        </is>
      </c>
      <c r="AW19" s="178" t="inlineStr">
        <is>
          <t>ZP_ALL</t>
        </is>
      </c>
      <c r="AX19" s="178" t="inlineStr">
        <is>
          <t>ZP_ALL</t>
        </is>
      </c>
      <c r="AY19" s="178" t="inlineStr">
        <is>
          <t>ZP_ALL</t>
        </is>
      </c>
      <c r="AZ19" s="178" t="inlineStr">
        <is>
          <t>ZP_ALL</t>
        </is>
      </c>
      <c r="BA19" s="178" t="inlineStr">
        <is>
          <t>ZP_ALL</t>
        </is>
      </c>
      <c r="BB19" s="178" t="inlineStr">
        <is>
          <t>ZP_ALL</t>
        </is>
      </c>
      <c r="BC19" s="178" t="inlineStr">
        <is>
          <t>ZP_ALL</t>
        </is>
      </c>
      <c r="BD19" s="178" t="inlineStr">
        <is>
          <t>ZP_ALL</t>
        </is>
      </c>
      <c r="BE19" s="178" t="inlineStr">
        <is>
          <t>ZP_ALL</t>
        </is>
      </c>
      <c r="BF19" s="178" t="inlineStr">
        <is>
          <t>ZP_ALL</t>
        </is>
      </c>
      <c r="BG19" s="178" t="inlineStr">
        <is>
          <t>ZP_ALL</t>
        </is>
      </c>
      <c r="BH19" s="178" t="inlineStr">
        <is>
          <t>ZP_ALL</t>
        </is>
      </c>
      <c r="BI19" s="178" t="inlineStr">
        <is>
          <t>ZP_ALL</t>
        </is>
      </c>
      <c r="BJ19" s="178" t="inlineStr">
        <is>
          <t>ZP_ALL</t>
        </is>
      </c>
      <c r="BK19" s="178" t="inlineStr">
        <is>
          <t>ZP_ALL</t>
        </is>
      </c>
      <c r="BL19" s="178" t="inlineStr">
        <is>
          <t>ZP_ALL</t>
        </is>
      </c>
      <c r="BM19" s="178" t="inlineStr">
        <is>
          <t>ZP_ALL</t>
        </is>
      </c>
      <c r="BN19" s="178" t="inlineStr">
        <is>
          <t>ZP_ALL</t>
        </is>
      </c>
      <c r="BO19" s="178" t="inlineStr">
        <is>
          <t>ZP_ALL</t>
        </is>
      </c>
      <c r="BP19" s="178" t="inlineStr">
        <is>
          <t>ZP_ALL</t>
        </is>
      </c>
      <c r="BQ19" s="178" t="inlineStr">
        <is>
          <t>ZP_ALL</t>
        </is>
      </c>
      <c r="BR19" s="178" t="inlineStr">
        <is>
          <t>ZP_ALL</t>
        </is>
      </c>
      <c r="BS19" s="178" t="inlineStr">
        <is>
          <t>ZP_ALL</t>
        </is>
      </c>
      <c r="BT19" s="178" t="inlineStr">
        <is>
          <t>ZP_ALL</t>
        </is>
      </c>
      <c r="BU19" s="178" t="inlineStr">
        <is>
          <t>ZP_ALL</t>
        </is>
      </c>
      <c r="BV19" s="178" t="inlineStr">
        <is>
          <t>ZP_ALL</t>
        </is>
      </c>
      <c r="BW19" s="178" t="inlineStr">
        <is>
          <t>ZP_ALL</t>
        </is>
      </c>
      <c r="BX19" s="178" t="inlineStr">
        <is>
          <t>ZP_ALL</t>
        </is>
      </c>
      <c r="BY19" s="178" t="inlineStr">
        <is>
          <t>ZP_ALL</t>
        </is>
      </c>
      <c r="BZ19" s="178" t="inlineStr">
        <is>
          <t>ZP_ALL</t>
        </is>
      </c>
      <c r="CA19" s="178" t="inlineStr">
        <is>
          <t>ZP_ALL</t>
        </is>
      </c>
      <c r="CB19" s="178" t="inlineStr">
        <is>
          <t>ZP_ALL</t>
        </is>
      </c>
      <c r="CC19" s="178" t="inlineStr">
        <is>
          <t>ZP_ALL</t>
        </is>
      </c>
      <c r="CD19" s="178" t="inlineStr">
        <is>
          <t>ZP_ALL</t>
        </is>
      </c>
      <c r="CE19" s="178" t="inlineStr">
        <is>
          <t>ZP_ALL</t>
        </is>
      </c>
      <c r="CF19" s="178" t="inlineStr">
        <is>
          <t>ZP_ALL</t>
        </is>
      </c>
      <c r="CG19" s="178" t="inlineStr">
        <is>
          <t>ZP_ALL</t>
        </is>
      </c>
      <c r="CH19" s="178" t="inlineStr">
        <is>
          <t>ZP_ALL</t>
        </is>
      </c>
      <c r="CI19" s="178" t="inlineStr">
        <is>
          <t>ZP_ALL</t>
        </is>
      </c>
      <c r="CJ19" s="178" t="inlineStr">
        <is>
          <t>ZP_ALL</t>
        </is>
      </c>
      <c r="CK19" s="178" t="inlineStr">
        <is>
          <t>ZP_ALL</t>
        </is>
      </c>
    </row>
    <row r="20" hidden="1" outlineLevel="1" s="1181">
      <c r="A20" s="384" t="n"/>
      <c r="B20" s="384" t="n"/>
      <c r="C20" s="384" t="n"/>
      <c r="D20" s="384" t="n"/>
      <c r="E20" s="384" t="n"/>
      <c r="F20" s="384" t="n"/>
      <c r="G20" s="384" t="n"/>
      <c r="H20" s="384" t="n"/>
      <c r="I20" s="384" t="n"/>
      <c r="J20" s="384" t="n"/>
      <c r="K20" s="384" t="n"/>
      <c r="L20" s="384" t="n"/>
      <c r="M20" s="384" t="n"/>
      <c r="N20" s="384" t="n"/>
      <c r="O20" s="384" t="n"/>
      <c r="P20" s="384" t="n"/>
      <c r="Q20" s="384" t="n"/>
      <c r="R20" s="384" t="n"/>
      <c r="S20" s="384" t="n"/>
      <c r="T20" s="43" t="inlineStr">
        <is>
          <t>C_ITEM</t>
        </is>
      </c>
      <c r="U20" s="384" t="n"/>
      <c r="V20" s="384" t="n"/>
      <c r="W20" s="178" t="inlineStr">
        <is>
          <t>ZI_ALL</t>
        </is>
      </c>
      <c r="X20" s="178" t="inlineStr">
        <is>
          <t>ZI_ALL</t>
        </is>
      </c>
      <c r="Y20" s="178" t="inlineStr">
        <is>
          <t>ZI_ALL</t>
        </is>
      </c>
      <c r="Z20" s="178" t="inlineStr">
        <is>
          <t>ZI_ALL</t>
        </is>
      </c>
      <c r="AA20" s="178" t="inlineStr">
        <is>
          <t>ZI_ALL</t>
        </is>
      </c>
      <c r="AB20" s="178" t="inlineStr">
        <is>
          <t>ZI_ALL</t>
        </is>
      </c>
      <c r="AC20" s="178" t="inlineStr">
        <is>
          <t>ZI_ALL</t>
        </is>
      </c>
      <c r="AD20" s="178">
        <f>$E$13</f>
        <v/>
      </c>
      <c r="AE20" s="178">
        <f>$E$13</f>
        <v/>
      </c>
      <c r="AF20" s="178">
        <f>$E$13</f>
        <v/>
      </c>
      <c r="AG20" s="178">
        <f>$E$13</f>
        <v/>
      </c>
      <c r="AH20" s="178">
        <f>$E$13</f>
        <v/>
      </c>
      <c r="AI20" s="178">
        <f>$E$13</f>
        <v/>
      </c>
      <c r="AJ20" s="178" t="inlineStr">
        <is>
          <t>ZI_ALL</t>
        </is>
      </c>
      <c r="AK20" s="178" t="inlineStr">
        <is>
          <t>ZI_ALL</t>
        </is>
      </c>
      <c r="AL20" s="178" t="inlineStr">
        <is>
          <t>ZI_ALL</t>
        </is>
      </c>
      <c r="AM20" s="178" t="inlineStr">
        <is>
          <t>ZI_ALL</t>
        </is>
      </c>
      <c r="AN20" s="178" t="inlineStr">
        <is>
          <t>ZI_ALL</t>
        </is>
      </c>
      <c r="AO20" s="178" t="inlineStr">
        <is>
          <t>ZI_ALL</t>
        </is>
      </c>
      <c r="AP20" s="178" t="inlineStr">
        <is>
          <t>ZI_ALL</t>
        </is>
      </c>
      <c r="AQ20" s="178" t="inlineStr">
        <is>
          <t>ZI_ALL</t>
        </is>
      </c>
      <c r="AR20" s="178" t="inlineStr">
        <is>
          <t>ZI_ALL</t>
        </is>
      </c>
      <c r="AS20" s="178" t="inlineStr">
        <is>
          <t>ZI_ALL</t>
        </is>
      </c>
      <c r="AT20" s="178" t="inlineStr">
        <is>
          <t>ZI_ALL</t>
        </is>
      </c>
      <c r="AU20" s="178" t="inlineStr">
        <is>
          <t>ZI_ALL</t>
        </is>
      </c>
      <c r="AV20" s="178" t="inlineStr">
        <is>
          <t>ZI_ALL</t>
        </is>
      </c>
      <c r="AW20" s="178" t="inlineStr">
        <is>
          <t>ZI_ALL</t>
        </is>
      </c>
      <c r="AX20" s="178" t="inlineStr">
        <is>
          <t>ZI_ALL</t>
        </is>
      </c>
      <c r="AY20" s="178" t="inlineStr">
        <is>
          <t>ZI_ALL</t>
        </is>
      </c>
      <c r="AZ20" s="178" t="inlineStr">
        <is>
          <t>ZI_ALL</t>
        </is>
      </c>
      <c r="BA20" s="178" t="inlineStr">
        <is>
          <t>ZI_ALL</t>
        </is>
      </c>
      <c r="BB20" s="178" t="inlineStr">
        <is>
          <t>ZI_ALL</t>
        </is>
      </c>
      <c r="BC20" s="178" t="inlineStr">
        <is>
          <t>ZI_ALL</t>
        </is>
      </c>
      <c r="BD20" s="178" t="inlineStr">
        <is>
          <t>ZI_ALL</t>
        </is>
      </c>
      <c r="BE20" s="178" t="inlineStr">
        <is>
          <t>ZI_ALL</t>
        </is>
      </c>
      <c r="BF20" s="178" t="inlineStr">
        <is>
          <t>ZI_ALL</t>
        </is>
      </c>
      <c r="BG20" s="178" t="inlineStr">
        <is>
          <t>ZI_ALL</t>
        </is>
      </c>
      <c r="BH20" s="178" t="inlineStr">
        <is>
          <t>ZI_ALL</t>
        </is>
      </c>
      <c r="BI20" s="178" t="inlineStr">
        <is>
          <t>ZI_ALL</t>
        </is>
      </c>
      <c r="BJ20" s="178" t="inlineStr">
        <is>
          <t>ZI_ALL</t>
        </is>
      </c>
      <c r="BK20" s="178" t="inlineStr">
        <is>
          <t>ZI_ALL</t>
        </is>
      </c>
      <c r="BL20" s="178" t="inlineStr">
        <is>
          <t>ZI_ALL</t>
        </is>
      </c>
      <c r="BM20" s="178" t="inlineStr">
        <is>
          <t>ZI_ALL</t>
        </is>
      </c>
      <c r="BN20" s="178" t="inlineStr">
        <is>
          <t>ZI_ALL</t>
        </is>
      </c>
      <c r="BO20" s="178" t="inlineStr">
        <is>
          <t>ZI_ALL</t>
        </is>
      </c>
      <c r="BP20" s="178" t="inlineStr">
        <is>
          <t>ZI_ALL</t>
        </is>
      </c>
      <c r="BQ20" s="178" t="inlineStr">
        <is>
          <t>ZI_ALL</t>
        </is>
      </c>
      <c r="BR20" s="178" t="inlineStr">
        <is>
          <t>ZI_ALL</t>
        </is>
      </c>
      <c r="BS20" s="178" t="inlineStr">
        <is>
          <t>ZI_ALL</t>
        </is>
      </c>
      <c r="BT20" s="178" t="inlineStr">
        <is>
          <t>ZI_ALL</t>
        </is>
      </c>
      <c r="BU20" s="178" t="inlineStr">
        <is>
          <t>ZI_ALL</t>
        </is>
      </c>
      <c r="BV20" s="178" t="inlineStr">
        <is>
          <t>ZI_ALL</t>
        </is>
      </c>
      <c r="BW20" s="178" t="inlineStr">
        <is>
          <t>ZI_ALL</t>
        </is>
      </c>
      <c r="BX20" s="178" t="inlineStr">
        <is>
          <t>ZI_ALL</t>
        </is>
      </c>
      <c r="BY20" s="178" t="inlineStr">
        <is>
          <t>ZI_ALL</t>
        </is>
      </c>
      <c r="BZ20" s="178" t="inlineStr">
        <is>
          <t>ZI_ALL</t>
        </is>
      </c>
      <c r="CA20" s="178" t="inlineStr">
        <is>
          <t>ZI_ALL</t>
        </is>
      </c>
      <c r="CB20" s="178" t="inlineStr">
        <is>
          <t>ZI_ALL</t>
        </is>
      </c>
      <c r="CC20" s="178" t="inlineStr">
        <is>
          <t>ZI_ALL</t>
        </is>
      </c>
      <c r="CD20" s="178" t="inlineStr">
        <is>
          <t>ZI_ALL</t>
        </is>
      </c>
      <c r="CE20" s="178" t="inlineStr">
        <is>
          <t>ZI_ALL</t>
        </is>
      </c>
      <c r="CF20" s="178" t="inlineStr">
        <is>
          <t>ZI_ALL</t>
        </is>
      </c>
      <c r="CG20" s="178" t="inlineStr">
        <is>
          <t>ZI_ALL</t>
        </is>
      </c>
      <c r="CH20" s="178" t="inlineStr">
        <is>
          <t>ZI_ALL</t>
        </is>
      </c>
      <c r="CI20" s="178" t="inlineStr">
        <is>
          <t>ZI_ALL</t>
        </is>
      </c>
      <c r="CJ20" s="178" t="inlineStr">
        <is>
          <t>ZI_ALL</t>
        </is>
      </c>
      <c r="CK20" s="178" t="inlineStr">
        <is>
          <t>ZI_ALL</t>
        </is>
      </c>
    </row>
    <row r="21" hidden="1" outlineLevel="1" s="1181">
      <c r="A21" s="384" t="n"/>
      <c r="B21" s="384" t="n"/>
      <c r="C21" s="384" t="n"/>
      <c r="D21" s="384" t="n"/>
      <c r="E21" s="384" t="n"/>
      <c r="F21" s="384" t="n"/>
      <c r="G21" s="384" t="n"/>
      <c r="H21" s="384" t="n"/>
      <c r="I21" s="384" t="n"/>
      <c r="J21" s="384" t="n"/>
      <c r="K21" s="384" t="n"/>
      <c r="L21" s="384" t="n"/>
      <c r="M21" s="384" t="n"/>
      <c r="N21" s="384" t="n"/>
      <c r="O21" s="384" t="n"/>
      <c r="P21" s="384" t="n"/>
      <c r="Q21" s="384" t="n"/>
      <c r="R21" s="384" t="n"/>
      <c r="S21" s="384" t="n"/>
      <c r="T21" s="43" t="inlineStr">
        <is>
          <t>C_INTERCO</t>
        </is>
      </c>
      <c r="U21" s="384" t="n"/>
      <c r="V21" s="384" t="n"/>
      <c r="W21" s="178" t="inlineStr">
        <is>
          <t>I_ALL</t>
        </is>
      </c>
      <c r="X21" s="178" t="inlineStr">
        <is>
          <t>I_ALL</t>
        </is>
      </c>
      <c r="Y21" s="178" t="inlineStr">
        <is>
          <t>I_ALL</t>
        </is>
      </c>
      <c r="Z21" s="178" t="inlineStr">
        <is>
          <t>I_ALL</t>
        </is>
      </c>
      <c r="AA21" s="178" t="inlineStr">
        <is>
          <t>I_ALL</t>
        </is>
      </c>
      <c r="AB21" s="178" t="inlineStr">
        <is>
          <t>I_ALL</t>
        </is>
      </c>
      <c r="AC21" s="178" t="inlineStr">
        <is>
          <t>I_ALL</t>
        </is>
      </c>
      <c r="AD21" s="178">
        <f>$E$10</f>
        <v/>
      </c>
      <c r="AE21" s="178">
        <f>$E$10</f>
        <v/>
      </c>
      <c r="AF21" s="178">
        <f>$E$10</f>
        <v/>
      </c>
      <c r="AG21" s="178">
        <f>$E$10</f>
        <v/>
      </c>
      <c r="AH21" s="178">
        <f>$E$10</f>
        <v/>
      </c>
      <c r="AI21" s="178">
        <f>$E$10</f>
        <v/>
      </c>
      <c r="AJ21" s="178" t="inlineStr">
        <is>
          <t>I_ALL</t>
        </is>
      </c>
      <c r="AK21" s="178" t="inlineStr">
        <is>
          <t>I_ALL</t>
        </is>
      </c>
      <c r="AL21" s="178" t="inlineStr">
        <is>
          <t>I_ALL</t>
        </is>
      </c>
      <c r="AM21" s="178" t="inlineStr">
        <is>
          <t>I_ALL</t>
        </is>
      </c>
      <c r="AN21" s="178" t="inlineStr">
        <is>
          <t>I_ALL</t>
        </is>
      </c>
      <c r="AO21" s="178" t="inlineStr">
        <is>
          <t>I_ALL</t>
        </is>
      </c>
      <c r="AP21" s="178" t="inlineStr">
        <is>
          <t>I_ALL</t>
        </is>
      </c>
      <c r="AQ21" s="178" t="inlineStr">
        <is>
          <t>I_ALL</t>
        </is>
      </c>
      <c r="AR21" s="178" t="inlineStr">
        <is>
          <t>I_ALL</t>
        </is>
      </c>
      <c r="AS21" s="178" t="inlineStr">
        <is>
          <t>I_ALL</t>
        </is>
      </c>
      <c r="AT21" s="178" t="inlineStr">
        <is>
          <t>I_ALL</t>
        </is>
      </c>
      <c r="AU21" s="178" t="inlineStr">
        <is>
          <t>I_ALL</t>
        </is>
      </c>
      <c r="AV21" s="178" t="inlineStr">
        <is>
          <t>I_ALL</t>
        </is>
      </c>
      <c r="AW21" s="178" t="inlineStr">
        <is>
          <t>I_ALL</t>
        </is>
      </c>
      <c r="AX21" s="178" t="inlineStr">
        <is>
          <t>I_ALL</t>
        </is>
      </c>
      <c r="AY21" s="178" t="inlineStr">
        <is>
          <t>I_ALL</t>
        </is>
      </c>
      <c r="AZ21" s="178" t="inlineStr">
        <is>
          <t>I_ALL</t>
        </is>
      </c>
      <c r="BA21" s="178" t="inlineStr">
        <is>
          <t>I_ALL</t>
        </is>
      </c>
      <c r="BB21" s="178" t="inlineStr">
        <is>
          <t>I_ALL</t>
        </is>
      </c>
      <c r="BC21" s="178" t="inlineStr">
        <is>
          <t>I_ALL</t>
        </is>
      </c>
      <c r="BD21" s="178" t="inlineStr">
        <is>
          <t>I_ALL</t>
        </is>
      </c>
      <c r="BE21" s="178" t="inlineStr">
        <is>
          <t>I_ALL</t>
        </is>
      </c>
      <c r="BF21" s="178" t="inlineStr">
        <is>
          <t>I_ALL</t>
        </is>
      </c>
      <c r="BG21" s="178" t="inlineStr">
        <is>
          <t>I_ALL</t>
        </is>
      </c>
      <c r="BH21" s="178" t="inlineStr">
        <is>
          <t>I_ALL</t>
        </is>
      </c>
      <c r="BI21" s="178" t="inlineStr">
        <is>
          <t>I_ALL</t>
        </is>
      </c>
      <c r="BJ21" s="178" t="inlineStr">
        <is>
          <t>I_ALL</t>
        </is>
      </c>
      <c r="BK21" s="178" t="inlineStr">
        <is>
          <t>I_ALL</t>
        </is>
      </c>
      <c r="BL21" s="178" t="inlineStr">
        <is>
          <t>I_ALL</t>
        </is>
      </c>
      <c r="BM21" s="178" t="inlineStr">
        <is>
          <t>I_ALL</t>
        </is>
      </c>
      <c r="BN21" s="178" t="inlineStr">
        <is>
          <t>I_ALL</t>
        </is>
      </c>
      <c r="BO21" s="178" t="inlineStr">
        <is>
          <t>I_ALL</t>
        </is>
      </c>
      <c r="BP21" s="178" t="inlineStr">
        <is>
          <t>I_ALL</t>
        </is>
      </c>
      <c r="BQ21" s="178" t="inlineStr">
        <is>
          <t>I_ALL</t>
        </is>
      </c>
      <c r="BR21" s="178" t="inlineStr">
        <is>
          <t>I_ALL</t>
        </is>
      </c>
      <c r="BS21" s="178" t="inlineStr">
        <is>
          <t>I_ALL</t>
        </is>
      </c>
      <c r="BT21" s="178" t="inlineStr">
        <is>
          <t>I_ALL</t>
        </is>
      </c>
      <c r="BU21" s="178" t="inlineStr">
        <is>
          <t>I_ALL</t>
        </is>
      </c>
      <c r="BV21" s="178" t="inlineStr">
        <is>
          <t>I_ALL</t>
        </is>
      </c>
      <c r="BW21" s="178" t="inlineStr">
        <is>
          <t>I_ALL</t>
        </is>
      </c>
      <c r="BX21" s="178" t="inlineStr">
        <is>
          <t>I_ALL</t>
        </is>
      </c>
      <c r="BY21" s="178" t="inlineStr">
        <is>
          <t>I_ALL</t>
        </is>
      </c>
      <c r="BZ21" s="178" t="inlineStr">
        <is>
          <t>I_ALL</t>
        </is>
      </c>
      <c r="CA21" s="178" t="inlineStr">
        <is>
          <t>I_ALL</t>
        </is>
      </c>
      <c r="CB21" s="178" t="inlineStr">
        <is>
          <t>I_ALL</t>
        </is>
      </c>
      <c r="CC21" s="178" t="inlineStr">
        <is>
          <t>I_ALL</t>
        </is>
      </c>
      <c r="CD21" s="178" t="inlineStr">
        <is>
          <t>I_ALL</t>
        </is>
      </c>
      <c r="CE21" s="178" t="inlineStr">
        <is>
          <t>I_ALL</t>
        </is>
      </c>
      <c r="CF21" s="178" t="inlineStr">
        <is>
          <t>I_ALL</t>
        </is>
      </c>
      <c r="CG21" s="178" t="inlineStr">
        <is>
          <t>I_ALL</t>
        </is>
      </c>
      <c r="CH21" s="178" t="inlineStr">
        <is>
          <t>I_ALL</t>
        </is>
      </c>
      <c r="CI21" s="178" t="inlineStr">
        <is>
          <t>I_ALL</t>
        </is>
      </c>
      <c r="CJ21" s="178" t="inlineStr">
        <is>
          <t>I_ALL</t>
        </is>
      </c>
      <c r="CK21" s="178" t="inlineStr">
        <is>
          <t>I_ALL</t>
        </is>
      </c>
    </row>
    <row r="22" hidden="1" outlineLevel="1" s="1181">
      <c r="A22" s="384" t="n"/>
      <c r="B22" s="384" t="n"/>
      <c r="C22" s="384" t="n"/>
      <c r="D22" s="384" t="n"/>
      <c r="E22" s="384" t="n"/>
      <c r="F22" s="384" t="n"/>
      <c r="G22" s="384" t="n"/>
      <c r="H22" s="384" t="n"/>
      <c r="I22" s="384" t="n"/>
      <c r="J22" s="384" t="n"/>
      <c r="K22" s="384" t="n"/>
      <c r="L22" s="384" t="n"/>
      <c r="M22" s="384" t="n"/>
      <c r="N22" s="384" t="n"/>
      <c r="O22" s="384" t="n"/>
      <c r="P22" s="384" t="n"/>
      <c r="Q22" s="384" t="n"/>
      <c r="R22" s="384" t="n"/>
      <c r="S22" s="384" t="n"/>
      <c r="T22" s="43" t="inlineStr">
        <is>
          <t>AUDITTRAIL</t>
        </is>
      </c>
      <c r="U22" s="384" t="n"/>
      <c r="V22" s="384" t="n"/>
      <c r="W22" s="178">
        <f>$C$8</f>
        <v/>
      </c>
      <c r="X22" s="178">
        <f>$C$8</f>
        <v/>
      </c>
      <c r="Y22" s="178">
        <f>$C$8</f>
        <v/>
      </c>
      <c r="Z22" s="178">
        <f>$C$8</f>
        <v/>
      </c>
      <c r="AA22" s="178">
        <f>$C$8</f>
        <v/>
      </c>
      <c r="AB22" s="178">
        <f>$C$8</f>
        <v/>
      </c>
      <c r="AC22" s="178">
        <f>$C$8</f>
        <v/>
      </c>
      <c r="AD22" s="178">
        <f>$F$16</f>
        <v/>
      </c>
      <c r="AE22" s="178">
        <f>$F$16</f>
        <v/>
      </c>
      <c r="AF22" s="178">
        <f>$F$16</f>
        <v/>
      </c>
      <c r="AG22" s="178">
        <f>$F$16</f>
        <v/>
      </c>
      <c r="AH22" s="178">
        <f>$F$16</f>
        <v/>
      </c>
      <c r="AI22" s="178">
        <f>$F$16</f>
        <v/>
      </c>
      <c r="AJ22" s="178">
        <f>$C$8</f>
        <v/>
      </c>
      <c r="AK22" s="178">
        <f>$C$8</f>
        <v/>
      </c>
      <c r="AL22" s="178">
        <f>$C$8</f>
        <v/>
      </c>
      <c r="AM22" s="178">
        <f>$C$8</f>
        <v/>
      </c>
      <c r="AN22" s="178">
        <f>$C$8</f>
        <v/>
      </c>
      <c r="AO22" s="178">
        <f>$C$8</f>
        <v/>
      </c>
      <c r="AP22" s="178">
        <f>$C$8</f>
        <v/>
      </c>
      <c r="AQ22" s="178">
        <f>$C$8</f>
        <v/>
      </c>
      <c r="AR22" s="178">
        <f>$C$8</f>
        <v/>
      </c>
      <c r="AS22" s="178">
        <f>$C$8</f>
        <v/>
      </c>
      <c r="AT22" s="178">
        <f>$C$8</f>
        <v/>
      </c>
      <c r="AU22" s="178">
        <f>$C$8</f>
        <v/>
      </c>
      <c r="AV22" s="178">
        <f>$C$8</f>
        <v/>
      </c>
      <c r="AW22" s="178">
        <f>$C$8</f>
        <v/>
      </c>
      <c r="AX22" s="178">
        <f>$C$8</f>
        <v/>
      </c>
      <c r="AY22" s="178">
        <f>$C$8</f>
        <v/>
      </c>
      <c r="AZ22" s="178">
        <f>$C$8</f>
        <v/>
      </c>
      <c r="BA22" s="178">
        <f>$C$8</f>
        <v/>
      </c>
      <c r="BB22" s="178">
        <f>$C$8</f>
        <v/>
      </c>
      <c r="BC22" s="178">
        <f>$C$8</f>
        <v/>
      </c>
      <c r="BD22" s="178">
        <f>$C$8</f>
        <v/>
      </c>
      <c r="BE22" s="178">
        <f>$C$8</f>
        <v/>
      </c>
      <c r="BF22" s="178">
        <f>$C$8</f>
        <v/>
      </c>
      <c r="BG22" s="178">
        <f>$C$8</f>
        <v/>
      </c>
      <c r="BH22" s="178">
        <f>$C$8</f>
        <v/>
      </c>
      <c r="BI22" s="178">
        <f>$C$8</f>
        <v/>
      </c>
      <c r="BJ22" s="178">
        <f>$C$8</f>
        <v/>
      </c>
      <c r="BK22" s="178" t="inlineStr">
        <is>
          <t>D1201</t>
        </is>
      </c>
      <c r="BL22" s="178" t="inlineStr">
        <is>
          <t>D1201</t>
        </is>
      </c>
      <c r="BM22" s="178" t="inlineStr">
        <is>
          <t>D1201</t>
        </is>
      </c>
      <c r="BN22" s="178" t="inlineStr">
        <is>
          <t>D1201</t>
        </is>
      </c>
      <c r="BO22" s="178" t="inlineStr">
        <is>
          <t>D1201</t>
        </is>
      </c>
      <c r="BP22" s="178" t="inlineStr">
        <is>
          <t>D1201</t>
        </is>
      </c>
      <c r="BQ22" s="178" t="inlineStr">
        <is>
          <t>D1201</t>
        </is>
      </c>
      <c r="BR22" s="178" t="inlineStr">
        <is>
          <t>D1201</t>
        </is>
      </c>
      <c r="BS22" s="178" t="inlineStr">
        <is>
          <t>D1201</t>
        </is>
      </c>
      <c r="BT22" s="178" t="inlineStr">
        <is>
          <t>D1201</t>
        </is>
      </c>
      <c r="BU22" s="178" t="inlineStr">
        <is>
          <t>D1201</t>
        </is>
      </c>
      <c r="BV22" s="178" t="inlineStr">
        <is>
          <t>D1201</t>
        </is>
      </c>
      <c r="BW22" s="178" t="inlineStr">
        <is>
          <t>D1201</t>
        </is>
      </c>
      <c r="BX22" s="178" t="inlineStr">
        <is>
          <t>D1201</t>
        </is>
      </c>
      <c r="BY22" s="178" t="inlineStr">
        <is>
          <t>D1201</t>
        </is>
      </c>
      <c r="BZ22" s="178" t="inlineStr">
        <is>
          <t>D1201</t>
        </is>
      </c>
      <c r="CA22" s="178" t="inlineStr">
        <is>
          <t>D1201</t>
        </is>
      </c>
      <c r="CB22" s="178" t="inlineStr">
        <is>
          <t>D1201</t>
        </is>
      </c>
      <c r="CC22" s="178" t="inlineStr">
        <is>
          <t>D1201</t>
        </is>
      </c>
      <c r="CD22" s="178" t="inlineStr">
        <is>
          <t>D1201</t>
        </is>
      </c>
      <c r="CE22" s="178" t="inlineStr">
        <is>
          <t>D1201</t>
        </is>
      </c>
      <c r="CF22" s="178" t="inlineStr">
        <is>
          <t>D1201</t>
        </is>
      </c>
      <c r="CG22" s="178" t="inlineStr">
        <is>
          <t>D1201</t>
        </is>
      </c>
      <c r="CH22" s="178" t="inlineStr">
        <is>
          <t>D1201</t>
        </is>
      </c>
      <c r="CI22" s="178" t="inlineStr">
        <is>
          <t>D1201</t>
        </is>
      </c>
      <c r="CJ22" s="178" t="inlineStr">
        <is>
          <t>D1201</t>
        </is>
      </c>
      <c r="CK22" s="178" t="inlineStr">
        <is>
          <t>D1201</t>
        </is>
      </c>
    </row>
    <row r="23" hidden="1" outlineLevel="1" s="1181">
      <c r="A23" s="384" t="n"/>
      <c r="B23" s="384" t="n"/>
      <c r="C23" s="384" t="n"/>
      <c r="D23" s="384" t="n"/>
      <c r="E23" s="384" t="n"/>
      <c r="F23" s="384" t="n"/>
      <c r="G23" s="384" t="n"/>
      <c r="H23" s="384" t="n"/>
      <c r="I23" s="384" t="n"/>
      <c r="J23" s="384" t="n"/>
      <c r="K23" s="384" t="n"/>
      <c r="L23" s="384" t="n"/>
      <c r="M23" s="384" t="n"/>
      <c r="N23" s="384" t="n"/>
      <c r="O23" s="384" t="n"/>
      <c r="P23" s="384" t="n"/>
      <c r="Q23" s="384" t="n"/>
      <c r="R23" s="384" t="n"/>
      <c r="S23" s="384" t="n"/>
      <c r="T23" s="43" t="inlineStr">
        <is>
          <t>category</t>
        </is>
      </c>
      <c r="U23" s="384" t="n"/>
      <c r="V23" s="384" t="n"/>
      <c r="W23" s="178" t="inlineStr">
        <is>
          <t>C1001</t>
        </is>
      </c>
      <c r="X23" s="178" t="inlineStr">
        <is>
          <t>C1001</t>
        </is>
      </c>
      <c r="Y23" s="178" t="inlineStr">
        <is>
          <t>C1001</t>
        </is>
      </c>
      <c r="Z23" s="178" t="inlineStr">
        <is>
          <t>C1001</t>
        </is>
      </c>
      <c r="AA23" s="178" t="inlineStr">
        <is>
          <t>C1001</t>
        </is>
      </c>
      <c r="AB23" s="178" t="inlineStr">
        <is>
          <t>C1001</t>
        </is>
      </c>
      <c r="AC23" s="178" t="inlineStr">
        <is>
          <t>C1001</t>
        </is>
      </c>
      <c r="AD23" s="178" t="inlineStr">
        <is>
          <t>C1001</t>
        </is>
      </c>
      <c r="AE23" s="178" t="inlineStr">
        <is>
          <t>C1001</t>
        </is>
      </c>
      <c r="AF23" s="178" t="inlineStr">
        <is>
          <t>C1001</t>
        </is>
      </c>
      <c r="AG23" s="178" t="inlineStr">
        <is>
          <t>C1001</t>
        </is>
      </c>
      <c r="AH23" s="178" t="inlineStr">
        <is>
          <t>C1001</t>
        </is>
      </c>
      <c r="AI23" s="178" t="inlineStr">
        <is>
          <t>C1001</t>
        </is>
      </c>
      <c r="AJ23" s="178" t="inlineStr">
        <is>
          <t>C1001</t>
        </is>
      </c>
      <c r="AK23" s="178" t="inlineStr">
        <is>
          <t>C1001</t>
        </is>
      </c>
      <c r="AL23" s="178" t="inlineStr">
        <is>
          <t>C1001</t>
        </is>
      </c>
      <c r="AM23" s="178" t="inlineStr">
        <is>
          <t>C1001</t>
        </is>
      </c>
      <c r="AN23" s="178" t="inlineStr">
        <is>
          <t>C1001</t>
        </is>
      </c>
      <c r="AO23" s="178" t="inlineStr">
        <is>
          <t>C1001</t>
        </is>
      </c>
      <c r="AP23" s="178" t="inlineStr">
        <is>
          <t>C1001</t>
        </is>
      </c>
      <c r="AQ23" s="178" t="inlineStr">
        <is>
          <t>C1001</t>
        </is>
      </c>
      <c r="AR23" s="178" t="inlineStr">
        <is>
          <t>C1001</t>
        </is>
      </c>
      <c r="AS23" s="178" t="inlineStr">
        <is>
          <t>C1001</t>
        </is>
      </c>
      <c r="AT23" s="178" t="inlineStr">
        <is>
          <t>C1001</t>
        </is>
      </c>
      <c r="AU23" s="178" t="inlineStr">
        <is>
          <t>C1001</t>
        </is>
      </c>
      <c r="AV23" s="178" t="inlineStr">
        <is>
          <t>C1001</t>
        </is>
      </c>
      <c r="AW23" s="178" t="inlineStr">
        <is>
          <t>C1001</t>
        </is>
      </c>
      <c r="AX23" s="178" t="inlineStr">
        <is>
          <t>C1001</t>
        </is>
      </c>
      <c r="AY23" s="178" t="inlineStr">
        <is>
          <t>C1001</t>
        </is>
      </c>
      <c r="AZ23" s="178" t="inlineStr">
        <is>
          <t>C1001</t>
        </is>
      </c>
      <c r="BA23" s="178" t="inlineStr">
        <is>
          <t>C1001</t>
        </is>
      </c>
      <c r="BB23" s="178" t="inlineStr">
        <is>
          <t>C1001</t>
        </is>
      </c>
      <c r="BC23" s="178" t="inlineStr">
        <is>
          <t>C1001</t>
        </is>
      </c>
      <c r="BD23" s="178" t="inlineStr">
        <is>
          <t>C1001</t>
        </is>
      </c>
      <c r="BE23" s="178" t="inlineStr">
        <is>
          <t>C1001</t>
        </is>
      </c>
      <c r="BF23" s="178" t="inlineStr">
        <is>
          <t>C1001</t>
        </is>
      </c>
      <c r="BG23" s="178" t="inlineStr">
        <is>
          <t>C1001</t>
        </is>
      </c>
      <c r="BH23" s="178" t="inlineStr">
        <is>
          <t>C1001</t>
        </is>
      </c>
      <c r="BI23" s="178" t="inlineStr">
        <is>
          <t>C1001</t>
        </is>
      </c>
      <c r="BJ23" s="178" t="inlineStr">
        <is>
          <t>C1001</t>
        </is>
      </c>
      <c r="BK23" s="438" t="inlineStr">
        <is>
          <t>C3003</t>
        </is>
      </c>
      <c r="BL23" s="438" t="inlineStr">
        <is>
          <t>C3003</t>
        </is>
      </c>
      <c r="BM23" s="438" t="inlineStr">
        <is>
          <t>C3003</t>
        </is>
      </c>
      <c r="BN23" s="438" t="inlineStr">
        <is>
          <t>C3003</t>
        </is>
      </c>
      <c r="BO23" s="438" t="inlineStr">
        <is>
          <t>C3003</t>
        </is>
      </c>
      <c r="BP23" s="438" t="inlineStr">
        <is>
          <t>C3003</t>
        </is>
      </c>
      <c r="BQ23" s="438" t="inlineStr">
        <is>
          <t>C3003</t>
        </is>
      </c>
      <c r="BR23" s="438" t="inlineStr">
        <is>
          <t>C3003</t>
        </is>
      </c>
      <c r="BS23" s="438" t="inlineStr">
        <is>
          <t>C3003</t>
        </is>
      </c>
      <c r="BT23" s="438" t="inlineStr">
        <is>
          <t>C3003</t>
        </is>
      </c>
      <c r="BU23" s="438" t="inlineStr">
        <is>
          <t>C3003</t>
        </is>
      </c>
      <c r="BV23" s="438" t="inlineStr">
        <is>
          <t>C3003</t>
        </is>
      </c>
      <c r="BW23" s="438" t="inlineStr">
        <is>
          <t>C3003</t>
        </is>
      </c>
      <c r="BX23" s="438" t="inlineStr">
        <is>
          <t>C3003</t>
        </is>
      </c>
      <c r="BY23" s="438" t="inlineStr">
        <is>
          <t>C3003</t>
        </is>
      </c>
      <c r="BZ23" s="438" t="inlineStr">
        <is>
          <t>C3003</t>
        </is>
      </c>
      <c r="CA23" s="438" t="inlineStr">
        <is>
          <t>C3003</t>
        </is>
      </c>
      <c r="CB23" s="438" t="inlineStr">
        <is>
          <t>C3003</t>
        </is>
      </c>
      <c r="CC23" s="438" t="inlineStr">
        <is>
          <t>C3003</t>
        </is>
      </c>
      <c r="CD23" s="438" t="inlineStr">
        <is>
          <t>C3003</t>
        </is>
      </c>
      <c r="CE23" s="438" t="inlineStr">
        <is>
          <t>C3002</t>
        </is>
      </c>
      <c r="CF23" s="438" t="inlineStr">
        <is>
          <t>C3002</t>
        </is>
      </c>
      <c r="CG23" s="438" t="inlineStr">
        <is>
          <t>C3002</t>
        </is>
      </c>
      <c r="CH23" s="438" t="inlineStr">
        <is>
          <t>C3002</t>
        </is>
      </c>
      <c r="CI23" s="438" t="inlineStr">
        <is>
          <t>C3002</t>
        </is>
      </c>
      <c r="CJ23" s="438" t="inlineStr">
        <is>
          <t>C3002</t>
        </is>
      </c>
      <c r="CK23" s="438" t="inlineStr">
        <is>
          <t>C3002</t>
        </is>
      </c>
    </row>
    <row r="24" hidden="1" outlineLevel="1" s="1181">
      <c r="A24" s="384" t="n"/>
      <c r="B24" s="384" t="n"/>
      <c r="C24" s="384" t="n"/>
      <c r="D24" s="384" t="n"/>
      <c r="E24" s="384" t="n"/>
      <c r="F24" s="384" t="n"/>
      <c r="G24" s="384" t="n"/>
      <c r="H24" s="384" t="n"/>
      <c r="I24" s="384" t="n"/>
      <c r="J24" s="384" t="n"/>
      <c r="K24" s="384" t="n"/>
      <c r="L24" s="384" t="n"/>
      <c r="M24" s="384" t="n"/>
      <c r="N24" s="384" t="n"/>
      <c r="O24" s="384" t="n"/>
      <c r="P24" s="384" t="n"/>
      <c r="Q24" s="384" t="n"/>
      <c r="R24" s="384" t="n"/>
      <c r="S24" s="384" t="n"/>
      <c r="T24" s="43" t="inlineStr">
        <is>
          <t>time</t>
        </is>
      </c>
      <c r="U24" s="384" t="n"/>
      <c r="V24" s="384" t="n"/>
      <c r="W24" s="178">
        <f>$C$5</f>
        <v/>
      </c>
      <c r="X24" s="178">
        <f>$C$5</f>
        <v/>
      </c>
      <c r="Y24" s="178">
        <f>$C$5</f>
        <v/>
      </c>
      <c r="Z24" s="178">
        <f>$C$5</f>
        <v/>
      </c>
      <c r="AA24" s="178">
        <f>$C$5</f>
        <v/>
      </c>
      <c r="AB24" s="178">
        <f>$C$5</f>
        <v/>
      </c>
      <c r="AC24" s="178">
        <f>$C$5</f>
        <v/>
      </c>
      <c r="AD24" s="178">
        <f>$C$5</f>
        <v/>
      </c>
      <c r="AE24" s="178">
        <f>$C$5</f>
        <v/>
      </c>
      <c r="AF24" s="178">
        <f>$C$5</f>
        <v/>
      </c>
      <c r="AG24" s="178">
        <f>$C$5</f>
        <v/>
      </c>
      <c r="AH24" s="178">
        <f>$C$5</f>
        <v/>
      </c>
      <c r="AI24" s="178">
        <f>$C$5</f>
        <v/>
      </c>
      <c r="AJ24" s="178">
        <f>$C$5</f>
        <v/>
      </c>
      <c r="AK24" s="178">
        <f>$G$5</f>
        <v/>
      </c>
      <c r="AL24" s="178">
        <f>$G$5</f>
        <v/>
      </c>
      <c r="AM24" s="178">
        <f>$G$5</f>
        <v/>
      </c>
      <c r="AN24" s="178">
        <f>$G$5</f>
        <v/>
      </c>
      <c r="AO24" s="178">
        <f>$G$5</f>
        <v/>
      </c>
      <c r="AP24" s="178">
        <f>$G$5</f>
        <v/>
      </c>
      <c r="AQ24" s="178">
        <f>$H$5</f>
        <v/>
      </c>
      <c r="AR24" s="178">
        <f>$H$5</f>
        <v/>
      </c>
      <c r="AS24" s="178">
        <f>$H$5</f>
        <v/>
      </c>
      <c r="AT24" s="178">
        <f>$H$5</f>
        <v/>
      </c>
      <c r="AU24" s="178">
        <f>$H$5</f>
        <v/>
      </c>
      <c r="AV24" s="178">
        <f>$H$5</f>
        <v/>
      </c>
      <c r="AW24" s="178">
        <f>$C$5</f>
        <v/>
      </c>
      <c r="AX24" s="178">
        <f>$C$5</f>
        <v/>
      </c>
      <c r="AY24" s="178">
        <f>$C$5</f>
        <v/>
      </c>
      <c r="AZ24" s="178">
        <f>$C$5</f>
        <v/>
      </c>
      <c r="BA24" s="178">
        <f>$C$5</f>
        <v/>
      </c>
      <c r="BB24" s="178">
        <f>$C$5</f>
        <v/>
      </c>
      <c r="BC24" s="178">
        <f>$C$5</f>
        <v/>
      </c>
      <c r="BD24" s="178">
        <f>$I$5</f>
        <v/>
      </c>
      <c r="BE24" s="178">
        <f>$I$5</f>
        <v/>
      </c>
      <c r="BF24" s="178">
        <f>$I$5</f>
        <v/>
      </c>
      <c r="BG24" s="178">
        <f>$I$5</f>
        <v/>
      </c>
      <c r="BH24" s="178">
        <f>$I$5</f>
        <v/>
      </c>
      <c r="BI24" s="178">
        <f>$I$5</f>
        <v/>
      </c>
      <c r="BJ24" s="178">
        <f>$I$5</f>
        <v/>
      </c>
      <c r="BK24" s="178">
        <f>$C$5</f>
        <v/>
      </c>
      <c r="BL24" s="178">
        <f>$C$5</f>
        <v/>
      </c>
      <c r="BM24" s="178">
        <f>$C$5</f>
        <v/>
      </c>
      <c r="BN24" s="178">
        <f>$C$5</f>
        <v/>
      </c>
      <c r="BO24" s="178">
        <f>$C$5</f>
        <v/>
      </c>
      <c r="BP24" s="178">
        <f>$C$5</f>
        <v/>
      </c>
      <c r="BQ24" s="178">
        <f>$C$5</f>
        <v/>
      </c>
      <c r="BR24" s="178">
        <f>$C$5</f>
        <v/>
      </c>
      <c r="BS24" s="178">
        <f>$C$5</f>
        <v/>
      </c>
      <c r="BT24" s="178">
        <f>$C$5</f>
        <v/>
      </c>
      <c r="BU24" s="178">
        <f>$C$5</f>
        <v/>
      </c>
      <c r="BV24" s="178">
        <f>$C$5</f>
        <v/>
      </c>
      <c r="BW24" s="178">
        <f>$C$5</f>
        <v/>
      </c>
      <c r="BX24" s="178">
        <f>$C$5</f>
        <v/>
      </c>
      <c r="BY24" s="178">
        <f>$G$5</f>
        <v/>
      </c>
      <c r="BZ24" s="178">
        <f>$G$5</f>
        <v/>
      </c>
      <c r="CA24" s="178">
        <f>$G$5</f>
        <v/>
      </c>
      <c r="CB24" s="178">
        <f>$G$5</f>
        <v/>
      </c>
      <c r="CC24" s="178">
        <f>$G$5</f>
        <v/>
      </c>
      <c r="CD24" s="178">
        <f>$G$5</f>
        <v/>
      </c>
      <c r="CE24" s="178">
        <f>$C$5</f>
        <v/>
      </c>
      <c r="CF24" s="178">
        <f>$C$5</f>
        <v/>
      </c>
      <c r="CG24" s="178">
        <f>$C$5</f>
        <v/>
      </c>
      <c r="CH24" s="178">
        <f>$C$5</f>
        <v/>
      </c>
      <c r="CI24" s="178">
        <f>$C$5</f>
        <v/>
      </c>
      <c r="CJ24" s="178">
        <f>$C$5</f>
        <v/>
      </c>
      <c r="CK24" s="178">
        <f>$C$5</f>
        <v/>
      </c>
    </row>
    <row r="25" hidden="1" outlineLevel="1" s="1181">
      <c r="A25" s="384" t="n"/>
      <c r="B25" s="384" t="n"/>
      <c r="C25" s="384" t="n"/>
      <c r="D25" s="384" t="n"/>
      <c r="E25" s="384" t="n"/>
      <c r="F25" s="384" t="n"/>
      <c r="G25" s="384" t="n"/>
      <c r="H25" s="384" t="n"/>
      <c r="I25" s="384" t="n"/>
      <c r="J25" s="384" t="n"/>
      <c r="K25" s="384" t="n"/>
      <c r="L25" s="384" t="n"/>
      <c r="M25" s="384" t="n"/>
      <c r="N25" s="384" t="n"/>
      <c r="O25" s="384" t="n"/>
      <c r="P25" s="384" t="n"/>
      <c r="Q25" s="384" t="n"/>
      <c r="R25" s="384" t="n"/>
      <c r="S25" s="384" t="n"/>
      <c r="T25" s="43" t="inlineStr">
        <is>
          <t>misk</t>
        </is>
      </c>
      <c r="U25" s="384" t="n"/>
      <c r="V25" s="384" t="n"/>
      <c r="W25" s="178" t="inlineStr">
        <is>
          <t>ZM0300101</t>
        </is>
      </c>
      <c r="X25" s="178" t="inlineStr">
        <is>
          <t>ZM0300102</t>
        </is>
      </c>
      <c r="Y25" s="178" t="inlineStr">
        <is>
          <t>ZM0300103</t>
        </is>
      </c>
      <c r="Z25" s="178" t="inlineStr">
        <is>
          <t>ZM0300104</t>
        </is>
      </c>
      <c r="AA25" s="178" t="inlineStr">
        <is>
          <t>ZM0300105</t>
        </is>
      </c>
      <c r="AB25" s="178" t="inlineStr">
        <is>
          <t>ZM0300106</t>
        </is>
      </c>
      <c r="AC25" s="178" t="inlineStr">
        <is>
          <t>ZM03001</t>
        </is>
      </c>
      <c r="AD25" s="178" t="inlineStr">
        <is>
          <t>ZM0300101</t>
        </is>
      </c>
      <c r="AE25" s="178" t="inlineStr">
        <is>
          <t>ZM0300102</t>
        </is>
      </c>
      <c r="AF25" s="178" t="inlineStr">
        <is>
          <t>ZM0300103</t>
        </is>
      </c>
      <c r="AG25" s="178" t="inlineStr">
        <is>
          <t>ZM0300104</t>
        </is>
      </c>
      <c r="AH25" s="178" t="inlineStr">
        <is>
          <t>ZM0300105</t>
        </is>
      </c>
      <c r="AI25" s="178" t="inlineStr">
        <is>
          <t>ZM0300106</t>
        </is>
      </c>
      <c r="AJ25" s="178" t="inlineStr">
        <is>
          <t>ZM03001</t>
        </is>
      </c>
      <c r="AK25" s="178" t="inlineStr">
        <is>
          <t>ZM0300101</t>
        </is>
      </c>
      <c r="AL25" s="178" t="inlineStr">
        <is>
          <t>ZM0300102</t>
        </is>
      </c>
      <c r="AM25" s="178" t="inlineStr">
        <is>
          <t>ZM0300103</t>
        </is>
      </c>
      <c r="AN25" s="178" t="inlineStr">
        <is>
          <t>ZM0300104</t>
        </is>
      </c>
      <c r="AO25" s="178" t="inlineStr">
        <is>
          <t>ZM0300105</t>
        </is>
      </c>
      <c r="AP25" s="178" t="inlineStr">
        <is>
          <t>ZM0300106</t>
        </is>
      </c>
      <c r="AQ25" s="178" t="inlineStr">
        <is>
          <t>ZM0300101</t>
        </is>
      </c>
      <c r="AR25" s="178" t="inlineStr">
        <is>
          <t>ZM0300102</t>
        </is>
      </c>
      <c r="AS25" s="178" t="inlineStr">
        <is>
          <t>ZM0300103</t>
        </is>
      </c>
      <c r="AT25" s="178" t="inlineStr">
        <is>
          <t>ZM0300104</t>
        </is>
      </c>
      <c r="AU25" s="178" t="inlineStr">
        <is>
          <t>ZM0300105</t>
        </is>
      </c>
      <c r="AV25" s="178" t="inlineStr">
        <is>
          <t>ZM0300106</t>
        </is>
      </c>
      <c r="AW25" s="178" t="inlineStr">
        <is>
          <t>ZM0300101</t>
        </is>
      </c>
      <c r="AX25" s="178" t="inlineStr">
        <is>
          <t>ZM0300102</t>
        </is>
      </c>
      <c r="AY25" s="178" t="inlineStr">
        <is>
          <t>ZM0300103</t>
        </is>
      </c>
      <c r="AZ25" s="178" t="inlineStr">
        <is>
          <t>ZM0300104</t>
        </is>
      </c>
      <c r="BA25" s="178" t="inlineStr">
        <is>
          <t>ZM0300105</t>
        </is>
      </c>
      <c r="BB25" s="178" t="inlineStr">
        <is>
          <t>ZM0300106</t>
        </is>
      </c>
      <c r="BC25" s="178" t="inlineStr">
        <is>
          <t>ZM03001</t>
        </is>
      </c>
      <c r="BD25" s="178" t="inlineStr">
        <is>
          <t>ZM0300101</t>
        </is>
      </c>
      <c r="BE25" s="178" t="inlineStr">
        <is>
          <t>ZM0300102</t>
        </is>
      </c>
      <c r="BF25" s="178" t="inlineStr">
        <is>
          <t>ZM0300103</t>
        </is>
      </c>
      <c r="BG25" s="178" t="inlineStr">
        <is>
          <t>ZM0300104</t>
        </is>
      </c>
      <c r="BH25" s="178" t="inlineStr">
        <is>
          <t>ZM0300105</t>
        </is>
      </c>
      <c r="BI25" s="178" t="inlineStr">
        <is>
          <t>ZM0300106</t>
        </is>
      </c>
      <c r="BJ25" s="178" t="inlineStr">
        <is>
          <t>ZM03001</t>
        </is>
      </c>
      <c r="BK25" s="221" t="inlineStr">
        <is>
          <t>ZM0300101</t>
        </is>
      </c>
      <c r="BL25" s="221" t="inlineStr">
        <is>
          <t>ZM0300102</t>
        </is>
      </c>
      <c r="BM25" s="221" t="inlineStr">
        <is>
          <t>ZM0300103</t>
        </is>
      </c>
      <c r="BN25" s="221" t="inlineStr">
        <is>
          <t>ZM0300104</t>
        </is>
      </c>
      <c r="BO25" s="221" t="inlineStr">
        <is>
          <t>ZM0300105</t>
        </is>
      </c>
      <c r="BP25" s="221" t="inlineStr">
        <is>
          <t>ZM0300106</t>
        </is>
      </c>
      <c r="BQ25" s="221" t="inlineStr">
        <is>
          <t>ZM03001</t>
        </is>
      </c>
      <c r="BR25" s="221" t="inlineStr">
        <is>
          <t>ZM0300101</t>
        </is>
      </c>
      <c r="BS25" s="221" t="inlineStr">
        <is>
          <t>ZM0300102</t>
        </is>
      </c>
      <c r="BT25" s="221" t="inlineStr">
        <is>
          <t>ZM0300103</t>
        </is>
      </c>
      <c r="BU25" s="221" t="inlineStr">
        <is>
          <t>ZM0300104</t>
        </is>
      </c>
      <c r="BV25" s="221" t="inlineStr">
        <is>
          <t>ZM0300105</t>
        </is>
      </c>
      <c r="BW25" s="221" t="inlineStr">
        <is>
          <t>ZM0300106</t>
        </is>
      </c>
      <c r="BX25" s="221" t="inlineStr">
        <is>
          <t>ZM03001</t>
        </is>
      </c>
      <c r="BY25" s="221" t="inlineStr">
        <is>
          <t>ZM0300101</t>
        </is>
      </c>
      <c r="BZ25" s="221" t="inlineStr">
        <is>
          <t>ZM0300102</t>
        </is>
      </c>
      <c r="CA25" s="221" t="inlineStr">
        <is>
          <t>ZM0300103</t>
        </is>
      </c>
      <c r="CB25" s="221" t="inlineStr">
        <is>
          <t>ZM0300104</t>
        </is>
      </c>
      <c r="CC25" s="221" t="inlineStr">
        <is>
          <t>ZM0300105</t>
        </is>
      </c>
      <c r="CD25" s="221" t="inlineStr">
        <is>
          <t>ZM0300106</t>
        </is>
      </c>
      <c r="CE25" s="221" t="inlineStr">
        <is>
          <t>ZM0300101</t>
        </is>
      </c>
      <c r="CF25" s="221" t="inlineStr">
        <is>
          <t>ZM0300102</t>
        </is>
      </c>
      <c r="CG25" s="221" t="inlineStr">
        <is>
          <t>ZM0300103</t>
        </is>
      </c>
      <c r="CH25" s="221" t="inlineStr">
        <is>
          <t>ZM0300104</t>
        </is>
      </c>
      <c r="CI25" s="221" t="inlineStr">
        <is>
          <t>ZM0300105</t>
        </is>
      </c>
      <c r="CJ25" s="221" t="inlineStr">
        <is>
          <t>ZM0300106</t>
        </is>
      </c>
      <c r="CK25" s="221" t="inlineStr">
        <is>
          <t>ZM03001</t>
        </is>
      </c>
    </row>
    <row r="26" hidden="1" outlineLevel="1" s="1181">
      <c r="A26" s="384" t="n"/>
      <c r="B26" s="384" t="n"/>
      <c r="C26" s="384" t="n"/>
      <c r="D26" s="384" t="n"/>
      <c r="E26" s="384" t="n"/>
      <c r="F26" s="384" t="n"/>
      <c r="G26" s="384" t="n"/>
      <c r="H26" s="384" t="n"/>
      <c r="I26" s="384" t="n"/>
      <c r="J26" s="384" t="n"/>
      <c r="K26" s="384" t="n"/>
      <c r="L26" s="384" t="n"/>
      <c r="M26" s="384" t="n"/>
      <c r="N26" s="384" t="n"/>
      <c r="O26" s="384" t="n"/>
      <c r="P26" s="384" t="n"/>
      <c r="Q26" s="384" t="n"/>
      <c r="R26" s="384" t="n"/>
      <c r="S26" s="384" t="n"/>
      <c r="T26" s="419" t="inlineStr">
        <is>
          <t>RPTCURRENCY</t>
        </is>
      </c>
      <c r="U26" s="384" t="n"/>
      <c r="V26" s="384" t="n"/>
      <c r="W26" s="353">
        <f>$E$7</f>
        <v/>
      </c>
      <c r="X26" s="353">
        <f>$E$7</f>
        <v/>
      </c>
      <c r="Y26" s="353">
        <f>$E$7</f>
        <v/>
      </c>
      <c r="Z26" s="353">
        <f>$E$7</f>
        <v/>
      </c>
      <c r="AA26" s="353">
        <f>$E$7</f>
        <v/>
      </c>
      <c r="AB26" s="353">
        <f>$E$7</f>
        <v/>
      </c>
      <c r="AC26" s="353">
        <f>$E$7</f>
        <v/>
      </c>
      <c r="AD26" s="353">
        <f>$E$7</f>
        <v/>
      </c>
      <c r="AE26" s="353">
        <f>$E$7</f>
        <v/>
      </c>
      <c r="AF26" s="353">
        <f>$E$7</f>
        <v/>
      </c>
      <c r="AG26" s="353">
        <f>$E$7</f>
        <v/>
      </c>
      <c r="AH26" s="353">
        <f>$E$7</f>
        <v/>
      </c>
      <c r="AI26" s="353">
        <f>$E$7</f>
        <v/>
      </c>
      <c r="AJ26" s="353">
        <f>$E$7</f>
        <v/>
      </c>
      <c r="AK26" s="353">
        <f>$E$7</f>
        <v/>
      </c>
      <c r="AL26" s="353">
        <f>$E$7</f>
        <v/>
      </c>
      <c r="AM26" s="353">
        <f>$E$7</f>
        <v/>
      </c>
      <c r="AN26" s="353">
        <f>$E$7</f>
        <v/>
      </c>
      <c r="AO26" s="353">
        <f>$E$7</f>
        <v/>
      </c>
      <c r="AP26" s="353">
        <f>$E$7</f>
        <v/>
      </c>
      <c r="AQ26" s="353">
        <f>$E$7</f>
        <v/>
      </c>
      <c r="AR26" s="353">
        <f>$E$7</f>
        <v/>
      </c>
      <c r="AS26" s="353">
        <f>$E$7</f>
        <v/>
      </c>
      <c r="AT26" s="353">
        <f>$E$7</f>
        <v/>
      </c>
      <c r="AU26" s="353">
        <f>$E$7</f>
        <v/>
      </c>
      <c r="AV26" s="353">
        <f>$E$7</f>
        <v/>
      </c>
      <c r="AW26" s="353">
        <f>$E$7</f>
        <v/>
      </c>
      <c r="AX26" s="353">
        <f>$E$7</f>
        <v/>
      </c>
      <c r="AY26" s="353">
        <f>$E$7</f>
        <v/>
      </c>
      <c r="AZ26" s="353">
        <f>$E$7</f>
        <v/>
      </c>
      <c r="BA26" s="353">
        <f>$E$7</f>
        <v/>
      </c>
      <c r="BB26" s="353">
        <f>$E$7</f>
        <v/>
      </c>
      <c r="BC26" s="353">
        <f>$E$7</f>
        <v/>
      </c>
      <c r="BD26" s="353">
        <f>$E$7</f>
        <v/>
      </c>
      <c r="BE26" s="353">
        <f>$E$7</f>
        <v/>
      </c>
      <c r="BF26" s="353">
        <f>$E$7</f>
        <v/>
      </c>
      <c r="BG26" s="353">
        <f>$E$7</f>
        <v/>
      </c>
      <c r="BH26" s="353">
        <f>$E$7</f>
        <v/>
      </c>
      <c r="BI26" s="353">
        <f>$E$7</f>
        <v/>
      </c>
      <c r="BJ26" s="353">
        <f>$E$7</f>
        <v/>
      </c>
      <c r="BK26" s="221" t="inlineStr">
        <is>
          <t>CNY</t>
        </is>
      </c>
      <c r="BL26" s="221" t="inlineStr">
        <is>
          <t>CNY</t>
        </is>
      </c>
      <c r="BM26" s="221" t="inlineStr">
        <is>
          <t>CNY</t>
        </is>
      </c>
      <c r="BN26" s="221" t="inlineStr">
        <is>
          <t>CNY</t>
        </is>
      </c>
      <c r="BO26" s="221" t="inlineStr">
        <is>
          <t>CNY</t>
        </is>
      </c>
      <c r="BP26" s="221" t="inlineStr">
        <is>
          <t>CNY</t>
        </is>
      </c>
      <c r="BQ26" s="221" t="inlineStr">
        <is>
          <t>CNY</t>
        </is>
      </c>
      <c r="BR26" s="221" t="inlineStr">
        <is>
          <t>CNY</t>
        </is>
      </c>
      <c r="BS26" s="221" t="inlineStr">
        <is>
          <t>CNY</t>
        </is>
      </c>
      <c r="BT26" s="221" t="inlineStr">
        <is>
          <t>CNY</t>
        </is>
      </c>
      <c r="BU26" s="221" t="inlineStr">
        <is>
          <t>CNY</t>
        </is>
      </c>
      <c r="BV26" s="221" t="inlineStr">
        <is>
          <t>CNY</t>
        </is>
      </c>
      <c r="BW26" s="221" t="inlineStr">
        <is>
          <t>CNY</t>
        </is>
      </c>
      <c r="BX26" s="221" t="inlineStr">
        <is>
          <t>CNY</t>
        </is>
      </c>
      <c r="BY26" s="221" t="inlineStr">
        <is>
          <t>CNY</t>
        </is>
      </c>
      <c r="BZ26" s="221" t="inlineStr">
        <is>
          <t>CNY</t>
        </is>
      </c>
      <c r="CA26" s="221" t="inlineStr">
        <is>
          <t>CNY</t>
        </is>
      </c>
      <c r="CB26" s="221" t="inlineStr">
        <is>
          <t>CNY</t>
        </is>
      </c>
      <c r="CC26" s="221" t="inlineStr">
        <is>
          <t>CNY</t>
        </is>
      </c>
      <c r="CD26" s="221" t="inlineStr">
        <is>
          <t>CNY</t>
        </is>
      </c>
      <c r="CE26" s="221" t="inlineStr">
        <is>
          <t>CNY</t>
        </is>
      </c>
      <c r="CF26" s="221" t="inlineStr">
        <is>
          <t>CNY</t>
        </is>
      </c>
      <c r="CG26" s="221" t="inlineStr">
        <is>
          <t>CNY</t>
        </is>
      </c>
      <c r="CH26" s="221" t="inlineStr">
        <is>
          <t>CNY</t>
        </is>
      </c>
      <c r="CI26" s="221" t="inlineStr">
        <is>
          <t>CNY</t>
        </is>
      </c>
      <c r="CJ26" s="221" t="inlineStr">
        <is>
          <t>CNY</t>
        </is>
      </c>
      <c r="CK26" s="221" t="inlineStr">
        <is>
          <t>CNY</t>
        </is>
      </c>
    </row>
    <row r="27" hidden="1" outlineLevel="1" s="1181">
      <c r="A27" s="384" t="n"/>
      <c r="B27" s="384" t="n"/>
      <c r="C27" s="384" t="n"/>
      <c r="D27" s="384" t="n"/>
      <c r="E27" s="384" t="n"/>
      <c r="F27" s="384" t="n"/>
      <c r="G27" s="384" t="n"/>
      <c r="H27" s="384" t="n"/>
      <c r="I27" s="384" t="n"/>
      <c r="J27" s="384" t="n"/>
      <c r="K27" s="384" t="n"/>
      <c r="L27" s="384" t="n"/>
      <c r="M27" s="384" t="n"/>
      <c r="N27" s="384" t="n"/>
      <c r="O27" s="384" t="n"/>
      <c r="P27" s="384" t="n"/>
      <c r="Q27" s="384" t="n"/>
      <c r="R27" s="384" t="n"/>
      <c r="S27" s="384" t="n"/>
      <c r="T27" s="384" t="n"/>
      <c r="U27" s="384" t="n"/>
      <c r="V27" s="384" t="n"/>
      <c r="W27" s="13" t="n"/>
      <c r="X27" s="13" t="n"/>
      <c r="Y27" s="13" t="n"/>
      <c r="Z27" s="220" t="n"/>
      <c r="AA27" s="13" t="n"/>
      <c r="AB27" s="13" t="n"/>
      <c r="AC27" s="13" t="n"/>
      <c r="AD27" s="13" t="n"/>
      <c r="AE27" s="13" t="n"/>
      <c r="AF27" s="13" t="n"/>
      <c r="AG27" s="13" t="n"/>
      <c r="AH27" s="13" t="n"/>
      <c r="AI27" s="13" t="n"/>
      <c r="AJ27" s="13" t="n"/>
      <c r="AK27" s="384" t="n"/>
      <c r="AL27" s="384" t="n"/>
      <c r="AM27" s="384" t="n"/>
      <c r="AN27" s="384" t="n"/>
      <c r="AO27" s="384" t="n"/>
      <c r="AP27" s="384" t="n"/>
      <c r="AQ27" s="384" t="n"/>
      <c r="AR27" s="384" t="n"/>
      <c r="AS27" s="384" t="n"/>
      <c r="AT27" s="384" t="n"/>
      <c r="AU27" s="384" t="n"/>
      <c r="AV27" s="384" t="n"/>
      <c r="AW27" s="13" t="n"/>
      <c r="AX27" s="13" t="n"/>
      <c r="AY27" s="13" t="n"/>
      <c r="AZ27" s="13" t="n"/>
      <c r="BA27" s="13" t="n"/>
      <c r="BB27" s="13" t="n"/>
      <c r="BC27" s="13" t="n"/>
      <c r="BD27" s="13" t="n"/>
      <c r="BE27" s="13" t="n"/>
      <c r="BF27" s="13" t="n"/>
      <c r="BG27" s="13" t="n"/>
      <c r="BH27" s="13" t="n"/>
      <c r="BI27" s="13" t="n"/>
      <c r="BJ27" s="13" t="n"/>
      <c r="BK27" s="384" t="n"/>
      <c r="BL27" s="384" t="n"/>
      <c r="BM27" s="384" t="n"/>
      <c r="BN27" s="384" t="n"/>
      <c r="BO27" s="384" t="n"/>
      <c r="BP27" s="384" t="n"/>
      <c r="BQ27" s="384" t="n"/>
      <c r="BR27" s="384" t="n"/>
      <c r="BS27" s="384" t="n"/>
      <c r="BT27" s="384" t="n"/>
      <c r="BU27" s="384" t="n"/>
      <c r="BV27" s="384" t="n"/>
      <c r="BW27" s="384" t="n"/>
      <c r="BX27" s="384" t="n"/>
      <c r="BY27" s="384" t="n"/>
      <c r="BZ27" s="384" t="n"/>
      <c r="CA27" s="384" t="n"/>
      <c r="CB27" s="384" t="n"/>
      <c r="CC27" s="384" t="n"/>
      <c r="CD27" s="384" t="n"/>
      <c r="CE27" s="384" t="n"/>
      <c r="CF27" s="384" t="n"/>
      <c r="CG27" s="384" t="n"/>
      <c r="CH27" s="384" t="n"/>
      <c r="CI27" s="384" t="n"/>
      <c r="CJ27" s="384" t="n"/>
      <c r="CK27" s="384" t="n"/>
    </row>
    <row r="28" hidden="1" outlineLevel="1" s="1181">
      <c r="A28" s="384" t="n"/>
      <c r="B28" s="384" t="n"/>
      <c r="C28" s="384" t="n"/>
      <c r="D28" s="384" t="n"/>
      <c r="E28" s="384" t="n"/>
      <c r="F28" s="384" t="n"/>
      <c r="G28" s="384" t="n"/>
      <c r="H28" s="384" t="n"/>
      <c r="I28" s="384" t="n"/>
      <c r="J28" s="384" t="n"/>
      <c r="K28" s="384" t="n"/>
      <c r="L28" s="384" t="n"/>
      <c r="M28" s="384" t="n"/>
      <c r="N28" s="384" t="n"/>
      <c r="O28" s="1178" t="inlineStr">
        <is>
          <t>=EPMCopyRange("000",TRUE,W28:CK28)</t>
        </is>
      </c>
      <c r="P28" s="384" t="n"/>
      <c r="Q28" s="384" t="n"/>
      <c r="R28" s="384" t="n"/>
      <c r="S28" s="384" t="n"/>
      <c r="T28" s="384" t="n"/>
      <c r="U28" s="384" t="n"/>
      <c r="V28" s="384" t="n"/>
      <c r="W28" s="1398">
        <f>AD28-AK28</f>
        <v/>
      </c>
      <c r="X28" s="1398">
        <f>AE28-AL28</f>
        <v/>
      </c>
      <c r="Y28" s="1398">
        <f>AF28-AM28</f>
        <v/>
      </c>
      <c r="Z28" s="1398">
        <f>AG28-AN28</f>
        <v/>
      </c>
      <c r="AA28" s="1398">
        <f>AH28-AO28</f>
        <v/>
      </c>
      <c r="AB28" s="1398">
        <f>AI28-AP28</f>
        <v/>
      </c>
      <c r="AC28" s="1398">
        <f>SUM(W28:AB28)</f>
        <v/>
      </c>
      <c r="AD28" s="1399" t="n"/>
      <c r="AE28" s="1399" t="n"/>
      <c r="AF28" s="1399" t="n"/>
      <c r="AG28" s="1399" t="n"/>
      <c r="AH28" s="1399" t="n"/>
      <c r="AI28" s="1399" t="n"/>
      <c r="AJ28" s="1398">
        <f>SUM(AD28:AI28)</f>
        <v/>
      </c>
      <c r="AK28" s="1398" t="n"/>
      <c r="AL28" s="1398" t="n"/>
      <c r="AM28" s="1398" t="n"/>
      <c r="AN28" s="1398" t="n"/>
      <c r="AO28" s="1398" t="n"/>
      <c r="AP28" s="1398" t="n"/>
      <c r="AQ28" s="1398" t="n"/>
      <c r="AR28" s="1398" t="n"/>
      <c r="AS28" s="1398" t="n"/>
      <c r="AT28" s="1398" t="n"/>
      <c r="AU28" s="1398" t="n"/>
      <c r="AV28" s="1398" t="n"/>
      <c r="AW28" s="1398">
        <f>AK28-AQ28</f>
        <v/>
      </c>
      <c r="AX28" s="1398">
        <f>AL28-AR28</f>
        <v/>
      </c>
      <c r="AY28" s="1398">
        <f>AM28-AS28</f>
        <v/>
      </c>
      <c r="AZ28" s="1398">
        <f>AN28-AT28</f>
        <v/>
      </c>
      <c r="BA28" s="1398">
        <f>AO28-AU28</f>
        <v/>
      </c>
      <c r="BB28" s="1398">
        <f>AP28-AV28</f>
        <v/>
      </c>
      <c r="BC28" s="1398">
        <f>SUM(AW28:BB28)</f>
        <v/>
      </c>
      <c r="BD28" s="1398" t="n"/>
      <c r="BE28" s="1398" t="n"/>
      <c r="BF28" s="1398" t="n"/>
      <c r="BG28" s="1398" t="n"/>
      <c r="BH28" s="1398" t="n"/>
      <c r="BI28" s="1398" t="n"/>
      <c r="BJ28" s="1398">
        <f>SUM(BC28:BI28)</f>
        <v/>
      </c>
      <c r="BK28" s="1398">
        <f>BR28-BY28</f>
        <v/>
      </c>
      <c r="BL28" s="1398">
        <f>BS28-BZ28</f>
        <v/>
      </c>
      <c r="BM28" s="1398">
        <f>BT28-CA28</f>
        <v/>
      </c>
      <c r="BN28" s="1398">
        <f>BU28-CB28</f>
        <v/>
      </c>
      <c r="BO28" s="1398">
        <f>BV28-CC28</f>
        <v/>
      </c>
      <c r="BP28" s="1398">
        <f>BW28-CD28</f>
        <v/>
      </c>
      <c r="BQ28" s="1398">
        <f>SUM(BK28:BP28)</f>
        <v/>
      </c>
      <c r="BR28" s="1398" t="n"/>
      <c r="BS28" s="1398" t="n"/>
      <c r="BT28" s="1398" t="n"/>
      <c r="BU28" s="1398" t="n"/>
      <c r="BV28" s="1398" t="n"/>
      <c r="BW28" s="1398" t="n"/>
      <c r="BX28" s="1398">
        <f>SUM(BR28:BW28)</f>
        <v/>
      </c>
      <c r="BY28" s="1398" t="n"/>
      <c r="BZ28" s="1398" t="n"/>
      <c r="CA28" s="1398" t="n"/>
      <c r="CB28" s="1398" t="n"/>
      <c r="CC28" s="1398" t="n"/>
      <c r="CD28" s="1398" t="n"/>
      <c r="CE28" s="1398" t="n"/>
      <c r="CF28" s="1398" t="n"/>
      <c r="CG28" s="1398" t="n"/>
      <c r="CH28" s="1398" t="n"/>
      <c r="CI28" s="1398" t="n"/>
      <c r="CJ28" s="1398" t="n"/>
      <c r="CK28" s="1398">
        <f>SUM(CE28:CJ28)</f>
        <v/>
      </c>
    </row>
    <row r="29" hidden="1" outlineLevel="1" s="1181">
      <c r="A29" s="384" t="n"/>
      <c r="B29" s="384" t="n"/>
      <c r="C29" s="384" t="n"/>
      <c r="D29" s="384" t="n"/>
      <c r="E29" s="384" t="n"/>
      <c r="F29" s="384" t="n"/>
      <c r="G29" s="384" t="n"/>
      <c r="H29" s="384" t="n"/>
      <c r="I29" s="384" t="n"/>
      <c r="J29" s="384" t="n"/>
      <c r="K29" s="384" t="n"/>
      <c r="L29" s="384" t="n"/>
      <c r="M29" s="384" t="n"/>
      <c r="N29" s="384" t="n"/>
      <c r="O29" s="384" t="n"/>
      <c r="P29" s="384" t="n"/>
      <c r="Q29" s="384" t="n"/>
      <c r="R29" s="384" t="n"/>
      <c r="S29" s="384" t="n"/>
      <c r="T29" s="384" t="n"/>
      <c r="U29" s="384" t="n"/>
      <c r="V29" s="384" t="n"/>
      <c r="W29" s="384" t="n"/>
      <c r="X29" s="384" t="n"/>
      <c r="Y29" s="384" t="n"/>
      <c r="Z29" s="384" t="n"/>
      <c r="AA29" s="384" t="n"/>
      <c r="AB29" s="384" t="n"/>
      <c r="AC29" s="384" t="n"/>
      <c r="AD29" s="384" t="n"/>
      <c r="AE29" s="384" t="n"/>
      <c r="AF29" s="384" t="n"/>
      <c r="AG29" s="384" t="n"/>
      <c r="AH29" s="384" t="n"/>
      <c r="AI29" s="384" t="n"/>
      <c r="AJ29" s="384" t="n"/>
      <c r="AK29" s="384" t="n"/>
      <c r="AL29" s="384" t="n"/>
      <c r="AM29" s="384" t="n"/>
      <c r="AN29" s="384" t="n"/>
      <c r="AO29" s="384" t="n"/>
      <c r="AP29" s="384" t="n"/>
      <c r="AQ29" s="384" t="n"/>
      <c r="AR29" s="384" t="n"/>
      <c r="AS29" s="384" t="n"/>
      <c r="AT29" s="384" t="n"/>
      <c r="AU29" s="384" t="n"/>
      <c r="AV29" s="384" t="n"/>
      <c r="AW29" s="384" t="n"/>
      <c r="AX29" s="384" t="n"/>
      <c r="AY29" s="384" t="n"/>
      <c r="AZ29" s="384" t="n"/>
      <c r="BA29" s="384" t="n"/>
      <c r="BB29" s="384" t="n"/>
      <c r="BC29" s="384" t="n"/>
      <c r="BD29" s="384" t="n"/>
      <c r="BE29" s="384" t="n"/>
      <c r="BF29" s="384" t="n"/>
      <c r="BG29" s="384" t="n"/>
      <c r="BH29" s="384" t="n"/>
      <c r="BI29" s="384" t="n"/>
      <c r="BJ29" s="384" t="n"/>
      <c r="BK29" s="384" t="n"/>
      <c r="BL29" s="384" t="n"/>
      <c r="BM29" s="384" t="n"/>
      <c r="BN29" s="384" t="n"/>
      <c r="BO29" s="384" t="n"/>
      <c r="BP29" s="384" t="n"/>
      <c r="BQ29" s="384" t="n"/>
      <c r="BR29" s="384" t="n"/>
      <c r="BS29" s="384" t="n"/>
      <c r="BT29" s="384" t="n"/>
      <c r="BU29" s="384" t="n"/>
      <c r="BV29" s="384" t="n"/>
      <c r="BW29" s="384" t="n"/>
      <c r="BX29" s="384" t="n"/>
      <c r="BY29" s="384" t="n"/>
      <c r="BZ29" s="384" t="n"/>
      <c r="CA29" s="384" t="n"/>
      <c r="CB29" s="384" t="n"/>
      <c r="CC29" s="384" t="n"/>
      <c r="CD29" s="384" t="n"/>
      <c r="CE29" s="384" t="n"/>
      <c r="CF29" s="384" t="n"/>
      <c r="CG29" s="384" t="n"/>
      <c r="CH29" s="384" t="n"/>
      <c r="CI29" s="384" t="n"/>
      <c r="CJ29" s="384" t="n"/>
      <c r="CK29" s="384" t="n"/>
    </row>
    <row r="30" hidden="1" outlineLevel="1" s="1181">
      <c r="A30" s="384" t="n"/>
      <c r="B30" s="384" t="n"/>
      <c r="C30" s="384" t="n"/>
      <c r="D30" s="384" t="n"/>
      <c r="E30" s="384" t="n"/>
      <c r="F30" s="384" t="n"/>
      <c r="G30" s="384" t="n"/>
      <c r="H30" s="384" t="n"/>
      <c r="I30" s="384" t="n"/>
      <c r="J30" s="384" t="n"/>
      <c r="K30" s="384" t="n"/>
      <c r="L30" s="384" t="n"/>
      <c r="M30" s="384" t="n"/>
      <c r="N30" s="384" t="n"/>
      <c r="O30" s="384" t="n"/>
      <c r="P30" s="384" t="n"/>
      <c r="Q30" s="384" t="n"/>
      <c r="R30" s="384" t="n"/>
      <c r="S30" s="384" t="n"/>
      <c r="T30" s="384" t="n"/>
      <c r="U30" s="384" t="n"/>
      <c r="V30" s="384" t="n"/>
      <c r="W30" s="384" t="n"/>
      <c r="X30" s="384" t="n"/>
      <c r="Y30" s="384" t="n"/>
      <c r="Z30" s="384" t="n"/>
      <c r="AA30" s="384" t="n"/>
      <c r="AB30" s="384" t="n"/>
      <c r="AC30" s="384" t="n"/>
      <c r="AD30" s="384" t="n"/>
      <c r="AE30" s="384" t="n"/>
      <c r="AF30" s="384" t="n"/>
      <c r="AG30" s="384" t="n"/>
      <c r="AH30" s="384" t="n"/>
      <c r="AI30" s="384" t="n"/>
      <c r="AJ30" s="384" t="n"/>
      <c r="AK30" s="384" t="n"/>
      <c r="AL30" s="384" t="n"/>
      <c r="AM30" s="384" t="n"/>
      <c r="AN30" s="384" t="n"/>
      <c r="AO30" s="384" t="n"/>
      <c r="AP30" s="384" t="n"/>
      <c r="AQ30" s="384" t="n"/>
      <c r="AR30" s="384" t="n"/>
      <c r="AS30" s="384" t="n"/>
      <c r="AT30" s="384" t="n"/>
      <c r="AU30" s="384" t="n"/>
      <c r="AV30" s="384" t="n"/>
      <c r="AW30" s="384" t="n"/>
      <c r="AX30" s="384" t="n"/>
      <c r="AY30" s="384" t="n"/>
      <c r="AZ30" s="384" t="n"/>
      <c r="BA30" s="384" t="n"/>
      <c r="BB30" s="384" t="n"/>
      <c r="BC30" s="384" t="n"/>
      <c r="BD30" s="384" t="n"/>
      <c r="BE30" s="384" t="n"/>
      <c r="BF30" s="384" t="n"/>
      <c r="BG30" s="384" t="n"/>
      <c r="BH30" s="384" t="n"/>
      <c r="BI30" s="384" t="n"/>
      <c r="BJ30" s="384" t="n"/>
      <c r="BK30" s="384" t="n"/>
      <c r="BL30" s="384" t="n"/>
      <c r="BM30" s="384" t="n"/>
      <c r="BN30" s="384" t="n"/>
      <c r="BO30" s="384" t="n"/>
      <c r="BP30" s="384" t="n"/>
      <c r="BQ30" s="384" t="n"/>
      <c r="BR30" s="384" t="n"/>
      <c r="BS30" s="384" t="n"/>
      <c r="BT30" s="384" t="n"/>
      <c r="BU30" s="384" t="n"/>
      <c r="BV30" s="384" t="n"/>
      <c r="BW30" s="384" t="n"/>
      <c r="BX30" s="384" t="n"/>
      <c r="BY30" s="384" t="n"/>
      <c r="BZ30" s="384" t="n"/>
      <c r="CA30" s="384" t="n"/>
      <c r="CB30" s="384" t="n"/>
      <c r="CC30" s="384" t="n"/>
      <c r="CD30" s="384" t="n"/>
      <c r="CE30" s="384" t="n"/>
      <c r="CF30" s="384" t="n"/>
      <c r="CG30" s="384" t="n"/>
      <c r="CH30" s="384" t="n"/>
      <c r="CI30" s="384" t="n"/>
      <c r="CJ30" s="384" t="n"/>
      <c r="CK30" s="384" t="n"/>
    </row>
    <row r="31" hidden="1" outlineLevel="1" s="1181">
      <c r="A31" s="384" t="n"/>
      <c r="B31" s="384" t="n"/>
      <c r="C31" s="384" t="n"/>
      <c r="D31" s="384" t="n"/>
      <c r="E31" s="384" t="n"/>
      <c r="F31" s="384" t="n"/>
      <c r="G31" s="384" t="n"/>
      <c r="H31" s="384" t="n"/>
      <c r="I31" s="384" t="n"/>
      <c r="J31" s="384" t="n"/>
      <c r="K31" s="384" t="n"/>
      <c r="L31" s="384" t="n"/>
      <c r="M31" s="384" t="n"/>
      <c r="N31" s="384" t="n"/>
      <c r="O31" s="384" t="n"/>
      <c r="P31" s="384" t="n"/>
      <c r="Q31" s="384" t="n"/>
      <c r="R31" s="384" t="n"/>
      <c r="S31" s="384" t="n"/>
      <c r="T31" s="384" t="n"/>
      <c r="U31" s="384" t="n"/>
      <c r="V31" s="384" t="n"/>
      <c r="W31" s="384" t="n"/>
      <c r="X31" s="384" t="n"/>
      <c r="Y31" s="384" t="n"/>
      <c r="Z31" s="384" t="n"/>
      <c r="AA31" s="384" t="n"/>
      <c r="AB31" s="384" t="n"/>
      <c r="AC31" s="384" t="n"/>
      <c r="AD31" s="384" t="n"/>
      <c r="AE31" s="384" t="n"/>
      <c r="AF31" s="384" t="n"/>
      <c r="AG31" s="384" t="n"/>
      <c r="AH31" s="384" t="n"/>
      <c r="AI31" s="384" t="n"/>
      <c r="AJ31" s="384" t="n"/>
      <c r="AK31" s="384" t="n"/>
      <c r="AL31" s="384" t="n"/>
      <c r="AM31" s="384" t="n"/>
      <c r="AN31" s="384" t="n"/>
      <c r="AO31" s="384" t="n"/>
      <c r="AP31" s="384" t="n"/>
      <c r="AQ31" s="384" t="n"/>
      <c r="AR31" s="384" t="n"/>
      <c r="AS31" s="384" t="n"/>
      <c r="AT31" s="384" t="n"/>
      <c r="AU31" s="384" t="n"/>
      <c r="AV31" s="384" t="n"/>
      <c r="AW31" s="384" t="n"/>
      <c r="AX31" s="384" t="n"/>
      <c r="AY31" s="384" t="n"/>
      <c r="AZ31" s="384" t="n"/>
      <c r="BA31" s="384" t="n"/>
      <c r="BB31" s="384" t="n"/>
      <c r="BC31" s="384" t="n"/>
      <c r="BD31" s="384" t="n"/>
      <c r="BE31" s="384" t="n"/>
      <c r="BF31" s="384" t="n"/>
      <c r="BG31" s="384" t="n"/>
      <c r="BH31" s="384" t="n"/>
      <c r="BI31" s="384" t="n"/>
      <c r="BJ31" s="384" t="n"/>
      <c r="BK31" s="384" t="n"/>
      <c r="BL31" s="384" t="n"/>
      <c r="BM31" s="384" t="n"/>
      <c r="BN31" s="384" t="n"/>
      <c r="BO31" s="384" t="n"/>
      <c r="BP31" s="384" t="n"/>
      <c r="BQ31" s="384" t="n"/>
      <c r="BR31" s="384" t="n"/>
      <c r="BS31" s="384" t="n"/>
      <c r="BT31" s="384" t="n"/>
      <c r="BU31" s="384" t="n"/>
      <c r="BV31" s="384" t="n"/>
      <c r="BW31" s="384" t="n"/>
      <c r="BX31" s="384" t="n"/>
      <c r="BY31" s="384" t="n"/>
      <c r="BZ31" s="384" t="n"/>
      <c r="CA31" s="384" t="n"/>
      <c r="CB31" s="384" t="n"/>
      <c r="CC31" s="384" t="n"/>
      <c r="CD31" s="384" t="n"/>
      <c r="CE31" s="384" t="n"/>
      <c r="CF31" s="384" t="n"/>
      <c r="CG31" s="384" t="n"/>
      <c r="CH31" s="384" t="n"/>
      <c r="CI31" s="384" t="n"/>
      <c r="CJ31" s="384" t="n"/>
      <c r="CK31" s="384" t="n"/>
    </row>
    <row r="32" hidden="1" outlineLevel="1" s="1181">
      <c r="A32" s="384" t="n"/>
      <c r="B32" s="384" t="n"/>
      <c r="C32" s="384" t="n"/>
      <c r="D32" s="384" t="n"/>
      <c r="E32" s="384" t="n"/>
      <c r="F32" s="384" t="n"/>
      <c r="G32" s="384" t="n"/>
      <c r="H32" s="384" t="n"/>
      <c r="I32" s="384" t="n"/>
      <c r="J32" s="384" t="n"/>
      <c r="K32" s="384" t="n"/>
      <c r="L32" s="384" t="n"/>
      <c r="M32" s="384" t="n"/>
      <c r="N32" s="384" t="n"/>
      <c r="O32" s="384" t="n"/>
      <c r="P32" s="384" t="n"/>
      <c r="Q32" s="384" t="n"/>
      <c r="R32" s="384" t="n"/>
      <c r="S32" s="384" t="n"/>
      <c r="T32" s="384" t="n"/>
      <c r="U32" s="384" t="n"/>
      <c r="V32" s="384" t="n"/>
      <c r="W32" s="384" t="n"/>
      <c r="X32" s="384" t="n"/>
      <c r="Y32" s="384" t="n"/>
      <c r="Z32" s="384" t="n"/>
      <c r="AA32" s="384" t="n"/>
      <c r="AB32" s="384" t="n"/>
      <c r="AC32" s="384" t="n"/>
      <c r="AD32" s="384" t="n"/>
      <c r="AE32" s="384" t="n"/>
      <c r="AF32" s="384" t="n"/>
      <c r="AG32" s="384" t="n"/>
      <c r="AH32" s="384" t="n"/>
      <c r="AI32" s="384" t="n"/>
      <c r="AJ32" s="384" t="n"/>
      <c r="AK32" s="384" t="n"/>
      <c r="AL32" s="384" t="n"/>
      <c r="AM32" s="384" t="n"/>
      <c r="AN32" s="384" t="n"/>
      <c r="AO32" s="384" t="n"/>
      <c r="AP32" s="384" t="n"/>
      <c r="AQ32" s="384" t="n"/>
      <c r="AR32" s="384" t="n"/>
      <c r="AS32" s="384" t="n"/>
      <c r="AT32" s="384" t="n"/>
      <c r="AU32" s="384" t="n"/>
      <c r="AV32" s="384" t="n"/>
      <c r="AW32" s="384" t="n"/>
      <c r="AX32" s="384" t="n"/>
      <c r="AY32" s="384" t="n"/>
      <c r="AZ32" s="384" t="n"/>
      <c r="BA32" s="384" t="n"/>
      <c r="BB32" s="384" t="n"/>
      <c r="BC32" s="384" t="n"/>
      <c r="BD32" s="384" t="n"/>
      <c r="BE32" s="384" t="n"/>
      <c r="BF32" s="384" t="n"/>
      <c r="BG32" s="384" t="n"/>
      <c r="BH32" s="384" t="n"/>
      <c r="BI32" s="384" t="n"/>
      <c r="BJ32" s="384" t="n"/>
      <c r="BK32" s="384" t="n"/>
      <c r="BL32" s="384" t="n"/>
      <c r="BM32" s="384" t="n"/>
      <c r="BN32" s="384" t="n"/>
      <c r="BO32" s="384" t="n"/>
      <c r="BP32" s="384" t="n"/>
      <c r="BQ32" s="384" t="n"/>
      <c r="BR32" s="384" t="n"/>
      <c r="BS32" s="384" t="n"/>
      <c r="BT32" s="384" t="n"/>
      <c r="BU32" s="384" t="n"/>
      <c r="BV32" s="384" t="n"/>
      <c r="BW32" s="384" t="n"/>
      <c r="BX32" s="384" t="n"/>
      <c r="BY32" s="384" t="n"/>
      <c r="BZ32" s="384" t="n"/>
      <c r="CA32" s="384" t="n"/>
      <c r="CB32" s="384" t="n"/>
      <c r="CC32" s="384" t="n"/>
      <c r="CD32" s="384" t="n"/>
      <c r="CE32" s="384" t="n"/>
      <c r="CF32" s="384" t="n"/>
      <c r="CG32" s="384" t="n"/>
      <c r="CH32" s="384" t="n"/>
      <c r="CI32" s="384" t="n"/>
      <c r="CJ32" s="384" t="n"/>
      <c r="CK32" s="384" t="n"/>
    </row>
    <row r="33" hidden="1" outlineLevel="1" s="1181">
      <c r="A33" s="384" t="n"/>
      <c r="B33" s="384" t="n"/>
      <c r="C33" s="384" t="n"/>
      <c r="D33" s="384" t="n"/>
      <c r="E33" s="384" t="n"/>
      <c r="F33" s="384" t="n"/>
      <c r="G33" s="384" t="n"/>
      <c r="H33" s="384" t="n"/>
      <c r="I33" s="384" t="n"/>
      <c r="J33" s="384" t="n"/>
      <c r="K33" s="384" t="n"/>
      <c r="L33" s="384" t="n"/>
      <c r="M33" s="384" t="n"/>
      <c r="N33" s="384" t="n"/>
      <c r="O33" s="384" t="n"/>
      <c r="P33" s="384" t="n"/>
      <c r="Q33" s="384" t="n"/>
      <c r="R33" s="384" t="n"/>
      <c r="S33" s="384" t="n"/>
      <c r="T33" s="384" t="n"/>
      <c r="U33" s="384" t="n"/>
      <c r="V33" s="384" t="n"/>
      <c r="W33" s="384" t="n"/>
      <c r="X33" s="384" t="n"/>
      <c r="Y33" s="384" t="n"/>
      <c r="Z33" s="384" t="n"/>
      <c r="AA33" s="384" t="n"/>
      <c r="AB33" s="384" t="n"/>
      <c r="AC33" s="384" t="n"/>
      <c r="AD33" s="384" t="n"/>
      <c r="AE33" s="384" t="n"/>
      <c r="AF33" s="384" t="n"/>
      <c r="AG33" s="384" t="n"/>
      <c r="AH33" s="384" t="n"/>
      <c r="AI33" s="384" t="n"/>
      <c r="AJ33" s="384" t="n"/>
      <c r="AK33" s="384" t="n"/>
      <c r="AL33" s="384" t="n"/>
      <c r="AM33" s="384" t="n"/>
      <c r="AN33" s="384" t="n"/>
      <c r="AO33" s="384" t="n"/>
      <c r="AP33" s="384" t="n"/>
      <c r="AQ33" s="384" t="n"/>
      <c r="AR33" s="384" t="n"/>
      <c r="AS33" s="384" t="n"/>
      <c r="AT33" s="384" t="n"/>
      <c r="AU33" s="384" t="n"/>
      <c r="AV33" s="384" t="n"/>
      <c r="AW33" s="384" t="n"/>
      <c r="AX33" s="384" t="n"/>
      <c r="AY33" s="384" t="n"/>
      <c r="AZ33" s="384" t="n"/>
      <c r="BA33" s="384" t="n"/>
      <c r="BB33" s="384" t="n"/>
      <c r="BC33" s="384" t="n"/>
      <c r="BD33" s="384" t="n"/>
      <c r="BE33" s="384" t="n"/>
      <c r="BF33" s="384" t="n"/>
      <c r="BG33" s="384" t="n"/>
      <c r="BH33" s="384" t="n"/>
      <c r="BI33" s="384" t="n"/>
      <c r="BJ33" s="384" t="n"/>
      <c r="BK33" s="384" t="n"/>
      <c r="BL33" s="384" t="n"/>
      <c r="BM33" s="384" t="n"/>
      <c r="BN33" s="384" t="n"/>
      <c r="BO33" s="384" t="n"/>
      <c r="BP33" s="384" t="n"/>
      <c r="BQ33" s="384" t="n"/>
      <c r="BR33" s="384" t="n"/>
      <c r="BS33" s="384" t="n"/>
      <c r="BT33" s="384" t="n"/>
      <c r="BU33" s="384" t="n"/>
      <c r="BV33" s="384" t="n"/>
      <c r="BW33" s="384" t="n"/>
      <c r="BX33" s="384" t="n"/>
      <c r="BY33" s="384" t="n"/>
      <c r="BZ33" s="384" t="n"/>
      <c r="CA33" s="384" t="n"/>
      <c r="CB33" s="384" t="n"/>
      <c r="CC33" s="384" t="n"/>
      <c r="CD33" s="384" t="n"/>
      <c r="CE33" s="384" t="n"/>
      <c r="CF33" s="384" t="n"/>
      <c r="CG33" s="384" t="n"/>
      <c r="CH33" s="384" t="n"/>
      <c r="CI33" s="384" t="n"/>
      <c r="CJ33" s="384" t="n"/>
      <c r="CK33" s="384" t="n"/>
    </row>
    <row r="34" collapsed="1" ht="5.1" customHeight="1" s="1181">
      <c r="A34" s="384" t="n"/>
      <c r="B34" s="384" t="n"/>
      <c r="C34" s="384" t="n"/>
      <c r="D34" s="384" t="n"/>
      <c r="E34" s="384" t="n"/>
      <c r="F34" s="384" t="n"/>
      <c r="G34" s="384" t="n"/>
      <c r="H34" s="384" t="n"/>
      <c r="I34" s="384" t="n"/>
      <c r="J34" s="384" t="n"/>
      <c r="K34" s="384" t="n"/>
      <c r="L34" s="384" t="n"/>
      <c r="M34" s="384" t="n"/>
      <c r="N34" s="384" t="n"/>
      <c r="O34" s="384" t="n"/>
      <c r="P34" s="384" t="n"/>
      <c r="Q34" s="384" t="n"/>
      <c r="R34" s="384" t="n"/>
      <c r="S34" s="384" t="n"/>
      <c r="T34" s="384" t="n"/>
      <c r="U34" s="384" t="n"/>
      <c r="V34" s="384" t="n"/>
      <c r="W34" s="384" t="n"/>
      <c r="X34" s="384" t="n"/>
      <c r="Y34" s="384" t="n"/>
      <c r="Z34" s="384" t="n"/>
      <c r="AA34" s="384" t="n"/>
      <c r="AB34" s="384" t="n"/>
      <c r="AC34" s="384" t="n"/>
      <c r="AD34" s="384" t="n"/>
      <c r="AE34" s="384" t="n"/>
      <c r="AF34" s="384" t="n"/>
      <c r="AG34" s="384" t="n"/>
      <c r="AH34" s="384" t="n"/>
      <c r="AI34" s="384" t="n"/>
      <c r="AJ34" s="384" t="n"/>
      <c r="AK34" s="384" t="n"/>
      <c r="AL34" s="384" t="n"/>
      <c r="AM34" s="384" t="n"/>
      <c r="AN34" s="384" t="n"/>
      <c r="AO34" s="384" t="n"/>
      <c r="AP34" s="384" t="n"/>
      <c r="AQ34" s="384" t="n"/>
      <c r="AR34" s="384" t="n"/>
      <c r="AS34" s="384" t="n"/>
      <c r="AT34" s="384" t="n"/>
      <c r="AU34" s="384" t="n"/>
      <c r="AV34" s="384" t="n"/>
      <c r="AW34" s="384" t="n"/>
      <c r="AX34" s="384" t="n"/>
      <c r="AY34" s="384" t="n"/>
      <c r="AZ34" s="384" t="n"/>
      <c r="BA34" s="384" t="n"/>
      <c r="BB34" s="384" t="n"/>
      <c r="BC34" s="384" t="n"/>
      <c r="BD34" s="384" t="n"/>
      <c r="BE34" s="384" t="n"/>
      <c r="BF34" s="384" t="n"/>
      <c r="BG34" s="384" t="n"/>
      <c r="BH34" s="384" t="n"/>
      <c r="BI34" s="384" t="n"/>
      <c r="BJ34" s="384" t="n"/>
      <c r="BK34" s="384" t="n"/>
      <c r="BL34" s="384" t="n"/>
      <c r="BM34" s="384" t="n"/>
      <c r="BN34" s="384" t="n"/>
      <c r="BO34" s="384" t="n"/>
      <c r="BP34" s="384" t="n"/>
      <c r="BQ34" s="384" t="n"/>
      <c r="BR34" s="384" t="n"/>
      <c r="BS34" s="384" t="n"/>
      <c r="BT34" s="384" t="n"/>
      <c r="BU34" s="384" t="n"/>
      <c r="BV34" s="384" t="n"/>
      <c r="BW34" s="384" t="n"/>
      <c r="BX34" s="384" t="n"/>
      <c r="BY34" s="384" t="n"/>
      <c r="BZ34" s="384" t="n"/>
      <c r="CA34" s="384" t="n"/>
      <c r="CB34" s="384" t="n"/>
      <c r="CC34" s="384" t="n"/>
      <c r="CD34" s="384" t="n"/>
      <c r="CE34" s="384" t="n"/>
      <c r="CF34" s="384" t="n"/>
      <c r="CG34" s="384" t="n"/>
      <c r="CH34" s="384" t="n"/>
      <c r="CI34" s="384" t="n"/>
      <c r="CJ34" s="384" t="n"/>
      <c r="CK34" s="384" t="n"/>
    </row>
    <row r="35" ht="32.1" customHeight="1" s="1181">
      <c r="A35" s="384" t="n"/>
      <c r="B35" s="384" t="n"/>
      <c r="C35" s="384" t="n"/>
      <c r="D35" s="384" t="n"/>
      <c r="E35" s="384" t="n"/>
      <c r="F35" s="384" t="n"/>
      <c r="G35" s="384" t="n"/>
      <c r="H35" s="384" t="n"/>
      <c r="I35" s="384" t="n"/>
      <c r="J35" s="384" t="n"/>
      <c r="K35" s="384" t="n"/>
      <c r="L35" s="384" t="n"/>
      <c r="M35" s="384" t="n"/>
      <c r="N35" s="384" t="n"/>
      <c r="O35" s="384" t="n"/>
      <c r="P35" s="384" t="n"/>
      <c r="Q35" s="384" t="n"/>
      <c r="R35" s="384" t="n"/>
      <c r="S35" s="384" t="n"/>
      <c r="T35" s="384" t="n"/>
      <c r="U35" s="384" t="n"/>
      <c r="V35" s="384" t="n"/>
      <c r="W35" s="384" t="n"/>
      <c r="X35" s="384" t="n"/>
      <c r="Y35" s="384" t="n"/>
      <c r="Z35" s="201" t="inlineStr">
        <is>
          <t>收入明细表（发电企业）</t>
        </is>
      </c>
      <c r="AA35" s="384" t="n"/>
      <c r="AB35" s="384" t="n"/>
      <c r="AC35" s="384" t="n"/>
      <c r="AD35" s="384" t="n"/>
      <c r="AE35" s="384" t="n"/>
      <c r="AF35" s="384" t="n"/>
      <c r="AG35" s="384" t="n"/>
      <c r="AH35" s="384" t="n"/>
      <c r="AI35" s="384" t="n"/>
      <c r="AJ35" s="384" t="n"/>
      <c r="AK35" s="384" t="n"/>
      <c r="AL35" s="384" t="n"/>
      <c r="AM35" s="384" t="n"/>
      <c r="AN35" s="384" t="n"/>
      <c r="AO35" s="384" t="n"/>
      <c r="AP35" s="384" t="n"/>
      <c r="AQ35" s="384" t="n"/>
      <c r="AR35" s="384" t="n"/>
      <c r="AS35" s="384" t="n"/>
      <c r="AT35" s="384" t="n"/>
      <c r="AU35" s="384" t="n"/>
      <c r="AV35" s="384" t="n"/>
      <c r="AW35" s="384" t="n"/>
      <c r="AX35" s="384" t="n"/>
      <c r="AY35" s="384" t="n"/>
      <c r="AZ35" s="384" t="n"/>
      <c r="BA35" s="384" t="n"/>
      <c r="BB35" s="384" t="n"/>
      <c r="BC35" s="384" t="n"/>
      <c r="BD35" s="384" t="n"/>
      <c r="BE35" s="384" t="n"/>
      <c r="BF35" s="384" t="n"/>
      <c r="BG35" s="384" t="n"/>
      <c r="BH35" s="384" t="n"/>
      <c r="BI35" s="384" t="n"/>
      <c r="BJ35" s="384" t="n"/>
      <c r="BK35" s="384" t="n"/>
      <c r="BL35" s="384" t="n"/>
      <c r="BM35" s="384" t="n"/>
      <c r="BN35" s="384" t="n"/>
      <c r="BO35" s="384" t="n"/>
      <c r="BP35" s="384" t="n"/>
      <c r="BQ35" s="384" t="n"/>
      <c r="BR35" s="384" t="n"/>
      <c r="BS35" s="384" t="n"/>
      <c r="BT35" s="384" t="n"/>
      <c r="BU35" s="384" t="n"/>
      <c r="BV35" s="384" t="n"/>
      <c r="BW35" s="384" t="n"/>
      <c r="BX35" s="384" t="n"/>
      <c r="BY35" s="384" t="n"/>
      <c r="BZ35" s="384" t="n"/>
      <c r="CA35" s="384" t="n"/>
      <c r="CB35" s="384" t="n"/>
      <c r="CC35" s="384" t="n"/>
      <c r="CD35" s="384" t="n"/>
      <c r="CE35" s="384" t="n"/>
      <c r="CF35" s="384" t="n"/>
      <c r="CG35" s="384" t="n"/>
      <c r="CH35" s="384" t="n"/>
      <c r="CI35" s="384" t="n"/>
      <c r="CJ35" s="384" t="n"/>
      <c r="CK35" s="384" t="n"/>
    </row>
    <row r="36" ht="14.45" customHeight="1" s="1181">
      <c r="A36" s="384" t="n"/>
      <c r="B36" s="384" t="n"/>
      <c r="C36" s="384" t="n"/>
      <c r="D36" s="384" t="n"/>
      <c r="E36" s="384" t="n"/>
      <c r="F36" s="384" t="n"/>
      <c r="G36" s="384" t="n"/>
      <c r="H36" s="384" t="n"/>
      <c r="I36" s="384" t="n"/>
      <c r="J36" s="384" t="n"/>
      <c r="K36" s="384" t="n"/>
      <c r="L36" s="384" t="n"/>
      <c r="M36" s="384" t="n"/>
      <c r="N36" s="384" t="n"/>
      <c r="O36" s="384" t="n"/>
      <c r="P36" s="384" t="n"/>
      <c r="Q36" s="384" t="n"/>
      <c r="R36" s="384" t="n"/>
      <c r="S36" s="384" t="n"/>
      <c r="T36" s="384" t="n"/>
      <c r="U36" s="384" t="n"/>
      <c r="V36" s="384" t="n"/>
      <c r="W36" s="384" t="n"/>
      <c r="X36" s="384" t="n"/>
      <c r="Y36" s="432" t="inlineStr">
        <is>
          <t>上下文选择说明：</t>
        </is>
      </c>
      <c r="Z36" s="1400" t="inlineStr">
        <is>
          <t>单体录入：C_SCOPE选择G_DUMMY，C_ENTITY选择单体ID</t>
        </is>
      </c>
      <c r="AD36" s="384" t="n"/>
      <c r="AE36" s="384" t="n"/>
      <c r="AF36" s="384" t="n"/>
      <c r="AG36" s="384" t="n"/>
      <c r="AH36" s="384" t="n"/>
      <c r="AI36" s="384" t="n"/>
      <c r="AJ36" s="384" t="n"/>
      <c r="AK36" s="384" t="n"/>
      <c r="AL36" s="384" t="n"/>
      <c r="AM36" s="384" t="n"/>
      <c r="AN36" s="384" t="n"/>
      <c r="AO36" s="384" t="n"/>
      <c r="AP36" s="384" t="n"/>
      <c r="AQ36" s="384" t="n"/>
      <c r="AR36" s="384" t="n"/>
      <c r="AS36" s="384" t="n"/>
      <c r="AT36" s="384" t="n"/>
      <c r="AU36" s="384" t="n"/>
      <c r="AV36" s="384" t="n"/>
      <c r="AW36" s="384" t="n"/>
      <c r="AX36" s="384" t="n"/>
      <c r="AY36" s="384" t="n"/>
      <c r="AZ36" s="384" t="n"/>
      <c r="BA36" s="384" t="n"/>
      <c r="BB36" s="384" t="n"/>
      <c r="BC36" s="384" t="n"/>
      <c r="BD36" s="384" t="n"/>
      <c r="BE36" s="384" t="n"/>
      <c r="BF36" s="384" t="n"/>
      <c r="BG36" s="384" t="n"/>
      <c r="BH36" s="384" t="n"/>
      <c r="BI36" s="384" t="n"/>
      <c r="BJ36" s="384" t="n"/>
      <c r="BK36" s="384" t="n"/>
      <c r="BL36" s="384" t="n"/>
      <c r="BM36" s="384" t="n"/>
      <c r="BN36" s="384" t="n"/>
      <c r="BO36" s="384" t="n"/>
      <c r="BP36" s="384" t="n"/>
      <c r="BQ36" s="384" t="n"/>
      <c r="BR36" s="384" t="n"/>
      <c r="BS36" s="384" t="n"/>
      <c r="BT36" s="384" t="n"/>
      <c r="BU36" s="384" t="n"/>
      <c r="BV36" s="384" t="n"/>
      <c r="BW36" s="384" t="n"/>
      <c r="BX36" s="384" t="n"/>
      <c r="BY36" s="384" t="n"/>
      <c r="BZ36" s="384" t="n"/>
      <c r="CA36" s="384" t="n"/>
      <c r="CB36" s="384" t="n"/>
      <c r="CC36" s="384" t="n"/>
      <c r="CD36" s="384" t="n"/>
      <c r="CE36" s="384" t="n"/>
      <c r="CF36" s="384" t="n"/>
      <c r="CG36" s="384" t="n"/>
      <c r="CH36" s="384" t="n"/>
      <c r="CI36" s="384" t="n"/>
      <c r="CJ36" s="384" t="n"/>
      <c r="CK36" s="384" t="n"/>
    </row>
    <row r="37" ht="14.45" customHeight="1" s="1181">
      <c r="A37" s="384" t="n"/>
      <c r="B37" s="384" t="n"/>
      <c r="C37" s="384" t="n"/>
      <c r="D37" s="384" t="n"/>
      <c r="E37" s="384" t="n"/>
      <c r="F37" s="384" t="n"/>
      <c r="G37" s="384" t="n"/>
      <c r="H37" s="384" t="n"/>
      <c r="I37" s="384" t="n"/>
      <c r="J37" s="384" t="n"/>
      <c r="K37" s="384" t="n"/>
      <c r="L37" s="384" t="n"/>
      <c r="M37" s="384" t="n"/>
      <c r="N37" s="384" t="n"/>
      <c r="O37" s="384" t="n"/>
      <c r="P37" s="384" t="n"/>
      <c r="Q37" s="384" t="n"/>
      <c r="R37" s="190">
        <f>"编制单位："&amp;$E$6</f>
        <v/>
      </c>
      <c r="S37" s="384" t="n"/>
      <c r="T37" s="384" t="n"/>
      <c r="U37" s="384" t="n"/>
      <c r="V37" s="384" t="n"/>
      <c r="W37" s="428" t="inlineStr">
        <is>
          <t>审计线索：</t>
        </is>
      </c>
      <c r="X37" s="429" t="inlineStr">
        <is>
          <t>单体录入</t>
        </is>
      </c>
      <c r="Y37" s="434" t="n"/>
      <c r="Z37" s="1400" t="inlineStr">
        <is>
          <t>合并层调整：C_SCOPE选择合并层，C_ENTITY选择单体ID</t>
        </is>
      </c>
      <c r="AD37" s="223" t="inlineStr">
        <is>
          <t>金额单位：元</t>
        </is>
      </c>
      <c r="AE37" s="384" t="n"/>
      <c r="AF37" s="384" t="n"/>
      <c r="AG37" s="384" t="n"/>
      <c r="AH37" s="384" t="n"/>
      <c r="AI37" s="384" t="n"/>
      <c r="AJ37" s="384" t="n"/>
      <c r="AK37" s="384" t="n"/>
      <c r="AL37" s="384" t="n"/>
      <c r="AM37" s="384" t="n"/>
      <c r="AN37" s="384" t="n"/>
      <c r="AO37" s="384" t="n"/>
      <c r="AP37" s="384" t="n"/>
      <c r="AQ37" s="384" t="n"/>
      <c r="AR37" s="384" t="n"/>
      <c r="AS37" s="384" t="n"/>
      <c r="AT37" s="384" t="n"/>
      <c r="AU37" s="384" t="n"/>
      <c r="AV37" s="384" t="n"/>
      <c r="AW37" s="384" t="n"/>
      <c r="AX37" s="384" t="n"/>
      <c r="AY37" s="384" t="n"/>
      <c r="AZ37" s="384" t="n"/>
      <c r="BA37" s="384" t="n"/>
      <c r="BB37" s="384" t="n"/>
      <c r="BC37" s="384" t="n"/>
      <c r="BD37" s="384" t="n"/>
      <c r="BE37" s="384" t="n"/>
      <c r="BF37" s="384" t="n"/>
      <c r="BG37" s="384" t="n"/>
      <c r="BH37" s="384" t="n"/>
      <c r="BI37" s="384" t="n"/>
      <c r="BJ37" s="384" t="n"/>
      <c r="BK37" s="384" t="n"/>
      <c r="BL37" s="384" t="n"/>
      <c r="BM37" s="384" t="n"/>
      <c r="BN37" s="384" t="n"/>
      <c r="BO37" s="384" t="n"/>
      <c r="BP37" s="384" t="n"/>
      <c r="BQ37" s="384" t="n"/>
      <c r="BR37" s="384" t="n"/>
      <c r="BS37" s="384" t="n"/>
      <c r="BT37" s="384" t="n"/>
      <c r="BU37" s="384" t="n"/>
      <c r="BV37" s="384" t="n"/>
      <c r="BW37" s="384" t="n"/>
      <c r="BX37" s="384" t="n"/>
      <c r="BY37" s="384" t="n"/>
      <c r="BZ37" s="384" t="n"/>
      <c r="CA37" s="384" t="n"/>
      <c r="CB37" s="384" t="n"/>
      <c r="CC37" s="384" t="n"/>
      <c r="CD37" s="384" t="n"/>
      <c r="CE37" s="384" t="n"/>
      <c r="CF37" s="384" t="n"/>
      <c r="CG37" s="384" t="n"/>
      <c r="CH37" s="384" t="n"/>
      <c r="CI37" s="384" t="n"/>
      <c r="CJ37" s="384" t="n"/>
      <c r="CK37" s="384" t="n"/>
    </row>
    <row r="38" ht="20.45" customHeight="1" s="1181">
      <c r="A38" s="384" t="n"/>
      <c r="B38" s="384" t="n"/>
      <c r="C38" s="384" t="n"/>
      <c r="D38" s="384" t="n"/>
      <c r="E38" s="384" t="n"/>
      <c r="F38" s="384" t="n"/>
      <c r="G38" s="384" t="n"/>
      <c r="H38" s="384" t="n"/>
      <c r="I38" s="384" t="n"/>
      <c r="J38" s="384" t="n"/>
      <c r="K38" s="384" t="n"/>
      <c r="L38" s="384" t="n"/>
      <c r="M38" s="384" t="n"/>
      <c r="N38" s="384" t="n"/>
      <c r="O38" s="384" t="n"/>
      <c r="P38" s="384" t="n"/>
      <c r="Q38" s="384" t="n"/>
      <c r="R38" s="190">
        <f>"编制月份："&amp;$E$5&amp;"年"&amp;$F$5&amp;"月"</f>
        <v/>
      </c>
      <c r="S38" s="384" t="n"/>
      <c r="T38" s="384" t="n"/>
      <c r="U38" s="384" t="n"/>
      <c r="V38" s="384" t="n"/>
      <c r="W38" s="384" t="n"/>
      <c r="X38" s="384" t="n"/>
      <c r="Y38" s="434" t="n"/>
      <c r="Z38" s="1400" t="inlineStr">
        <is>
          <t>合并层查询：C_SCOPE选择合并层，C_ENTITY选择E_ALL</t>
        </is>
      </c>
      <c r="AD38" s="384" t="n"/>
      <c r="AE38" s="384" t="n"/>
      <c r="AF38" s="384" t="n"/>
      <c r="AG38" s="384" t="n"/>
      <c r="AH38" s="384" t="n"/>
      <c r="AI38" s="384" t="n"/>
      <c r="AJ38" s="384" t="n"/>
      <c r="AK38" s="384" t="n"/>
      <c r="AL38" s="384" t="n"/>
      <c r="AM38" s="384" t="n"/>
      <c r="AN38" s="384" t="n"/>
      <c r="AO38" s="384" t="n"/>
      <c r="AP38" s="384" t="n"/>
      <c r="AQ38" s="384" t="n"/>
      <c r="AR38" s="384" t="n"/>
      <c r="AS38" s="384" t="n"/>
      <c r="AT38" s="384" t="n"/>
      <c r="AU38" s="384" t="n"/>
      <c r="AV38" s="384" t="n"/>
      <c r="AW38" s="384" t="n"/>
      <c r="AX38" s="384" t="n"/>
      <c r="AY38" s="384" t="n"/>
      <c r="AZ38" s="384" t="n"/>
      <c r="BA38" s="384" t="n"/>
      <c r="BB38" s="384" t="n"/>
      <c r="BC38" s="384" t="n"/>
      <c r="BD38" s="384" t="n"/>
      <c r="BE38" s="384" t="n"/>
      <c r="BF38" s="384" t="n"/>
      <c r="BG38" s="384" t="n"/>
      <c r="BH38" s="384" t="n"/>
      <c r="BI38" s="384" t="n"/>
      <c r="BJ38" s="384" t="n"/>
      <c r="BK38" s="384" t="n"/>
      <c r="BL38" s="384" t="n"/>
      <c r="BM38" s="384" t="n"/>
      <c r="BN38" s="384" t="n"/>
      <c r="BO38" s="384" t="n"/>
      <c r="BP38" s="384" t="n"/>
      <c r="BQ38" s="384" t="n"/>
      <c r="BR38" s="384" t="n"/>
      <c r="BS38" s="384" t="n"/>
      <c r="BT38" s="384" t="n"/>
      <c r="BU38" s="384" t="n"/>
      <c r="BV38" s="384" t="n"/>
      <c r="BW38" s="384" t="n"/>
      <c r="BX38" s="384" t="n"/>
      <c r="BY38" s="384" t="n"/>
      <c r="BZ38" s="384" t="n"/>
      <c r="CA38" s="384" t="n"/>
      <c r="CB38" s="384" t="n"/>
      <c r="CC38" s="384" t="n"/>
      <c r="CD38" s="384" t="n"/>
      <c r="CE38" s="384" t="n"/>
      <c r="CF38" s="384" t="n"/>
      <c r="CG38" s="384" t="n"/>
      <c r="CH38" s="384" t="n"/>
      <c r="CI38" s="384" t="n"/>
      <c r="CJ38" s="384" t="n"/>
      <c r="CK38" s="384" t="n"/>
    </row>
    <row r="39" ht="5.1" customHeight="1" s="1181">
      <c r="A39" s="384" t="n"/>
      <c r="B39" s="384" t="n"/>
      <c r="C39" s="384" t="n"/>
      <c r="D39" s="384" t="n"/>
      <c r="E39" s="384" t="n"/>
      <c r="F39" s="384" t="n"/>
      <c r="G39" s="384" t="n"/>
      <c r="H39" s="384" t="n"/>
      <c r="I39" s="384" t="n"/>
      <c r="J39" s="384" t="n"/>
      <c r="K39" s="384" t="n"/>
      <c r="L39" s="384" t="n"/>
      <c r="M39" s="384" t="n"/>
      <c r="N39" s="384" t="n"/>
      <c r="O39" s="384" t="n"/>
      <c r="P39" s="384" t="n"/>
      <c r="Q39" s="384" t="n"/>
      <c r="R39" s="190" t="n"/>
      <c r="S39" s="384" t="n"/>
      <c r="T39" s="420" t="n"/>
      <c r="U39" s="384" t="n"/>
      <c r="V39" s="384" t="n"/>
      <c r="W39" s="384" t="n"/>
      <c r="X39" s="384" t="n"/>
      <c r="Y39" s="434" t="n"/>
      <c r="Z39" s="1400" t="n"/>
      <c r="AA39" s="1400" t="n"/>
      <c r="AB39" s="1400" t="n"/>
      <c r="AC39" s="1400" t="n"/>
      <c r="AD39" s="384" t="n"/>
      <c r="AE39" s="384" t="n"/>
      <c r="AF39" s="384" t="n"/>
      <c r="AG39" s="384" t="n"/>
      <c r="AH39" s="384" t="n"/>
      <c r="AI39" s="384" t="n"/>
      <c r="AJ39" s="384" t="n"/>
      <c r="AK39" s="384" t="n"/>
      <c r="AL39" s="384" t="n"/>
      <c r="AM39" s="384" t="n"/>
      <c r="AN39" s="384" t="n"/>
      <c r="AO39" s="384" t="n"/>
      <c r="AP39" s="384" t="n"/>
      <c r="AQ39" s="384" t="n"/>
      <c r="AR39" s="384" t="n"/>
      <c r="AS39" s="384" t="n"/>
      <c r="AT39" s="384" t="n"/>
      <c r="AU39" s="384" t="n"/>
      <c r="AV39" s="384" t="n"/>
      <c r="AW39" s="384" t="n"/>
      <c r="AX39" s="384" t="n"/>
      <c r="AY39" s="384" t="n"/>
      <c r="AZ39" s="384" t="n"/>
      <c r="BA39" s="384" t="n"/>
      <c r="BB39" s="384" t="n"/>
      <c r="BC39" s="384" t="n"/>
      <c r="BD39" s="384" t="n"/>
      <c r="BE39" s="384" t="n"/>
      <c r="BF39" s="384" t="n"/>
      <c r="BG39" s="384" t="n"/>
      <c r="BH39" s="384" t="n"/>
      <c r="BI39" s="384" t="n"/>
      <c r="BJ39" s="384" t="n"/>
      <c r="BK39" s="384" t="n"/>
      <c r="BL39" s="384" t="n"/>
      <c r="BM39" s="384" t="n"/>
      <c r="BN39" s="384" t="n"/>
      <c r="BO39" s="384" t="n"/>
      <c r="BP39" s="384" t="n"/>
      <c r="BQ39" s="384" t="n"/>
      <c r="BR39" s="384" t="n"/>
      <c r="BS39" s="384" t="n"/>
      <c r="BT39" s="384" t="n"/>
      <c r="BU39" s="384" t="n"/>
      <c r="BV39" s="384" t="n"/>
      <c r="BW39" s="384" t="n"/>
      <c r="BX39" s="384" t="n"/>
      <c r="BY39" s="384" t="n"/>
      <c r="BZ39" s="384" t="n"/>
      <c r="CA39" s="384" t="n"/>
      <c r="CB39" s="384" t="n"/>
      <c r="CC39" s="384" t="n"/>
      <c r="CD39" s="384" t="n"/>
      <c r="CE39" s="384" t="n"/>
      <c r="CF39" s="384" t="n"/>
      <c r="CG39" s="384" t="n"/>
      <c r="CH39" s="384" t="n"/>
      <c r="CI39" s="384" t="n"/>
      <c r="CJ39" s="384" t="n"/>
      <c r="CK39" s="384" t="n"/>
    </row>
    <row r="40">
      <c r="A40" s="384" t="n"/>
      <c r="B40" s="384" t="n"/>
      <c r="C40" s="384" t="n"/>
      <c r="D40" s="384" t="n"/>
      <c r="E40" s="384" t="n"/>
      <c r="F40" s="384" t="n"/>
      <c r="G40" s="384" t="n"/>
      <c r="H40" s="384" t="n"/>
      <c r="I40" s="384" t="n"/>
      <c r="J40" s="384" t="n"/>
      <c r="K40" s="384" t="n"/>
      <c r="L40" s="384" t="n"/>
      <c r="M40" s="384" t="n"/>
      <c r="N40" s="384" t="n"/>
      <c r="O40" s="384" t="n"/>
      <c r="P40" s="384" t="n"/>
      <c r="Q40" s="384" t="n"/>
      <c r="R40" s="41" t="inlineStr">
        <is>
          <t>项        目</t>
        </is>
      </c>
      <c r="S40" s="57" t="inlineStr">
        <is>
          <t>行次</t>
        </is>
      </c>
      <c r="T40" s="421" t="inlineStr">
        <is>
          <t>计量单位</t>
        </is>
      </c>
      <c r="U40" s="384" t="n"/>
      <c r="V40" s="384" t="n"/>
      <c r="W40" s="57" t="inlineStr">
        <is>
          <t>本月数</t>
        </is>
      </c>
      <c r="X40" s="1401" t="n"/>
      <c r="Y40" s="1401" t="n"/>
      <c r="Z40" s="1401" t="n"/>
      <c r="AA40" s="1401" t="n"/>
      <c r="AB40" s="1401" t="n"/>
      <c r="AC40" s="1402" t="n"/>
      <c r="AD40" s="57" t="inlineStr">
        <is>
          <t>本年累计数（截止到本月）</t>
        </is>
      </c>
      <c r="AE40" s="1401" t="n"/>
      <c r="AF40" s="1401" t="n"/>
      <c r="AG40" s="1401" t="n"/>
      <c r="AH40" s="1401" t="n"/>
      <c r="AI40" s="1401" t="n"/>
      <c r="AJ40" s="1402" t="n"/>
      <c r="AK40" s="57" t="inlineStr">
        <is>
          <t>本年累计数（截止到上月）-隐藏</t>
        </is>
      </c>
      <c r="AL40" s="1401" t="n"/>
      <c r="AM40" s="1401" t="n"/>
      <c r="AN40" s="1401" t="n"/>
      <c r="AO40" s="1401" t="n"/>
      <c r="AP40" s="1402" t="n"/>
      <c r="AQ40" s="57" t="inlineStr">
        <is>
          <t>本年累计数（截止到上上月）-隐藏</t>
        </is>
      </c>
      <c r="AR40" s="1401" t="n"/>
      <c r="AS40" s="1401" t="n"/>
      <c r="AT40" s="1401" t="n"/>
      <c r="AU40" s="1401" t="n"/>
      <c r="AV40" s="1402" t="n"/>
      <c r="AW40" s="57" t="inlineStr">
        <is>
          <t>上月数</t>
        </is>
      </c>
      <c r="AX40" s="1401" t="n"/>
      <c r="AY40" s="1401" t="n"/>
      <c r="AZ40" s="1401" t="n"/>
      <c r="BA40" s="1401" t="n"/>
      <c r="BB40" s="1401" t="n"/>
      <c r="BC40" s="1402" t="n"/>
      <c r="BD40" s="57" t="inlineStr">
        <is>
          <t>上年同期累计数</t>
        </is>
      </c>
      <c r="BE40" s="1401" t="n"/>
      <c r="BF40" s="1401" t="n"/>
      <c r="BG40" s="1401" t="n"/>
      <c r="BH40" s="1401" t="n"/>
      <c r="BI40" s="1401" t="n"/>
      <c r="BJ40" s="1402" t="n"/>
      <c r="BK40" s="57" t="inlineStr">
        <is>
          <t>本月预算数</t>
        </is>
      </c>
      <c r="BL40" s="1401" t="n"/>
      <c r="BM40" s="1401" t="n"/>
      <c r="BN40" s="1401" t="n"/>
      <c r="BO40" s="1401" t="n"/>
      <c r="BP40" s="1401" t="n"/>
      <c r="BQ40" s="1402" t="n"/>
      <c r="BR40" s="57" t="inlineStr">
        <is>
          <t>进度预算数</t>
        </is>
      </c>
      <c r="BS40" s="1401" t="n"/>
      <c r="BT40" s="1401" t="n"/>
      <c r="BU40" s="1401" t="n"/>
      <c r="BV40" s="1401" t="n"/>
      <c r="BW40" s="1401" t="n"/>
      <c r="BX40" s="1402" t="n"/>
      <c r="BY40" s="57" t="inlineStr">
        <is>
          <t>进度预算数累至上月-隐藏</t>
        </is>
      </c>
      <c r="BZ40" s="1401" t="n"/>
      <c r="CA40" s="1401" t="n"/>
      <c r="CB40" s="1401" t="n"/>
      <c r="CC40" s="1401" t="n"/>
      <c r="CD40" s="1402" t="n"/>
      <c r="CE40" s="57" t="inlineStr">
        <is>
          <t>年度预算数</t>
        </is>
      </c>
      <c r="CF40" s="1401" t="n"/>
      <c r="CG40" s="1401" t="n"/>
      <c r="CH40" s="1401" t="n"/>
      <c r="CI40" s="1401" t="n"/>
      <c r="CJ40" s="1401" t="n"/>
      <c r="CK40" s="1402" t="n"/>
    </row>
    <row r="41">
      <c r="A41" s="384" t="n"/>
      <c r="B41" s="384" t="n"/>
      <c r="C41" s="384" t="n"/>
      <c r="D41" s="384" t="n"/>
      <c r="E41" s="384" t="n"/>
      <c r="F41" s="384" t="n"/>
      <c r="G41" s="384" t="n"/>
      <c r="H41" s="384" t="n"/>
      <c r="I41" s="384" t="n"/>
      <c r="J41" s="384" t="n"/>
      <c r="K41" s="384" t="n"/>
      <c r="L41" s="384" t="n"/>
      <c r="M41" s="384" t="n"/>
      <c r="N41" s="384" t="n"/>
      <c r="O41" s="384" t="n"/>
      <c r="P41" s="384" t="n"/>
      <c r="Q41" s="384" t="n"/>
      <c r="R41" s="1276" t="n"/>
      <c r="S41" s="1184" t="n"/>
      <c r="T41" s="1184" t="n"/>
      <c r="U41" s="384" t="n"/>
      <c r="V41" s="384" t="n"/>
      <c r="W41" s="368" t="inlineStr">
        <is>
          <t>火力发电</t>
        </is>
      </c>
      <c r="X41" s="368" t="inlineStr">
        <is>
          <t>风力发电</t>
        </is>
      </c>
      <c r="Y41" s="368" t="inlineStr">
        <is>
          <t>光伏发电</t>
        </is>
      </c>
      <c r="Z41" s="368" t="inlineStr">
        <is>
          <t>燃气发电</t>
        </is>
      </c>
      <c r="AA41" s="368" t="inlineStr">
        <is>
          <t>水力发电</t>
        </is>
      </c>
      <c r="AB41" s="368" t="inlineStr">
        <is>
          <t>其他</t>
        </is>
      </c>
      <c r="AC41" s="368" t="inlineStr">
        <is>
          <t>合计</t>
        </is>
      </c>
      <c r="AD41" s="368" t="inlineStr">
        <is>
          <t>火力发电</t>
        </is>
      </c>
      <c r="AE41" s="368" t="inlineStr">
        <is>
          <t>风力发电</t>
        </is>
      </c>
      <c r="AF41" s="368" t="inlineStr">
        <is>
          <t>光伏发电</t>
        </is>
      </c>
      <c r="AG41" s="368" t="inlineStr">
        <is>
          <t>燃气发电</t>
        </is>
      </c>
      <c r="AH41" s="368" t="inlineStr">
        <is>
          <t>水力发电</t>
        </is>
      </c>
      <c r="AI41" s="368" t="inlineStr">
        <is>
          <t>其他</t>
        </is>
      </c>
      <c r="AJ41" s="356" t="inlineStr">
        <is>
          <t>合计</t>
        </is>
      </c>
      <c r="AK41" s="368" t="inlineStr">
        <is>
          <t>火力发电</t>
        </is>
      </c>
      <c r="AL41" s="368" t="inlineStr">
        <is>
          <t>风力发电</t>
        </is>
      </c>
      <c r="AM41" s="368" t="inlineStr">
        <is>
          <t>光伏发电</t>
        </is>
      </c>
      <c r="AN41" s="368" t="inlineStr">
        <is>
          <t>燃气发电</t>
        </is>
      </c>
      <c r="AO41" s="368" t="inlineStr">
        <is>
          <t>水力发电</t>
        </is>
      </c>
      <c r="AP41" s="368" t="inlineStr">
        <is>
          <t>其他</t>
        </is>
      </c>
      <c r="AQ41" s="368" t="inlineStr">
        <is>
          <t>火力发电</t>
        </is>
      </c>
      <c r="AR41" s="368" t="inlineStr">
        <is>
          <t>风力发电</t>
        </is>
      </c>
      <c r="AS41" s="368" t="inlineStr">
        <is>
          <t>光伏发电</t>
        </is>
      </c>
      <c r="AT41" s="368" t="inlineStr">
        <is>
          <t>燃气发电</t>
        </is>
      </c>
      <c r="AU41" s="368" t="inlineStr">
        <is>
          <t>水力发电</t>
        </is>
      </c>
      <c r="AV41" s="368" t="inlineStr">
        <is>
          <t>其他</t>
        </is>
      </c>
      <c r="AW41" s="368" t="inlineStr">
        <is>
          <t>火力发电</t>
        </is>
      </c>
      <c r="AX41" s="368" t="inlineStr">
        <is>
          <t>风力发电</t>
        </is>
      </c>
      <c r="AY41" s="368" t="inlineStr">
        <is>
          <t>光伏发电</t>
        </is>
      </c>
      <c r="AZ41" s="368" t="inlineStr">
        <is>
          <t>燃气发电</t>
        </is>
      </c>
      <c r="BA41" s="368" t="inlineStr">
        <is>
          <t>水力发电</t>
        </is>
      </c>
      <c r="BB41" s="368" t="inlineStr">
        <is>
          <t>其他</t>
        </is>
      </c>
      <c r="BC41" s="368" t="inlineStr">
        <is>
          <t>合计</t>
        </is>
      </c>
      <c r="BD41" s="368" t="inlineStr">
        <is>
          <t>火力发电</t>
        </is>
      </c>
      <c r="BE41" s="368" t="inlineStr">
        <is>
          <t>风力发电</t>
        </is>
      </c>
      <c r="BF41" s="368" t="inlineStr">
        <is>
          <t>光伏发电</t>
        </is>
      </c>
      <c r="BG41" s="368" t="inlineStr">
        <is>
          <t>燃气发电</t>
        </is>
      </c>
      <c r="BH41" s="368" t="inlineStr">
        <is>
          <t>水力发电</t>
        </is>
      </c>
      <c r="BI41" s="368" t="inlineStr">
        <is>
          <t>其他</t>
        </is>
      </c>
      <c r="BJ41" s="368" t="inlineStr">
        <is>
          <t>合计</t>
        </is>
      </c>
      <c r="BK41" s="368" t="inlineStr">
        <is>
          <t>火力发电</t>
        </is>
      </c>
      <c r="BL41" s="368" t="inlineStr">
        <is>
          <t>风力发电</t>
        </is>
      </c>
      <c r="BM41" s="368" t="inlineStr">
        <is>
          <t>光伏发电</t>
        </is>
      </c>
      <c r="BN41" s="368" t="inlineStr">
        <is>
          <t>燃气发电</t>
        </is>
      </c>
      <c r="BO41" s="368" t="inlineStr">
        <is>
          <t>水力发电</t>
        </is>
      </c>
      <c r="BP41" s="368" t="inlineStr">
        <is>
          <t>其他</t>
        </is>
      </c>
      <c r="BQ41" s="368" t="inlineStr">
        <is>
          <t>合计</t>
        </is>
      </c>
      <c r="BR41" s="368" t="inlineStr">
        <is>
          <t>火力发电</t>
        </is>
      </c>
      <c r="BS41" s="368" t="inlineStr">
        <is>
          <t>风力发电</t>
        </is>
      </c>
      <c r="BT41" s="368" t="inlineStr">
        <is>
          <t>光伏发电</t>
        </is>
      </c>
      <c r="BU41" s="368" t="inlineStr">
        <is>
          <t>燃气发电</t>
        </is>
      </c>
      <c r="BV41" s="368" t="inlineStr">
        <is>
          <t>水力发电</t>
        </is>
      </c>
      <c r="BW41" s="368" t="inlineStr">
        <is>
          <t>其他</t>
        </is>
      </c>
      <c r="BX41" s="368" t="inlineStr">
        <is>
          <t>合计</t>
        </is>
      </c>
      <c r="BY41" s="368" t="inlineStr">
        <is>
          <t>火力发电</t>
        </is>
      </c>
      <c r="BZ41" s="368" t="inlineStr">
        <is>
          <t>风力发电</t>
        </is>
      </c>
      <c r="CA41" s="368" t="inlineStr">
        <is>
          <t>光伏发电</t>
        </is>
      </c>
      <c r="CB41" s="368" t="inlineStr">
        <is>
          <t>燃气发电</t>
        </is>
      </c>
      <c r="CC41" s="368" t="inlineStr">
        <is>
          <t>水力发电</t>
        </is>
      </c>
      <c r="CD41" s="368" t="inlineStr">
        <is>
          <t>其他</t>
        </is>
      </c>
      <c r="CE41" s="368" t="inlineStr">
        <is>
          <t>火力发电</t>
        </is>
      </c>
      <c r="CF41" s="368" t="inlineStr">
        <is>
          <t>风力发电</t>
        </is>
      </c>
      <c r="CG41" s="368" t="inlineStr">
        <is>
          <t>光伏发电</t>
        </is>
      </c>
      <c r="CH41" s="368" t="inlineStr">
        <is>
          <t>燃气发电</t>
        </is>
      </c>
      <c r="CI41" s="368" t="inlineStr">
        <is>
          <t>水力发电</t>
        </is>
      </c>
      <c r="CJ41" s="368" t="inlineStr">
        <is>
          <t>其他</t>
        </is>
      </c>
      <c r="CK41" s="378" t="inlineStr">
        <is>
          <t>合计</t>
        </is>
      </c>
    </row>
    <row r="42" hidden="1" outlineLevel="1" s="1181">
      <c r="A42" s="384" t="n"/>
      <c r="B42" s="384" t="n"/>
      <c r="C42" s="384" t="n"/>
      <c r="D42" s="384" t="n"/>
      <c r="E42" s="384" t="n"/>
      <c r="F42" s="384" t="n"/>
      <c r="G42" s="384" t="n"/>
      <c r="H42" s="384" t="n"/>
      <c r="I42" s="384" t="n"/>
      <c r="J42" s="384" t="n"/>
      <c r="K42" s="384" t="n"/>
      <c r="L42" s="384" t="n"/>
      <c r="M42" s="384" t="n"/>
      <c r="N42" s="384" t="n"/>
      <c r="O42" s="384" t="n"/>
      <c r="P42" s="384" t="n"/>
      <c r="Q42" s="384" t="n"/>
      <c r="R42" s="315" t="n"/>
      <c r="S42" s="315" t="n"/>
      <c r="T42" s="315" t="n"/>
      <c r="U42" s="384" t="n"/>
      <c r="V42" s="384" t="n"/>
      <c r="W42" s="430" t="n"/>
      <c r="X42" s="430" t="n"/>
      <c r="Y42" s="430" t="n"/>
      <c r="Z42" s="430" t="n"/>
      <c r="AA42" s="430" t="n"/>
      <c r="AB42" s="430" t="n"/>
      <c r="AC42" s="430" t="n"/>
      <c r="AD42" s="430" t="n"/>
      <c r="AE42" s="430" t="n"/>
      <c r="AF42" s="430" t="n"/>
      <c r="AG42" s="430" t="n"/>
      <c r="AH42" s="430" t="n"/>
      <c r="AI42" s="430" t="n"/>
      <c r="AJ42" s="437" t="n"/>
      <c r="AK42" s="430" t="n"/>
      <c r="AL42" s="430" t="n"/>
      <c r="AM42" s="430" t="n"/>
      <c r="AN42" s="430" t="n"/>
      <c r="AO42" s="430" t="n"/>
      <c r="AP42" s="430" t="n"/>
      <c r="AQ42" s="430" t="n"/>
      <c r="AR42" s="430" t="n"/>
      <c r="AS42" s="430" t="n"/>
      <c r="AT42" s="430" t="n"/>
      <c r="AU42" s="430" t="n"/>
      <c r="AV42" s="430" t="n"/>
      <c r="AW42" s="430" t="n"/>
      <c r="AX42" s="430" t="n"/>
      <c r="AY42" s="430" t="n"/>
      <c r="AZ42" s="430" t="n"/>
      <c r="BA42" s="430" t="n"/>
      <c r="BB42" s="430" t="n"/>
      <c r="BC42" s="430" t="n"/>
      <c r="BD42" s="430" t="n"/>
      <c r="BE42" s="430" t="n"/>
      <c r="BF42" s="430" t="n"/>
      <c r="BG42" s="430" t="n"/>
      <c r="BH42" s="430" t="n"/>
      <c r="BI42" s="430" t="n"/>
      <c r="BJ42" s="430" t="n"/>
      <c r="BK42" s="430" t="n"/>
      <c r="BL42" s="430" t="n"/>
      <c r="BM42" s="430" t="n"/>
      <c r="BN42" s="430" t="n"/>
      <c r="BO42" s="430" t="n"/>
      <c r="BP42" s="430" t="n"/>
      <c r="BQ42" s="430" t="n"/>
      <c r="BR42" s="430" t="n"/>
      <c r="BS42" s="430" t="n"/>
      <c r="BT42" s="430" t="n"/>
      <c r="BU42" s="430" t="n"/>
      <c r="BV42" s="430" t="n"/>
      <c r="BW42" s="430" t="n"/>
      <c r="BX42" s="430" t="n"/>
      <c r="BY42" s="430" t="n"/>
      <c r="BZ42" s="430" t="n"/>
      <c r="CA42" s="430" t="n"/>
      <c r="CB42" s="430" t="n"/>
      <c r="CC42" s="430" t="n"/>
      <c r="CD42" s="430" t="n"/>
      <c r="CE42" s="430" t="n"/>
      <c r="CF42" s="430" t="n"/>
      <c r="CG42" s="430" t="n"/>
      <c r="CH42" s="430" t="n"/>
      <c r="CI42" s="430" t="n"/>
      <c r="CJ42" s="430" t="n"/>
      <c r="CK42" s="430" t="n"/>
    </row>
    <row r="43" hidden="1" outlineLevel="1" s="1181">
      <c r="A43" s="384" t="n"/>
      <c r="B43" s="384" t="n"/>
      <c r="C43" s="384" t="n"/>
      <c r="D43" s="384" t="n"/>
      <c r="E43" s="384" t="n"/>
      <c r="F43" s="384" t="n"/>
      <c r="G43" s="384" t="n"/>
      <c r="H43" s="384" t="n"/>
      <c r="I43" s="384" t="n"/>
      <c r="J43" s="384" t="n"/>
      <c r="K43" s="384" t="n"/>
      <c r="L43" s="384" t="n"/>
      <c r="M43" s="384" t="n"/>
      <c r="N43" s="384" t="n"/>
      <c r="O43" s="384" t="n"/>
      <c r="P43" s="384" t="n"/>
      <c r="Q43" s="384" t="n"/>
      <c r="R43" s="384" t="n"/>
      <c r="S43" s="384" t="n"/>
      <c r="T43" s="384" t="n"/>
      <c r="U43" s="384" t="n"/>
      <c r="V43" s="384" t="n"/>
      <c r="W43" s="384">
        <f>IF(_epmOfflineCondition_,"C1001",EPMOlapMemberO(W23,"[C_CATEGORY].[PARENTH1].[C1001]","C1001 - 实际数/决算数","","000"))</f>
        <v/>
      </c>
      <c r="X43" s="384">
        <f>IF(_epmOfflineCondition_,"C1001",EPMOlapMemberO(X23,"[C_CATEGORY].[PARENTH1].[C1001]","C1001 - 实际数/决算数","","000"))</f>
        <v/>
      </c>
      <c r="Y43" s="384">
        <f>IF(_epmOfflineCondition_,"C1001",EPMOlapMemberO(Y23,"[C_CATEGORY].[PARENTH1].[C1001]","C1001 - 实际数/决算数","","000"))</f>
        <v/>
      </c>
      <c r="Z43" s="384">
        <f>IF(_epmOfflineCondition_,"C1001",EPMOlapMemberO(Z23,"[C_CATEGORY].[PARENTH1].[C1001]","C1001 - 实际数/决算数","","000"))</f>
        <v/>
      </c>
      <c r="AA43" s="384">
        <f>IF(_epmOfflineCondition_,"C1001",EPMOlapMemberO(AA23,"[C_CATEGORY].[PARENTH1].[C1001]","C1001 - 实际数/决算数","","000"))</f>
        <v/>
      </c>
      <c r="AB43" s="384">
        <f>IF(_epmOfflineCondition_,"C1001",EPMOlapMemberO(AB23,"[C_CATEGORY].[PARENTH1].[C1001]","C1001 - 实际数/决算数","","000"))</f>
        <v/>
      </c>
      <c r="AC43" s="384">
        <f>IF(_epmOfflineCondition_,"C1001",EPMOlapMemberO(AC23,"[C_CATEGORY].[PARENTH1].[C1001]","C1001 - 实际数/决算数","","000"))</f>
        <v/>
      </c>
      <c r="AD43" s="384">
        <f>IF(_epmOfflineCondition_,"C1001",EPMOlapMemberO(AD23,"[C_CATEGORY].[PARENTH1].[C1001]","C1001 - 实际数/决算数","","000"))</f>
        <v/>
      </c>
      <c r="AE43" s="384">
        <f>IF(_epmOfflineCondition_,"C1001",EPMOlapMemberO(AE23,"[C_CATEGORY].[PARENTH1].[C1001]","C1001 - 实际数/决算数","","000"))</f>
        <v/>
      </c>
      <c r="AF43" s="384">
        <f>IF(_epmOfflineCondition_,"C1001",EPMOlapMemberO(AF23,"[C_CATEGORY].[PARENTH1].[C1001]","C1001 - 实际数/决算数","","000"))</f>
        <v/>
      </c>
      <c r="AG43" s="384">
        <f>IF(_epmOfflineCondition_,"C1001",EPMOlapMemberO(AG23,"[C_CATEGORY].[PARENTH1].[C1001]","C1001 - 实际数/决算数","","000"))</f>
        <v/>
      </c>
      <c r="AH43" s="384">
        <f>IF(_epmOfflineCondition_,"C1001",EPMOlapMemberO(AH23,"[C_CATEGORY].[PARENTH1].[C1001]","C1001 - 实际数/决算数","","000"))</f>
        <v/>
      </c>
      <c r="AI43" s="384">
        <f>IF(_epmOfflineCondition_,"C1001",EPMOlapMemberO(AI23,"[C_CATEGORY].[PARENTH1].[C1001]","C1001 - 实际数/决算数","","000"))</f>
        <v/>
      </c>
      <c r="AJ43" s="384">
        <f>IF(_epmOfflineCondition_,"C1001",EPMOlapMemberO(AJ23,"[C_CATEGORY].[PARENTH1].[C1001]","C1001 - 实际数/决算数","","000"))</f>
        <v/>
      </c>
      <c r="AK43" s="384">
        <f>IF(_epmOfflineCondition_,"C1001",EPMOlapMemberO(AK23,"[C_CATEGORY].[PARENTH1].[C1001]","C1001 - 实际数/决算数","","000"))</f>
        <v/>
      </c>
      <c r="AL43" s="384">
        <f>IF(_epmOfflineCondition_,"C1001",EPMOlapMemberO(AL23,"[C_CATEGORY].[PARENTH1].[C1001]","C1001 - 实际数/决算数","","000"))</f>
        <v/>
      </c>
      <c r="AM43" s="384">
        <f>IF(_epmOfflineCondition_,"C1001",EPMOlapMemberO(AM23,"[C_CATEGORY].[PARENTH1].[C1001]","C1001 - 实际数/决算数","","000"))</f>
        <v/>
      </c>
      <c r="AN43" s="384">
        <f>IF(_epmOfflineCondition_,"C1001",EPMOlapMemberO(AN23,"[C_CATEGORY].[PARENTH1].[C1001]","C1001 - 实际数/决算数","","000"))</f>
        <v/>
      </c>
      <c r="AO43" s="384">
        <f>IF(_epmOfflineCondition_,"C1001",EPMOlapMemberO(AO23,"[C_CATEGORY].[PARENTH1].[C1001]","C1001 - 实际数/决算数","","000"))</f>
        <v/>
      </c>
      <c r="AP43" s="384">
        <f>IF(_epmOfflineCondition_,"C1001",EPMOlapMemberO(AP23,"[C_CATEGORY].[PARENTH1].[C1001]","C1001 - 实际数/决算数","","000"))</f>
        <v/>
      </c>
      <c r="AQ43" s="384">
        <f>IF(_epmOfflineCondition_,"C1001",EPMOlapMemberO(AQ23,"[C_CATEGORY].[PARENTH1].[C1001]","C1001 - 实际数/决算数","","000"))</f>
        <v/>
      </c>
      <c r="AR43" s="384">
        <f>IF(_epmOfflineCondition_,"C1001",EPMOlapMemberO(AR23,"[C_CATEGORY].[PARENTH1].[C1001]","C1001 - 实际数/决算数","","000"))</f>
        <v/>
      </c>
      <c r="AS43" s="384">
        <f>IF(_epmOfflineCondition_,"C1001",EPMOlapMemberO(AS23,"[C_CATEGORY].[PARENTH1].[C1001]","C1001 - 实际数/决算数","","000"))</f>
        <v/>
      </c>
      <c r="AT43" s="384">
        <f>IF(_epmOfflineCondition_,"C1001",EPMOlapMemberO(AT23,"[C_CATEGORY].[PARENTH1].[C1001]","C1001 - 实际数/决算数","","000"))</f>
        <v/>
      </c>
      <c r="AU43" s="384">
        <f>IF(_epmOfflineCondition_,"C1001",EPMOlapMemberO(AU23,"[C_CATEGORY].[PARENTH1].[C1001]","C1001 - 实际数/决算数","","000"))</f>
        <v/>
      </c>
      <c r="AV43" s="384">
        <f>IF(_epmOfflineCondition_,"C1001",EPMOlapMemberO(AV23,"[C_CATEGORY].[PARENTH1].[C1001]","C1001 - 实际数/决算数","","000"))</f>
        <v/>
      </c>
      <c r="AW43" s="384">
        <f>IF(_epmOfflineCondition_,"C1001",EPMOlapMemberO(AW23,"[C_CATEGORY].[PARENTH1].[C1001]","C1001 - 实际数/决算数","","000"))</f>
        <v/>
      </c>
      <c r="AX43" s="384">
        <f>IF(_epmOfflineCondition_,"C1001",EPMOlapMemberO(AX23,"[C_CATEGORY].[PARENTH1].[C1001]","C1001 - 实际数/决算数","","000"))</f>
        <v/>
      </c>
      <c r="AY43" s="384">
        <f>IF(_epmOfflineCondition_,"C1001",EPMOlapMemberO(AY23,"[C_CATEGORY].[PARENTH1].[C1001]","C1001 - 实际数/决算数","","000"))</f>
        <v/>
      </c>
      <c r="AZ43" s="384">
        <f>IF(_epmOfflineCondition_,"C1001",EPMOlapMemberO(AZ23,"[C_CATEGORY].[PARENTH1].[C1001]","C1001 - 实际数/决算数","","000"))</f>
        <v/>
      </c>
      <c r="BA43" s="384">
        <f>IF(_epmOfflineCondition_,"C1001",EPMOlapMemberO(BA23,"[C_CATEGORY].[PARENTH1].[C1001]","C1001 - 实际数/决算数","","000"))</f>
        <v/>
      </c>
      <c r="BB43" s="384">
        <f>IF(_epmOfflineCondition_,"C1001",EPMOlapMemberO(BB23,"[C_CATEGORY].[PARENTH1].[C1001]","C1001 - 实际数/决算数","","000"))</f>
        <v/>
      </c>
      <c r="BC43" s="384">
        <f>IF(_epmOfflineCondition_,"C1001",EPMOlapMemberO(BC23,"[C_CATEGORY].[PARENTH1].[C1001]","C1001 - 实际数/决算数","","000"))</f>
        <v/>
      </c>
      <c r="BD43" s="384">
        <f>IF(_epmOfflineCondition_,"C1001",EPMOlapMemberO(BD23,"[C_CATEGORY].[PARENTH1].[C1001]","C1001 - 实际数/决算数","","000"))</f>
        <v/>
      </c>
      <c r="BE43" s="384">
        <f>IF(_epmOfflineCondition_,"C1001",EPMOlapMemberO(BE23,"[C_CATEGORY].[PARENTH1].[C1001]","C1001 - 实际数/决算数","","000"))</f>
        <v/>
      </c>
      <c r="BF43" s="384">
        <f>IF(_epmOfflineCondition_,"C1001",EPMOlapMemberO(BF23,"[C_CATEGORY].[PARENTH1].[C1001]","C1001 - 实际数/决算数","","000"))</f>
        <v/>
      </c>
      <c r="BG43" s="384">
        <f>IF(_epmOfflineCondition_,"C1001",EPMOlapMemberO(BG23,"[C_CATEGORY].[PARENTH1].[C1001]","C1001 - 实际数/决算数","","000"))</f>
        <v/>
      </c>
      <c r="BH43" s="384">
        <f>IF(_epmOfflineCondition_,"C1001",EPMOlapMemberO(BH23,"[C_CATEGORY].[PARENTH1].[C1001]","C1001 - 实际数/决算数","","000"))</f>
        <v/>
      </c>
      <c r="BI43" s="384">
        <f>IF(_epmOfflineCondition_,"C1001",EPMOlapMemberO(BI23,"[C_CATEGORY].[PARENTH1].[C1001]","C1001 - 实际数/决算数","","000"))</f>
        <v/>
      </c>
      <c r="BJ43" s="384">
        <f>IF(_epmOfflineCondition_,"C1001",EPMOlapMemberO(BJ23,"[C_CATEGORY].[PARENTH1].[C1001]","C1001 - 实际数/决算数","","000"))</f>
        <v/>
      </c>
      <c r="BK43" s="384">
        <f>IF(_epmOfflineCondition_,"C3003",EPMOlapMemberO(BK23,"[C_CATEGORY].[PARENTH1].[C3003]","C3003 - 进度预算（原""预算数（分解版）"")","","000"))</f>
        <v/>
      </c>
      <c r="BL43" s="384">
        <f>IF(_epmOfflineCondition_,"C3003",EPMOlapMemberO(BL23,"[C_CATEGORY].[PARENTH1].[C3003]","C3003 - 进度预算（原""预算数（分解版）"")","","000"))</f>
        <v/>
      </c>
      <c r="BM43" s="384">
        <f>IF(_epmOfflineCondition_,"C3003",EPMOlapMemberO(BM23,"[C_CATEGORY].[PARENTH1].[C3003]","C3003 - 进度预算（原""预算数（分解版）"")","","000"))</f>
        <v/>
      </c>
      <c r="BN43" s="384">
        <f>IF(_epmOfflineCondition_,"C3003",EPMOlapMemberO(BN23,"[C_CATEGORY].[PARENTH1].[C3003]","C3003 - 进度预算（原""预算数（分解版）"")","","000"))</f>
        <v/>
      </c>
      <c r="BO43" s="384">
        <f>IF(_epmOfflineCondition_,"C3003",EPMOlapMemberO(BO23,"[C_CATEGORY].[PARENTH1].[C3003]","C3003 - 进度预算（原""预算数（分解版）"")","","000"))</f>
        <v/>
      </c>
      <c r="BP43" s="384">
        <f>IF(_epmOfflineCondition_,"C3003",EPMOlapMemberO(BP23,"[C_CATEGORY].[PARENTH1].[C3003]","C3003 - 进度预算（原""预算数（分解版）"")","","000"))</f>
        <v/>
      </c>
      <c r="BQ43" s="384">
        <f>IF(_epmOfflineCondition_,"C3003",EPMOlapMemberO(BQ23,"[C_CATEGORY].[PARENTH1].[C3003]","C3003 - 进度预算（原""预算数（分解版）"")","","000"))</f>
        <v/>
      </c>
      <c r="BR43" s="384">
        <f>IF(_epmOfflineCondition_,"C3003",EPMOlapMemberO(BR23,"[C_CATEGORY].[PARENTH1].[C3003]","C3003 - 进度预算（原""预算数（分解版）"")","","000"))</f>
        <v/>
      </c>
      <c r="BS43" s="384">
        <f>IF(_epmOfflineCondition_,"C3003",EPMOlapMemberO(BS23,"[C_CATEGORY].[PARENTH1].[C3003]","C3003 - 进度预算（原""预算数（分解版）"")","","000"))</f>
        <v/>
      </c>
      <c r="BT43" s="384">
        <f>IF(_epmOfflineCondition_,"C3003",EPMOlapMemberO(BT23,"[C_CATEGORY].[PARENTH1].[C3003]","C3003 - 进度预算（原""预算数（分解版）"")","","000"))</f>
        <v/>
      </c>
      <c r="BU43" s="384">
        <f>IF(_epmOfflineCondition_,"C3003",EPMOlapMemberO(BU23,"[C_CATEGORY].[PARENTH1].[C3003]","C3003 - 进度预算（原""预算数（分解版）"")","","000"))</f>
        <v/>
      </c>
      <c r="BV43" s="384">
        <f>IF(_epmOfflineCondition_,"C3003",EPMOlapMemberO(BV23,"[C_CATEGORY].[PARENTH1].[C3003]","C3003 - 进度预算（原""预算数（分解版）"")","","000"))</f>
        <v/>
      </c>
      <c r="BW43" s="384">
        <f>IF(_epmOfflineCondition_,"C3003",EPMOlapMemberO(BW23,"[C_CATEGORY].[PARENTH1].[C3003]","C3003 - 进度预算（原""预算数（分解版）"")","","000"))</f>
        <v/>
      </c>
      <c r="BX43" s="384">
        <f>IF(_epmOfflineCondition_,"C3003",EPMOlapMemberO(BX23,"[C_CATEGORY].[PARENTH1].[C3003]","C3003 - 进度预算（原""预算数（分解版）"")","","000"))</f>
        <v/>
      </c>
      <c r="BY43" s="384">
        <f>IF(_epmOfflineCondition_,"C3003",EPMOlapMemberO(BY23,"[C_CATEGORY].[PARENTH1].[C3003]","C3003 - 进度预算（原""预算数（分解版）"")","","000"))</f>
        <v/>
      </c>
      <c r="BZ43" s="384">
        <f>IF(_epmOfflineCondition_,"C3003",EPMOlapMemberO(BZ23,"[C_CATEGORY].[PARENTH1].[C3003]","C3003 - 进度预算（原""预算数（分解版）"")","","000"))</f>
        <v/>
      </c>
      <c r="CA43" s="384">
        <f>IF(_epmOfflineCondition_,"C3003",EPMOlapMemberO(CA23,"[C_CATEGORY].[PARENTH1].[C3003]","C3003 - 进度预算（原""预算数（分解版）"")","","000"))</f>
        <v/>
      </c>
      <c r="CB43" s="384">
        <f>IF(_epmOfflineCondition_,"C3003",EPMOlapMemberO(CB23,"[C_CATEGORY].[PARENTH1].[C3003]","C3003 - 进度预算（原""预算数（分解版）"")","","000"))</f>
        <v/>
      </c>
      <c r="CC43" s="384">
        <f>IF(_epmOfflineCondition_,"C3003",EPMOlapMemberO(CC23,"[C_CATEGORY].[PARENTH1].[C3003]","C3003 - 进度预算（原""预算数（分解版）"")","","000"))</f>
        <v/>
      </c>
      <c r="CD43" s="384">
        <f>IF(_epmOfflineCondition_,"C3003",EPMOlapMemberO(CD23,"[C_CATEGORY].[PARENTH1].[C3003]","C3003 - 进度预算（原""预算数（分解版）"")","","000"))</f>
        <v/>
      </c>
      <c r="CE43" s="384">
        <f>IF(_epmOfflineCondition_,"C3002",EPMOlapMemberO(CE23,"[C_CATEGORY].[PARENTH1].[C3002]","C3002 - 月度预算（原""预算数（终稿）"")","","000"))</f>
        <v/>
      </c>
      <c r="CF43" s="384">
        <f>IF(_epmOfflineCondition_,"C3002",EPMOlapMemberO(CF23,"[C_CATEGORY].[PARENTH1].[C3002]","C3002 - 月度预算（原""预算数（终稿）"")","","000"))</f>
        <v/>
      </c>
      <c r="CG43" s="384">
        <f>IF(_epmOfflineCondition_,"C3002",EPMOlapMemberO(CG23,"[C_CATEGORY].[PARENTH1].[C3002]","C3002 - 月度预算（原""预算数（终稿）"")","","000"))</f>
        <v/>
      </c>
      <c r="CH43" s="384">
        <f>IF(_epmOfflineCondition_,"C3002",EPMOlapMemberO(CH23,"[C_CATEGORY].[PARENTH1].[C3002]","C3002 - 月度预算（原""预算数（终稿）"")","","000"))</f>
        <v/>
      </c>
      <c r="CI43" s="384">
        <f>IF(_epmOfflineCondition_,"C3002",EPMOlapMemberO(CI23,"[C_CATEGORY].[PARENTH1].[C3002]","C3002 - 月度预算（原""预算数（终稿）"")","","000"))</f>
        <v/>
      </c>
      <c r="CJ43" s="384">
        <f>IF(_epmOfflineCondition_,"C3002",EPMOlapMemberO(CJ23,"[C_CATEGORY].[PARENTH1].[C3002]","C3002 - 月度预算（原""预算数（终稿）"")","","000"))</f>
        <v/>
      </c>
      <c r="CK43" s="384">
        <f>IF(_epmOfflineCondition_,"C3002",EPMOlapMemberO(CK23,"[C_CATEGORY].[PARENTH1].[C3002]","C3002 - 月度预算（原""预算数（终稿）"")","","000"))</f>
        <v/>
      </c>
    </row>
    <row r="44" hidden="1" outlineLevel="1" s="1181">
      <c r="A44" s="384" t="n"/>
      <c r="B44" s="384" t="n"/>
      <c r="C44" s="384" t="n"/>
      <c r="D44" s="384" t="n"/>
      <c r="E44" s="384" t="n"/>
      <c r="F44" s="384" t="n"/>
      <c r="G44" s="384" t="n"/>
      <c r="H44" s="384" t="n"/>
      <c r="I44" s="384" t="n"/>
      <c r="J44" s="384" t="n"/>
      <c r="K44" s="384" t="n"/>
      <c r="L44" s="384" t="n"/>
      <c r="M44" s="384" t="n"/>
      <c r="N44" s="384" t="n"/>
      <c r="O44" s="384" t="n"/>
      <c r="P44" s="384" t="n"/>
      <c r="Q44" s="384" t="n"/>
      <c r="R44" s="384" t="n"/>
      <c r="S44" s="384" t="n"/>
      <c r="T44" s="384" t="n"/>
      <c r="U44" s="384" t="n"/>
      <c r="V44" s="384" t="n"/>
      <c r="W44" s="384">
        <f>IF(_epmOfflineCondition_,"2025.03",EPMOlapMemberO(W24,"[C_TIME].[PARENTH1].[2025.03]","2025.03 - 2025.03","","000"))</f>
        <v/>
      </c>
      <c r="X44" s="384">
        <f>IF(_epmOfflineCondition_,"2025.03",EPMOlapMemberO(X24,"[C_TIME].[PARENTH1].[2025.03]","2025.03 - 2025.03","","000"))</f>
        <v/>
      </c>
      <c r="Y44" s="384">
        <f>IF(_epmOfflineCondition_,"2025.03",EPMOlapMemberO(Y24,"[C_TIME].[PARENTH1].[2025.03]","2025.03 - 2025.03","","000"))</f>
        <v/>
      </c>
      <c r="Z44" s="384">
        <f>IF(_epmOfflineCondition_,"2025.03",EPMOlapMemberO(Z24,"[C_TIME].[PARENTH1].[2025.03]","2025.03 - 2025.03","","000"))</f>
        <v/>
      </c>
      <c r="AA44" s="384">
        <f>IF(_epmOfflineCondition_,"2025.03",EPMOlapMemberO(AA24,"[C_TIME].[PARENTH1].[2025.03]","2025.03 - 2025.03","","000"))</f>
        <v/>
      </c>
      <c r="AB44" s="384">
        <f>IF(_epmOfflineCondition_,"2025.03",EPMOlapMemberO(AB24,"[C_TIME].[PARENTH1].[2025.03]","2025.03 - 2025.03","","000"))</f>
        <v/>
      </c>
      <c r="AC44" s="384">
        <f>IF(_epmOfflineCondition_,"2025.03",EPMOlapMemberO(AC24,"[C_TIME].[PARENTH1].[2025.03]","2025.03 - 2025.03","","000"))</f>
        <v/>
      </c>
      <c r="AD44" s="384">
        <f>IF(_epmOfflineCondition_,"2025.03",EPMOlapMemberO(AD24,"[C_TIME].[PARENTH1].[2025.03]","2025.03 - 2025.03","","000"))</f>
        <v/>
      </c>
      <c r="AE44" s="384">
        <f>IF(_epmOfflineCondition_,"2025.03",EPMOlapMemberO(AE24,"[C_TIME].[PARENTH1].[2025.03]","2025.03 - 2025.03","","000"))</f>
        <v/>
      </c>
      <c r="AF44" s="384">
        <f>IF(_epmOfflineCondition_,"2025.03",EPMOlapMemberO(AF24,"[C_TIME].[PARENTH1].[2025.03]","2025.03 - 2025.03","","000"))</f>
        <v/>
      </c>
      <c r="AG44" s="384">
        <f>IF(_epmOfflineCondition_,"2025.03",EPMOlapMemberO(AG24,"[C_TIME].[PARENTH1].[2025.03]","2025.03 - 2025.03","","000"))</f>
        <v/>
      </c>
      <c r="AH44" s="384">
        <f>IF(_epmOfflineCondition_,"2025.03",EPMOlapMemberO(AH24,"[C_TIME].[PARENTH1].[2025.03]","2025.03 - 2025.03","","000"))</f>
        <v/>
      </c>
      <c r="AI44" s="384">
        <f>IF(_epmOfflineCondition_,"2025.03",EPMOlapMemberO(AI24,"[C_TIME].[PARENTH1].[2025.03]","2025.03 - 2025.03","","000"))</f>
        <v/>
      </c>
      <c r="AJ44" s="384">
        <f>IF(_epmOfflineCondition_,"2025.03",EPMOlapMemberO(AJ24,"[C_TIME].[PARENTH1].[2025.03]","2025.03 - 2025.03","","000"))</f>
        <v/>
      </c>
      <c r="AK44" s="384">
        <f>IF(_epmOfflineCondition_,"2025.02",EPMOlapMemberO(AK24,"[C_TIME].[PARENTH1].[2025.02]","2025.02 - 2025.02","","000"))</f>
        <v/>
      </c>
      <c r="AL44" s="384">
        <f>IF(_epmOfflineCondition_,"2025.02",EPMOlapMemberO(AL24,"[C_TIME].[PARENTH1].[2025.02]","2025.02 - 2025.02","","000"))</f>
        <v/>
      </c>
      <c r="AM44" s="384">
        <f>IF(_epmOfflineCondition_,"2025.02",EPMOlapMemberO(AM24,"[C_TIME].[PARENTH1].[2025.02]","2025.02 - 2025.02","","000"))</f>
        <v/>
      </c>
      <c r="AN44" s="384">
        <f>IF(_epmOfflineCondition_,"2025.02",EPMOlapMemberO(AN24,"[C_TIME].[PARENTH1].[2025.02]","2025.02 - 2025.02","","000"))</f>
        <v/>
      </c>
      <c r="AO44" s="384">
        <f>IF(_epmOfflineCondition_,"2025.02",EPMOlapMemberO(AO24,"[C_TIME].[PARENTH1].[2025.02]","2025.02 - 2025.02","","000"))</f>
        <v/>
      </c>
      <c r="AP44" s="384">
        <f>IF(_epmOfflineCondition_,"2025.02",EPMOlapMemberO(AP24,"[C_TIME].[PARENTH1].[2025.02]","2025.02 - 2025.02","","000"))</f>
        <v/>
      </c>
      <c r="AQ44" s="384">
        <f>IF(_epmOfflineCondition_,"2025.01",EPMOlapMemberO(AQ24,"[C_TIME].[PARENTH1].[2025.01]","2025.01 - 2025.01","","000"))</f>
        <v/>
      </c>
      <c r="AR44" s="384">
        <f>IF(_epmOfflineCondition_,"2025.01",EPMOlapMemberO(AR24,"[C_TIME].[PARENTH1].[2025.01]","2025.01 - 2025.01","","000"))</f>
        <v/>
      </c>
      <c r="AS44" s="384">
        <f>IF(_epmOfflineCondition_,"2025.01",EPMOlapMemberO(AS24,"[C_TIME].[PARENTH1].[2025.01]","2025.01 - 2025.01","","000"))</f>
        <v/>
      </c>
      <c r="AT44" s="384">
        <f>IF(_epmOfflineCondition_,"2025.01",EPMOlapMemberO(AT24,"[C_TIME].[PARENTH1].[2025.01]","2025.01 - 2025.01","","000"))</f>
        <v/>
      </c>
      <c r="AU44" s="384">
        <f>IF(_epmOfflineCondition_,"2025.01",EPMOlapMemberO(AU24,"[C_TIME].[PARENTH1].[2025.01]","2025.01 - 2025.01","","000"))</f>
        <v/>
      </c>
      <c r="AV44" s="384">
        <f>IF(_epmOfflineCondition_,"2025.01",EPMOlapMemberO(AV24,"[C_TIME].[PARENTH1].[2025.01]","2025.01 - 2025.01","","000"))</f>
        <v/>
      </c>
      <c r="AW44" s="384">
        <f>IF(_epmOfflineCondition_,"2025.03",EPMOlapMemberO(AW24,"[C_TIME].[PARENTH1].[2025.03]","2025.03 - 2025.03","","000"))</f>
        <v/>
      </c>
      <c r="AX44" s="384">
        <f>IF(_epmOfflineCondition_,"2025.03",EPMOlapMemberO(AX24,"[C_TIME].[PARENTH1].[2025.03]","2025.03 - 2025.03","","000"))</f>
        <v/>
      </c>
      <c r="AY44" s="384">
        <f>IF(_epmOfflineCondition_,"2025.03",EPMOlapMemberO(AY24,"[C_TIME].[PARENTH1].[2025.03]","2025.03 - 2025.03","","000"))</f>
        <v/>
      </c>
      <c r="AZ44" s="384">
        <f>IF(_epmOfflineCondition_,"2025.03",EPMOlapMemberO(AZ24,"[C_TIME].[PARENTH1].[2025.03]","2025.03 - 2025.03","","000"))</f>
        <v/>
      </c>
      <c r="BA44" s="384">
        <f>IF(_epmOfflineCondition_,"2025.03",EPMOlapMemberO(BA24,"[C_TIME].[PARENTH1].[2025.03]","2025.03 - 2025.03","","000"))</f>
        <v/>
      </c>
      <c r="BB44" s="384">
        <f>IF(_epmOfflineCondition_,"2025.03",EPMOlapMemberO(BB24,"[C_TIME].[PARENTH1].[2025.03]","2025.03 - 2025.03","","000"))</f>
        <v/>
      </c>
      <c r="BC44" s="384">
        <f>IF(_epmOfflineCondition_,"2025.03",EPMOlapMemberO(BC24,"[C_TIME].[PARENTH1].[2025.03]","2025.03 - 2025.03","","000"))</f>
        <v/>
      </c>
      <c r="BD44" s="384">
        <f>IF(_epmOfflineCondition_,"2024.03",EPMOlapMemberO(BD24,"[C_TIME].[PARENTH1].[2024.03]","2024.03 - 2024.03","","000"))</f>
        <v/>
      </c>
      <c r="BE44" s="384">
        <f>IF(_epmOfflineCondition_,"2024.03",EPMOlapMemberO(BE24,"[C_TIME].[PARENTH1].[2024.03]","2024.03 - 2024.03","","000"))</f>
        <v/>
      </c>
      <c r="BF44" s="384">
        <f>IF(_epmOfflineCondition_,"2024.03",EPMOlapMemberO(BF24,"[C_TIME].[PARENTH1].[2024.03]","2024.03 - 2024.03","","000"))</f>
        <v/>
      </c>
      <c r="BG44" s="384">
        <f>IF(_epmOfflineCondition_,"2024.03",EPMOlapMemberO(BG24,"[C_TIME].[PARENTH1].[2024.03]","2024.03 - 2024.03","","000"))</f>
        <v/>
      </c>
      <c r="BH44" s="384">
        <f>IF(_epmOfflineCondition_,"2024.03",EPMOlapMemberO(BH24,"[C_TIME].[PARENTH1].[2024.03]","2024.03 - 2024.03","","000"))</f>
        <v/>
      </c>
      <c r="BI44" s="384">
        <f>IF(_epmOfflineCondition_,"2024.03",EPMOlapMemberO(BI24,"[C_TIME].[PARENTH1].[2024.03]","2024.03 - 2024.03","","000"))</f>
        <v/>
      </c>
      <c r="BJ44" s="384">
        <f>IF(_epmOfflineCondition_,"2024.03",EPMOlapMemberO(BJ24,"[C_TIME].[PARENTH1].[2024.03]","2024.03 - 2024.03","","000"))</f>
        <v/>
      </c>
      <c r="BK44" s="384">
        <f>IF(_epmOfflineCondition_,"2025.03",EPMOlapMemberO(BK24,"[C_TIME].[PARENTH1].[2025.03]","2025.03 - 2025.03","","000"))</f>
        <v/>
      </c>
      <c r="BL44" s="384">
        <f>IF(_epmOfflineCondition_,"2025.03",EPMOlapMemberO(BL24,"[C_TIME].[PARENTH1].[2025.03]","2025.03 - 2025.03","","000"))</f>
        <v/>
      </c>
      <c r="BM44" s="384">
        <f>IF(_epmOfflineCondition_,"2025.03",EPMOlapMemberO(BM24,"[C_TIME].[PARENTH1].[2025.03]","2025.03 - 2025.03","","000"))</f>
        <v/>
      </c>
      <c r="BN44" s="384">
        <f>IF(_epmOfflineCondition_,"2025.03",EPMOlapMemberO(BN24,"[C_TIME].[PARENTH1].[2025.03]","2025.03 - 2025.03","","000"))</f>
        <v/>
      </c>
      <c r="BO44" s="384">
        <f>IF(_epmOfflineCondition_,"2025.03",EPMOlapMemberO(BO24,"[C_TIME].[PARENTH1].[2025.03]","2025.03 - 2025.03","","000"))</f>
        <v/>
      </c>
      <c r="BP44" s="384">
        <f>IF(_epmOfflineCondition_,"2025.03",EPMOlapMemberO(BP24,"[C_TIME].[PARENTH1].[2025.03]","2025.03 - 2025.03","","000"))</f>
        <v/>
      </c>
      <c r="BQ44" s="384">
        <f>IF(_epmOfflineCondition_,"2025.03",EPMOlapMemberO(BQ24,"[C_TIME].[PARENTH1].[2025.03]","2025.03 - 2025.03","","000"))</f>
        <v/>
      </c>
      <c r="BR44" s="384">
        <f>IF(_epmOfflineCondition_,"2025.03",EPMOlapMemberO(BR24,"[C_TIME].[PARENTH1].[2025.03]","2025.03 - 2025.03","","000"))</f>
        <v/>
      </c>
      <c r="BS44" s="384">
        <f>IF(_epmOfflineCondition_,"2025.03",EPMOlapMemberO(BS24,"[C_TIME].[PARENTH1].[2025.03]","2025.03 - 2025.03","","000"))</f>
        <v/>
      </c>
      <c r="BT44" s="384">
        <f>IF(_epmOfflineCondition_,"2025.03",EPMOlapMemberO(BT24,"[C_TIME].[PARENTH1].[2025.03]","2025.03 - 2025.03","","000"))</f>
        <v/>
      </c>
      <c r="BU44" s="384">
        <f>IF(_epmOfflineCondition_,"2025.03",EPMOlapMemberO(BU24,"[C_TIME].[PARENTH1].[2025.03]","2025.03 - 2025.03","","000"))</f>
        <v/>
      </c>
      <c r="BV44" s="384">
        <f>IF(_epmOfflineCondition_,"2025.03",EPMOlapMemberO(BV24,"[C_TIME].[PARENTH1].[2025.03]","2025.03 - 2025.03","","000"))</f>
        <v/>
      </c>
      <c r="BW44" s="384">
        <f>IF(_epmOfflineCondition_,"2025.03",EPMOlapMemberO(BW24,"[C_TIME].[PARENTH1].[2025.03]","2025.03 - 2025.03","","000"))</f>
        <v/>
      </c>
      <c r="BX44" s="384">
        <f>IF(_epmOfflineCondition_,"2025.03",EPMOlapMemberO(BX24,"[C_TIME].[PARENTH1].[2025.03]","2025.03 - 2025.03","","000"))</f>
        <v/>
      </c>
      <c r="BY44" s="384">
        <f>IF(_epmOfflineCondition_,"2025.02",EPMOlapMemberO(BY24,"[C_TIME].[PARENTH1].[2025.02]","2025.02 - 2025.02","","000"))</f>
        <v/>
      </c>
      <c r="BZ44" s="384">
        <f>IF(_epmOfflineCondition_,"2025.02",EPMOlapMemberO(BZ24,"[C_TIME].[PARENTH1].[2025.02]","2025.02 - 2025.02","","000"))</f>
        <v/>
      </c>
      <c r="CA44" s="384">
        <f>IF(_epmOfflineCondition_,"2025.02",EPMOlapMemberO(CA24,"[C_TIME].[PARENTH1].[2025.02]","2025.02 - 2025.02","","000"))</f>
        <v/>
      </c>
      <c r="CB44" s="384">
        <f>IF(_epmOfflineCondition_,"2025.02",EPMOlapMemberO(CB24,"[C_TIME].[PARENTH1].[2025.02]","2025.02 - 2025.02","","000"))</f>
        <v/>
      </c>
      <c r="CC44" s="384">
        <f>IF(_epmOfflineCondition_,"2025.02",EPMOlapMemberO(CC24,"[C_TIME].[PARENTH1].[2025.02]","2025.02 - 2025.02","","000"))</f>
        <v/>
      </c>
      <c r="CD44" s="384">
        <f>IF(_epmOfflineCondition_,"2025.02",EPMOlapMemberO(CD24,"[C_TIME].[PARENTH1].[2025.02]","2025.02 - 2025.02","","000"))</f>
        <v/>
      </c>
      <c r="CE44" s="384">
        <f>IF(_epmOfflineCondition_,"2025.03",EPMOlapMemberO(CE24,"[C_TIME].[PARENTH1].[2025.03]","2025.03 - 2025.03","","000"))</f>
        <v/>
      </c>
      <c r="CF44" s="384">
        <f>IF(_epmOfflineCondition_,"2025.03",EPMOlapMemberO(CF24,"[C_TIME].[PARENTH1].[2025.03]","2025.03 - 2025.03","","000"))</f>
        <v/>
      </c>
      <c r="CG44" s="384">
        <f>IF(_epmOfflineCondition_,"2025.03",EPMOlapMemberO(CG24,"[C_TIME].[PARENTH1].[2025.03]","2025.03 - 2025.03","","000"))</f>
        <v/>
      </c>
      <c r="CH44" s="384">
        <f>IF(_epmOfflineCondition_,"2025.03",EPMOlapMemberO(CH24,"[C_TIME].[PARENTH1].[2025.03]","2025.03 - 2025.03","","000"))</f>
        <v/>
      </c>
      <c r="CI44" s="384">
        <f>IF(_epmOfflineCondition_,"2025.03",EPMOlapMemberO(CI24,"[C_TIME].[PARENTH1].[2025.03]","2025.03 - 2025.03","","000"))</f>
        <v/>
      </c>
      <c r="CJ44" s="384">
        <f>IF(_epmOfflineCondition_,"2025.03",EPMOlapMemberO(CJ24,"[C_TIME].[PARENTH1].[2025.03]","2025.03 - 2025.03","","000"))</f>
        <v/>
      </c>
      <c r="CK44" s="384">
        <f>IF(_epmOfflineCondition_,"2025.03",EPMOlapMemberO(CK24,"[C_TIME].[PARENTH1].[2025.03]","2025.03 - 2025.03","","000"))</f>
        <v/>
      </c>
    </row>
    <row r="45" hidden="1" outlineLevel="1" s="1181">
      <c r="A45" s="384" t="n"/>
      <c r="B45" s="384" t="n"/>
      <c r="C45" s="384" t="n"/>
      <c r="D45" s="384" t="n"/>
      <c r="E45" s="384" t="n"/>
      <c r="F45" s="384" t="n"/>
      <c r="G45" s="384" t="n"/>
      <c r="H45" s="384" t="n"/>
      <c r="I45" s="384" t="n"/>
      <c r="J45" s="384" t="n"/>
      <c r="K45" s="384" t="n"/>
      <c r="L45" s="384" t="n"/>
      <c r="M45" s="384" t="n"/>
      <c r="N45" s="384" t="n"/>
      <c r="O45" s="384" t="n"/>
      <c r="P45" s="384" t="n"/>
      <c r="Q45" s="384" t="n"/>
      <c r="R45" s="384" t="n"/>
      <c r="S45" s="384" t="n"/>
      <c r="T45" s="384" t="n"/>
      <c r="U45" s="384" t="n"/>
      <c r="V45" s="384" t="n"/>
      <c r="W45" s="384">
        <f>IF(_epmOfflineCondition_,"ZM0300101",EPMOlapMemberO(W25,"[C_MISK].[PARENTH1].[ZM0300101]","ZM0300101 - 火力发电","","000"))</f>
        <v/>
      </c>
      <c r="X45" s="384">
        <f>IF(_epmOfflineCondition_,"ZM0300102",EPMOlapMemberO(X25,"[C_MISK].[PARENTH1].[ZM0300102]","ZM0300102 - 风力发电","","000"))</f>
        <v/>
      </c>
      <c r="Y45" s="384">
        <f>IF(_epmOfflineCondition_,"ZM0300103",EPMOlapMemberO(Y25,"[C_MISK].[PARENTH1].[ZM0300103]","ZM0300103 - 光伏发电","","000"))</f>
        <v/>
      </c>
      <c r="Z45" s="384">
        <f>IF(_epmOfflineCondition_,"ZM0300104",EPMOlapMemberO(Z25,"[C_MISK].[PARENTH1].[ZM0300104]","ZM0300104 - 燃气发电","","000"))</f>
        <v/>
      </c>
      <c r="AA45" s="384">
        <f>IF(_epmOfflineCondition_,"ZM0300105",EPMOlapMemberO(AA25,"[C_MISK].[PARENTH1].[ZM0300105]","ZM0300105 - 水力发电","","000"))</f>
        <v/>
      </c>
      <c r="AB45" s="384">
        <f>IF(_epmOfflineCondition_,"ZM0300106",EPMOlapMemberO(AB25,"[C_MISK].[PARENTH1].[ZM0300106]","ZM0300106 - 其他","","000"))</f>
        <v/>
      </c>
      <c r="AC45" s="384">
        <f>IF(_epmOfflineCondition_,"ZM03001",EPMOlapMemberO(AC25,"[C_MISK].[PARENTH1].[ZM03001]","ZM03001 - 发电企业收入板块","","000"))</f>
        <v/>
      </c>
      <c r="AD45" s="384">
        <f>IF(_epmOfflineCondition_,"ZM0300101",EPMOlapMemberO(AD25,"[C_MISK].[PARENTH1].[ZM0300101]","ZM0300101 - 火力发电","","000"))</f>
        <v/>
      </c>
      <c r="AE45" s="384">
        <f>IF(_epmOfflineCondition_,"ZM0300102",EPMOlapMemberO(AE25,"[C_MISK].[PARENTH1].[ZM0300102]","ZM0300102 - 风力发电","","000"))</f>
        <v/>
      </c>
      <c r="AF45" s="384">
        <f>IF(_epmOfflineCondition_,"ZM0300103",EPMOlapMemberO(AF25,"[C_MISK].[PARENTH1].[ZM0300103]","ZM0300103 - 光伏发电","","000"))</f>
        <v/>
      </c>
      <c r="AG45" s="384">
        <f>IF(_epmOfflineCondition_,"ZM0300104",EPMOlapMemberO(AG25,"[C_MISK].[PARENTH1].[ZM0300104]","ZM0300104 - 燃气发电","","000"))</f>
        <v/>
      </c>
      <c r="AH45" s="384">
        <f>IF(_epmOfflineCondition_,"ZM0300105",EPMOlapMemberO(AH25,"[C_MISK].[PARENTH1].[ZM0300105]","ZM0300105 - 水力发电","","000"))</f>
        <v/>
      </c>
      <c r="AI45" s="384">
        <f>IF(_epmOfflineCondition_,"ZM0300106",EPMOlapMemberO(AI25,"[C_MISK].[PARENTH1].[ZM0300106]","ZM0300106 - 其他","","000"))</f>
        <v/>
      </c>
      <c r="AJ45" s="384">
        <f>IF(_epmOfflineCondition_,"ZM03001",EPMOlapMemberO(AJ25,"[C_MISK].[PARENTH1].[ZM03001]","ZM03001 - 发电企业收入板块","","000"))</f>
        <v/>
      </c>
      <c r="AK45" s="384">
        <f>IF(_epmOfflineCondition_,"ZM0300101",EPMOlapMemberO(AK25,"[C_MISK].[PARENTH1].[ZM0300101]","ZM0300101 - 火力发电","","000"))</f>
        <v/>
      </c>
      <c r="AL45" s="384">
        <f>IF(_epmOfflineCondition_,"ZM0300102",EPMOlapMemberO(AL25,"[C_MISK].[PARENTH1].[ZM0300102]","ZM0300102 - 风力发电","","000"))</f>
        <v/>
      </c>
      <c r="AM45" s="384">
        <f>IF(_epmOfflineCondition_,"ZM0300103",EPMOlapMemberO(AM25,"[C_MISK].[PARENTH1].[ZM0300103]","ZM0300103 - 光伏发电","","000"))</f>
        <v/>
      </c>
      <c r="AN45" s="384">
        <f>IF(_epmOfflineCondition_,"ZM0300104",EPMOlapMemberO(AN25,"[C_MISK].[PARENTH1].[ZM0300104]","ZM0300104 - 燃气发电","","000"))</f>
        <v/>
      </c>
      <c r="AO45" s="384">
        <f>IF(_epmOfflineCondition_,"ZM0300105",EPMOlapMemberO(AO25,"[C_MISK].[PARENTH1].[ZM0300105]","ZM0300105 - 水力发电","","000"))</f>
        <v/>
      </c>
      <c r="AP45" s="384">
        <f>IF(_epmOfflineCondition_,"ZM0300106",EPMOlapMemberO(AP25,"[C_MISK].[PARENTH1].[ZM0300106]","ZM0300106 - 其他","","000"))</f>
        <v/>
      </c>
      <c r="AQ45" s="384">
        <f>IF(_epmOfflineCondition_,"ZM0300101",EPMOlapMemberO(AQ25,"[C_MISK].[PARENTH1].[ZM0300101]","ZM0300101 - 火力发电","","000"))</f>
        <v/>
      </c>
      <c r="AR45" s="384">
        <f>IF(_epmOfflineCondition_,"ZM0300102",EPMOlapMemberO(AR25,"[C_MISK].[PARENTH1].[ZM0300102]","ZM0300102 - 风力发电","","000"))</f>
        <v/>
      </c>
      <c r="AS45" s="384">
        <f>IF(_epmOfflineCondition_,"ZM0300103",EPMOlapMemberO(AS25,"[C_MISK].[PARENTH1].[ZM0300103]","ZM0300103 - 光伏发电","","000"))</f>
        <v/>
      </c>
      <c r="AT45" s="384">
        <f>IF(_epmOfflineCondition_,"ZM0300104",EPMOlapMemberO(AT25,"[C_MISK].[PARENTH1].[ZM0300104]","ZM0300104 - 燃气发电","","000"))</f>
        <v/>
      </c>
      <c r="AU45" s="384">
        <f>IF(_epmOfflineCondition_,"ZM0300105",EPMOlapMemberO(AU25,"[C_MISK].[PARENTH1].[ZM0300105]","ZM0300105 - 水力发电","","000"))</f>
        <v/>
      </c>
      <c r="AV45" s="384">
        <f>IF(_epmOfflineCondition_,"ZM0300106",EPMOlapMemberO(AV25,"[C_MISK].[PARENTH1].[ZM0300106]","ZM0300106 - 其他","","000"))</f>
        <v/>
      </c>
      <c r="AW45" s="384">
        <f>IF(_epmOfflineCondition_,"ZM0300101",EPMOlapMemberO(AW25,"[C_MISK].[PARENTH1].[ZM0300101]","ZM0300101 - 火力发电","","000"))</f>
        <v/>
      </c>
      <c r="AX45" s="384">
        <f>IF(_epmOfflineCondition_,"ZM0300102",EPMOlapMemberO(AX25,"[C_MISK].[PARENTH1].[ZM0300102]","ZM0300102 - 风力发电","","000"))</f>
        <v/>
      </c>
      <c r="AY45" s="384">
        <f>IF(_epmOfflineCondition_,"ZM0300103",EPMOlapMemberO(AY25,"[C_MISK].[PARENTH1].[ZM0300103]","ZM0300103 - 光伏发电","","000"))</f>
        <v/>
      </c>
      <c r="AZ45" s="384">
        <f>IF(_epmOfflineCondition_,"ZM0300104",EPMOlapMemberO(AZ25,"[C_MISK].[PARENTH1].[ZM0300104]","ZM0300104 - 燃气发电","","000"))</f>
        <v/>
      </c>
      <c r="BA45" s="384">
        <f>IF(_epmOfflineCondition_,"ZM0300105",EPMOlapMemberO(BA25,"[C_MISK].[PARENTH1].[ZM0300105]","ZM0300105 - 水力发电","","000"))</f>
        <v/>
      </c>
      <c r="BB45" s="384">
        <f>IF(_epmOfflineCondition_,"ZM0300106",EPMOlapMemberO(BB25,"[C_MISK].[PARENTH1].[ZM0300106]","ZM0300106 - 其他","","000"))</f>
        <v/>
      </c>
      <c r="BC45" s="384">
        <f>IF(_epmOfflineCondition_,"ZM03001",EPMOlapMemberO(BC25,"[C_MISK].[PARENTH1].[ZM03001]","ZM03001 - 发电企业收入板块","","000"))</f>
        <v/>
      </c>
      <c r="BD45" s="384">
        <f>IF(_epmOfflineCondition_,"ZM0300101",EPMOlapMemberO(BD25,"[C_MISK].[PARENTH1].[ZM0300101]","ZM0300101 - 火力发电","","000"))</f>
        <v/>
      </c>
      <c r="BE45" s="384">
        <f>IF(_epmOfflineCondition_,"ZM0300102",EPMOlapMemberO(BE25,"[C_MISK].[PARENTH1].[ZM0300102]","ZM0300102 - 风力发电","","000"))</f>
        <v/>
      </c>
      <c r="BF45" s="384">
        <f>IF(_epmOfflineCondition_,"ZM0300103",EPMOlapMemberO(BF25,"[C_MISK].[PARENTH1].[ZM0300103]","ZM0300103 - 光伏发电","","000"))</f>
        <v/>
      </c>
      <c r="BG45" s="384">
        <f>IF(_epmOfflineCondition_,"ZM0300104",EPMOlapMemberO(BG25,"[C_MISK].[PARENTH1].[ZM0300104]","ZM0300104 - 燃气发电","","000"))</f>
        <v/>
      </c>
      <c r="BH45" s="384">
        <f>IF(_epmOfflineCondition_,"ZM0300105",EPMOlapMemberO(BH25,"[C_MISK].[PARENTH1].[ZM0300105]","ZM0300105 - 水力发电","","000"))</f>
        <v/>
      </c>
      <c r="BI45" s="384">
        <f>IF(_epmOfflineCondition_,"ZM0300106",EPMOlapMemberO(BI25,"[C_MISK].[PARENTH1].[ZM0300106]","ZM0300106 - 其他","","000"))</f>
        <v/>
      </c>
      <c r="BJ45" s="384">
        <f>IF(_epmOfflineCondition_,"ZM03001",EPMOlapMemberO(BJ25,"[C_MISK].[PARENTH1].[ZM03001]","ZM03001 - 发电企业收入板块","","000"))</f>
        <v/>
      </c>
      <c r="BK45" s="384">
        <f>IF(_epmOfflineCondition_,"ZM0300101",EPMOlapMemberO(BK25,"[C_MISK].[PARENTH1].[ZM0300101]","ZM0300101 - 火力发电","","000"))</f>
        <v/>
      </c>
      <c r="BL45" s="384">
        <f>IF(_epmOfflineCondition_,"ZM0300102",EPMOlapMemberO(BL25,"[C_MISK].[PARENTH1].[ZM0300102]","ZM0300102 - 风力发电","","000"))</f>
        <v/>
      </c>
      <c r="BM45" s="384">
        <f>IF(_epmOfflineCondition_,"ZM0300103",EPMOlapMemberO(BM25,"[C_MISK].[PARENTH1].[ZM0300103]","ZM0300103 - 光伏发电","","000"))</f>
        <v/>
      </c>
      <c r="BN45" s="384">
        <f>IF(_epmOfflineCondition_,"ZM0300104",EPMOlapMemberO(BN25,"[C_MISK].[PARENTH1].[ZM0300104]","ZM0300104 - 燃气发电","","000"))</f>
        <v/>
      </c>
      <c r="BO45" s="384">
        <f>IF(_epmOfflineCondition_,"ZM0300105",EPMOlapMemberO(BO25,"[C_MISK].[PARENTH1].[ZM0300105]","ZM0300105 - 水力发电","","000"))</f>
        <v/>
      </c>
      <c r="BP45" s="384">
        <f>IF(_epmOfflineCondition_,"ZM0300106",EPMOlapMemberO(BP25,"[C_MISK].[PARENTH1].[ZM0300106]","ZM0300106 - 其他","","000"))</f>
        <v/>
      </c>
      <c r="BQ45" s="384">
        <f>IF(_epmOfflineCondition_,"ZM03001",EPMOlapMemberO(BQ25,"[C_MISK].[PARENTH1].[ZM03001]","ZM03001 - 发电企业收入板块","","000"))</f>
        <v/>
      </c>
      <c r="BR45" s="384">
        <f>IF(_epmOfflineCondition_,"ZM0300101",EPMOlapMemberO(BR25,"[C_MISK].[PARENTH1].[ZM0300101]","ZM0300101 - 火力发电","","000"))</f>
        <v/>
      </c>
      <c r="BS45" s="384">
        <f>IF(_epmOfflineCondition_,"ZM0300102",EPMOlapMemberO(BS25,"[C_MISK].[PARENTH1].[ZM0300102]","ZM0300102 - 风力发电","","000"))</f>
        <v/>
      </c>
      <c r="BT45" s="384">
        <f>IF(_epmOfflineCondition_,"ZM0300103",EPMOlapMemberO(BT25,"[C_MISK].[PARENTH1].[ZM0300103]","ZM0300103 - 光伏发电","","000"))</f>
        <v/>
      </c>
      <c r="BU45" s="384">
        <f>IF(_epmOfflineCondition_,"ZM0300104",EPMOlapMemberO(BU25,"[C_MISK].[PARENTH1].[ZM0300104]","ZM0300104 - 燃气发电","","000"))</f>
        <v/>
      </c>
      <c r="BV45" s="384">
        <f>IF(_epmOfflineCondition_,"ZM0300105",EPMOlapMemberO(BV25,"[C_MISK].[PARENTH1].[ZM0300105]","ZM0300105 - 水力发电","","000"))</f>
        <v/>
      </c>
      <c r="BW45" s="384">
        <f>IF(_epmOfflineCondition_,"ZM0300106",EPMOlapMemberO(BW25,"[C_MISK].[PARENTH1].[ZM0300106]","ZM0300106 - 其他","","000"))</f>
        <v/>
      </c>
      <c r="BX45" s="384">
        <f>IF(_epmOfflineCondition_,"ZM03001",EPMOlapMemberO(BX25,"[C_MISK].[PARENTH1].[ZM03001]","ZM03001 - 发电企业收入板块","","000"))</f>
        <v/>
      </c>
      <c r="BY45" s="384">
        <f>IF(_epmOfflineCondition_,"ZM0300101",EPMOlapMemberO(BY25,"[C_MISK].[PARENTH1].[ZM0300101]","ZM0300101 - 火力发电","","000"))</f>
        <v/>
      </c>
      <c r="BZ45" s="384">
        <f>IF(_epmOfflineCondition_,"ZM0300102",EPMOlapMemberO(BZ25,"[C_MISK].[PARENTH1].[ZM0300102]","ZM0300102 - 风力发电","","000"))</f>
        <v/>
      </c>
      <c r="CA45" s="384">
        <f>IF(_epmOfflineCondition_,"ZM0300103",EPMOlapMemberO(CA25,"[C_MISK].[PARENTH1].[ZM0300103]","ZM0300103 - 光伏发电","","000"))</f>
        <v/>
      </c>
      <c r="CB45" s="384">
        <f>IF(_epmOfflineCondition_,"ZM0300104",EPMOlapMemberO(CB25,"[C_MISK].[PARENTH1].[ZM0300104]","ZM0300104 - 燃气发电","","000"))</f>
        <v/>
      </c>
      <c r="CC45" s="384">
        <f>IF(_epmOfflineCondition_,"ZM0300105",EPMOlapMemberO(CC25,"[C_MISK].[PARENTH1].[ZM0300105]","ZM0300105 - 水力发电","","000"))</f>
        <v/>
      </c>
      <c r="CD45" s="384">
        <f>IF(_epmOfflineCondition_,"ZM0300106",EPMOlapMemberO(CD25,"[C_MISK].[PARENTH1].[ZM0300106]","ZM0300106 - 其他","","000"))</f>
        <v/>
      </c>
      <c r="CE45" s="384">
        <f>IF(_epmOfflineCondition_,"ZM0300101",EPMOlapMemberO(CE25,"[C_MISK].[PARENTH1].[ZM0300101]","ZM0300101 - 火力发电","","000"))</f>
        <v/>
      </c>
      <c r="CF45" s="384">
        <f>IF(_epmOfflineCondition_,"ZM0300102",EPMOlapMemberO(CF25,"[C_MISK].[PARENTH1].[ZM0300102]","ZM0300102 - 风力发电","","000"))</f>
        <v/>
      </c>
      <c r="CG45" s="384">
        <f>IF(_epmOfflineCondition_,"ZM0300103",EPMOlapMemberO(CG25,"[C_MISK].[PARENTH1].[ZM0300103]","ZM0300103 - 光伏发电","","000"))</f>
        <v/>
      </c>
      <c r="CH45" s="384">
        <f>IF(_epmOfflineCondition_,"ZM0300104",EPMOlapMemberO(CH25,"[C_MISK].[PARENTH1].[ZM0300104]","ZM0300104 - 燃气发电","","000"))</f>
        <v/>
      </c>
      <c r="CI45" s="384">
        <f>IF(_epmOfflineCondition_,"ZM0300105",EPMOlapMemberO(CI25,"[C_MISK].[PARENTH1].[ZM0300105]","ZM0300105 - 水力发电","","000"))</f>
        <v/>
      </c>
      <c r="CJ45" s="384">
        <f>IF(_epmOfflineCondition_,"ZM0300106",EPMOlapMemberO(CJ25,"[C_MISK].[PARENTH1].[ZM0300106]","ZM0300106 - 其他","","000"))</f>
        <v/>
      </c>
      <c r="CK45" s="384">
        <f>IF(_epmOfflineCondition_,"ZM03001",EPMOlapMemberO(CK25,"[C_MISK].[PARENTH1].[ZM03001]","ZM03001 - 发电企业收入板块","","000"))</f>
        <v/>
      </c>
    </row>
    <row r="46" hidden="1" outlineLevel="1" s="1181">
      <c r="A46" s="384" t="n"/>
      <c r="B46" s="384" t="n"/>
      <c r="C46" s="384" t="n"/>
      <c r="D46" s="384" t="n"/>
      <c r="E46" s="384" t="n"/>
      <c r="F46" s="384" t="n"/>
      <c r="G46" s="384" t="n"/>
      <c r="H46" s="384" t="n"/>
      <c r="I46" s="384" t="n"/>
      <c r="J46" s="384" t="n"/>
      <c r="K46" s="384" t="n"/>
      <c r="L46" s="384" t="n"/>
      <c r="M46" s="384" t="n"/>
      <c r="N46" s="384" t="n"/>
      <c r="O46" s="384" t="n"/>
      <c r="P46" s="384" t="n"/>
      <c r="Q46" s="384" t="n"/>
      <c r="R46" s="384" t="n"/>
      <c r="S46" s="384" t="n"/>
      <c r="T46" s="384" t="n"/>
      <c r="U46" s="384" t="n"/>
      <c r="V46" s="384" t="n"/>
      <c r="W46" s="359">
        <f>IF(_epmOfflineCondition_,"LC",EPMOlapMemberO(W26,"[C_RPTCURRENCY].[].[LC]","LC - 本位币","","000"))</f>
        <v/>
      </c>
      <c r="X46" s="359">
        <f>IF(_epmOfflineCondition_,"LC",EPMOlapMemberO(X26,"[C_RPTCURRENCY].[].[LC]","LC - 本位币","","000"))</f>
        <v/>
      </c>
      <c r="Y46" s="359">
        <f>IF(_epmOfflineCondition_,"LC",EPMOlapMemberO(Y26,"[C_RPTCURRENCY].[].[LC]","LC - 本位币","","000"))</f>
        <v/>
      </c>
      <c r="Z46" s="359">
        <f>IF(_epmOfflineCondition_,"LC",EPMOlapMemberO(Z26,"[C_RPTCURRENCY].[].[LC]","LC - 本位币","","000"))</f>
        <v/>
      </c>
      <c r="AA46" s="359">
        <f>IF(_epmOfflineCondition_,"LC",EPMOlapMemberO(AA26,"[C_RPTCURRENCY].[].[LC]","LC - 本位币","","000"))</f>
        <v/>
      </c>
      <c r="AB46" s="359">
        <f>IF(_epmOfflineCondition_,"LC",EPMOlapMemberO(AB26,"[C_RPTCURRENCY].[].[LC]","LC - 本位币","","000"))</f>
        <v/>
      </c>
      <c r="AC46" s="359">
        <f>IF(_epmOfflineCondition_,"LC",EPMOlapMemberO(AC26,"[C_RPTCURRENCY].[].[LC]","LC - 本位币","","000"))</f>
        <v/>
      </c>
      <c r="AD46" s="359">
        <f>IF(_epmOfflineCondition_,"LC",EPMOlapMemberO(AD26,"[C_RPTCURRENCY].[].[LC]","LC - 本位币","","000"))</f>
        <v/>
      </c>
      <c r="AE46" s="359">
        <f>IF(_epmOfflineCondition_,"LC",EPMOlapMemberO(AE26,"[C_RPTCURRENCY].[].[LC]","LC - 本位币","","000"))</f>
        <v/>
      </c>
      <c r="AF46" s="359">
        <f>IF(_epmOfflineCondition_,"LC",EPMOlapMemberO(AF26,"[C_RPTCURRENCY].[].[LC]","LC - 本位币","","000"))</f>
        <v/>
      </c>
      <c r="AG46" s="359">
        <f>IF(_epmOfflineCondition_,"LC",EPMOlapMemberO(AG26,"[C_RPTCURRENCY].[].[LC]","LC - 本位币","","000"))</f>
        <v/>
      </c>
      <c r="AH46" s="359">
        <f>IF(_epmOfflineCondition_,"LC",EPMOlapMemberO(AH26,"[C_RPTCURRENCY].[].[LC]","LC - 本位币","","000"))</f>
        <v/>
      </c>
      <c r="AI46" s="359">
        <f>IF(_epmOfflineCondition_,"LC",EPMOlapMemberO(AI26,"[C_RPTCURRENCY].[].[LC]","LC - 本位币","","000"))</f>
        <v/>
      </c>
      <c r="AJ46" s="359">
        <f>IF(_epmOfflineCondition_,"LC",EPMOlapMemberO(AJ26,"[C_RPTCURRENCY].[].[LC]","LC - 本位币","","000"))</f>
        <v/>
      </c>
      <c r="AK46" s="359">
        <f>IF(_epmOfflineCondition_,"LC",EPMOlapMemberO(AK26,"[C_RPTCURRENCY].[].[LC]","LC - 本位币","","000"))</f>
        <v/>
      </c>
      <c r="AL46" s="359">
        <f>IF(_epmOfflineCondition_,"LC",EPMOlapMemberO(AL26,"[C_RPTCURRENCY].[].[LC]","LC - 本位币","","000"))</f>
        <v/>
      </c>
      <c r="AM46" s="359">
        <f>IF(_epmOfflineCondition_,"LC",EPMOlapMemberO(AM26,"[C_RPTCURRENCY].[].[LC]","LC - 本位币","","000"))</f>
        <v/>
      </c>
      <c r="AN46" s="359">
        <f>IF(_epmOfflineCondition_,"LC",EPMOlapMemberO(AN26,"[C_RPTCURRENCY].[].[LC]","LC - 本位币","","000"))</f>
        <v/>
      </c>
      <c r="AO46" s="359">
        <f>IF(_epmOfflineCondition_,"LC",EPMOlapMemberO(AO26,"[C_RPTCURRENCY].[].[LC]","LC - 本位币","","000"))</f>
        <v/>
      </c>
      <c r="AP46" s="359">
        <f>IF(_epmOfflineCondition_,"LC",EPMOlapMemberO(AP26,"[C_RPTCURRENCY].[].[LC]","LC - 本位币","","000"))</f>
        <v/>
      </c>
      <c r="AQ46" s="359">
        <f>IF(_epmOfflineCondition_,"LC",EPMOlapMemberO(AQ26,"[C_RPTCURRENCY].[].[LC]","LC - 本位币","","000"))</f>
        <v/>
      </c>
      <c r="AR46" s="359">
        <f>IF(_epmOfflineCondition_,"LC",EPMOlapMemberO(AR26,"[C_RPTCURRENCY].[].[LC]","LC - 本位币","","000"))</f>
        <v/>
      </c>
      <c r="AS46" s="359">
        <f>IF(_epmOfflineCondition_,"LC",EPMOlapMemberO(AS26,"[C_RPTCURRENCY].[].[LC]","LC - 本位币","","000"))</f>
        <v/>
      </c>
      <c r="AT46" s="359">
        <f>IF(_epmOfflineCondition_,"LC",EPMOlapMemberO(AT26,"[C_RPTCURRENCY].[].[LC]","LC - 本位币","","000"))</f>
        <v/>
      </c>
      <c r="AU46" s="359">
        <f>IF(_epmOfflineCondition_,"LC",EPMOlapMemberO(AU26,"[C_RPTCURRENCY].[].[LC]","LC - 本位币","","000"))</f>
        <v/>
      </c>
      <c r="AV46" s="359">
        <f>IF(_epmOfflineCondition_,"LC",EPMOlapMemberO(AV26,"[C_RPTCURRENCY].[].[LC]","LC - 本位币","","000"))</f>
        <v/>
      </c>
      <c r="AW46" s="359">
        <f>IF(_epmOfflineCondition_,"LC",EPMOlapMemberO(AW26,"[C_RPTCURRENCY].[].[LC]","LC - 本位币","","000"))</f>
        <v/>
      </c>
      <c r="AX46" s="359">
        <f>IF(_epmOfflineCondition_,"LC",EPMOlapMemberO(AX26,"[C_RPTCURRENCY].[].[LC]","LC - 本位币","","000"))</f>
        <v/>
      </c>
      <c r="AY46" s="359">
        <f>IF(_epmOfflineCondition_,"LC",EPMOlapMemberO(AY26,"[C_RPTCURRENCY].[].[LC]","LC - 本位币","","000"))</f>
        <v/>
      </c>
      <c r="AZ46" s="359">
        <f>IF(_epmOfflineCondition_,"LC",EPMOlapMemberO(AZ26,"[C_RPTCURRENCY].[].[LC]","LC - 本位币","","000"))</f>
        <v/>
      </c>
      <c r="BA46" s="359">
        <f>IF(_epmOfflineCondition_,"LC",EPMOlapMemberO(BA26,"[C_RPTCURRENCY].[].[LC]","LC - 本位币","","000"))</f>
        <v/>
      </c>
      <c r="BB46" s="359">
        <f>IF(_epmOfflineCondition_,"LC",EPMOlapMemberO(BB26,"[C_RPTCURRENCY].[].[LC]","LC - 本位币","","000"))</f>
        <v/>
      </c>
      <c r="BC46" s="359">
        <f>IF(_epmOfflineCondition_,"LC",EPMOlapMemberO(BC26,"[C_RPTCURRENCY].[].[LC]","LC - 本位币","","000"))</f>
        <v/>
      </c>
      <c r="BD46" s="359">
        <f>IF(_epmOfflineCondition_,"LC",EPMOlapMemberO(BD26,"[C_RPTCURRENCY].[].[LC]","LC - 本位币","","000"))</f>
        <v/>
      </c>
      <c r="BE46" s="359">
        <f>IF(_epmOfflineCondition_,"LC",EPMOlapMemberO(BE26,"[C_RPTCURRENCY].[].[LC]","LC - 本位币","","000"))</f>
        <v/>
      </c>
      <c r="BF46" s="359">
        <f>IF(_epmOfflineCondition_,"LC",EPMOlapMemberO(BF26,"[C_RPTCURRENCY].[].[LC]","LC - 本位币","","000"))</f>
        <v/>
      </c>
      <c r="BG46" s="359">
        <f>IF(_epmOfflineCondition_,"LC",EPMOlapMemberO(BG26,"[C_RPTCURRENCY].[].[LC]","LC - 本位币","","000"))</f>
        <v/>
      </c>
      <c r="BH46" s="359">
        <f>IF(_epmOfflineCondition_,"LC",EPMOlapMemberO(BH26,"[C_RPTCURRENCY].[].[LC]","LC - 本位币","","000"))</f>
        <v/>
      </c>
      <c r="BI46" s="359">
        <f>IF(_epmOfflineCondition_,"LC",EPMOlapMemberO(BI26,"[C_RPTCURRENCY].[].[LC]","LC - 本位币","","000"))</f>
        <v/>
      </c>
      <c r="BJ46" s="359">
        <f>IF(_epmOfflineCondition_,"LC",EPMOlapMemberO(BJ26,"[C_RPTCURRENCY].[].[LC]","LC - 本位币","","000"))</f>
        <v/>
      </c>
      <c r="BK46" s="359">
        <f>IF(_epmOfflineCondition_,"CNY",EPMOlapMemberO(BK26,"[C_RPTCURRENCY].[].[CNY]","CNY - 人民币","","000"))</f>
        <v/>
      </c>
      <c r="BL46" s="359">
        <f>IF(_epmOfflineCondition_,"CNY",EPMOlapMemberO(BL26,"[C_RPTCURRENCY].[].[CNY]","CNY - 人民币","","000"))</f>
        <v/>
      </c>
      <c r="BM46" s="359">
        <f>IF(_epmOfflineCondition_,"CNY",EPMOlapMemberO(BM26,"[C_RPTCURRENCY].[].[CNY]","CNY - 人民币","","000"))</f>
        <v/>
      </c>
      <c r="BN46" s="359">
        <f>IF(_epmOfflineCondition_,"CNY",EPMOlapMemberO(BN26,"[C_RPTCURRENCY].[].[CNY]","CNY - 人民币","","000"))</f>
        <v/>
      </c>
      <c r="BO46" s="359">
        <f>IF(_epmOfflineCondition_,"CNY",EPMOlapMemberO(BO26,"[C_RPTCURRENCY].[].[CNY]","CNY - 人民币","","000"))</f>
        <v/>
      </c>
      <c r="BP46" s="359">
        <f>IF(_epmOfflineCondition_,"CNY",EPMOlapMemberO(BP26,"[C_RPTCURRENCY].[].[CNY]","CNY - 人民币","","000"))</f>
        <v/>
      </c>
      <c r="BQ46" s="359">
        <f>IF(_epmOfflineCondition_,"CNY",EPMOlapMemberO(BQ26,"[C_RPTCURRENCY].[].[CNY]","CNY - 人民币","","000"))</f>
        <v/>
      </c>
      <c r="BR46" s="359">
        <f>IF(_epmOfflineCondition_,"CNY",EPMOlapMemberO(BR26,"[C_RPTCURRENCY].[].[CNY]","CNY - 人民币","","000"))</f>
        <v/>
      </c>
      <c r="BS46" s="359">
        <f>IF(_epmOfflineCondition_,"CNY",EPMOlapMemberO(BS26,"[C_RPTCURRENCY].[].[CNY]","CNY - 人民币","","000"))</f>
        <v/>
      </c>
      <c r="BT46" s="359">
        <f>IF(_epmOfflineCondition_,"CNY",EPMOlapMemberO(BT26,"[C_RPTCURRENCY].[].[CNY]","CNY - 人民币","","000"))</f>
        <v/>
      </c>
      <c r="BU46" s="359">
        <f>IF(_epmOfflineCondition_,"CNY",EPMOlapMemberO(BU26,"[C_RPTCURRENCY].[].[CNY]","CNY - 人民币","","000"))</f>
        <v/>
      </c>
      <c r="BV46" s="359">
        <f>IF(_epmOfflineCondition_,"CNY",EPMOlapMemberO(BV26,"[C_RPTCURRENCY].[].[CNY]","CNY - 人民币","","000"))</f>
        <v/>
      </c>
      <c r="BW46" s="359">
        <f>IF(_epmOfflineCondition_,"CNY",EPMOlapMemberO(BW26,"[C_RPTCURRENCY].[].[CNY]","CNY - 人民币","","000"))</f>
        <v/>
      </c>
      <c r="BX46" s="359">
        <f>IF(_epmOfflineCondition_,"CNY",EPMOlapMemberO(BX26,"[C_RPTCURRENCY].[].[CNY]","CNY - 人民币","","000"))</f>
        <v/>
      </c>
      <c r="BY46" s="359">
        <f>IF(_epmOfflineCondition_,"CNY",EPMOlapMemberO(BY26,"[C_RPTCURRENCY].[].[CNY]","CNY - 人民币","","000"))</f>
        <v/>
      </c>
      <c r="BZ46" s="359">
        <f>IF(_epmOfflineCondition_,"CNY",EPMOlapMemberO(BZ26,"[C_RPTCURRENCY].[].[CNY]","CNY - 人民币","","000"))</f>
        <v/>
      </c>
      <c r="CA46" s="359">
        <f>IF(_epmOfflineCondition_,"CNY",EPMOlapMemberO(CA26,"[C_RPTCURRENCY].[].[CNY]","CNY - 人民币","","000"))</f>
        <v/>
      </c>
      <c r="CB46" s="359">
        <f>IF(_epmOfflineCondition_,"CNY",EPMOlapMemberO(CB26,"[C_RPTCURRENCY].[].[CNY]","CNY - 人民币","","000"))</f>
        <v/>
      </c>
      <c r="CC46" s="359">
        <f>IF(_epmOfflineCondition_,"CNY",EPMOlapMemberO(CC26,"[C_RPTCURRENCY].[].[CNY]","CNY - 人民币","","000"))</f>
        <v/>
      </c>
      <c r="CD46" s="359">
        <f>IF(_epmOfflineCondition_,"CNY",EPMOlapMemberO(CD26,"[C_RPTCURRENCY].[].[CNY]","CNY - 人民币","","000"))</f>
        <v/>
      </c>
      <c r="CE46" s="359">
        <f>IF(_epmOfflineCondition_,"CNY",EPMOlapMemberO(CE26,"[C_RPTCURRENCY].[].[CNY]","CNY - 人民币","","000"))</f>
        <v/>
      </c>
      <c r="CF46" s="359">
        <f>IF(_epmOfflineCondition_,"CNY",EPMOlapMemberO(CF26,"[C_RPTCURRENCY].[].[CNY]","CNY - 人民币","","000"))</f>
        <v/>
      </c>
      <c r="CG46" s="359">
        <f>IF(_epmOfflineCondition_,"CNY",EPMOlapMemberO(CG26,"[C_RPTCURRENCY].[].[CNY]","CNY - 人民币","","000"))</f>
        <v/>
      </c>
      <c r="CH46" s="359">
        <f>IF(_epmOfflineCondition_,"CNY",EPMOlapMemberO(CH26,"[C_RPTCURRENCY].[].[CNY]","CNY - 人民币","","000"))</f>
        <v/>
      </c>
      <c r="CI46" s="359">
        <f>IF(_epmOfflineCondition_,"CNY",EPMOlapMemberO(CI26,"[C_RPTCURRENCY].[].[CNY]","CNY - 人民币","","000"))</f>
        <v/>
      </c>
      <c r="CJ46" s="359">
        <f>IF(_epmOfflineCondition_,"CNY",EPMOlapMemberO(CJ26,"[C_RPTCURRENCY].[].[CNY]","CNY - 人民币","","000"))</f>
        <v/>
      </c>
      <c r="CK46" s="359">
        <f>IF(_epmOfflineCondition_,"CNY",EPMOlapMemberO(CK26,"[C_RPTCURRENCY].[].[CNY]","CNY - 人民币","","000"))</f>
        <v/>
      </c>
    </row>
    <row r="47" hidden="1" outlineLevel="1" s="1181">
      <c r="A47" s="384" t="n"/>
      <c r="B47" s="384" t="n"/>
      <c r="C47" s="384" t="n"/>
      <c r="D47" s="384" t="n"/>
      <c r="E47" s="384" t="n"/>
      <c r="F47" s="384" t="n"/>
      <c r="G47" s="384" t="n"/>
      <c r="H47" s="384" t="n"/>
      <c r="I47" s="384" t="n"/>
      <c r="J47" s="384" t="n"/>
      <c r="K47" s="384" t="n"/>
      <c r="L47" s="384" t="n"/>
      <c r="M47" s="384" t="n"/>
      <c r="N47" s="384" t="n"/>
      <c r="O47" s="384" t="n"/>
      <c r="P47" s="384" t="n"/>
      <c r="Q47" s="384" t="n"/>
      <c r="R47" s="384" t="n"/>
      <c r="S47" s="384" t="n"/>
      <c r="T47" s="384" t="n"/>
      <c r="U47" s="384" t="n"/>
      <c r="V47" s="384" t="n"/>
      <c r="W47" s="384">
        <f>IF(_epmOfflineCondition_,"DALL",EPMOlapMemberO(W22,"[C_AUDITTRAIL].[PARENTH1].[DALL]","DALL - 合并后","","000"))</f>
        <v/>
      </c>
      <c r="X47" s="384">
        <f>IF(_epmOfflineCondition_,"DALL",EPMOlapMemberO(X22,"[C_AUDITTRAIL].[PARENTH1].[DALL]","DALL - 合并后","","000"))</f>
        <v/>
      </c>
      <c r="Y47" s="384">
        <f>IF(_epmOfflineCondition_,"DALL",EPMOlapMemberO(Y22,"[C_AUDITTRAIL].[PARENTH1].[DALL]","DALL - 合并后","","000"))</f>
        <v/>
      </c>
      <c r="Z47" s="384">
        <f>IF(_epmOfflineCondition_,"DALL",EPMOlapMemberO(Z22,"[C_AUDITTRAIL].[PARENTH1].[DALL]","DALL - 合并后","","000"))</f>
        <v/>
      </c>
      <c r="AA47" s="384">
        <f>IF(_epmOfflineCondition_,"DALL",EPMOlapMemberO(AA22,"[C_AUDITTRAIL].[PARENTH1].[DALL]","DALL - 合并后","","000"))</f>
        <v/>
      </c>
      <c r="AB47" s="384">
        <f>IF(_epmOfflineCondition_,"DALL",EPMOlapMemberO(AB22,"[C_AUDITTRAIL].[PARENTH1].[DALL]","DALL - 合并后","","000"))</f>
        <v/>
      </c>
      <c r="AC47" s="384">
        <f>IF(_epmOfflineCondition_,"DALL",EPMOlapMemberO(AC22,"[C_AUDITTRAIL].[PARENTH1].[DALL]","DALL - 合并后","","000"))</f>
        <v/>
      </c>
      <c r="AD47" s="384">
        <f>IF(_epmOfflineCondition_,"D1110",EPMOlapMemberO(AD22,"[C_AUDITTRAIL].[PARENTH1].[D1110]","D1110 - 平台表单手工输入","","000"))</f>
        <v/>
      </c>
      <c r="AE47" s="384">
        <f>IF(_epmOfflineCondition_,"D1110",EPMOlapMemberO(AE22,"[C_AUDITTRAIL].[PARENTH1].[D1110]","D1110 - 平台表单手工输入","","000"))</f>
        <v/>
      </c>
      <c r="AF47" s="384">
        <f>IF(_epmOfflineCondition_,"D1110",EPMOlapMemberO(AF22,"[C_AUDITTRAIL].[PARENTH1].[D1110]","D1110 - 平台表单手工输入","","000"))</f>
        <v/>
      </c>
      <c r="AG47" s="384">
        <f>IF(_epmOfflineCondition_,"D1110",EPMOlapMemberO(AG22,"[C_AUDITTRAIL].[PARENTH1].[D1110]","D1110 - 平台表单手工输入","","000"))</f>
        <v/>
      </c>
      <c r="AH47" s="384">
        <f>IF(_epmOfflineCondition_,"D1110",EPMOlapMemberO(AH22,"[C_AUDITTRAIL].[PARENTH1].[D1110]","D1110 - 平台表单手工输入","","000"))</f>
        <v/>
      </c>
      <c r="AI47" s="384">
        <f>IF(_epmOfflineCondition_,"D1110",EPMOlapMemberO(AI22,"[C_AUDITTRAIL].[PARENTH1].[D1110]","D1110 - 平台表单手工输入","","000"))</f>
        <v/>
      </c>
      <c r="AJ47" s="384">
        <f>IF(_epmOfflineCondition_,"DALL",EPMOlapMemberO(AJ22,"[C_AUDITTRAIL].[PARENTH1].[DALL]","DALL - 合并后","","000"))</f>
        <v/>
      </c>
      <c r="AK47" s="384">
        <f>IF(_epmOfflineCondition_,"DALL",EPMOlapMemberO(AK22,"[C_AUDITTRAIL].[PARENTH1].[DALL]","DALL - 合并后","","000"))</f>
        <v/>
      </c>
      <c r="AL47" s="384">
        <f>IF(_epmOfflineCondition_,"DALL",EPMOlapMemberO(AL22,"[C_AUDITTRAIL].[PARENTH1].[DALL]","DALL - 合并后","","000"))</f>
        <v/>
      </c>
      <c r="AM47" s="384">
        <f>IF(_epmOfflineCondition_,"DALL",EPMOlapMemberO(AM22,"[C_AUDITTRAIL].[PARENTH1].[DALL]","DALL - 合并后","","000"))</f>
        <v/>
      </c>
      <c r="AN47" s="384">
        <f>IF(_epmOfflineCondition_,"DALL",EPMOlapMemberO(AN22,"[C_AUDITTRAIL].[PARENTH1].[DALL]","DALL - 合并后","","000"))</f>
        <v/>
      </c>
      <c r="AO47" s="384">
        <f>IF(_epmOfflineCondition_,"DALL",EPMOlapMemberO(AO22,"[C_AUDITTRAIL].[PARENTH1].[DALL]","DALL - 合并后","","000"))</f>
        <v/>
      </c>
      <c r="AP47" s="384">
        <f>IF(_epmOfflineCondition_,"DALL",EPMOlapMemberO(AP22,"[C_AUDITTRAIL].[PARENTH1].[DALL]","DALL - 合并后","","000"))</f>
        <v/>
      </c>
      <c r="AQ47" s="384">
        <f>IF(_epmOfflineCondition_,"DALL",EPMOlapMemberO(AQ22,"[C_AUDITTRAIL].[PARENTH1].[DALL]","DALL - 合并后","","000"))</f>
        <v/>
      </c>
      <c r="AR47" s="384">
        <f>IF(_epmOfflineCondition_,"DALL",EPMOlapMemberO(AR22,"[C_AUDITTRAIL].[PARENTH1].[DALL]","DALL - 合并后","","000"))</f>
        <v/>
      </c>
      <c r="AS47" s="384">
        <f>IF(_epmOfflineCondition_,"DALL",EPMOlapMemberO(AS22,"[C_AUDITTRAIL].[PARENTH1].[DALL]","DALL - 合并后","","000"))</f>
        <v/>
      </c>
      <c r="AT47" s="384">
        <f>IF(_epmOfflineCondition_,"DALL",EPMOlapMemberO(AT22,"[C_AUDITTRAIL].[PARENTH1].[DALL]","DALL - 合并后","","000"))</f>
        <v/>
      </c>
      <c r="AU47" s="384">
        <f>IF(_epmOfflineCondition_,"DALL",EPMOlapMemberO(AU22,"[C_AUDITTRAIL].[PARENTH1].[DALL]","DALL - 合并后","","000"))</f>
        <v/>
      </c>
      <c r="AV47" s="384">
        <f>IF(_epmOfflineCondition_,"DALL",EPMOlapMemberO(AV22,"[C_AUDITTRAIL].[PARENTH1].[DALL]","DALL - 合并后","","000"))</f>
        <v/>
      </c>
      <c r="AW47" s="384">
        <f>IF(_epmOfflineCondition_,"DALL",EPMOlapMemberO(AW22,"[C_AUDITTRAIL].[PARENTH1].[DALL]","DALL - 合并后","","000"))</f>
        <v/>
      </c>
      <c r="AX47" s="384">
        <f>IF(_epmOfflineCondition_,"DALL",EPMOlapMemberO(AX22,"[C_AUDITTRAIL].[PARENTH1].[DALL]","DALL - 合并后","","000"))</f>
        <v/>
      </c>
      <c r="AY47" s="384">
        <f>IF(_epmOfflineCondition_,"DALL",EPMOlapMemberO(AY22,"[C_AUDITTRAIL].[PARENTH1].[DALL]","DALL - 合并后","","000"))</f>
        <v/>
      </c>
      <c r="AZ47" s="384">
        <f>IF(_epmOfflineCondition_,"DALL",EPMOlapMemberO(AZ22,"[C_AUDITTRAIL].[PARENTH1].[DALL]","DALL - 合并后","","000"))</f>
        <v/>
      </c>
      <c r="BA47" s="384">
        <f>IF(_epmOfflineCondition_,"DALL",EPMOlapMemberO(BA22,"[C_AUDITTRAIL].[PARENTH1].[DALL]","DALL - 合并后","","000"))</f>
        <v/>
      </c>
      <c r="BB47" s="384">
        <f>IF(_epmOfflineCondition_,"DALL",EPMOlapMemberO(BB22,"[C_AUDITTRAIL].[PARENTH1].[DALL]","DALL - 合并后","","000"))</f>
        <v/>
      </c>
      <c r="BC47" s="384">
        <f>IF(_epmOfflineCondition_,"DALL",EPMOlapMemberO(BC22,"[C_AUDITTRAIL].[PARENTH1].[DALL]","DALL - 合并后","","000"))</f>
        <v/>
      </c>
      <c r="BD47" s="384">
        <f>IF(_epmOfflineCondition_,"DALL",EPMOlapMemberO(BD22,"[C_AUDITTRAIL].[PARENTH1].[DALL]","DALL - 合并后","","000"))</f>
        <v/>
      </c>
      <c r="BE47" s="384">
        <f>IF(_epmOfflineCondition_,"DALL",EPMOlapMemberO(BE22,"[C_AUDITTRAIL].[PARENTH1].[DALL]","DALL - 合并后","","000"))</f>
        <v/>
      </c>
      <c r="BF47" s="384">
        <f>IF(_epmOfflineCondition_,"DALL",EPMOlapMemberO(BF22,"[C_AUDITTRAIL].[PARENTH1].[DALL]","DALL - 合并后","","000"))</f>
        <v/>
      </c>
      <c r="BG47" s="384">
        <f>IF(_epmOfflineCondition_,"DALL",EPMOlapMemberO(BG22,"[C_AUDITTRAIL].[PARENTH1].[DALL]","DALL - 合并后","","000"))</f>
        <v/>
      </c>
      <c r="BH47" s="384">
        <f>IF(_epmOfflineCondition_,"DALL",EPMOlapMemberO(BH22,"[C_AUDITTRAIL].[PARENTH1].[DALL]","DALL - 合并后","","000"))</f>
        <v/>
      </c>
      <c r="BI47" s="384">
        <f>IF(_epmOfflineCondition_,"DALL",EPMOlapMemberO(BI22,"[C_AUDITTRAIL].[PARENTH1].[DALL]","DALL - 合并后","","000"))</f>
        <v/>
      </c>
      <c r="BJ47" s="384">
        <f>IF(_epmOfflineCondition_,"DALL",EPMOlapMemberO(BJ22,"[C_AUDITTRAIL].[PARENTH1].[DALL]","DALL - 合并后","","000"))</f>
        <v/>
      </c>
      <c r="BK47" s="384">
        <f>IF(_epmOfflineCondition_,"D1201",EPMOlapMemberO(BK22,"[C_AUDITTRAIL].[PARENTH1].[D1201]","D1201 - 来自预算","","000"))</f>
        <v/>
      </c>
      <c r="BL47" s="384">
        <f>IF(_epmOfflineCondition_,"D1201",EPMOlapMemberO(BL22,"[C_AUDITTRAIL].[PARENTH1].[D1201]","D1201 - 来自预算","","000"))</f>
        <v/>
      </c>
      <c r="BM47" s="384">
        <f>IF(_epmOfflineCondition_,"D1201",EPMOlapMemberO(BM22,"[C_AUDITTRAIL].[PARENTH1].[D1201]","D1201 - 来自预算","","000"))</f>
        <v/>
      </c>
      <c r="BN47" s="384">
        <f>IF(_epmOfflineCondition_,"D1201",EPMOlapMemberO(BN22,"[C_AUDITTRAIL].[PARENTH1].[D1201]","D1201 - 来自预算","","000"))</f>
        <v/>
      </c>
      <c r="BO47" s="384">
        <f>IF(_epmOfflineCondition_,"D1201",EPMOlapMemberO(BO22,"[C_AUDITTRAIL].[PARENTH1].[D1201]","D1201 - 来自预算","","000"))</f>
        <v/>
      </c>
      <c r="BP47" s="384">
        <f>IF(_epmOfflineCondition_,"D1201",EPMOlapMemberO(BP22,"[C_AUDITTRAIL].[PARENTH1].[D1201]","D1201 - 来自预算","","000"))</f>
        <v/>
      </c>
      <c r="BQ47" s="384">
        <f>IF(_epmOfflineCondition_,"D1201",EPMOlapMemberO(BQ22,"[C_AUDITTRAIL].[PARENTH1].[D1201]","D1201 - 来自预算","","000"))</f>
        <v/>
      </c>
      <c r="BR47" s="384">
        <f>IF(_epmOfflineCondition_,"D1201",EPMOlapMemberO(BR22,"[C_AUDITTRAIL].[PARENTH1].[D1201]","D1201 - 来自预算","","000"))</f>
        <v/>
      </c>
      <c r="BS47" s="384">
        <f>IF(_epmOfflineCondition_,"D1201",EPMOlapMemberO(BS22,"[C_AUDITTRAIL].[PARENTH1].[D1201]","D1201 - 来自预算","","000"))</f>
        <v/>
      </c>
      <c r="BT47" s="384">
        <f>IF(_epmOfflineCondition_,"D1201",EPMOlapMemberO(BT22,"[C_AUDITTRAIL].[PARENTH1].[D1201]","D1201 - 来自预算","","000"))</f>
        <v/>
      </c>
      <c r="BU47" s="384">
        <f>IF(_epmOfflineCondition_,"D1201",EPMOlapMemberO(BU22,"[C_AUDITTRAIL].[PARENTH1].[D1201]","D1201 - 来自预算","","000"))</f>
        <v/>
      </c>
      <c r="BV47" s="384">
        <f>IF(_epmOfflineCondition_,"D1201",EPMOlapMemberO(BV22,"[C_AUDITTRAIL].[PARENTH1].[D1201]","D1201 - 来自预算","","000"))</f>
        <v/>
      </c>
      <c r="BW47" s="384">
        <f>IF(_epmOfflineCondition_,"D1201",EPMOlapMemberO(BW22,"[C_AUDITTRAIL].[PARENTH1].[D1201]","D1201 - 来自预算","","000"))</f>
        <v/>
      </c>
      <c r="BX47" s="384">
        <f>IF(_epmOfflineCondition_,"D1201",EPMOlapMemberO(BX22,"[C_AUDITTRAIL].[PARENTH1].[D1201]","D1201 - 来自预算","","000"))</f>
        <v/>
      </c>
      <c r="BY47" s="384">
        <f>IF(_epmOfflineCondition_,"D1201",EPMOlapMemberO(BY22,"[C_AUDITTRAIL].[PARENTH1].[D1201]","D1201 - 来自预算","","000"))</f>
        <v/>
      </c>
      <c r="BZ47" s="384">
        <f>IF(_epmOfflineCondition_,"D1201",EPMOlapMemberO(BZ22,"[C_AUDITTRAIL].[PARENTH1].[D1201]","D1201 - 来自预算","","000"))</f>
        <v/>
      </c>
      <c r="CA47" s="384">
        <f>IF(_epmOfflineCondition_,"D1201",EPMOlapMemberO(CA22,"[C_AUDITTRAIL].[PARENTH1].[D1201]","D1201 - 来自预算","","000"))</f>
        <v/>
      </c>
      <c r="CB47" s="384">
        <f>IF(_epmOfflineCondition_,"D1201",EPMOlapMemberO(CB22,"[C_AUDITTRAIL].[PARENTH1].[D1201]","D1201 - 来自预算","","000"))</f>
        <v/>
      </c>
      <c r="CC47" s="384">
        <f>IF(_epmOfflineCondition_,"D1201",EPMOlapMemberO(CC22,"[C_AUDITTRAIL].[PARENTH1].[D1201]","D1201 - 来自预算","","000"))</f>
        <v/>
      </c>
      <c r="CD47" s="384">
        <f>IF(_epmOfflineCondition_,"D1201",EPMOlapMemberO(CD22,"[C_AUDITTRAIL].[PARENTH1].[D1201]","D1201 - 来自预算","","000"))</f>
        <v/>
      </c>
      <c r="CE47" s="384">
        <f>IF(_epmOfflineCondition_,"D1201",EPMOlapMemberO(CE22,"[C_AUDITTRAIL].[PARENTH1].[D1201]","D1201 - 来自预算","","000"))</f>
        <v/>
      </c>
      <c r="CF47" s="384">
        <f>IF(_epmOfflineCondition_,"D1201",EPMOlapMemberO(CF22,"[C_AUDITTRAIL].[PARENTH1].[D1201]","D1201 - 来自预算","","000"))</f>
        <v/>
      </c>
      <c r="CG47" s="384">
        <f>IF(_epmOfflineCondition_,"D1201",EPMOlapMemberO(CG22,"[C_AUDITTRAIL].[PARENTH1].[D1201]","D1201 - 来自预算","","000"))</f>
        <v/>
      </c>
      <c r="CH47" s="384">
        <f>IF(_epmOfflineCondition_,"D1201",EPMOlapMemberO(CH22,"[C_AUDITTRAIL].[PARENTH1].[D1201]","D1201 - 来自预算","","000"))</f>
        <v/>
      </c>
      <c r="CI47" s="384">
        <f>IF(_epmOfflineCondition_,"D1201",EPMOlapMemberO(CI22,"[C_AUDITTRAIL].[PARENTH1].[D1201]","D1201 - 来自预算","","000"))</f>
        <v/>
      </c>
      <c r="CJ47" s="384">
        <f>IF(_epmOfflineCondition_,"D1201",EPMOlapMemberO(CJ22,"[C_AUDITTRAIL].[PARENTH1].[D1201]","D1201 - 来自预算","","000"))</f>
        <v/>
      </c>
      <c r="CK47" s="384">
        <f>IF(_epmOfflineCondition_,"D1201",EPMOlapMemberO(CK22,"[C_AUDITTRAIL].[PARENTH1].[D1201]","D1201 - 来自预算","","000"))</f>
        <v/>
      </c>
    </row>
    <row r="48" hidden="1" outlineLevel="1" s="1181">
      <c r="A48" s="384" t="n"/>
      <c r="B48" s="384" t="n"/>
      <c r="C48" s="384" t="n"/>
      <c r="D48" s="384" t="n"/>
      <c r="E48" s="384" t="n"/>
      <c r="F48" s="384" t="n"/>
      <c r="G48" s="384" t="n"/>
      <c r="H48" s="384" t="n"/>
      <c r="I48" s="384" t="n"/>
      <c r="J48" s="384" t="n"/>
      <c r="K48" s="384" t="n"/>
      <c r="L48" s="384" t="n"/>
      <c r="M48" s="384" t="n"/>
      <c r="N48" s="384" t="n"/>
      <c r="O48" s="384" t="n"/>
      <c r="P48" s="384" t="n"/>
      <c r="Q48" s="384" t="n"/>
      <c r="R48" s="384" t="n"/>
      <c r="S48" s="384" t="n"/>
      <c r="T48" s="384" t="n"/>
      <c r="U48" s="384" t="n"/>
      <c r="V48" s="384" t="n"/>
      <c r="W48" s="384">
        <f>IF(_epmOfflineCondition_,"I_ALL",EPMOlapMemberO(W21,"[C_INTERCO].[PARENTH1].[I_ALL]","I_ALL - 全部贸易伙伴","","000"))</f>
        <v/>
      </c>
      <c r="X48" s="384">
        <f>IF(_epmOfflineCondition_,"I_ALL",EPMOlapMemberO(X21,"[C_INTERCO].[PARENTH1].[I_ALL]","I_ALL - 全部贸易伙伴","","000"))</f>
        <v/>
      </c>
      <c r="Y48" s="384">
        <f>IF(_epmOfflineCondition_,"I_ALL",EPMOlapMemberO(Y21,"[C_INTERCO].[PARENTH1].[I_ALL]","I_ALL - 全部贸易伙伴","","000"))</f>
        <v/>
      </c>
      <c r="Z48" s="384">
        <f>IF(_epmOfflineCondition_,"I_ALL",EPMOlapMemberO(Z21,"[C_INTERCO].[PARENTH1].[I_ALL]","I_ALL - 全部贸易伙伴","","000"))</f>
        <v/>
      </c>
      <c r="AA48" s="384">
        <f>IF(_epmOfflineCondition_,"I_ALL",EPMOlapMemberO(AA21,"[C_INTERCO].[PARENTH1].[I_ALL]","I_ALL - 全部贸易伙伴","","000"))</f>
        <v/>
      </c>
      <c r="AB48" s="384">
        <f>IF(_epmOfflineCondition_,"I_ALL",EPMOlapMemberO(AB21,"[C_INTERCO].[PARENTH1].[I_ALL]","I_ALL - 全部贸易伙伴","","000"))</f>
        <v/>
      </c>
      <c r="AC48" s="384">
        <f>IF(_epmOfflineCondition_,"I_ALL",EPMOlapMemberO(AC21,"[C_INTERCO].[PARENTH1].[I_ALL]","I_ALL - 全部贸易伙伴","","000"))</f>
        <v/>
      </c>
      <c r="AD48" s="384">
        <f>IF(_epmOfflineCondition_,"I_DUMMY",EPMOlapMemberO(AD21,"[C_INTERCO].[PARENTH1].[I_DUMMY]","I_DUMMY - 贸易伙伴无关","","000"))</f>
        <v/>
      </c>
      <c r="AE48" s="384">
        <f>IF(_epmOfflineCondition_,"I_DUMMY",EPMOlapMemberO(AE21,"[C_INTERCO].[PARENTH1].[I_DUMMY]","I_DUMMY - 贸易伙伴无关","","000"))</f>
        <v/>
      </c>
      <c r="AF48" s="384">
        <f>IF(_epmOfflineCondition_,"I_DUMMY",EPMOlapMemberO(AF21,"[C_INTERCO].[PARENTH1].[I_DUMMY]","I_DUMMY - 贸易伙伴无关","","000"))</f>
        <v/>
      </c>
      <c r="AG48" s="384">
        <f>IF(_epmOfflineCondition_,"I_DUMMY",EPMOlapMemberO(AG21,"[C_INTERCO].[PARENTH1].[I_DUMMY]","I_DUMMY - 贸易伙伴无关","","000"))</f>
        <v/>
      </c>
      <c r="AH48" s="384">
        <f>IF(_epmOfflineCondition_,"I_DUMMY",EPMOlapMemberO(AH21,"[C_INTERCO].[PARENTH1].[I_DUMMY]","I_DUMMY - 贸易伙伴无关","","000"))</f>
        <v/>
      </c>
      <c r="AI48" s="384">
        <f>IF(_epmOfflineCondition_,"I_DUMMY",EPMOlapMemberO(AI21,"[C_INTERCO].[PARENTH1].[I_DUMMY]","I_DUMMY - 贸易伙伴无关","","000"))</f>
        <v/>
      </c>
      <c r="AJ48" s="384">
        <f>IF(_epmOfflineCondition_,"I_ALL",EPMOlapMemberO(AJ21,"[C_INTERCO].[PARENTH1].[I_ALL]","I_ALL - 全部贸易伙伴","","000"))</f>
        <v/>
      </c>
      <c r="AK48" s="384">
        <f>IF(_epmOfflineCondition_,"I_ALL",EPMOlapMemberO(AK21,"[C_INTERCO].[PARENTH1].[I_ALL]","I_ALL - 全部贸易伙伴","","000"))</f>
        <v/>
      </c>
      <c r="AL48" s="384">
        <f>IF(_epmOfflineCondition_,"I_ALL",EPMOlapMemberO(AL21,"[C_INTERCO].[PARENTH1].[I_ALL]","I_ALL - 全部贸易伙伴","","000"))</f>
        <v/>
      </c>
      <c r="AM48" s="384">
        <f>IF(_epmOfflineCondition_,"I_ALL",EPMOlapMemberO(AM21,"[C_INTERCO].[PARENTH1].[I_ALL]","I_ALL - 全部贸易伙伴","","000"))</f>
        <v/>
      </c>
      <c r="AN48" s="384">
        <f>IF(_epmOfflineCondition_,"I_ALL",EPMOlapMemberO(AN21,"[C_INTERCO].[PARENTH1].[I_ALL]","I_ALL - 全部贸易伙伴","","000"))</f>
        <v/>
      </c>
      <c r="AO48" s="384">
        <f>IF(_epmOfflineCondition_,"I_ALL",EPMOlapMemberO(AO21,"[C_INTERCO].[PARENTH1].[I_ALL]","I_ALL - 全部贸易伙伴","","000"))</f>
        <v/>
      </c>
      <c r="AP48" s="384">
        <f>IF(_epmOfflineCondition_,"I_ALL",EPMOlapMemberO(AP21,"[C_INTERCO].[PARENTH1].[I_ALL]","I_ALL - 全部贸易伙伴","","000"))</f>
        <v/>
      </c>
      <c r="AQ48" s="384">
        <f>IF(_epmOfflineCondition_,"I_ALL",EPMOlapMemberO(AQ21,"[C_INTERCO].[PARENTH1].[I_ALL]","I_ALL - 全部贸易伙伴","","000"))</f>
        <v/>
      </c>
      <c r="AR48" s="384">
        <f>IF(_epmOfflineCondition_,"I_ALL",EPMOlapMemberO(AR21,"[C_INTERCO].[PARENTH1].[I_ALL]","I_ALL - 全部贸易伙伴","","000"))</f>
        <v/>
      </c>
      <c r="AS48" s="384">
        <f>IF(_epmOfflineCondition_,"I_ALL",EPMOlapMemberO(AS21,"[C_INTERCO].[PARENTH1].[I_ALL]","I_ALL - 全部贸易伙伴","","000"))</f>
        <v/>
      </c>
      <c r="AT48" s="384">
        <f>IF(_epmOfflineCondition_,"I_ALL",EPMOlapMemberO(AT21,"[C_INTERCO].[PARENTH1].[I_ALL]","I_ALL - 全部贸易伙伴","","000"))</f>
        <v/>
      </c>
      <c r="AU48" s="384">
        <f>IF(_epmOfflineCondition_,"I_ALL",EPMOlapMemberO(AU21,"[C_INTERCO].[PARENTH1].[I_ALL]","I_ALL - 全部贸易伙伴","","000"))</f>
        <v/>
      </c>
      <c r="AV48" s="384">
        <f>IF(_epmOfflineCondition_,"I_ALL",EPMOlapMemberO(AV21,"[C_INTERCO].[PARENTH1].[I_ALL]","I_ALL - 全部贸易伙伴","","000"))</f>
        <v/>
      </c>
      <c r="AW48" s="384">
        <f>IF(_epmOfflineCondition_,"I_ALL",EPMOlapMemberO(AW21,"[C_INTERCO].[PARENTH1].[I_ALL]","I_ALL - 全部贸易伙伴","","000"))</f>
        <v/>
      </c>
      <c r="AX48" s="384">
        <f>IF(_epmOfflineCondition_,"I_ALL",EPMOlapMemberO(AX21,"[C_INTERCO].[PARENTH1].[I_ALL]","I_ALL - 全部贸易伙伴","","000"))</f>
        <v/>
      </c>
      <c r="AY48" s="384">
        <f>IF(_epmOfflineCondition_,"I_ALL",EPMOlapMemberO(AY21,"[C_INTERCO].[PARENTH1].[I_ALL]","I_ALL - 全部贸易伙伴","","000"))</f>
        <v/>
      </c>
      <c r="AZ48" s="384">
        <f>IF(_epmOfflineCondition_,"I_ALL",EPMOlapMemberO(AZ21,"[C_INTERCO].[PARENTH1].[I_ALL]","I_ALL - 全部贸易伙伴","","000"))</f>
        <v/>
      </c>
      <c r="BA48" s="384">
        <f>IF(_epmOfflineCondition_,"I_ALL",EPMOlapMemberO(BA21,"[C_INTERCO].[PARENTH1].[I_ALL]","I_ALL - 全部贸易伙伴","","000"))</f>
        <v/>
      </c>
      <c r="BB48" s="384">
        <f>IF(_epmOfflineCondition_,"I_ALL",EPMOlapMemberO(BB21,"[C_INTERCO].[PARENTH1].[I_ALL]","I_ALL - 全部贸易伙伴","","000"))</f>
        <v/>
      </c>
      <c r="BC48" s="384">
        <f>IF(_epmOfflineCondition_,"I_ALL",EPMOlapMemberO(BC21,"[C_INTERCO].[PARENTH1].[I_ALL]","I_ALL - 全部贸易伙伴","","000"))</f>
        <v/>
      </c>
      <c r="BD48" s="384">
        <f>IF(_epmOfflineCondition_,"I_ALL",EPMOlapMemberO(BD21,"[C_INTERCO].[PARENTH1].[I_ALL]","I_ALL - 全部贸易伙伴","","000"))</f>
        <v/>
      </c>
      <c r="BE48" s="384">
        <f>IF(_epmOfflineCondition_,"I_ALL",EPMOlapMemberO(BE21,"[C_INTERCO].[PARENTH1].[I_ALL]","I_ALL - 全部贸易伙伴","","000"))</f>
        <v/>
      </c>
      <c r="BF48" s="384">
        <f>IF(_epmOfflineCondition_,"I_ALL",EPMOlapMemberO(BF21,"[C_INTERCO].[PARENTH1].[I_ALL]","I_ALL - 全部贸易伙伴","","000"))</f>
        <v/>
      </c>
      <c r="BG48" s="384">
        <f>IF(_epmOfflineCondition_,"I_ALL",EPMOlapMemberO(BG21,"[C_INTERCO].[PARENTH1].[I_ALL]","I_ALL - 全部贸易伙伴","","000"))</f>
        <v/>
      </c>
      <c r="BH48" s="384">
        <f>IF(_epmOfflineCondition_,"I_ALL",EPMOlapMemberO(BH21,"[C_INTERCO].[PARENTH1].[I_ALL]","I_ALL - 全部贸易伙伴","","000"))</f>
        <v/>
      </c>
      <c r="BI48" s="384">
        <f>IF(_epmOfflineCondition_,"I_ALL",EPMOlapMemberO(BI21,"[C_INTERCO].[PARENTH1].[I_ALL]","I_ALL - 全部贸易伙伴","","000"))</f>
        <v/>
      </c>
      <c r="BJ48" s="384">
        <f>IF(_epmOfflineCondition_,"I_ALL",EPMOlapMemberO(BJ21,"[C_INTERCO].[PARENTH1].[I_ALL]","I_ALL - 全部贸易伙伴","","000"))</f>
        <v/>
      </c>
      <c r="BK48" s="384">
        <f>IF(_epmOfflineCondition_,"I_ALL",EPMOlapMemberO(BK21,"[C_INTERCO].[PARENTH1].[I_ALL]","I_ALL - 全部贸易伙伴","","000"))</f>
        <v/>
      </c>
      <c r="BL48" s="384">
        <f>IF(_epmOfflineCondition_,"I_ALL",EPMOlapMemberO(BL21,"[C_INTERCO].[PARENTH1].[I_ALL]","I_ALL - 全部贸易伙伴","","000"))</f>
        <v/>
      </c>
      <c r="BM48" s="384">
        <f>IF(_epmOfflineCondition_,"I_ALL",EPMOlapMemberO(BM21,"[C_INTERCO].[PARENTH1].[I_ALL]","I_ALL - 全部贸易伙伴","","000"))</f>
        <v/>
      </c>
      <c r="BN48" s="384">
        <f>IF(_epmOfflineCondition_,"I_ALL",EPMOlapMemberO(BN21,"[C_INTERCO].[PARENTH1].[I_ALL]","I_ALL - 全部贸易伙伴","","000"))</f>
        <v/>
      </c>
      <c r="BO48" s="384">
        <f>IF(_epmOfflineCondition_,"I_ALL",EPMOlapMemberO(BO21,"[C_INTERCO].[PARENTH1].[I_ALL]","I_ALL - 全部贸易伙伴","","000"))</f>
        <v/>
      </c>
      <c r="BP48" s="384">
        <f>IF(_epmOfflineCondition_,"I_ALL",EPMOlapMemberO(BP21,"[C_INTERCO].[PARENTH1].[I_ALL]","I_ALL - 全部贸易伙伴","","000"))</f>
        <v/>
      </c>
      <c r="BQ48" s="384">
        <f>IF(_epmOfflineCondition_,"I_ALL",EPMOlapMemberO(BQ21,"[C_INTERCO].[PARENTH1].[I_ALL]","I_ALL - 全部贸易伙伴","","000"))</f>
        <v/>
      </c>
      <c r="BR48" s="384">
        <f>IF(_epmOfflineCondition_,"I_ALL",EPMOlapMemberO(BR21,"[C_INTERCO].[PARENTH1].[I_ALL]","I_ALL - 全部贸易伙伴","","000"))</f>
        <v/>
      </c>
      <c r="BS48" s="384">
        <f>IF(_epmOfflineCondition_,"I_ALL",EPMOlapMemberO(BS21,"[C_INTERCO].[PARENTH1].[I_ALL]","I_ALL - 全部贸易伙伴","","000"))</f>
        <v/>
      </c>
      <c r="BT48" s="384">
        <f>IF(_epmOfflineCondition_,"I_ALL",EPMOlapMemberO(BT21,"[C_INTERCO].[PARENTH1].[I_ALL]","I_ALL - 全部贸易伙伴","","000"))</f>
        <v/>
      </c>
      <c r="BU48" s="384">
        <f>IF(_epmOfflineCondition_,"I_ALL",EPMOlapMemberO(BU21,"[C_INTERCO].[PARENTH1].[I_ALL]","I_ALL - 全部贸易伙伴","","000"))</f>
        <v/>
      </c>
      <c r="BV48" s="384">
        <f>IF(_epmOfflineCondition_,"I_ALL",EPMOlapMemberO(BV21,"[C_INTERCO].[PARENTH1].[I_ALL]","I_ALL - 全部贸易伙伴","","000"))</f>
        <v/>
      </c>
      <c r="BW48" s="384">
        <f>IF(_epmOfflineCondition_,"I_ALL",EPMOlapMemberO(BW21,"[C_INTERCO].[PARENTH1].[I_ALL]","I_ALL - 全部贸易伙伴","","000"))</f>
        <v/>
      </c>
      <c r="BX48" s="384">
        <f>IF(_epmOfflineCondition_,"I_ALL",EPMOlapMemberO(BX21,"[C_INTERCO].[PARENTH1].[I_ALL]","I_ALL - 全部贸易伙伴","","000"))</f>
        <v/>
      </c>
      <c r="BY48" s="384">
        <f>IF(_epmOfflineCondition_,"I_ALL",EPMOlapMemberO(BY21,"[C_INTERCO].[PARENTH1].[I_ALL]","I_ALL - 全部贸易伙伴","","000"))</f>
        <v/>
      </c>
      <c r="BZ48" s="384">
        <f>IF(_epmOfflineCondition_,"I_ALL",EPMOlapMemberO(BZ21,"[C_INTERCO].[PARENTH1].[I_ALL]","I_ALL - 全部贸易伙伴","","000"))</f>
        <v/>
      </c>
      <c r="CA48" s="384">
        <f>IF(_epmOfflineCondition_,"I_ALL",EPMOlapMemberO(CA21,"[C_INTERCO].[PARENTH1].[I_ALL]","I_ALL - 全部贸易伙伴","","000"))</f>
        <v/>
      </c>
      <c r="CB48" s="384">
        <f>IF(_epmOfflineCondition_,"I_ALL",EPMOlapMemberO(CB21,"[C_INTERCO].[PARENTH1].[I_ALL]","I_ALL - 全部贸易伙伴","","000"))</f>
        <v/>
      </c>
      <c r="CC48" s="384">
        <f>IF(_epmOfflineCondition_,"I_ALL",EPMOlapMemberO(CC21,"[C_INTERCO].[PARENTH1].[I_ALL]","I_ALL - 全部贸易伙伴","","000"))</f>
        <v/>
      </c>
      <c r="CD48" s="384">
        <f>IF(_epmOfflineCondition_,"I_ALL",EPMOlapMemberO(CD21,"[C_INTERCO].[PARENTH1].[I_ALL]","I_ALL - 全部贸易伙伴","","000"))</f>
        <v/>
      </c>
      <c r="CE48" s="384">
        <f>IF(_epmOfflineCondition_,"I_ALL",EPMOlapMemberO(CE21,"[C_INTERCO].[PARENTH1].[I_ALL]","I_ALL - 全部贸易伙伴","","000"))</f>
        <v/>
      </c>
      <c r="CF48" s="384">
        <f>IF(_epmOfflineCondition_,"I_ALL",EPMOlapMemberO(CF21,"[C_INTERCO].[PARENTH1].[I_ALL]","I_ALL - 全部贸易伙伴","","000"))</f>
        <v/>
      </c>
      <c r="CG48" s="384">
        <f>IF(_epmOfflineCondition_,"I_ALL",EPMOlapMemberO(CG21,"[C_INTERCO].[PARENTH1].[I_ALL]","I_ALL - 全部贸易伙伴","","000"))</f>
        <v/>
      </c>
      <c r="CH48" s="384">
        <f>IF(_epmOfflineCondition_,"I_ALL",EPMOlapMemberO(CH21,"[C_INTERCO].[PARENTH1].[I_ALL]","I_ALL - 全部贸易伙伴","","000"))</f>
        <v/>
      </c>
      <c r="CI48" s="384">
        <f>IF(_epmOfflineCondition_,"I_ALL",EPMOlapMemberO(CI21,"[C_INTERCO].[PARENTH1].[I_ALL]","I_ALL - 全部贸易伙伴","","000"))</f>
        <v/>
      </c>
      <c r="CJ48" s="384">
        <f>IF(_epmOfflineCondition_,"I_ALL",EPMOlapMemberO(CJ21,"[C_INTERCO].[PARENTH1].[I_ALL]","I_ALL - 全部贸易伙伴","","000"))</f>
        <v/>
      </c>
      <c r="CK48" s="384">
        <f>IF(_epmOfflineCondition_,"I_ALL",EPMOlapMemberO(CK21,"[C_INTERCO].[PARENTH1].[I_ALL]","I_ALL - 全部贸易伙伴","","000"))</f>
        <v/>
      </c>
    </row>
    <row r="49" hidden="1" outlineLevel="1" s="1181">
      <c r="A49" s="384" t="n"/>
      <c r="B49" s="384" t="n"/>
      <c r="C49" s="384" t="n"/>
      <c r="D49" s="384" t="n"/>
      <c r="E49" s="384" t="n"/>
      <c r="F49" s="384" t="n"/>
      <c r="G49" s="384" t="n"/>
      <c r="H49" s="384" t="n"/>
      <c r="I49" s="384" t="n"/>
      <c r="J49" s="384" t="n"/>
      <c r="K49" s="384" t="n"/>
      <c r="L49" s="384" t="n"/>
      <c r="M49" s="384" t="n"/>
      <c r="N49" s="384" t="n"/>
      <c r="O49" s="384" t="n"/>
      <c r="P49" s="384" t="n"/>
      <c r="Q49" s="384" t="n"/>
      <c r="R49" s="384" t="n"/>
      <c r="S49" s="384" t="n"/>
      <c r="T49" s="384" t="n"/>
      <c r="U49" s="384" t="n"/>
      <c r="V49" s="384" t="n"/>
      <c r="W49" s="384">
        <f>IF(_epmOfflineCondition_,"ZP_ALL",EPMOlapMemberO(W19,"[C_PROJECT].[PARENTH1].[ZP_ALL]","ZP_ALL - 项目合计","","000"))</f>
        <v/>
      </c>
      <c r="X49" s="384">
        <f>IF(_epmOfflineCondition_,"ZP_ALL",EPMOlapMemberO(X19,"[C_PROJECT].[PARENTH1].[ZP_ALL]","ZP_ALL - 项目合计","","000"))</f>
        <v/>
      </c>
      <c r="Y49" s="384">
        <f>IF(_epmOfflineCondition_,"ZP_ALL",EPMOlapMemberO(Y19,"[C_PROJECT].[PARENTH1].[ZP_ALL]","ZP_ALL - 项目合计","","000"))</f>
        <v/>
      </c>
      <c r="Z49" s="384">
        <f>IF(_epmOfflineCondition_,"ZP_ALL",EPMOlapMemberO(Z19,"[C_PROJECT].[PARENTH1].[ZP_ALL]","ZP_ALL - 项目合计","","000"))</f>
        <v/>
      </c>
      <c r="AA49" s="384">
        <f>IF(_epmOfflineCondition_,"ZP_ALL",EPMOlapMemberO(AA19,"[C_PROJECT].[PARENTH1].[ZP_ALL]","ZP_ALL - 项目合计","","000"))</f>
        <v/>
      </c>
      <c r="AB49" s="384">
        <f>IF(_epmOfflineCondition_,"ZP_ALL",EPMOlapMemberO(AB19,"[C_PROJECT].[PARENTH1].[ZP_ALL]","ZP_ALL - 项目合计","","000"))</f>
        <v/>
      </c>
      <c r="AC49" s="384">
        <f>IF(_epmOfflineCondition_,"ZP_ALL",EPMOlapMemberO(AC19,"[C_PROJECT].[PARENTH1].[ZP_ALL]","ZP_ALL - 项目合计","","000"))</f>
        <v/>
      </c>
      <c r="AD49" s="384">
        <f>IF(_epmOfflineCondition_,"ZP_DUMMY",EPMOlapMemberO(AD19,"[C_PROJECT].[PARENTH1].[ZP_DUMMY]","ZP_DUMMY - 项目无关","","000"))</f>
        <v/>
      </c>
      <c r="AE49" s="384">
        <f>IF(_epmOfflineCondition_,"ZP_DUMMY",EPMOlapMemberO(AE19,"[C_PROJECT].[PARENTH1].[ZP_DUMMY]","ZP_DUMMY - 项目无关","","000"))</f>
        <v/>
      </c>
      <c r="AF49" s="384">
        <f>IF(_epmOfflineCondition_,"ZP_DUMMY",EPMOlapMemberO(AF19,"[C_PROJECT].[PARENTH1].[ZP_DUMMY]","ZP_DUMMY - 项目无关","","000"))</f>
        <v/>
      </c>
      <c r="AG49" s="384">
        <f>IF(_epmOfflineCondition_,"ZP_DUMMY",EPMOlapMemberO(AG19,"[C_PROJECT].[PARENTH1].[ZP_DUMMY]","ZP_DUMMY - 项目无关","","000"))</f>
        <v/>
      </c>
      <c r="AH49" s="384">
        <f>IF(_epmOfflineCondition_,"ZP_DUMMY",EPMOlapMemberO(AH19,"[C_PROJECT].[PARENTH1].[ZP_DUMMY]","ZP_DUMMY - 项目无关","","000"))</f>
        <v/>
      </c>
      <c r="AI49" s="384">
        <f>IF(_epmOfflineCondition_,"ZP_DUMMY",EPMOlapMemberO(AI19,"[C_PROJECT].[PARENTH1].[ZP_DUMMY]","ZP_DUMMY - 项目无关","","000"))</f>
        <v/>
      </c>
      <c r="AJ49" s="384">
        <f>IF(_epmOfflineCondition_,"ZP_ALL",EPMOlapMemberO(AJ19,"[C_PROJECT].[PARENTH1].[ZP_ALL]","ZP_ALL - 项目合计","","000"))</f>
        <v/>
      </c>
      <c r="AK49" s="384">
        <f>IF(_epmOfflineCondition_,"ZP_ALL",EPMOlapMemberO(AK19,"[C_PROJECT].[PARENTH1].[ZP_ALL]","ZP_ALL - 项目合计","","000"))</f>
        <v/>
      </c>
      <c r="AL49" s="384">
        <f>IF(_epmOfflineCondition_,"ZP_ALL",EPMOlapMemberO(AL19,"[C_PROJECT].[PARENTH1].[ZP_ALL]","ZP_ALL - 项目合计","","000"))</f>
        <v/>
      </c>
      <c r="AM49" s="384">
        <f>IF(_epmOfflineCondition_,"ZP_ALL",EPMOlapMemberO(AM19,"[C_PROJECT].[PARENTH1].[ZP_ALL]","ZP_ALL - 项目合计","","000"))</f>
        <v/>
      </c>
      <c r="AN49" s="384">
        <f>IF(_epmOfflineCondition_,"ZP_ALL",EPMOlapMemberO(AN19,"[C_PROJECT].[PARENTH1].[ZP_ALL]","ZP_ALL - 项目合计","","000"))</f>
        <v/>
      </c>
      <c r="AO49" s="384">
        <f>IF(_epmOfflineCondition_,"ZP_ALL",EPMOlapMemberO(AO19,"[C_PROJECT].[PARENTH1].[ZP_ALL]","ZP_ALL - 项目合计","","000"))</f>
        <v/>
      </c>
      <c r="AP49" s="384">
        <f>IF(_epmOfflineCondition_,"ZP_ALL",EPMOlapMemberO(AP19,"[C_PROJECT].[PARENTH1].[ZP_ALL]","ZP_ALL - 项目合计","","000"))</f>
        <v/>
      </c>
      <c r="AQ49" s="384">
        <f>IF(_epmOfflineCondition_,"ZP_ALL",EPMOlapMemberO(AQ19,"[C_PROJECT].[PARENTH1].[ZP_ALL]","ZP_ALL - 项目合计","","000"))</f>
        <v/>
      </c>
      <c r="AR49" s="384">
        <f>IF(_epmOfflineCondition_,"ZP_ALL",EPMOlapMemberO(AR19,"[C_PROJECT].[PARENTH1].[ZP_ALL]","ZP_ALL - 项目合计","","000"))</f>
        <v/>
      </c>
      <c r="AS49" s="384">
        <f>IF(_epmOfflineCondition_,"ZP_ALL",EPMOlapMemberO(AS19,"[C_PROJECT].[PARENTH1].[ZP_ALL]","ZP_ALL - 项目合计","","000"))</f>
        <v/>
      </c>
      <c r="AT49" s="384">
        <f>IF(_epmOfflineCondition_,"ZP_ALL",EPMOlapMemberO(AT19,"[C_PROJECT].[PARENTH1].[ZP_ALL]","ZP_ALL - 项目合计","","000"))</f>
        <v/>
      </c>
      <c r="AU49" s="384">
        <f>IF(_epmOfflineCondition_,"ZP_ALL",EPMOlapMemberO(AU19,"[C_PROJECT].[PARENTH1].[ZP_ALL]","ZP_ALL - 项目合计","","000"))</f>
        <v/>
      </c>
      <c r="AV49" s="384">
        <f>IF(_epmOfflineCondition_,"ZP_ALL",EPMOlapMemberO(AV19,"[C_PROJECT].[PARENTH1].[ZP_ALL]","ZP_ALL - 项目合计","","000"))</f>
        <v/>
      </c>
      <c r="AW49" s="384">
        <f>IF(_epmOfflineCondition_,"ZP_ALL",EPMOlapMemberO(AW19,"[C_PROJECT].[PARENTH1].[ZP_ALL]","ZP_ALL - 项目合计","","000"))</f>
        <v/>
      </c>
      <c r="AX49" s="384">
        <f>IF(_epmOfflineCondition_,"ZP_ALL",EPMOlapMemberO(AX19,"[C_PROJECT].[PARENTH1].[ZP_ALL]","ZP_ALL - 项目合计","","000"))</f>
        <v/>
      </c>
      <c r="AY49" s="384">
        <f>IF(_epmOfflineCondition_,"ZP_ALL",EPMOlapMemberO(AY19,"[C_PROJECT].[PARENTH1].[ZP_ALL]","ZP_ALL - 项目合计","","000"))</f>
        <v/>
      </c>
      <c r="AZ49" s="384">
        <f>IF(_epmOfflineCondition_,"ZP_ALL",EPMOlapMemberO(AZ19,"[C_PROJECT].[PARENTH1].[ZP_ALL]","ZP_ALL - 项目合计","","000"))</f>
        <v/>
      </c>
      <c r="BA49" s="384">
        <f>IF(_epmOfflineCondition_,"ZP_ALL",EPMOlapMemberO(BA19,"[C_PROJECT].[PARENTH1].[ZP_ALL]","ZP_ALL - 项目合计","","000"))</f>
        <v/>
      </c>
      <c r="BB49" s="384">
        <f>IF(_epmOfflineCondition_,"ZP_ALL",EPMOlapMemberO(BB19,"[C_PROJECT].[PARENTH1].[ZP_ALL]","ZP_ALL - 项目合计","","000"))</f>
        <v/>
      </c>
      <c r="BC49" s="384">
        <f>IF(_epmOfflineCondition_,"ZP_ALL",EPMOlapMemberO(BC19,"[C_PROJECT].[PARENTH1].[ZP_ALL]","ZP_ALL - 项目合计","","000"))</f>
        <v/>
      </c>
      <c r="BD49" s="384">
        <f>IF(_epmOfflineCondition_,"ZP_ALL",EPMOlapMemberO(BD19,"[C_PROJECT].[PARENTH1].[ZP_ALL]","ZP_ALL - 项目合计","","000"))</f>
        <v/>
      </c>
      <c r="BE49" s="384">
        <f>IF(_epmOfflineCondition_,"ZP_ALL",EPMOlapMemberO(BE19,"[C_PROJECT].[PARENTH1].[ZP_ALL]","ZP_ALL - 项目合计","","000"))</f>
        <v/>
      </c>
      <c r="BF49" s="384">
        <f>IF(_epmOfflineCondition_,"ZP_ALL",EPMOlapMemberO(BF19,"[C_PROJECT].[PARENTH1].[ZP_ALL]","ZP_ALL - 项目合计","","000"))</f>
        <v/>
      </c>
      <c r="BG49" s="384">
        <f>IF(_epmOfflineCondition_,"ZP_ALL",EPMOlapMemberO(BG19,"[C_PROJECT].[PARENTH1].[ZP_ALL]","ZP_ALL - 项目合计","","000"))</f>
        <v/>
      </c>
      <c r="BH49" s="384">
        <f>IF(_epmOfflineCondition_,"ZP_ALL",EPMOlapMemberO(BH19,"[C_PROJECT].[PARENTH1].[ZP_ALL]","ZP_ALL - 项目合计","","000"))</f>
        <v/>
      </c>
      <c r="BI49" s="384">
        <f>IF(_epmOfflineCondition_,"ZP_ALL",EPMOlapMemberO(BI19,"[C_PROJECT].[PARENTH1].[ZP_ALL]","ZP_ALL - 项目合计","","000"))</f>
        <v/>
      </c>
      <c r="BJ49" s="384">
        <f>IF(_epmOfflineCondition_,"ZP_ALL",EPMOlapMemberO(BJ19,"[C_PROJECT].[PARENTH1].[ZP_ALL]","ZP_ALL - 项目合计","","000"))</f>
        <v/>
      </c>
      <c r="BK49" s="384">
        <f>IF(_epmOfflineCondition_,"ZP_ALL",EPMOlapMemberO(BK19,"[C_PROJECT].[PARENTH1].[ZP_ALL]","ZP_ALL - 项目合计","","000"))</f>
        <v/>
      </c>
      <c r="BL49" s="384">
        <f>IF(_epmOfflineCondition_,"ZP_ALL",EPMOlapMemberO(BL19,"[C_PROJECT].[PARENTH1].[ZP_ALL]","ZP_ALL - 项目合计","","000"))</f>
        <v/>
      </c>
      <c r="BM49" s="384">
        <f>IF(_epmOfflineCondition_,"ZP_ALL",EPMOlapMemberO(BM19,"[C_PROJECT].[PARENTH1].[ZP_ALL]","ZP_ALL - 项目合计","","000"))</f>
        <v/>
      </c>
      <c r="BN49" s="384">
        <f>IF(_epmOfflineCondition_,"ZP_ALL",EPMOlapMemberO(BN19,"[C_PROJECT].[PARENTH1].[ZP_ALL]","ZP_ALL - 项目合计","","000"))</f>
        <v/>
      </c>
      <c r="BO49" s="384">
        <f>IF(_epmOfflineCondition_,"ZP_ALL",EPMOlapMemberO(BO19,"[C_PROJECT].[PARENTH1].[ZP_ALL]","ZP_ALL - 项目合计","","000"))</f>
        <v/>
      </c>
      <c r="BP49" s="384">
        <f>IF(_epmOfflineCondition_,"ZP_ALL",EPMOlapMemberO(BP19,"[C_PROJECT].[PARENTH1].[ZP_ALL]","ZP_ALL - 项目合计","","000"))</f>
        <v/>
      </c>
      <c r="BQ49" s="384">
        <f>IF(_epmOfflineCondition_,"ZP_ALL",EPMOlapMemberO(BQ19,"[C_PROJECT].[PARENTH1].[ZP_ALL]","ZP_ALL - 项目合计","","000"))</f>
        <v/>
      </c>
      <c r="BR49" s="384">
        <f>IF(_epmOfflineCondition_,"ZP_ALL",EPMOlapMemberO(BR19,"[C_PROJECT].[PARENTH1].[ZP_ALL]","ZP_ALL - 项目合计","","000"))</f>
        <v/>
      </c>
      <c r="BS49" s="384">
        <f>IF(_epmOfflineCondition_,"ZP_ALL",EPMOlapMemberO(BS19,"[C_PROJECT].[PARENTH1].[ZP_ALL]","ZP_ALL - 项目合计","","000"))</f>
        <v/>
      </c>
      <c r="BT49" s="384">
        <f>IF(_epmOfflineCondition_,"ZP_ALL",EPMOlapMemberO(BT19,"[C_PROJECT].[PARENTH1].[ZP_ALL]","ZP_ALL - 项目合计","","000"))</f>
        <v/>
      </c>
      <c r="BU49" s="384">
        <f>IF(_epmOfflineCondition_,"ZP_ALL",EPMOlapMemberO(BU19,"[C_PROJECT].[PARENTH1].[ZP_ALL]","ZP_ALL - 项目合计","","000"))</f>
        <v/>
      </c>
      <c r="BV49" s="384">
        <f>IF(_epmOfflineCondition_,"ZP_ALL",EPMOlapMemberO(BV19,"[C_PROJECT].[PARENTH1].[ZP_ALL]","ZP_ALL - 项目合计","","000"))</f>
        <v/>
      </c>
      <c r="BW49" s="384">
        <f>IF(_epmOfflineCondition_,"ZP_ALL",EPMOlapMemberO(BW19,"[C_PROJECT].[PARENTH1].[ZP_ALL]","ZP_ALL - 项目合计","","000"))</f>
        <v/>
      </c>
      <c r="BX49" s="384">
        <f>IF(_epmOfflineCondition_,"ZP_ALL",EPMOlapMemberO(BX19,"[C_PROJECT].[PARENTH1].[ZP_ALL]","ZP_ALL - 项目合计","","000"))</f>
        <v/>
      </c>
      <c r="BY49" s="384">
        <f>IF(_epmOfflineCondition_,"ZP_ALL",EPMOlapMemberO(BY19,"[C_PROJECT].[PARENTH1].[ZP_ALL]","ZP_ALL - 项目合计","","000"))</f>
        <v/>
      </c>
      <c r="BZ49" s="384">
        <f>IF(_epmOfflineCondition_,"ZP_ALL",EPMOlapMemberO(BZ19,"[C_PROJECT].[PARENTH1].[ZP_ALL]","ZP_ALL - 项目合计","","000"))</f>
        <v/>
      </c>
      <c r="CA49" s="384">
        <f>IF(_epmOfflineCondition_,"ZP_ALL",EPMOlapMemberO(CA19,"[C_PROJECT].[PARENTH1].[ZP_ALL]","ZP_ALL - 项目合计","","000"))</f>
        <v/>
      </c>
      <c r="CB49" s="384">
        <f>IF(_epmOfflineCondition_,"ZP_ALL",EPMOlapMemberO(CB19,"[C_PROJECT].[PARENTH1].[ZP_ALL]","ZP_ALL - 项目合计","","000"))</f>
        <v/>
      </c>
      <c r="CC49" s="384">
        <f>IF(_epmOfflineCondition_,"ZP_ALL",EPMOlapMemberO(CC19,"[C_PROJECT].[PARENTH1].[ZP_ALL]","ZP_ALL - 项目合计","","000"))</f>
        <v/>
      </c>
      <c r="CD49" s="384">
        <f>IF(_epmOfflineCondition_,"ZP_ALL",EPMOlapMemberO(CD19,"[C_PROJECT].[PARENTH1].[ZP_ALL]","ZP_ALL - 项目合计","","000"))</f>
        <v/>
      </c>
      <c r="CE49" s="384">
        <f>IF(_epmOfflineCondition_,"ZP_ALL",EPMOlapMemberO(CE19,"[C_PROJECT].[PARENTH1].[ZP_ALL]","ZP_ALL - 项目合计","","000"))</f>
        <v/>
      </c>
      <c r="CF49" s="384">
        <f>IF(_epmOfflineCondition_,"ZP_ALL",EPMOlapMemberO(CF19,"[C_PROJECT].[PARENTH1].[ZP_ALL]","ZP_ALL - 项目合计","","000"))</f>
        <v/>
      </c>
      <c r="CG49" s="384">
        <f>IF(_epmOfflineCondition_,"ZP_ALL",EPMOlapMemberO(CG19,"[C_PROJECT].[PARENTH1].[ZP_ALL]","ZP_ALL - 项目合计","","000"))</f>
        <v/>
      </c>
      <c r="CH49" s="384">
        <f>IF(_epmOfflineCondition_,"ZP_ALL",EPMOlapMemberO(CH19,"[C_PROJECT].[PARENTH1].[ZP_ALL]","ZP_ALL - 项目合计","","000"))</f>
        <v/>
      </c>
      <c r="CI49" s="384">
        <f>IF(_epmOfflineCondition_,"ZP_ALL",EPMOlapMemberO(CI19,"[C_PROJECT].[PARENTH1].[ZP_ALL]","ZP_ALL - 项目合计","","000"))</f>
        <v/>
      </c>
      <c r="CJ49" s="384">
        <f>IF(_epmOfflineCondition_,"ZP_ALL",EPMOlapMemberO(CJ19,"[C_PROJECT].[PARENTH1].[ZP_ALL]","ZP_ALL - 项目合计","","000"))</f>
        <v/>
      </c>
      <c r="CK49" s="384">
        <f>IF(_epmOfflineCondition_,"ZP_ALL",EPMOlapMemberO(CK19,"[C_PROJECT].[PARENTH1].[ZP_ALL]","ZP_ALL - 项目合计","","000"))</f>
        <v/>
      </c>
    </row>
    <row r="50" hidden="1" outlineLevel="1" s="1181">
      <c r="A50" s="384" t="n"/>
      <c r="B50" s="384" t="n"/>
      <c r="C50" s="384" t="n"/>
      <c r="D50" s="384" t="n"/>
      <c r="E50" s="384" t="n"/>
      <c r="F50" s="384" t="n"/>
      <c r="G50" s="384" t="n"/>
      <c r="H50" s="384" t="n"/>
      <c r="I50" s="384" t="n"/>
      <c r="J50" s="384" t="n"/>
      <c r="K50" s="384" t="n"/>
      <c r="L50" s="384" t="n"/>
      <c r="M50" s="384" t="n"/>
      <c r="N50" s="384" t="n"/>
      <c r="O50" s="384" t="n"/>
      <c r="P50" s="384" t="n"/>
      <c r="Q50" s="384" t="n"/>
      <c r="R50" s="384" t="n"/>
      <c r="S50" s="384" t="n"/>
      <c r="T50" s="384" t="n"/>
      <c r="U50" s="384" t="n"/>
      <c r="V50" s="384" t="n"/>
      <c r="W50" s="384">
        <f>IF(_epmOfflineCondition_,"ZI_ALL",EPMOlapMemberO(W20,"[C_ITEM].[PARENTH1].[ZI_ALL]","ZI_ALL - 全部ITEM","","000"))</f>
        <v/>
      </c>
      <c r="X50" s="384">
        <f>IF(_epmOfflineCondition_,"ZI_ALL",EPMOlapMemberO(X20,"[C_ITEM].[PARENTH1].[ZI_ALL]","ZI_ALL - 全部ITEM","","000"))</f>
        <v/>
      </c>
      <c r="Y50" s="384">
        <f>IF(_epmOfflineCondition_,"ZI_ALL",EPMOlapMemberO(Y20,"[C_ITEM].[PARENTH1].[ZI_ALL]","ZI_ALL - 全部ITEM","","000"))</f>
        <v/>
      </c>
      <c r="Z50" s="384">
        <f>IF(_epmOfflineCondition_,"ZI_ALL",EPMOlapMemberO(Z20,"[C_ITEM].[PARENTH1].[ZI_ALL]","ZI_ALL - 全部ITEM","","000"))</f>
        <v/>
      </c>
      <c r="AA50" s="384">
        <f>IF(_epmOfflineCondition_,"ZI_ALL",EPMOlapMemberO(AA20,"[C_ITEM].[PARENTH1].[ZI_ALL]","ZI_ALL - 全部ITEM","","000"))</f>
        <v/>
      </c>
      <c r="AB50" s="384">
        <f>IF(_epmOfflineCondition_,"ZI_ALL",EPMOlapMemberO(AB20,"[C_ITEM].[PARENTH1].[ZI_ALL]","ZI_ALL - 全部ITEM","","000"))</f>
        <v/>
      </c>
      <c r="AC50" s="384">
        <f>IF(_epmOfflineCondition_,"ZI_ALL",EPMOlapMemberO(AC20,"[C_ITEM].[PARENTH1].[ZI_ALL]","ZI_ALL - 全部ITEM","","000"))</f>
        <v/>
      </c>
      <c r="AD50" s="384">
        <f>IF(_epmOfflineCondition_,"ZI_DUMMY",EPMOlapMemberO(AD20,"[C_ITEM].[PARENTH1].[ZI_DUMMY]","ZI_DUMMY - 与子项无关","","000"))</f>
        <v/>
      </c>
      <c r="AE50" s="384">
        <f>IF(_epmOfflineCondition_,"ZI_DUMMY",EPMOlapMemberO(AE20,"[C_ITEM].[PARENTH1].[ZI_DUMMY]","ZI_DUMMY - 与子项无关","","000"))</f>
        <v/>
      </c>
      <c r="AF50" s="384">
        <f>IF(_epmOfflineCondition_,"ZI_DUMMY",EPMOlapMemberO(AF20,"[C_ITEM].[PARENTH1].[ZI_DUMMY]","ZI_DUMMY - 与子项无关","","000"))</f>
        <v/>
      </c>
      <c r="AG50" s="384">
        <f>IF(_epmOfflineCondition_,"ZI_DUMMY",EPMOlapMemberO(AG20,"[C_ITEM].[PARENTH1].[ZI_DUMMY]","ZI_DUMMY - 与子项无关","","000"))</f>
        <v/>
      </c>
      <c r="AH50" s="384">
        <f>IF(_epmOfflineCondition_,"ZI_DUMMY",EPMOlapMemberO(AH20,"[C_ITEM].[PARENTH1].[ZI_DUMMY]","ZI_DUMMY - 与子项无关","","000"))</f>
        <v/>
      </c>
      <c r="AI50" s="384">
        <f>IF(_epmOfflineCondition_,"ZI_DUMMY",EPMOlapMemberO(AI20,"[C_ITEM].[PARENTH1].[ZI_DUMMY]","ZI_DUMMY - 与子项无关","","000"))</f>
        <v/>
      </c>
      <c r="AJ50" s="384">
        <f>IF(_epmOfflineCondition_,"ZI_ALL",EPMOlapMemberO(AJ20,"[C_ITEM].[PARENTH1].[ZI_ALL]","ZI_ALL - 全部ITEM","","000"))</f>
        <v/>
      </c>
      <c r="AK50" s="384">
        <f>IF(_epmOfflineCondition_,"ZI_ALL",EPMOlapMemberO(AK20,"[C_ITEM].[PARENTH1].[ZI_ALL]","ZI_ALL - 全部ITEM","","000"))</f>
        <v/>
      </c>
      <c r="AL50" s="384">
        <f>IF(_epmOfflineCondition_,"ZI_ALL",EPMOlapMemberO(AL20,"[C_ITEM].[PARENTH1].[ZI_ALL]","ZI_ALL - 全部ITEM","","000"))</f>
        <v/>
      </c>
      <c r="AM50" s="384">
        <f>IF(_epmOfflineCondition_,"ZI_ALL",EPMOlapMemberO(AM20,"[C_ITEM].[PARENTH1].[ZI_ALL]","ZI_ALL - 全部ITEM","","000"))</f>
        <v/>
      </c>
      <c r="AN50" s="384">
        <f>IF(_epmOfflineCondition_,"ZI_ALL",EPMOlapMemberO(AN20,"[C_ITEM].[PARENTH1].[ZI_ALL]","ZI_ALL - 全部ITEM","","000"))</f>
        <v/>
      </c>
      <c r="AO50" s="384">
        <f>IF(_epmOfflineCondition_,"ZI_ALL",EPMOlapMemberO(AO20,"[C_ITEM].[PARENTH1].[ZI_ALL]","ZI_ALL - 全部ITEM","","000"))</f>
        <v/>
      </c>
      <c r="AP50" s="384">
        <f>IF(_epmOfflineCondition_,"ZI_ALL",EPMOlapMemberO(AP20,"[C_ITEM].[PARENTH1].[ZI_ALL]","ZI_ALL - 全部ITEM","","000"))</f>
        <v/>
      </c>
      <c r="AQ50" s="384">
        <f>IF(_epmOfflineCondition_,"ZI_ALL",EPMOlapMemberO(AQ20,"[C_ITEM].[PARENTH1].[ZI_ALL]","ZI_ALL - 全部ITEM","","000"))</f>
        <v/>
      </c>
      <c r="AR50" s="384">
        <f>IF(_epmOfflineCondition_,"ZI_ALL",EPMOlapMemberO(AR20,"[C_ITEM].[PARENTH1].[ZI_ALL]","ZI_ALL - 全部ITEM","","000"))</f>
        <v/>
      </c>
      <c r="AS50" s="384">
        <f>IF(_epmOfflineCondition_,"ZI_ALL",EPMOlapMemberO(AS20,"[C_ITEM].[PARENTH1].[ZI_ALL]","ZI_ALL - 全部ITEM","","000"))</f>
        <v/>
      </c>
      <c r="AT50" s="384">
        <f>IF(_epmOfflineCondition_,"ZI_ALL",EPMOlapMemberO(AT20,"[C_ITEM].[PARENTH1].[ZI_ALL]","ZI_ALL - 全部ITEM","","000"))</f>
        <v/>
      </c>
      <c r="AU50" s="384">
        <f>IF(_epmOfflineCondition_,"ZI_ALL",EPMOlapMemberO(AU20,"[C_ITEM].[PARENTH1].[ZI_ALL]","ZI_ALL - 全部ITEM","","000"))</f>
        <v/>
      </c>
      <c r="AV50" s="384">
        <f>IF(_epmOfflineCondition_,"ZI_ALL",EPMOlapMemberO(AV20,"[C_ITEM].[PARENTH1].[ZI_ALL]","ZI_ALL - 全部ITEM","","000"))</f>
        <v/>
      </c>
      <c r="AW50" s="384">
        <f>IF(_epmOfflineCondition_,"ZI_ALL",EPMOlapMemberO(AW20,"[C_ITEM].[PARENTH1].[ZI_ALL]","ZI_ALL - 全部ITEM","","000"))</f>
        <v/>
      </c>
      <c r="AX50" s="384">
        <f>IF(_epmOfflineCondition_,"ZI_ALL",EPMOlapMemberO(AX20,"[C_ITEM].[PARENTH1].[ZI_ALL]","ZI_ALL - 全部ITEM","","000"))</f>
        <v/>
      </c>
      <c r="AY50" s="384">
        <f>IF(_epmOfflineCondition_,"ZI_ALL",EPMOlapMemberO(AY20,"[C_ITEM].[PARENTH1].[ZI_ALL]","ZI_ALL - 全部ITEM","","000"))</f>
        <v/>
      </c>
      <c r="AZ50" s="384">
        <f>IF(_epmOfflineCondition_,"ZI_ALL",EPMOlapMemberO(AZ20,"[C_ITEM].[PARENTH1].[ZI_ALL]","ZI_ALL - 全部ITEM","","000"))</f>
        <v/>
      </c>
      <c r="BA50" s="384">
        <f>IF(_epmOfflineCondition_,"ZI_ALL",EPMOlapMemberO(BA20,"[C_ITEM].[PARENTH1].[ZI_ALL]","ZI_ALL - 全部ITEM","","000"))</f>
        <v/>
      </c>
      <c r="BB50" s="384">
        <f>IF(_epmOfflineCondition_,"ZI_ALL",EPMOlapMemberO(BB20,"[C_ITEM].[PARENTH1].[ZI_ALL]","ZI_ALL - 全部ITEM","","000"))</f>
        <v/>
      </c>
      <c r="BC50" s="384">
        <f>IF(_epmOfflineCondition_,"ZI_ALL",EPMOlapMemberO(BC20,"[C_ITEM].[PARENTH1].[ZI_ALL]","ZI_ALL - 全部ITEM","","000"))</f>
        <v/>
      </c>
      <c r="BD50" s="384">
        <f>IF(_epmOfflineCondition_,"ZI_ALL",EPMOlapMemberO(BD20,"[C_ITEM].[PARENTH1].[ZI_ALL]","ZI_ALL - 全部ITEM","","000"))</f>
        <v/>
      </c>
      <c r="BE50" s="384">
        <f>IF(_epmOfflineCondition_,"ZI_ALL",EPMOlapMemberO(BE20,"[C_ITEM].[PARENTH1].[ZI_ALL]","ZI_ALL - 全部ITEM","","000"))</f>
        <v/>
      </c>
      <c r="BF50" s="384">
        <f>IF(_epmOfflineCondition_,"ZI_ALL",EPMOlapMemberO(BF20,"[C_ITEM].[PARENTH1].[ZI_ALL]","ZI_ALL - 全部ITEM","","000"))</f>
        <v/>
      </c>
      <c r="BG50" s="384">
        <f>IF(_epmOfflineCondition_,"ZI_ALL",EPMOlapMemberO(BG20,"[C_ITEM].[PARENTH1].[ZI_ALL]","ZI_ALL - 全部ITEM","","000"))</f>
        <v/>
      </c>
      <c r="BH50" s="384">
        <f>IF(_epmOfflineCondition_,"ZI_ALL",EPMOlapMemberO(BH20,"[C_ITEM].[PARENTH1].[ZI_ALL]","ZI_ALL - 全部ITEM","","000"))</f>
        <v/>
      </c>
      <c r="BI50" s="384">
        <f>IF(_epmOfflineCondition_,"ZI_ALL",EPMOlapMemberO(BI20,"[C_ITEM].[PARENTH1].[ZI_ALL]","ZI_ALL - 全部ITEM","","000"))</f>
        <v/>
      </c>
      <c r="BJ50" s="384">
        <f>IF(_epmOfflineCondition_,"ZI_ALL",EPMOlapMemberO(BJ20,"[C_ITEM].[PARENTH1].[ZI_ALL]","ZI_ALL - 全部ITEM","","000"))</f>
        <v/>
      </c>
      <c r="BK50" s="384">
        <f>IF(_epmOfflineCondition_,"ZI_ALL",EPMOlapMemberO(BK20,"[C_ITEM].[PARENTH1].[ZI_ALL]","ZI_ALL - 全部ITEM","","000"))</f>
        <v/>
      </c>
      <c r="BL50" s="384">
        <f>IF(_epmOfflineCondition_,"ZI_ALL",EPMOlapMemberO(BL20,"[C_ITEM].[PARENTH1].[ZI_ALL]","ZI_ALL - 全部ITEM","","000"))</f>
        <v/>
      </c>
      <c r="BM50" s="384">
        <f>IF(_epmOfflineCondition_,"ZI_ALL",EPMOlapMemberO(BM20,"[C_ITEM].[PARENTH1].[ZI_ALL]","ZI_ALL - 全部ITEM","","000"))</f>
        <v/>
      </c>
      <c r="BN50" s="384">
        <f>IF(_epmOfflineCondition_,"ZI_ALL",EPMOlapMemberO(BN20,"[C_ITEM].[PARENTH1].[ZI_ALL]","ZI_ALL - 全部ITEM","","000"))</f>
        <v/>
      </c>
      <c r="BO50" s="384">
        <f>IF(_epmOfflineCondition_,"ZI_ALL",EPMOlapMemberO(BO20,"[C_ITEM].[PARENTH1].[ZI_ALL]","ZI_ALL - 全部ITEM","","000"))</f>
        <v/>
      </c>
      <c r="BP50" s="384">
        <f>IF(_epmOfflineCondition_,"ZI_ALL",EPMOlapMemberO(BP20,"[C_ITEM].[PARENTH1].[ZI_ALL]","ZI_ALL - 全部ITEM","","000"))</f>
        <v/>
      </c>
      <c r="BQ50" s="384">
        <f>IF(_epmOfflineCondition_,"ZI_ALL",EPMOlapMemberO(BQ20,"[C_ITEM].[PARENTH1].[ZI_ALL]","ZI_ALL - 全部ITEM","","000"))</f>
        <v/>
      </c>
      <c r="BR50" s="384">
        <f>IF(_epmOfflineCondition_,"ZI_ALL",EPMOlapMemberO(BR20,"[C_ITEM].[PARENTH1].[ZI_ALL]","ZI_ALL - 全部ITEM","","000"))</f>
        <v/>
      </c>
      <c r="BS50" s="384">
        <f>IF(_epmOfflineCondition_,"ZI_ALL",EPMOlapMemberO(BS20,"[C_ITEM].[PARENTH1].[ZI_ALL]","ZI_ALL - 全部ITEM","","000"))</f>
        <v/>
      </c>
      <c r="BT50" s="384">
        <f>IF(_epmOfflineCondition_,"ZI_ALL",EPMOlapMemberO(BT20,"[C_ITEM].[PARENTH1].[ZI_ALL]","ZI_ALL - 全部ITEM","","000"))</f>
        <v/>
      </c>
      <c r="BU50" s="384">
        <f>IF(_epmOfflineCondition_,"ZI_ALL",EPMOlapMemberO(BU20,"[C_ITEM].[PARENTH1].[ZI_ALL]","ZI_ALL - 全部ITEM","","000"))</f>
        <v/>
      </c>
      <c r="BV50" s="384">
        <f>IF(_epmOfflineCondition_,"ZI_ALL",EPMOlapMemberO(BV20,"[C_ITEM].[PARENTH1].[ZI_ALL]","ZI_ALL - 全部ITEM","","000"))</f>
        <v/>
      </c>
      <c r="BW50" s="384">
        <f>IF(_epmOfflineCondition_,"ZI_ALL",EPMOlapMemberO(BW20,"[C_ITEM].[PARENTH1].[ZI_ALL]","ZI_ALL - 全部ITEM","","000"))</f>
        <v/>
      </c>
      <c r="BX50" s="384">
        <f>IF(_epmOfflineCondition_,"ZI_ALL",EPMOlapMemberO(BX20,"[C_ITEM].[PARENTH1].[ZI_ALL]","ZI_ALL - 全部ITEM","","000"))</f>
        <v/>
      </c>
      <c r="BY50" s="384">
        <f>IF(_epmOfflineCondition_,"ZI_ALL",EPMOlapMemberO(BY20,"[C_ITEM].[PARENTH1].[ZI_ALL]","ZI_ALL - 全部ITEM","","000"))</f>
        <v/>
      </c>
      <c r="BZ50" s="384">
        <f>IF(_epmOfflineCondition_,"ZI_ALL",EPMOlapMemberO(BZ20,"[C_ITEM].[PARENTH1].[ZI_ALL]","ZI_ALL - 全部ITEM","","000"))</f>
        <v/>
      </c>
      <c r="CA50" s="384">
        <f>IF(_epmOfflineCondition_,"ZI_ALL",EPMOlapMemberO(CA20,"[C_ITEM].[PARENTH1].[ZI_ALL]","ZI_ALL - 全部ITEM","","000"))</f>
        <v/>
      </c>
      <c r="CB50" s="384">
        <f>IF(_epmOfflineCondition_,"ZI_ALL",EPMOlapMemberO(CB20,"[C_ITEM].[PARENTH1].[ZI_ALL]","ZI_ALL - 全部ITEM","","000"))</f>
        <v/>
      </c>
      <c r="CC50" s="384">
        <f>IF(_epmOfflineCondition_,"ZI_ALL",EPMOlapMemberO(CC20,"[C_ITEM].[PARENTH1].[ZI_ALL]","ZI_ALL - 全部ITEM","","000"))</f>
        <v/>
      </c>
      <c r="CD50" s="384">
        <f>IF(_epmOfflineCondition_,"ZI_ALL",EPMOlapMemberO(CD20,"[C_ITEM].[PARENTH1].[ZI_ALL]","ZI_ALL - 全部ITEM","","000"))</f>
        <v/>
      </c>
      <c r="CE50" s="384">
        <f>IF(_epmOfflineCondition_,"ZI_ALL",EPMOlapMemberO(CE20,"[C_ITEM].[PARENTH1].[ZI_ALL]","ZI_ALL - 全部ITEM","","000"))</f>
        <v/>
      </c>
      <c r="CF50" s="384">
        <f>IF(_epmOfflineCondition_,"ZI_ALL",EPMOlapMemberO(CF20,"[C_ITEM].[PARENTH1].[ZI_ALL]","ZI_ALL - 全部ITEM","","000"))</f>
        <v/>
      </c>
      <c r="CG50" s="384">
        <f>IF(_epmOfflineCondition_,"ZI_ALL",EPMOlapMemberO(CG20,"[C_ITEM].[PARENTH1].[ZI_ALL]","ZI_ALL - 全部ITEM","","000"))</f>
        <v/>
      </c>
      <c r="CH50" s="384">
        <f>IF(_epmOfflineCondition_,"ZI_ALL",EPMOlapMemberO(CH20,"[C_ITEM].[PARENTH1].[ZI_ALL]","ZI_ALL - 全部ITEM","","000"))</f>
        <v/>
      </c>
      <c r="CI50" s="384">
        <f>IF(_epmOfflineCondition_,"ZI_ALL",EPMOlapMemberO(CI20,"[C_ITEM].[PARENTH1].[ZI_ALL]","ZI_ALL - 全部ITEM","","000"))</f>
        <v/>
      </c>
      <c r="CJ50" s="384">
        <f>IF(_epmOfflineCondition_,"ZI_ALL",EPMOlapMemberO(CJ20,"[C_ITEM].[PARENTH1].[ZI_ALL]","ZI_ALL - 全部ITEM","","000"))</f>
        <v/>
      </c>
      <c r="CK50" s="384">
        <f>IF(_epmOfflineCondition_,"ZI_ALL",EPMOlapMemberO(CK20,"[C_ITEM].[PARENTH1].[ZI_ALL]","ZI_ALL - 全部ITEM","","000"))</f>
        <v/>
      </c>
    </row>
    <row r="51" hidden="1" outlineLevel="1" s="1181">
      <c r="A51" s="384" t="n"/>
      <c r="B51" s="384" t="n"/>
      <c r="C51" s="384" t="n"/>
      <c r="D51" s="384" t="n"/>
      <c r="E51" s="384" t="n"/>
      <c r="F51" s="384" t="n"/>
      <c r="G51" s="384" t="n"/>
      <c r="H51" s="384" t="n"/>
      <c r="I51" s="384" t="n"/>
      <c r="J51" s="384" t="n"/>
      <c r="K51" s="384" t="n"/>
      <c r="L51" s="384" t="n"/>
      <c r="M51" s="384" t="n"/>
      <c r="N51" s="384" t="n"/>
      <c r="O51" s="384" t="n"/>
      <c r="P51" s="384" t="n"/>
      <c r="Q51" s="384" t="n"/>
      <c r="R51" s="384" t="n"/>
      <c r="S51" s="384" t="n"/>
      <c r="T51" s="384" t="n"/>
      <c r="U51" s="384" t="n"/>
      <c r="V51" s="384" t="n"/>
      <c r="W51" s="384">
        <f>IF(_epmOfflineCondition_,"FEND",EPMOlapMemberO(W18,"[C_FLOW].[PARENTH1].[FEND]","FEND - 期末金额","","000"))</f>
        <v/>
      </c>
      <c r="X51" s="384">
        <f>IF(_epmOfflineCondition_,"FEND",EPMOlapMemberO(X18,"[C_FLOW].[PARENTH1].[FEND]","FEND - 期末金额","","000"))</f>
        <v/>
      </c>
      <c r="Y51" s="384">
        <f>IF(_epmOfflineCondition_,"FEND",EPMOlapMemberO(Y18,"[C_FLOW].[PARENTH1].[FEND]","FEND - 期末金额","","000"))</f>
        <v/>
      </c>
      <c r="Z51" s="384">
        <f>IF(_epmOfflineCondition_,"FEND",EPMOlapMemberO(Z18,"[C_FLOW].[PARENTH1].[FEND]","FEND - 期末金额","","000"))</f>
        <v/>
      </c>
      <c r="AA51" s="384">
        <f>IF(_epmOfflineCondition_,"FEND",EPMOlapMemberO(AA18,"[C_FLOW].[PARENTH1].[FEND]","FEND - 期末金额","","000"))</f>
        <v/>
      </c>
      <c r="AB51" s="384">
        <f>IF(_epmOfflineCondition_,"FEND",EPMOlapMemberO(AB18,"[C_FLOW].[PARENTH1].[FEND]","FEND - 期末金额","","000"))</f>
        <v/>
      </c>
      <c r="AC51" s="384">
        <f>IF(_epmOfflineCondition_,"FEND",EPMOlapMemberO(AC18,"[C_FLOW].[PARENTH1].[FEND]","FEND - 期末金额","","000"))</f>
        <v/>
      </c>
      <c r="AD51" s="384">
        <f>IF(_epmOfflineCondition_,"F20",EPMOlapMemberO(AD18,"[C_FLOW].[PARENTH1].[F20]","F20 - 本期增加","","000"))</f>
        <v/>
      </c>
      <c r="AE51" s="384">
        <f>IF(_epmOfflineCondition_,"F20",EPMOlapMemberO(AE18,"[C_FLOW].[PARENTH1].[F20]","F20 - 本期增加","","000"))</f>
        <v/>
      </c>
      <c r="AF51" s="384">
        <f>IF(_epmOfflineCondition_,"F20",EPMOlapMemberO(AF18,"[C_FLOW].[PARENTH1].[F20]","F20 - 本期增加","","000"))</f>
        <v/>
      </c>
      <c r="AG51" s="384">
        <f>IF(_epmOfflineCondition_,"F20",EPMOlapMemberO(AG18,"[C_FLOW].[PARENTH1].[F20]","F20 - 本期增加","","000"))</f>
        <v/>
      </c>
      <c r="AH51" s="384">
        <f>IF(_epmOfflineCondition_,"F20",EPMOlapMemberO(AH18,"[C_FLOW].[PARENTH1].[F20]","F20 - 本期增加","","000"))</f>
        <v/>
      </c>
      <c r="AI51" s="384">
        <f>IF(_epmOfflineCondition_,"F20",EPMOlapMemberO(AI18,"[C_FLOW].[PARENTH1].[F20]","F20 - 本期增加","","000"))</f>
        <v/>
      </c>
      <c r="AJ51" s="384">
        <f>IF(_epmOfflineCondition_,"FEND",EPMOlapMemberO(AJ18,"[C_FLOW].[PARENTH1].[FEND]","FEND - 期末金额","","000"))</f>
        <v/>
      </c>
      <c r="AK51" s="384">
        <f>IF(_epmOfflineCondition_,"FEND",EPMOlapMemberO(AK18,"[C_FLOW].[PARENTH1].[FEND]","FEND - 期末金额","","000"))</f>
        <v/>
      </c>
      <c r="AL51" s="384">
        <f>IF(_epmOfflineCondition_,"FEND",EPMOlapMemberO(AL18,"[C_FLOW].[PARENTH1].[FEND]","FEND - 期末金额","","000"))</f>
        <v/>
      </c>
      <c r="AM51" s="384">
        <f>IF(_epmOfflineCondition_,"FEND",EPMOlapMemberO(AM18,"[C_FLOW].[PARENTH1].[FEND]","FEND - 期末金额","","000"))</f>
        <v/>
      </c>
      <c r="AN51" s="384">
        <f>IF(_epmOfflineCondition_,"FEND",EPMOlapMemberO(AN18,"[C_FLOW].[PARENTH1].[FEND]","FEND - 期末金额","","000"))</f>
        <v/>
      </c>
      <c r="AO51" s="384">
        <f>IF(_epmOfflineCondition_,"FEND",EPMOlapMemberO(AO18,"[C_FLOW].[PARENTH1].[FEND]","FEND - 期末金额","","000"))</f>
        <v/>
      </c>
      <c r="AP51" s="384">
        <f>IF(_epmOfflineCondition_,"FEND",EPMOlapMemberO(AP18,"[C_FLOW].[PARENTH1].[FEND]","FEND - 期末金额","","000"))</f>
        <v/>
      </c>
      <c r="AQ51" s="384">
        <f>IF(_epmOfflineCondition_,"FEND",EPMOlapMemberO(AQ18,"[C_FLOW].[PARENTH1].[FEND]","FEND - 期末金额","","000"))</f>
        <v/>
      </c>
      <c r="AR51" s="384">
        <f>IF(_epmOfflineCondition_,"FEND",EPMOlapMemberO(AR18,"[C_FLOW].[PARENTH1].[FEND]","FEND - 期末金额","","000"))</f>
        <v/>
      </c>
      <c r="AS51" s="384">
        <f>IF(_epmOfflineCondition_,"FEND",EPMOlapMemberO(AS18,"[C_FLOW].[PARENTH1].[FEND]","FEND - 期末金额","","000"))</f>
        <v/>
      </c>
      <c r="AT51" s="384">
        <f>IF(_epmOfflineCondition_,"FEND",EPMOlapMemberO(AT18,"[C_FLOW].[PARENTH1].[FEND]","FEND - 期末金额","","000"))</f>
        <v/>
      </c>
      <c r="AU51" s="384">
        <f>IF(_epmOfflineCondition_,"FEND",EPMOlapMemberO(AU18,"[C_FLOW].[PARENTH1].[FEND]","FEND - 期末金额","","000"))</f>
        <v/>
      </c>
      <c r="AV51" s="384">
        <f>IF(_epmOfflineCondition_,"FEND",EPMOlapMemberO(AV18,"[C_FLOW].[PARENTH1].[FEND]","FEND - 期末金额","","000"))</f>
        <v/>
      </c>
      <c r="AW51" s="384">
        <f>IF(_epmOfflineCondition_,"FEND",EPMOlapMemberO(AW18,"[C_FLOW].[PARENTH1].[FEND]","FEND - 期末金额","","000"))</f>
        <v/>
      </c>
      <c r="AX51" s="384">
        <f>IF(_epmOfflineCondition_,"FEND",EPMOlapMemberO(AX18,"[C_FLOW].[PARENTH1].[FEND]","FEND - 期末金额","","000"))</f>
        <v/>
      </c>
      <c r="AY51" s="384">
        <f>IF(_epmOfflineCondition_,"FEND",EPMOlapMemberO(AY18,"[C_FLOW].[PARENTH1].[FEND]","FEND - 期末金额","","000"))</f>
        <v/>
      </c>
      <c r="AZ51" s="384">
        <f>IF(_epmOfflineCondition_,"FEND",EPMOlapMemberO(AZ18,"[C_FLOW].[PARENTH1].[FEND]","FEND - 期末金额","","000"))</f>
        <v/>
      </c>
      <c r="BA51" s="384">
        <f>IF(_epmOfflineCondition_,"FEND",EPMOlapMemberO(BA18,"[C_FLOW].[PARENTH1].[FEND]","FEND - 期末金额","","000"))</f>
        <v/>
      </c>
      <c r="BB51" s="384">
        <f>IF(_epmOfflineCondition_,"FEND",EPMOlapMemberO(BB18,"[C_FLOW].[PARENTH1].[FEND]","FEND - 期末金额","","000"))</f>
        <v/>
      </c>
      <c r="BC51" s="384">
        <f>IF(_epmOfflineCondition_,"FEND",EPMOlapMemberO(BC18,"[C_FLOW].[PARENTH1].[FEND]","FEND - 期末金额","","000"))</f>
        <v/>
      </c>
      <c r="BD51" s="384">
        <f>IF(_epmOfflineCondition_,"FEND",EPMOlapMemberO(BD18,"[C_FLOW].[PARENTH1].[FEND]","FEND - 期末金额","","000"))</f>
        <v/>
      </c>
      <c r="BE51" s="384">
        <f>IF(_epmOfflineCondition_,"FEND",EPMOlapMemberO(BE18,"[C_FLOW].[PARENTH1].[FEND]","FEND - 期末金额","","000"))</f>
        <v/>
      </c>
      <c r="BF51" s="384">
        <f>IF(_epmOfflineCondition_,"FEND",EPMOlapMemberO(BF18,"[C_FLOW].[PARENTH1].[FEND]","FEND - 期末金额","","000"))</f>
        <v/>
      </c>
      <c r="BG51" s="384">
        <f>IF(_epmOfflineCondition_,"FEND",EPMOlapMemberO(BG18,"[C_FLOW].[PARENTH1].[FEND]","FEND - 期末金额","","000"))</f>
        <v/>
      </c>
      <c r="BH51" s="384">
        <f>IF(_epmOfflineCondition_,"FEND",EPMOlapMemberO(BH18,"[C_FLOW].[PARENTH1].[FEND]","FEND - 期末金额","","000"))</f>
        <v/>
      </c>
      <c r="BI51" s="384">
        <f>IF(_epmOfflineCondition_,"FEND",EPMOlapMemberO(BI18,"[C_FLOW].[PARENTH1].[FEND]","FEND - 期末金额","","000"))</f>
        <v/>
      </c>
      <c r="BJ51" s="384">
        <f>IF(_epmOfflineCondition_,"FEND",EPMOlapMemberO(BJ18,"[C_FLOW].[PARENTH1].[FEND]","FEND - 期末金额","","000"))</f>
        <v/>
      </c>
      <c r="BK51" s="384">
        <f>IF(_epmOfflineCondition_,"FEND",EPMOlapMemberO(BK18,"[C_FLOW].[PARENTH1].[FEND]","FEND - 期末金额","","000"))</f>
        <v/>
      </c>
      <c r="BL51" s="384">
        <f>IF(_epmOfflineCondition_,"FEND",EPMOlapMemberO(BL18,"[C_FLOW].[PARENTH1].[FEND]","FEND - 期末金额","","000"))</f>
        <v/>
      </c>
      <c r="BM51" s="384">
        <f>IF(_epmOfflineCondition_,"FEND",EPMOlapMemberO(BM18,"[C_FLOW].[PARENTH1].[FEND]","FEND - 期末金额","","000"))</f>
        <v/>
      </c>
      <c r="BN51" s="384">
        <f>IF(_epmOfflineCondition_,"FEND",EPMOlapMemberO(BN18,"[C_FLOW].[PARENTH1].[FEND]","FEND - 期末金额","","000"))</f>
        <v/>
      </c>
      <c r="BO51" s="384">
        <f>IF(_epmOfflineCondition_,"FEND",EPMOlapMemberO(BO18,"[C_FLOW].[PARENTH1].[FEND]","FEND - 期末金额","","000"))</f>
        <v/>
      </c>
      <c r="BP51" s="384">
        <f>IF(_epmOfflineCondition_,"FEND",EPMOlapMemberO(BP18,"[C_FLOW].[PARENTH1].[FEND]","FEND - 期末金额","","000"))</f>
        <v/>
      </c>
      <c r="BQ51" s="384">
        <f>IF(_epmOfflineCondition_,"FEND",EPMOlapMemberO(BQ18,"[C_FLOW].[PARENTH1].[FEND]","FEND - 期末金额","","000"))</f>
        <v/>
      </c>
      <c r="BR51" s="384">
        <f>IF(_epmOfflineCondition_,"FEND",EPMOlapMemberO(BR18,"[C_FLOW].[PARENTH1].[FEND]","FEND - 期末金额","","000"))</f>
        <v/>
      </c>
      <c r="BS51" s="384">
        <f>IF(_epmOfflineCondition_,"FEND",EPMOlapMemberO(BS18,"[C_FLOW].[PARENTH1].[FEND]","FEND - 期末金额","","000"))</f>
        <v/>
      </c>
      <c r="BT51" s="384">
        <f>IF(_epmOfflineCondition_,"FEND",EPMOlapMemberO(BT18,"[C_FLOW].[PARENTH1].[FEND]","FEND - 期末金额","","000"))</f>
        <v/>
      </c>
      <c r="BU51" s="384">
        <f>IF(_epmOfflineCondition_,"FEND",EPMOlapMemberO(BU18,"[C_FLOW].[PARENTH1].[FEND]","FEND - 期末金额","","000"))</f>
        <v/>
      </c>
      <c r="BV51" s="384">
        <f>IF(_epmOfflineCondition_,"FEND",EPMOlapMemberO(BV18,"[C_FLOW].[PARENTH1].[FEND]","FEND - 期末金额","","000"))</f>
        <v/>
      </c>
      <c r="BW51" s="384">
        <f>IF(_epmOfflineCondition_,"FEND",EPMOlapMemberO(BW18,"[C_FLOW].[PARENTH1].[FEND]","FEND - 期末金额","","000"))</f>
        <v/>
      </c>
      <c r="BX51" s="384">
        <f>IF(_epmOfflineCondition_,"FEND",EPMOlapMemberO(BX18,"[C_FLOW].[PARENTH1].[FEND]","FEND - 期末金额","","000"))</f>
        <v/>
      </c>
      <c r="BY51" s="384">
        <f>IF(_epmOfflineCondition_,"FEND",EPMOlapMemberO(BY18,"[C_FLOW].[PARENTH1].[FEND]","FEND - 期末金额","","000"))</f>
        <v/>
      </c>
      <c r="BZ51" s="384">
        <f>IF(_epmOfflineCondition_,"FEND",EPMOlapMemberO(BZ18,"[C_FLOW].[PARENTH1].[FEND]","FEND - 期末金额","","000"))</f>
        <v/>
      </c>
      <c r="CA51" s="384">
        <f>IF(_epmOfflineCondition_,"FEND",EPMOlapMemberO(CA18,"[C_FLOW].[PARENTH1].[FEND]","FEND - 期末金额","","000"))</f>
        <v/>
      </c>
      <c r="CB51" s="384">
        <f>IF(_epmOfflineCondition_,"FEND",EPMOlapMemberO(CB18,"[C_FLOW].[PARENTH1].[FEND]","FEND - 期末金额","","000"))</f>
        <v/>
      </c>
      <c r="CC51" s="384">
        <f>IF(_epmOfflineCondition_,"FEND",EPMOlapMemberO(CC18,"[C_FLOW].[PARENTH1].[FEND]","FEND - 期末金额","","000"))</f>
        <v/>
      </c>
      <c r="CD51" s="384">
        <f>IF(_epmOfflineCondition_,"FEND",EPMOlapMemberO(CD18,"[C_FLOW].[PARENTH1].[FEND]","FEND - 期末金额","","000"))</f>
        <v/>
      </c>
      <c r="CE51" s="384">
        <f>IF(_epmOfflineCondition_,"FEND",EPMOlapMemberO(CE18,"[C_FLOW].[PARENTH1].[FEND]","FEND - 期末金额","","000"))</f>
        <v/>
      </c>
      <c r="CF51" s="384">
        <f>IF(_epmOfflineCondition_,"FEND",EPMOlapMemberO(CF18,"[C_FLOW].[PARENTH1].[FEND]","FEND - 期末金额","","000"))</f>
        <v/>
      </c>
      <c r="CG51" s="384">
        <f>IF(_epmOfflineCondition_,"FEND",EPMOlapMemberO(CG18,"[C_FLOW].[PARENTH1].[FEND]","FEND - 期末金额","","000"))</f>
        <v/>
      </c>
      <c r="CH51" s="384">
        <f>IF(_epmOfflineCondition_,"FEND",EPMOlapMemberO(CH18,"[C_FLOW].[PARENTH1].[FEND]","FEND - 期末金额","","000"))</f>
        <v/>
      </c>
      <c r="CI51" s="384">
        <f>IF(_epmOfflineCondition_,"FEND",EPMOlapMemberO(CI18,"[C_FLOW].[PARENTH1].[FEND]","FEND - 期末金额","","000"))</f>
        <v/>
      </c>
      <c r="CJ51" s="384">
        <f>IF(_epmOfflineCondition_,"FEND",EPMOlapMemberO(CJ18,"[C_FLOW].[PARENTH1].[FEND]","FEND - 期末金额","","000"))</f>
        <v/>
      </c>
      <c r="CK51" s="384">
        <f>IF(_epmOfflineCondition_,"FEND",EPMOlapMemberO(CK18,"[C_FLOW].[PARENTH1].[FEND]","FEND - 期末金额","","000"))</f>
        <v/>
      </c>
    </row>
    <row r="52" collapsed="1" s="1181">
      <c r="A52" s="384" t="n"/>
      <c r="B52" s="384" t="n"/>
      <c r="C52" s="384" t="n"/>
      <c r="D52" s="384" t="n"/>
      <c r="E52" s="384" t="n"/>
      <c r="F52" s="384" t="n"/>
      <c r="G52" s="384" t="n"/>
      <c r="H52" s="384" t="n"/>
      <c r="I52" s="384" t="n"/>
      <c r="J52" s="384" t="n"/>
      <c r="K52" s="384" t="n"/>
      <c r="L52" s="384" t="n"/>
      <c r="M52" s="384" t="n"/>
      <c r="N52" s="384" t="n"/>
      <c r="O52" s="384" t="n"/>
      <c r="P52" s="384" t="n"/>
      <c r="Q52" s="384" t="n"/>
      <c r="R52" s="422" t="inlineStr">
        <is>
          <t>主营业务收入（合计）</t>
        </is>
      </c>
      <c r="S52" s="1403" t="inlineStr"/>
      <c r="T52" s="1403" t="inlineStr">
        <is>
          <t>元</t>
        </is>
      </c>
      <c r="U52" s="197" t="inlineStr">
        <is>
          <t>A02701</t>
        </is>
      </c>
      <c r="V52" s="32">
        <f>IF(_epmOfflineCondition_,"A02701",EPMOlapMemberO(U52,"[C_ACCOUNT].[PARENTH1].[A02701]","A02701 - 主营业务收入（合计）","","000"))</f>
        <v/>
      </c>
      <c r="W52" s="1404">
        <f>AD52-AK52</f>
        <v/>
      </c>
      <c r="X52" s="1404">
        <f>AE52-AL52</f>
        <v/>
      </c>
      <c r="Y52" s="1404">
        <f>AF52-AM52</f>
        <v/>
      </c>
      <c r="Z52" s="1404">
        <f>AG52-AN52</f>
        <v/>
      </c>
      <c r="AA52" s="1404">
        <f>AH52-AO52</f>
        <v/>
      </c>
      <c r="AB52" s="1404">
        <f>AI52-AP52</f>
        <v/>
      </c>
      <c r="AC52" s="1404">
        <f>SUM(W52:AB52)</f>
        <v/>
      </c>
      <c r="AD52" s="1404">
        <f>AD53+AD87+AD99</f>
        <v/>
      </c>
      <c r="AE52" s="1404">
        <f>AE53+AE87+AE99</f>
        <v/>
      </c>
      <c r="AF52" s="1404">
        <f>AF53+AF87+AF99</f>
        <v/>
      </c>
      <c r="AG52" s="1404">
        <f>AG53+AG87+AG99</f>
        <v/>
      </c>
      <c r="AH52" s="1404">
        <f>AH53+AH87+AH99</f>
        <v/>
      </c>
      <c r="AI52" s="1404">
        <f>AI53+AI87+AI99</f>
        <v/>
      </c>
      <c r="AJ52" s="1404">
        <f>SUM(AD52:AI52)</f>
        <v/>
      </c>
      <c r="AK52" s="1404">
        <f>AK53+AK87+AK99</f>
        <v/>
      </c>
      <c r="AL52" s="1404">
        <f>AL53+AL87+AL99</f>
        <v/>
      </c>
      <c r="AM52" s="1404">
        <f>AM53+AM87+AM99</f>
        <v/>
      </c>
      <c r="AN52" s="1404">
        <f>AN53+AN87+AN99</f>
        <v/>
      </c>
      <c r="AO52" s="1404">
        <f>AO53+AO87+AO99</f>
        <v/>
      </c>
      <c r="AP52" s="1404">
        <f>AP53+AP87+AP99</f>
        <v/>
      </c>
      <c r="AQ52" s="1404">
        <f>AQ53+AQ87+AQ99</f>
        <v/>
      </c>
      <c r="AR52" s="1404">
        <f>AR53+AR87+AR99</f>
        <v/>
      </c>
      <c r="AS52" s="1404">
        <f>AS53+AS87+AS99</f>
        <v/>
      </c>
      <c r="AT52" s="1404">
        <f>AT53+AT87+AT99</f>
        <v/>
      </c>
      <c r="AU52" s="1404">
        <f>AU53+AU87+AU99</f>
        <v/>
      </c>
      <c r="AV52" s="1404">
        <f>AV53+AV87+AV99</f>
        <v/>
      </c>
      <c r="AW52" s="1404">
        <f>AK52-AQ52</f>
        <v/>
      </c>
      <c r="AX52" s="1404">
        <f>AL52-AR52</f>
        <v/>
      </c>
      <c r="AY52" s="1404">
        <f>AM52-AS52</f>
        <v/>
      </c>
      <c r="AZ52" s="1404">
        <f>AN52-AT52</f>
        <v/>
      </c>
      <c r="BA52" s="1404">
        <f>AO52-AU52</f>
        <v/>
      </c>
      <c r="BB52" s="1404">
        <f>AP52-AV52</f>
        <v/>
      </c>
      <c r="BC52" s="1404">
        <f>SUM(AW52:BB52)</f>
        <v/>
      </c>
      <c r="BD52" s="1404" t="n"/>
      <c r="BE52" s="1404" t="inlineStr"/>
      <c r="BF52" s="1404" t="n"/>
      <c r="BG52" s="1404" t="n"/>
      <c r="BH52" s="1404" t="n"/>
      <c r="BI52" s="1404" t="n"/>
      <c r="BJ52" s="1404">
        <f>SUM(BC52:BI52)</f>
        <v/>
      </c>
      <c r="BK52" s="1404">
        <f>BR52-BY52</f>
        <v/>
      </c>
      <c r="BL52" s="1404">
        <f>BS52-BZ52</f>
        <v/>
      </c>
      <c r="BM52" s="1404">
        <f>BT52-CA52</f>
        <v/>
      </c>
      <c r="BN52" s="1404">
        <f>BU52-CB52</f>
        <v/>
      </c>
      <c r="BO52" s="1404">
        <f>BV52-CC52</f>
        <v/>
      </c>
      <c r="BP52" s="1404">
        <f>BW52-CD52</f>
        <v/>
      </c>
      <c r="BQ52" s="1404">
        <f>SUM(BK52:BP52)</f>
        <v/>
      </c>
      <c r="BR52" s="1404" t="n"/>
      <c r="BS52" s="1404" t="n"/>
      <c r="BT52" s="1404" t="n"/>
      <c r="BU52" s="1404" t="n"/>
      <c r="BV52" s="1404" t="n"/>
      <c r="BW52" s="1404" t="n"/>
      <c r="BX52" s="1404">
        <f>SUM(BR52:BW52)</f>
        <v/>
      </c>
      <c r="BY52" s="1404" t="n"/>
      <c r="BZ52" s="1404" t="n"/>
      <c r="CA52" s="1404" t="n"/>
      <c r="CB52" s="1404" t="n"/>
      <c r="CC52" s="1404" t="n"/>
      <c r="CD52" s="1404" t="n"/>
      <c r="CE52" s="1404" t="n"/>
      <c r="CF52" s="1404" t="n"/>
      <c r="CG52" s="1404" t="n"/>
      <c r="CH52" s="1404" t="n"/>
      <c r="CI52" s="1404" t="n"/>
      <c r="CJ52" s="1404" t="n"/>
      <c r="CK52" s="1404">
        <f>SUM(CE52:CJ52)</f>
        <v/>
      </c>
    </row>
    <row r="53">
      <c r="A53" s="384" t="n"/>
      <c r="B53" s="384" t="n"/>
      <c r="C53" s="384" t="n"/>
      <c r="D53" s="384" t="n"/>
      <c r="E53" s="384" t="n"/>
      <c r="F53" s="384" t="n"/>
      <c r="G53" s="384" t="n"/>
      <c r="H53" s="384" t="n"/>
      <c r="I53" s="384" t="n"/>
      <c r="J53" s="384" t="n"/>
      <c r="K53" s="384" t="n"/>
      <c r="L53" s="384" t="n"/>
      <c r="M53" s="384" t="n"/>
      <c r="N53" s="384" t="n"/>
      <c r="O53" s="384" t="n"/>
      <c r="P53" s="384" t="n"/>
      <c r="Q53" s="384" t="n"/>
      <c r="R53" s="422" t="inlineStr">
        <is>
          <t xml:space="preserve"> 一、售电收入</t>
        </is>
      </c>
      <c r="S53" s="1403" t="inlineStr"/>
      <c r="T53" s="1403" t="inlineStr">
        <is>
          <t>元</t>
        </is>
      </c>
      <c r="U53" s="197" t="inlineStr">
        <is>
          <t>A0270101</t>
        </is>
      </c>
      <c r="V53" s="32">
        <f>IF(_epmOfflineCondition_,"A0270101",EPMOlapMemberO(U53,"[C_ACCOUNT].[PARENTH1].[A0270101]","A0270101 -  售电收入","","000"))</f>
        <v/>
      </c>
      <c r="W53" s="1404">
        <f>AD53-AK53</f>
        <v/>
      </c>
      <c r="X53" s="1404">
        <f>AE53-AL53</f>
        <v/>
      </c>
      <c r="Y53" s="1404">
        <f>AF53-AM53</f>
        <v/>
      </c>
      <c r="Z53" s="1404">
        <f>AG53-AN53</f>
        <v/>
      </c>
      <c r="AA53" s="1404">
        <f>AH53-AO53</f>
        <v/>
      </c>
      <c r="AB53" s="1404">
        <f>AI53-AP53</f>
        <v/>
      </c>
      <c r="AC53" s="1404">
        <f>SUM(W53:AB53)</f>
        <v/>
      </c>
      <c r="AD53" s="1404">
        <f>AD54+AD55+AD60</f>
        <v/>
      </c>
      <c r="AE53" s="1404">
        <f>AE54+AE55+AE60</f>
        <v/>
      </c>
      <c r="AF53" s="1404">
        <f>AF54+AF55+AF60</f>
        <v/>
      </c>
      <c r="AG53" s="1404">
        <f>AG54+AG55+AG60</f>
        <v/>
      </c>
      <c r="AH53" s="1404">
        <f>AH54+AH55+AH60</f>
        <v/>
      </c>
      <c r="AI53" s="1404">
        <f>AI54+AI55+AI60</f>
        <v/>
      </c>
      <c r="AJ53" s="1404">
        <f>SUM(AD53:AI53)</f>
        <v/>
      </c>
      <c r="AK53" s="1404">
        <f>AK54+AK55+AK60</f>
        <v/>
      </c>
      <c r="AL53" s="1404">
        <f>AL54+AL55+AL60</f>
        <v/>
      </c>
      <c r="AM53" s="1404">
        <f>AM54+AM55+AM60</f>
        <v/>
      </c>
      <c r="AN53" s="1404">
        <f>AN54+AN55+AN60</f>
        <v/>
      </c>
      <c r="AO53" s="1404">
        <f>AO54+AO55+AO60</f>
        <v/>
      </c>
      <c r="AP53" s="1404">
        <f>AP54+AP55+AP60</f>
        <v/>
      </c>
      <c r="AQ53" s="1404">
        <f>AQ54+AQ55+AQ60</f>
        <v/>
      </c>
      <c r="AR53" s="1404">
        <f>AR54+AR55+AR60</f>
        <v/>
      </c>
      <c r="AS53" s="1404">
        <f>AS54+AS55+AS60</f>
        <v/>
      </c>
      <c r="AT53" s="1404">
        <f>AT54+AT55+AT60</f>
        <v/>
      </c>
      <c r="AU53" s="1404">
        <f>AU54+AU55+AU60</f>
        <v/>
      </c>
      <c r="AV53" s="1404">
        <f>AV54+AV55+AV60</f>
        <v/>
      </c>
      <c r="AW53" s="1404">
        <f>AK53-AQ53</f>
        <v/>
      </c>
      <c r="AX53" s="1404">
        <f>AL53-AR53</f>
        <v/>
      </c>
      <c r="AY53" s="1404">
        <f>AM53-AS53</f>
        <v/>
      </c>
      <c r="AZ53" s="1404">
        <f>AN53-AT53</f>
        <v/>
      </c>
      <c r="BA53" s="1404">
        <f>AO53-AU53</f>
        <v/>
      </c>
      <c r="BB53" s="1404">
        <f>AP53-AV53</f>
        <v/>
      </c>
      <c r="BC53" s="1404">
        <f>SUM(AW53:BB53)</f>
        <v/>
      </c>
      <c r="BD53" s="1404" t="n"/>
      <c r="BE53" s="1404" t="inlineStr"/>
      <c r="BF53" s="1404" t="n"/>
      <c r="BG53" s="1404" t="n"/>
      <c r="BH53" s="1404" t="n"/>
      <c r="BI53" s="1404" t="n"/>
      <c r="BJ53" s="1404">
        <f>SUM(BC53:BI53)</f>
        <v/>
      </c>
      <c r="BK53" s="1404">
        <f>BR53-BY53</f>
        <v/>
      </c>
      <c r="BL53" s="1404">
        <f>BS53-BZ53</f>
        <v/>
      </c>
      <c r="BM53" s="1404">
        <f>BT53-CA53</f>
        <v/>
      </c>
      <c r="BN53" s="1404">
        <f>BU53-CB53</f>
        <v/>
      </c>
      <c r="BO53" s="1404">
        <f>BV53-CC53</f>
        <v/>
      </c>
      <c r="BP53" s="1404">
        <f>BW53-CD53</f>
        <v/>
      </c>
      <c r="BQ53" s="1404">
        <f>SUM(BK53:BP53)</f>
        <v/>
      </c>
      <c r="BR53" s="1404" t="n"/>
      <c r="BS53" s="1404" t="n"/>
      <c r="BT53" s="1404" t="n"/>
      <c r="BU53" s="1404" t="n"/>
      <c r="BV53" s="1404" t="n"/>
      <c r="BW53" s="1404" t="n"/>
      <c r="BX53" s="1404">
        <f>SUM(BR53:BW53)</f>
        <v/>
      </c>
      <c r="BY53" s="1404" t="n"/>
      <c r="BZ53" s="1404" t="n"/>
      <c r="CA53" s="1404" t="n"/>
      <c r="CB53" s="1404" t="n"/>
      <c r="CC53" s="1404" t="n"/>
      <c r="CD53" s="1404" t="n"/>
      <c r="CE53" s="1404" t="n"/>
      <c r="CF53" s="1404" t="n"/>
      <c r="CG53" s="1404" t="n"/>
      <c r="CH53" s="1404" t="n"/>
      <c r="CI53" s="1404" t="n"/>
      <c r="CJ53" s="1404" t="n"/>
      <c r="CK53" s="1404">
        <f>SUM(CE53:CJ53)</f>
        <v/>
      </c>
    </row>
    <row r="54">
      <c r="A54" s="384" t="n"/>
      <c r="B54" s="384" t="n"/>
      <c r="C54" s="384" t="n"/>
      <c r="D54" s="384" t="n"/>
      <c r="E54" s="384" t="n"/>
      <c r="F54" s="384" t="n"/>
      <c r="G54" s="384" t="n"/>
      <c r="H54" s="384" t="n"/>
      <c r="I54" s="384" t="n"/>
      <c r="J54" s="384" t="n"/>
      <c r="K54" s="384" t="n"/>
      <c r="L54" s="384" t="n"/>
      <c r="M54" s="384" t="n"/>
      <c r="N54" s="384" t="n"/>
      <c r="O54" s="384" t="n"/>
      <c r="P54" s="384" t="n"/>
      <c r="Q54" s="384" t="n"/>
      <c r="R54" s="423" t="inlineStr">
        <is>
          <t>基数电量收入</t>
        </is>
      </c>
      <c r="S54" s="1403" t="inlineStr"/>
      <c r="T54" s="1403" t="inlineStr">
        <is>
          <t>元</t>
        </is>
      </c>
      <c r="U54" s="197" t="inlineStr">
        <is>
          <t>A027010101</t>
        </is>
      </c>
      <c r="V54" s="32">
        <f>IF(_epmOfflineCondition_,"A027010101",EPMOlapMemberO(U54,"[C_ACCOUNT].[PARENTH1].[A027010101]","A027010101 - 基数电量收入","","000"))</f>
        <v/>
      </c>
      <c r="W54" s="1404">
        <f>AD54-AK54</f>
        <v/>
      </c>
      <c r="X54" s="1404">
        <f>AE54-AL54</f>
        <v/>
      </c>
      <c r="Y54" s="1404">
        <f>AF54-AM54</f>
        <v/>
      </c>
      <c r="Z54" s="1404">
        <f>AG54-AN54</f>
        <v/>
      </c>
      <c r="AA54" s="1404">
        <f>AH54-AO54</f>
        <v/>
      </c>
      <c r="AB54" s="1404">
        <f>AI54-AP54</f>
        <v/>
      </c>
      <c r="AC54" s="1404">
        <f>SUM(W54:AB54)</f>
        <v/>
      </c>
      <c r="AD54" s="1405" t="n"/>
      <c r="AE54" s="1405" t="n"/>
      <c r="AF54" s="1405" t="n"/>
      <c r="AG54" s="1405" t="n"/>
      <c r="AH54" s="1405" t="n"/>
      <c r="AI54" s="1405" t="n"/>
      <c r="AJ54" s="1404">
        <f>SUM(AD54:AI54)</f>
        <v/>
      </c>
      <c r="AK54" s="1404" t="n"/>
      <c r="AL54" s="1404" t="n"/>
      <c r="AM54" s="1404" t="n"/>
      <c r="AN54" s="1404" t="n"/>
      <c r="AO54" s="1404" t="n"/>
      <c r="AP54" s="1404" t="n"/>
      <c r="AQ54" s="1404" t="n"/>
      <c r="AR54" s="1404" t="n"/>
      <c r="AS54" s="1404" t="n"/>
      <c r="AT54" s="1404" t="n"/>
      <c r="AU54" s="1404" t="n"/>
      <c r="AV54" s="1404" t="n"/>
      <c r="AW54" s="1404">
        <f>AK54-AQ54</f>
        <v/>
      </c>
      <c r="AX54" s="1404">
        <f>AL54-AR54</f>
        <v/>
      </c>
      <c r="AY54" s="1404">
        <f>AM54-AS54</f>
        <v/>
      </c>
      <c r="AZ54" s="1404">
        <f>AN54-AT54</f>
        <v/>
      </c>
      <c r="BA54" s="1404">
        <f>AO54-AU54</f>
        <v/>
      </c>
      <c r="BB54" s="1404">
        <f>AP54-AV54</f>
        <v/>
      </c>
      <c r="BC54" s="1404">
        <f>SUM(AW54:BB54)</f>
        <v/>
      </c>
      <c r="BD54" s="1404" t="n"/>
      <c r="BE54" s="1404" t="n"/>
      <c r="BF54" s="1404" t="n"/>
      <c r="BG54" s="1404" t="n"/>
      <c r="BH54" s="1404" t="n"/>
      <c r="BI54" s="1404" t="n"/>
      <c r="BJ54" s="1404">
        <f>SUM(BC54:BI54)</f>
        <v/>
      </c>
      <c r="BK54" s="1404">
        <f>BR54-BY54</f>
        <v/>
      </c>
      <c r="BL54" s="1404">
        <f>BS54-BZ54</f>
        <v/>
      </c>
      <c r="BM54" s="1404">
        <f>BT54-CA54</f>
        <v/>
      </c>
      <c r="BN54" s="1404">
        <f>BU54-CB54</f>
        <v/>
      </c>
      <c r="BO54" s="1404">
        <f>BV54-CC54</f>
        <v/>
      </c>
      <c r="BP54" s="1404">
        <f>BW54-CD54</f>
        <v/>
      </c>
      <c r="BQ54" s="1404">
        <f>SUM(BK54:BP54)</f>
        <v/>
      </c>
      <c r="BR54" s="1404" t="n"/>
      <c r="BS54" s="1404" t="n"/>
      <c r="BT54" s="1404" t="n"/>
      <c r="BU54" s="1404" t="n"/>
      <c r="BV54" s="1404" t="n"/>
      <c r="BW54" s="1404" t="n"/>
      <c r="BX54" s="1404">
        <f>SUM(BR54:BW54)</f>
        <v/>
      </c>
      <c r="BY54" s="1404" t="n"/>
      <c r="BZ54" s="1404" t="n"/>
      <c r="CA54" s="1404" t="n"/>
      <c r="CB54" s="1404" t="n"/>
      <c r="CC54" s="1404" t="n"/>
      <c r="CD54" s="1404" t="n"/>
      <c r="CE54" s="1404" t="n"/>
      <c r="CF54" s="1404" t="n"/>
      <c r="CG54" s="1404" t="n"/>
      <c r="CH54" s="1404" t="n"/>
      <c r="CI54" s="1404" t="n"/>
      <c r="CJ54" s="1404" t="n"/>
      <c r="CK54" s="1404">
        <f>SUM(CE54:CJ54)</f>
        <v/>
      </c>
    </row>
    <row r="55">
      <c r="A55" s="384" t="n"/>
      <c r="B55" s="384" t="n"/>
      <c r="C55" s="384" t="n"/>
      <c r="D55" s="384" t="n"/>
      <c r="E55" s="384" t="n"/>
      <c r="F55" s="384" t="n"/>
      <c r="G55" s="384" t="n"/>
      <c r="H55" s="384" t="n"/>
      <c r="I55" s="384" t="n"/>
      <c r="J55" s="384" t="n"/>
      <c r="K55" s="384" t="n"/>
      <c r="L55" s="384" t="n"/>
      <c r="M55" s="384" t="n"/>
      <c r="N55" s="384" t="n"/>
      <c r="O55" s="384" t="n"/>
      <c r="P55" s="384" t="n"/>
      <c r="Q55" s="384" t="n"/>
      <c r="R55" s="424" t="inlineStr">
        <is>
          <t>市场交易电量收入</t>
        </is>
      </c>
      <c r="S55" s="1403" t="inlineStr"/>
      <c r="T55" s="1403" t="inlineStr">
        <is>
          <t>元</t>
        </is>
      </c>
      <c r="U55" s="197" t="inlineStr">
        <is>
          <t>A027010102</t>
        </is>
      </c>
      <c r="V55" s="32">
        <f>IF(_epmOfflineCondition_,"A027010102",EPMOlapMemberO(U55,"[C_ACCOUNT].[PARENTH1].[A027010102]","A027010102 - 市场交易电量收入","","000"))</f>
        <v/>
      </c>
      <c r="W55" s="1404">
        <f>AD55-AK55</f>
        <v/>
      </c>
      <c r="X55" s="1404">
        <f>AE55-AL55</f>
        <v/>
      </c>
      <c r="Y55" s="1404">
        <f>AF55-AM55</f>
        <v/>
      </c>
      <c r="Z55" s="1404">
        <f>AG55-AN55</f>
        <v/>
      </c>
      <c r="AA55" s="1404">
        <f>AH55-AO55</f>
        <v/>
      </c>
      <c r="AB55" s="1404">
        <f>AI55-AP55</f>
        <v/>
      </c>
      <c r="AC55" s="1404">
        <f>SUM(W55:AB55)</f>
        <v/>
      </c>
      <c r="AD55" s="1404">
        <f>SUM(AD56:AD59)</f>
        <v/>
      </c>
      <c r="AE55" s="1404">
        <f>SUM(AE56:AE59)</f>
        <v/>
      </c>
      <c r="AF55" s="1404">
        <f>SUM(AF56:AF59)</f>
        <v/>
      </c>
      <c r="AG55" s="1404">
        <f>SUM(AG56:AG59)</f>
        <v/>
      </c>
      <c r="AH55" s="1404">
        <f>SUM(AH56:AH59)</f>
        <v/>
      </c>
      <c r="AI55" s="1404">
        <f>SUM(AI56:AI59)</f>
        <v/>
      </c>
      <c r="AJ55" s="1404">
        <f>SUM(AD55:AI55)</f>
        <v/>
      </c>
      <c r="AK55" s="1404">
        <f>SUM(AK56:AK59)</f>
        <v/>
      </c>
      <c r="AL55" s="1404">
        <f>SUM(AL56:AL59)</f>
        <v/>
      </c>
      <c r="AM55" s="1404">
        <f>SUM(AM56:AM59)</f>
        <v/>
      </c>
      <c r="AN55" s="1404">
        <f>SUM(AN56:AN59)</f>
        <v/>
      </c>
      <c r="AO55" s="1404">
        <f>SUM(AO56:AO59)</f>
        <v/>
      </c>
      <c r="AP55" s="1404">
        <f>SUM(AP56:AP59)</f>
        <v/>
      </c>
      <c r="AQ55" s="1404">
        <f>SUM(AQ56:AQ59)</f>
        <v/>
      </c>
      <c r="AR55" s="1404">
        <f>SUM(AR56:AR59)</f>
        <v/>
      </c>
      <c r="AS55" s="1404">
        <f>SUM(AS56:AS59)</f>
        <v/>
      </c>
      <c r="AT55" s="1404">
        <f>SUM(AT56:AT59)</f>
        <v/>
      </c>
      <c r="AU55" s="1404">
        <f>SUM(AU56:AU59)</f>
        <v/>
      </c>
      <c r="AV55" s="1404">
        <f>SUM(AV56:AV59)</f>
        <v/>
      </c>
      <c r="AW55" s="1404">
        <f>AK55-AQ55</f>
        <v/>
      </c>
      <c r="AX55" s="1404">
        <f>AL55-AR55</f>
        <v/>
      </c>
      <c r="AY55" s="1404">
        <f>AM55-AS55</f>
        <v/>
      </c>
      <c r="AZ55" s="1404">
        <f>AN55-AT55</f>
        <v/>
      </c>
      <c r="BA55" s="1404">
        <f>AO55-AU55</f>
        <v/>
      </c>
      <c r="BB55" s="1404">
        <f>AP55-AV55</f>
        <v/>
      </c>
      <c r="BC55" s="1404">
        <f>SUM(AW55:BB55)</f>
        <v/>
      </c>
      <c r="BD55" s="1404" t="n"/>
      <c r="BE55" s="1404" t="inlineStr"/>
      <c r="BF55" s="1404" t="n"/>
      <c r="BG55" s="1404" t="n"/>
      <c r="BH55" s="1404" t="n"/>
      <c r="BI55" s="1404" t="n"/>
      <c r="BJ55" s="1404">
        <f>SUM(BC55:BI55)</f>
        <v/>
      </c>
      <c r="BK55" s="1404">
        <f>BR55-BY55</f>
        <v/>
      </c>
      <c r="BL55" s="1404">
        <f>BS55-BZ55</f>
        <v/>
      </c>
      <c r="BM55" s="1404">
        <f>BT55-CA55</f>
        <v/>
      </c>
      <c r="BN55" s="1404">
        <f>BU55-CB55</f>
        <v/>
      </c>
      <c r="BO55" s="1404">
        <f>BV55-CC55</f>
        <v/>
      </c>
      <c r="BP55" s="1404">
        <f>BW55-CD55</f>
        <v/>
      </c>
      <c r="BQ55" s="1404">
        <f>SUM(BK55:BP55)</f>
        <v/>
      </c>
      <c r="BR55" s="1404" t="n"/>
      <c r="BS55" s="1404" t="n"/>
      <c r="BT55" s="1404" t="n"/>
      <c r="BU55" s="1404" t="n"/>
      <c r="BV55" s="1404" t="n"/>
      <c r="BW55" s="1404" t="n"/>
      <c r="BX55" s="1404">
        <f>SUM(BR55:BW55)</f>
        <v/>
      </c>
      <c r="BY55" s="1404" t="n"/>
      <c r="BZ55" s="1404" t="n"/>
      <c r="CA55" s="1404" t="n"/>
      <c r="CB55" s="1404" t="n"/>
      <c r="CC55" s="1404" t="n"/>
      <c r="CD55" s="1404" t="n"/>
      <c r="CE55" s="1404" t="n"/>
      <c r="CF55" s="1404" t="n"/>
      <c r="CG55" s="1404" t="n"/>
      <c r="CH55" s="1404" t="n"/>
      <c r="CI55" s="1404" t="n"/>
      <c r="CJ55" s="1404" t="n"/>
      <c r="CK55" s="1404">
        <f>SUM(CE55:CJ55)</f>
        <v/>
      </c>
    </row>
    <row r="56">
      <c r="A56" s="384" t="n"/>
      <c r="B56" s="384" t="n"/>
      <c r="C56" s="384" t="n"/>
      <c r="D56" s="384" t="n"/>
      <c r="E56" s="384" t="n"/>
      <c r="F56" s="384" t="n"/>
      <c r="G56" s="384" t="n"/>
      <c r="H56" s="384" t="n"/>
      <c r="I56" s="384" t="n"/>
      <c r="J56" s="384" t="n"/>
      <c r="K56" s="384" t="n"/>
      <c r="L56" s="384" t="n"/>
      <c r="M56" s="384" t="n"/>
      <c r="N56" s="384" t="n"/>
      <c r="O56" s="384" t="n"/>
      <c r="P56" s="384" t="n"/>
      <c r="Q56" s="384" t="n"/>
      <c r="R56" s="425" t="inlineStr">
        <is>
          <t xml:space="preserve">    中长期交易电收入（不含电网代购）</t>
        </is>
      </c>
      <c r="S56" s="1403" t="inlineStr"/>
      <c r="T56" s="1403" t="inlineStr">
        <is>
          <t>元</t>
        </is>
      </c>
      <c r="U56" s="197" t="inlineStr">
        <is>
          <t>A02701010201</t>
        </is>
      </c>
      <c r="V56" s="32">
        <f>IF(_epmOfflineCondition_,"A02701010201",EPMOlapMemberO(U56,"[C_ACCOUNT].[PARENTH1].[A02701010201]","A02701010201 -     中长期交易电量（不含电网代购）","","000"))</f>
        <v/>
      </c>
      <c r="W56" s="1404">
        <f>AD56-AK56</f>
        <v/>
      </c>
      <c r="X56" s="1404">
        <f>AE56-AL56</f>
        <v/>
      </c>
      <c r="Y56" s="1404">
        <f>AF56-AM56</f>
        <v/>
      </c>
      <c r="Z56" s="1404">
        <f>AG56-AN56</f>
        <v/>
      </c>
      <c r="AA56" s="1404">
        <f>AH56-AO56</f>
        <v/>
      </c>
      <c r="AB56" s="1404">
        <f>AI56-AP56</f>
        <v/>
      </c>
      <c r="AC56" s="1404">
        <f>SUM(W56:AB56)</f>
        <v/>
      </c>
      <c r="AD56" s="1405" t="n"/>
      <c r="AE56" s="1405" t="inlineStr"/>
      <c r="AF56" s="1405" t="n"/>
      <c r="AG56" s="1405" t="n"/>
      <c r="AH56" s="1405" t="n"/>
      <c r="AI56" s="1405" t="n"/>
      <c r="AJ56" s="1404">
        <f>SUM(AD56:AI56)</f>
        <v/>
      </c>
      <c r="AK56" s="1404" t="n"/>
      <c r="AL56" s="1404" t="inlineStr"/>
      <c r="AM56" s="1404" t="n"/>
      <c r="AN56" s="1404" t="n"/>
      <c r="AO56" s="1404" t="n"/>
      <c r="AP56" s="1404" t="n"/>
      <c r="AQ56" s="1404" t="n"/>
      <c r="AR56" s="1404" t="inlineStr"/>
      <c r="AS56" s="1404" t="n"/>
      <c r="AT56" s="1404" t="n"/>
      <c r="AU56" s="1404" t="n"/>
      <c r="AV56" s="1404" t="n"/>
      <c r="AW56" s="1404">
        <f>AK56-AQ56</f>
        <v/>
      </c>
      <c r="AX56" s="1404">
        <f>AL56-AR56</f>
        <v/>
      </c>
      <c r="AY56" s="1404">
        <f>AM56-AS56</f>
        <v/>
      </c>
      <c r="AZ56" s="1404">
        <f>AN56-AT56</f>
        <v/>
      </c>
      <c r="BA56" s="1404">
        <f>AO56-AU56</f>
        <v/>
      </c>
      <c r="BB56" s="1404">
        <f>AP56-AV56</f>
        <v/>
      </c>
      <c r="BC56" s="1404">
        <f>SUM(AW56:BB56)</f>
        <v/>
      </c>
      <c r="BD56" s="1404" t="n"/>
      <c r="BE56" s="1404" t="inlineStr"/>
      <c r="BF56" s="1404" t="n"/>
      <c r="BG56" s="1404" t="n"/>
      <c r="BH56" s="1404" t="n"/>
      <c r="BI56" s="1404" t="n"/>
      <c r="BJ56" s="1404">
        <f>SUM(BC56:BI56)</f>
        <v/>
      </c>
      <c r="BK56" s="1404">
        <f>BR56-BY56</f>
        <v/>
      </c>
      <c r="BL56" s="1404">
        <f>BS56-BZ56</f>
        <v/>
      </c>
      <c r="BM56" s="1404">
        <f>BT56-CA56</f>
        <v/>
      </c>
      <c r="BN56" s="1404">
        <f>BU56-CB56</f>
        <v/>
      </c>
      <c r="BO56" s="1404">
        <f>BV56-CC56</f>
        <v/>
      </c>
      <c r="BP56" s="1404">
        <f>BW56-CD56</f>
        <v/>
      </c>
      <c r="BQ56" s="1404">
        <f>SUM(BK56:BP56)</f>
        <v/>
      </c>
      <c r="BR56" s="1404" t="n"/>
      <c r="BS56" s="1404" t="n"/>
      <c r="BT56" s="1404" t="n"/>
      <c r="BU56" s="1404" t="n"/>
      <c r="BV56" s="1404" t="n"/>
      <c r="BW56" s="1404" t="n"/>
      <c r="BX56" s="1404">
        <f>SUM(BR56:BW56)</f>
        <v/>
      </c>
      <c r="BY56" s="1404" t="n"/>
      <c r="BZ56" s="1404" t="n"/>
      <c r="CA56" s="1404" t="n"/>
      <c r="CB56" s="1404" t="n"/>
      <c r="CC56" s="1404" t="n"/>
      <c r="CD56" s="1404" t="n"/>
      <c r="CE56" s="1404" t="n"/>
      <c r="CF56" s="1404" t="n"/>
      <c r="CG56" s="1404" t="n"/>
      <c r="CH56" s="1404" t="n"/>
      <c r="CI56" s="1404" t="n"/>
      <c r="CJ56" s="1404" t="n"/>
      <c r="CK56" s="1404">
        <f>SUM(CE56:CJ56)</f>
        <v/>
      </c>
    </row>
    <row r="57">
      <c r="A57" s="384" t="n"/>
      <c r="B57" s="384" t="n"/>
      <c r="C57" s="384" t="n"/>
      <c r="D57" s="384" t="n"/>
      <c r="E57" s="384" t="n"/>
      <c r="F57" s="384" t="n"/>
      <c r="G57" s="384" t="n"/>
      <c r="H57" s="384" t="n"/>
      <c r="I57" s="384" t="n"/>
      <c r="J57" s="384" t="n"/>
      <c r="K57" s="384" t="n"/>
      <c r="L57" s="384" t="n"/>
      <c r="M57" s="384" t="n"/>
      <c r="N57" s="384" t="n"/>
      <c r="O57" s="384" t="n"/>
      <c r="P57" s="384" t="n"/>
      <c r="Q57" s="384" t="n"/>
      <c r="R57" s="425" t="inlineStr">
        <is>
          <t xml:space="preserve">    电网代购电收入</t>
        </is>
      </c>
      <c r="S57" s="1403" t="inlineStr"/>
      <c r="T57" s="1403" t="inlineStr">
        <is>
          <t>元</t>
        </is>
      </c>
      <c r="U57" s="197" t="inlineStr">
        <is>
          <t>A02701010202</t>
        </is>
      </c>
      <c r="V57" s="32">
        <f>IF(_epmOfflineCondition_,"A02701010202",EPMOlapMemberO(U57,"[C_ACCOUNT].[PARENTH1].[A02701010202]","A02701010202 -     电网代购电量","","000"))</f>
        <v/>
      </c>
      <c r="W57" s="1404">
        <f>AD57-AK57</f>
        <v/>
      </c>
      <c r="X57" s="1404">
        <f>AE57-AL57</f>
        <v/>
      </c>
      <c r="Y57" s="1404">
        <f>AF57-AM57</f>
        <v/>
      </c>
      <c r="Z57" s="1404">
        <f>AG57-AN57</f>
        <v/>
      </c>
      <c r="AA57" s="1404">
        <f>AH57-AO57</f>
        <v/>
      </c>
      <c r="AB57" s="1404">
        <f>AI57-AP57</f>
        <v/>
      </c>
      <c r="AC57" s="1404">
        <f>SUM(W57:AB57)</f>
        <v/>
      </c>
      <c r="AD57" s="1405" t="n"/>
      <c r="AE57" s="1405" t="n"/>
      <c r="AF57" s="1405" t="n"/>
      <c r="AG57" s="1405" t="n"/>
      <c r="AH57" s="1405" t="n"/>
      <c r="AI57" s="1405" t="n"/>
      <c r="AJ57" s="1404">
        <f>SUM(AD57:AI57)</f>
        <v/>
      </c>
      <c r="AK57" s="1404" t="n"/>
      <c r="AL57" s="1404" t="n"/>
      <c r="AM57" s="1404" t="n"/>
      <c r="AN57" s="1404" t="n"/>
      <c r="AO57" s="1404" t="n"/>
      <c r="AP57" s="1404" t="n"/>
      <c r="AQ57" s="1404" t="n"/>
      <c r="AR57" s="1404" t="n"/>
      <c r="AS57" s="1404" t="n"/>
      <c r="AT57" s="1404" t="n"/>
      <c r="AU57" s="1404" t="n"/>
      <c r="AV57" s="1404" t="n"/>
      <c r="AW57" s="1404">
        <f>AK57-AQ57</f>
        <v/>
      </c>
      <c r="AX57" s="1404">
        <f>AL57-AR57</f>
        <v/>
      </c>
      <c r="AY57" s="1404">
        <f>AM57-AS57</f>
        <v/>
      </c>
      <c r="AZ57" s="1404">
        <f>AN57-AT57</f>
        <v/>
      </c>
      <c r="BA57" s="1404">
        <f>AO57-AU57</f>
        <v/>
      </c>
      <c r="BB57" s="1404">
        <f>AP57-AV57</f>
        <v/>
      </c>
      <c r="BC57" s="1404">
        <f>SUM(AW57:BB57)</f>
        <v/>
      </c>
      <c r="BD57" s="1404" t="n"/>
      <c r="BE57" s="1404" t="n"/>
      <c r="BF57" s="1404" t="n"/>
      <c r="BG57" s="1404" t="n"/>
      <c r="BH57" s="1404" t="n"/>
      <c r="BI57" s="1404" t="n"/>
      <c r="BJ57" s="1404">
        <f>SUM(BC57:BI57)</f>
        <v/>
      </c>
      <c r="BK57" s="1404">
        <f>BR57-BY57</f>
        <v/>
      </c>
      <c r="BL57" s="1404">
        <f>BS57-BZ57</f>
        <v/>
      </c>
      <c r="BM57" s="1404">
        <f>BT57-CA57</f>
        <v/>
      </c>
      <c r="BN57" s="1404">
        <f>BU57-CB57</f>
        <v/>
      </c>
      <c r="BO57" s="1404">
        <f>BV57-CC57</f>
        <v/>
      </c>
      <c r="BP57" s="1404">
        <f>BW57-CD57</f>
        <v/>
      </c>
      <c r="BQ57" s="1404">
        <f>SUM(BK57:BP57)</f>
        <v/>
      </c>
      <c r="BR57" s="1404" t="n"/>
      <c r="BS57" s="1404" t="n"/>
      <c r="BT57" s="1404" t="n"/>
      <c r="BU57" s="1404" t="n"/>
      <c r="BV57" s="1404" t="n"/>
      <c r="BW57" s="1404" t="n"/>
      <c r="BX57" s="1404">
        <f>SUM(BR57:BW57)</f>
        <v/>
      </c>
      <c r="BY57" s="1404" t="n"/>
      <c r="BZ57" s="1404" t="n"/>
      <c r="CA57" s="1404" t="n"/>
      <c r="CB57" s="1404" t="n"/>
      <c r="CC57" s="1404" t="n"/>
      <c r="CD57" s="1404" t="n"/>
      <c r="CE57" s="1404" t="n"/>
      <c r="CF57" s="1404" t="n"/>
      <c r="CG57" s="1404" t="n"/>
      <c r="CH57" s="1404" t="n"/>
      <c r="CI57" s="1404" t="n"/>
      <c r="CJ57" s="1404" t="n"/>
      <c r="CK57" s="1404">
        <f>SUM(CE57:CJ57)</f>
        <v/>
      </c>
    </row>
    <row r="58">
      <c r="A58" s="384" t="n"/>
      <c r="B58" s="384" t="n"/>
      <c r="C58" s="384" t="n"/>
      <c r="D58" s="384" t="n"/>
      <c r="E58" s="384" t="n"/>
      <c r="F58" s="384" t="n"/>
      <c r="G58" s="384" t="n"/>
      <c r="H58" s="384" t="n"/>
      <c r="I58" s="384" t="n"/>
      <c r="J58" s="384" t="n"/>
      <c r="K58" s="384" t="n"/>
      <c r="L58" s="384" t="n"/>
      <c r="M58" s="384" t="n"/>
      <c r="N58" s="384" t="n"/>
      <c r="O58" s="384" t="n"/>
      <c r="P58" s="384" t="n"/>
      <c r="Q58" s="384" t="n"/>
      <c r="R58" s="425" t="inlineStr">
        <is>
          <t xml:space="preserve">    现货交易电收入</t>
        </is>
      </c>
      <c r="S58" s="1403" t="inlineStr"/>
      <c r="T58" s="1403" t="inlineStr">
        <is>
          <t>元</t>
        </is>
      </c>
      <c r="U58" s="197" t="inlineStr">
        <is>
          <t>A02701010203</t>
        </is>
      </c>
      <c r="V58" s="32">
        <f>IF(_epmOfflineCondition_,"A02701010203",EPMOlapMemberO(U58,"[C_ACCOUNT].[PARENTH1].[A02701010203]","A02701010203 -     现货交易电量","","000"))</f>
        <v/>
      </c>
      <c r="W58" s="1404">
        <f>AD58-AK58</f>
        <v/>
      </c>
      <c r="X58" s="1404">
        <f>AE58-AL58</f>
        <v/>
      </c>
      <c r="Y58" s="1404">
        <f>AF58-AM58</f>
        <v/>
      </c>
      <c r="Z58" s="1404">
        <f>AG58-AN58</f>
        <v/>
      </c>
      <c r="AA58" s="1404">
        <f>AH58-AO58</f>
        <v/>
      </c>
      <c r="AB58" s="1404">
        <f>AI58-AP58</f>
        <v/>
      </c>
      <c r="AC58" s="1404">
        <f>SUM(W58:AB58)</f>
        <v/>
      </c>
      <c r="AD58" s="1405" t="n"/>
      <c r="AE58" s="1405" t="n"/>
      <c r="AF58" s="1405" t="n"/>
      <c r="AG58" s="1405" t="n"/>
      <c r="AH58" s="1405" t="n"/>
      <c r="AI58" s="1405" t="n"/>
      <c r="AJ58" s="1404">
        <f>SUM(AD58:AI58)</f>
        <v/>
      </c>
      <c r="AK58" s="1404" t="n"/>
      <c r="AL58" s="1404" t="n"/>
      <c r="AM58" s="1404" t="n"/>
      <c r="AN58" s="1404" t="n"/>
      <c r="AO58" s="1404" t="n"/>
      <c r="AP58" s="1404" t="n"/>
      <c r="AQ58" s="1404" t="n"/>
      <c r="AR58" s="1404" t="n"/>
      <c r="AS58" s="1404" t="n"/>
      <c r="AT58" s="1404" t="n"/>
      <c r="AU58" s="1404" t="n"/>
      <c r="AV58" s="1404" t="n"/>
      <c r="AW58" s="1404">
        <f>AK58-AQ58</f>
        <v/>
      </c>
      <c r="AX58" s="1404">
        <f>AL58-AR58</f>
        <v/>
      </c>
      <c r="AY58" s="1404">
        <f>AM58-AS58</f>
        <v/>
      </c>
      <c r="AZ58" s="1404">
        <f>AN58-AT58</f>
        <v/>
      </c>
      <c r="BA58" s="1404">
        <f>AO58-AU58</f>
        <v/>
      </c>
      <c r="BB58" s="1404">
        <f>AP58-AV58</f>
        <v/>
      </c>
      <c r="BC58" s="1404">
        <f>SUM(AW58:BB58)</f>
        <v/>
      </c>
      <c r="BD58" s="1404" t="n"/>
      <c r="BE58" s="1404" t="n"/>
      <c r="BF58" s="1404" t="n"/>
      <c r="BG58" s="1404" t="n"/>
      <c r="BH58" s="1404" t="n"/>
      <c r="BI58" s="1404" t="n"/>
      <c r="BJ58" s="1404">
        <f>SUM(BC58:BI58)</f>
        <v/>
      </c>
      <c r="BK58" s="1404">
        <f>BR58-BY58</f>
        <v/>
      </c>
      <c r="BL58" s="1404">
        <f>BS58-BZ58</f>
        <v/>
      </c>
      <c r="BM58" s="1404">
        <f>BT58-CA58</f>
        <v/>
      </c>
      <c r="BN58" s="1404">
        <f>BU58-CB58</f>
        <v/>
      </c>
      <c r="BO58" s="1404">
        <f>BV58-CC58</f>
        <v/>
      </c>
      <c r="BP58" s="1404">
        <f>BW58-CD58</f>
        <v/>
      </c>
      <c r="BQ58" s="1404">
        <f>SUM(BK58:BP58)</f>
        <v/>
      </c>
      <c r="BR58" s="1404" t="n"/>
      <c r="BS58" s="1404" t="n"/>
      <c r="BT58" s="1404" t="n"/>
      <c r="BU58" s="1404" t="n"/>
      <c r="BV58" s="1404" t="n"/>
      <c r="BW58" s="1404" t="n"/>
      <c r="BX58" s="1404">
        <f>SUM(BR58:BW58)</f>
        <v/>
      </c>
      <c r="BY58" s="1404" t="n"/>
      <c r="BZ58" s="1404" t="n"/>
      <c r="CA58" s="1404" t="n"/>
      <c r="CB58" s="1404" t="n"/>
      <c r="CC58" s="1404" t="n"/>
      <c r="CD58" s="1404" t="n"/>
      <c r="CE58" s="1404" t="n"/>
      <c r="CF58" s="1404" t="n"/>
      <c r="CG58" s="1404" t="n"/>
      <c r="CH58" s="1404" t="n"/>
      <c r="CI58" s="1404" t="n"/>
      <c r="CJ58" s="1404" t="n"/>
      <c r="CK58" s="1404">
        <f>SUM(CE58:CJ58)</f>
        <v/>
      </c>
    </row>
    <row r="59">
      <c r="A59" s="384" t="n"/>
      <c r="B59" s="384" t="n"/>
      <c r="C59" s="384" t="n"/>
      <c r="D59" s="384" t="n"/>
      <c r="E59" s="384" t="n"/>
      <c r="F59" s="384" t="n"/>
      <c r="G59" s="384" t="n"/>
      <c r="H59" s="384" t="n"/>
      <c r="I59" s="384" t="n"/>
      <c r="J59" s="384" t="n"/>
      <c r="K59" s="384" t="n"/>
      <c r="L59" s="384" t="n"/>
      <c r="M59" s="384" t="n"/>
      <c r="N59" s="384" t="n"/>
      <c r="O59" s="384" t="n"/>
      <c r="P59" s="384" t="n"/>
      <c r="Q59" s="384" t="n"/>
      <c r="R59" s="425" t="inlineStr">
        <is>
          <t xml:space="preserve">    其他交易电收入</t>
        </is>
      </c>
      <c r="S59" s="1403" t="inlineStr"/>
      <c r="T59" s="1403" t="inlineStr">
        <is>
          <t>元</t>
        </is>
      </c>
      <c r="U59" s="197" t="inlineStr">
        <is>
          <t>A02701010204</t>
        </is>
      </c>
      <c r="V59" s="32">
        <f>IF(_epmOfflineCondition_,"A02701010204",EPMOlapMemberO(U59,"[C_ACCOUNT].[PARENTH1].[A02701010204]","A02701010204 -     其他交易电量","","000"))</f>
        <v/>
      </c>
      <c r="W59" s="1404">
        <f>AD59-AK59</f>
        <v/>
      </c>
      <c r="X59" s="1404">
        <f>AE59-AL59</f>
        <v/>
      </c>
      <c r="Y59" s="1404">
        <f>AF59-AM59</f>
        <v/>
      </c>
      <c r="Z59" s="1404">
        <f>AG59-AN59</f>
        <v/>
      </c>
      <c r="AA59" s="1404">
        <f>AH59-AO59</f>
        <v/>
      </c>
      <c r="AB59" s="1404">
        <f>AI59-AP59</f>
        <v/>
      </c>
      <c r="AC59" s="1404">
        <f>SUM(W59:AB59)</f>
        <v/>
      </c>
      <c r="AD59" s="1405" t="n"/>
      <c r="AE59" s="1405" t="n"/>
      <c r="AF59" s="1405" t="n"/>
      <c r="AG59" s="1405" t="n"/>
      <c r="AH59" s="1405" t="n"/>
      <c r="AI59" s="1405" t="n"/>
      <c r="AJ59" s="1404">
        <f>SUM(AD59:AI59)</f>
        <v/>
      </c>
      <c r="AK59" s="1404" t="n"/>
      <c r="AL59" s="1404" t="n"/>
      <c r="AM59" s="1404" t="n"/>
      <c r="AN59" s="1404" t="n"/>
      <c r="AO59" s="1404" t="n"/>
      <c r="AP59" s="1404" t="n"/>
      <c r="AQ59" s="1404" t="n"/>
      <c r="AR59" s="1404" t="n"/>
      <c r="AS59" s="1404" t="n"/>
      <c r="AT59" s="1404" t="n"/>
      <c r="AU59" s="1404" t="n"/>
      <c r="AV59" s="1404" t="n"/>
      <c r="AW59" s="1404">
        <f>AK59-AQ59</f>
        <v/>
      </c>
      <c r="AX59" s="1404">
        <f>AL59-AR59</f>
        <v/>
      </c>
      <c r="AY59" s="1404">
        <f>AM59-AS59</f>
        <v/>
      </c>
      <c r="AZ59" s="1404">
        <f>AN59-AT59</f>
        <v/>
      </c>
      <c r="BA59" s="1404">
        <f>AO59-AU59</f>
        <v/>
      </c>
      <c r="BB59" s="1404">
        <f>AP59-AV59</f>
        <v/>
      </c>
      <c r="BC59" s="1404">
        <f>SUM(AW59:BB59)</f>
        <v/>
      </c>
      <c r="BD59" s="1404" t="n"/>
      <c r="BE59" s="1404" t="n"/>
      <c r="BF59" s="1404" t="n"/>
      <c r="BG59" s="1404" t="n"/>
      <c r="BH59" s="1404" t="n"/>
      <c r="BI59" s="1404" t="n"/>
      <c r="BJ59" s="1404">
        <f>SUM(BC59:BI59)</f>
        <v/>
      </c>
      <c r="BK59" s="1404">
        <f>BR59-BY59</f>
        <v/>
      </c>
      <c r="BL59" s="1404">
        <f>BS59-BZ59</f>
        <v/>
      </c>
      <c r="BM59" s="1404">
        <f>BT59-CA59</f>
        <v/>
      </c>
      <c r="BN59" s="1404">
        <f>BU59-CB59</f>
        <v/>
      </c>
      <c r="BO59" s="1404">
        <f>BV59-CC59</f>
        <v/>
      </c>
      <c r="BP59" s="1404">
        <f>BW59-CD59</f>
        <v/>
      </c>
      <c r="BQ59" s="1404">
        <f>SUM(BK59:BP59)</f>
        <v/>
      </c>
      <c r="BR59" s="1404" t="n"/>
      <c r="BS59" s="1404" t="n"/>
      <c r="BT59" s="1404" t="n"/>
      <c r="BU59" s="1404" t="n"/>
      <c r="BV59" s="1404" t="n"/>
      <c r="BW59" s="1404" t="n"/>
      <c r="BX59" s="1404">
        <f>SUM(BR59:BW59)</f>
        <v/>
      </c>
      <c r="BY59" s="1404" t="n"/>
      <c r="BZ59" s="1404" t="n"/>
      <c r="CA59" s="1404" t="n"/>
      <c r="CB59" s="1404" t="n"/>
      <c r="CC59" s="1404" t="n"/>
      <c r="CD59" s="1404" t="n"/>
      <c r="CE59" s="1404" t="n"/>
      <c r="CF59" s="1404" t="n"/>
      <c r="CG59" s="1404" t="n"/>
      <c r="CH59" s="1404" t="n"/>
      <c r="CI59" s="1404" t="n"/>
      <c r="CJ59" s="1404" t="n"/>
      <c r="CK59" s="1404">
        <f>SUM(CE59:CJ59)</f>
        <v/>
      </c>
    </row>
    <row r="60">
      <c r="A60" s="384" t="n"/>
      <c r="B60" s="384" t="n"/>
      <c r="C60" s="384" t="n"/>
      <c r="D60" s="384" t="n"/>
      <c r="E60" s="384" t="n"/>
      <c r="F60" s="384" t="n"/>
      <c r="G60" s="384" t="n"/>
      <c r="H60" s="384" t="n"/>
      <c r="I60" s="384" t="n"/>
      <c r="J60" s="384" t="n"/>
      <c r="K60" s="384" t="n"/>
      <c r="L60" s="384" t="n"/>
      <c r="M60" s="384" t="n"/>
      <c r="N60" s="384" t="n"/>
      <c r="O60" s="384" t="n"/>
      <c r="P60" s="384" t="n"/>
      <c r="Q60" s="384" t="n"/>
      <c r="R60" s="424" t="inlineStr">
        <is>
          <t>其他发电收入</t>
        </is>
      </c>
      <c r="S60" s="1403" t="inlineStr"/>
      <c r="T60" s="1403" t="inlineStr">
        <is>
          <t>元</t>
        </is>
      </c>
      <c r="U60" s="197" t="inlineStr">
        <is>
          <t>A027010103</t>
        </is>
      </c>
      <c r="V60" s="32">
        <f>IF(_epmOfflineCondition_,"A027010103",EPMOlapMemberO(U60,"[C_ACCOUNT].[PARENTH1].[A027010103]","A027010103 - 其他发电收入","","000"))</f>
        <v/>
      </c>
      <c r="W60" s="1404">
        <f>AD60-AK60</f>
        <v/>
      </c>
      <c r="X60" s="1404">
        <f>AE60-AL60</f>
        <v/>
      </c>
      <c r="Y60" s="1404">
        <f>AF60-AM60</f>
        <v/>
      </c>
      <c r="Z60" s="1404">
        <f>AG60-AN60</f>
        <v/>
      </c>
      <c r="AA60" s="1404">
        <f>AH60-AO60</f>
        <v/>
      </c>
      <c r="AB60" s="1404">
        <f>AI60-AP60</f>
        <v/>
      </c>
      <c r="AC60" s="1404">
        <f>SUM(W60:AB60)</f>
        <v/>
      </c>
      <c r="AD60" s="1404">
        <f>SUM(AD61:AD65)</f>
        <v/>
      </c>
      <c r="AE60" s="1404">
        <f>SUM(AE61:AE65)</f>
        <v/>
      </c>
      <c r="AF60" s="1404">
        <f>SUM(AF61:AF65)</f>
        <v/>
      </c>
      <c r="AG60" s="1404">
        <f>SUM(AG61:AG65)</f>
        <v/>
      </c>
      <c r="AH60" s="1404">
        <f>SUM(AH61:AH65)</f>
        <v/>
      </c>
      <c r="AI60" s="1404">
        <f>SUM(AI61:AI65)</f>
        <v/>
      </c>
      <c r="AJ60" s="1404">
        <f>SUM(AD60:AI60)</f>
        <v/>
      </c>
      <c r="AK60" s="1404">
        <f>SUM(AK61:AK65)</f>
        <v/>
      </c>
      <c r="AL60" s="1404">
        <f>SUM(AL61:AL65)</f>
        <v/>
      </c>
      <c r="AM60" s="1404">
        <f>SUM(AM61:AM65)</f>
        <v/>
      </c>
      <c r="AN60" s="1404">
        <f>SUM(AN61:AN65)</f>
        <v/>
      </c>
      <c r="AO60" s="1404">
        <f>SUM(AO61:AO65)</f>
        <v/>
      </c>
      <c r="AP60" s="1404">
        <f>SUM(AP61:AP65)</f>
        <v/>
      </c>
      <c r="AQ60" s="1404">
        <f>SUM(AQ61:AQ65)</f>
        <v/>
      </c>
      <c r="AR60" s="1404">
        <f>SUM(AR61:AR65)</f>
        <v/>
      </c>
      <c r="AS60" s="1404">
        <f>SUM(AS61:AS65)</f>
        <v/>
      </c>
      <c r="AT60" s="1404">
        <f>SUM(AT61:AT65)</f>
        <v/>
      </c>
      <c r="AU60" s="1404">
        <f>SUM(AU61:AU65)</f>
        <v/>
      </c>
      <c r="AV60" s="1404">
        <f>SUM(AV61:AV65)</f>
        <v/>
      </c>
      <c r="AW60" s="1404">
        <f>AK60-AQ60</f>
        <v/>
      </c>
      <c r="AX60" s="1404">
        <f>AL60-AR60</f>
        <v/>
      </c>
      <c r="AY60" s="1404">
        <f>AM60-AS60</f>
        <v/>
      </c>
      <c r="AZ60" s="1404">
        <f>AN60-AT60</f>
        <v/>
      </c>
      <c r="BA60" s="1404">
        <f>AO60-AU60</f>
        <v/>
      </c>
      <c r="BB60" s="1404">
        <f>AP60-AV60</f>
        <v/>
      </c>
      <c r="BC60" s="1404">
        <f>SUM(AW60:BB60)</f>
        <v/>
      </c>
      <c r="BD60" s="1404" t="n"/>
      <c r="BE60" s="1404" t="n"/>
      <c r="BF60" s="1404" t="n"/>
      <c r="BG60" s="1404" t="n"/>
      <c r="BH60" s="1404" t="n"/>
      <c r="BI60" s="1404" t="n"/>
      <c r="BJ60" s="1404">
        <f>SUM(BC60:BI60)</f>
        <v/>
      </c>
      <c r="BK60" s="1404">
        <f>BR60-BY60</f>
        <v/>
      </c>
      <c r="BL60" s="1404">
        <f>BS60-BZ60</f>
        <v/>
      </c>
      <c r="BM60" s="1404">
        <f>BT60-CA60</f>
        <v/>
      </c>
      <c r="BN60" s="1404">
        <f>BU60-CB60</f>
        <v/>
      </c>
      <c r="BO60" s="1404">
        <f>BV60-CC60</f>
        <v/>
      </c>
      <c r="BP60" s="1404">
        <f>BW60-CD60</f>
        <v/>
      </c>
      <c r="BQ60" s="1404">
        <f>SUM(BK60:BP60)</f>
        <v/>
      </c>
      <c r="BR60" s="1404" t="n"/>
      <c r="BS60" s="1404" t="n"/>
      <c r="BT60" s="1404" t="n"/>
      <c r="BU60" s="1404" t="n"/>
      <c r="BV60" s="1404" t="n"/>
      <c r="BW60" s="1404" t="n"/>
      <c r="BX60" s="1404">
        <f>SUM(BR60:BW60)</f>
        <v/>
      </c>
      <c r="BY60" s="1404" t="n"/>
      <c r="BZ60" s="1404" t="n"/>
      <c r="CA60" s="1404" t="n"/>
      <c r="CB60" s="1404" t="n"/>
      <c r="CC60" s="1404" t="n"/>
      <c r="CD60" s="1404" t="n"/>
      <c r="CE60" s="1404" t="n"/>
      <c r="CF60" s="1404" t="n"/>
      <c r="CG60" s="1404" t="n"/>
      <c r="CH60" s="1404" t="n"/>
      <c r="CI60" s="1404" t="n"/>
      <c r="CJ60" s="1404" t="n"/>
      <c r="CK60" s="1404">
        <f>SUM(CE60:CJ60)</f>
        <v/>
      </c>
    </row>
    <row r="61">
      <c r="A61" s="384" t="n"/>
      <c r="B61" s="384" t="n"/>
      <c r="C61" s="384" t="n"/>
      <c r="D61" s="384" t="n"/>
      <c r="E61" s="384" t="n"/>
      <c r="F61" s="384" t="n"/>
      <c r="G61" s="384" t="n"/>
      <c r="H61" s="384" t="n"/>
      <c r="I61" s="384" t="n"/>
      <c r="J61" s="384" t="n"/>
      <c r="K61" s="384" t="n"/>
      <c r="L61" s="384" t="n"/>
      <c r="M61" s="384" t="n"/>
      <c r="N61" s="384" t="n"/>
      <c r="O61" s="384" t="n"/>
      <c r="P61" s="384" t="n"/>
      <c r="Q61" s="384" t="n"/>
      <c r="R61" s="426" t="inlineStr">
        <is>
          <t>双细则收入</t>
        </is>
      </c>
      <c r="S61" s="1403" t="inlineStr"/>
      <c r="T61" s="1403" t="inlineStr">
        <is>
          <t>元</t>
        </is>
      </c>
      <c r="U61" s="197" t="inlineStr">
        <is>
          <t>A02701010301</t>
        </is>
      </c>
      <c r="V61" s="32">
        <f>IF(_epmOfflineCondition_,"A02701010301",EPMOlapMemberO(U61,"[C_ACCOUNT].[PARENTH1].[A02701010301]","A02701010301 - 双细则收入","","000"))</f>
        <v/>
      </c>
      <c r="W61" s="1404">
        <f>AD61-AK61</f>
        <v/>
      </c>
      <c r="X61" s="1404">
        <f>AE61-AL61</f>
        <v/>
      </c>
      <c r="Y61" s="1404">
        <f>AF61-AM61</f>
        <v/>
      </c>
      <c r="Z61" s="1404">
        <f>AG61-AN61</f>
        <v/>
      </c>
      <c r="AA61" s="1404">
        <f>AH61-AO61</f>
        <v/>
      </c>
      <c r="AB61" s="1404">
        <f>AI61-AP61</f>
        <v/>
      </c>
      <c r="AC61" s="1404">
        <f>SUM(W61:AB61)</f>
        <v/>
      </c>
      <c r="AD61" s="1405" t="n"/>
      <c r="AE61" s="1405" t="n"/>
      <c r="AF61" s="1405" t="n"/>
      <c r="AG61" s="1405" t="n"/>
      <c r="AH61" s="1405" t="n"/>
      <c r="AI61" s="1405" t="n"/>
      <c r="AJ61" s="1404">
        <f>SUM(AD61:AI61)</f>
        <v/>
      </c>
      <c r="AK61" s="1404" t="n"/>
      <c r="AL61" s="1404" t="n"/>
      <c r="AM61" s="1404" t="n"/>
      <c r="AN61" s="1404" t="n"/>
      <c r="AO61" s="1404" t="n"/>
      <c r="AP61" s="1404" t="n"/>
      <c r="AQ61" s="1404" t="n"/>
      <c r="AR61" s="1404" t="n"/>
      <c r="AS61" s="1404" t="n"/>
      <c r="AT61" s="1404" t="n"/>
      <c r="AU61" s="1404" t="n"/>
      <c r="AV61" s="1404" t="n"/>
      <c r="AW61" s="1404">
        <f>AK61-AQ61</f>
        <v/>
      </c>
      <c r="AX61" s="1404">
        <f>AL61-AR61</f>
        <v/>
      </c>
      <c r="AY61" s="1404">
        <f>AM61-AS61</f>
        <v/>
      </c>
      <c r="AZ61" s="1404">
        <f>AN61-AT61</f>
        <v/>
      </c>
      <c r="BA61" s="1404">
        <f>AO61-AU61</f>
        <v/>
      </c>
      <c r="BB61" s="1404">
        <f>AP61-AV61</f>
        <v/>
      </c>
      <c r="BC61" s="1404">
        <f>SUM(AW61:BB61)</f>
        <v/>
      </c>
      <c r="BD61" s="1404" t="n"/>
      <c r="BE61" s="1404" t="n"/>
      <c r="BF61" s="1404" t="n"/>
      <c r="BG61" s="1404" t="n"/>
      <c r="BH61" s="1404" t="n"/>
      <c r="BI61" s="1404" t="n"/>
      <c r="BJ61" s="1404">
        <f>SUM(BC61:BI61)</f>
        <v/>
      </c>
      <c r="BK61" s="1404">
        <f>BR61-BY61</f>
        <v/>
      </c>
      <c r="BL61" s="1404">
        <f>BS61-BZ61</f>
        <v/>
      </c>
      <c r="BM61" s="1404">
        <f>BT61-CA61</f>
        <v/>
      </c>
      <c r="BN61" s="1404">
        <f>BU61-CB61</f>
        <v/>
      </c>
      <c r="BO61" s="1404">
        <f>BV61-CC61</f>
        <v/>
      </c>
      <c r="BP61" s="1404">
        <f>BW61-CD61</f>
        <v/>
      </c>
      <c r="BQ61" s="1404">
        <f>SUM(BK61:BP61)</f>
        <v/>
      </c>
      <c r="BR61" s="1404" t="n"/>
      <c r="BS61" s="1404" t="n"/>
      <c r="BT61" s="1404" t="n"/>
      <c r="BU61" s="1404" t="n"/>
      <c r="BV61" s="1404" t="n"/>
      <c r="BW61" s="1404" t="n"/>
      <c r="BX61" s="1404">
        <f>SUM(BR61:BW61)</f>
        <v/>
      </c>
      <c r="BY61" s="1404" t="n"/>
      <c r="BZ61" s="1404" t="n"/>
      <c r="CA61" s="1404" t="n"/>
      <c r="CB61" s="1404" t="n"/>
      <c r="CC61" s="1404" t="n"/>
      <c r="CD61" s="1404" t="n"/>
      <c r="CE61" s="1404" t="n"/>
      <c r="CF61" s="1404" t="n"/>
      <c r="CG61" s="1404" t="n"/>
      <c r="CH61" s="1404" t="n"/>
      <c r="CI61" s="1404" t="n"/>
      <c r="CJ61" s="1404" t="n"/>
      <c r="CK61" s="1404">
        <f>SUM(CE61:CJ61)</f>
        <v/>
      </c>
    </row>
    <row r="62">
      <c r="A62" s="384" t="n"/>
      <c r="B62" s="384" t="n"/>
      <c r="C62" s="384" t="n"/>
      <c r="D62" s="384" t="n"/>
      <c r="E62" s="384" t="n"/>
      <c r="F62" s="384" t="n"/>
      <c r="G62" s="384" t="n"/>
      <c r="H62" s="384" t="n"/>
      <c r="I62" s="384" t="n"/>
      <c r="J62" s="384" t="n"/>
      <c r="K62" s="384" t="n"/>
      <c r="L62" s="384" t="n"/>
      <c r="M62" s="384" t="n"/>
      <c r="N62" s="384" t="n"/>
      <c r="O62" s="384" t="n"/>
      <c r="P62" s="384" t="n"/>
      <c r="Q62" s="384" t="n"/>
      <c r="R62" s="426" t="inlineStr">
        <is>
          <t>调峰收入</t>
        </is>
      </c>
      <c r="S62" s="1403" t="inlineStr"/>
      <c r="T62" s="1403" t="inlineStr">
        <is>
          <t>元</t>
        </is>
      </c>
      <c r="U62" s="197" t="inlineStr">
        <is>
          <t>A02701010302</t>
        </is>
      </c>
      <c r="V62" s="32">
        <f>IF(_epmOfflineCondition_,"A02701010302",EPMOlapMemberO(U62,"[C_ACCOUNT].[PARENTH1].[A02701010302]","A02701010302 - 调峰收入","","000"))</f>
        <v/>
      </c>
      <c r="W62" s="1404">
        <f>AD62-AK62</f>
        <v/>
      </c>
      <c r="X62" s="1404">
        <f>AE62-AL62</f>
        <v/>
      </c>
      <c r="Y62" s="1404">
        <f>AF62-AM62</f>
        <v/>
      </c>
      <c r="Z62" s="1404">
        <f>AG62-AN62</f>
        <v/>
      </c>
      <c r="AA62" s="1404">
        <f>AH62-AO62</f>
        <v/>
      </c>
      <c r="AB62" s="1404">
        <f>AI62-AP62</f>
        <v/>
      </c>
      <c r="AC62" s="1404">
        <f>SUM(W62:AB62)</f>
        <v/>
      </c>
      <c r="AD62" s="1405" t="n"/>
      <c r="AE62" s="1405" t="n"/>
      <c r="AF62" s="1405" t="n"/>
      <c r="AG62" s="1405" t="n"/>
      <c r="AH62" s="1405" t="n"/>
      <c r="AI62" s="1405" t="n"/>
      <c r="AJ62" s="1404">
        <f>SUM(AD62:AI62)</f>
        <v/>
      </c>
      <c r="AK62" s="1404" t="n"/>
      <c r="AL62" s="1404" t="n"/>
      <c r="AM62" s="1404" t="n"/>
      <c r="AN62" s="1404" t="n"/>
      <c r="AO62" s="1404" t="n"/>
      <c r="AP62" s="1404" t="n"/>
      <c r="AQ62" s="1404" t="n"/>
      <c r="AR62" s="1404" t="n"/>
      <c r="AS62" s="1404" t="n"/>
      <c r="AT62" s="1404" t="n"/>
      <c r="AU62" s="1404" t="n"/>
      <c r="AV62" s="1404" t="n"/>
      <c r="AW62" s="1404">
        <f>AK62-AQ62</f>
        <v/>
      </c>
      <c r="AX62" s="1404">
        <f>AL62-AR62</f>
        <v/>
      </c>
      <c r="AY62" s="1404">
        <f>AM62-AS62</f>
        <v/>
      </c>
      <c r="AZ62" s="1404">
        <f>AN62-AT62</f>
        <v/>
      </c>
      <c r="BA62" s="1404">
        <f>AO62-AU62</f>
        <v/>
      </c>
      <c r="BB62" s="1404">
        <f>AP62-AV62</f>
        <v/>
      </c>
      <c r="BC62" s="1404">
        <f>SUM(AW62:BB62)</f>
        <v/>
      </c>
      <c r="BD62" s="1404" t="n"/>
      <c r="BE62" s="1404" t="n"/>
      <c r="BF62" s="1404" t="n"/>
      <c r="BG62" s="1404" t="n"/>
      <c r="BH62" s="1404" t="n"/>
      <c r="BI62" s="1404" t="n"/>
      <c r="BJ62" s="1404">
        <f>SUM(BC62:BI62)</f>
        <v/>
      </c>
      <c r="BK62" s="1404">
        <f>BR62-BY62</f>
        <v/>
      </c>
      <c r="BL62" s="1404">
        <f>BS62-BZ62</f>
        <v/>
      </c>
      <c r="BM62" s="1404">
        <f>BT62-CA62</f>
        <v/>
      </c>
      <c r="BN62" s="1404">
        <f>BU62-CB62</f>
        <v/>
      </c>
      <c r="BO62" s="1404">
        <f>BV62-CC62</f>
        <v/>
      </c>
      <c r="BP62" s="1404">
        <f>BW62-CD62</f>
        <v/>
      </c>
      <c r="BQ62" s="1404">
        <f>SUM(BK62:BP62)</f>
        <v/>
      </c>
      <c r="BR62" s="1404" t="n"/>
      <c r="BS62" s="1404" t="n"/>
      <c r="BT62" s="1404" t="n"/>
      <c r="BU62" s="1404" t="n"/>
      <c r="BV62" s="1404" t="n"/>
      <c r="BW62" s="1404" t="n"/>
      <c r="BX62" s="1404">
        <f>SUM(BR62:BW62)</f>
        <v/>
      </c>
      <c r="BY62" s="1404" t="n"/>
      <c r="BZ62" s="1404" t="n"/>
      <c r="CA62" s="1404" t="n"/>
      <c r="CB62" s="1404" t="n"/>
      <c r="CC62" s="1404" t="n"/>
      <c r="CD62" s="1404" t="n"/>
      <c r="CE62" s="1404" t="n"/>
      <c r="CF62" s="1404" t="n"/>
      <c r="CG62" s="1404" t="n"/>
      <c r="CH62" s="1404" t="n"/>
      <c r="CI62" s="1404" t="n"/>
      <c r="CJ62" s="1404" t="n"/>
      <c r="CK62" s="1404">
        <f>SUM(CE62:CJ62)</f>
        <v/>
      </c>
    </row>
    <row r="63">
      <c r="A63" s="384" t="n"/>
      <c r="B63" s="384" t="n"/>
      <c r="C63" s="384" t="n"/>
      <c r="D63" s="384" t="n"/>
      <c r="E63" s="384" t="n"/>
      <c r="F63" s="384" t="n"/>
      <c r="G63" s="384" t="n"/>
      <c r="H63" s="384" t="n"/>
      <c r="I63" s="384" t="n"/>
      <c r="J63" s="384" t="n"/>
      <c r="K63" s="384" t="n"/>
      <c r="L63" s="384" t="n"/>
      <c r="M63" s="384" t="n"/>
      <c r="N63" s="384" t="n"/>
      <c r="O63" s="384" t="n"/>
      <c r="P63" s="384" t="n"/>
      <c r="Q63" s="384" t="n"/>
      <c r="R63" s="426" t="inlineStr">
        <is>
          <t>调频收入</t>
        </is>
      </c>
      <c r="S63" s="1403" t="inlineStr"/>
      <c r="T63" s="1403" t="inlineStr">
        <is>
          <t>元</t>
        </is>
      </c>
      <c r="U63" s="197" t="inlineStr">
        <is>
          <t>A02701010303</t>
        </is>
      </c>
      <c r="V63" s="32">
        <f>IF(_epmOfflineCondition_,"A02701010303",EPMOlapMemberO(U63,"[C_ACCOUNT].[PARENTH1].[A02701010303]","A02701010303 - 调频收入","","000"))</f>
        <v/>
      </c>
      <c r="W63" s="1404">
        <f>AD63-AK63</f>
        <v/>
      </c>
      <c r="X63" s="1404">
        <f>AE63-AL63</f>
        <v/>
      </c>
      <c r="Y63" s="1404">
        <f>AF63-AM63</f>
        <v/>
      </c>
      <c r="Z63" s="1404">
        <f>AG63-AN63</f>
        <v/>
      </c>
      <c r="AA63" s="1404">
        <f>AH63-AO63</f>
        <v/>
      </c>
      <c r="AB63" s="1404">
        <f>AI63-AP63</f>
        <v/>
      </c>
      <c r="AC63" s="1404">
        <f>SUM(W63:AB63)</f>
        <v/>
      </c>
      <c r="AD63" s="1405" t="n"/>
      <c r="AE63" s="1405" t="n"/>
      <c r="AF63" s="1405" t="n"/>
      <c r="AG63" s="1405" t="n"/>
      <c r="AH63" s="1405" t="n"/>
      <c r="AI63" s="1405" t="n"/>
      <c r="AJ63" s="1404">
        <f>SUM(AD63:AI63)</f>
        <v/>
      </c>
      <c r="AK63" s="1404" t="n"/>
      <c r="AL63" s="1404" t="n"/>
      <c r="AM63" s="1404" t="n"/>
      <c r="AN63" s="1404" t="n"/>
      <c r="AO63" s="1404" t="n"/>
      <c r="AP63" s="1404" t="n"/>
      <c r="AQ63" s="1404" t="n"/>
      <c r="AR63" s="1404" t="n"/>
      <c r="AS63" s="1404" t="n"/>
      <c r="AT63" s="1404" t="n"/>
      <c r="AU63" s="1404" t="n"/>
      <c r="AV63" s="1404" t="n"/>
      <c r="AW63" s="1404">
        <f>AK63-AQ63</f>
        <v/>
      </c>
      <c r="AX63" s="1404">
        <f>AL63-AR63</f>
        <v/>
      </c>
      <c r="AY63" s="1404">
        <f>AM63-AS63</f>
        <v/>
      </c>
      <c r="AZ63" s="1404">
        <f>AN63-AT63</f>
        <v/>
      </c>
      <c r="BA63" s="1404">
        <f>AO63-AU63</f>
        <v/>
      </c>
      <c r="BB63" s="1404">
        <f>AP63-AV63</f>
        <v/>
      </c>
      <c r="BC63" s="1404">
        <f>SUM(AW63:BB63)</f>
        <v/>
      </c>
      <c r="BD63" s="1404" t="n"/>
      <c r="BE63" s="1404" t="n"/>
      <c r="BF63" s="1404" t="n"/>
      <c r="BG63" s="1404" t="n"/>
      <c r="BH63" s="1404" t="n"/>
      <c r="BI63" s="1404" t="n"/>
      <c r="BJ63" s="1404">
        <f>SUM(BC63:BI63)</f>
        <v/>
      </c>
      <c r="BK63" s="1404">
        <f>BR63-BY63</f>
        <v/>
      </c>
      <c r="BL63" s="1404">
        <f>BS63-BZ63</f>
        <v/>
      </c>
      <c r="BM63" s="1404">
        <f>BT63-CA63</f>
        <v/>
      </c>
      <c r="BN63" s="1404">
        <f>BU63-CB63</f>
        <v/>
      </c>
      <c r="BO63" s="1404">
        <f>BV63-CC63</f>
        <v/>
      </c>
      <c r="BP63" s="1404">
        <f>BW63-CD63</f>
        <v/>
      </c>
      <c r="BQ63" s="1404">
        <f>SUM(BK63:BP63)</f>
        <v/>
      </c>
      <c r="BR63" s="1404" t="n"/>
      <c r="BS63" s="1404" t="n"/>
      <c r="BT63" s="1404" t="n"/>
      <c r="BU63" s="1404" t="n"/>
      <c r="BV63" s="1404" t="n"/>
      <c r="BW63" s="1404" t="n"/>
      <c r="BX63" s="1404">
        <f>SUM(BR63:BW63)</f>
        <v/>
      </c>
      <c r="BY63" s="1404" t="n"/>
      <c r="BZ63" s="1404" t="n"/>
      <c r="CA63" s="1404" t="n"/>
      <c r="CB63" s="1404" t="n"/>
      <c r="CC63" s="1404" t="n"/>
      <c r="CD63" s="1404" t="n"/>
      <c r="CE63" s="1404" t="n"/>
      <c r="CF63" s="1404" t="n"/>
      <c r="CG63" s="1404" t="n"/>
      <c r="CH63" s="1404" t="n"/>
      <c r="CI63" s="1404" t="n"/>
      <c r="CJ63" s="1404" t="n"/>
      <c r="CK63" s="1404">
        <f>SUM(CE63:CJ63)</f>
        <v/>
      </c>
    </row>
    <row r="64">
      <c r="A64" s="384" t="n"/>
      <c r="B64" s="384" t="n"/>
      <c r="C64" s="384" t="n"/>
      <c r="D64" s="384" t="n"/>
      <c r="E64" s="384" t="n"/>
      <c r="F64" s="384" t="n"/>
      <c r="G64" s="384" t="n"/>
      <c r="H64" s="384" t="n"/>
      <c r="I64" s="384" t="n"/>
      <c r="J64" s="384" t="n"/>
      <c r="K64" s="384" t="n"/>
      <c r="L64" s="384" t="n"/>
      <c r="M64" s="384" t="n"/>
      <c r="N64" s="384" t="n"/>
      <c r="O64" s="384" t="n"/>
      <c r="P64" s="384" t="n"/>
      <c r="Q64" s="384" t="n"/>
      <c r="R64" s="426" t="inlineStr">
        <is>
          <t>超低排放补贴</t>
        </is>
      </c>
      <c r="S64" s="1403" t="inlineStr"/>
      <c r="T64" s="1403" t="inlineStr">
        <is>
          <t>元</t>
        </is>
      </c>
      <c r="U64" s="197" t="inlineStr">
        <is>
          <t>A02701010304</t>
        </is>
      </c>
      <c r="V64" s="32">
        <f>IF(_epmOfflineCondition_,"A02701010304",EPMOlapMemberO(U64,"[C_ACCOUNT].[PARENTH1].[A02701010304]","A02701010304 - 超低排放补贴","","000"))</f>
        <v/>
      </c>
      <c r="W64" s="1404">
        <f>AD64-AK64</f>
        <v/>
      </c>
      <c r="X64" s="1404">
        <f>AE64-AL64</f>
        <v/>
      </c>
      <c r="Y64" s="1404">
        <f>AF64-AM64</f>
        <v/>
      </c>
      <c r="Z64" s="1404">
        <f>AG64-AN64</f>
        <v/>
      </c>
      <c r="AA64" s="1404">
        <f>AH64-AO64</f>
        <v/>
      </c>
      <c r="AB64" s="1404">
        <f>AI64-AP64</f>
        <v/>
      </c>
      <c r="AC64" s="1404">
        <f>SUM(W64:AB64)</f>
        <v/>
      </c>
      <c r="AD64" s="1405" t="n"/>
      <c r="AE64" s="1405" t="n"/>
      <c r="AF64" s="1405" t="n"/>
      <c r="AG64" s="1405" t="n"/>
      <c r="AH64" s="1405" t="n"/>
      <c r="AI64" s="1405" t="n"/>
      <c r="AJ64" s="1404">
        <f>SUM(AD64:AI64)</f>
        <v/>
      </c>
      <c r="AK64" s="1404" t="n"/>
      <c r="AL64" s="1404" t="n"/>
      <c r="AM64" s="1404" t="n"/>
      <c r="AN64" s="1404" t="n"/>
      <c r="AO64" s="1404" t="n"/>
      <c r="AP64" s="1404" t="n"/>
      <c r="AQ64" s="1404" t="n"/>
      <c r="AR64" s="1404" t="n"/>
      <c r="AS64" s="1404" t="n"/>
      <c r="AT64" s="1404" t="n"/>
      <c r="AU64" s="1404" t="n"/>
      <c r="AV64" s="1404" t="n"/>
      <c r="AW64" s="1404">
        <f>AK64-AQ64</f>
        <v/>
      </c>
      <c r="AX64" s="1404">
        <f>AL64-AR64</f>
        <v/>
      </c>
      <c r="AY64" s="1404">
        <f>AM64-AS64</f>
        <v/>
      </c>
      <c r="AZ64" s="1404">
        <f>AN64-AT64</f>
        <v/>
      </c>
      <c r="BA64" s="1404">
        <f>AO64-AU64</f>
        <v/>
      </c>
      <c r="BB64" s="1404">
        <f>AP64-AV64</f>
        <v/>
      </c>
      <c r="BC64" s="1404">
        <f>SUM(AW64:BB64)</f>
        <v/>
      </c>
      <c r="BD64" s="1404" t="n"/>
      <c r="BE64" s="1404" t="n"/>
      <c r="BF64" s="1404" t="n"/>
      <c r="BG64" s="1404" t="n"/>
      <c r="BH64" s="1404" t="n"/>
      <c r="BI64" s="1404" t="n"/>
      <c r="BJ64" s="1404">
        <f>SUM(BC64:BI64)</f>
        <v/>
      </c>
      <c r="BK64" s="1404">
        <f>BR64-BY64</f>
        <v/>
      </c>
      <c r="BL64" s="1404">
        <f>BS64-BZ64</f>
        <v/>
      </c>
      <c r="BM64" s="1404">
        <f>BT64-CA64</f>
        <v/>
      </c>
      <c r="BN64" s="1404">
        <f>BU64-CB64</f>
        <v/>
      </c>
      <c r="BO64" s="1404">
        <f>BV64-CC64</f>
        <v/>
      </c>
      <c r="BP64" s="1404">
        <f>BW64-CD64</f>
        <v/>
      </c>
      <c r="BQ64" s="1404">
        <f>SUM(BK64:BP64)</f>
        <v/>
      </c>
      <c r="BR64" s="1404" t="n"/>
      <c r="BS64" s="1404" t="n"/>
      <c r="BT64" s="1404" t="n"/>
      <c r="BU64" s="1404" t="n"/>
      <c r="BV64" s="1404" t="n"/>
      <c r="BW64" s="1404" t="n"/>
      <c r="BX64" s="1404">
        <f>SUM(BR64:BW64)</f>
        <v/>
      </c>
      <c r="BY64" s="1404" t="n"/>
      <c r="BZ64" s="1404" t="n"/>
      <c r="CA64" s="1404" t="n"/>
      <c r="CB64" s="1404" t="n"/>
      <c r="CC64" s="1404" t="n"/>
      <c r="CD64" s="1404" t="n"/>
      <c r="CE64" s="1404" t="n"/>
      <c r="CF64" s="1404" t="n"/>
      <c r="CG64" s="1404" t="n"/>
      <c r="CH64" s="1404" t="n"/>
      <c r="CI64" s="1404" t="n"/>
      <c r="CJ64" s="1404" t="n"/>
      <c r="CK64" s="1404">
        <f>SUM(CE64:CJ64)</f>
        <v/>
      </c>
    </row>
    <row r="65">
      <c r="A65" s="384" t="n"/>
      <c r="B65" s="384" t="n"/>
      <c r="C65" s="384" t="n"/>
      <c r="D65" s="384" t="n"/>
      <c r="E65" s="384" t="n"/>
      <c r="F65" s="384" t="n"/>
      <c r="G65" s="384" t="n"/>
      <c r="H65" s="384" t="n"/>
      <c r="I65" s="384" t="n"/>
      <c r="J65" s="384" t="n"/>
      <c r="K65" s="384" t="n"/>
      <c r="L65" s="384" t="n"/>
      <c r="M65" s="384" t="n"/>
      <c r="N65" s="384" t="n"/>
      <c r="O65" s="384" t="n"/>
      <c r="P65" s="384" t="n"/>
      <c r="Q65" s="384" t="n"/>
      <c r="R65" s="426" t="inlineStr">
        <is>
          <t>其他</t>
        </is>
      </c>
      <c r="S65" s="1403" t="inlineStr"/>
      <c r="T65" s="1403" t="inlineStr">
        <is>
          <t>元</t>
        </is>
      </c>
      <c r="U65" s="197" t="inlineStr">
        <is>
          <t>A02701010305</t>
        </is>
      </c>
      <c r="V65" s="32">
        <f>IF(_epmOfflineCondition_,"A02701010305",EPMOlapMemberO(U65,"[C_ACCOUNT].[PARENTH1].[A02701010305]","A02701010305 - 其他","","000"))</f>
        <v/>
      </c>
      <c r="W65" s="1404">
        <f>AD65-AK65</f>
        <v/>
      </c>
      <c r="X65" s="1404">
        <f>AE65-AL65</f>
        <v/>
      </c>
      <c r="Y65" s="1404">
        <f>AF65-AM65</f>
        <v/>
      </c>
      <c r="Z65" s="1404">
        <f>AG65-AN65</f>
        <v/>
      </c>
      <c r="AA65" s="1404">
        <f>AH65-AO65</f>
        <v/>
      </c>
      <c r="AB65" s="1404">
        <f>AI65-AP65</f>
        <v/>
      </c>
      <c r="AC65" s="1404">
        <f>SUM(W65:AB65)</f>
        <v/>
      </c>
      <c r="AD65" s="1405" t="n"/>
      <c r="AE65" s="1405" t="n"/>
      <c r="AF65" s="1405" t="n"/>
      <c r="AG65" s="1405" t="n"/>
      <c r="AH65" s="1405" t="n"/>
      <c r="AI65" s="1405" t="n"/>
      <c r="AJ65" s="1404">
        <f>SUM(AD65:AI65)</f>
        <v/>
      </c>
      <c r="AK65" s="1404" t="n"/>
      <c r="AL65" s="1404" t="n"/>
      <c r="AM65" s="1404" t="n"/>
      <c r="AN65" s="1404" t="n"/>
      <c r="AO65" s="1404" t="n"/>
      <c r="AP65" s="1404" t="n"/>
      <c r="AQ65" s="1404" t="n"/>
      <c r="AR65" s="1404" t="n"/>
      <c r="AS65" s="1404" t="n"/>
      <c r="AT65" s="1404" t="n"/>
      <c r="AU65" s="1404" t="n"/>
      <c r="AV65" s="1404" t="n"/>
      <c r="AW65" s="1404">
        <f>AK65-AQ65</f>
        <v/>
      </c>
      <c r="AX65" s="1404">
        <f>AL65-AR65</f>
        <v/>
      </c>
      <c r="AY65" s="1404">
        <f>AM65-AS65</f>
        <v/>
      </c>
      <c r="AZ65" s="1404">
        <f>AN65-AT65</f>
        <v/>
      </c>
      <c r="BA65" s="1404">
        <f>AO65-AU65</f>
        <v/>
      </c>
      <c r="BB65" s="1404">
        <f>AP65-AV65</f>
        <v/>
      </c>
      <c r="BC65" s="1404">
        <f>SUM(AW65:BB65)</f>
        <v/>
      </c>
      <c r="BD65" s="1404" t="n"/>
      <c r="BE65" s="1404" t="n"/>
      <c r="BF65" s="1404" t="n"/>
      <c r="BG65" s="1404" t="n"/>
      <c r="BH65" s="1404" t="n"/>
      <c r="BI65" s="1404" t="n"/>
      <c r="BJ65" s="1404">
        <f>SUM(BC65:BI65)</f>
        <v/>
      </c>
      <c r="BK65" s="1404">
        <f>BR65-BY65</f>
        <v/>
      </c>
      <c r="BL65" s="1404">
        <f>BS65-BZ65</f>
        <v/>
      </c>
      <c r="BM65" s="1404">
        <f>BT65-CA65</f>
        <v/>
      </c>
      <c r="BN65" s="1404">
        <f>BU65-CB65</f>
        <v/>
      </c>
      <c r="BO65" s="1404">
        <f>BV65-CC65</f>
        <v/>
      </c>
      <c r="BP65" s="1404">
        <f>BW65-CD65</f>
        <v/>
      </c>
      <c r="BQ65" s="1404">
        <f>SUM(BK65:BP65)</f>
        <v/>
      </c>
      <c r="BR65" s="1404" t="n"/>
      <c r="BS65" s="1404" t="n"/>
      <c r="BT65" s="1404" t="n"/>
      <c r="BU65" s="1404" t="n"/>
      <c r="BV65" s="1404" t="n"/>
      <c r="BW65" s="1404" t="n"/>
      <c r="BX65" s="1404">
        <f>SUM(BR65:BW65)</f>
        <v/>
      </c>
      <c r="BY65" s="1404" t="n"/>
      <c r="BZ65" s="1404" t="n"/>
      <c r="CA65" s="1404" t="n"/>
      <c r="CB65" s="1404" t="n"/>
      <c r="CC65" s="1404" t="n"/>
      <c r="CD65" s="1404" t="n"/>
      <c r="CE65" s="1404" t="n"/>
      <c r="CF65" s="1404" t="n"/>
      <c r="CG65" s="1404" t="n"/>
      <c r="CH65" s="1404" t="n"/>
      <c r="CI65" s="1404" t="n"/>
      <c r="CJ65" s="1404" t="n"/>
      <c r="CK65" s="1404">
        <f>SUM(CE65:CJ65)</f>
        <v/>
      </c>
    </row>
    <row r="66">
      <c r="A66" s="384" t="n"/>
      <c r="B66" s="384" t="n"/>
      <c r="C66" s="384" t="n"/>
      <c r="D66" s="384" t="n"/>
      <c r="E66" s="384" t="n"/>
      <c r="F66" s="384" t="n"/>
      <c r="G66" s="384" t="n"/>
      <c r="H66" s="384" t="n"/>
      <c r="I66" s="384" t="n"/>
      <c r="J66" s="384" t="n"/>
      <c r="K66" s="384" t="n"/>
      <c r="L66" s="384" t="n"/>
      <c r="M66" s="384" t="n"/>
      <c r="N66" s="384" t="n"/>
      <c r="O66" s="384" t="n"/>
      <c r="P66" s="384" t="n"/>
      <c r="Q66" s="384" t="n"/>
      <c r="R66" s="422" t="inlineStr">
        <is>
          <t xml:space="preserve"> 售电量</t>
        </is>
      </c>
      <c r="S66" s="1403" t="inlineStr"/>
      <c r="T66" s="1403" t="inlineStr">
        <is>
          <t>千千瓦时</t>
        </is>
      </c>
      <c r="U66" s="197" t="inlineStr">
        <is>
          <t>A0270201</t>
        </is>
      </c>
      <c r="V66" s="32">
        <f>IF(_epmOfflineCondition_,"A0270201",EPMOlapMemberO(U66,"[C_ACCOUNT].[PARENTH1].[A0270201]","A0270201 -  售电量","","000"))</f>
        <v/>
      </c>
      <c r="W66" s="1404">
        <f>AD66-AK66</f>
        <v/>
      </c>
      <c r="X66" s="1404">
        <f>AE66-AL66</f>
        <v/>
      </c>
      <c r="Y66" s="1404">
        <f>AF66-AM66</f>
        <v/>
      </c>
      <c r="Z66" s="1404">
        <f>AG66-AN66</f>
        <v/>
      </c>
      <c r="AA66" s="1404">
        <f>AH66-AO66</f>
        <v/>
      </c>
      <c r="AB66" s="1404">
        <f>AI66-AP66</f>
        <v/>
      </c>
      <c r="AC66" s="1404">
        <f>SUM(W66:AB66)</f>
        <v/>
      </c>
      <c r="AD66" s="1404">
        <f>AD67+AD68+AD73</f>
        <v/>
      </c>
      <c r="AE66" s="1404">
        <f>AE67+AE68+AE73</f>
        <v/>
      </c>
      <c r="AF66" s="1404">
        <f>AF67+AF68+AF73</f>
        <v/>
      </c>
      <c r="AG66" s="1404">
        <f>AG67+AG68+AG73</f>
        <v/>
      </c>
      <c r="AH66" s="1404">
        <f>AH67+AH68+AH73</f>
        <v/>
      </c>
      <c r="AI66" s="1404">
        <f>AI67+AI68+AI73</f>
        <v/>
      </c>
      <c r="AJ66" s="1404">
        <f>SUM(AD66:AI66)</f>
        <v/>
      </c>
      <c r="AK66" s="1404">
        <f>AK67+AK68+AK73</f>
        <v/>
      </c>
      <c r="AL66" s="1404">
        <f>AL67+AL68+AL73</f>
        <v/>
      </c>
      <c r="AM66" s="1404">
        <f>AM67+AM68+AM73</f>
        <v/>
      </c>
      <c r="AN66" s="1404">
        <f>AN67+AN68+AN73</f>
        <v/>
      </c>
      <c r="AO66" s="1404">
        <f>AO67+AO68+AO73</f>
        <v/>
      </c>
      <c r="AP66" s="1404">
        <f>AP67+AP68+AP73</f>
        <v/>
      </c>
      <c r="AQ66" s="1404">
        <f>AQ67+AQ68+AQ73</f>
        <v/>
      </c>
      <c r="AR66" s="1404">
        <f>AR67+AR68+AR73</f>
        <v/>
      </c>
      <c r="AS66" s="1404">
        <f>AS67+AS68+AS73</f>
        <v/>
      </c>
      <c r="AT66" s="1404">
        <f>AT67+AT68+AT73</f>
        <v/>
      </c>
      <c r="AU66" s="1404">
        <f>AU67+AU68+AU73</f>
        <v/>
      </c>
      <c r="AV66" s="1404">
        <f>AV67+AV68+AV73</f>
        <v/>
      </c>
      <c r="AW66" s="1404">
        <f>AK66-AQ66</f>
        <v/>
      </c>
      <c r="AX66" s="1404">
        <f>AL66-AR66</f>
        <v/>
      </c>
      <c r="AY66" s="1404">
        <f>AM66-AS66</f>
        <v/>
      </c>
      <c r="AZ66" s="1404">
        <f>AN66-AT66</f>
        <v/>
      </c>
      <c r="BA66" s="1404">
        <f>AO66-AU66</f>
        <v/>
      </c>
      <c r="BB66" s="1404">
        <f>AP66-AV66</f>
        <v/>
      </c>
      <c r="BC66" s="1404">
        <f>SUM(AW66:BB66)</f>
        <v/>
      </c>
      <c r="BD66" s="1404" t="n"/>
      <c r="BE66" s="1404" t="inlineStr"/>
      <c r="BF66" s="1404" t="n"/>
      <c r="BG66" s="1404" t="n"/>
      <c r="BH66" s="1404" t="n"/>
      <c r="BI66" s="1404" t="n"/>
      <c r="BJ66" s="1404">
        <f>SUM(BC66:BI66)</f>
        <v/>
      </c>
      <c r="BK66" s="1404">
        <f>BR66-BY66</f>
        <v/>
      </c>
      <c r="BL66" s="1404">
        <f>BS66-BZ66</f>
        <v/>
      </c>
      <c r="BM66" s="1404">
        <f>BT66-CA66</f>
        <v/>
      </c>
      <c r="BN66" s="1404">
        <f>BU66-CB66</f>
        <v/>
      </c>
      <c r="BO66" s="1404">
        <f>BV66-CC66</f>
        <v/>
      </c>
      <c r="BP66" s="1404">
        <f>BW66-CD66</f>
        <v/>
      </c>
      <c r="BQ66" s="1404">
        <f>SUM(BK66:BP66)</f>
        <v/>
      </c>
      <c r="BR66" s="1404" t="n"/>
      <c r="BS66" s="1404" t="n"/>
      <c r="BT66" s="1404" t="n"/>
      <c r="BU66" s="1404" t="n"/>
      <c r="BV66" s="1404" t="n"/>
      <c r="BW66" s="1404" t="n"/>
      <c r="BX66" s="1404">
        <f>SUM(BR66:BW66)</f>
        <v/>
      </c>
      <c r="BY66" s="1404" t="n"/>
      <c r="BZ66" s="1404" t="n"/>
      <c r="CA66" s="1404" t="n"/>
      <c r="CB66" s="1404" t="n"/>
      <c r="CC66" s="1404" t="n"/>
      <c r="CD66" s="1404" t="n"/>
      <c r="CE66" s="1404" t="n"/>
      <c r="CF66" s="1404" t="n"/>
      <c r="CG66" s="1404" t="n"/>
      <c r="CH66" s="1404" t="n"/>
      <c r="CI66" s="1404" t="n"/>
      <c r="CJ66" s="1404" t="n"/>
      <c r="CK66" s="1404">
        <f>SUM(CE66:CJ66)</f>
        <v/>
      </c>
    </row>
    <row r="67">
      <c r="A67" s="384" t="n"/>
      <c r="B67" s="384" t="n"/>
      <c r="C67" s="384" t="n"/>
      <c r="D67" s="384" t="n"/>
      <c r="E67" s="384" t="n"/>
      <c r="F67" s="384" t="n"/>
      <c r="G67" s="384" t="n"/>
      <c r="H67" s="384" t="n"/>
      <c r="I67" s="384" t="n"/>
      <c r="J67" s="384" t="n"/>
      <c r="K67" s="384" t="n"/>
      <c r="L67" s="384" t="n"/>
      <c r="M67" s="384" t="n"/>
      <c r="N67" s="384" t="n"/>
      <c r="O67" s="384" t="n"/>
      <c r="P67" s="384" t="n"/>
      <c r="Q67" s="384" t="n"/>
      <c r="R67" s="426" t="inlineStr">
        <is>
          <t>基数电量</t>
        </is>
      </c>
      <c r="S67" s="1403" t="inlineStr"/>
      <c r="T67" s="1403" t="inlineStr">
        <is>
          <t>千千瓦时</t>
        </is>
      </c>
      <c r="U67" s="197" t="inlineStr">
        <is>
          <t>A027020101</t>
        </is>
      </c>
      <c r="V67" s="32">
        <f>IF(_epmOfflineCondition_,"A027020101",EPMOlapMemberO(U67,"[C_ACCOUNT].[PARENTH1].[A027020101]","A027020101 - 基数电量","","000"))</f>
        <v/>
      </c>
      <c r="W67" s="1404">
        <f>AD67-AK67</f>
        <v/>
      </c>
      <c r="X67" s="1404">
        <f>AE67-AL67</f>
        <v/>
      </c>
      <c r="Y67" s="1404">
        <f>AF67-AM67</f>
        <v/>
      </c>
      <c r="Z67" s="1404">
        <f>AG67-AN67</f>
        <v/>
      </c>
      <c r="AA67" s="1404">
        <f>AH67-AO67</f>
        <v/>
      </c>
      <c r="AB67" s="1404">
        <f>AI67-AP67</f>
        <v/>
      </c>
      <c r="AC67" s="1404">
        <f>SUM(W67:AB67)</f>
        <v/>
      </c>
      <c r="AD67" s="1405" t="n"/>
      <c r="AE67" s="1405" t="n"/>
      <c r="AF67" s="1405" t="n"/>
      <c r="AG67" s="1405" t="n"/>
      <c r="AH67" s="1405" t="n"/>
      <c r="AI67" s="1405" t="n"/>
      <c r="AJ67" s="1404">
        <f>SUM(AD67:AI67)</f>
        <v/>
      </c>
      <c r="AK67" s="1404" t="n"/>
      <c r="AL67" s="1404" t="n"/>
      <c r="AM67" s="1404" t="n"/>
      <c r="AN67" s="1404" t="n"/>
      <c r="AO67" s="1404" t="n"/>
      <c r="AP67" s="1404" t="n"/>
      <c r="AQ67" s="1404" t="n"/>
      <c r="AR67" s="1404" t="n"/>
      <c r="AS67" s="1404" t="n"/>
      <c r="AT67" s="1404" t="n"/>
      <c r="AU67" s="1404" t="n"/>
      <c r="AV67" s="1404" t="n"/>
      <c r="AW67" s="1404">
        <f>AK67-AQ67</f>
        <v/>
      </c>
      <c r="AX67" s="1404">
        <f>AL67-AR67</f>
        <v/>
      </c>
      <c r="AY67" s="1404">
        <f>AM67-AS67</f>
        <v/>
      </c>
      <c r="AZ67" s="1404">
        <f>AN67-AT67</f>
        <v/>
      </c>
      <c r="BA67" s="1404">
        <f>AO67-AU67</f>
        <v/>
      </c>
      <c r="BB67" s="1404">
        <f>AP67-AV67</f>
        <v/>
      </c>
      <c r="BC67" s="1404">
        <f>SUM(AW67:BB67)</f>
        <v/>
      </c>
      <c r="BD67" s="1404" t="n"/>
      <c r="BE67" s="1404" t="n"/>
      <c r="BF67" s="1404" t="n"/>
      <c r="BG67" s="1404" t="n"/>
      <c r="BH67" s="1404" t="n"/>
      <c r="BI67" s="1404" t="n"/>
      <c r="BJ67" s="1404">
        <f>SUM(BC67:BI67)</f>
        <v/>
      </c>
      <c r="BK67" s="1404">
        <f>BR67-BY67</f>
        <v/>
      </c>
      <c r="BL67" s="1404">
        <f>BS67-BZ67</f>
        <v/>
      </c>
      <c r="BM67" s="1404">
        <f>BT67-CA67</f>
        <v/>
      </c>
      <c r="BN67" s="1404">
        <f>BU67-CB67</f>
        <v/>
      </c>
      <c r="BO67" s="1404">
        <f>BV67-CC67</f>
        <v/>
      </c>
      <c r="BP67" s="1404">
        <f>BW67-CD67</f>
        <v/>
      </c>
      <c r="BQ67" s="1404">
        <f>SUM(BK67:BP67)</f>
        <v/>
      </c>
      <c r="BR67" s="1404" t="n"/>
      <c r="BS67" s="1404" t="n"/>
      <c r="BT67" s="1404" t="n"/>
      <c r="BU67" s="1404" t="n"/>
      <c r="BV67" s="1404" t="n"/>
      <c r="BW67" s="1404" t="n"/>
      <c r="BX67" s="1404">
        <f>SUM(BR67:BW67)</f>
        <v/>
      </c>
      <c r="BY67" s="1404" t="n"/>
      <c r="BZ67" s="1404" t="n"/>
      <c r="CA67" s="1404" t="n"/>
      <c r="CB67" s="1404" t="n"/>
      <c r="CC67" s="1404" t="n"/>
      <c r="CD67" s="1404" t="n"/>
      <c r="CE67" s="1404" t="n"/>
      <c r="CF67" s="1404" t="n"/>
      <c r="CG67" s="1404" t="n"/>
      <c r="CH67" s="1404" t="n"/>
      <c r="CI67" s="1404" t="n"/>
      <c r="CJ67" s="1404" t="n"/>
      <c r="CK67" s="1404">
        <f>SUM(CE67:CJ67)</f>
        <v/>
      </c>
    </row>
    <row r="68">
      <c r="A68" s="384" t="n"/>
      <c r="B68" s="384" t="n"/>
      <c r="C68" s="384" t="n"/>
      <c r="D68" s="384" t="n"/>
      <c r="E68" s="384" t="n"/>
      <c r="F68" s="384" t="n"/>
      <c r="G68" s="384" t="n"/>
      <c r="H68" s="384" t="n"/>
      <c r="I68" s="384" t="n"/>
      <c r="J68" s="384" t="n"/>
      <c r="K68" s="384" t="n"/>
      <c r="L68" s="384" t="n"/>
      <c r="M68" s="384" t="n"/>
      <c r="N68" s="384" t="n"/>
      <c r="O68" s="384" t="n"/>
      <c r="P68" s="384" t="n"/>
      <c r="Q68" s="384" t="n"/>
      <c r="R68" s="440" t="inlineStr">
        <is>
          <t>市场交易电量</t>
        </is>
      </c>
      <c r="S68" s="1403" t="inlineStr"/>
      <c r="T68" s="1403" t="inlineStr">
        <is>
          <t>千千瓦时</t>
        </is>
      </c>
      <c r="U68" s="197" t="inlineStr">
        <is>
          <t>A027020102</t>
        </is>
      </c>
      <c r="V68" s="32">
        <f>IF(_epmOfflineCondition_,"A027020102",EPMOlapMemberO(U68,"[C_ACCOUNT].[PARENTH1].[A027020102]","A027020102 - 市场交易电量","","000"))</f>
        <v/>
      </c>
      <c r="W68" s="1404">
        <f>AD68-AK68</f>
        <v/>
      </c>
      <c r="X68" s="1404">
        <f>AE68-AL68</f>
        <v/>
      </c>
      <c r="Y68" s="1404">
        <f>AF68-AM68</f>
        <v/>
      </c>
      <c r="Z68" s="1404">
        <f>AG68-AN68</f>
        <v/>
      </c>
      <c r="AA68" s="1404">
        <f>AH68-AO68</f>
        <v/>
      </c>
      <c r="AB68" s="1404">
        <f>AI68-AP68</f>
        <v/>
      </c>
      <c r="AC68" s="1404">
        <f>SUM(W68:AB68)</f>
        <v/>
      </c>
      <c r="AD68" s="1404">
        <f>SUM(AD69:AD72)</f>
        <v/>
      </c>
      <c r="AE68" s="1404">
        <f>SUM(AE69:AE72)</f>
        <v/>
      </c>
      <c r="AF68" s="1404">
        <f>SUM(AF69:AF72)</f>
        <v/>
      </c>
      <c r="AG68" s="1404">
        <f>SUM(AG69:AG72)</f>
        <v/>
      </c>
      <c r="AH68" s="1404">
        <f>SUM(AH69:AH72)</f>
        <v/>
      </c>
      <c r="AI68" s="1404">
        <f>SUM(AI69:AI72)</f>
        <v/>
      </c>
      <c r="AJ68" s="1404">
        <f>SUM(AD68:AI68)</f>
        <v/>
      </c>
      <c r="AK68" s="1404">
        <f>SUM(AK69:AK72)</f>
        <v/>
      </c>
      <c r="AL68" s="1404">
        <f>SUM(AL69:AL72)</f>
        <v/>
      </c>
      <c r="AM68" s="1404">
        <f>SUM(AM69:AM72)</f>
        <v/>
      </c>
      <c r="AN68" s="1404">
        <f>SUM(AN69:AN72)</f>
        <v/>
      </c>
      <c r="AO68" s="1404">
        <f>SUM(AO69:AO72)</f>
        <v/>
      </c>
      <c r="AP68" s="1404">
        <f>SUM(AP69:AP72)</f>
        <v/>
      </c>
      <c r="AQ68" s="1404">
        <f>SUM(AQ69:AQ72)</f>
        <v/>
      </c>
      <c r="AR68" s="1404">
        <f>SUM(AR69:AR72)</f>
        <v/>
      </c>
      <c r="AS68" s="1404">
        <f>SUM(AS69:AS72)</f>
        <v/>
      </c>
      <c r="AT68" s="1404">
        <f>SUM(AT69:AT72)</f>
        <v/>
      </c>
      <c r="AU68" s="1404">
        <f>SUM(AU69:AU72)</f>
        <v/>
      </c>
      <c r="AV68" s="1404">
        <f>SUM(AV69:AV72)</f>
        <v/>
      </c>
      <c r="AW68" s="1404">
        <f>AK68-AQ68</f>
        <v/>
      </c>
      <c r="AX68" s="1404">
        <f>AL68-AR68</f>
        <v/>
      </c>
      <c r="AY68" s="1404">
        <f>AM68-AS68</f>
        <v/>
      </c>
      <c r="AZ68" s="1404">
        <f>AN68-AT68</f>
        <v/>
      </c>
      <c r="BA68" s="1404">
        <f>AO68-AU68</f>
        <v/>
      </c>
      <c r="BB68" s="1404">
        <f>AP68-AV68</f>
        <v/>
      </c>
      <c r="BC68" s="1404">
        <f>SUM(AW68:BB68)</f>
        <v/>
      </c>
      <c r="BD68" s="1404" t="n"/>
      <c r="BE68" s="1404" t="inlineStr"/>
      <c r="BF68" s="1404" t="n"/>
      <c r="BG68" s="1404" t="n"/>
      <c r="BH68" s="1404" t="n"/>
      <c r="BI68" s="1404" t="n"/>
      <c r="BJ68" s="1404">
        <f>SUM(BC68:BI68)</f>
        <v/>
      </c>
      <c r="BK68" s="1404">
        <f>BR68-BY68</f>
        <v/>
      </c>
      <c r="BL68" s="1404">
        <f>BS68-BZ68</f>
        <v/>
      </c>
      <c r="BM68" s="1404">
        <f>BT68-CA68</f>
        <v/>
      </c>
      <c r="BN68" s="1404">
        <f>BU68-CB68</f>
        <v/>
      </c>
      <c r="BO68" s="1404">
        <f>BV68-CC68</f>
        <v/>
      </c>
      <c r="BP68" s="1404">
        <f>BW68-CD68</f>
        <v/>
      </c>
      <c r="BQ68" s="1404">
        <f>SUM(BK68:BP68)</f>
        <v/>
      </c>
      <c r="BR68" s="1404" t="n"/>
      <c r="BS68" s="1404" t="n"/>
      <c r="BT68" s="1404" t="n"/>
      <c r="BU68" s="1404" t="n"/>
      <c r="BV68" s="1404" t="n"/>
      <c r="BW68" s="1404" t="n"/>
      <c r="BX68" s="1404">
        <f>SUM(BR68:BW68)</f>
        <v/>
      </c>
      <c r="BY68" s="1404" t="n"/>
      <c r="BZ68" s="1404" t="n"/>
      <c r="CA68" s="1404" t="n"/>
      <c r="CB68" s="1404" t="n"/>
      <c r="CC68" s="1404" t="n"/>
      <c r="CD68" s="1404" t="n"/>
      <c r="CE68" s="1404" t="n"/>
      <c r="CF68" s="1404" t="n"/>
      <c r="CG68" s="1404" t="n"/>
      <c r="CH68" s="1404" t="n"/>
      <c r="CI68" s="1404" t="n"/>
      <c r="CJ68" s="1404" t="n"/>
      <c r="CK68" s="1404">
        <f>SUM(CE68:CJ68)</f>
        <v/>
      </c>
    </row>
    <row r="69">
      <c r="A69" s="384" t="n"/>
      <c r="B69" s="384" t="n"/>
      <c r="C69" s="384" t="n"/>
      <c r="D69" s="384" t="n"/>
      <c r="E69" s="384" t="n"/>
      <c r="F69" s="384" t="n"/>
      <c r="G69" s="384" t="n"/>
      <c r="H69" s="384" t="n"/>
      <c r="I69" s="384" t="n"/>
      <c r="J69" s="384" t="n"/>
      <c r="K69" s="384" t="n"/>
      <c r="L69" s="384" t="n"/>
      <c r="M69" s="384" t="n"/>
      <c r="N69" s="384" t="n"/>
      <c r="O69" s="384" t="n"/>
      <c r="P69" s="384" t="n"/>
      <c r="Q69" s="384" t="n"/>
      <c r="R69" s="425" t="inlineStr">
        <is>
          <t xml:space="preserve">    中长期交易电量（不含电网代购）</t>
        </is>
      </c>
      <c r="S69" s="1403" t="inlineStr"/>
      <c r="T69" s="1403" t="inlineStr">
        <is>
          <t>千千瓦时</t>
        </is>
      </c>
      <c r="U69" s="197" t="inlineStr">
        <is>
          <t>A02702010201</t>
        </is>
      </c>
      <c r="V69" s="32">
        <f>IF(_epmOfflineCondition_,"A02702010201",EPMOlapMemberO(U69,"[C_ACCOUNT].[PARENTH1].[A02702010201]","A02702010201 -     中长期交易电量（不含电网代购）","","000"))</f>
        <v/>
      </c>
      <c r="W69" s="1404">
        <f>AD69-AK69</f>
        <v/>
      </c>
      <c r="X69" s="1404">
        <f>AE69-AL69</f>
        <v/>
      </c>
      <c r="Y69" s="1404">
        <f>AF69-AM69</f>
        <v/>
      </c>
      <c r="Z69" s="1404">
        <f>AG69-AN69</f>
        <v/>
      </c>
      <c r="AA69" s="1404">
        <f>AH69-AO69</f>
        <v/>
      </c>
      <c r="AB69" s="1404">
        <f>AI69-AP69</f>
        <v/>
      </c>
      <c r="AC69" s="1404">
        <f>SUM(W69:AB69)</f>
        <v/>
      </c>
      <c r="AD69" s="1405" t="n"/>
      <c r="AE69" s="1405" t="inlineStr"/>
      <c r="AF69" s="1405" t="n"/>
      <c r="AG69" s="1405" t="n"/>
      <c r="AH69" s="1405" t="n"/>
      <c r="AI69" s="1405" t="n"/>
      <c r="AJ69" s="1404">
        <f>SUM(AD69:AI69)</f>
        <v/>
      </c>
      <c r="AK69" s="1404" t="n"/>
      <c r="AL69" s="1404" t="inlineStr"/>
      <c r="AM69" s="1404" t="n"/>
      <c r="AN69" s="1404" t="n"/>
      <c r="AO69" s="1404" t="n"/>
      <c r="AP69" s="1404" t="n"/>
      <c r="AQ69" s="1404" t="n"/>
      <c r="AR69" s="1404" t="inlineStr"/>
      <c r="AS69" s="1404" t="n"/>
      <c r="AT69" s="1404" t="n"/>
      <c r="AU69" s="1404" t="n"/>
      <c r="AV69" s="1404" t="n"/>
      <c r="AW69" s="1404">
        <f>AK69-AQ69</f>
        <v/>
      </c>
      <c r="AX69" s="1404">
        <f>AL69-AR69</f>
        <v/>
      </c>
      <c r="AY69" s="1404">
        <f>AM69-AS69</f>
        <v/>
      </c>
      <c r="AZ69" s="1404">
        <f>AN69-AT69</f>
        <v/>
      </c>
      <c r="BA69" s="1404">
        <f>AO69-AU69</f>
        <v/>
      </c>
      <c r="BB69" s="1404">
        <f>AP69-AV69</f>
        <v/>
      </c>
      <c r="BC69" s="1404">
        <f>SUM(AW69:BB69)</f>
        <v/>
      </c>
      <c r="BD69" s="1404" t="n"/>
      <c r="BE69" s="1404" t="inlineStr"/>
      <c r="BF69" s="1404" t="n"/>
      <c r="BG69" s="1404" t="n"/>
      <c r="BH69" s="1404" t="n"/>
      <c r="BI69" s="1404" t="n"/>
      <c r="BJ69" s="1404">
        <f>SUM(BC69:BI69)</f>
        <v/>
      </c>
      <c r="BK69" s="1404">
        <f>BR69-BY69</f>
        <v/>
      </c>
      <c r="BL69" s="1404">
        <f>BS69-BZ69</f>
        <v/>
      </c>
      <c r="BM69" s="1404">
        <f>BT69-CA69</f>
        <v/>
      </c>
      <c r="BN69" s="1404">
        <f>BU69-CB69</f>
        <v/>
      </c>
      <c r="BO69" s="1404">
        <f>BV69-CC69</f>
        <v/>
      </c>
      <c r="BP69" s="1404">
        <f>BW69-CD69</f>
        <v/>
      </c>
      <c r="BQ69" s="1404">
        <f>SUM(BK69:BP69)</f>
        <v/>
      </c>
      <c r="BR69" s="1404" t="n"/>
      <c r="BS69" s="1404" t="n"/>
      <c r="BT69" s="1404" t="n"/>
      <c r="BU69" s="1404" t="n"/>
      <c r="BV69" s="1404" t="n"/>
      <c r="BW69" s="1404" t="n"/>
      <c r="BX69" s="1404">
        <f>SUM(BR69:BW69)</f>
        <v/>
      </c>
      <c r="BY69" s="1404" t="n"/>
      <c r="BZ69" s="1404" t="n"/>
      <c r="CA69" s="1404" t="n"/>
      <c r="CB69" s="1404" t="n"/>
      <c r="CC69" s="1404" t="n"/>
      <c r="CD69" s="1404" t="n"/>
      <c r="CE69" s="1404" t="n"/>
      <c r="CF69" s="1404" t="n"/>
      <c r="CG69" s="1404" t="n"/>
      <c r="CH69" s="1404" t="n"/>
      <c r="CI69" s="1404" t="n"/>
      <c r="CJ69" s="1404" t="n"/>
      <c r="CK69" s="1404">
        <f>SUM(CE69:CJ69)</f>
        <v/>
      </c>
    </row>
    <row r="70">
      <c r="A70" s="384" t="n"/>
      <c r="B70" s="384" t="n"/>
      <c r="C70" s="384" t="n"/>
      <c r="D70" s="384" t="n"/>
      <c r="E70" s="384" t="n"/>
      <c r="F70" s="384" t="n"/>
      <c r="G70" s="384" t="n"/>
      <c r="H70" s="384" t="n"/>
      <c r="I70" s="384" t="n"/>
      <c r="J70" s="384" t="n"/>
      <c r="K70" s="384" t="n"/>
      <c r="L70" s="384" t="n"/>
      <c r="M70" s="384" t="n"/>
      <c r="N70" s="384" t="n"/>
      <c r="O70" s="384" t="n"/>
      <c r="P70" s="384" t="n"/>
      <c r="Q70" s="384" t="n"/>
      <c r="R70" s="425" t="inlineStr">
        <is>
          <t xml:space="preserve">    电网代购电量</t>
        </is>
      </c>
      <c r="S70" s="1403" t="inlineStr"/>
      <c r="T70" s="1403" t="inlineStr">
        <is>
          <t>千千瓦时</t>
        </is>
      </c>
      <c r="U70" s="197" t="inlineStr">
        <is>
          <t>A02702010202</t>
        </is>
      </c>
      <c r="V70" s="32">
        <f>IF(_epmOfflineCondition_,"A02702010202",EPMOlapMemberO(U70,"[C_ACCOUNT].[PARENTH1].[A02702010202]","A02702010202 -     电网代购电量","","000"))</f>
        <v/>
      </c>
      <c r="W70" s="1404">
        <f>AD70-AK70</f>
        <v/>
      </c>
      <c r="X70" s="1404">
        <f>AE70-AL70</f>
        <v/>
      </c>
      <c r="Y70" s="1404">
        <f>AF70-AM70</f>
        <v/>
      </c>
      <c r="Z70" s="1404">
        <f>AG70-AN70</f>
        <v/>
      </c>
      <c r="AA70" s="1404">
        <f>AH70-AO70</f>
        <v/>
      </c>
      <c r="AB70" s="1404">
        <f>AI70-AP70</f>
        <v/>
      </c>
      <c r="AC70" s="1404">
        <f>SUM(W70:AB70)</f>
        <v/>
      </c>
      <c r="AD70" s="1405" t="n"/>
      <c r="AE70" s="1405" t="n"/>
      <c r="AF70" s="1405" t="n"/>
      <c r="AG70" s="1405" t="n"/>
      <c r="AH70" s="1405" t="n"/>
      <c r="AI70" s="1405" t="n"/>
      <c r="AJ70" s="1404">
        <f>SUM(AD70:AI70)</f>
        <v/>
      </c>
      <c r="AK70" s="1404" t="n"/>
      <c r="AL70" s="1404" t="n"/>
      <c r="AM70" s="1404" t="n"/>
      <c r="AN70" s="1404" t="n"/>
      <c r="AO70" s="1404" t="n"/>
      <c r="AP70" s="1404" t="n"/>
      <c r="AQ70" s="1404" t="n"/>
      <c r="AR70" s="1404" t="n"/>
      <c r="AS70" s="1404" t="n"/>
      <c r="AT70" s="1404" t="n"/>
      <c r="AU70" s="1404" t="n"/>
      <c r="AV70" s="1404" t="n"/>
      <c r="AW70" s="1404">
        <f>AK70-AQ70</f>
        <v/>
      </c>
      <c r="AX70" s="1404">
        <f>AL70-AR70</f>
        <v/>
      </c>
      <c r="AY70" s="1404">
        <f>AM70-AS70</f>
        <v/>
      </c>
      <c r="AZ70" s="1404">
        <f>AN70-AT70</f>
        <v/>
      </c>
      <c r="BA70" s="1404">
        <f>AO70-AU70</f>
        <v/>
      </c>
      <c r="BB70" s="1404">
        <f>AP70-AV70</f>
        <v/>
      </c>
      <c r="BC70" s="1404">
        <f>SUM(AW70:BB70)</f>
        <v/>
      </c>
      <c r="BD70" s="1404" t="n"/>
      <c r="BE70" s="1404" t="n"/>
      <c r="BF70" s="1404" t="n"/>
      <c r="BG70" s="1404" t="n"/>
      <c r="BH70" s="1404" t="n"/>
      <c r="BI70" s="1404" t="n"/>
      <c r="BJ70" s="1404">
        <f>SUM(BC70:BI70)</f>
        <v/>
      </c>
      <c r="BK70" s="1404">
        <f>BR70-BY70</f>
        <v/>
      </c>
      <c r="BL70" s="1404">
        <f>BS70-BZ70</f>
        <v/>
      </c>
      <c r="BM70" s="1404">
        <f>BT70-CA70</f>
        <v/>
      </c>
      <c r="BN70" s="1404">
        <f>BU70-CB70</f>
        <v/>
      </c>
      <c r="BO70" s="1404">
        <f>BV70-CC70</f>
        <v/>
      </c>
      <c r="BP70" s="1404">
        <f>BW70-CD70</f>
        <v/>
      </c>
      <c r="BQ70" s="1404">
        <f>SUM(BK70:BP70)</f>
        <v/>
      </c>
      <c r="BR70" s="1404" t="n"/>
      <c r="BS70" s="1404" t="n"/>
      <c r="BT70" s="1404" t="n"/>
      <c r="BU70" s="1404" t="n"/>
      <c r="BV70" s="1404" t="n"/>
      <c r="BW70" s="1404" t="n"/>
      <c r="BX70" s="1404">
        <f>SUM(BR70:BW70)</f>
        <v/>
      </c>
      <c r="BY70" s="1404" t="n"/>
      <c r="BZ70" s="1404" t="n"/>
      <c r="CA70" s="1404" t="n"/>
      <c r="CB70" s="1404" t="n"/>
      <c r="CC70" s="1404" t="n"/>
      <c r="CD70" s="1404" t="n"/>
      <c r="CE70" s="1404" t="n"/>
      <c r="CF70" s="1404" t="n"/>
      <c r="CG70" s="1404" t="n"/>
      <c r="CH70" s="1404" t="n"/>
      <c r="CI70" s="1404" t="n"/>
      <c r="CJ70" s="1404" t="n"/>
      <c r="CK70" s="1404">
        <f>SUM(CE70:CJ70)</f>
        <v/>
      </c>
    </row>
    <row r="71">
      <c r="A71" s="384" t="n"/>
      <c r="B71" s="384" t="n"/>
      <c r="C71" s="384" t="n"/>
      <c r="D71" s="384" t="n"/>
      <c r="E71" s="384" t="n"/>
      <c r="F71" s="384" t="n"/>
      <c r="G71" s="384" t="n"/>
      <c r="H71" s="384" t="n"/>
      <c r="I71" s="384" t="n"/>
      <c r="J71" s="384" t="n"/>
      <c r="K71" s="384" t="n"/>
      <c r="L71" s="384" t="n"/>
      <c r="M71" s="384" t="n"/>
      <c r="N71" s="384" t="n"/>
      <c r="O71" s="384" t="n"/>
      <c r="P71" s="384" t="n"/>
      <c r="Q71" s="384" t="n"/>
      <c r="R71" s="425" t="inlineStr">
        <is>
          <t xml:space="preserve">    现货交易电量</t>
        </is>
      </c>
      <c r="S71" s="1403" t="inlineStr"/>
      <c r="T71" s="1403" t="inlineStr">
        <is>
          <t>千千瓦时</t>
        </is>
      </c>
      <c r="U71" s="197" t="inlineStr">
        <is>
          <t>A02702010203</t>
        </is>
      </c>
      <c r="V71" s="32">
        <f>IF(_epmOfflineCondition_,"A02702010203",EPMOlapMemberO(U71,"[C_ACCOUNT].[PARENTH1].[A02702010203]","A02702010203 -     现货交易电量","","000"))</f>
        <v/>
      </c>
      <c r="W71" s="1404">
        <f>AD71-AK71</f>
        <v/>
      </c>
      <c r="X71" s="1404">
        <f>AE71-AL71</f>
        <v/>
      </c>
      <c r="Y71" s="1404">
        <f>AF71-AM71</f>
        <v/>
      </c>
      <c r="Z71" s="1404">
        <f>AG71-AN71</f>
        <v/>
      </c>
      <c r="AA71" s="1404">
        <f>AH71-AO71</f>
        <v/>
      </c>
      <c r="AB71" s="1404">
        <f>AI71-AP71</f>
        <v/>
      </c>
      <c r="AC71" s="1404">
        <f>SUM(W71:AB71)</f>
        <v/>
      </c>
      <c r="AD71" s="1405" t="n"/>
      <c r="AE71" s="1405" t="n"/>
      <c r="AF71" s="1405" t="n"/>
      <c r="AG71" s="1405" t="n"/>
      <c r="AH71" s="1405" t="n"/>
      <c r="AI71" s="1405" t="n"/>
      <c r="AJ71" s="1404">
        <f>SUM(AD71:AI71)</f>
        <v/>
      </c>
      <c r="AK71" s="1404" t="n"/>
      <c r="AL71" s="1404" t="n"/>
      <c r="AM71" s="1404" t="n"/>
      <c r="AN71" s="1404" t="n"/>
      <c r="AO71" s="1404" t="n"/>
      <c r="AP71" s="1404" t="n"/>
      <c r="AQ71" s="1404" t="n"/>
      <c r="AR71" s="1404" t="n"/>
      <c r="AS71" s="1404" t="n"/>
      <c r="AT71" s="1404" t="n"/>
      <c r="AU71" s="1404" t="n"/>
      <c r="AV71" s="1404" t="n"/>
      <c r="AW71" s="1404">
        <f>AK71-AQ71</f>
        <v/>
      </c>
      <c r="AX71" s="1404">
        <f>AL71-AR71</f>
        <v/>
      </c>
      <c r="AY71" s="1404">
        <f>AM71-AS71</f>
        <v/>
      </c>
      <c r="AZ71" s="1404">
        <f>AN71-AT71</f>
        <v/>
      </c>
      <c r="BA71" s="1404">
        <f>AO71-AU71</f>
        <v/>
      </c>
      <c r="BB71" s="1404">
        <f>AP71-AV71</f>
        <v/>
      </c>
      <c r="BC71" s="1404">
        <f>SUM(AW71:BB71)</f>
        <v/>
      </c>
      <c r="BD71" s="1404" t="n"/>
      <c r="BE71" s="1404" t="n"/>
      <c r="BF71" s="1404" t="n"/>
      <c r="BG71" s="1404" t="n"/>
      <c r="BH71" s="1404" t="n"/>
      <c r="BI71" s="1404" t="n"/>
      <c r="BJ71" s="1404">
        <f>SUM(BC71:BI71)</f>
        <v/>
      </c>
      <c r="BK71" s="1404">
        <f>BR71-BY71</f>
        <v/>
      </c>
      <c r="BL71" s="1404">
        <f>BS71-BZ71</f>
        <v/>
      </c>
      <c r="BM71" s="1404">
        <f>BT71-CA71</f>
        <v/>
      </c>
      <c r="BN71" s="1404">
        <f>BU71-CB71</f>
        <v/>
      </c>
      <c r="BO71" s="1404">
        <f>BV71-CC71</f>
        <v/>
      </c>
      <c r="BP71" s="1404">
        <f>BW71-CD71</f>
        <v/>
      </c>
      <c r="BQ71" s="1404">
        <f>SUM(BK71:BP71)</f>
        <v/>
      </c>
      <c r="BR71" s="1404" t="n"/>
      <c r="BS71" s="1404" t="n"/>
      <c r="BT71" s="1404" t="n"/>
      <c r="BU71" s="1404" t="n"/>
      <c r="BV71" s="1404" t="n"/>
      <c r="BW71" s="1404" t="n"/>
      <c r="BX71" s="1404">
        <f>SUM(BR71:BW71)</f>
        <v/>
      </c>
      <c r="BY71" s="1404" t="n"/>
      <c r="BZ71" s="1404" t="n"/>
      <c r="CA71" s="1404" t="n"/>
      <c r="CB71" s="1404" t="n"/>
      <c r="CC71" s="1404" t="n"/>
      <c r="CD71" s="1404" t="n"/>
      <c r="CE71" s="1404" t="n"/>
      <c r="CF71" s="1404" t="n"/>
      <c r="CG71" s="1404" t="n"/>
      <c r="CH71" s="1404" t="n"/>
      <c r="CI71" s="1404" t="n"/>
      <c r="CJ71" s="1404" t="n"/>
      <c r="CK71" s="1404">
        <f>SUM(CE71:CJ71)</f>
        <v/>
      </c>
    </row>
    <row r="72">
      <c r="A72" s="384" t="n"/>
      <c r="B72" s="384" t="n"/>
      <c r="C72" s="384" t="n"/>
      <c r="D72" s="384" t="n"/>
      <c r="E72" s="384" t="n"/>
      <c r="F72" s="384" t="n"/>
      <c r="G72" s="384" t="n"/>
      <c r="H72" s="384" t="n"/>
      <c r="I72" s="384" t="n"/>
      <c r="J72" s="384" t="n"/>
      <c r="K72" s="384" t="n"/>
      <c r="L72" s="384" t="n"/>
      <c r="M72" s="384" t="n"/>
      <c r="N72" s="384" t="n"/>
      <c r="O72" s="384" t="n"/>
      <c r="P72" s="384" t="n"/>
      <c r="Q72" s="384" t="n"/>
      <c r="R72" s="425" t="inlineStr">
        <is>
          <t xml:space="preserve">    其他交易电量</t>
        </is>
      </c>
      <c r="S72" s="1403" t="inlineStr"/>
      <c r="T72" s="1403" t="inlineStr">
        <is>
          <t>千千瓦时</t>
        </is>
      </c>
      <c r="U72" s="197" t="inlineStr">
        <is>
          <t>A02702010204</t>
        </is>
      </c>
      <c r="V72" s="32">
        <f>IF(_epmOfflineCondition_,"A02702010204",EPMOlapMemberO(U72,"[C_ACCOUNT].[PARENTH1].[A02702010204]","A02702010204 -     其他交易电量","","000"))</f>
        <v/>
      </c>
      <c r="W72" s="1404">
        <f>AD72-AK72</f>
        <v/>
      </c>
      <c r="X72" s="1404">
        <f>AE72-AL72</f>
        <v/>
      </c>
      <c r="Y72" s="1404">
        <f>AF72-AM72</f>
        <v/>
      </c>
      <c r="Z72" s="1404">
        <f>AG72-AN72</f>
        <v/>
      </c>
      <c r="AA72" s="1404">
        <f>AH72-AO72</f>
        <v/>
      </c>
      <c r="AB72" s="1404">
        <f>AI72-AP72</f>
        <v/>
      </c>
      <c r="AC72" s="1404">
        <f>SUM(W72:AB72)</f>
        <v/>
      </c>
      <c r="AD72" s="1405" t="n"/>
      <c r="AE72" s="1405" t="n"/>
      <c r="AF72" s="1405" t="n"/>
      <c r="AG72" s="1405" t="n"/>
      <c r="AH72" s="1405" t="n"/>
      <c r="AI72" s="1405" t="n"/>
      <c r="AJ72" s="1404">
        <f>SUM(AD72:AI72)</f>
        <v/>
      </c>
      <c r="AK72" s="1404" t="n"/>
      <c r="AL72" s="1404" t="n"/>
      <c r="AM72" s="1404" t="n"/>
      <c r="AN72" s="1404" t="n"/>
      <c r="AO72" s="1404" t="n"/>
      <c r="AP72" s="1404" t="n"/>
      <c r="AQ72" s="1404" t="n"/>
      <c r="AR72" s="1404" t="n"/>
      <c r="AS72" s="1404" t="n"/>
      <c r="AT72" s="1404" t="n"/>
      <c r="AU72" s="1404" t="n"/>
      <c r="AV72" s="1404" t="n"/>
      <c r="AW72" s="1404">
        <f>AK72-AQ72</f>
        <v/>
      </c>
      <c r="AX72" s="1404">
        <f>AL72-AR72</f>
        <v/>
      </c>
      <c r="AY72" s="1404">
        <f>AM72-AS72</f>
        <v/>
      </c>
      <c r="AZ72" s="1404">
        <f>AN72-AT72</f>
        <v/>
      </c>
      <c r="BA72" s="1404">
        <f>AO72-AU72</f>
        <v/>
      </c>
      <c r="BB72" s="1404">
        <f>AP72-AV72</f>
        <v/>
      </c>
      <c r="BC72" s="1404">
        <f>SUM(AW72:BB72)</f>
        <v/>
      </c>
      <c r="BD72" s="1404" t="n"/>
      <c r="BE72" s="1404" t="n"/>
      <c r="BF72" s="1404" t="n"/>
      <c r="BG72" s="1404" t="n"/>
      <c r="BH72" s="1404" t="n"/>
      <c r="BI72" s="1404" t="n"/>
      <c r="BJ72" s="1404">
        <f>SUM(BC72:BI72)</f>
        <v/>
      </c>
      <c r="BK72" s="1404">
        <f>BR72-BY72</f>
        <v/>
      </c>
      <c r="BL72" s="1404">
        <f>BS72-BZ72</f>
        <v/>
      </c>
      <c r="BM72" s="1404">
        <f>BT72-CA72</f>
        <v/>
      </c>
      <c r="BN72" s="1404">
        <f>BU72-CB72</f>
        <v/>
      </c>
      <c r="BO72" s="1404">
        <f>BV72-CC72</f>
        <v/>
      </c>
      <c r="BP72" s="1404">
        <f>BW72-CD72</f>
        <v/>
      </c>
      <c r="BQ72" s="1404">
        <f>SUM(BK72:BP72)</f>
        <v/>
      </c>
      <c r="BR72" s="1404" t="n"/>
      <c r="BS72" s="1404" t="n"/>
      <c r="BT72" s="1404" t="n"/>
      <c r="BU72" s="1404" t="n"/>
      <c r="BV72" s="1404" t="n"/>
      <c r="BW72" s="1404" t="n"/>
      <c r="BX72" s="1404">
        <f>SUM(BR72:BW72)</f>
        <v/>
      </c>
      <c r="BY72" s="1404" t="n"/>
      <c r="BZ72" s="1404" t="n"/>
      <c r="CA72" s="1404" t="n"/>
      <c r="CB72" s="1404" t="n"/>
      <c r="CC72" s="1404" t="n"/>
      <c r="CD72" s="1404" t="n"/>
      <c r="CE72" s="1404" t="n"/>
      <c r="CF72" s="1404" t="n"/>
      <c r="CG72" s="1404" t="n"/>
      <c r="CH72" s="1404" t="n"/>
      <c r="CI72" s="1404" t="n"/>
      <c r="CJ72" s="1404" t="n"/>
      <c r="CK72" s="1404">
        <f>SUM(CE72:CJ72)</f>
        <v/>
      </c>
    </row>
    <row r="73">
      <c r="A73" s="384" t="n"/>
      <c r="B73" s="384" t="n"/>
      <c r="C73" s="384" t="n"/>
      <c r="D73" s="384" t="n"/>
      <c r="E73" s="384" t="n"/>
      <c r="F73" s="384" t="n"/>
      <c r="G73" s="384" t="n"/>
      <c r="H73" s="384" t="n"/>
      <c r="I73" s="384" t="n"/>
      <c r="J73" s="384" t="n"/>
      <c r="K73" s="384" t="n"/>
      <c r="L73" s="384" t="n"/>
      <c r="M73" s="384" t="n"/>
      <c r="N73" s="384" t="n"/>
      <c r="O73" s="384" t="n"/>
      <c r="P73" s="384" t="n"/>
      <c r="Q73" s="384" t="n"/>
      <c r="R73" s="440" t="inlineStr">
        <is>
          <t>其他电量</t>
        </is>
      </c>
      <c r="S73" s="1403" t="inlineStr"/>
      <c r="T73" s="1403" t="inlineStr">
        <is>
          <t>千千瓦时</t>
        </is>
      </c>
      <c r="U73" s="197" t="inlineStr">
        <is>
          <t>A027020103</t>
        </is>
      </c>
      <c r="V73" s="32">
        <f>IF(_epmOfflineCondition_,"A027020103",EPMOlapMemberO(U73,"[C_ACCOUNT].[PARENTH1].[A027020103]","A027020103 - 其他电量","","000"))</f>
        <v/>
      </c>
      <c r="W73" s="1404">
        <f>AD73-AK73</f>
        <v/>
      </c>
      <c r="X73" s="1404">
        <f>AE73-AL73</f>
        <v/>
      </c>
      <c r="Y73" s="1404">
        <f>AF73-AM73</f>
        <v/>
      </c>
      <c r="Z73" s="1404">
        <f>AG73-AN73</f>
        <v/>
      </c>
      <c r="AA73" s="1404">
        <f>AH73-AO73</f>
        <v/>
      </c>
      <c r="AB73" s="1404">
        <f>AI73-AP73</f>
        <v/>
      </c>
      <c r="AC73" s="1404">
        <f>SUM(W73:AB73)</f>
        <v/>
      </c>
      <c r="AD73" s="1404">
        <f>SUM(AD74:AD78)</f>
        <v/>
      </c>
      <c r="AE73" s="1404">
        <f>SUM(AE74:AE78)</f>
        <v/>
      </c>
      <c r="AF73" s="1404">
        <f>SUM(AF74:AF78)</f>
        <v/>
      </c>
      <c r="AG73" s="1404">
        <f>SUM(AG74:AG78)</f>
        <v/>
      </c>
      <c r="AH73" s="1404">
        <f>SUM(AH74:AH78)</f>
        <v/>
      </c>
      <c r="AI73" s="1404">
        <f>SUM(AI74:AI78)</f>
        <v/>
      </c>
      <c r="AJ73" s="1404">
        <f>SUM(AD73:AI73)</f>
        <v/>
      </c>
      <c r="AK73" s="1404">
        <f>SUM(AK74:AK78)</f>
        <v/>
      </c>
      <c r="AL73" s="1404">
        <f>SUM(AL74:AL78)</f>
        <v/>
      </c>
      <c r="AM73" s="1404">
        <f>SUM(AM74:AM78)</f>
        <v/>
      </c>
      <c r="AN73" s="1404">
        <f>SUM(AN74:AN78)</f>
        <v/>
      </c>
      <c r="AO73" s="1404">
        <f>SUM(AO74:AO78)</f>
        <v/>
      </c>
      <c r="AP73" s="1404">
        <f>SUM(AP74:AP78)</f>
        <v/>
      </c>
      <c r="AQ73" s="1404">
        <f>SUM(AQ74:AQ78)</f>
        <v/>
      </c>
      <c r="AR73" s="1404">
        <f>SUM(AR74:AR78)</f>
        <v/>
      </c>
      <c r="AS73" s="1404">
        <f>SUM(AS74:AS78)</f>
        <v/>
      </c>
      <c r="AT73" s="1404">
        <f>SUM(AT74:AT78)</f>
        <v/>
      </c>
      <c r="AU73" s="1404">
        <f>SUM(AU74:AU78)</f>
        <v/>
      </c>
      <c r="AV73" s="1404">
        <f>SUM(AV74:AV78)</f>
        <v/>
      </c>
      <c r="AW73" s="1404">
        <f>AK73-AQ73</f>
        <v/>
      </c>
      <c r="AX73" s="1404">
        <f>AL73-AR73</f>
        <v/>
      </c>
      <c r="AY73" s="1404">
        <f>AM73-AS73</f>
        <v/>
      </c>
      <c r="AZ73" s="1404">
        <f>AN73-AT73</f>
        <v/>
      </c>
      <c r="BA73" s="1404">
        <f>AO73-AU73</f>
        <v/>
      </c>
      <c r="BB73" s="1404">
        <f>AP73-AV73</f>
        <v/>
      </c>
      <c r="BC73" s="1404">
        <f>SUM(AW73:BB73)</f>
        <v/>
      </c>
      <c r="BD73" s="1404" t="n"/>
      <c r="BE73" s="1404" t="n"/>
      <c r="BF73" s="1404" t="n"/>
      <c r="BG73" s="1404" t="n"/>
      <c r="BH73" s="1404" t="n"/>
      <c r="BI73" s="1404" t="n"/>
      <c r="BJ73" s="1404">
        <f>SUM(BC73:BI73)</f>
        <v/>
      </c>
      <c r="BK73" s="1404">
        <f>BR73-BY73</f>
        <v/>
      </c>
      <c r="BL73" s="1404">
        <f>BS73-BZ73</f>
        <v/>
      </c>
      <c r="BM73" s="1404">
        <f>BT73-CA73</f>
        <v/>
      </c>
      <c r="BN73" s="1404">
        <f>BU73-CB73</f>
        <v/>
      </c>
      <c r="BO73" s="1404">
        <f>BV73-CC73</f>
        <v/>
      </c>
      <c r="BP73" s="1404">
        <f>BW73-CD73</f>
        <v/>
      </c>
      <c r="BQ73" s="1404">
        <f>SUM(BK73:BP73)</f>
        <v/>
      </c>
      <c r="BR73" s="1404" t="n"/>
      <c r="BS73" s="1404" t="n"/>
      <c r="BT73" s="1404" t="n"/>
      <c r="BU73" s="1404" t="n"/>
      <c r="BV73" s="1404" t="n"/>
      <c r="BW73" s="1404" t="n"/>
      <c r="BX73" s="1404">
        <f>SUM(BR73:BW73)</f>
        <v/>
      </c>
      <c r="BY73" s="1404" t="n"/>
      <c r="BZ73" s="1404" t="n"/>
      <c r="CA73" s="1404" t="n"/>
      <c r="CB73" s="1404" t="n"/>
      <c r="CC73" s="1404" t="n"/>
      <c r="CD73" s="1404" t="n"/>
      <c r="CE73" s="1404" t="n"/>
      <c r="CF73" s="1404" t="n"/>
      <c r="CG73" s="1404" t="n"/>
      <c r="CH73" s="1404" t="n"/>
      <c r="CI73" s="1404" t="n"/>
      <c r="CJ73" s="1404" t="n"/>
      <c r="CK73" s="1404">
        <f>SUM(CE73:CJ73)</f>
        <v/>
      </c>
    </row>
    <row r="74">
      <c r="A74" s="384" t="n"/>
      <c r="B74" s="384" t="n"/>
      <c r="C74" s="384" t="n"/>
      <c r="D74" s="384" t="n"/>
      <c r="E74" s="384" t="n"/>
      <c r="F74" s="384" t="n"/>
      <c r="G74" s="384" t="n"/>
      <c r="H74" s="384" t="n"/>
      <c r="I74" s="384" t="n"/>
      <c r="J74" s="384" t="n"/>
      <c r="K74" s="384" t="n"/>
      <c r="L74" s="384" t="n"/>
      <c r="M74" s="384" t="n"/>
      <c r="N74" s="384" t="n"/>
      <c r="O74" s="384" t="n"/>
      <c r="P74" s="384" t="n"/>
      <c r="Q74" s="384" t="n"/>
      <c r="R74" s="441" t="inlineStr">
        <is>
          <t>双细则</t>
        </is>
      </c>
      <c r="S74" s="1403" t="inlineStr"/>
      <c r="T74" s="1403" t="inlineStr">
        <is>
          <t>千千瓦时</t>
        </is>
      </c>
      <c r="U74" s="197" t="inlineStr">
        <is>
          <t>A02702010301</t>
        </is>
      </c>
      <c r="V74" s="32">
        <f>IF(_epmOfflineCondition_,"A02702010301",EPMOlapMemberO(U74,"[C_ACCOUNT].[PARENTH1].[A02702010301]","A02702010301 - 双细则","","000"))</f>
        <v/>
      </c>
      <c r="W74" s="1404">
        <f>AD74-AK74</f>
        <v/>
      </c>
      <c r="X74" s="1404">
        <f>AE74-AL74</f>
        <v/>
      </c>
      <c r="Y74" s="1404">
        <f>AF74-AM74</f>
        <v/>
      </c>
      <c r="Z74" s="1404">
        <f>AG74-AN74</f>
        <v/>
      </c>
      <c r="AA74" s="1404">
        <f>AH74-AO74</f>
        <v/>
      </c>
      <c r="AB74" s="1404">
        <f>AI74-AP74</f>
        <v/>
      </c>
      <c r="AC74" s="1404">
        <f>SUM(W74:AB74)</f>
        <v/>
      </c>
      <c r="AD74" s="1405" t="n"/>
      <c r="AE74" s="1405" t="n"/>
      <c r="AF74" s="1405" t="n"/>
      <c r="AG74" s="1405" t="n"/>
      <c r="AH74" s="1405" t="n"/>
      <c r="AI74" s="1405" t="n"/>
      <c r="AJ74" s="1404">
        <f>SUM(AD74:AI74)</f>
        <v/>
      </c>
      <c r="AK74" s="1404" t="n"/>
      <c r="AL74" s="1404" t="n"/>
      <c r="AM74" s="1404" t="n"/>
      <c r="AN74" s="1404" t="n"/>
      <c r="AO74" s="1404" t="n"/>
      <c r="AP74" s="1404" t="n"/>
      <c r="AQ74" s="1404" t="n"/>
      <c r="AR74" s="1404" t="n"/>
      <c r="AS74" s="1404" t="n"/>
      <c r="AT74" s="1404" t="n"/>
      <c r="AU74" s="1404" t="n"/>
      <c r="AV74" s="1404" t="n"/>
      <c r="AW74" s="1404">
        <f>AK74-AQ74</f>
        <v/>
      </c>
      <c r="AX74" s="1404">
        <f>AL74-AR74</f>
        <v/>
      </c>
      <c r="AY74" s="1404">
        <f>AM74-AS74</f>
        <v/>
      </c>
      <c r="AZ74" s="1404">
        <f>AN74-AT74</f>
        <v/>
      </c>
      <c r="BA74" s="1404">
        <f>AO74-AU74</f>
        <v/>
      </c>
      <c r="BB74" s="1404">
        <f>AP74-AV74</f>
        <v/>
      </c>
      <c r="BC74" s="1404">
        <f>SUM(AW74:BB74)</f>
        <v/>
      </c>
      <c r="BD74" s="1404" t="n"/>
      <c r="BE74" s="1404" t="n"/>
      <c r="BF74" s="1404" t="n"/>
      <c r="BG74" s="1404" t="n"/>
      <c r="BH74" s="1404" t="n"/>
      <c r="BI74" s="1404" t="n"/>
      <c r="BJ74" s="1404">
        <f>SUM(BC74:BI74)</f>
        <v/>
      </c>
      <c r="BK74" s="1404">
        <f>BR74-BY74</f>
        <v/>
      </c>
      <c r="BL74" s="1404">
        <f>BS74-BZ74</f>
        <v/>
      </c>
      <c r="BM74" s="1404">
        <f>BT74-CA74</f>
        <v/>
      </c>
      <c r="BN74" s="1404">
        <f>BU74-CB74</f>
        <v/>
      </c>
      <c r="BO74" s="1404">
        <f>BV74-CC74</f>
        <v/>
      </c>
      <c r="BP74" s="1404">
        <f>BW74-CD74</f>
        <v/>
      </c>
      <c r="BQ74" s="1404">
        <f>SUM(BK74:BP74)</f>
        <v/>
      </c>
      <c r="BR74" s="1404" t="n"/>
      <c r="BS74" s="1404" t="n"/>
      <c r="BT74" s="1404" t="n"/>
      <c r="BU74" s="1404" t="n"/>
      <c r="BV74" s="1404" t="n"/>
      <c r="BW74" s="1404" t="n"/>
      <c r="BX74" s="1404">
        <f>SUM(BR74:BW74)</f>
        <v/>
      </c>
      <c r="BY74" s="1404" t="n"/>
      <c r="BZ74" s="1404" t="n"/>
      <c r="CA74" s="1404" t="n"/>
      <c r="CB74" s="1404" t="n"/>
      <c r="CC74" s="1404" t="n"/>
      <c r="CD74" s="1404" t="n"/>
      <c r="CE74" s="1404" t="n"/>
      <c r="CF74" s="1404" t="n"/>
      <c r="CG74" s="1404" t="n"/>
      <c r="CH74" s="1404" t="n"/>
      <c r="CI74" s="1404" t="n"/>
      <c r="CJ74" s="1404" t="n"/>
      <c r="CK74" s="1404">
        <f>SUM(CE74:CJ74)</f>
        <v/>
      </c>
    </row>
    <row r="75">
      <c r="A75" s="384" t="n"/>
      <c r="B75" s="384" t="n"/>
      <c r="C75" s="384" t="n"/>
      <c r="D75" s="384" t="n"/>
      <c r="E75" s="384" t="n"/>
      <c r="F75" s="384" t="n"/>
      <c r="G75" s="384" t="n"/>
      <c r="H75" s="384" t="n"/>
      <c r="I75" s="384" t="n"/>
      <c r="J75" s="384" t="n"/>
      <c r="K75" s="384" t="n"/>
      <c r="L75" s="384" t="n"/>
      <c r="M75" s="384" t="n"/>
      <c r="N75" s="384" t="n"/>
      <c r="O75" s="384" t="n"/>
      <c r="P75" s="384" t="n"/>
      <c r="Q75" s="384" t="n"/>
      <c r="R75" s="441" t="inlineStr">
        <is>
          <t>调峰</t>
        </is>
      </c>
      <c r="S75" s="1403" t="inlineStr"/>
      <c r="T75" s="1403" t="inlineStr">
        <is>
          <t>千千瓦时</t>
        </is>
      </c>
      <c r="U75" s="197" t="inlineStr">
        <is>
          <t>A02702010302</t>
        </is>
      </c>
      <c r="V75" s="32">
        <f>IF(_epmOfflineCondition_,"A02702010302",EPMOlapMemberO(U75,"[C_ACCOUNT].[PARENTH1].[A02702010302]","A02702010302 - 调峰","","000"))</f>
        <v/>
      </c>
      <c r="W75" s="1404">
        <f>AD75-AK75</f>
        <v/>
      </c>
      <c r="X75" s="1404">
        <f>AE75-AL75</f>
        <v/>
      </c>
      <c r="Y75" s="1404">
        <f>AF75-AM75</f>
        <v/>
      </c>
      <c r="Z75" s="1404">
        <f>AG75-AN75</f>
        <v/>
      </c>
      <c r="AA75" s="1404">
        <f>AH75-AO75</f>
        <v/>
      </c>
      <c r="AB75" s="1404">
        <f>AI75-AP75</f>
        <v/>
      </c>
      <c r="AC75" s="1404">
        <f>SUM(W75:AB75)</f>
        <v/>
      </c>
      <c r="AD75" s="1405" t="n"/>
      <c r="AE75" s="1405" t="n"/>
      <c r="AF75" s="1405" t="n"/>
      <c r="AG75" s="1405" t="n"/>
      <c r="AH75" s="1405" t="n"/>
      <c r="AI75" s="1405" t="n"/>
      <c r="AJ75" s="1404">
        <f>SUM(AD75:AI75)</f>
        <v/>
      </c>
      <c r="AK75" s="1404" t="n"/>
      <c r="AL75" s="1404" t="n"/>
      <c r="AM75" s="1404" t="n"/>
      <c r="AN75" s="1404" t="n"/>
      <c r="AO75" s="1404" t="n"/>
      <c r="AP75" s="1404" t="n"/>
      <c r="AQ75" s="1404" t="n"/>
      <c r="AR75" s="1404" t="n"/>
      <c r="AS75" s="1404" t="n"/>
      <c r="AT75" s="1404" t="n"/>
      <c r="AU75" s="1404" t="n"/>
      <c r="AV75" s="1404" t="n"/>
      <c r="AW75" s="1404">
        <f>AK75-AQ75</f>
        <v/>
      </c>
      <c r="AX75" s="1404">
        <f>AL75-AR75</f>
        <v/>
      </c>
      <c r="AY75" s="1404">
        <f>AM75-AS75</f>
        <v/>
      </c>
      <c r="AZ75" s="1404">
        <f>AN75-AT75</f>
        <v/>
      </c>
      <c r="BA75" s="1404">
        <f>AO75-AU75</f>
        <v/>
      </c>
      <c r="BB75" s="1404">
        <f>AP75-AV75</f>
        <v/>
      </c>
      <c r="BC75" s="1404">
        <f>SUM(AW75:BB75)</f>
        <v/>
      </c>
      <c r="BD75" s="1404" t="n"/>
      <c r="BE75" s="1404" t="n"/>
      <c r="BF75" s="1404" t="n"/>
      <c r="BG75" s="1404" t="n"/>
      <c r="BH75" s="1404" t="n"/>
      <c r="BI75" s="1404" t="n"/>
      <c r="BJ75" s="1404">
        <f>SUM(BC75:BI75)</f>
        <v/>
      </c>
      <c r="BK75" s="1404">
        <f>BR75-BY75</f>
        <v/>
      </c>
      <c r="BL75" s="1404">
        <f>BS75-BZ75</f>
        <v/>
      </c>
      <c r="BM75" s="1404">
        <f>BT75-CA75</f>
        <v/>
      </c>
      <c r="BN75" s="1404">
        <f>BU75-CB75</f>
        <v/>
      </c>
      <c r="BO75" s="1404">
        <f>BV75-CC75</f>
        <v/>
      </c>
      <c r="BP75" s="1404">
        <f>BW75-CD75</f>
        <v/>
      </c>
      <c r="BQ75" s="1404">
        <f>SUM(BK75:BP75)</f>
        <v/>
      </c>
      <c r="BR75" s="1404" t="n"/>
      <c r="BS75" s="1404" t="n"/>
      <c r="BT75" s="1404" t="n"/>
      <c r="BU75" s="1404" t="n"/>
      <c r="BV75" s="1404" t="n"/>
      <c r="BW75" s="1404" t="n"/>
      <c r="BX75" s="1404">
        <f>SUM(BR75:BW75)</f>
        <v/>
      </c>
      <c r="BY75" s="1404" t="n"/>
      <c r="BZ75" s="1404" t="n"/>
      <c r="CA75" s="1404" t="n"/>
      <c r="CB75" s="1404" t="n"/>
      <c r="CC75" s="1404" t="n"/>
      <c r="CD75" s="1404" t="n"/>
      <c r="CE75" s="1404" t="n"/>
      <c r="CF75" s="1404" t="n"/>
      <c r="CG75" s="1404" t="n"/>
      <c r="CH75" s="1404" t="n"/>
      <c r="CI75" s="1404" t="n"/>
      <c r="CJ75" s="1404" t="n"/>
      <c r="CK75" s="1404">
        <f>SUM(CE75:CJ75)</f>
        <v/>
      </c>
    </row>
    <row r="76">
      <c r="A76" s="384" t="n"/>
      <c r="B76" s="384" t="n"/>
      <c r="C76" s="384" t="n"/>
      <c r="D76" s="384" t="n"/>
      <c r="E76" s="384" t="n"/>
      <c r="F76" s="384" t="n"/>
      <c r="G76" s="384" t="n"/>
      <c r="H76" s="384" t="n"/>
      <c r="I76" s="384" t="n"/>
      <c r="J76" s="384" t="n"/>
      <c r="K76" s="384" t="n"/>
      <c r="L76" s="384" t="n"/>
      <c r="M76" s="384" t="n"/>
      <c r="N76" s="384" t="n"/>
      <c r="O76" s="384" t="n"/>
      <c r="P76" s="384" t="n"/>
      <c r="Q76" s="384" t="n"/>
      <c r="R76" s="441" t="inlineStr">
        <is>
          <t>调频</t>
        </is>
      </c>
      <c r="S76" s="1403" t="inlineStr"/>
      <c r="T76" s="1403" t="inlineStr">
        <is>
          <t>千千瓦时</t>
        </is>
      </c>
      <c r="U76" s="197" t="inlineStr">
        <is>
          <t>A02702010303</t>
        </is>
      </c>
      <c r="V76" s="32">
        <f>IF(_epmOfflineCondition_,"A02702010303",EPMOlapMemberO(U76,"[C_ACCOUNT].[PARENTH1].[A02702010303]","A02702010303 - 调频","","000"))</f>
        <v/>
      </c>
      <c r="W76" s="1404">
        <f>AD76-AK76</f>
        <v/>
      </c>
      <c r="X76" s="1404">
        <f>AE76-AL76</f>
        <v/>
      </c>
      <c r="Y76" s="1404">
        <f>AF76-AM76</f>
        <v/>
      </c>
      <c r="Z76" s="1404">
        <f>AG76-AN76</f>
        <v/>
      </c>
      <c r="AA76" s="1404">
        <f>AH76-AO76</f>
        <v/>
      </c>
      <c r="AB76" s="1404">
        <f>AI76-AP76</f>
        <v/>
      </c>
      <c r="AC76" s="1404">
        <f>SUM(W76:AB76)</f>
        <v/>
      </c>
      <c r="AD76" s="1405" t="n"/>
      <c r="AE76" s="1405" t="n"/>
      <c r="AF76" s="1405" t="n"/>
      <c r="AG76" s="1405" t="n"/>
      <c r="AH76" s="1405" t="n"/>
      <c r="AI76" s="1405" t="n"/>
      <c r="AJ76" s="1404">
        <f>SUM(AD76:AI76)</f>
        <v/>
      </c>
      <c r="AK76" s="1404" t="n"/>
      <c r="AL76" s="1404" t="n"/>
      <c r="AM76" s="1404" t="n"/>
      <c r="AN76" s="1404" t="n"/>
      <c r="AO76" s="1404" t="n"/>
      <c r="AP76" s="1404" t="n"/>
      <c r="AQ76" s="1404" t="n"/>
      <c r="AR76" s="1404" t="n"/>
      <c r="AS76" s="1404" t="n"/>
      <c r="AT76" s="1404" t="n"/>
      <c r="AU76" s="1404" t="n"/>
      <c r="AV76" s="1404" t="n"/>
      <c r="AW76" s="1404">
        <f>AK76-AQ76</f>
        <v/>
      </c>
      <c r="AX76" s="1404">
        <f>AL76-AR76</f>
        <v/>
      </c>
      <c r="AY76" s="1404">
        <f>AM76-AS76</f>
        <v/>
      </c>
      <c r="AZ76" s="1404">
        <f>AN76-AT76</f>
        <v/>
      </c>
      <c r="BA76" s="1404">
        <f>AO76-AU76</f>
        <v/>
      </c>
      <c r="BB76" s="1404">
        <f>AP76-AV76</f>
        <v/>
      </c>
      <c r="BC76" s="1404">
        <f>SUM(AW76:BB76)</f>
        <v/>
      </c>
      <c r="BD76" s="1404" t="n"/>
      <c r="BE76" s="1404" t="n"/>
      <c r="BF76" s="1404" t="n"/>
      <c r="BG76" s="1404" t="n"/>
      <c r="BH76" s="1404" t="n"/>
      <c r="BI76" s="1404" t="n"/>
      <c r="BJ76" s="1404">
        <f>SUM(BC76:BI76)</f>
        <v/>
      </c>
      <c r="BK76" s="1404">
        <f>BR76-BY76</f>
        <v/>
      </c>
      <c r="BL76" s="1404">
        <f>BS76-BZ76</f>
        <v/>
      </c>
      <c r="BM76" s="1404">
        <f>BT76-CA76</f>
        <v/>
      </c>
      <c r="BN76" s="1404">
        <f>BU76-CB76</f>
        <v/>
      </c>
      <c r="BO76" s="1404">
        <f>BV76-CC76</f>
        <v/>
      </c>
      <c r="BP76" s="1404">
        <f>BW76-CD76</f>
        <v/>
      </c>
      <c r="BQ76" s="1404">
        <f>SUM(BK76:BP76)</f>
        <v/>
      </c>
      <c r="BR76" s="1404" t="n"/>
      <c r="BS76" s="1404" t="n"/>
      <c r="BT76" s="1404" t="n"/>
      <c r="BU76" s="1404" t="n"/>
      <c r="BV76" s="1404" t="n"/>
      <c r="BW76" s="1404" t="n"/>
      <c r="BX76" s="1404">
        <f>SUM(BR76:BW76)</f>
        <v/>
      </c>
      <c r="BY76" s="1404" t="n"/>
      <c r="BZ76" s="1404" t="n"/>
      <c r="CA76" s="1404" t="n"/>
      <c r="CB76" s="1404" t="n"/>
      <c r="CC76" s="1404" t="n"/>
      <c r="CD76" s="1404" t="n"/>
      <c r="CE76" s="1404" t="n"/>
      <c r="CF76" s="1404" t="n"/>
      <c r="CG76" s="1404" t="n"/>
      <c r="CH76" s="1404" t="n"/>
      <c r="CI76" s="1404" t="n"/>
      <c r="CJ76" s="1404" t="n"/>
      <c r="CK76" s="1404">
        <f>SUM(CE76:CJ76)</f>
        <v/>
      </c>
    </row>
    <row r="77">
      <c r="A77" s="384" t="n"/>
      <c r="B77" s="384" t="n"/>
      <c r="C77" s="384" t="n"/>
      <c r="D77" s="384" t="n"/>
      <c r="E77" s="384" t="n"/>
      <c r="F77" s="384" t="n"/>
      <c r="G77" s="384" t="n"/>
      <c r="H77" s="384" t="n"/>
      <c r="I77" s="384" t="n"/>
      <c r="J77" s="384" t="n"/>
      <c r="K77" s="384" t="n"/>
      <c r="L77" s="384" t="n"/>
      <c r="M77" s="384" t="n"/>
      <c r="N77" s="384" t="n"/>
      <c r="O77" s="384" t="n"/>
      <c r="P77" s="384" t="n"/>
      <c r="Q77" s="384" t="n"/>
      <c r="R77" s="441" t="inlineStr">
        <is>
          <t>超低排放补贴</t>
        </is>
      </c>
      <c r="S77" s="1403" t="inlineStr"/>
      <c r="T77" s="1403" t="inlineStr">
        <is>
          <t>千千瓦时</t>
        </is>
      </c>
      <c r="U77" s="197" t="inlineStr">
        <is>
          <t>A02702010304</t>
        </is>
      </c>
      <c r="V77" s="32">
        <f>IF(_epmOfflineCondition_,"A02702010304",EPMOlapMemberO(U77,"[C_ACCOUNT].[PARENTH1].[A02702010304]","A02702010304 - 超低排放补贴","","000"))</f>
        <v/>
      </c>
      <c r="W77" s="1404">
        <f>AD77-AK77</f>
        <v/>
      </c>
      <c r="X77" s="1404">
        <f>AE77-AL77</f>
        <v/>
      </c>
      <c r="Y77" s="1404">
        <f>AF77-AM77</f>
        <v/>
      </c>
      <c r="Z77" s="1404">
        <f>AG77-AN77</f>
        <v/>
      </c>
      <c r="AA77" s="1404">
        <f>AH77-AO77</f>
        <v/>
      </c>
      <c r="AB77" s="1404">
        <f>AI77-AP77</f>
        <v/>
      </c>
      <c r="AC77" s="1404">
        <f>SUM(W77:AB77)</f>
        <v/>
      </c>
      <c r="AD77" s="1405" t="n"/>
      <c r="AE77" s="1405" t="n"/>
      <c r="AF77" s="1405" t="n"/>
      <c r="AG77" s="1405" t="n"/>
      <c r="AH77" s="1405" t="n"/>
      <c r="AI77" s="1405" t="n"/>
      <c r="AJ77" s="1404">
        <f>SUM(AD77:AI77)</f>
        <v/>
      </c>
      <c r="AK77" s="1404" t="n"/>
      <c r="AL77" s="1404" t="n"/>
      <c r="AM77" s="1404" t="n"/>
      <c r="AN77" s="1404" t="n"/>
      <c r="AO77" s="1404" t="n"/>
      <c r="AP77" s="1404" t="n"/>
      <c r="AQ77" s="1404" t="n"/>
      <c r="AR77" s="1404" t="n"/>
      <c r="AS77" s="1404" t="n"/>
      <c r="AT77" s="1404" t="n"/>
      <c r="AU77" s="1404" t="n"/>
      <c r="AV77" s="1404" t="n"/>
      <c r="AW77" s="1404">
        <f>AK77-AQ77</f>
        <v/>
      </c>
      <c r="AX77" s="1404">
        <f>AL77-AR77</f>
        <v/>
      </c>
      <c r="AY77" s="1404">
        <f>AM77-AS77</f>
        <v/>
      </c>
      <c r="AZ77" s="1404">
        <f>AN77-AT77</f>
        <v/>
      </c>
      <c r="BA77" s="1404">
        <f>AO77-AU77</f>
        <v/>
      </c>
      <c r="BB77" s="1404">
        <f>AP77-AV77</f>
        <v/>
      </c>
      <c r="BC77" s="1404">
        <f>SUM(AW77:BB77)</f>
        <v/>
      </c>
      <c r="BD77" s="1404" t="n"/>
      <c r="BE77" s="1404" t="n"/>
      <c r="BF77" s="1404" t="n"/>
      <c r="BG77" s="1404" t="n"/>
      <c r="BH77" s="1404" t="n"/>
      <c r="BI77" s="1404" t="n"/>
      <c r="BJ77" s="1404">
        <f>SUM(BC77:BI77)</f>
        <v/>
      </c>
      <c r="BK77" s="1404">
        <f>BR77-BY77</f>
        <v/>
      </c>
      <c r="BL77" s="1404">
        <f>BS77-BZ77</f>
        <v/>
      </c>
      <c r="BM77" s="1404">
        <f>BT77-CA77</f>
        <v/>
      </c>
      <c r="BN77" s="1404">
        <f>BU77-CB77</f>
        <v/>
      </c>
      <c r="BO77" s="1404">
        <f>BV77-CC77</f>
        <v/>
      </c>
      <c r="BP77" s="1404">
        <f>BW77-CD77</f>
        <v/>
      </c>
      <c r="BQ77" s="1404">
        <f>SUM(BK77:BP77)</f>
        <v/>
      </c>
      <c r="BR77" s="1404" t="n"/>
      <c r="BS77" s="1404" t="n"/>
      <c r="BT77" s="1404" t="n"/>
      <c r="BU77" s="1404" t="n"/>
      <c r="BV77" s="1404" t="n"/>
      <c r="BW77" s="1404" t="n"/>
      <c r="BX77" s="1404">
        <f>SUM(BR77:BW77)</f>
        <v/>
      </c>
      <c r="BY77" s="1404" t="n"/>
      <c r="BZ77" s="1404" t="n"/>
      <c r="CA77" s="1404" t="n"/>
      <c r="CB77" s="1404" t="n"/>
      <c r="CC77" s="1404" t="n"/>
      <c r="CD77" s="1404" t="n"/>
      <c r="CE77" s="1404" t="n"/>
      <c r="CF77" s="1404" t="n"/>
      <c r="CG77" s="1404" t="n"/>
      <c r="CH77" s="1404" t="n"/>
      <c r="CI77" s="1404" t="n"/>
      <c r="CJ77" s="1404" t="n"/>
      <c r="CK77" s="1404">
        <f>SUM(CE77:CJ77)</f>
        <v/>
      </c>
    </row>
    <row r="78">
      <c r="A78" s="384" t="n"/>
      <c r="B78" s="384" t="n"/>
      <c r="C78" s="384" t="n"/>
      <c r="D78" s="384" t="n"/>
      <c r="E78" s="384" t="n"/>
      <c r="F78" s="384" t="n"/>
      <c r="G78" s="384" t="n"/>
      <c r="H78" s="384" t="n"/>
      <c r="I78" s="384" t="n"/>
      <c r="J78" s="384" t="n"/>
      <c r="K78" s="384" t="n"/>
      <c r="L78" s="384" t="n"/>
      <c r="M78" s="384" t="n"/>
      <c r="N78" s="384" t="n"/>
      <c r="O78" s="384" t="n"/>
      <c r="P78" s="384" t="n"/>
      <c r="Q78" s="384" t="n"/>
      <c r="R78" s="441" t="inlineStr">
        <is>
          <t>其他</t>
        </is>
      </c>
      <c r="S78" s="1403" t="inlineStr"/>
      <c r="T78" s="1403" t="inlineStr">
        <is>
          <t>千千瓦时</t>
        </is>
      </c>
      <c r="U78" s="197" t="inlineStr">
        <is>
          <t>A02702010305</t>
        </is>
      </c>
      <c r="V78" s="32">
        <f>IF(_epmOfflineCondition_,"A02702010305",EPMOlapMemberO(U78,"[C_ACCOUNT].[PARENTH1].[A02702010305]","A02702010305 - 其他","","000"))</f>
        <v/>
      </c>
      <c r="W78" s="1404">
        <f>AD78-AK78</f>
        <v/>
      </c>
      <c r="X78" s="1404">
        <f>AE78-AL78</f>
        <v/>
      </c>
      <c r="Y78" s="1404">
        <f>AF78-AM78</f>
        <v/>
      </c>
      <c r="Z78" s="1404">
        <f>AG78-AN78</f>
        <v/>
      </c>
      <c r="AA78" s="1404">
        <f>AH78-AO78</f>
        <v/>
      </c>
      <c r="AB78" s="1404">
        <f>AI78-AP78</f>
        <v/>
      </c>
      <c r="AC78" s="1404">
        <f>SUM(W78:AB78)</f>
        <v/>
      </c>
      <c r="AD78" s="1405" t="n"/>
      <c r="AE78" s="1405" t="n"/>
      <c r="AF78" s="1405" t="n"/>
      <c r="AG78" s="1405" t="n"/>
      <c r="AH78" s="1405" t="n"/>
      <c r="AI78" s="1405" t="n"/>
      <c r="AJ78" s="1404">
        <f>SUM(AD78:AI78)</f>
        <v/>
      </c>
      <c r="AK78" s="1404" t="n"/>
      <c r="AL78" s="1404" t="n"/>
      <c r="AM78" s="1404" t="n"/>
      <c r="AN78" s="1404" t="n"/>
      <c r="AO78" s="1404" t="n"/>
      <c r="AP78" s="1404" t="n"/>
      <c r="AQ78" s="1404" t="n"/>
      <c r="AR78" s="1404" t="n"/>
      <c r="AS78" s="1404" t="n"/>
      <c r="AT78" s="1404" t="n"/>
      <c r="AU78" s="1404" t="n"/>
      <c r="AV78" s="1404" t="n"/>
      <c r="AW78" s="1404">
        <f>AK78-AQ78</f>
        <v/>
      </c>
      <c r="AX78" s="1404">
        <f>AL78-AR78</f>
        <v/>
      </c>
      <c r="AY78" s="1404">
        <f>AM78-AS78</f>
        <v/>
      </c>
      <c r="AZ78" s="1404">
        <f>AN78-AT78</f>
        <v/>
      </c>
      <c r="BA78" s="1404">
        <f>AO78-AU78</f>
        <v/>
      </c>
      <c r="BB78" s="1404">
        <f>AP78-AV78</f>
        <v/>
      </c>
      <c r="BC78" s="1404">
        <f>SUM(AW78:BB78)</f>
        <v/>
      </c>
      <c r="BD78" s="1404" t="n"/>
      <c r="BE78" s="1404" t="n"/>
      <c r="BF78" s="1404" t="n"/>
      <c r="BG78" s="1404" t="n"/>
      <c r="BH78" s="1404" t="n"/>
      <c r="BI78" s="1404" t="n"/>
      <c r="BJ78" s="1404">
        <f>SUM(BC78:BI78)</f>
        <v/>
      </c>
      <c r="BK78" s="1404">
        <f>BR78-BY78</f>
        <v/>
      </c>
      <c r="BL78" s="1404">
        <f>BS78-BZ78</f>
        <v/>
      </c>
      <c r="BM78" s="1404">
        <f>BT78-CA78</f>
        <v/>
      </c>
      <c r="BN78" s="1404">
        <f>BU78-CB78</f>
        <v/>
      </c>
      <c r="BO78" s="1404">
        <f>BV78-CC78</f>
        <v/>
      </c>
      <c r="BP78" s="1404">
        <f>BW78-CD78</f>
        <v/>
      </c>
      <c r="BQ78" s="1404">
        <f>SUM(BK78:BP78)</f>
        <v/>
      </c>
      <c r="BR78" s="1404" t="n"/>
      <c r="BS78" s="1404" t="n"/>
      <c r="BT78" s="1404" t="n"/>
      <c r="BU78" s="1404" t="n"/>
      <c r="BV78" s="1404" t="n"/>
      <c r="BW78" s="1404" t="n"/>
      <c r="BX78" s="1404">
        <f>SUM(BR78:BW78)</f>
        <v/>
      </c>
      <c r="BY78" s="1404" t="n"/>
      <c r="BZ78" s="1404" t="n"/>
      <c r="CA78" s="1404" t="n"/>
      <c r="CB78" s="1404" t="n"/>
      <c r="CC78" s="1404" t="n"/>
      <c r="CD78" s="1404" t="n"/>
      <c r="CE78" s="1404" t="n"/>
      <c r="CF78" s="1404" t="n"/>
      <c r="CG78" s="1404" t="n"/>
      <c r="CH78" s="1404" t="n"/>
      <c r="CI78" s="1404" t="n"/>
      <c r="CJ78" s="1404" t="n"/>
      <c r="CK78" s="1404">
        <f>SUM(CE78:CJ78)</f>
        <v/>
      </c>
    </row>
    <row r="79">
      <c r="A79" s="384" t="n"/>
      <c r="B79" s="384" t="n"/>
      <c r="C79" s="384" t="n"/>
      <c r="D79" s="384" t="n"/>
      <c r="E79" s="384" t="n"/>
      <c r="F79" s="384" t="n"/>
      <c r="G79" s="384" t="n"/>
      <c r="H79" s="384" t="n"/>
      <c r="I79" s="384" t="n"/>
      <c r="J79" s="384" t="n"/>
      <c r="K79" s="384" t="n"/>
      <c r="L79" s="384" t="n"/>
      <c r="M79" s="384" t="n"/>
      <c r="N79" s="384" t="n"/>
      <c r="O79" s="384" t="n"/>
      <c r="P79" s="384" t="n"/>
      <c r="Q79" s="384" t="n"/>
      <c r="R79" s="422" t="inlineStr">
        <is>
          <t xml:space="preserve"> 售电价格（含税）</t>
        </is>
      </c>
      <c r="S79" s="1403" t="inlineStr"/>
      <c r="T79" s="1403" t="inlineStr">
        <is>
          <t>元/千千瓦时</t>
        </is>
      </c>
      <c r="U79" s="197" t="inlineStr">
        <is>
          <t>A0270202</t>
        </is>
      </c>
      <c r="V79" s="32">
        <f>IF(_epmOfflineCondition_,"A0270202",EPMOlapMemberO(U79,"[C_ACCOUNT].[PARENTH1].[A0270202]","A0270202 -  售电价格（含税）","","000"))</f>
        <v/>
      </c>
      <c r="W79" s="1404">
        <f>IFERROR(W53/W66*1.13,"")</f>
        <v/>
      </c>
      <c r="X79" s="1404">
        <f>IFERROR(X53/X66*1.13,"")</f>
        <v/>
      </c>
      <c r="Y79" s="1404">
        <f>IFERROR(Y53/Y66*1.13,"")</f>
        <v/>
      </c>
      <c r="Z79" s="1404">
        <f>IFERROR(Z53/Z66*1.13,"")</f>
        <v/>
      </c>
      <c r="AA79" s="1404">
        <f>IFERROR(AA53/AA66*1.13,"")</f>
        <v/>
      </c>
      <c r="AB79" s="1404">
        <f>IFERROR(AB53/AB66*1.13,"")</f>
        <v/>
      </c>
      <c r="AC79" s="1404">
        <f>SUM(W79:AB79)</f>
        <v/>
      </c>
      <c r="AD79" s="1404">
        <f>IFERROR(AD53/AD66*1.13,"")</f>
        <v/>
      </c>
      <c r="AE79" s="1404">
        <f>IFERROR(AE53/AE66*1.13,"")</f>
        <v/>
      </c>
      <c r="AF79" s="1404">
        <f>IFERROR(AF53/AF66*1.13,"")</f>
        <v/>
      </c>
      <c r="AG79" s="1404">
        <f>IFERROR(AG53/AG66*1.13,"")</f>
        <v/>
      </c>
      <c r="AH79" s="1404">
        <f>IFERROR(AH53/AH66*1.13,"")</f>
        <v/>
      </c>
      <c r="AI79" s="1404">
        <f>IFERROR(AI53/AI66*1.13,"")</f>
        <v/>
      </c>
      <c r="AJ79" s="1404">
        <f>IFERROR(AJ53/AJ66*1.13,"")</f>
        <v/>
      </c>
      <c r="AK79" s="1404">
        <f>IFERROR(AK53/AK66*1.13,"")</f>
        <v/>
      </c>
      <c r="AL79" s="1404">
        <f>IFERROR(AL53/AL66*1.13,"")</f>
        <v/>
      </c>
      <c r="AM79" s="1404">
        <f>IFERROR(AM53/AM66*1.13,"")</f>
        <v/>
      </c>
      <c r="AN79" s="1404">
        <f>IFERROR(AN53/AN66*1.13,"")</f>
        <v/>
      </c>
      <c r="AO79" s="1404">
        <f>IFERROR(AO53/AO66*1.13,"")</f>
        <v/>
      </c>
      <c r="AP79" s="1404">
        <f>IFERROR(AP53/AP66*1.13,"")</f>
        <v/>
      </c>
      <c r="AQ79" s="1404">
        <f>IFERROR(AQ53/AQ66*1.13,"")</f>
        <v/>
      </c>
      <c r="AR79" s="1404">
        <f>IFERROR(AR53/AR66*1.13,"")</f>
        <v/>
      </c>
      <c r="AS79" s="1404">
        <f>IFERROR(AS53/AS66*1.13,"")</f>
        <v/>
      </c>
      <c r="AT79" s="1404">
        <f>IFERROR(AT53/AT66*1.13,"")</f>
        <v/>
      </c>
      <c r="AU79" s="1404">
        <f>IFERROR(AU53/AU66*1.13,"")</f>
        <v/>
      </c>
      <c r="AV79" s="1404">
        <f>IFERROR(AV53/AV66*1.13,"")</f>
        <v/>
      </c>
      <c r="AW79" s="1404">
        <f>IFERROR(AW53/AW66*1.13,"")</f>
        <v/>
      </c>
      <c r="AX79" s="1404">
        <f>IFERROR(AX53/AX66*1.13,"")</f>
        <v/>
      </c>
      <c r="AY79" s="1404">
        <f>IFERROR(AY53/AY66*1.13,"")</f>
        <v/>
      </c>
      <c r="AZ79" s="1404">
        <f>IFERROR(AZ53/AZ66*1.13,"")</f>
        <v/>
      </c>
      <c r="BA79" s="1404">
        <f>IFERROR(BA53/BA66*1.13,"")</f>
        <v/>
      </c>
      <c r="BB79" s="1404">
        <f>IFERROR(BB53/BB66*1.13,"")</f>
        <v/>
      </c>
      <c r="BC79" s="1404">
        <f>IFERROR(BC53/BC66*1.13,"")</f>
        <v/>
      </c>
      <c r="BD79" s="1404">
        <f>IFERROR(BD53/BD66*1.13,"")</f>
        <v/>
      </c>
      <c r="BE79" s="1404">
        <f>IFERROR(BE53/BE66*1.13,"")</f>
        <v/>
      </c>
      <c r="BF79" s="1404">
        <f>IFERROR(BF53/BF66*1.13,"")</f>
        <v/>
      </c>
      <c r="BG79" s="1404">
        <f>IFERROR(BG53/BG66*1.13,"")</f>
        <v/>
      </c>
      <c r="BH79" s="1404">
        <f>IFERROR(BH53/BH66*1.13,"")</f>
        <v/>
      </c>
      <c r="BI79" s="1404">
        <f>IFERROR(BI53/BI66*1.13,"")</f>
        <v/>
      </c>
      <c r="BJ79" s="1404">
        <f>IFERROR(BJ53/BJ66*1.13,"")</f>
        <v/>
      </c>
      <c r="BK79" s="1404">
        <f>BR79-BY79</f>
        <v/>
      </c>
      <c r="BL79" s="1404">
        <f>BS79-BZ79</f>
        <v/>
      </c>
      <c r="BM79" s="1404">
        <f>BT79-CA79</f>
        <v/>
      </c>
      <c r="BN79" s="1404">
        <f>BU79-CB79</f>
        <v/>
      </c>
      <c r="BO79" s="1404">
        <f>BV79-CC79</f>
        <v/>
      </c>
      <c r="BP79" s="1404">
        <f>BW79-CD79</f>
        <v/>
      </c>
      <c r="BQ79" s="1404">
        <f>SUM(BK79:BP79)</f>
        <v/>
      </c>
      <c r="BR79" s="1404" t="n"/>
      <c r="BS79" s="1404" t="n"/>
      <c r="BT79" s="1404" t="n"/>
      <c r="BU79" s="1404" t="n"/>
      <c r="BV79" s="1404" t="n"/>
      <c r="BW79" s="1404" t="n"/>
      <c r="BX79" s="1404">
        <f>SUM(BR79:BW79)</f>
        <v/>
      </c>
      <c r="BY79" s="1404" t="n"/>
      <c r="BZ79" s="1404" t="n"/>
      <c r="CA79" s="1404" t="n"/>
      <c r="CB79" s="1404" t="n"/>
      <c r="CC79" s="1404" t="n"/>
      <c r="CD79" s="1404" t="n"/>
      <c r="CE79" s="1404" t="n"/>
      <c r="CF79" s="1404" t="n"/>
      <c r="CG79" s="1404" t="n"/>
      <c r="CH79" s="1404" t="n"/>
      <c r="CI79" s="1404" t="n"/>
      <c r="CJ79" s="1404" t="n"/>
      <c r="CK79" s="1404">
        <f>SUM(CE79:CJ79)</f>
        <v/>
      </c>
    </row>
    <row r="80">
      <c r="A80" s="384" t="n"/>
      <c r="B80" s="384" t="n"/>
      <c r="C80" s="384" t="n"/>
      <c r="D80" s="384" t="n"/>
      <c r="E80" s="384" t="n"/>
      <c r="F80" s="384" t="n"/>
      <c r="G80" s="384" t="n"/>
      <c r="H80" s="384" t="n"/>
      <c r="I80" s="384" t="n"/>
      <c r="J80" s="384" t="n"/>
      <c r="K80" s="384" t="n"/>
      <c r="L80" s="384" t="n"/>
      <c r="M80" s="384" t="n"/>
      <c r="N80" s="384" t="n"/>
      <c r="O80" s="384" t="n"/>
      <c r="P80" s="384" t="n"/>
      <c r="Q80" s="384" t="n"/>
      <c r="R80" s="423" t="inlineStr">
        <is>
          <t>基数电电价</t>
        </is>
      </c>
      <c r="S80" s="1403" t="inlineStr"/>
      <c r="T80" s="1403" t="inlineStr">
        <is>
          <t>元/千千瓦时</t>
        </is>
      </c>
      <c r="U80" s="197" t="inlineStr">
        <is>
          <t>A027020201</t>
        </is>
      </c>
      <c r="V80" s="32">
        <f>IF(_epmOfflineCondition_,"A027020201",EPMOlapMemberO(U80,"[C_ACCOUNT].[PARENTH1].[A027020201]","A027020201 - 基数电电价","","000"))</f>
        <v/>
      </c>
      <c r="W80" s="1404">
        <f>IFERROR(W54/W67*1.13,"")</f>
        <v/>
      </c>
      <c r="X80" s="1404">
        <f>IFERROR(X54/X67*1.13,"")</f>
        <v/>
      </c>
      <c r="Y80" s="1404">
        <f>IFERROR(Y54/Y67*1.13,"")</f>
        <v/>
      </c>
      <c r="Z80" s="1404">
        <f>IFERROR(Z54/Z67*1.13,"")</f>
        <v/>
      </c>
      <c r="AA80" s="1404">
        <f>IFERROR(AA54/AA67*1.13,"")</f>
        <v/>
      </c>
      <c r="AB80" s="1404">
        <f>IFERROR(AB54/AB67*1.13,"")</f>
        <v/>
      </c>
      <c r="AC80" s="1404">
        <f>SUM(W80:AB80)</f>
        <v/>
      </c>
      <c r="AD80" s="1404">
        <f>IFERROR(AD54/AD67*1.13,"")</f>
        <v/>
      </c>
      <c r="AE80" s="1404">
        <f>IFERROR(AE54/AE67*1.13,"")</f>
        <v/>
      </c>
      <c r="AF80" s="1404">
        <f>IFERROR(AF54/AF67*1.13,"")</f>
        <v/>
      </c>
      <c r="AG80" s="1404">
        <f>IFERROR(AG54/AG67*1.13,"")</f>
        <v/>
      </c>
      <c r="AH80" s="1404">
        <f>IFERROR(AH54/AH67*1.13,"")</f>
        <v/>
      </c>
      <c r="AI80" s="1404">
        <f>IFERROR(AI54/AI67*1.13,"")</f>
        <v/>
      </c>
      <c r="AJ80" s="1404">
        <f>IFERROR(AJ54/AJ67*1.13,"")</f>
        <v/>
      </c>
      <c r="AK80" s="1404">
        <f>IFERROR(AK54/AK67*1.13,"")</f>
        <v/>
      </c>
      <c r="AL80" s="1404">
        <f>IFERROR(AL54/AL67*1.13,"")</f>
        <v/>
      </c>
      <c r="AM80" s="1404">
        <f>IFERROR(AM54/AM67*1.13,"")</f>
        <v/>
      </c>
      <c r="AN80" s="1404">
        <f>IFERROR(AN54/AN67*1.13,"")</f>
        <v/>
      </c>
      <c r="AO80" s="1404">
        <f>IFERROR(AO54/AO67*1.13,"")</f>
        <v/>
      </c>
      <c r="AP80" s="1404">
        <f>IFERROR(AP54/AP67*1.13,"")</f>
        <v/>
      </c>
      <c r="AQ80" s="1404">
        <f>IFERROR(AQ54/AQ67*1.13,"")</f>
        <v/>
      </c>
      <c r="AR80" s="1404">
        <f>IFERROR(AR54/AR67*1.13,"")</f>
        <v/>
      </c>
      <c r="AS80" s="1404">
        <f>IFERROR(AS54/AS67*1.13,"")</f>
        <v/>
      </c>
      <c r="AT80" s="1404">
        <f>IFERROR(AT54/AT67*1.13,"")</f>
        <v/>
      </c>
      <c r="AU80" s="1404">
        <f>IFERROR(AU54/AU67*1.13,"")</f>
        <v/>
      </c>
      <c r="AV80" s="1404">
        <f>IFERROR(AV54/AV67*1.13,"")</f>
        <v/>
      </c>
      <c r="AW80" s="1404">
        <f>IFERROR(AW54/AW67*1.13,"")</f>
        <v/>
      </c>
      <c r="AX80" s="1404">
        <f>IFERROR(AX54/AX67*1.13,"")</f>
        <v/>
      </c>
      <c r="AY80" s="1404">
        <f>IFERROR(AY54/AY67*1.13,"")</f>
        <v/>
      </c>
      <c r="AZ80" s="1404">
        <f>IFERROR(AZ54/AZ67*1.13,"")</f>
        <v/>
      </c>
      <c r="BA80" s="1404">
        <f>IFERROR(BA54/BA67*1.13,"")</f>
        <v/>
      </c>
      <c r="BB80" s="1404">
        <f>IFERROR(BB54/BB67*1.13,"")</f>
        <v/>
      </c>
      <c r="BC80" s="1404">
        <f>IFERROR(BC54/BC67*1.13,"")</f>
        <v/>
      </c>
      <c r="BD80" s="1404">
        <f>IFERROR(BD54/BD67*1.13,"")</f>
        <v/>
      </c>
      <c r="BE80" s="1404">
        <f>IFERROR(BE54/BE67*1.13,"")</f>
        <v/>
      </c>
      <c r="BF80" s="1404">
        <f>IFERROR(BF54/BF67*1.13,"")</f>
        <v/>
      </c>
      <c r="BG80" s="1404">
        <f>IFERROR(BG54/BG67*1.13,"")</f>
        <v/>
      </c>
      <c r="BH80" s="1404">
        <f>IFERROR(BH54/BH67*1.13,"")</f>
        <v/>
      </c>
      <c r="BI80" s="1404">
        <f>IFERROR(BI54/BI67*1.13,"")</f>
        <v/>
      </c>
      <c r="BJ80" s="1404">
        <f>IFERROR(BJ54/BJ67*1.13,"")</f>
        <v/>
      </c>
      <c r="BK80" s="1404">
        <f>BR80-BY80</f>
        <v/>
      </c>
      <c r="BL80" s="1404">
        <f>BS80-BZ80</f>
        <v/>
      </c>
      <c r="BM80" s="1404">
        <f>BT80-CA80</f>
        <v/>
      </c>
      <c r="BN80" s="1404">
        <f>BU80-CB80</f>
        <v/>
      </c>
      <c r="BO80" s="1404">
        <f>BV80-CC80</f>
        <v/>
      </c>
      <c r="BP80" s="1404">
        <f>BW80-CD80</f>
        <v/>
      </c>
      <c r="BQ80" s="1404">
        <f>SUM(BK80:BP80)</f>
        <v/>
      </c>
      <c r="BR80" s="1404" t="n"/>
      <c r="BS80" s="1404" t="n"/>
      <c r="BT80" s="1404" t="n"/>
      <c r="BU80" s="1404" t="n"/>
      <c r="BV80" s="1404" t="n"/>
      <c r="BW80" s="1404" t="n"/>
      <c r="BX80" s="1404">
        <f>SUM(BR80:BW80)</f>
        <v/>
      </c>
      <c r="BY80" s="1404" t="n"/>
      <c r="BZ80" s="1404" t="n"/>
      <c r="CA80" s="1404" t="n"/>
      <c r="CB80" s="1404" t="n"/>
      <c r="CC80" s="1404" t="n"/>
      <c r="CD80" s="1404" t="n"/>
      <c r="CE80" s="1404" t="n"/>
      <c r="CF80" s="1404" t="n"/>
      <c r="CG80" s="1404" t="n"/>
      <c r="CH80" s="1404" t="n"/>
      <c r="CI80" s="1404" t="n"/>
      <c r="CJ80" s="1404" t="n"/>
      <c r="CK80" s="1404">
        <f>SUM(CE80:CJ80)</f>
        <v/>
      </c>
    </row>
    <row r="81">
      <c r="A81" s="384" t="n"/>
      <c r="B81" s="384" t="n"/>
      <c r="C81" s="384" t="n"/>
      <c r="D81" s="384" t="n"/>
      <c r="E81" s="384" t="n"/>
      <c r="F81" s="384" t="n"/>
      <c r="G81" s="384" t="n"/>
      <c r="H81" s="384" t="n"/>
      <c r="I81" s="384" t="n"/>
      <c r="J81" s="384" t="n"/>
      <c r="K81" s="384" t="n"/>
      <c r="L81" s="384" t="n"/>
      <c r="M81" s="384" t="n"/>
      <c r="N81" s="384" t="n"/>
      <c r="O81" s="384" t="n"/>
      <c r="P81" s="384" t="n"/>
      <c r="Q81" s="384" t="n"/>
      <c r="R81" s="424" t="inlineStr">
        <is>
          <t>市场交易电电价</t>
        </is>
      </c>
      <c r="S81" s="1403" t="inlineStr"/>
      <c r="T81" s="1403" t="inlineStr">
        <is>
          <t>元/千千瓦时</t>
        </is>
      </c>
      <c r="U81" s="197" t="inlineStr">
        <is>
          <t>A027020202</t>
        </is>
      </c>
      <c r="V81" s="32">
        <f>IF(_epmOfflineCondition_,"A027020202",EPMOlapMemberO(U81,"[C_ACCOUNT].[PARENTH1].[A027020202]","A027020202 - 市场交易电电价","","000"))</f>
        <v/>
      </c>
      <c r="W81" s="1404">
        <f>IFERROR(W55/W68*1.13,"")</f>
        <v/>
      </c>
      <c r="X81" s="1404">
        <f>IFERROR(X55/X68*1.13,"")</f>
        <v/>
      </c>
      <c r="Y81" s="1404">
        <f>IFERROR(Y55/Y68*1.13,"")</f>
        <v/>
      </c>
      <c r="Z81" s="1404">
        <f>IFERROR(Z55/Z68*1.13,"")</f>
        <v/>
      </c>
      <c r="AA81" s="1404">
        <f>IFERROR(AA55/AA68*1.13,"")</f>
        <v/>
      </c>
      <c r="AB81" s="1404">
        <f>IFERROR(AB55/AB68*1.13,"")</f>
        <v/>
      </c>
      <c r="AC81" s="1404">
        <f>SUM(W81:AB81)</f>
        <v/>
      </c>
      <c r="AD81" s="1404">
        <f>IFERROR(AD55/AD68*1.13,"")</f>
        <v/>
      </c>
      <c r="AE81" s="1404">
        <f>IFERROR(AE55/AE68*1.13,"")</f>
        <v/>
      </c>
      <c r="AF81" s="1404">
        <f>IFERROR(AF55/AF68*1.13,"")</f>
        <v/>
      </c>
      <c r="AG81" s="1404">
        <f>IFERROR(AG55/AG68*1.13,"")</f>
        <v/>
      </c>
      <c r="AH81" s="1404">
        <f>IFERROR(AH55/AH68*1.13,"")</f>
        <v/>
      </c>
      <c r="AI81" s="1404">
        <f>IFERROR(AI55/AI68*1.13,"")</f>
        <v/>
      </c>
      <c r="AJ81" s="1404">
        <f>IFERROR(AJ55/AJ68*1.13,"")</f>
        <v/>
      </c>
      <c r="AK81" s="1404">
        <f>IFERROR(AK55/AK68*1.13,"")</f>
        <v/>
      </c>
      <c r="AL81" s="1404">
        <f>IFERROR(AL55/AL68*1.13,"")</f>
        <v/>
      </c>
      <c r="AM81" s="1404">
        <f>IFERROR(AM55/AM68*1.13,"")</f>
        <v/>
      </c>
      <c r="AN81" s="1404">
        <f>IFERROR(AN55/AN68*1.13,"")</f>
        <v/>
      </c>
      <c r="AO81" s="1404">
        <f>IFERROR(AO55/AO68*1.13,"")</f>
        <v/>
      </c>
      <c r="AP81" s="1404">
        <f>IFERROR(AP55/AP68*1.13,"")</f>
        <v/>
      </c>
      <c r="AQ81" s="1404">
        <f>IFERROR(AQ55/AQ68*1.13,"")</f>
        <v/>
      </c>
      <c r="AR81" s="1404">
        <f>IFERROR(AR55/AR68*1.13,"")</f>
        <v/>
      </c>
      <c r="AS81" s="1404">
        <f>IFERROR(AS55/AS68*1.13,"")</f>
        <v/>
      </c>
      <c r="AT81" s="1404">
        <f>IFERROR(AT55/AT68*1.13,"")</f>
        <v/>
      </c>
      <c r="AU81" s="1404">
        <f>IFERROR(AU55/AU68*1.13,"")</f>
        <v/>
      </c>
      <c r="AV81" s="1404">
        <f>IFERROR(AV55/AV68*1.13,"")</f>
        <v/>
      </c>
      <c r="AW81" s="1404">
        <f>IFERROR(AW55/AW68*1.13,"")</f>
        <v/>
      </c>
      <c r="AX81" s="1404">
        <f>IFERROR(AX55/AX68*1.13,"")</f>
        <v/>
      </c>
      <c r="AY81" s="1404">
        <f>IFERROR(AY55/AY68*1.13,"")</f>
        <v/>
      </c>
      <c r="AZ81" s="1404">
        <f>IFERROR(AZ55/AZ68*1.13,"")</f>
        <v/>
      </c>
      <c r="BA81" s="1404">
        <f>IFERROR(BA55/BA68*1.13,"")</f>
        <v/>
      </c>
      <c r="BB81" s="1404">
        <f>IFERROR(BB55/BB68*1.13,"")</f>
        <v/>
      </c>
      <c r="BC81" s="1404">
        <f>IFERROR(BC55/BC68*1.13,"")</f>
        <v/>
      </c>
      <c r="BD81" s="1404">
        <f>IFERROR(BD55/BD68*1.13,"")</f>
        <v/>
      </c>
      <c r="BE81" s="1404">
        <f>IFERROR(BE55/BE68*1.13,"")</f>
        <v/>
      </c>
      <c r="BF81" s="1404">
        <f>IFERROR(BF55/BF68*1.13,"")</f>
        <v/>
      </c>
      <c r="BG81" s="1404">
        <f>IFERROR(BG55/BG68*1.13,"")</f>
        <v/>
      </c>
      <c r="BH81" s="1404">
        <f>IFERROR(BH55/BH68*1.13,"")</f>
        <v/>
      </c>
      <c r="BI81" s="1404">
        <f>IFERROR(BI55/BI68*1.13,"")</f>
        <v/>
      </c>
      <c r="BJ81" s="1404">
        <f>IFERROR(BJ55/BJ68*1.13,"")</f>
        <v/>
      </c>
      <c r="BK81" s="1404">
        <f>BR81-BY81</f>
        <v/>
      </c>
      <c r="BL81" s="1404">
        <f>BS81-BZ81</f>
        <v/>
      </c>
      <c r="BM81" s="1404">
        <f>BT81-CA81</f>
        <v/>
      </c>
      <c r="BN81" s="1404">
        <f>BU81-CB81</f>
        <v/>
      </c>
      <c r="BO81" s="1404">
        <f>BV81-CC81</f>
        <v/>
      </c>
      <c r="BP81" s="1404">
        <f>BW81-CD81</f>
        <v/>
      </c>
      <c r="BQ81" s="1404">
        <f>SUM(BK81:BP81)</f>
        <v/>
      </c>
      <c r="BR81" s="1404" t="n"/>
      <c r="BS81" s="1404" t="n"/>
      <c r="BT81" s="1404" t="n"/>
      <c r="BU81" s="1404" t="n"/>
      <c r="BV81" s="1404" t="n"/>
      <c r="BW81" s="1404" t="n"/>
      <c r="BX81" s="1404">
        <f>SUM(BR81:BW81)</f>
        <v/>
      </c>
      <c r="BY81" s="1404" t="n"/>
      <c r="BZ81" s="1404" t="n"/>
      <c r="CA81" s="1404" t="n"/>
      <c r="CB81" s="1404" t="n"/>
      <c r="CC81" s="1404" t="n"/>
      <c r="CD81" s="1404" t="n"/>
      <c r="CE81" s="1404" t="n"/>
      <c r="CF81" s="1404" t="n"/>
      <c r="CG81" s="1404" t="n"/>
      <c r="CH81" s="1404" t="n"/>
      <c r="CI81" s="1404" t="n"/>
      <c r="CJ81" s="1404" t="n"/>
      <c r="CK81" s="1404">
        <f>SUM(CE81:CJ81)</f>
        <v/>
      </c>
    </row>
    <row r="82">
      <c r="A82" s="384" t="n"/>
      <c r="B82" s="384" t="n"/>
      <c r="C82" s="384" t="n"/>
      <c r="D82" s="384" t="n"/>
      <c r="E82" s="384" t="n"/>
      <c r="F82" s="384" t="n"/>
      <c r="G82" s="384" t="n"/>
      <c r="H82" s="384" t="n"/>
      <c r="I82" s="384" t="n"/>
      <c r="J82" s="384" t="n"/>
      <c r="K82" s="384" t="n"/>
      <c r="L82" s="384" t="n"/>
      <c r="M82" s="384" t="n"/>
      <c r="N82" s="384" t="n"/>
      <c r="O82" s="384" t="n"/>
      <c r="P82" s="384" t="n"/>
      <c r="Q82" s="384" t="n"/>
      <c r="R82" s="442" t="inlineStr">
        <is>
          <t xml:space="preserve">    中长期交易电价</t>
        </is>
      </c>
      <c r="S82" s="1403" t="inlineStr"/>
      <c r="T82" s="1403" t="inlineStr">
        <is>
          <t>元/千千瓦时</t>
        </is>
      </c>
      <c r="U82" s="197" t="inlineStr">
        <is>
          <t>A02702020201</t>
        </is>
      </c>
      <c r="V82" s="32">
        <f>IF(_epmOfflineCondition_,"A02702020201",EPMOlapMemberO(U82,"[C_ACCOUNT].[PARENTH1].[A02702020201]","A02702020201 -     中长期交易电价","","000"))</f>
        <v/>
      </c>
      <c r="W82" s="1404">
        <f>IFERROR(W56/W69*1.13,"")</f>
        <v/>
      </c>
      <c r="X82" s="1404">
        <f>IFERROR(X56/X69*1.13,"")</f>
        <v/>
      </c>
      <c r="Y82" s="1404">
        <f>IFERROR(Y56/Y69*1.13,"")</f>
        <v/>
      </c>
      <c r="Z82" s="1404">
        <f>IFERROR(Z56/Z69*1.13,"")</f>
        <v/>
      </c>
      <c r="AA82" s="1404">
        <f>IFERROR(AA56/AA69*1.13,"")</f>
        <v/>
      </c>
      <c r="AB82" s="1404">
        <f>IFERROR(AB56/AB69*1.13,"")</f>
        <v/>
      </c>
      <c r="AC82" s="1404">
        <f>SUM(W82:AB82)</f>
        <v/>
      </c>
      <c r="AD82" s="1404">
        <f>IFERROR(AD56/AD69*1.13,"")</f>
        <v/>
      </c>
      <c r="AE82" s="1404">
        <f>IFERROR(AE56/AE69*1.13,"")</f>
        <v/>
      </c>
      <c r="AF82" s="1404">
        <f>IFERROR(AF56/AF69*1.13,"")</f>
        <v/>
      </c>
      <c r="AG82" s="1404">
        <f>IFERROR(AG56/AG69*1.13,"")</f>
        <v/>
      </c>
      <c r="AH82" s="1404">
        <f>IFERROR(AH56/AH69*1.13,"")</f>
        <v/>
      </c>
      <c r="AI82" s="1404">
        <f>IFERROR(AI56/AI69*1.13,"")</f>
        <v/>
      </c>
      <c r="AJ82" s="1404">
        <f>IFERROR(AJ56/AJ69*1.13,"")</f>
        <v/>
      </c>
      <c r="AK82" s="1404">
        <f>IFERROR(AK56/AK69*1.13,"")</f>
        <v/>
      </c>
      <c r="AL82" s="1404">
        <f>IFERROR(AL56/AL69*1.13,"")</f>
        <v/>
      </c>
      <c r="AM82" s="1404">
        <f>IFERROR(AM56/AM69*1.13,"")</f>
        <v/>
      </c>
      <c r="AN82" s="1404">
        <f>IFERROR(AN56/AN69*1.13,"")</f>
        <v/>
      </c>
      <c r="AO82" s="1404">
        <f>IFERROR(AO56/AO69*1.13,"")</f>
        <v/>
      </c>
      <c r="AP82" s="1404">
        <f>IFERROR(AP56/AP69*1.13,"")</f>
        <v/>
      </c>
      <c r="AQ82" s="1404">
        <f>IFERROR(AQ56/AQ69*1.13,"")</f>
        <v/>
      </c>
      <c r="AR82" s="1404">
        <f>IFERROR(AR56/AR69*1.13,"")</f>
        <v/>
      </c>
      <c r="AS82" s="1404">
        <f>IFERROR(AS56/AS69*1.13,"")</f>
        <v/>
      </c>
      <c r="AT82" s="1404">
        <f>IFERROR(AT56/AT69*1.13,"")</f>
        <v/>
      </c>
      <c r="AU82" s="1404">
        <f>IFERROR(AU56/AU69*1.13,"")</f>
        <v/>
      </c>
      <c r="AV82" s="1404">
        <f>IFERROR(AV56/AV69*1.13,"")</f>
        <v/>
      </c>
      <c r="AW82" s="1404">
        <f>IFERROR(AW56/AW69*1.13,"")</f>
        <v/>
      </c>
      <c r="AX82" s="1404">
        <f>IFERROR(AX56/AX69*1.13,"")</f>
        <v/>
      </c>
      <c r="AY82" s="1404">
        <f>IFERROR(AY56/AY69*1.13,"")</f>
        <v/>
      </c>
      <c r="AZ82" s="1404">
        <f>IFERROR(AZ56/AZ69*1.13,"")</f>
        <v/>
      </c>
      <c r="BA82" s="1404">
        <f>IFERROR(BA56/BA69*1.13,"")</f>
        <v/>
      </c>
      <c r="BB82" s="1404">
        <f>IFERROR(BB56/BB69*1.13,"")</f>
        <v/>
      </c>
      <c r="BC82" s="1404">
        <f>IFERROR(BC56/BC69*1.13,"")</f>
        <v/>
      </c>
      <c r="BD82" s="1404">
        <f>IFERROR(BD56/BD69*1.13,"")</f>
        <v/>
      </c>
      <c r="BE82" s="1404">
        <f>IFERROR(BE56/BE69*1.13,"")</f>
        <v/>
      </c>
      <c r="BF82" s="1404">
        <f>IFERROR(BF56/BF69*1.13,"")</f>
        <v/>
      </c>
      <c r="BG82" s="1404">
        <f>IFERROR(BG56/BG69*1.13,"")</f>
        <v/>
      </c>
      <c r="BH82" s="1404">
        <f>IFERROR(BH56/BH69*1.13,"")</f>
        <v/>
      </c>
      <c r="BI82" s="1404">
        <f>IFERROR(BI56/BI69*1.13,"")</f>
        <v/>
      </c>
      <c r="BJ82" s="1404">
        <f>IFERROR(BJ56/BJ69*1.13,"")</f>
        <v/>
      </c>
      <c r="BK82" s="1404">
        <f>BR82-BY82</f>
        <v/>
      </c>
      <c r="BL82" s="1404">
        <f>BS82-BZ82</f>
        <v/>
      </c>
      <c r="BM82" s="1404">
        <f>BT82-CA82</f>
        <v/>
      </c>
      <c r="BN82" s="1404">
        <f>BU82-CB82</f>
        <v/>
      </c>
      <c r="BO82" s="1404">
        <f>BV82-CC82</f>
        <v/>
      </c>
      <c r="BP82" s="1404">
        <f>BW82-CD82</f>
        <v/>
      </c>
      <c r="BQ82" s="1404">
        <f>SUM(BK82:BP82)</f>
        <v/>
      </c>
      <c r="BR82" s="1404" t="n"/>
      <c r="BS82" s="1404" t="n"/>
      <c r="BT82" s="1404" t="n"/>
      <c r="BU82" s="1404" t="n"/>
      <c r="BV82" s="1404" t="n"/>
      <c r="BW82" s="1404" t="n"/>
      <c r="BX82" s="1404">
        <f>SUM(BR82:BW82)</f>
        <v/>
      </c>
      <c r="BY82" s="1404" t="n"/>
      <c r="BZ82" s="1404" t="n"/>
      <c r="CA82" s="1404" t="n"/>
      <c r="CB82" s="1404" t="n"/>
      <c r="CC82" s="1404" t="n"/>
      <c r="CD82" s="1404" t="n"/>
      <c r="CE82" s="1404" t="n"/>
      <c r="CF82" s="1404" t="n"/>
      <c r="CG82" s="1404" t="n"/>
      <c r="CH82" s="1404" t="n"/>
      <c r="CI82" s="1404" t="n"/>
      <c r="CJ82" s="1404" t="n"/>
      <c r="CK82" s="1404">
        <f>SUM(CE82:CJ82)</f>
        <v/>
      </c>
    </row>
    <row r="83">
      <c r="A83" s="384" t="n"/>
      <c r="B83" s="384" t="n"/>
      <c r="C83" s="384" t="n"/>
      <c r="D83" s="384" t="n"/>
      <c r="E83" s="384" t="n"/>
      <c r="F83" s="384" t="n"/>
      <c r="G83" s="384" t="n"/>
      <c r="H83" s="384" t="n"/>
      <c r="I83" s="384" t="n"/>
      <c r="J83" s="384" t="n"/>
      <c r="K83" s="384" t="n"/>
      <c r="L83" s="384" t="n"/>
      <c r="M83" s="384" t="n"/>
      <c r="N83" s="384" t="n"/>
      <c r="O83" s="384" t="n"/>
      <c r="P83" s="384" t="n"/>
      <c r="Q83" s="384" t="n"/>
      <c r="R83" s="442" t="inlineStr">
        <is>
          <t xml:space="preserve">    电网代购电电价</t>
        </is>
      </c>
      <c r="S83" s="1403" t="inlineStr"/>
      <c r="T83" s="1403" t="inlineStr">
        <is>
          <t>元/千千瓦时</t>
        </is>
      </c>
      <c r="U83" s="197" t="inlineStr">
        <is>
          <t>A02702020202</t>
        </is>
      </c>
      <c r="V83" s="32">
        <f>IF(_epmOfflineCondition_,"A02702020202",EPMOlapMemberO(U83,"[C_ACCOUNT].[PARENTH1].[A02702020202]","A02702020202 -     电网代购电电价","","000"))</f>
        <v/>
      </c>
      <c r="W83" s="1404">
        <f>IFERROR(W57/W70*1.13,"")</f>
        <v/>
      </c>
      <c r="X83" s="1404">
        <f>IFERROR(X57/X70*1.13,"")</f>
        <v/>
      </c>
      <c r="Y83" s="1404">
        <f>IFERROR(Y57/Y70*1.13,"")</f>
        <v/>
      </c>
      <c r="Z83" s="1404">
        <f>IFERROR(Z57/Z70*1.13,"")</f>
        <v/>
      </c>
      <c r="AA83" s="1404">
        <f>IFERROR(AA57/AA70*1.13,"")</f>
        <v/>
      </c>
      <c r="AB83" s="1404">
        <f>IFERROR(AB57/AB70*1.13,"")</f>
        <v/>
      </c>
      <c r="AC83" s="1404">
        <f>SUM(W83:AB83)</f>
        <v/>
      </c>
      <c r="AD83" s="1404">
        <f>IFERROR(AD57/AD70*1.13,"")</f>
        <v/>
      </c>
      <c r="AE83" s="1404">
        <f>IFERROR(AE57/AE70*1.13,"")</f>
        <v/>
      </c>
      <c r="AF83" s="1404">
        <f>IFERROR(AF57/AF70*1.13,"")</f>
        <v/>
      </c>
      <c r="AG83" s="1404">
        <f>IFERROR(AG57/AG70*1.13,"")</f>
        <v/>
      </c>
      <c r="AH83" s="1404">
        <f>IFERROR(AH57/AH70*1.13,"")</f>
        <v/>
      </c>
      <c r="AI83" s="1404">
        <f>IFERROR(AI57/AI70*1.13,"")</f>
        <v/>
      </c>
      <c r="AJ83" s="1404">
        <f>IFERROR(AJ57/AJ70*1.13,"")</f>
        <v/>
      </c>
      <c r="AK83" s="1404">
        <f>IFERROR(AK57/AK70*1.13,"")</f>
        <v/>
      </c>
      <c r="AL83" s="1404">
        <f>IFERROR(AL57/AL70*1.13,"")</f>
        <v/>
      </c>
      <c r="AM83" s="1404">
        <f>IFERROR(AM57/AM70*1.13,"")</f>
        <v/>
      </c>
      <c r="AN83" s="1404">
        <f>IFERROR(AN57/AN70*1.13,"")</f>
        <v/>
      </c>
      <c r="AO83" s="1404">
        <f>IFERROR(AO57/AO70*1.13,"")</f>
        <v/>
      </c>
      <c r="AP83" s="1404">
        <f>IFERROR(AP57/AP70*1.13,"")</f>
        <v/>
      </c>
      <c r="AQ83" s="1404">
        <f>IFERROR(AQ57/AQ70*1.13,"")</f>
        <v/>
      </c>
      <c r="AR83" s="1404">
        <f>IFERROR(AR57/AR70*1.13,"")</f>
        <v/>
      </c>
      <c r="AS83" s="1404">
        <f>IFERROR(AS57/AS70*1.13,"")</f>
        <v/>
      </c>
      <c r="AT83" s="1404">
        <f>IFERROR(AT57/AT70*1.13,"")</f>
        <v/>
      </c>
      <c r="AU83" s="1404">
        <f>IFERROR(AU57/AU70*1.13,"")</f>
        <v/>
      </c>
      <c r="AV83" s="1404">
        <f>IFERROR(AV57/AV70*1.13,"")</f>
        <v/>
      </c>
      <c r="AW83" s="1404">
        <f>IFERROR(AW57/AW70*1.13,"")</f>
        <v/>
      </c>
      <c r="AX83" s="1404">
        <f>IFERROR(AX57/AX70*1.13,"")</f>
        <v/>
      </c>
      <c r="AY83" s="1404">
        <f>IFERROR(AY57/AY70*1.13,"")</f>
        <v/>
      </c>
      <c r="AZ83" s="1404">
        <f>IFERROR(AZ57/AZ70*1.13,"")</f>
        <v/>
      </c>
      <c r="BA83" s="1404">
        <f>IFERROR(BA57/BA70*1.13,"")</f>
        <v/>
      </c>
      <c r="BB83" s="1404">
        <f>IFERROR(BB57/BB70*1.13,"")</f>
        <v/>
      </c>
      <c r="BC83" s="1404">
        <f>IFERROR(BC57/BC70*1.13,"")</f>
        <v/>
      </c>
      <c r="BD83" s="1404">
        <f>IFERROR(BD57/BD70*1.13,"")</f>
        <v/>
      </c>
      <c r="BE83" s="1404">
        <f>IFERROR(BE57/BE70*1.13,"")</f>
        <v/>
      </c>
      <c r="BF83" s="1404">
        <f>IFERROR(BF57/BF70*1.13,"")</f>
        <v/>
      </c>
      <c r="BG83" s="1404">
        <f>IFERROR(BG57/BG70*1.13,"")</f>
        <v/>
      </c>
      <c r="BH83" s="1404">
        <f>IFERROR(BH57/BH70*1.13,"")</f>
        <v/>
      </c>
      <c r="BI83" s="1404">
        <f>IFERROR(BI57/BI70*1.13,"")</f>
        <v/>
      </c>
      <c r="BJ83" s="1404">
        <f>IFERROR(BJ57/BJ70*1.13,"")</f>
        <v/>
      </c>
      <c r="BK83" s="1404">
        <f>BR83-BY83</f>
        <v/>
      </c>
      <c r="BL83" s="1404">
        <f>BS83-BZ83</f>
        <v/>
      </c>
      <c r="BM83" s="1404">
        <f>BT83-CA83</f>
        <v/>
      </c>
      <c r="BN83" s="1404">
        <f>BU83-CB83</f>
        <v/>
      </c>
      <c r="BO83" s="1404">
        <f>BV83-CC83</f>
        <v/>
      </c>
      <c r="BP83" s="1404">
        <f>BW83-CD83</f>
        <v/>
      </c>
      <c r="BQ83" s="1404">
        <f>SUM(BK83:BP83)</f>
        <v/>
      </c>
      <c r="BR83" s="1404" t="n"/>
      <c r="BS83" s="1404" t="n"/>
      <c r="BT83" s="1404" t="n"/>
      <c r="BU83" s="1404" t="n"/>
      <c r="BV83" s="1404" t="n"/>
      <c r="BW83" s="1404" t="n"/>
      <c r="BX83" s="1404">
        <f>SUM(BR83:BW83)</f>
        <v/>
      </c>
      <c r="BY83" s="1404" t="n"/>
      <c r="BZ83" s="1404" t="n"/>
      <c r="CA83" s="1404" t="n"/>
      <c r="CB83" s="1404" t="n"/>
      <c r="CC83" s="1404" t="n"/>
      <c r="CD83" s="1404" t="n"/>
      <c r="CE83" s="1404" t="n"/>
      <c r="CF83" s="1404" t="n"/>
      <c r="CG83" s="1404" t="n"/>
      <c r="CH83" s="1404" t="n"/>
      <c r="CI83" s="1404" t="n"/>
      <c r="CJ83" s="1404" t="n"/>
      <c r="CK83" s="1404">
        <f>SUM(CE83:CJ83)</f>
        <v/>
      </c>
    </row>
    <row r="84">
      <c r="A84" s="384" t="n"/>
      <c r="B84" s="384" t="n"/>
      <c r="C84" s="384" t="n"/>
      <c r="D84" s="384" t="n"/>
      <c r="E84" s="384" t="n"/>
      <c r="F84" s="384" t="n"/>
      <c r="G84" s="384" t="n"/>
      <c r="H84" s="384" t="n"/>
      <c r="I84" s="384" t="n"/>
      <c r="J84" s="384" t="n"/>
      <c r="K84" s="384" t="n"/>
      <c r="L84" s="384" t="n"/>
      <c r="M84" s="384" t="n"/>
      <c r="N84" s="384" t="n"/>
      <c r="O84" s="384" t="n"/>
      <c r="P84" s="384" t="n"/>
      <c r="Q84" s="384" t="n"/>
      <c r="R84" s="442" t="inlineStr">
        <is>
          <t xml:space="preserve">    现货交易电价</t>
        </is>
      </c>
      <c r="S84" s="1403" t="inlineStr"/>
      <c r="T84" s="1403" t="inlineStr">
        <is>
          <t>元/千千瓦时</t>
        </is>
      </c>
      <c r="U84" s="197" t="inlineStr">
        <is>
          <t>A02702020203</t>
        </is>
      </c>
      <c r="V84" s="32">
        <f>IF(_epmOfflineCondition_,"A02702020203",EPMOlapMemberO(U84,"[C_ACCOUNT].[PARENTH1].[A02702020203]","A02702020203 -     现货交易电价","","000"))</f>
        <v/>
      </c>
      <c r="W84" s="1404">
        <f>IFERROR(W58/W71*1.13,"")</f>
        <v/>
      </c>
      <c r="X84" s="1404">
        <f>IFERROR(X58/X71*1.13,"")</f>
        <v/>
      </c>
      <c r="Y84" s="1404">
        <f>IFERROR(Y58/Y71*1.13,"")</f>
        <v/>
      </c>
      <c r="Z84" s="1404">
        <f>IFERROR(Z58/Z71*1.13,"")</f>
        <v/>
      </c>
      <c r="AA84" s="1404">
        <f>IFERROR(AA58/AA71*1.13,"")</f>
        <v/>
      </c>
      <c r="AB84" s="1404">
        <f>IFERROR(AB58/AB71*1.13,"")</f>
        <v/>
      </c>
      <c r="AC84" s="1404">
        <f>SUM(W84:AB84)</f>
        <v/>
      </c>
      <c r="AD84" s="1404">
        <f>IFERROR(AD58/AD71*1.13,"")</f>
        <v/>
      </c>
      <c r="AE84" s="1404">
        <f>IFERROR(AE58/AE71*1.13,"")</f>
        <v/>
      </c>
      <c r="AF84" s="1404">
        <f>IFERROR(AF58/AF71*1.13,"")</f>
        <v/>
      </c>
      <c r="AG84" s="1404">
        <f>IFERROR(AG58/AG71*1.13,"")</f>
        <v/>
      </c>
      <c r="AH84" s="1404">
        <f>IFERROR(AH58/AH71*1.13,"")</f>
        <v/>
      </c>
      <c r="AI84" s="1404">
        <f>IFERROR(AI58/AI71*1.13,"")</f>
        <v/>
      </c>
      <c r="AJ84" s="1404">
        <f>IFERROR(AJ58/AJ71*1.13,"")</f>
        <v/>
      </c>
      <c r="AK84" s="1404">
        <f>IFERROR(AK58/AK71*1.13,"")</f>
        <v/>
      </c>
      <c r="AL84" s="1404">
        <f>IFERROR(AL58/AL71*1.13,"")</f>
        <v/>
      </c>
      <c r="AM84" s="1404">
        <f>IFERROR(AM58/AM71*1.13,"")</f>
        <v/>
      </c>
      <c r="AN84" s="1404">
        <f>IFERROR(AN58/AN71*1.13,"")</f>
        <v/>
      </c>
      <c r="AO84" s="1404">
        <f>IFERROR(AO58/AO71*1.13,"")</f>
        <v/>
      </c>
      <c r="AP84" s="1404">
        <f>IFERROR(AP58/AP71*1.13,"")</f>
        <v/>
      </c>
      <c r="AQ84" s="1404">
        <f>IFERROR(AQ58/AQ71*1.13,"")</f>
        <v/>
      </c>
      <c r="AR84" s="1404">
        <f>IFERROR(AR58/AR71*1.13,"")</f>
        <v/>
      </c>
      <c r="AS84" s="1404">
        <f>IFERROR(AS58/AS71*1.13,"")</f>
        <v/>
      </c>
      <c r="AT84" s="1404">
        <f>IFERROR(AT58/AT71*1.13,"")</f>
        <v/>
      </c>
      <c r="AU84" s="1404">
        <f>IFERROR(AU58/AU71*1.13,"")</f>
        <v/>
      </c>
      <c r="AV84" s="1404">
        <f>IFERROR(AV58/AV71*1.13,"")</f>
        <v/>
      </c>
      <c r="AW84" s="1404">
        <f>IFERROR(AW58/AW71*1.13,"")</f>
        <v/>
      </c>
      <c r="AX84" s="1404">
        <f>IFERROR(AX58/AX71*1.13,"")</f>
        <v/>
      </c>
      <c r="AY84" s="1404">
        <f>IFERROR(AY58/AY71*1.13,"")</f>
        <v/>
      </c>
      <c r="AZ84" s="1404">
        <f>IFERROR(AZ58/AZ71*1.13,"")</f>
        <v/>
      </c>
      <c r="BA84" s="1404">
        <f>IFERROR(BA58/BA71*1.13,"")</f>
        <v/>
      </c>
      <c r="BB84" s="1404">
        <f>IFERROR(BB58/BB71*1.13,"")</f>
        <v/>
      </c>
      <c r="BC84" s="1404">
        <f>IFERROR(BC58/BC71*1.13,"")</f>
        <v/>
      </c>
      <c r="BD84" s="1404">
        <f>IFERROR(BD58/BD71*1.13,"")</f>
        <v/>
      </c>
      <c r="BE84" s="1404">
        <f>IFERROR(BE58/BE71*1.13,"")</f>
        <v/>
      </c>
      <c r="BF84" s="1404">
        <f>IFERROR(BF58/BF71*1.13,"")</f>
        <v/>
      </c>
      <c r="BG84" s="1404">
        <f>IFERROR(BG58/BG71*1.13,"")</f>
        <v/>
      </c>
      <c r="BH84" s="1404">
        <f>IFERROR(BH58/BH71*1.13,"")</f>
        <v/>
      </c>
      <c r="BI84" s="1404">
        <f>IFERROR(BI58/BI71*1.13,"")</f>
        <v/>
      </c>
      <c r="BJ84" s="1404">
        <f>IFERROR(BJ58/BJ71*1.13,"")</f>
        <v/>
      </c>
      <c r="BK84" s="1404">
        <f>BR84-BY84</f>
        <v/>
      </c>
      <c r="BL84" s="1404">
        <f>BS84-BZ84</f>
        <v/>
      </c>
      <c r="BM84" s="1404">
        <f>BT84-CA84</f>
        <v/>
      </c>
      <c r="BN84" s="1404">
        <f>BU84-CB84</f>
        <v/>
      </c>
      <c r="BO84" s="1404">
        <f>BV84-CC84</f>
        <v/>
      </c>
      <c r="BP84" s="1404">
        <f>BW84-CD84</f>
        <v/>
      </c>
      <c r="BQ84" s="1404">
        <f>SUM(BK84:BP84)</f>
        <v/>
      </c>
      <c r="BR84" s="1404" t="n"/>
      <c r="BS84" s="1404" t="n"/>
      <c r="BT84" s="1404" t="n"/>
      <c r="BU84" s="1404" t="n"/>
      <c r="BV84" s="1404" t="n"/>
      <c r="BW84" s="1404" t="n"/>
      <c r="BX84" s="1404">
        <f>SUM(BR84:BW84)</f>
        <v/>
      </c>
      <c r="BY84" s="1404" t="n"/>
      <c r="BZ84" s="1404" t="n"/>
      <c r="CA84" s="1404" t="n"/>
      <c r="CB84" s="1404" t="n"/>
      <c r="CC84" s="1404" t="n"/>
      <c r="CD84" s="1404" t="n"/>
      <c r="CE84" s="1404" t="n"/>
      <c r="CF84" s="1404" t="n"/>
      <c r="CG84" s="1404" t="n"/>
      <c r="CH84" s="1404" t="n"/>
      <c r="CI84" s="1404" t="n"/>
      <c r="CJ84" s="1404" t="n"/>
      <c r="CK84" s="1404">
        <f>SUM(CE84:CJ84)</f>
        <v/>
      </c>
    </row>
    <row r="85">
      <c r="A85" s="384" t="n"/>
      <c r="B85" s="384" t="n"/>
      <c r="C85" s="384" t="n"/>
      <c r="D85" s="384" t="n"/>
      <c r="E85" s="384" t="n"/>
      <c r="F85" s="384" t="n"/>
      <c r="G85" s="384" t="n"/>
      <c r="H85" s="384" t="n"/>
      <c r="I85" s="384" t="n"/>
      <c r="J85" s="384" t="n"/>
      <c r="K85" s="384" t="n"/>
      <c r="L85" s="384" t="n"/>
      <c r="M85" s="384" t="n"/>
      <c r="N85" s="384" t="n"/>
      <c r="O85" s="384" t="n"/>
      <c r="P85" s="384" t="n"/>
      <c r="Q85" s="384" t="n"/>
      <c r="R85" s="442" t="inlineStr">
        <is>
          <t xml:space="preserve">    其他交易电电价</t>
        </is>
      </c>
      <c r="S85" s="1403" t="inlineStr"/>
      <c r="T85" s="1403" t="inlineStr">
        <is>
          <t>元/千千瓦时</t>
        </is>
      </c>
      <c r="U85" s="197" t="inlineStr">
        <is>
          <t>A02702020204</t>
        </is>
      </c>
      <c r="V85" s="32">
        <f>IF(_epmOfflineCondition_,"A02702020204",EPMOlapMemberO(U85,"[C_ACCOUNT].[PARENTH1].[A02702020204]","A02702020204 -     其他交易电电价","","000"))</f>
        <v/>
      </c>
      <c r="W85" s="1404">
        <f>IFERROR(W59/W72*1.13,"")</f>
        <v/>
      </c>
      <c r="X85" s="1404">
        <f>IFERROR(X59/X72*1.13,"")</f>
        <v/>
      </c>
      <c r="Y85" s="1404">
        <f>IFERROR(Y59/Y72*1.13,"")</f>
        <v/>
      </c>
      <c r="Z85" s="1404">
        <f>IFERROR(Z59/Z72*1.13,"")</f>
        <v/>
      </c>
      <c r="AA85" s="1404">
        <f>IFERROR(AA59/AA72*1.13,"")</f>
        <v/>
      </c>
      <c r="AB85" s="1404">
        <f>IFERROR(AB59/AB72*1.13,"")</f>
        <v/>
      </c>
      <c r="AC85" s="1404">
        <f>SUM(W85:AB85)</f>
        <v/>
      </c>
      <c r="AD85" s="1404">
        <f>IFERROR(AD59/AD72*1.13,"")</f>
        <v/>
      </c>
      <c r="AE85" s="1404">
        <f>IFERROR(AE59/AE72*1.13,"")</f>
        <v/>
      </c>
      <c r="AF85" s="1404">
        <f>IFERROR(AF59/AF72*1.13,"")</f>
        <v/>
      </c>
      <c r="AG85" s="1404">
        <f>IFERROR(AG59/AG72*1.13,"")</f>
        <v/>
      </c>
      <c r="AH85" s="1404">
        <f>IFERROR(AH59/AH72*1.13,"")</f>
        <v/>
      </c>
      <c r="AI85" s="1404">
        <f>IFERROR(AI59/AI72*1.13,"")</f>
        <v/>
      </c>
      <c r="AJ85" s="1404">
        <f>IFERROR(AJ59/AJ72*1.13,"")</f>
        <v/>
      </c>
      <c r="AK85" s="1404">
        <f>IFERROR(AK59/AK72*1.13,"")</f>
        <v/>
      </c>
      <c r="AL85" s="1404">
        <f>IFERROR(AL59/AL72*1.13,"")</f>
        <v/>
      </c>
      <c r="AM85" s="1404">
        <f>IFERROR(AM59/AM72*1.13,"")</f>
        <v/>
      </c>
      <c r="AN85" s="1404">
        <f>IFERROR(AN59/AN72*1.13,"")</f>
        <v/>
      </c>
      <c r="AO85" s="1404">
        <f>IFERROR(AO59/AO72*1.13,"")</f>
        <v/>
      </c>
      <c r="AP85" s="1404">
        <f>IFERROR(AP59/AP72*1.13,"")</f>
        <v/>
      </c>
      <c r="AQ85" s="1404">
        <f>IFERROR(AQ59/AQ72*1.13,"")</f>
        <v/>
      </c>
      <c r="AR85" s="1404">
        <f>IFERROR(AR59/AR72*1.13,"")</f>
        <v/>
      </c>
      <c r="AS85" s="1404">
        <f>IFERROR(AS59/AS72*1.13,"")</f>
        <v/>
      </c>
      <c r="AT85" s="1404">
        <f>IFERROR(AT59/AT72*1.13,"")</f>
        <v/>
      </c>
      <c r="AU85" s="1404">
        <f>IFERROR(AU59/AU72*1.13,"")</f>
        <v/>
      </c>
      <c r="AV85" s="1404">
        <f>IFERROR(AV59/AV72*1.13,"")</f>
        <v/>
      </c>
      <c r="AW85" s="1404">
        <f>IFERROR(AW59/AW72*1.13,"")</f>
        <v/>
      </c>
      <c r="AX85" s="1404">
        <f>IFERROR(AX59/AX72*1.13,"")</f>
        <v/>
      </c>
      <c r="AY85" s="1404">
        <f>IFERROR(AY59/AY72*1.13,"")</f>
        <v/>
      </c>
      <c r="AZ85" s="1404">
        <f>IFERROR(AZ59/AZ72*1.13,"")</f>
        <v/>
      </c>
      <c r="BA85" s="1404">
        <f>IFERROR(BA59/BA72*1.13,"")</f>
        <v/>
      </c>
      <c r="BB85" s="1404">
        <f>IFERROR(BB59/BB72*1.13,"")</f>
        <v/>
      </c>
      <c r="BC85" s="1404">
        <f>IFERROR(BC59/BC72*1.13,"")</f>
        <v/>
      </c>
      <c r="BD85" s="1404">
        <f>IFERROR(BD59/BD72*1.13,"")</f>
        <v/>
      </c>
      <c r="BE85" s="1404">
        <f>IFERROR(BE59/BE72*1.13,"")</f>
        <v/>
      </c>
      <c r="BF85" s="1404">
        <f>IFERROR(BF59/BF72*1.13,"")</f>
        <v/>
      </c>
      <c r="BG85" s="1404">
        <f>IFERROR(BG59/BG72*1.13,"")</f>
        <v/>
      </c>
      <c r="BH85" s="1404">
        <f>IFERROR(BH59/BH72*1.13,"")</f>
        <v/>
      </c>
      <c r="BI85" s="1404">
        <f>IFERROR(BI59/BI72*1.13,"")</f>
        <v/>
      </c>
      <c r="BJ85" s="1404">
        <f>IFERROR(BJ59/BJ72*1.13,"")</f>
        <v/>
      </c>
      <c r="BK85" s="1404">
        <f>BR85-BY85</f>
        <v/>
      </c>
      <c r="BL85" s="1404">
        <f>BS85-BZ85</f>
        <v/>
      </c>
      <c r="BM85" s="1404">
        <f>BT85-CA85</f>
        <v/>
      </c>
      <c r="BN85" s="1404">
        <f>BU85-CB85</f>
        <v/>
      </c>
      <c r="BO85" s="1404">
        <f>BV85-CC85</f>
        <v/>
      </c>
      <c r="BP85" s="1404">
        <f>BW85-CD85</f>
        <v/>
      </c>
      <c r="BQ85" s="1404">
        <f>SUM(BK85:BP85)</f>
        <v/>
      </c>
      <c r="BR85" s="1404" t="n"/>
      <c r="BS85" s="1404" t="n"/>
      <c r="BT85" s="1404" t="n"/>
      <c r="BU85" s="1404" t="n"/>
      <c r="BV85" s="1404" t="n"/>
      <c r="BW85" s="1404" t="n"/>
      <c r="BX85" s="1404">
        <f>SUM(BR85:BW85)</f>
        <v/>
      </c>
      <c r="BY85" s="1404" t="n"/>
      <c r="BZ85" s="1404" t="n"/>
      <c r="CA85" s="1404" t="n"/>
      <c r="CB85" s="1404" t="n"/>
      <c r="CC85" s="1404" t="n"/>
      <c r="CD85" s="1404" t="n"/>
      <c r="CE85" s="1404" t="n"/>
      <c r="CF85" s="1404" t="n"/>
      <c r="CG85" s="1404" t="n"/>
      <c r="CH85" s="1404" t="n"/>
      <c r="CI85" s="1404" t="n"/>
      <c r="CJ85" s="1404" t="n"/>
      <c r="CK85" s="1404">
        <f>SUM(CE85:CJ85)</f>
        <v/>
      </c>
    </row>
    <row r="86">
      <c r="A86" s="384" t="n"/>
      <c r="B86" s="384" t="n"/>
      <c r="C86" s="384" t="n"/>
      <c r="D86" s="384" t="n"/>
      <c r="E86" s="384" t="n"/>
      <c r="F86" s="384" t="n"/>
      <c r="G86" s="384" t="n"/>
      <c r="H86" s="384" t="n"/>
      <c r="I86" s="384" t="n"/>
      <c r="J86" s="384" t="n"/>
      <c r="K86" s="384" t="n"/>
      <c r="L86" s="384" t="n"/>
      <c r="M86" s="384" t="n"/>
      <c r="N86" s="384" t="n"/>
      <c r="O86" s="384" t="n"/>
      <c r="P86" s="384" t="n"/>
      <c r="Q86" s="384" t="n"/>
      <c r="R86" s="423" t="inlineStr">
        <is>
          <t>其他电电价</t>
        </is>
      </c>
      <c r="S86" s="1403" t="inlineStr"/>
      <c r="T86" s="1403" t="inlineStr">
        <is>
          <t>元/千千瓦时</t>
        </is>
      </c>
      <c r="U86" s="197" t="inlineStr">
        <is>
          <t>A027020203</t>
        </is>
      </c>
      <c r="V86" s="32">
        <f>IF(_epmOfflineCondition_,"A027020203",EPMOlapMemberO(U86,"[C_ACCOUNT].[PARENTH1].[A027020203]","A027020203 - 其他电电价","","000"))</f>
        <v/>
      </c>
      <c r="W86" s="1404">
        <f>IFERROR(W60/W73*1.13,"")</f>
        <v/>
      </c>
      <c r="X86" s="1404">
        <f>IFERROR(X60/X73*1.13,"")</f>
        <v/>
      </c>
      <c r="Y86" s="1404">
        <f>IFERROR(Y60/Y73*1.13,"")</f>
        <v/>
      </c>
      <c r="Z86" s="1404">
        <f>IFERROR(Z60/Z73*1.13,"")</f>
        <v/>
      </c>
      <c r="AA86" s="1404">
        <f>IFERROR(AA60/AA73*1.13,"")</f>
        <v/>
      </c>
      <c r="AB86" s="1404">
        <f>IFERROR(AB60/AB73*1.13,"")</f>
        <v/>
      </c>
      <c r="AC86" s="1404">
        <f>SUM(W86:AB86)</f>
        <v/>
      </c>
      <c r="AD86" s="1404">
        <f>IFERROR(AD60/AD73*1.13,"")</f>
        <v/>
      </c>
      <c r="AE86" s="1404">
        <f>IFERROR(AE60/AE73*1.13,"")</f>
        <v/>
      </c>
      <c r="AF86" s="1404">
        <f>IFERROR(AF60/AF73*1.13,"")</f>
        <v/>
      </c>
      <c r="AG86" s="1404">
        <f>IFERROR(AG60/AG73*1.13,"")</f>
        <v/>
      </c>
      <c r="AH86" s="1404">
        <f>IFERROR(AH60/AH73*1.13,"")</f>
        <v/>
      </c>
      <c r="AI86" s="1404">
        <f>IFERROR(AI60/AI73*1.13,"")</f>
        <v/>
      </c>
      <c r="AJ86" s="1404">
        <f>IFERROR(AJ60/AJ73*1.13,"")</f>
        <v/>
      </c>
      <c r="AK86" s="1404">
        <f>IFERROR(AK60/AK73*1.13,"")</f>
        <v/>
      </c>
      <c r="AL86" s="1404">
        <f>IFERROR(AL60/AL73*1.13,"")</f>
        <v/>
      </c>
      <c r="AM86" s="1404">
        <f>IFERROR(AM60/AM73*1.13,"")</f>
        <v/>
      </c>
      <c r="AN86" s="1404">
        <f>IFERROR(AN60/AN73*1.13,"")</f>
        <v/>
      </c>
      <c r="AO86" s="1404">
        <f>IFERROR(AO60/AO73*1.13,"")</f>
        <v/>
      </c>
      <c r="AP86" s="1404">
        <f>IFERROR(AP60/AP73*1.13,"")</f>
        <v/>
      </c>
      <c r="AQ86" s="1404">
        <f>IFERROR(AQ60/AQ73*1.13,"")</f>
        <v/>
      </c>
      <c r="AR86" s="1404">
        <f>IFERROR(AR60/AR73*1.13,"")</f>
        <v/>
      </c>
      <c r="AS86" s="1404">
        <f>IFERROR(AS60/AS73*1.13,"")</f>
        <v/>
      </c>
      <c r="AT86" s="1404">
        <f>IFERROR(AT60/AT73*1.13,"")</f>
        <v/>
      </c>
      <c r="AU86" s="1404">
        <f>IFERROR(AU60/AU73*1.13,"")</f>
        <v/>
      </c>
      <c r="AV86" s="1404">
        <f>IFERROR(AV60/AV73*1.13,"")</f>
        <v/>
      </c>
      <c r="AW86" s="1404">
        <f>IFERROR(AW60/AW73*1.13,"")</f>
        <v/>
      </c>
      <c r="AX86" s="1404">
        <f>IFERROR(AX60/AX73*1.13,"")</f>
        <v/>
      </c>
      <c r="AY86" s="1404">
        <f>IFERROR(AY60/AY73*1.13,"")</f>
        <v/>
      </c>
      <c r="AZ86" s="1404">
        <f>IFERROR(AZ60/AZ73*1.13,"")</f>
        <v/>
      </c>
      <c r="BA86" s="1404">
        <f>IFERROR(BA60/BA73*1.13,"")</f>
        <v/>
      </c>
      <c r="BB86" s="1404">
        <f>IFERROR(BB60/BB73*1.13,"")</f>
        <v/>
      </c>
      <c r="BC86" s="1404">
        <f>IFERROR(BC60/BC73*1.13,"")</f>
        <v/>
      </c>
      <c r="BD86" s="1404">
        <f>IFERROR(BD60/BD73*1.13,"")</f>
        <v/>
      </c>
      <c r="BE86" s="1404">
        <f>IFERROR(BE60/BE73*1.13,"")</f>
        <v/>
      </c>
      <c r="BF86" s="1404">
        <f>IFERROR(BF60/BF73*1.13,"")</f>
        <v/>
      </c>
      <c r="BG86" s="1404">
        <f>IFERROR(BG60/BG73*1.13,"")</f>
        <v/>
      </c>
      <c r="BH86" s="1404">
        <f>IFERROR(BH60/BH73*1.13,"")</f>
        <v/>
      </c>
      <c r="BI86" s="1404">
        <f>IFERROR(BI60/BI73*1.13,"")</f>
        <v/>
      </c>
      <c r="BJ86" s="1404">
        <f>IFERROR(BJ60/BJ73*1.13,"")</f>
        <v/>
      </c>
      <c r="BK86" s="1404">
        <f>BR86-BY86</f>
        <v/>
      </c>
      <c r="BL86" s="1404">
        <f>BS86-BZ86</f>
        <v/>
      </c>
      <c r="BM86" s="1404">
        <f>BT86-CA86</f>
        <v/>
      </c>
      <c r="BN86" s="1404">
        <f>BU86-CB86</f>
        <v/>
      </c>
      <c r="BO86" s="1404">
        <f>BV86-CC86</f>
        <v/>
      </c>
      <c r="BP86" s="1404">
        <f>BW86-CD86</f>
        <v/>
      </c>
      <c r="BQ86" s="1404">
        <f>SUM(BK86:BP86)</f>
        <v/>
      </c>
      <c r="BR86" s="1404" t="n"/>
      <c r="BS86" s="1404" t="n"/>
      <c r="BT86" s="1404" t="n"/>
      <c r="BU86" s="1404" t="n"/>
      <c r="BV86" s="1404" t="n"/>
      <c r="BW86" s="1404" t="n"/>
      <c r="BX86" s="1404">
        <f>SUM(BR86:BW86)</f>
        <v/>
      </c>
      <c r="BY86" s="1404" t="n"/>
      <c r="BZ86" s="1404" t="n"/>
      <c r="CA86" s="1404" t="n"/>
      <c r="CB86" s="1404" t="n"/>
      <c r="CC86" s="1404" t="n"/>
      <c r="CD86" s="1404" t="n"/>
      <c r="CE86" s="1404" t="n"/>
      <c r="CF86" s="1404" t="n"/>
      <c r="CG86" s="1404" t="n"/>
      <c r="CH86" s="1404" t="n"/>
      <c r="CI86" s="1404" t="n"/>
      <c r="CJ86" s="1404" t="n"/>
      <c r="CK86" s="1404">
        <f>SUM(CE86:CJ86)</f>
        <v/>
      </c>
    </row>
    <row r="87">
      <c r="A87" s="384" t="n"/>
      <c r="B87" s="384" t="n"/>
      <c r="C87" s="384" t="n"/>
      <c r="D87" s="384" t="n"/>
      <c r="E87" s="384" t="n"/>
      <c r="F87" s="384" t="n"/>
      <c r="G87" s="384" t="n"/>
      <c r="H87" s="384" t="n"/>
      <c r="I87" s="384" t="n"/>
      <c r="J87" s="384" t="n"/>
      <c r="K87" s="384" t="n"/>
      <c r="L87" s="384" t="n"/>
      <c r="M87" s="384" t="n"/>
      <c r="N87" s="384" t="n"/>
      <c r="O87" s="384" t="n"/>
      <c r="P87" s="384" t="n"/>
      <c r="Q87" s="384" t="n"/>
      <c r="R87" s="422" t="inlineStr">
        <is>
          <t xml:space="preserve"> 二、售热收入</t>
        </is>
      </c>
      <c r="S87" s="1403" t="inlineStr"/>
      <c r="T87" s="1403" t="inlineStr">
        <is>
          <t>元</t>
        </is>
      </c>
      <c r="U87" s="197" t="inlineStr">
        <is>
          <t>A0270102</t>
        </is>
      </c>
      <c r="V87" s="32">
        <f>IF(_epmOfflineCondition_,"A0270102",EPMOlapMemberO(U87,"[C_ACCOUNT].[PARENTH1].[A0270102]","A0270102 -  售热收入","","000"))</f>
        <v/>
      </c>
      <c r="W87" s="1404">
        <f>AD87-AK87</f>
        <v/>
      </c>
      <c r="X87" s="1404">
        <f>AE87-AL87</f>
        <v/>
      </c>
      <c r="Y87" s="1404">
        <f>AF87-AM87</f>
        <v/>
      </c>
      <c r="Z87" s="1404">
        <f>AG87-AN87</f>
        <v/>
      </c>
      <c r="AA87" s="1404">
        <f>AH87-AO87</f>
        <v/>
      </c>
      <c r="AB87" s="1404">
        <f>AI87-AP87</f>
        <v/>
      </c>
      <c r="AC87" s="1404">
        <f>SUM(W87:AB87)</f>
        <v/>
      </c>
      <c r="AD87" s="1404">
        <f>SUM(AD88:AD92)</f>
        <v/>
      </c>
      <c r="AE87" s="1404">
        <f>SUM(AE88:AE92)</f>
        <v/>
      </c>
      <c r="AF87" s="1404">
        <f>SUM(AF88:AF92)</f>
        <v/>
      </c>
      <c r="AG87" s="1404">
        <f>SUM(AG88:AG92)</f>
        <v/>
      </c>
      <c r="AH87" s="1404">
        <f>SUM(AH88:AH92)</f>
        <v/>
      </c>
      <c r="AI87" s="1404">
        <f>SUM(AI88:AI92)</f>
        <v/>
      </c>
      <c r="AJ87" s="1404">
        <f>SUM(AD87:AI87)</f>
        <v/>
      </c>
      <c r="AK87" s="1404">
        <f>SUM(AK88:AK92)</f>
        <v/>
      </c>
      <c r="AL87" s="1404">
        <f>SUM(AL88:AL92)</f>
        <v/>
      </c>
      <c r="AM87" s="1404">
        <f>SUM(AM88:AM92)</f>
        <v/>
      </c>
      <c r="AN87" s="1404">
        <f>SUM(AN88:AN92)</f>
        <v/>
      </c>
      <c r="AO87" s="1404">
        <f>SUM(AO88:AO92)</f>
        <v/>
      </c>
      <c r="AP87" s="1404">
        <f>SUM(AP88:AP92)</f>
        <v/>
      </c>
      <c r="AQ87" s="1404">
        <f>SUM(AQ88:AQ92)</f>
        <v/>
      </c>
      <c r="AR87" s="1404">
        <f>SUM(AR88:AR92)</f>
        <v/>
      </c>
      <c r="AS87" s="1404">
        <f>SUM(AS88:AS92)</f>
        <v/>
      </c>
      <c r="AT87" s="1404">
        <f>SUM(AT88:AT92)</f>
        <v/>
      </c>
      <c r="AU87" s="1404">
        <f>SUM(AU88:AU92)</f>
        <v/>
      </c>
      <c r="AV87" s="1404">
        <f>SUM(AV88:AV92)</f>
        <v/>
      </c>
      <c r="AW87" s="1404">
        <f>AK87-AQ87</f>
        <v/>
      </c>
      <c r="AX87" s="1404">
        <f>AL87-AR87</f>
        <v/>
      </c>
      <c r="AY87" s="1404">
        <f>AM87-AS87</f>
        <v/>
      </c>
      <c r="AZ87" s="1404">
        <f>AN87-AT87</f>
        <v/>
      </c>
      <c r="BA87" s="1404">
        <f>AO87-AU87</f>
        <v/>
      </c>
      <c r="BB87" s="1404">
        <f>AP87-AV87</f>
        <v/>
      </c>
      <c r="BC87" s="1404">
        <f>SUM(AW87:BB87)</f>
        <v/>
      </c>
      <c r="BD87" s="1404" t="n"/>
      <c r="BE87" s="1404" t="n"/>
      <c r="BF87" s="1404" t="n"/>
      <c r="BG87" s="1404" t="n"/>
      <c r="BH87" s="1404" t="n"/>
      <c r="BI87" s="1404" t="n"/>
      <c r="BJ87" s="1404">
        <f>SUM(BC87:BI87)</f>
        <v/>
      </c>
      <c r="BK87" s="1404">
        <f>BR87-BY87</f>
        <v/>
      </c>
      <c r="BL87" s="1404">
        <f>BS87-BZ87</f>
        <v/>
      </c>
      <c r="BM87" s="1404">
        <f>BT87-CA87</f>
        <v/>
      </c>
      <c r="BN87" s="1404">
        <f>BU87-CB87</f>
        <v/>
      </c>
      <c r="BO87" s="1404">
        <f>BV87-CC87</f>
        <v/>
      </c>
      <c r="BP87" s="1404">
        <f>BW87-CD87</f>
        <v/>
      </c>
      <c r="BQ87" s="1404">
        <f>SUM(BK87:BP87)</f>
        <v/>
      </c>
      <c r="BR87" s="1404" t="n"/>
      <c r="BS87" s="1404" t="n"/>
      <c r="BT87" s="1404" t="n"/>
      <c r="BU87" s="1404" t="n"/>
      <c r="BV87" s="1404" t="n"/>
      <c r="BW87" s="1404" t="n"/>
      <c r="BX87" s="1404">
        <f>SUM(BR87:BW87)</f>
        <v/>
      </c>
      <c r="BY87" s="1404" t="n"/>
      <c r="BZ87" s="1404" t="n"/>
      <c r="CA87" s="1404" t="n"/>
      <c r="CB87" s="1404" t="n"/>
      <c r="CC87" s="1404" t="n"/>
      <c r="CD87" s="1404" t="n"/>
      <c r="CE87" s="1404" t="n"/>
      <c r="CF87" s="1404" t="n"/>
      <c r="CG87" s="1404" t="n"/>
      <c r="CH87" s="1404" t="n"/>
      <c r="CI87" s="1404" t="n"/>
      <c r="CJ87" s="1404" t="n"/>
      <c r="CK87" s="1404">
        <f>SUM(CE87:CJ87)</f>
        <v/>
      </c>
    </row>
    <row r="88">
      <c r="A88" s="384" t="n"/>
      <c r="B88" s="384" t="n"/>
      <c r="C88" s="384" t="n"/>
      <c r="D88" s="384" t="n"/>
      <c r="E88" s="384" t="n"/>
      <c r="F88" s="384" t="n"/>
      <c r="G88" s="384" t="n"/>
      <c r="H88" s="384" t="n"/>
      <c r="I88" s="384" t="n"/>
      <c r="J88" s="384" t="n"/>
      <c r="K88" s="384" t="n"/>
      <c r="L88" s="384" t="n"/>
      <c r="M88" s="384" t="n"/>
      <c r="N88" s="384" t="n"/>
      <c r="O88" s="384" t="n"/>
      <c r="P88" s="384" t="n"/>
      <c r="Q88" s="384" t="n"/>
      <c r="R88" s="423" t="inlineStr">
        <is>
          <t>售热收入</t>
        </is>
      </c>
      <c r="S88" s="1403" t="inlineStr"/>
      <c r="T88" s="1403" t="inlineStr">
        <is>
          <t>元</t>
        </is>
      </c>
      <c r="U88" s="197" t="inlineStr">
        <is>
          <t>A027010201</t>
        </is>
      </c>
      <c r="V88" s="32">
        <f>IF(_epmOfflineCondition_,"A027010201",EPMOlapMemberO(U88,"[C_ACCOUNT].[PARENTH1].[A027010201]","A027010201 - 售热收入","","000"))</f>
        <v/>
      </c>
      <c r="W88" s="1404">
        <f>AD88-AK88</f>
        <v/>
      </c>
      <c r="X88" s="1404">
        <f>AE88-AL88</f>
        <v/>
      </c>
      <c r="Y88" s="1404">
        <f>AF88-AM88</f>
        <v/>
      </c>
      <c r="Z88" s="1404">
        <f>AG88-AN88</f>
        <v/>
      </c>
      <c r="AA88" s="1404">
        <f>AH88-AO88</f>
        <v/>
      </c>
      <c r="AB88" s="1404">
        <f>AI88-AP88</f>
        <v/>
      </c>
      <c r="AC88" s="1404">
        <f>SUM(W88:AB88)</f>
        <v/>
      </c>
      <c r="AD88" s="1405" t="n"/>
      <c r="AE88" s="1405" t="n"/>
      <c r="AF88" s="1405" t="n"/>
      <c r="AG88" s="1405" t="n"/>
      <c r="AH88" s="1405" t="n"/>
      <c r="AI88" s="1405" t="n"/>
      <c r="AJ88" s="1404">
        <f>SUM(AD88:AI88)</f>
        <v/>
      </c>
      <c r="AK88" s="1404" t="n"/>
      <c r="AL88" s="1404" t="n"/>
      <c r="AM88" s="1404" t="n"/>
      <c r="AN88" s="1404" t="n"/>
      <c r="AO88" s="1404" t="n"/>
      <c r="AP88" s="1404" t="n"/>
      <c r="AQ88" s="1404" t="n"/>
      <c r="AR88" s="1404" t="n"/>
      <c r="AS88" s="1404" t="n"/>
      <c r="AT88" s="1404" t="n"/>
      <c r="AU88" s="1404" t="n"/>
      <c r="AV88" s="1404" t="n"/>
      <c r="AW88" s="1404">
        <f>AK88-AQ88</f>
        <v/>
      </c>
      <c r="AX88" s="1404">
        <f>AL88-AR88</f>
        <v/>
      </c>
      <c r="AY88" s="1404">
        <f>AM88-AS88</f>
        <v/>
      </c>
      <c r="AZ88" s="1404">
        <f>AN88-AT88</f>
        <v/>
      </c>
      <c r="BA88" s="1404">
        <f>AO88-AU88</f>
        <v/>
      </c>
      <c r="BB88" s="1404">
        <f>AP88-AV88</f>
        <v/>
      </c>
      <c r="BC88" s="1404">
        <f>SUM(AW88:BB88)</f>
        <v/>
      </c>
      <c r="BD88" s="1404" t="n"/>
      <c r="BE88" s="1404" t="n"/>
      <c r="BF88" s="1404" t="n"/>
      <c r="BG88" s="1404" t="n"/>
      <c r="BH88" s="1404" t="n"/>
      <c r="BI88" s="1404" t="n"/>
      <c r="BJ88" s="1404">
        <f>SUM(BC88:BI88)</f>
        <v/>
      </c>
      <c r="BK88" s="1404">
        <f>BR88-BY88</f>
        <v/>
      </c>
      <c r="BL88" s="1404">
        <f>BS88-BZ88</f>
        <v/>
      </c>
      <c r="BM88" s="1404">
        <f>BT88-CA88</f>
        <v/>
      </c>
      <c r="BN88" s="1404">
        <f>BU88-CB88</f>
        <v/>
      </c>
      <c r="BO88" s="1404">
        <f>BV88-CC88</f>
        <v/>
      </c>
      <c r="BP88" s="1404">
        <f>BW88-CD88</f>
        <v/>
      </c>
      <c r="BQ88" s="1404">
        <f>SUM(BK88:BP88)</f>
        <v/>
      </c>
      <c r="BR88" s="1404" t="n"/>
      <c r="BS88" s="1404" t="n"/>
      <c r="BT88" s="1404" t="n"/>
      <c r="BU88" s="1404" t="n"/>
      <c r="BV88" s="1404" t="n"/>
      <c r="BW88" s="1404" t="n"/>
      <c r="BX88" s="1404">
        <f>SUM(BR88:BW88)</f>
        <v/>
      </c>
      <c r="BY88" s="1404" t="n"/>
      <c r="BZ88" s="1404" t="n"/>
      <c r="CA88" s="1404" t="n"/>
      <c r="CB88" s="1404" t="n"/>
      <c r="CC88" s="1404" t="n"/>
      <c r="CD88" s="1404" t="n"/>
      <c r="CE88" s="1404" t="n"/>
      <c r="CF88" s="1404" t="n"/>
      <c r="CG88" s="1404" t="n"/>
      <c r="CH88" s="1404" t="n"/>
      <c r="CI88" s="1404" t="n"/>
      <c r="CJ88" s="1404" t="n"/>
      <c r="CK88" s="1404">
        <f>SUM(CE88:CJ88)</f>
        <v/>
      </c>
    </row>
    <row r="89">
      <c r="A89" s="384" t="n"/>
      <c r="B89" s="384" t="n"/>
      <c r="C89" s="384" t="n"/>
      <c r="D89" s="384" t="n"/>
      <c r="E89" s="384" t="n"/>
      <c r="F89" s="384" t="n"/>
      <c r="G89" s="384" t="n"/>
      <c r="H89" s="384" t="n"/>
      <c r="I89" s="384" t="n"/>
      <c r="J89" s="384" t="n"/>
      <c r="K89" s="384" t="n"/>
      <c r="L89" s="384" t="n"/>
      <c r="M89" s="384" t="n"/>
      <c r="N89" s="384" t="n"/>
      <c r="O89" s="384" t="n"/>
      <c r="P89" s="384" t="n"/>
      <c r="Q89" s="384" t="n"/>
      <c r="R89" s="423" t="inlineStr">
        <is>
          <t>冷费收入</t>
        </is>
      </c>
      <c r="S89" s="1403" t="inlineStr"/>
      <c r="T89" s="1403" t="inlineStr">
        <is>
          <t>元</t>
        </is>
      </c>
      <c r="U89" s="197" t="inlineStr">
        <is>
          <t>A027010202</t>
        </is>
      </c>
      <c r="V89" s="32">
        <f>IF(_epmOfflineCondition_,"A027010202",EPMOlapMemberO(U89,"[C_ACCOUNT].[PARENTH1].[A027010202]","A027010202 - 冷费收入","","000"))</f>
        <v/>
      </c>
      <c r="W89" s="1404">
        <f>AD89-AK89</f>
        <v/>
      </c>
      <c r="X89" s="1404">
        <f>AE89-AL89</f>
        <v/>
      </c>
      <c r="Y89" s="1404">
        <f>AF89-AM89</f>
        <v/>
      </c>
      <c r="Z89" s="1404">
        <f>AG89-AN89</f>
        <v/>
      </c>
      <c r="AA89" s="1404">
        <f>AH89-AO89</f>
        <v/>
      </c>
      <c r="AB89" s="1404">
        <f>AI89-AP89</f>
        <v/>
      </c>
      <c r="AC89" s="1404">
        <f>SUM(W89:AB89)</f>
        <v/>
      </c>
      <c r="AD89" s="1405" t="n"/>
      <c r="AE89" s="1405" t="n"/>
      <c r="AF89" s="1405" t="n"/>
      <c r="AG89" s="1405" t="n"/>
      <c r="AH89" s="1405" t="n"/>
      <c r="AI89" s="1405" t="n"/>
      <c r="AJ89" s="1404">
        <f>SUM(AD89:AI89)</f>
        <v/>
      </c>
      <c r="AK89" s="1404" t="n"/>
      <c r="AL89" s="1404" t="n"/>
      <c r="AM89" s="1404" t="n"/>
      <c r="AN89" s="1404" t="n"/>
      <c r="AO89" s="1404" t="n"/>
      <c r="AP89" s="1404" t="n"/>
      <c r="AQ89" s="1404" t="n"/>
      <c r="AR89" s="1404" t="n"/>
      <c r="AS89" s="1404" t="n"/>
      <c r="AT89" s="1404" t="n"/>
      <c r="AU89" s="1404" t="n"/>
      <c r="AV89" s="1404" t="n"/>
      <c r="AW89" s="1404">
        <f>AK89-AQ89</f>
        <v/>
      </c>
      <c r="AX89" s="1404">
        <f>AL89-AR89</f>
        <v/>
      </c>
      <c r="AY89" s="1404">
        <f>AM89-AS89</f>
        <v/>
      </c>
      <c r="AZ89" s="1404">
        <f>AN89-AT89</f>
        <v/>
      </c>
      <c r="BA89" s="1404">
        <f>AO89-AU89</f>
        <v/>
      </c>
      <c r="BB89" s="1404">
        <f>AP89-AV89</f>
        <v/>
      </c>
      <c r="BC89" s="1404">
        <f>SUM(AW89:BB89)</f>
        <v/>
      </c>
      <c r="BD89" s="1404" t="n"/>
      <c r="BE89" s="1404" t="n"/>
      <c r="BF89" s="1404" t="n"/>
      <c r="BG89" s="1404" t="n"/>
      <c r="BH89" s="1404" t="n"/>
      <c r="BI89" s="1404" t="n"/>
      <c r="BJ89" s="1404">
        <f>SUM(BC89:BI89)</f>
        <v/>
      </c>
      <c r="BK89" s="1404">
        <f>BR89-BY89</f>
        <v/>
      </c>
      <c r="BL89" s="1404">
        <f>BS89-BZ89</f>
        <v/>
      </c>
      <c r="BM89" s="1404">
        <f>BT89-CA89</f>
        <v/>
      </c>
      <c r="BN89" s="1404">
        <f>BU89-CB89</f>
        <v/>
      </c>
      <c r="BO89" s="1404">
        <f>BV89-CC89</f>
        <v/>
      </c>
      <c r="BP89" s="1404">
        <f>BW89-CD89</f>
        <v/>
      </c>
      <c r="BQ89" s="1404">
        <f>SUM(BK89:BP89)</f>
        <v/>
      </c>
      <c r="BR89" s="1404" t="n"/>
      <c r="BS89" s="1404" t="n"/>
      <c r="BT89" s="1404" t="n"/>
      <c r="BU89" s="1404" t="n"/>
      <c r="BV89" s="1404" t="n"/>
      <c r="BW89" s="1404" t="n"/>
      <c r="BX89" s="1404">
        <f>SUM(BR89:BW89)</f>
        <v/>
      </c>
      <c r="BY89" s="1404" t="n"/>
      <c r="BZ89" s="1404" t="n"/>
      <c r="CA89" s="1404" t="n"/>
      <c r="CB89" s="1404" t="n"/>
      <c r="CC89" s="1404" t="n"/>
      <c r="CD89" s="1404" t="n"/>
      <c r="CE89" s="1404" t="n"/>
      <c r="CF89" s="1404" t="n"/>
      <c r="CG89" s="1404" t="n"/>
      <c r="CH89" s="1404" t="n"/>
      <c r="CI89" s="1404" t="n"/>
      <c r="CJ89" s="1404" t="n"/>
      <c r="CK89" s="1404">
        <f>SUM(CE89:CJ89)</f>
        <v/>
      </c>
    </row>
    <row r="90">
      <c r="A90" s="384" t="n"/>
      <c r="B90" s="384" t="n"/>
      <c r="C90" s="384" t="n"/>
      <c r="D90" s="384" t="n"/>
      <c r="E90" s="384" t="n"/>
      <c r="F90" s="384" t="n"/>
      <c r="G90" s="384" t="n"/>
      <c r="H90" s="384" t="n"/>
      <c r="I90" s="384" t="n"/>
      <c r="J90" s="384" t="n"/>
      <c r="K90" s="384" t="n"/>
      <c r="L90" s="384" t="n"/>
      <c r="M90" s="384" t="n"/>
      <c r="N90" s="384" t="n"/>
      <c r="O90" s="384" t="n"/>
      <c r="P90" s="384" t="n"/>
      <c r="Q90" s="384" t="n"/>
      <c r="R90" s="423" t="inlineStr">
        <is>
          <t>售汽收入</t>
        </is>
      </c>
      <c r="S90" s="1403" t="inlineStr"/>
      <c r="T90" s="1403" t="inlineStr">
        <is>
          <t>元</t>
        </is>
      </c>
      <c r="U90" s="197" t="inlineStr">
        <is>
          <t>A027010203</t>
        </is>
      </c>
      <c r="V90" s="32">
        <f>IF(_epmOfflineCondition_,"A027010203",EPMOlapMemberO(U90,"[C_ACCOUNT].[PARENTH1].[A027010203]","A027010203 - 售汽收入","","000"))</f>
        <v/>
      </c>
      <c r="W90" s="1404">
        <f>AD90-AK90</f>
        <v/>
      </c>
      <c r="X90" s="1404">
        <f>AE90-AL90</f>
        <v/>
      </c>
      <c r="Y90" s="1404">
        <f>AF90-AM90</f>
        <v/>
      </c>
      <c r="Z90" s="1404">
        <f>AG90-AN90</f>
        <v/>
      </c>
      <c r="AA90" s="1404">
        <f>AH90-AO90</f>
        <v/>
      </c>
      <c r="AB90" s="1404">
        <f>AI90-AP90</f>
        <v/>
      </c>
      <c r="AC90" s="1404">
        <f>SUM(W90:AB90)</f>
        <v/>
      </c>
      <c r="AD90" s="1405" t="n"/>
      <c r="AE90" s="1405" t="n"/>
      <c r="AF90" s="1405" t="n"/>
      <c r="AG90" s="1405" t="n"/>
      <c r="AH90" s="1405" t="n"/>
      <c r="AI90" s="1405" t="n"/>
      <c r="AJ90" s="1404">
        <f>SUM(AD90:AI90)</f>
        <v/>
      </c>
      <c r="AK90" s="1404" t="n"/>
      <c r="AL90" s="1404" t="n"/>
      <c r="AM90" s="1404" t="n"/>
      <c r="AN90" s="1404" t="n"/>
      <c r="AO90" s="1404" t="n"/>
      <c r="AP90" s="1404" t="n"/>
      <c r="AQ90" s="1404" t="n"/>
      <c r="AR90" s="1404" t="n"/>
      <c r="AS90" s="1404" t="n"/>
      <c r="AT90" s="1404" t="n"/>
      <c r="AU90" s="1404" t="n"/>
      <c r="AV90" s="1404" t="n"/>
      <c r="AW90" s="1404">
        <f>AK90-AQ90</f>
        <v/>
      </c>
      <c r="AX90" s="1404">
        <f>AL90-AR90</f>
        <v/>
      </c>
      <c r="AY90" s="1404">
        <f>AM90-AS90</f>
        <v/>
      </c>
      <c r="AZ90" s="1404">
        <f>AN90-AT90</f>
        <v/>
      </c>
      <c r="BA90" s="1404">
        <f>AO90-AU90</f>
        <v/>
      </c>
      <c r="BB90" s="1404">
        <f>AP90-AV90</f>
        <v/>
      </c>
      <c r="BC90" s="1404">
        <f>SUM(AW90:BB90)</f>
        <v/>
      </c>
      <c r="BD90" s="1404" t="n"/>
      <c r="BE90" s="1404" t="n"/>
      <c r="BF90" s="1404" t="n"/>
      <c r="BG90" s="1404" t="n"/>
      <c r="BH90" s="1404" t="n"/>
      <c r="BI90" s="1404" t="n"/>
      <c r="BJ90" s="1404">
        <f>SUM(BC90:BI90)</f>
        <v/>
      </c>
      <c r="BK90" s="1404">
        <f>BR90-BY90</f>
        <v/>
      </c>
      <c r="BL90" s="1404">
        <f>BS90-BZ90</f>
        <v/>
      </c>
      <c r="BM90" s="1404">
        <f>BT90-CA90</f>
        <v/>
      </c>
      <c r="BN90" s="1404">
        <f>BU90-CB90</f>
        <v/>
      </c>
      <c r="BO90" s="1404">
        <f>BV90-CC90</f>
        <v/>
      </c>
      <c r="BP90" s="1404">
        <f>BW90-CD90</f>
        <v/>
      </c>
      <c r="BQ90" s="1404">
        <f>SUM(BK90:BP90)</f>
        <v/>
      </c>
      <c r="BR90" s="1404" t="n"/>
      <c r="BS90" s="1404" t="n"/>
      <c r="BT90" s="1404" t="n"/>
      <c r="BU90" s="1404" t="n"/>
      <c r="BV90" s="1404" t="n"/>
      <c r="BW90" s="1404" t="n"/>
      <c r="BX90" s="1404">
        <f>SUM(BR90:BW90)</f>
        <v/>
      </c>
      <c r="BY90" s="1404" t="n"/>
      <c r="BZ90" s="1404" t="n"/>
      <c r="CA90" s="1404" t="n"/>
      <c r="CB90" s="1404" t="n"/>
      <c r="CC90" s="1404" t="n"/>
      <c r="CD90" s="1404" t="n"/>
      <c r="CE90" s="1404" t="n"/>
      <c r="CF90" s="1404" t="n"/>
      <c r="CG90" s="1404" t="n"/>
      <c r="CH90" s="1404" t="n"/>
      <c r="CI90" s="1404" t="n"/>
      <c r="CJ90" s="1404" t="n"/>
      <c r="CK90" s="1404">
        <f>SUM(CE90:CJ90)</f>
        <v/>
      </c>
    </row>
    <row r="91">
      <c r="A91" s="384" t="n"/>
      <c r="B91" s="384" t="n"/>
      <c r="C91" s="384" t="n"/>
      <c r="D91" s="384" t="n"/>
      <c r="E91" s="384" t="n"/>
      <c r="F91" s="384" t="n"/>
      <c r="G91" s="384" t="n"/>
      <c r="H91" s="384" t="n"/>
      <c r="I91" s="384" t="n"/>
      <c r="J91" s="384" t="n"/>
      <c r="K91" s="384" t="n"/>
      <c r="L91" s="384" t="n"/>
      <c r="M91" s="384" t="n"/>
      <c r="N91" s="384" t="n"/>
      <c r="O91" s="384" t="n"/>
      <c r="P91" s="384" t="n"/>
      <c r="Q91" s="384" t="n"/>
      <c r="R91" s="423" t="inlineStr">
        <is>
          <t>回水收入</t>
        </is>
      </c>
      <c r="S91" s="1403" t="inlineStr"/>
      <c r="T91" s="1403" t="inlineStr">
        <is>
          <t>元</t>
        </is>
      </c>
      <c r="U91" s="197" t="inlineStr">
        <is>
          <t>A027010204</t>
        </is>
      </c>
      <c r="V91" s="32">
        <f>IF(_epmOfflineCondition_,"A027010204",EPMOlapMemberO(U91,"[C_ACCOUNT].[PARENTH1].[A027010204]","A027010204 - 回水收入","","000"))</f>
        <v/>
      </c>
      <c r="W91" s="1404">
        <f>AD91-AK91</f>
        <v/>
      </c>
      <c r="X91" s="1404">
        <f>AE91-AL91</f>
        <v/>
      </c>
      <c r="Y91" s="1404">
        <f>AF91-AM91</f>
        <v/>
      </c>
      <c r="Z91" s="1404">
        <f>AG91-AN91</f>
        <v/>
      </c>
      <c r="AA91" s="1404">
        <f>AH91-AO91</f>
        <v/>
      </c>
      <c r="AB91" s="1404">
        <f>AI91-AP91</f>
        <v/>
      </c>
      <c r="AC91" s="1404">
        <f>SUM(W91:AB91)</f>
        <v/>
      </c>
      <c r="AD91" s="1405" t="n"/>
      <c r="AE91" s="1405" t="n"/>
      <c r="AF91" s="1405" t="n"/>
      <c r="AG91" s="1405" t="n"/>
      <c r="AH91" s="1405" t="n"/>
      <c r="AI91" s="1405" t="n"/>
      <c r="AJ91" s="1404">
        <f>SUM(AD91:AI91)</f>
        <v/>
      </c>
      <c r="AK91" s="1404" t="n"/>
      <c r="AL91" s="1404" t="n"/>
      <c r="AM91" s="1404" t="n"/>
      <c r="AN91" s="1404" t="n"/>
      <c r="AO91" s="1404" t="n"/>
      <c r="AP91" s="1404" t="n"/>
      <c r="AQ91" s="1404" t="n"/>
      <c r="AR91" s="1404" t="n"/>
      <c r="AS91" s="1404" t="n"/>
      <c r="AT91" s="1404" t="n"/>
      <c r="AU91" s="1404" t="n"/>
      <c r="AV91" s="1404" t="n"/>
      <c r="AW91" s="1404">
        <f>AK91-AQ91</f>
        <v/>
      </c>
      <c r="AX91" s="1404">
        <f>AL91-AR91</f>
        <v/>
      </c>
      <c r="AY91" s="1404">
        <f>AM91-AS91</f>
        <v/>
      </c>
      <c r="AZ91" s="1404">
        <f>AN91-AT91</f>
        <v/>
      </c>
      <c r="BA91" s="1404">
        <f>AO91-AU91</f>
        <v/>
      </c>
      <c r="BB91" s="1404">
        <f>AP91-AV91</f>
        <v/>
      </c>
      <c r="BC91" s="1404">
        <f>SUM(AW91:BB91)</f>
        <v/>
      </c>
      <c r="BD91" s="1404" t="n"/>
      <c r="BE91" s="1404" t="n"/>
      <c r="BF91" s="1404" t="n"/>
      <c r="BG91" s="1404" t="n"/>
      <c r="BH91" s="1404" t="n"/>
      <c r="BI91" s="1404" t="n"/>
      <c r="BJ91" s="1404">
        <f>SUM(BC91:BI91)</f>
        <v/>
      </c>
      <c r="BK91" s="1404">
        <f>BR91-BY91</f>
        <v/>
      </c>
      <c r="BL91" s="1404">
        <f>BS91-BZ91</f>
        <v/>
      </c>
      <c r="BM91" s="1404">
        <f>BT91-CA91</f>
        <v/>
      </c>
      <c r="BN91" s="1404">
        <f>BU91-CB91</f>
        <v/>
      </c>
      <c r="BO91" s="1404">
        <f>BV91-CC91</f>
        <v/>
      </c>
      <c r="BP91" s="1404">
        <f>BW91-CD91</f>
        <v/>
      </c>
      <c r="BQ91" s="1404">
        <f>SUM(BK91:BP91)</f>
        <v/>
      </c>
      <c r="BR91" s="1404" t="n"/>
      <c r="BS91" s="1404" t="n"/>
      <c r="BT91" s="1404" t="n"/>
      <c r="BU91" s="1404" t="n"/>
      <c r="BV91" s="1404" t="n"/>
      <c r="BW91" s="1404" t="n"/>
      <c r="BX91" s="1404">
        <f>SUM(BR91:BW91)</f>
        <v/>
      </c>
      <c r="BY91" s="1404" t="n"/>
      <c r="BZ91" s="1404" t="n"/>
      <c r="CA91" s="1404" t="n"/>
      <c r="CB91" s="1404" t="n"/>
      <c r="CC91" s="1404" t="n"/>
      <c r="CD91" s="1404" t="n"/>
      <c r="CE91" s="1404" t="n"/>
      <c r="CF91" s="1404" t="n"/>
      <c r="CG91" s="1404" t="n"/>
      <c r="CH91" s="1404" t="n"/>
      <c r="CI91" s="1404" t="n"/>
      <c r="CJ91" s="1404" t="n"/>
      <c r="CK91" s="1404">
        <f>SUM(CE91:CJ91)</f>
        <v/>
      </c>
    </row>
    <row r="92">
      <c r="A92" s="384" t="n"/>
      <c r="B92" s="384" t="n"/>
      <c r="C92" s="384" t="n"/>
      <c r="D92" s="384" t="n"/>
      <c r="E92" s="384" t="n"/>
      <c r="F92" s="384" t="n"/>
      <c r="G92" s="384" t="n"/>
      <c r="H92" s="384" t="n"/>
      <c r="I92" s="384" t="n"/>
      <c r="J92" s="384" t="n"/>
      <c r="K92" s="384" t="n"/>
      <c r="L92" s="384" t="n"/>
      <c r="M92" s="384" t="n"/>
      <c r="N92" s="384" t="n"/>
      <c r="O92" s="384" t="n"/>
      <c r="P92" s="384" t="n"/>
      <c r="Q92" s="384" t="n"/>
      <c r="R92" s="423" t="inlineStr">
        <is>
          <t>其他</t>
        </is>
      </c>
      <c r="S92" s="1403" t="inlineStr"/>
      <c r="T92" s="1403" t="inlineStr">
        <is>
          <t>元</t>
        </is>
      </c>
      <c r="U92" s="197" t="inlineStr">
        <is>
          <t>A027010205</t>
        </is>
      </c>
      <c r="V92" s="32">
        <f>IF(_epmOfflineCondition_,"A027010205",EPMOlapMemberO(U92,"[C_ACCOUNT].[PARENTH1].[A027010205]","A027010205 - 其他","","000"))</f>
        <v/>
      </c>
      <c r="W92" s="1404">
        <f>AD92-AK92</f>
        <v/>
      </c>
      <c r="X92" s="1404">
        <f>AE92-AL92</f>
        <v/>
      </c>
      <c r="Y92" s="1404">
        <f>AF92-AM92</f>
        <v/>
      </c>
      <c r="Z92" s="1404">
        <f>AG92-AN92</f>
        <v/>
      </c>
      <c r="AA92" s="1404">
        <f>AH92-AO92</f>
        <v/>
      </c>
      <c r="AB92" s="1404">
        <f>AI92-AP92</f>
        <v/>
      </c>
      <c r="AC92" s="1404">
        <f>SUM(W92:AB92)</f>
        <v/>
      </c>
      <c r="AD92" s="1405" t="n"/>
      <c r="AE92" s="1405" t="n"/>
      <c r="AF92" s="1405" t="n"/>
      <c r="AG92" s="1405" t="n"/>
      <c r="AH92" s="1405" t="n"/>
      <c r="AI92" s="1405" t="n"/>
      <c r="AJ92" s="1404">
        <f>SUM(AD92:AI92)</f>
        <v/>
      </c>
      <c r="AK92" s="1404" t="n"/>
      <c r="AL92" s="1404" t="n"/>
      <c r="AM92" s="1404" t="n"/>
      <c r="AN92" s="1404" t="n"/>
      <c r="AO92" s="1404" t="n"/>
      <c r="AP92" s="1404" t="n"/>
      <c r="AQ92" s="1404" t="n"/>
      <c r="AR92" s="1404" t="n"/>
      <c r="AS92" s="1404" t="n"/>
      <c r="AT92" s="1404" t="n"/>
      <c r="AU92" s="1404" t="n"/>
      <c r="AV92" s="1404" t="n"/>
      <c r="AW92" s="1404">
        <f>AK92-AQ92</f>
        <v/>
      </c>
      <c r="AX92" s="1404">
        <f>AL92-AR92</f>
        <v/>
      </c>
      <c r="AY92" s="1404">
        <f>AM92-AS92</f>
        <v/>
      </c>
      <c r="AZ92" s="1404">
        <f>AN92-AT92</f>
        <v/>
      </c>
      <c r="BA92" s="1404">
        <f>AO92-AU92</f>
        <v/>
      </c>
      <c r="BB92" s="1404">
        <f>AP92-AV92</f>
        <v/>
      </c>
      <c r="BC92" s="1404">
        <f>SUM(AW92:BB92)</f>
        <v/>
      </c>
      <c r="BD92" s="1404" t="n"/>
      <c r="BE92" s="1404" t="n"/>
      <c r="BF92" s="1404" t="n"/>
      <c r="BG92" s="1404" t="n"/>
      <c r="BH92" s="1404" t="n"/>
      <c r="BI92" s="1404" t="n"/>
      <c r="BJ92" s="1404">
        <f>SUM(BC92:BI92)</f>
        <v/>
      </c>
      <c r="BK92" s="1404">
        <f>BR92-BY92</f>
        <v/>
      </c>
      <c r="BL92" s="1404">
        <f>BS92-BZ92</f>
        <v/>
      </c>
      <c r="BM92" s="1404">
        <f>BT92-CA92</f>
        <v/>
      </c>
      <c r="BN92" s="1404">
        <f>BU92-CB92</f>
        <v/>
      </c>
      <c r="BO92" s="1404">
        <f>BV92-CC92</f>
        <v/>
      </c>
      <c r="BP92" s="1404">
        <f>BW92-CD92</f>
        <v/>
      </c>
      <c r="BQ92" s="1404">
        <f>SUM(BK92:BP92)</f>
        <v/>
      </c>
      <c r="BR92" s="1404" t="n"/>
      <c r="BS92" s="1404" t="n"/>
      <c r="BT92" s="1404" t="n"/>
      <c r="BU92" s="1404" t="n"/>
      <c r="BV92" s="1404" t="n"/>
      <c r="BW92" s="1404" t="n"/>
      <c r="BX92" s="1404">
        <f>SUM(BR92:BW92)</f>
        <v/>
      </c>
      <c r="BY92" s="1404" t="n"/>
      <c r="BZ92" s="1404" t="n"/>
      <c r="CA92" s="1404" t="n"/>
      <c r="CB92" s="1404" t="n"/>
      <c r="CC92" s="1404" t="n"/>
      <c r="CD92" s="1404" t="n"/>
      <c r="CE92" s="1404" t="n"/>
      <c r="CF92" s="1404" t="n"/>
      <c r="CG92" s="1404" t="n"/>
      <c r="CH92" s="1404" t="n"/>
      <c r="CI92" s="1404" t="n"/>
      <c r="CJ92" s="1404" t="n"/>
      <c r="CK92" s="1404">
        <f>SUM(CE92:CJ92)</f>
        <v/>
      </c>
    </row>
    <row r="93">
      <c r="A93" s="384" t="n"/>
      <c r="B93" s="384" t="n"/>
      <c r="C93" s="384" t="n"/>
      <c r="D93" s="384" t="n"/>
      <c r="E93" s="384" t="n"/>
      <c r="F93" s="384" t="n"/>
      <c r="G93" s="384" t="n"/>
      <c r="H93" s="384" t="n"/>
      <c r="I93" s="384" t="n"/>
      <c r="J93" s="384" t="n"/>
      <c r="K93" s="384" t="n"/>
      <c r="L93" s="384" t="n"/>
      <c r="M93" s="384" t="n"/>
      <c r="N93" s="384" t="n"/>
      <c r="O93" s="384" t="n"/>
      <c r="P93" s="384" t="n"/>
      <c r="Q93" s="384" t="n"/>
      <c r="R93" s="1406" t="inlineStr">
        <is>
          <t xml:space="preserve"> 售热售汽量</t>
        </is>
      </c>
      <c r="S93" s="1403" t="inlineStr"/>
      <c r="T93" s="1407" t="inlineStr">
        <is>
          <t>— —</t>
        </is>
      </c>
      <c r="U93" s="197" t="inlineStr">
        <is>
          <t>A0270203</t>
        </is>
      </c>
      <c r="V93" s="32">
        <f>IF(_epmOfflineCondition_,"A0270203",EPMOlapMemberO(U93,"[C_ACCOUNT].[PARENTH1].[A0270203]","A0270203 -  售热售汽量","","000"))</f>
        <v/>
      </c>
      <c r="W93" s="1404">
        <f>AD93-AK93</f>
        <v/>
      </c>
      <c r="X93" s="1404">
        <f>AE93-AL93</f>
        <v/>
      </c>
      <c r="Y93" s="1404">
        <f>AF93-AM93</f>
        <v/>
      </c>
      <c r="Z93" s="1404">
        <f>AG93-AN93</f>
        <v/>
      </c>
      <c r="AA93" s="1404">
        <f>AH93-AO93</f>
        <v/>
      </c>
      <c r="AB93" s="1404">
        <f>AI93-AP93</f>
        <v/>
      </c>
      <c r="AC93" s="1404">
        <f>SUM(W93:AB93)</f>
        <v/>
      </c>
      <c r="AD93" s="1404">
        <f>AD94+AD96</f>
        <v/>
      </c>
      <c r="AE93" s="1404">
        <f>AE94+AE96</f>
        <v/>
      </c>
      <c r="AF93" s="1404">
        <f>AF94+AF96</f>
        <v/>
      </c>
      <c r="AG93" s="1404">
        <f>AG94+AG96</f>
        <v/>
      </c>
      <c r="AH93" s="1404">
        <f>AH94+AH96</f>
        <v/>
      </c>
      <c r="AI93" s="1404">
        <f>AI94+AI96</f>
        <v/>
      </c>
      <c r="AJ93" s="1404">
        <f>SUM(AD93:AI93)</f>
        <v/>
      </c>
      <c r="AK93" s="1404">
        <f>SUM(AK94:AK97)</f>
        <v/>
      </c>
      <c r="AL93" s="1404">
        <f>SUM(AL94:AL97)</f>
        <v/>
      </c>
      <c r="AM93" s="1404">
        <f>SUM(AM94:AM97)</f>
        <v/>
      </c>
      <c r="AN93" s="1404">
        <f>SUM(AN94:AN97)</f>
        <v/>
      </c>
      <c r="AO93" s="1404">
        <f>SUM(AO94:AO97)</f>
        <v/>
      </c>
      <c r="AP93" s="1404">
        <f>SUM(AP94:AP97)</f>
        <v/>
      </c>
      <c r="AQ93" s="1404">
        <f>SUM(AQ94:AQ97)</f>
        <v/>
      </c>
      <c r="AR93" s="1404">
        <f>SUM(AR94:AR97)</f>
        <v/>
      </c>
      <c r="AS93" s="1404">
        <f>SUM(AS94:AS97)</f>
        <v/>
      </c>
      <c r="AT93" s="1404">
        <f>SUM(AT94:AT97)</f>
        <v/>
      </c>
      <c r="AU93" s="1404">
        <f>SUM(AU94:AU97)</f>
        <v/>
      </c>
      <c r="AV93" s="1404">
        <f>SUM(AV94:AV97)</f>
        <v/>
      </c>
      <c r="AW93" s="1404">
        <f>AK93-AQ93</f>
        <v/>
      </c>
      <c r="AX93" s="1404">
        <f>AL93-AR93</f>
        <v/>
      </c>
      <c r="AY93" s="1404">
        <f>AM93-AS93</f>
        <v/>
      </c>
      <c r="AZ93" s="1404">
        <f>AN93-AT93</f>
        <v/>
      </c>
      <c r="BA93" s="1404">
        <f>AO93-AU93</f>
        <v/>
      </c>
      <c r="BB93" s="1404">
        <f>AP93-AV93</f>
        <v/>
      </c>
      <c r="BC93" s="1404">
        <f>SUM(AW93:BB93)</f>
        <v/>
      </c>
      <c r="BD93" s="1404" t="n"/>
      <c r="BE93" s="1404" t="n"/>
      <c r="BF93" s="1404" t="n"/>
      <c r="BG93" s="1404" t="n"/>
      <c r="BH93" s="1404" t="n"/>
      <c r="BI93" s="1404" t="n"/>
      <c r="BJ93" s="1404">
        <f>SUM(BC93:BI93)</f>
        <v/>
      </c>
      <c r="BK93" s="1404">
        <f>BR93-BY93</f>
        <v/>
      </c>
      <c r="BL93" s="1404">
        <f>BS93-BZ93</f>
        <v/>
      </c>
      <c r="BM93" s="1404">
        <f>BT93-CA93</f>
        <v/>
      </c>
      <c r="BN93" s="1404">
        <f>BU93-CB93</f>
        <v/>
      </c>
      <c r="BO93" s="1404">
        <f>BV93-CC93</f>
        <v/>
      </c>
      <c r="BP93" s="1404">
        <f>BW93-CD93</f>
        <v/>
      </c>
      <c r="BQ93" s="1404">
        <f>SUM(BK93:BP93)</f>
        <v/>
      </c>
      <c r="BR93" s="1404" t="n"/>
      <c r="BS93" s="1404" t="n"/>
      <c r="BT93" s="1404" t="n"/>
      <c r="BU93" s="1404" t="n"/>
      <c r="BV93" s="1404" t="n"/>
      <c r="BW93" s="1404" t="n"/>
      <c r="BX93" s="1404">
        <f>SUM(BR93:BW93)</f>
        <v/>
      </c>
      <c r="BY93" s="1404" t="n"/>
      <c r="BZ93" s="1404" t="n"/>
      <c r="CA93" s="1404" t="n"/>
      <c r="CB93" s="1404" t="n"/>
      <c r="CC93" s="1404" t="n"/>
      <c r="CD93" s="1404" t="n"/>
      <c r="CE93" s="1404" t="n"/>
      <c r="CF93" s="1404" t="n"/>
      <c r="CG93" s="1404" t="n"/>
      <c r="CH93" s="1404" t="n"/>
      <c r="CI93" s="1404" t="n"/>
      <c r="CJ93" s="1404" t="n"/>
      <c r="CK93" s="1404">
        <f>SUM(CE93:CJ93)</f>
        <v/>
      </c>
    </row>
    <row r="94">
      <c r="A94" s="384" t="n"/>
      <c r="B94" s="384" t="n"/>
      <c r="C94" s="384" t="n"/>
      <c r="D94" s="384" t="n"/>
      <c r="E94" s="384" t="n"/>
      <c r="F94" s="384" t="n"/>
      <c r="G94" s="384" t="n"/>
      <c r="H94" s="384" t="n"/>
      <c r="I94" s="384" t="n"/>
      <c r="J94" s="384" t="n"/>
      <c r="K94" s="384" t="n"/>
      <c r="L94" s="384" t="n"/>
      <c r="M94" s="384" t="n"/>
      <c r="N94" s="384" t="n"/>
      <c r="O94" s="384" t="n"/>
      <c r="P94" s="384" t="n"/>
      <c r="Q94" s="384" t="n"/>
      <c r="R94" s="423" t="inlineStr">
        <is>
          <t>售热量</t>
        </is>
      </c>
      <c r="S94" s="1403" t="inlineStr"/>
      <c r="T94" s="1403" t="inlineStr">
        <is>
          <t>吉焦</t>
        </is>
      </c>
      <c r="U94" s="197" t="inlineStr">
        <is>
          <t>A027020301</t>
        </is>
      </c>
      <c r="V94" s="32">
        <f>IF(_epmOfflineCondition_,"A027020301",EPMOlapMemberO(U94,"[C_ACCOUNT].[PARENTH1].[A027020301]","A027020301 - 售热量","","000"))</f>
        <v/>
      </c>
      <c r="W94" s="1404">
        <f>AD94-AK94</f>
        <v/>
      </c>
      <c r="X94" s="1404">
        <f>AE94-AL94</f>
        <v/>
      </c>
      <c r="Y94" s="1404">
        <f>AF94-AM94</f>
        <v/>
      </c>
      <c r="Z94" s="1404">
        <f>AG94-AN94</f>
        <v/>
      </c>
      <c r="AA94" s="1404">
        <f>AH94-AO94</f>
        <v/>
      </c>
      <c r="AB94" s="1404">
        <f>AI94-AP94</f>
        <v/>
      </c>
      <c r="AC94" s="1404">
        <f>SUM(W94:AB94)</f>
        <v/>
      </c>
      <c r="AD94" s="1405" t="n"/>
      <c r="AE94" s="1405" t="n"/>
      <c r="AF94" s="1405" t="n"/>
      <c r="AG94" s="1405" t="n"/>
      <c r="AH94" s="1405" t="n"/>
      <c r="AI94" s="1405" t="n"/>
      <c r="AJ94" s="1404">
        <f>SUM(AD94:AI94)</f>
        <v/>
      </c>
      <c r="AK94" s="1404" t="n"/>
      <c r="AL94" s="1404" t="n"/>
      <c r="AM94" s="1404" t="n"/>
      <c r="AN94" s="1404" t="n"/>
      <c r="AO94" s="1404" t="n"/>
      <c r="AP94" s="1404" t="n"/>
      <c r="AQ94" s="1404" t="n"/>
      <c r="AR94" s="1404" t="n"/>
      <c r="AS94" s="1404" t="n"/>
      <c r="AT94" s="1404" t="n"/>
      <c r="AU94" s="1404" t="n"/>
      <c r="AV94" s="1404" t="n"/>
      <c r="AW94" s="1404">
        <f>AK94-AQ94</f>
        <v/>
      </c>
      <c r="AX94" s="1404">
        <f>AL94-AR94</f>
        <v/>
      </c>
      <c r="AY94" s="1404">
        <f>AM94-AS94</f>
        <v/>
      </c>
      <c r="AZ94" s="1404">
        <f>AN94-AT94</f>
        <v/>
      </c>
      <c r="BA94" s="1404">
        <f>AO94-AU94</f>
        <v/>
      </c>
      <c r="BB94" s="1404">
        <f>AP94-AV94</f>
        <v/>
      </c>
      <c r="BC94" s="1404">
        <f>SUM(AW94:BB94)</f>
        <v/>
      </c>
      <c r="BD94" s="1404" t="n"/>
      <c r="BE94" s="1404" t="n"/>
      <c r="BF94" s="1404" t="n"/>
      <c r="BG94" s="1404" t="n"/>
      <c r="BH94" s="1404" t="n"/>
      <c r="BI94" s="1404" t="n"/>
      <c r="BJ94" s="1404">
        <f>SUM(BC94:BI94)</f>
        <v/>
      </c>
      <c r="BK94" s="1404">
        <f>BR94-BY94</f>
        <v/>
      </c>
      <c r="BL94" s="1404">
        <f>BS94-BZ94</f>
        <v/>
      </c>
      <c r="BM94" s="1404">
        <f>BT94-CA94</f>
        <v/>
      </c>
      <c r="BN94" s="1404">
        <f>BU94-CB94</f>
        <v/>
      </c>
      <c r="BO94" s="1404">
        <f>BV94-CC94</f>
        <v/>
      </c>
      <c r="BP94" s="1404">
        <f>BW94-CD94</f>
        <v/>
      </c>
      <c r="BQ94" s="1404">
        <f>SUM(BK94:BP94)</f>
        <v/>
      </c>
      <c r="BR94" s="1404" t="n"/>
      <c r="BS94" s="1404" t="n"/>
      <c r="BT94" s="1404" t="n"/>
      <c r="BU94" s="1404" t="n"/>
      <c r="BV94" s="1404" t="n"/>
      <c r="BW94" s="1404" t="n"/>
      <c r="BX94" s="1404">
        <f>SUM(BR94:BW94)</f>
        <v/>
      </c>
      <c r="BY94" s="1404" t="n"/>
      <c r="BZ94" s="1404" t="n"/>
      <c r="CA94" s="1404" t="n"/>
      <c r="CB94" s="1404" t="n"/>
      <c r="CC94" s="1404" t="n"/>
      <c r="CD94" s="1404" t="n"/>
      <c r="CE94" s="1404" t="n"/>
      <c r="CF94" s="1404" t="n"/>
      <c r="CG94" s="1404" t="n"/>
      <c r="CH94" s="1404" t="n"/>
      <c r="CI94" s="1404" t="n"/>
      <c r="CJ94" s="1404" t="n"/>
      <c r="CK94" s="1404">
        <f>SUM(CE94:CJ94)</f>
        <v/>
      </c>
    </row>
    <row r="95">
      <c r="A95" s="384" t="n"/>
      <c r="B95" s="384" t="n"/>
      <c r="C95" s="384" t="n"/>
      <c r="D95" s="384" t="n"/>
      <c r="E95" s="384" t="n"/>
      <c r="F95" s="384" t="n"/>
      <c r="G95" s="384" t="n"/>
      <c r="H95" s="384" t="n"/>
      <c r="I95" s="384" t="n"/>
      <c r="J95" s="384" t="n"/>
      <c r="K95" s="384" t="n"/>
      <c r="L95" s="384" t="n"/>
      <c r="M95" s="384" t="n"/>
      <c r="N95" s="384" t="n"/>
      <c r="O95" s="384" t="n"/>
      <c r="P95" s="384" t="n"/>
      <c r="Q95" s="384" t="n"/>
      <c r="R95" s="423" t="inlineStr">
        <is>
          <t>售汽量</t>
        </is>
      </c>
      <c r="S95" s="1403" t="inlineStr"/>
      <c r="T95" s="1403" t="inlineStr">
        <is>
          <t>吨</t>
        </is>
      </c>
      <c r="U95" s="197" t="inlineStr">
        <is>
          <t>A027020302</t>
        </is>
      </c>
      <c r="V95" s="32">
        <f>IF(_epmOfflineCondition_,"A027020302",EPMOlapMemberO(U95,"[C_ACCOUNT].[PARENTH1].[A027020302]","A027020302 - 售汽量","","000"))</f>
        <v/>
      </c>
      <c r="W95" s="1404">
        <f>AD95-AK95</f>
        <v/>
      </c>
      <c r="X95" s="1404">
        <f>AE95-AL95</f>
        <v/>
      </c>
      <c r="Y95" s="1404">
        <f>AF95-AM95</f>
        <v/>
      </c>
      <c r="Z95" s="1404">
        <f>AG95-AN95</f>
        <v/>
      </c>
      <c r="AA95" s="1404">
        <f>AH95-AO95</f>
        <v/>
      </c>
      <c r="AB95" s="1404">
        <f>AI95-AP95</f>
        <v/>
      </c>
      <c r="AC95" s="1404">
        <f>SUM(W95:AB95)</f>
        <v/>
      </c>
      <c r="AD95" s="1405" t="n"/>
      <c r="AE95" s="1405" t="n"/>
      <c r="AF95" s="1405" t="n"/>
      <c r="AG95" s="1405" t="n"/>
      <c r="AH95" s="1405" t="n"/>
      <c r="AI95" s="1405" t="n"/>
      <c r="AJ95" s="1404">
        <f>SUM(AD95:AI95)</f>
        <v/>
      </c>
      <c r="AK95" s="1404" t="n"/>
      <c r="AL95" s="1404" t="n"/>
      <c r="AM95" s="1404" t="n"/>
      <c r="AN95" s="1404" t="n"/>
      <c r="AO95" s="1404" t="n"/>
      <c r="AP95" s="1404" t="n"/>
      <c r="AQ95" s="1404" t="n"/>
      <c r="AR95" s="1404" t="n"/>
      <c r="AS95" s="1404" t="n"/>
      <c r="AT95" s="1404" t="n"/>
      <c r="AU95" s="1404" t="n"/>
      <c r="AV95" s="1404" t="n"/>
      <c r="AW95" s="1404">
        <f>AK95-AQ95</f>
        <v/>
      </c>
      <c r="AX95" s="1404">
        <f>AL95-AR95</f>
        <v/>
      </c>
      <c r="AY95" s="1404">
        <f>AM95-AS95</f>
        <v/>
      </c>
      <c r="AZ95" s="1404">
        <f>AN95-AT95</f>
        <v/>
      </c>
      <c r="BA95" s="1404">
        <f>AO95-AU95</f>
        <v/>
      </c>
      <c r="BB95" s="1404">
        <f>AP95-AV95</f>
        <v/>
      </c>
      <c r="BC95" s="1404">
        <f>SUM(AW95:BB95)</f>
        <v/>
      </c>
      <c r="BD95" s="1404" t="n"/>
      <c r="BE95" s="1404" t="n"/>
      <c r="BF95" s="1404" t="n"/>
      <c r="BG95" s="1404" t="n"/>
      <c r="BH95" s="1404" t="n"/>
      <c r="BI95" s="1404" t="n"/>
      <c r="BJ95" s="1404">
        <f>SUM(BC95:BI95)</f>
        <v/>
      </c>
      <c r="BK95" s="1404">
        <f>BR95-BY95</f>
        <v/>
      </c>
      <c r="BL95" s="1404">
        <f>BS95-BZ95</f>
        <v/>
      </c>
      <c r="BM95" s="1404">
        <f>BT95-CA95</f>
        <v/>
      </c>
      <c r="BN95" s="1404">
        <f>BU95-CB95</f>
        <v/>
      </c>
      <c r="BO95" s="1404">
        <f>BV95-CC95</f>
        <v/>
      </c>
      <c r="BP95" s="1404">
        <f>BW95-CD95</f>
        <v/>
      </c>
      <c r="BQ95" s="1404">
        <f>SUM(BK95:BP95)</f>
        <v/>
      </c>
      <c r="BR95" s="1404" t="n"/>
      <c r="BS95" s="1404" t="n"/>
      <c r="BT95" s="1404" t="n"/>
      <c r="BU95" s="1404" t="n"/>
      <c r="BV95" s="1404" t="n"/>
      <c r="BW95" s="1404" t="n"/>
      <c r="BX95" s="1404">
        <f>SUM(BR95:BW95)</f>
        <v/>
      </c>
      <c r="BY95" s="1404" t="n"/>
      <c r="BZ95" s="1404" t="n"/>
      <c r="CA95" s="1404" t="n"/>
      <c r="CB95" s="1404" t="n"/>
      <c r="CC95" s="1404" t="n"/>
      <c r="CD95" s="1404" t="n"/>
      <c r="CE95" s="1404" t="n"/>
      <c r="CF95" s="1404" t="n"/>
      <c r="CG95" s="1404" t="n"/>
      <c r="CH95" s="1404" t="n"/>
      <c r="CI95" s="1404" t="n"/>
      <c r="CJ95" s="1404" t="n"/>
      <c r="CK95" s="1404">
        <f>SUM(CE95:CJ95)</f>
        <v/>
      </c>
    </row>
    <row r="96">
      <c r="A96" s="384" t="n"/>
      <c r="B96" s="384" t="n"/>
      <c r="C96" s="384" t="n"/>
      <c r="D96" s="384" t="n"/>
      <c r="E96" s="384" t="n"/>
      <c r="F96" s="384" t="n"/>
      <c r="G96" s="384" t="n"/>
      <c r="H96" s="384" t="n"/>
      <c r="I96" s="384" t="n"/>
      <c r="J96" s="384" t="n"/>
      <c r="K96" s="384" t="n"/>
      <c r="L96" s="384" t="n"/>
      <c r="M96" s="384" t="n"/>
      <c r="N96" s="384" t="n"/>
      <c r="O96" s="384" t="n"/>
      <c r="P96" s="384" t="n"/>
      <c r="Q96" s="384" t="n"/>
      <c r="R96" s="423" t="inlineStr">
        <is>
          <t>售汽当量</t>
        </is>
      </c>
      <c r="S96" s="1403" t="inlineStr"/>
      <c r="T96" s="1403" t="inlineStr">
        <is>
          <t>吉焦</t>
        </is>
      </c>
      <c r="U96" s="197" t="inlineStr">
        <is>
          <t>A027020303</t>
        </is>
      </c>
      <c r="V96" s="32">
        <f>IF(_epmOfflineCondition_,"A027020303",EPMOlapMemberO(U96,"[C_ACCOUNT].[PARENTH1].[A027020303]","A027020303 - 售汽当量","","000"))</f>
        <v/>
      </c>
      <c r="W96" s="1404">
        <f>AD96-AK96</f>
        <v/>
      </c>
      <c r="X96" s="1404">
        <f>AE96-AL96</f>
        <v/>
      </c>
      <c r="Y96" s="1404">
        <f>AF96-AM96</f>
        <v/>
      </c>
      <c r="Z96" s="1404">
        <f>AG96-AN96</f>
        <v/>
      </c>
      <c r="AA96" s="1404">
        <f>AH96-AO96</f>
        <v/>
      </c>
      <c r="AB96" s="1404">
        <f>AI96-AP96</f>
        <v/>
      </c>
      <c r="AC96" s="1404">
        <f>SUM(W96:AB96)</f>
        <v/>
      </c>
      <c r="AD96" s="1405" t="n"/>
      <c r="AE96" s="1405" t="n"/>
      <c r="AF96" s="1405" t="n"/>
      <c r="AG96" s="1405" t="n"/>
      <c r="AH96" s="1405" t="n"/>
      <c r="AI96" s="1405" t="n"/>
      <c r="AJ96" s="1404">
        <f>SUM(AD96:AI96)</f>
        <v/>
      </c>
      <c r="AK96" s="1404" t="n"/>
      <c r="AL96" s="1404" t="n"/>
      <c r="AM96" s="1404" t="n"/>
      <c r="AN96" s="1404" t="n"/>
      <c r="AO96" s="1404" t="n"/>
      <c r="AP96" s="1404" t="n"/>
      <c r="AQ96" s="1404" t="n"/>
      <c r="AR96" s="1404" t="n"/>
      <c r="AS96" s="1404" t="n"/>
      <c r="AT96" s="1404" t="n"/>
      <c r="AU96" s="1404" t="n"/>
      <c r="AV96" s="1404" t="n"/>
      <c r="AW96" s="1404">
        <f>AK96-AQ96</f>
        <v/>
      </c>
      <c r="AX96" s="1404">
        <f>AL96-AR96</f>
        <v/>
      </c>
      <c r="AY96" s="1404">
        <f>AM96-AS96</f>
        <v/>
      </c>
      <c r="AZ96" s="1404">
        <f>AN96-AT96</f>
        <v/>
      </c>
      <c r="BA96" s="1404">
        <f>AO96-AU96</f>
        <v/>
      </c>
      <c r="BB96" s="1404">
        <f>AP96-AV96</f>
        <v/>
      </c>
      <c r="BC96" s="1404">
        <f>SUM(AW96:BB96)</f>
        <v/>
      </c>
      <c r="BD96" s="1404" t="n"/>
      <c r="BE96" s="1404" t="n"/>
      <c r="BF96" s="1404" t="n"/>
      <c r="BG96" s="1404" t="n"/>
      <c r="BH96" s="1404" t="n"/>
      <c r="BI96" s="1404" t="n"/>
      <c r="BJ96" s="1404">
        <f>SUM(BC96:BI96)</f>
        <v/>
      </c>
      <c r="BK96" s="1404">
        <f>BR96-BY96</f>
        <v/>
      </c>
      <c r="BL96" s="1404">
        <f>BS96-BZ96</f>
        <v/>
      </c>
      <c r="BM96" s="1404">
        <f>BT96-CA96</f>
        <v/>
      </c>
      <c r="BN96" s="1404">
        <f>BU96-CB96</f>
        <v/>
      </c>
      <c r="BO96" s="1404">
        <f>BV96-CC96</f>
        <v/>
      </c>
      <c r="BP96" s="1404">
        <f>BW96-CD96</f>
        <v/>
      </c>
      <c r="BQ96" s="1404">
        <f>SUM(BK96:BP96)</f>
        <v/>
      </c>
      <c r="BR96" s="1404" t="n"/>
      <c r="BS96" s="1404" t="n"/>
      <c r="BT96" s="1404" t="n"/>
      <c r="BU96" s="1404" t="n"/>
      <c r="BV96" s="1404" t="n"/>
      <c r="BW96" s="1404" t="n"/>
      <c r="BX96" s="1404">
        <f>SUM(BR96:BW96)</f>
        <v/>
      </c>
      <c r="BY96" s="1404" t="n"/>
      <c r="BZ96" s="1404" t="n"/>
      <c r="CA96" s="1404" t="n"/>
      <c r="CB96" s="1404" t="n"/>
      <c r="CC96" s="1404" t="n"/>
      <c r="CD96" s="1404" t="n"/>
      <c r="CE96" s="1404" t="n"/>
      <c r="CF96" s="1404" t="n"/>
      <c r="CG96" s="1404" t="n"/>
      <c r="CH96" s="1404" t="n"/>
      <c r="CI96" s="1404" t="n"/>
      <c r="CJ96" s="1404" t="n"/>
      <c r="CK96" s="1404">
        <f>SUM(CE96:CJ96)</f>
        <v/>
      </c>
    </row>
    <row r="97">
      <c r="A97" s="384" t="n"/>
      <c r="B97" s="384" t="n"/>
      <c r="C97" s="384" t="n"/>
      <c r="D97" s="384" t="n"/>
      <c r="E97" s="384" t="n"/>
      <c r="F97" s="384" t="n"/>
      <c r="G97" s="384" t="n"/>
      <c r="H97" s="384" t="n"/>
      <c r="I97" s="384" t="n"/>
      <c r="J97" s="384" t="n"/>
      <c r="K97" s="384" t="n"/>
      <c r="L97" s="384" t="n"/>
      <c r="M97" s="384" t="n"/>
      <c r="N97" s="384" t="n"/>
      <c r="O97" s="384" t="n"/>
      <c r="P97" s="384" t="n"/>
      <c r="Q97" s="384" t="n"/>
      <c r="R97" s="423" t="inlineStr">
        <is>
          <t>回水量</t>
        </is>
      </c>
      <c r="S97" s="1403" t="inlineStr"/>
      <c r="T97" s="1403" t="inlineStr">
        <is>
          <t>吨</t>
        </is>
      </c>
      <c r="U97" s="197" t="inlineStr">
        <is>
          <t>A027020304</t>
        </is>
      </c>
      <c r="V97" s="32">
        <f>IF(_epmOfflineCondition_,"A027020304",EPMOlapMemberO(U97,"[C_ACCOUNT].[PARENTH1].[A027020304]","A027020304 - 回水量","","000"))</f>
        <v/>
      </c>
      <c r="W97" s="1404">
        <f>AD97-AK97</f>
        <v/>
      </c>
      <c r="X97" s="1404">
        <f>AE97-AL97</f>
        <v/>
      </c>
      <c r="Y97" s="1404">
        <f>AF97-AM97</f>
        <v/>
      </c>
      <c r="Z97" s="1404">
        <f>AG97-AN97</f>
        <v/>
      </c>
      <c r="AA97" s="1404">
        <f>AH97-AO97</f>
        <v/>
      </c>
      <c r="AB97" s="1404">
        <f>AI97-AP97</f>
        <v/>
      </c>
      <c r="AC97" s="1404">
        <f>SUM(W97:AB97)</f>
        <v/>
      </c>
      <c r="AD97" s="1405" t="n"/>
      <c r="AE97" s="1405" t="n"/>
      <c r="AF97" s="1405" t="n"/>
      <c r="AG97" s="1405" t="n"/>
      <c r="AH97" s="1405" t="n"/>
      <c r="AI97" s="1405" t="n"/>
      <c r="AJ97" s="1404">
        <f>SUM(AD97:AI97)</f>
        <v/>
      </c>
      <c r="AK97" s="1404" t="n"/>
      <c r="AL97" s="1404" t="n"/>
      <c r="AM97" s="1404" t="n"/>
      <c r="AN97" s="1404" t="n"/>
      <c r="AO97" s="1404" t="n"/>
      <c r="AP97" s="1404" t="n"/>
      <c r="AQ97" s="1404" t="n"/>
      <c r="AR97" s="1404" t="n"/>
      <c r="AS97" s="1404" t="n"/>
      <c r="AT97" s="1404" t="n"/>
      <c r="AU97" s="1404" t="n"/>
      <c r="AV97" s="1404" t="n"/>
      <c r="AW97" s="1404">
        <f>AK97-AQ97</f>
        <v/>
      </c>
      <c r="AX97" s="1404">
        <f>AL97-AR97</f>
        <v/>
      </c>
      <c r="AY97" s="1404">
        <f>AM97-AS97</f>
        <v/>
      </c>
      <c r="AZ97" s="1404">
        <f>AN97-AT97</f>
        <v/>
      </c>
      <c r="BA97" s="1404">
        <f>AO97-AU97</f>
        <v/>
      </c>
      <c r="BB97" s="1404">
        <f>AP97-AV97</f>
        <v/>
      </c>
      <c r="BC97" s="1404">
        <f>SUM(AW97:BB97)</f>
        <v/>
      </c>
      <c r="BD97" s="1404" t="n"/>
      <c r="BE97" s="1404" t="n"/>
      <c r="BF97" s="1404" t="n"/>
      <c r="BG97" s="1404" t="n"/>
      <c r="BH97" s="1404" t="n"/>
      <c r="BI97" s="1404" t="n"/>
      <c r="BJ97" s="1404">
        <f>SUM(BC97:BI97)</f>
        <v/>
      </c>
      <c r="BK97" s="1404">
        <f>BR97-BY97</f>
        <v/>
      </c>
      <c r="BL97" s="1404">
        <f>BS97-BZ97</f>
        <v/>
      </c>
      <c r="BM97" s="1404">
        <f>BT97-CA97</f>
        <v/>
      </c>
      <c r="BN97" s="1404">
        <f>BU97-CB97</f>
        <v/>
      </c>
      <c r="BO97" s="1404">
        <f>BV97-CC97</f>
        <v/>
      </c>
      <c r="BP97" s="1404">
        <f>BW97-CD97</f>
        <v/>
      </c>
      <c r="BQ97" s="1404">
        <f>SUM(BK97:BP97)</f>
        <v/>
      </c>
      <c r="BR97" s="1404" t="n"/>
      <c r="BS97" s="1404" t="n"/>
      <c r="BT97" s="1404" t="n"/>
      <c r="BU97" s="1404" t="n"/>
      <c r="BV97" s="1404" t="n"/>
      <c r="BW97" s="1404" t="n"/>
      <c r="BX97" s="1404">
        <f>SUM(BR97:BW97)</f>
        <v/>
      </c>
      <c r="BY97" s="1404" t="n"/>
      <c r="BZ97" s="1404" t="n"/>
      <c r="CA97" s="1404" t="n"/>
      <c r="CB97" s="1404" t="n"/>
      <c r="CC97" s="1404" t="n"/>
      <c r="CD97" s="1404" t="n"/>
      <c r="CE97" s="1404" t="n"/>
      <c r="CF97" s="1404" t="n"/>
      <c r="CG97" s="1404" t="n"/>
      <c r="CH97" s="1404" t="n"/>
      <c r="CI97" s="1404" t="n"/>
      <c r="CJ97" s="1404" t="n"/>
      <c r="CK97" s="1404">
        <f>SUM(CE97:CJ97)</f>
        <v/>
      </c>
    </row>
    <row r="98">
      <c r="A98" s="384" t="n"/>
      <c r="B98" s="384" t="n"/>
      <c r="C98" s="384" t="n"/>
      <c r="D98" s="384" t="n"/>
      <c r="E98" s="384" t="n"/>
      <c r="F98" s="384" t="n"/>
      <c r="G98" s="384" t="n"/>
      <c r="H98" s="384" t="n"/>
      <c r="I98" s="384" t="n"/>
      <c r="J98" s="384" t="n"/>
      <c r="K98" s="384" t="n"/>
      <c r="L98" s="384" t="n"/>
      <c r="M98" s="384" t="n"/>
      <c r="N98" s="384" t="n"/>
      <c r="O98" s="384" t="n"/>
      <c r="P98" s="384" t="n"/>
      <c r="Q98" s="384" t="n"/>
      <c r="R98" s="445" t="inlineStr">
        <is>
          <t xml:space="preserve"> 售热价格（含税）</t>
        </is>
      </c>
      <c r="S98" s="1403" t="inlineStr"/>
      <c r="T98" s="1403" t="inlineStr">
        <is>
          <t>元/吉焦</t>
        </is>
      </c>
      <c r="U98" s="197" t="inlineStr">
        <is>
          <t>A0270204</t>
        </is>
      </c>
      <c r="V98" s="32">
        <f>IF(_epmOfflineCondition_,"A0270204",EPMOlapMemberO(U98,"[C_ACCOUNT].[PARENTH1].[A0270204]","A0270204 -  售热价格（含税）","","000"))</f>
        <v/>
      </c>
      <c r="W98" s="1404">
        <f>IFERROR(W87/W93*1.13,"")</f>
        <v/>
      </c>
      <c r="X98" s="1404">
        <f>IFERROR(X87/X93*1.13,"")</f>
        <v/>
      </c>
      <c r="Y98" s="1404">
        <f>IFERROR(Y87/Y93*1.13,"")</f>
        <v/>
      </c>
      <c r="Z98" s="1404">
        <f>IFERROR(Z87/Z93*1.13,"")</f>
        <v/>
      </c>
      <c r="AA98" s="1404">
        <f>IFERROR(AA87/AA93*1.13,"")</f>
        <v/>
      </c>
      <c r="AB98" s="1404">
        <f>IFERROR(AB87/AB93*1.13,"")</f>
        <v/>
      </c>
      <c r="AC98" s="1404">
        <f>IFERROR(AC87/AC93*1.13,"")</f>
        <v/>
      </c>
      <c r="AD98" s="1404">
        <f>IFERROR(AD87/AD93*1.13,"")</f>
        <v/>
      </c>
      <c r="AE98" s="1404">
        <f>IFERROR(AE87/AE93*1.13,"")</f>
        <v/>
      </c>
      <c r="AF98" s="1404">
        <f>IFERROR(AF87/AF93*1.13,"")</f>
        <v/>
      </c>
      <c r="AG98" s="1404">
        <f>IFERROR(AG87/AG93*1.13,"")</f>
        <v/>
      </c>
      <c r="AH98" s="1404">
        <f>IFERROR(AH87/AH93*1.13,"")</f>
        <v/>
      </c>
      <c r="AI98" s="1404">
        <f>IFERROR(AI87/AI93*1.13,"")</f>
        <v/>
      </c>
      <c r="AJ98" s="1404">
        <f>IFERROR(AJ87/AJ93*1.13,"")</f>
        <v/>
      </c>
      <c r="AK98" s="1404">
        <f>IFERROR(AK87/AK93*1.13,"")</f>
        <v/>
      </c>
      <c r="AL98" s="1404">
        <f>IFERROR(AL87/AL93*1.13,"")</f>
        <v/>
      </c>
      <c r="AM98" s="1404">
        <f>IFERROR(AM87/AM93*1.13,"")</f>
        <v/>
      </c>
      <c r="AN98" s="1404">
        <f>IFERROR(AN87/AN93*1.13,"")</f>
        <v/>
      </c>
      <c r="AO98" s="1404">
        <f>IFERROR(AO87/AO93*1.13,"")</f>
        <v/>
      </c>
      <c r="AP98" s="1404">
        <f>IFERROR(AP87/AP93*1.13,"")</f>
        <v/>
      </c>
      <c r="AQ98" s="1404">
        <f>IFERROR(AQ87/AQ93*1.13,"")</f>
        <v/>
      </c>
      <c r="AR98" s="1404">
        <f>IFERROR(AR87/AR93*1.13,"")</f>
        <v/>
      </c>
      <c r="AS98" s="1404">
        <f>IFERROR(AS87/AS93*1.13,"")</f>
        <v/>
      </c>
      <c r="AT98" s="1404">
        <f>IFERROR(AT87/AT93*1.13,"")</f>
        <v/>
      </c>
      <c r="AU98" s="1404">
        <f>IFERROR(AU87/AU93*1.13,"")</f>
        <v/>
      </c>
      <c r="AV98" s="1404">
        <f>IFERROR(AV87/AV93*1.13,"")</f>
        <v/>
      </c>
      <c r="AW98" s="1404">
        <f>IFERROR(AW87/AW93*1.13,"")</f>
        <v/>
      </c>
      <c r="AX98" s="1404">
        <f>IFERROR(AX87/AX93*1.13,"")</f>
        <v/>
      </c>
      <c r="AY98" s="1404">
        <f>IFERROR(AY87/AY93*1.13,"")</f>
        <v/>
      </c>
      <c r="AZ98" s="1404">
        <f>IFERROR(AZ87/AZ93*1.13,"")</f>
        <v/>
      </c>
      <c r="BA98" s="1404">
        <f>IFERROR(BA87/BA93*1.13,"")</f>
        <v/>
      </c>
      <c r="BB98" s="1404">
        <f>IFERROR(BB87/BB93*1.13,"")</f>
        <v/>
      </c>
      <c r="BC98" s="1404">
        <f>IFERROR(BC87/BC93*1.13,"")</f>
        <v/>
      </c>
      <c r="BD98" s="1404">
        <f>IFERROR(BD87/BD93*1.13,"")</f>
        <v/>
      </c>
      <c r="BE98" s="1404">
        <f>IFERROR(BE87/BE93*1.13,"")</f>
        <v/>
      </c>
      <c r="BF98" s="1404">
        <f>IFERROR(BF87/BF93*1.13,"")</f>
        <v/>
      </c>
      <c r="BG98" s="1404">
        <f>IFERROR(BG87/BG93*1.13,"")</f>
        <v/>
      </c>
      <c r="BH98" s="1404">
        <f>IFERROR(BH87/BH93*1.13,"")</f>
        <v/>
      </c>
      <c r="BI98" s="1404">
        <f>IFERROR(BI87/BI93*1.13,"")</f>
        <v/>
      </c>
      <c r="BJ98" s="1404">
        <f>IFERROR(BJ87/BJ93*1.13,"")</f>
        <v/>
      </c>
      <c r="BK98" s="1404">
        <f>BR98-BY98</f>
        <v/>
      </c>
      <c r="BL98" s="1404">
        <f>BS98-BZ98</f>
        <v/>
      </c>
      <c r="BM98" s="1404">
        <f>BT98-CA98</f>
        <v/>
      </c>
      <c r="BN98" s="1404">
        <f>BU98-CB98</f>
        <v/>
      </c>
      <c r="BO98" s="1404">
        <f>BV98-CC98</f>
        <v/>
      </c>
      <c r="BP98" s="1404">
        <f>BW98-CD98</f>
        <v/>
      </c>
      <c r="BQ98" s="1404">
        <f>SUM(BK98:BP98)</f>
        <v/>
      </c>
      <c r="BR98" s="1404" t="n"/>
      <c r="BS98" s="1404" t="n"/>
      <c r="BT98" s="1404" t="n"/>
      <c r="BU98" s="1404" t="n"/>
      <c r="BV98" s="1404" t="n"/>
      <c r="BW98" s="1404" t="n"/>
      <c r="BX98" s="1404">
        <f>SUM(BR98:BW98)</f>
        <v/>
      </c>
      <c r="BY98" s="1404" t="n"/>
      <c r="BZ98" s="1404" t="n"/>
      <c r="CA98" s="1404" t="n"/>
      <c r="CB98" s="1404" t="n"/>
      <c r="CC98" s="1404" t="n"/>
      <c r="CD98" s="1404" t="n"/>
      <c r="CE98" s="1404" t="n"/>
      <c r="CF98" s="1404" t="n"/>
      <c r="CG98" s="1404" t="n"/>
      <c r="CH98" s="1404" t="n"/>
      <c r="CI98" s="1404" t="n"/>
      <c r="CJ98" s="1404" t="n"/>
      <c r="CK98" s="1404">
        <f>SUM(CE98:CJ98)</f>
        <v/>
      </c>
    </row>
    <row r="99">
      <c r="A99" s="384" t="n"/>
      <c r="B99" s="384" t="n"/>
      <c r="C99" s="384" t="n"/>
      <c r="D99" s="384" t="n"/>
      <c r="E99" s="384" t="n"/>
      <c r="F99" s="384" t="n"/>
      <c r="G99" s="384" t="n"/>
      <c r="H99" s="384" t="n"/>
      <c r="I99" s="384" t="n"/>
      <c r="J99" s="384" t="n"/>
      <c r="K99" s="384" t="n"/>
      <c r="L99" s="384" t="n"/>
      <c r="M99" s="384" t="n"/>
      <c r="N99" s="384" t="n"/>
      <c r="O99" s="384" t="n"/>
      <c r="P99" s="384" t="n"/>
      <c r="Q99" s="384" t="n"/>
      <c r="R99" s="422" t="inlineStr">
        <is>
          <t>三、售电服务收入</t>
        </is>
      </c>
      <c r="S99" s="1403" t="inlineStr"/>
      <c r="T99" s="1403" t="inlineStr">
        <is>
          <t>元</t>
        </is>
      </c>
      <c r="U99" s="197" t="inlineStr">
        <is>
          <t>A0270103</t>
        </is>
      </c>
      <c r="V99" s="32">
        <f>IF(_epmOfflineCondition_,"A0270103",EPMOlapMemberO(U99,"[C_ACCOUNT].[PARENTH1].[A0270103]","A0270103 -  售电服务收入","","000"))</f>
        <v/>
      </c>
      <c r="W99" s="1404">
        <f>AD99-AK99</f>
        <v/>
      </c>
      <c r="X99" s="1404">
        <f>AE99-AL99</f>
        <v/>
      </c>
      <c r="Y99" s="1404">
        <f>AF99-AM99</f>
        <v/>
      </c>
      <c r="Z99" s="1404">
        <f>AG99-AN99</f>
        <v/>
      </c>
      <c r="AA99" s="1404">
        <f>AH99-AO99</f>
        <v/>
      </c>
      <c r="AB99" s="1404">
        <f>AI99-AP99</f>
        <v/>
      </c>
      <c r="AC99" s="1404">
        <f>SUM(W99:AB99)</f>
        <v/>
      </c>
      <c r="AD99" s="1405" t="n"/>
      <c r="AE99" s="1405" t="n"/>
      <c r="AF99" s="1405" t="n"/>
      <c r="AG99" s="1405" t="n"/>
      <c r="AH99" s="1405" t="n"/>
      <c r="AI99" s="1405" t="n"/>
      <c r="AJ99" s="1404">
        <f>SUM(AD99:AI99)</f>
        <v/>
      </c>
      <c r="AK99" s="1404" t="n"/>
      <c r="AL99" s="1404" t="n"/>
      <c r="AM99" s="1404" t="n"/>
      <c r="AN99" s="1404" t="n"/>
      <c r="AO99" s="1404" t="n"/>
      <c r="AP99" s="1404" t="n"/>
      <c r="AQ99" s="1404" t="n"/>
      <c r="AR99" s="1404" t="n"/>
      <c r="AS99" s="1404" t="n"/>
      <c r="AT99" s="1404" t="n"/>
      <c r="AU99" s="1404" t="n"/>
      <c r="AV99" s="1404" t="n"/>
      <c r="AW99" s="1404">
        <f>AK99-AQ99</f>
        <v/>
      </c>
      <c r="AX99" s="1404">
        <f>AL99-AR99</f>
        <v/>
      </c>
      <c r="AY99" s="1404">
        <f>AM99-AS99</f>
        <v/>
      </c>
      <c r="AZ99" s="1404">
        <f>AN99-AT99</f>
        <v/>
      </c>
      <c r="BA99" s="1404">
        <f>AO99-AU99</f>
        <v/>
      </c>
      <c r="BB99" s="1404">
        <f>AP99-AV99</f>
        <v/>
      </c>
      <c r="BC99" s="1404">
        <f>SUM(AW99:BB99)</f>
        <v/>
      </c>
      <c r="BD99" s="1404" t="n"/>
      <c r="BE99" s="1404" t="n"/>
      <c r="BF99" s="1404" t="n"/>
      <c r="BG99" s="1404" t="n"/>
      <c r="BH99" s="1404" t="n"/>
      <c r="BI99" s="1404" t="n"/>
      <c r="BJ99" s="1404">
        <f>SUM(BC99:BI99)</f>
        <v/>
      </c>
      <c r="BK99" s="1404">
        <f>BR99-BY99</f>
        <v/>
      </c>
      <c r="BL99" s="1404">
        <f>BS99-BZ99</f>
        <v/>
      </c>
      <c r="BM99" s="1404">
        <f>BT99-CA99</f>
        <v/>
      </c>
      <c r="BN99" s="1404">
        <f>BU99-CB99</f>
        <v/>
      </c>
      <c r="BO99" s="1404">
        <f>BV99-CC99</f>
        <v/>
      </c>
      <c r="BP99" s="1404">
        <f>BW99-CD99</f>
        <v/>
      </c>
      <c r="BQ99" s="1404">
        <f>SUM(BK99:BP99)</f>
        <v/>
      </c>
      <c r="BR99" s="1404" t="n"/>
      <c r="BS99" s="1404" t="n"/>
      <c r="BT99" s="1404" t="n"/>
      <c r="BU99" s="1404" t="n"/>
      <c r="BV99" s="1404" t="n"/>
      <c r="BW99" s="1404" t="n"/>
      <c r="BX99" s="1404">
        <f>SUM(BR99:BW99)</f>
        <v/>
      </c>
      <c r="BY99" s="1404" t="n"/>
      <c r="BZ99" s="1404" t="n"/>
      <c r="CA99" s="1404" t="n"/>
      <c r="CB99" s="1404" t="n"/>
      <c r="CC99" s="1404" t="n"/>
      <c r="CD99" s="1404" t="n"/>
      <c r="CE99" s="1404" t="n"/>
      <c r="CF99" s="1404" t="n"/>
      <c r="CG99" s="1404" t="n"/>
      <c r="CH99" s="1404" t="n"/>
      <c r="CI99" s="1404" t="n"/>
      <c r="CJ99" s="1404" t="n"/>
      <c r="CK99" s="1404">
        <f>SUM(CE99:CJ99)</f>
        <v/>
      </c>
    </row>
    <row r="100">
      <c r="A100" s="384" t="n"/>
      <c r="B100" s="384" t="n"/>
      <c r="C100" s="384" t="n"/>
      <c r="D100" s="384" t="n"/>
      <c r="E100" s="384" t="n"/>
      <c r="F100" s="384" t="n"/>
      <c r="G100" s="384" t="n"/>
      <c r="H100" s="384" t="n"/>
      <c r="I100" s="384" t="n"/>
      <c r="J100" s="384" t="n"/>
      <c r="K100" s="384" t="n"/>
      <c r="L100" s="384" t="n"/>
      <c r="M100" s="384" t="n"/>
      <c r="N100" s="384" t="n"/>
      <c r="O100" s="384" t="n"/>
      <c r="P100" s="384" t="n"/>
      <c r="Q100" s="384" t="n"/>
      <c r="R100" s="422" t="inlineStr">
        <is>
          <t>其他业务收入合计</t>
        </is>
      </c>
      <c r="S100" s="1403" t="inlineStr"/>
      <c r="T100" s="1403" t="inlineStr">
        <is>
          <t>元</t>
        </is>
      </c>
      <c r="U100" s="271" t="inlineStr">
        <is>
          <t>A089</t>
        </is>
      </c>
      <c r="V100" s="384">
        <f>IF(_epmOfflineCondition_,"A089",EPMOlapMemberO(U100,"[C_ACCOUNT].[PARENTH1].[A089]","A089 - 发电企业其他业务收入合计","","000"))</f>
        <v/>
      </c>
      <c r="W100" s="1404">
        <f>AD100-AK100</f>
        <v/>
      </c>
      <c r="X100" s="1404">
        <f>AE100-AL100</f>
        <v/>
      </c>
      <c r="Y100" s="1404">
        <f>AF100-AM100</f>
        <v/>
      </c>
      <c r="Z100" s="1404">
        <f>AG100-AN100</f>
        <v/>
      </c>
      <c r="AA100" s="1404">
        <f>AH100-AO100</f>
        <v/>
      </c>
      <c r="AB100" s="1404">
        <f>AI100-AP100</f>
        <v/>
      </c>
      <c r="AC100" s="1404">
        <f>SUM(W100:AB100)</f>
        <v/>
      </c>
      <c r="AD100" s="1404">
        <f>SUM(AD101:AD107)</f>
        <v/>
      </c>
      <c r="AE100" s="1404">
        <f>SUM(AE101:AE107)</f>
        <v/>
      </c>
      <c r="AF100" s="1404">
        <f>SUM(AF101:AF107)</f>
        <v/>
      </c>
      <c r="AG100" s="1404">
        <f>SUM(AG101:AG107)</f>
        <v/>
      </c>
      <c r="AH100" s="1404">
        <f>SUM(AH101:AH107)</f>
        <v/>
      </c>
      <c r="AI100" s="1404">
        <f>SUM(AI101:AI107)</f>
        <v/>
      </c>
      <c r="AJ100" s="1404">
        <f>SUM(AD100:AI100)</f>
        <v/>
      </c>
      <c r="AK100" s="1404">
        <f>SUM(AK101:AK107)</f>
        <v/>
      </c>
      <c r="AL100" s="1404">
        <f>SUM(AL101:AL107)</f>
        <v/>
      </c>
      <c r="AM100" s="1404">
        <f>SUM(AM101:AM107)</f>
        <v/>
      </c>
      <c r="AN100" s="1404">
        <f>SUM(AN101:AN107)</f>
        <v/>
      </c>
      <c r="AO100" s="1404">
        <f>SUM(AO101:AO107)</f>
        <v/>
      </c>
      <c r="AP100" s="1404">
        <f>SUM(AP101:AP107)</f>
        <v/>
      </c>
      <c r="AQ100" s="1404">
        <f>SUM(AQ101:AQ107)</f>
        <v/>
      </c>
      <c r="AR100" s="1404">
        <f>SUM(AR101:AR107)</f>
        <v/>
      </c>
      <c r="AS100" s="1404">
        <f>SUM(AS101:AS107)</f>
        <v/>
      </c>
      <c r="AT100" s="1404">
        <f>SUM(AT101:AT107)</f>
        <v/>
      </c>
      <c r="AU100" s="1404">
        <f>SUM(AU101:AU107)</f>
        <v/>
      </c>
      <c r="AV100" s="1404">
        <f>SUM(AV101:AV107)</f>
        <v/>
      </c>
      <c r="AW100" s="1404">
        <f>AK100-AQ100</f>
        <v/>
      </c>
      <c r="AX100" s="1404">
        <f>AL100-AR100</f>
        <v/>
      </c>
      <c r="AY100" s="1404">
        <f>AM100-AS100</f>
        <v/>
      </c>
      <c r="AZ100" s="1404">
        <f>AN100-AT100</f>
        <v/>
      </c>
      <c r="BA100" s="1404">
        <f>AO100-AU100</f>
        <v/>
      </c>
      <c r="BB100" s="1404">
        <f>AP100-AV100</f>
        <v/>
      </c>
      <c r="BC100" s="1404">
        <f>SUM(AW100:BB100)</f>
        <v/>
      </c>
      <c r="BD100" s="1404" t="n"/>
      <c r="BE100" s="1404" t="n"/>
      <c r="BF100" s="1404" t="n"/>
      <c r="BG100" s="1404" t="n"/>
      <c r="BH100" s="1404" t="n"/>
      <c r="BI100" s="1404" t="n"/>
      <c r="BJ100" s="1404">
        <f>SUM(BC100:BI100)</f>
        <v/>
      </c>
      <c r="BK100" s="1404">
        <f>BR100-BY100</f>
        <v/>
      </c>
      <c r="BL100" s="1404">
        <f>BS100-BZ100</f>
        <v/>
      </c>
      <c r="BM100" s="1404">
        <f>BT100-CA100</f>
        <v/>
      </c>
      <c r="BN100" s="1404">
        <f>BU100-CB100</f>
        <v/>
      </c>
      <c r="BO100" s="1404">
        <f>BV100-CC100</f>
        <v/>
      </c>
      <c r="BP100" s="1404">
        <f>BW100-CD100</f>
        <v/>
      </c>
      <c r="BQ100" s="1404">
        <f>SUM(BK100:BP100)</f>
        <v/>
      </c>
      <c r="BR100" s="1404" t="n"/>
      <c r="BS100" s="1404" t="n"/>
      <c r="BT100" s="1404" t="n"/>
      <c r="BU100" s="1404" t="n"/>
      <c r="BV100" s="1404" t="n"/>
      <c r="BW100" s="1404" t="n"/>
      <c r="BX100" s="1404">
        <f>SUM(BR100:BW100)</f>
        <v/>
      </c>
      <c r="BY100" s="1404" t="n"/>
      <c r="BZ100" s="1404" t="n"/>
      <c r="CA100" s="1404" t="n"/>
      <c r="CB100" s="1404" t="n"/>
      <c r="CC100" s="1404" t="n"/>
      <c r="CD100" s="1404" t="n"/>
      <c r="CE100" s="1404" t="n"/>
      <c r="CF100" s="1404" t="n"/>
      <c r="CG100" s="1404" t="n"/>
      <c r="CH100" s="1404" t="n"/>
      <c r="CI100" s="1404" t="n"/>
      <c r="CJ100" s="1404" t="n"/>
      <c r="CK100" s="1404">
        <f>SUM(CE100:CJ100)</f>
        <v/>
      </c>
    </row>
    <row r="101">
      <c r="A101" s="384" t="n"/>
      <c r="B101" s="384" t="n"/>
      <c r="C101" s="384" t="n"/>
      <c r="D101" s="384" t="n"/>
      <c r="E101" s="384" t="n"/>
      <c r="F101" s="384" t="n"/>
      <c r="G101" s="384" t="n"/>
      <c r="H101" s="384" t="n"/>
      <c r="I101" s="384" t="n"/>
      <c r="J101" s="384" t="n"/>
      <c r="K101" s="384" t="n"/>
      <c r="L101" s="384" t="n"/>
      <c r="M101" s="384" t="n"/>
      <c r="N101" s="384" t="n"/>
      <c r="O101" s="384" t="n"/>
      <c r="P101" s="384" t="n"/>
      <c r="Q101" s="384" t="n"/>
      <c r="R101" s="442" t="inlineStr">
        <is>
          <t xml:space="preserve">  石膏销售收入</t>
        </is>
      </c>
      <c r="S101" s="1403" t="inlineStr"/>
      <c r="T101" s="1403" t="inlineStr">
        <is>
          <t>元</t>
        </is>
      </c>
      <c r="U101" s="271" t="inlineStr">
        <is>
          <t>A08901</t>
        </is>
      </c>
      <c r="V101" s="32">
        <f>IF(_epmOfflineCondition_,"A08901",EPMOlapMemberO(U101,"[C_ACCOUNT].[PARENTH1].[A08901]","A08901 -   石膏销售收入","","000"))</f>
        <v/>
      </c>
      <c r="W101" s="1404">
        <f>AD101-AK101</f>
        <v/>
      </c>
      <c r="X101" s="1404">
        <f>AE101-AL101</f>
        <v/>
      </c>
      <c r="Y101" s="1404">
        <f>AF101-AM101</f>
        <v/>
      </c>
      <c r="Z101" s="1404">
        <f>AG101-AN101</f>
        <v/>
      </c>
      <c r="AA101" s="1404">
        <f>AH101-AO101</f>
        <v/>
      </c>
      <c r="AB101" s="1404">
        <f>AI101-AP101</f>
        <v/>
      </c>
      <c r="AC101" s="1404">
        <f>SUM(W101:AB101)</f>
        <v/>
      </c>
      <c r="AD101" s="1404" t="n"/>
      <c r="AE101" s="1404" t="n"/>
      <c r="AF101" s="1404" t="n"/>
      <c r="AG101" s="1404" t="n"/>
      <c r="AH101" s="1404" t="n"/>
      <c r="AI101" s="1404" t="n"/>
      <c r="AJ101" s="1404">
        <f>SUM(AD101:AI101)</f>
        <v/>
      </c>
      <c r="AK101" s="1404" t="n"/>
      <c r="AL101" s="1404" t="n"/>
      <c r="AM101" s="1404" t="n"/>
      <c r="AN101" s="1404" t="n"/>
      <c r="AO101" s="1404" t="n"/>
      <c r="AP101" s="1404" t="n"/>
      <c r="AQ101" s="1404" t="n"/>
      <c r="AR101" s="1404" t="n"/>
      <c r="AS101" s="1404" t="n"/>
      <c r="AT101" s="1404" t="n"/>
      <c r="AU101" s="1404" t="n"/>
      <c r="AV101" s="1404" t="n"/>
      <c r="AW101" s="1404">
        <f>AK101-AQ101</f>
        <v/>
      </c>
      <c r="AX101" s="1404">
        <f>AL101-AR101</f>
        <v/>
      </c>
      <c r="AY101" s="1404">
        <f>AM101-AS101</f>
        <v/>
      </c>
      <c r="AZ101" s="1404">
        <f>AN101-AT101</f>
        <v/>
      </c>
      <c r="BA101" s="1404">
        <f>AO101-AU101</f>
        <v/>
      </c>
      <c r="BB101" s="1404">
        <f>AP101-AV101</f>
        <v/>
      </c>
      <c r="BC101" s="1404">
        <f>SUM(AW101:BB101)</f>
        <v/>
      </c>
      <c r="BD101" s="1404" t="n"/>
      <c r="BE101" s="1404" t="n"/>
      <c r="BF101" s="1404" t="n"/>
      <c r="BG101" s="1404" t="n"/>
      <c r="BH101" s="1404" t="n"/>
      <c r="BI101" s="1404" t="n"/>
      <c r="BJ101" s="1404">
        <f>SUM(BC101:BI101)</f>
        <v/>
      </c>
      <c r="BK101" s="1404">
        <f>BR101-BY101</f>
        <v/>
      </c>
      <c r="BL101" s="1404">
        <f>BS101-BZ101</f>
        <v/>
      </c>
      <c r="BM101" s="1404">
        <f>BT101-CA101</f>
        <v/>
      </c>
      <c r="BN101" s="1404">
        <f>BU101-CB101</f>
        <v/>
      </c>
      <c r="BO101" s="1404">
        <f>BV101-CC101</f>
        <v/>
      </c>
      <c r="BP101" s="1404">
        <f>BW101-CD101</f>
        <v/>
      </c>
      <c r="BQ101" s="1404">
        <f>SUM(BK101:BP101)</f>
        <v/>
      </c>
      <c r="BR101" s="1404" t="n"/>
      <c r="BS101" s="1404" t="n"/>
      <c r="BT101" s="1404" t="n"/>
      <c r="BU101" s="1404" t="n"/>
      <c r="BV101" s="1404" t="n"/>
      <c r="BW101" s="1404" t="n"/>
      <c r="BX101" s="1404">
        <f>SUM(BR101:BW101)</f>
        <v/>
      </c>
      <c r="BY101" s="1404" t="n"/>
      <c r="BZ101" s="1404" t="n"/>
      <c r="CA101" s="1404" t="n"/>
      <c r="CB101" s="1404" t="n"/>
      <c r="CC101" s="1404" t="n"/>
      <c r="CD101" s="1404" t="n"/>
      <c r="CE101" s="1404" t="n"/>
      <c r="CF101" s="1404" t="n"/>
      <c r="CG101" s="1404" t="n"/>
      <c r="CH101" s="1404" t="n"/>
      <c r="CI101" s="1404" t="n"/>
      <c r="CJ101" s="1404" t="n"/>
      <c r="CK101" s="1404">
        <f>SUM(CE101:CJ101)</f>
        <v/>
      </c>
    </row>
    <row r="102">
      <c r="A102" s="384" t="n"/>
      <c r="B102" s="384" t="n"/>
      <c r="C102" s="384" t="n"/>
      <c r="D102" s="384" t="n"/>
      <c r="E102" s="384" t="n"/>
      <c r="F102" s="384" t="n"/>
      <c r="G102" s="384" t="n"/>
      <c r="H102" s="384" t="n"/>
      <c r="I102" s="384" t="n"/>
      <c r="J102" s="384" t="n"/>
      <c r="K102" s="384" t="n"/>
      <c r="L102" s="384" t="n"/>
      <c r="M102" s="384" t="n"/>
      <c r="N102" s="384" t="n"/>
      <c r="O102" s="384" t="n"/>
      <c r="P102" s="384" t="n"/>
      <c r="Q102" s="384" t="n"/>
      <c r="R102" s="442" t="inlineStr">
        <is>
          <t xml:space="preserve">  粉煤灰收入</t>
        </is>
      </c>
      <c r="S102" s="1403" t="inlineStr"/>
      <c r="T102" s="1403" t="inlineStr">
        <is>
          <t>元</t>
        </is>
      </c>
      <c r="U102" s="271" t="inlineStr">
        <is>
          <t>A08902</t>
        </is>
      </c>
      <c r="V102" s="32">
        <f>IF(_epmOfflineCondition_,"A08902",EPMOlapMemberO(U102,"[C_ACCOUNT].[PARENTH1].[A08902]","A08902 -   粉煤灰收入","","000"))</f>
        <v/>
      </c>
      <c r="W102" s="1404">
        <f>AD102-AK102</f>
        <v/>
      </c>
      <c r="X102" s="1404">
        <f>AE102-AL102</f>
        <v/>
      </c>
      <c r="Y102" s="1404">
        <f>AF102-AM102</f>
        <v/>
      </c>
      <c r="Z102" s="1404">
        <f>AG102-AN102</f>
        <v/>
      </c>
      <c r="AA102" s="1404">
        <f>AH102-AO102</f>
        <v/>
      </c>
      <c r="AB102" s="1404">
        <f>AI102-AP102</f>
        <v/>
      </c>
      <c r="AC102" s="1404">
        <f>SUM(W102:AB102)</f>
        <v/>
      </c>
      <c r="AD102" s="1405" t="n"/>
      <c r="AE102" s="1405" t="n"/>
      <c r="AF102" s="1405" t="n"/>
      <c r="AG102" s="1405" t="n"/>
      <c r="AH102" s="1405" t="n"/>
      <c r="AI102" s="1405" t="n"/>
      <c r="AJ102" s="1404">
        <f>SUM(AD102:AI102)</f>
        <v/>
      </c>
      <c r="AK102" s="1404" t="n"/>
      <c r="AL102" s="1404" t="n"/>
      <c r="AM102" s="1404" t="n"/>
      <c r="AN102" s="1404" t="n"/>
      <c r="AO102" s="1404" t="n"/>
      <c r="AP102" s="1404" t="n"/>
      <c r="AQ102" s="1404" t="n"/>
      <c r="AR102" s="1404" t="n"/>
      <c r="AS102" s="1404" t="n"/>
      <c r="AT102" s="1404" t="n"/>
      <c r="AU102" s="1404" t="n"/>
      <c r="AV102" s="1404" t="n"/>
      <c r="AW102" s="1404">
        <f>AK102-AQ102</f>
        <v/>
      </c>
      <c r="AX102" s="1404">
        <f>AL102-AR102</f>
        <v/>
      </c>
      <c r="AY102" s="1404">
        <f>AM102-AS102</f>
        <v/>
      </c>
      <c r="AZ102" s="1404">
        <f>AN102-AT102</f>
        <v/>
      </c>
      <c r="BA102" s="1404">
        <f>AO102-AU102</f>
        <v/>
      </c>
      <c r="BB102" s="1404">
        <f>AP102-AV102</f>
        <v/>
      </c>
      <c r="BC102" s="1404">
        <f>SUM(AW102:BB102)</f>
        <v/>
      </c>
      <c r="BD102" s="1404" t="n"/>
      <c r="BE102" s="1404" t="n"/>
      <c r="BF102" s="1404" t="n"/>
      <c r="BG102" s="1404" t="n"/>
      <c r="BH102" s="1404" t="n"/>
      <c r="BI102" s="1404" t="n"/>
      <c r="BJ102" s="1404">
        <f>SUM(BC102:BI102)</f>
        <v/>
      </c>
      <c r="BK102" s="1404">
        <f>BR102-BY102</f>
        <v/>
      </c>
      <c r="BL102" s="1404">
        <f>BS102-BZ102</f>
        <v/>
      </c>
      <c r="BM102" s="1404">
        <f>BT102-CA102</f>
        <v/>
      </c>
      <c r="BN102" s="1404">
        <f>BU102-CB102</f>
        <v/>
      </c>
      <c r="BO102" s="1404">
        <f>BV102-CC102</f>
        <v/>
      </c>
      <c r="BP102" s="1404">
        <f>BW102-CD102</f>
        <v/>
      </c>
      <c r="BQ102" s="1404">
        <f>SUM(BK102:BP102)</f>
        <v/>
      </c>
      <c r="BR102" s="1404" t="n"/>
      <c r="BS102" s="1404" t="n"/>
      <c r="BT102" s="1404" t="n"/>
      <c r="BU102" s="1404" t="n"/>
      <c r="BV102" s="1404" t="n"/>
      <c r="BW102" s="1404" t="n"/>
      <c r="BX102" s="1404">
        <f>SUM(BR102:BW102)</f>
        <v/>
      </c>
      <c r="BY102" s="1404" t="n"/>
      <c r="BZ102" s="1404" t="n"/>
      <c r="CA102" s="1404" t="n"/>
      <c r="CB102" s="1404" t="n"/>
      <c r="CC102" s="1404" t="n"/>
      <c r="CD102" s="1404" t="n"/>
      <c r="CE102" s="1404" t="n"/>
      <c r="CF102" s="1404" t="n"/>
      <c r="CG102" s="1404" t="n"/>
      <c r="CH102" s="1404" t="n"/>
      <c r="CI102" s="1404" t="n"/>
      <c r="CJ102" s="1404" t="n"/>
      <c r="CK102" s="1404">
        <f>SUM(CE102:CJ102)</f>
        <v/>
      </c>
    </row>
    <row r="103">
      <c r="A103" s="384" t="n"/>
      <c r="B103" s="384" t="n"/>
      <c r="C103" s="384" t="n"/>
      <c r="D103" s="384" t="n"/>
      <c r="E103" s="384" t="n"/>
      <c r="F103" s="384" t="n"/>
      <c r="G103" s="384" t="n"/>
      <c r="H103" s="384" t="n"/>
      <c r="I103" s="384" t="n"/>
      <c r="J103" s="384" t="n"/>
      <c r="K103" s="384" t="n"/>
      <c r="L103" s="384" t="n"/>
      <c r="M103" s="384" t="n"/>
      <c r="N103" s="384" t="n"/>
      <c r="O103" s="384" t="n"/>
      <c r="P103" s="384" t="n"/>
      <c r="Q103" s="384" t="n"/>
      <c r="R103" s="442" t="inlineStr">
        <is>
          <t xml:space="preserve">  炉渣销售收入</t>
        </is>
      </c>
      <c r="S103" s="1403" t="inlineStr"/>
      <c r="T103" s="1403" t="inlineStr">
        <is>
          <t>元</t>
        </is>
      </c>
      <c r="U103" s="271" t="inlineStr">
        <is>
          <t>A08903</t>
        </is>
      </c>
      <c r="V103" s="32">
        <f>IF(_epmOfflineCondition_,"A08903",EPMOlapMemberO(U103,"[C_ACCOUNT].[PARENTH1].[A08903]","A08903 -   炉渣销售收入","","000"))</f>
        <v/>
      </c>
      <c r="W103" s="1404">
        <f>AD103-AK103</f>
        <v/>
      </c>
      <c r="X103" s="1404">
        <f>AE103-AL103</f>
        <v/>
      </c>
      <c r="Y103" s="1404">
        <f>AF103-AM103</f>
        <v/>
      </c>
      <c r="Z103" s="1404">
        <f>AG103-AN103</f>
        <v/>
      </c>
      <c r="AA103" s="1404">
        <f>AH103-AO103</f>
        <v/>
      </c>
      <c r="AB103" s="1404">
        <f>AI103-AP103</f>
        <v/>
      </c>
      <c r="AC103" s="1404">
        <f>SUM(W103:AB103)</f>
        <v/>
      </c>
      <c r="AD103" s="1405" t="n"/>
      <c r="AE103" s="1405" t="n"/>
      <c r="AF103" s="1405" t="n"/>
      <c r="AG103" s="1405" t="n"/>
      <c r="AH103" s="1405" t="n"/>
      <c r="AI103" s="1405" t="n"/>
      <c r="AJ103" s="1404">
        <f>SUM(AD103:AI103)</f>
        <v/>
      </c>
      <c r="AK103" s="1404" t="n"/>
      <c r="AL103" s="1404" t="n"/>
      <c r="AM103" s="1404" t="n"/>
      <c r="AN103" s="1404" t="n"/>
      <c r="AO103" s="1404" t="n"/>
      <c r="AP103" s="1404" t="n"/>
      <c r="AQ103" s="1404" t="n"/>
      <c r="AR103" s="1404" t="n"/>
      <c r="AS103" s="1404" t="n"/>
      <c r="AT103" s="1404" t="n"/>
      <c r="AU103" s="1404" t="n"/>
      <c r="AV103" s="1404" t="n"/>
      <c r="AW103" s="1404">
        <f>AK103-AQ103</f>
        <v/>
      </c>
      <c r="AX103" s="1404">
        <f>AL103-AR103</f>
        <v/>
      </c>
      <c r="AY103" s="1404">
        <f>AM103-AS103</f>
        <v/>
      </c>
      <c r="AZ103" s="1404">
        <f>AN103-AT103</f>
        <v/>
      </c>
      <c r="BA103" s="1404">
        <f>AO103-AU103</f>
        <v/>
      </c>
      <c r="BB103" s="1404">
        <f>AP103-AV103</f>
        <v/>
      </c>
      <c r="BC103" s="1404">
        <f>SUM(AW103:BB103)</f>
        <v/>
      </c>
      <c r="BD103" s="1404" t="n"/>
      <c r="BE103" s="1404" t="n"/>
      <c r="BF103" s="1404" t="n"/>
      <c r="BG103" s="1404" t="n"/>
      <c r="BH103" s="1404" t="n"/>
      <c r="BI103" s="1404" t="n"/>
      <c r="BJ103" s="1404">
        <f>SUM(BC103:BI103)</f>
        <v/>
      </c>
      <c r="BK103" s="1404">
        <f>BR103-BY103</f>
        <v/>
      </c>
      <c r="BL103" s="1404">
        <f>BS103-BZ103</f>
        <v/>
      </c>
      <c r="BM103" s="1404">
        <f>BT103-CA103</f>
        <v/>
      </c>
      <c r="BN103" s="1404">
        <f>BU103-CB103</f>
        <v/>
      </c>
      <c r="BO103" s="1404">
        <f>BV103-CC103</f>
        <v/>
      </c>
      <c r="BP103" s="1404">
        <f>BW103-CD103</f>
        <v/>
      </c>
      <c r="BQ103" s="1404">
        <f>SUM(BK103:BP103)</f>
        <v/>
      </c>
      <c r="BR103" s="1404" t="n"/>
      <c r="BS103" s="1404" t="n"/>
      <c r="BT103" s="1404" t="n"/>
      <c r="BU103" s="1404" t="n"/>
      <c r="BV103" s="1404" t="n"/>
      <c r="BW103" s="1404" t="n"/>
      <c r="BX103" s="1404">
        <f>SUM(BR103:BW103)</f>
        <v/>
      </c>
      <c r="BY103" s="1404" t="n"/>
      <c r="BZ103" s="1404" t="n"/>
      <c r="CA103" s="1404" t="n"/>
      <c r="CB103" s="1404" t="n"/>
      <c r="CC103" s="1404" t="n"/>
      <c r="CD103" s="1404" t="n"/>
      <c r="CE103" s="1404" t="n"/>
      <c r="CF103" s="1404" t="n"/>
      <c r="CG103" s="1404" t="n"/>
      <c r="CH103" s="1404" t="n"/>
      <c r="CI103" s="1404" t="n"/>
      <c r="CJ103" s="1404" t="n"/>
      <c r="CK103" s="1404">
        <f>SUM(CE103:CJ103)</f>
        <v/>
      </c>
    </row>
    <row r="104">
      <c r="A104" s="384" t="n"/>
      <c r="B104" s="384" t="n"/>
      <c r="C104" s="384" t="n"/>
      <c r="D104" s="384" t="n"/>
      <c r="E104" s="384" t="n"/>
      <c r="F104" s="384" t="n"/>
      <c r="G104" s="384" t="n"/>
      <c r="H104" s="384" t="n"/>
      <c r="I104" s="384" t="n"/>
      <c r="J104" s="384" t="n"/>
      <c r="K104" s="384" t="n"/>
      <c r="L104" s="384" t="n"/>
      <c r="M104" s="384" t="n"/>
      <c r="N104" s="384" t="n"/>
      <c r="O104" s="384" t="n"/>
      <c r="P104" s="384" t="n"/>
      <c r="Q104" s="384" t="n"/>
      <c r="R104" s="442" t="inlineStr">
        <is>
          <t xml:space="preserve">  工程服务收入</t>
        </is>
      </c>
      <c r="S104" s="1403" t="inlineStr"/>
      <c r="T104" s="1403" t="inlineStr">
        <is>
          <t>元</t>
        </is>
      </c>
      <c r="U104" s="271" t="inlineStr">
        <is>
          <t>A08904</t>
        </is>
      </c>
      <c r="V104" s="32">
        <f>IF(_epmOfflineCondition_,"A08904",EPMOlapMemberO(U104,"[C_ACCOUNT].[PARENTH1].[A08904]","A08904 -   工程服务收入","","000"))</f>
        <v/>
      </c>
      <c r="W104" s="1404">
        <f>AD104-AK104</f>
        <v/>
      </c>
      <c r="X104" s="1404">
        <f>AE104-AL104</f>
        <v/>
      </c>
      <c r="Y104" s="1404">
        <f>AF104-AM104</f>
        <v/>
      </c>
      <c r="Z104" s="1404">
        <f>AG104-AN104</f>
        <v/>
      </c>
      <c r="AA104" s="1404">
        <f>AH104-AO104</f>
        <v/>
      </c>
      <c r="AB104" s="1404">
        <f>AI104-AP104</f>
        <v/>
      </c>
      <c r="AC104" s="1404">
        <f>SUM(W104:AB104)</f>
        <v/>
      </c>
      <c r="AD104" s="1405" t="n"/>
      <c r="AE104" s="1405" t="n"/>
      <c r="AF104" s="1405" t="n"/>
      <c r="AG104" s="1405" t="n"/>
      <c r="AH104" s="1405" t="n"/>
      <c r="AI104" s="1405" t="n"/>
      <c r="AJ104" s="1404">
        <f>SUM(AD104:AI104)</f>
        <v/>
      </c>
      <c r="AK104" s="1404" t="n"/>
      <c r="AL104" s="1404" t="n"/>
      <c r="AM104" s="1404" t="n"/>
      <c r="AN104" s="1404" t="n"/>
      <c r="AO104" s="1404" t="n"/>
      <c r="AP104" s="1404" t="n"/>
      <c r="AQ104" s="1404" t="n"/>
      <c r="AR104" s="1404" t="n"/>
      <c r="AS104" s="1404" t="n"/>
      <c r="AT104" s="1404" t="n"/>
      <c r="AU104" s="1404" t="n"/>
      <c r="AV104" s="1404" t="n"/>
      <c r="AW104" s="1404">
        <f>AK104-AQ104</f>
        <v/>
      </c>
      <c r="AX104" s="1404">
        <f>AL104-AR104</f>
        <v/>
      </c>
      <c r="AY104" s="1404">
        <f>AM104-AS104</f>
        <v/>
      </c>
      <c r="AZ104" s="1404">
        <f>AN104-AT104</f>
        <v/>
      </c>
      <c r="BA104" s="1404">
        <f>AO104-AU104</f>
        <v/>
      </c>
      <c r="BB104" s="1404">
        <f>AP104-AV104</f>
        <v/>
      </c>
      <c r="BC104" s="1404">
        <f>SUM(AW104:BB104)</f>
        <v/>
      </c>
      <c r="BD104" s="1404" t="n"/>
      <c r="BE104" s="1404" t="n"/>
      <c r="BF104" s="1404" t="n"/>
      <c r="BG104" s="1404" t="n"/>
      <c r="BH104" s="1404" t="n"/>
      <c r="BI104" s="1404" t="n"/>
      <c r="BJ104" s="1404">
        <f>SUM(BC104:BI104)</f>
        <v/>
      </c>
      <c r="BK104" s="1404">
        <f>BR104-BY104</f>
        <v/>
      </c>
      <c r="BL104" s="1404">
        <f>BS104-BZ104</f>
        <v/>
      </c>
      <c r="BM104" s="1404">
        <f>BT104-CA104</f>
        <v/>
      </c>
      <c r="BN104" s="1404">
        <f>BU104-CB104</f>
        <v/>
      </c>
      <c r="BO104" s="1404">
        <f>BV104-CC104</f>
        <v/>
      </c>
      <c r="BP104" s="1404">
        <f>BW104-CD104</f>
        <v/>
      </c>
      <c r="BQ104" s="1404">
        <f>SUM(BK104:BP104)</f>
        <v/>
      </c>
      <c r="BR104" s="1404" t="n"/>
      <c r="BS104" s="1404" t="n"/>
      <c r="BT104" s="1404" t="n"/>
      <c r="BU104" s="1404" t="n"/>
      <c r="BV104" s="1404" t="n"/>
      <c r="BW104" s="1404" t="n"/>
      <c r="BX104" s="1404">
        <f>SUM(BR104:BW104)</f>
        <v/>
      </c>
      <c r="BY104" s="1404" t="n"/>
      <c r="BZ104" s="1404" t="n"/>
      <c r="CA104" s="1404" t="n"/>
      <c r="CB104" s="1404" t="n"/>
      <c r="CC104" s="1404" t="n"/>
      <c r="CD104" s="1404" t="n"/>
      <c r="CE104" s="1404" t="n"/>
      <c r="CF104" s="1404" t="n"/>
      <c r="CG104" s="1404" t="n"/>
      <c r="CH104" s="1404" t="n"/>
      <c r="CI104" s="1404" t="n"/>
      <c r="CJ104" s="1404" t="n"/>
      <c r="CK104" s="1404">
        <f>SUM(CE104:CJ104)</f>
        <v/>
      </c>
    </row>
    <row r="105">
      <c r="A105" s="384" t="n"/>
      <c r="B105" s="384" t="n"/>
      <c r="C105" s="384" t="n"/>
      <c r="D105" s="384" t="n"/>
      <c r="E105" s="384" t="n"/>
      <c r="F105" s="384" t="n"/>
      <c r="G105" s="384" t="n"/>
      <c r="H105" s="384" t="n"/>
      <c r="I105" s="384" t="n"/>
      <c r="J105" s="384" t="n"/>
      <c r="K105" s="384" t="n"/>
      <c r="L105" s="384" t="n"/>
      <c r="M105" s="384" t="n"/>
      <c r="N105" s="384" t="n"/>
      <c r="O105" s="384" t="n"/>
      <c r="P105" s="384" t="n"/>
      <c r="Q105" s="384" t="n"/>
      <c r="R105" s="423" t="inlineStr">
        <is>
          <t xml:space="preserve">  检修、维护收入</t>
        </is>
      </c>
      <c r="S105" s="1403" t="inlineStr"/>
      <c r="T105" s="1403" t="inlineStr">
        <is>
          <t>元</t>
        </is>
      </c>
      <c r="U105" s="271" t="inlineStr">
        <is>
          <t>A08905</t>
        </is>
      </c>
      <c r="V105" s="32">
        <f>IF(_epmOfflineCondition_,"A08905",EPMOlapMemberO(U105,"[C_ACCOUNT].[PARENTH1].[A08905]","A08905 -   检修、维护收入","","000"))</f>
        <v/>
      </c>
      <c r="W105" s="1404">
        <f>AD105-AK105</f>
        <v/>
      </c>
      <c r="X105" s="1404">
        <f>AE105-AL105</f>
        <v/>
      </c>
      <c r="Y105" s="1404">
        <f>AF105-AM105</f>
        <v/>
      </c>
      <c r="Z105" s="1404">
        <f>AG105-AN105</f>
        <v/>
      </c>
      <c r="AA105" s="1404">
        <f>AH105-AO105</f>
        <v/>
      </c>
      <c r="AB105" s="1404">
        <f>AI105-AP105</f>
        <v/>
      </c>
      <c r="AC105" s="1404">
        <f>SUM(W105:AB105)</f>
        <v/>
      </c>
      <c r="AD105" s="1405" t="n"/>
      <c r="AE105" s="1405" t="n"/>
      <c r="AF105" s="1405" t="n"/>
      <c r="AG105" s="1405" t="n"/>
      <c r="AH105" s="1405" t="n"/>
      <c r="AI105" s="1405" t="n"/>
      <c r="AJ105" s="1404">
        <f>SUM(AD105:AI105)</f>
        <v/>
      </c>
      <c r="AK105" s="1404" t="n"/>
      <c r="AL105" s="1404" t="n"/>
      <c r="AM105" s="1404" t="n"/>
      <c r="AN105" s="1404" t="n"/>
      <c r="AO105" s="1404" t="n"/>
      <c r="AP105" s="1404" t="n"/>
      <c r="AQ105" s="1404" t="n"/>
      <c r="AR105" s="1404" t="n"/>
      <c r="AS105" s="1404" t="n"/>
      <c r="AT105" s="1404" t="n"/>
      <c r="AU105" s="1404" t="n"/>
      <c r="AV105" s="1404" t="n"/>
      <c r="AW105" s="1404">
        <f>AK105-AQ105</f>
        <v/>
      </c>
      <c r="AX105" s="1404">
        <f>AL105-AR105</f>
        <v/>
      </c>
      <c r="AY105" s="1404">
        <f>AM105-AS105</f>
        <v/>
      </c>
      <c r="AZ105" s="1404">
        <f>AN105-AT105</f>
        <v/>
      </c>
      <c r="BA105" s="1404">
        <f>AO105-AU105</f>
        <v/>
      </c>
      <c r="BB105" s="1404">
        <f>AP105-AV105</f>
        <v/>
      </c>
      <c r="BC105" s="1404">
        <f>SUM(AW105:BB105)</f>
        <v/>
      </c>
      <c r="BD105" s="1404" t="n"/>
      <c r="BE105" s="1404" t="n"/>
      <c r="BF105" s="1404" t="n"/>
      <c r="BG105" s="1404" t="n"/>
      <c r="BH105" s="1404" t="n"/>
      <c r="BI105" s="1404" t="n"/>
      <c r="BJ105" s="1404">
        <f>SUM(BC105:BI105)</f>
        <v/>
      </c>
      <c r="BK105" s="1404">
        <f>BR105-BY105</f>
        <v/>
      </c>
      <c r="BL105" s="1404">
        <f>BS105-BZ105</f>
        <v/>
      </c>
      <c r="BM105" s="1404">
        <f>BT105-CA105</f>
        <v/>
      </c>
      <c r="BN105" s="1404">
        <f>BU105-CB105</f>
        <v/>
      </c>
      <c r="BO105" s="1404">
        <f>BV105-CC105</f>
        <v/>
      </c>
      <c r="BP105" s="1404">
        <f>BW105-CD105</f>
        <v/>
      </c>
      <c r="BQ105" s="1404">
        <f>SUM(BK105:BP105)</f>
        <v/>
      </c>
      <c r="BR105" s="1404" t="n"/>
      <c r="BS105" s="1404" t="n"/>
      <c r="BT105" s="1404" t="n"/>
      <c r="BU105" s="1404" t="n"/>
      <c r="BV105" s="1404" t="n"/>
      <c r="BW105" s="1404" t="n"/>
      <c r="BX105" s="1404">
        <f>SUM(BR105:BW105)</f>
        <v/>
      </c>
      <c r="BY105" s="1404" t="n"/>
      <c r="BZ105" s="1404" t="n"/>
      <c r="CA105" s="1404" t="n"/>
      <c r="CB105" s="1404" t="n"/>
      <c r="CC105" s="1404" t="n"/>
      <c r="CD105" s="1404" t="n"/>
      <c r="CE105" s="1404" t="n"/>
      <c r="CF105" s="1404" t="n"/>
      <c r="CG105" s="1404" t="n"/>
      <c r="CH105" s="1404" t="n"/>
      <c r="CI105" s="1404" t="n"/>
      <c r="CJ105" s="1404" t="n"/>
      <c r="CK105" s="1404">
        <f>SUM(CE105:CJ105)</f>
        <v/>
      </c>
    </row>
    <row r="106">
      <c r="A106" s="384" t="n"/>
      <c r="B106" s="384" t="n"/>
      <c r="C106" s="384" t="n"/>
      <c r="D106" s="384" t="n"/>
      <c r="E106" s="384" t="n"/>
      <c r="F106" s="384" t="n"/>
      <c r="G106" s="384" t="n"/>
      <c r="H106" s="384" t="n"/>
      <c r="I106" s="384" t="n"/>
      <c r="J106" s="384" t="n"/>
      <c r="K106" s="384" t="n"/>
      <c r="L106" s="384" t="n"/>
      <c r="M106" s="384" t="n"/>
      <c r="N106" s="384" t="n"/>
      <c r="O106" s="384" t="n"/>
      <c r="P106" s="384" t="n"/>
      <c r="Q106" s="384" t="n"/>
      <c r="R106" s="423" t="inlineStr">
        <is>
          <t xml:space="preserve">  租赁收入</t>
        </is>
      </c>
      <c r="S106" s="1403" t="inlineStr"/>
      <c r="T106" s="1403" t="inlineStr">
        <is>
          <t>元</t>
        </is>
      </c>
      <c r="U106" s="271" t="inlineStr">
        <is>
          <t>A08906</t>
        </is>
      </c>
      <c r="V106" s="32">
        <f>IF(_epmOfflineCondition_,"A08906",EPMOlapMemberO(U106,"[C_ACCOUNT].[PARENTH1].[A08906]","A08906 -   租赁收入","","000"))</f>
        <v/>
      </c>
      <c r="W106" s="1404">
        <f>AD106-AK106</f>
        <v/>
      </c>
      <c r="X106" s="1404">
        <f>AE106-AL106</f>
        <v/>
      </c>
      <c r="Y106" s="1404">
        <f>AF106-AM106</f>
        <v/>
      </c>
      <c r="Z106" s="1404">
        <f>AG106-AN106</f>
        <v/>
      </c>
      <c r="AA106" s="1404">
        <f>AH106-AO106</f>
        <v/>
      </c>
      <c r="AB106" s="1404">
        <f>AI106-AP106</f>
        <v/>
      </c>
      <c r="AC106" s="1404">
        <f>SUM(W106:AB106)</f>
        <v/>
      </c>
      <c r="AD106" s="1405" t="n"/>
      <c r="AE106" s="1405" t="n"/>
      <c r="AF106" s="1405" t="n"/>
      <c r="AG106" s="1405" t="n"/>
      <c r="AH106" s="1405" t="n"/>
      <c r="AI106" s="1405" t="n"/>
      <c r="AJ106" s="1404">
        <f>SUM(AD106:AI106)</f>
        <v/>
      </c>
      <c r="AK106" s="1404" t="n"/>
      <c r="AL106" s="1404" t="n"/>
      <c r="AM106" s="1404" t="n"/>
      <c r="AN106" s="1404" t="n"/>
      <c r="AO106" s="1404" t="n"/>
      <c r="AP106" s="1404" t="n"/>
      <c r="AQ106" s="1404" t="n"/>
      <c r="AR106" s="1404" t="n"/>
      <c r="AS106" s="1404" t="n"/>
      <c r="AT106" s="1404" t="n"/>
      <c r="AU106" s="1404" t="n"/>
      <c r="AV106" s="1404" t="n"/>
      <c r="AW106" s="1404">
        <f>AK106-AQ106</f>
        <v/>
      </c>
      <c r="AX106" s="1404">
        <f>AL106-AR106</f>
        <v/>
      </c>
      <c r="AY106" s="1404">
        <f>AM106-AS106</f>
        <v/>
      </c>
      <c r="AZ106" s="1404">
        <f>AN106-AT106</f>
        <v/>
      </c>
      <c r="BA106" s="1404">
        <f>AO106-AU106</f>
        <v/>
      </c>
      <c r="BB106" s="1404">
        <f>AP106-AV106</f>
        <v/>
      </c>
      <c r="BC106" s="1404">
        <f>SUM(AW106:BB106)</f>
        <v/>
      </c>
      <c r="BD106" s="1404" t="n"/>
      <c r="BE106" s="1404" t="n"/>
      <c r="BF106" s="1404" t="n"/>
      <c r="BG106" s="1404" t="n"/>
      <c r="BH106" s="1404" t="n"/>
      <c r="BI106" s="1404" t="n"/>
      <c r="BJ106" s="1404">
        <f>SUM(BC106:BI106)</f>
        <v/>
      </c>
      <c r="BK106" s="1404">
        <f>BR106-BY106</f>
        <v/>
      </c>
      <c r="BL106" s="1404">
        <f>BS106-BZ106</f>
        <v/>
      </c>
      <c r="BM106" s="1404">
        <f>BT106-CA106</f>
        <v/>
      </c>
      <c r="BN106" s="1404">
        <f>BU106-CB106</f>
        <v/>
      </c>
      <c r="BO106" s="1404">
        <f>BV106-CC106</f>
        <v/>
      </c>
      <c r="BP106" s="1404">
        <f>BW106-CD106</f>
        <v/>
      </c>
      <c r="BQ106" s="1404">
        <f>SUM(BK106:BP106)</f>
        <v/>
      </c>
      <c r="BR106" s="1404" t="n"/>
      <c r="BS106" s="1404" t="n"/>
      <c r="BT106" s="1404" t="n"/>
      <c r="BU106" s="1404" t="n"/>
      <c r="BV106" s="1404" t="n"/>
      <c r="BW106" s="1404" t="n"/>
      <c r="BX106" s="1404">
        <f>SUM(BR106:BW106)</f>
        <v/>
      </c>
      <c r="BY106" s="1404" t="n"/>
      <c r="BZ106" s="1404" t="n"/>
      <c r="CA106" s="1404" t="n"/>
      <c r="CB106" s="1404" t="n"/>
      <c r="CC106" s="1404" t="n"/>
      <c r="CD106" s="1404" t="n"/>
      <c r="CE106" s="1404" t="n"/>
      <c r="CF106" s="1404" t="n"/>
      <c r="CG106" s="1404" t="n"/>
      <c r="CH106" s="1404" t="n"/>
      <c r="CI106" s="1404" t="n"/>
      <c r="CJ106" s="1404" t="n"/>
      <c r="CK106" s="1404">
        <f>SUM(CE106:CJ106)</f>
        <v/>
      </c>
    </row>
    <row r="107" ht="17.55" customHeight="1" s="1181">
      <c r="A107" s="384" t="n"/>
      <c r="B107" s="384" t="n"/>
      <c r="C107" s="384" t="n"/>
      <c r="D107" s="384" t="n"/>
      <c r="E107" s="384" t="n"/>
      <c r="F107" s="384" t="n"/>
      <c r="G107" s="384" t="n"/>
      <c r="H107" s="384" t="n"/>
      <c r="I107" s="384" t="n"/>
      <c r="J107" s="384" t="n"/>
      <c r="K107" s="384" t="n"/>
      <c r="L107" s="384" t="n"/>
      <c r="M107" s="384" t="n"/>
      <c r="N107" s="384" t="n"/>
      <c r="O107" s="384" t="n"/>
      <c r="P107" s="384" t="n"/>
      <c r="Q107" s="384" t="n"/>
      <c r="R107" s="446" t="inlineStr">
        <is>
          <t xml:space="preserve">  其他</t>
        </is>
      </c>
      <c r="S107" s="1408" t="inlineStr"/>
      <c r="T107" s="1408" t="inlineStr">
        <is>
          <t>元</t>
        </is>
      </c>
      <c r="U107" s="271" t="inlineStr">
        <is>
          <t>A08907</t>
        </is>
      </c>
      <c r="V107" s="32">
        <f>IF(_epmOfflineCondition_,"A08907",EPMOlapMemberO(U107,"[C_ACCOUNT].[PARENTH1].[A08907]","A08907 -   其他","","000"))</f>
        <v/>
      </c>
      <c r="W107" s="1404">
        <f>AD107-AK107</f>
        <v/>
      </c>
      <c r="X107" s="1404">
        <f>AE107-AL107</f>
        <v/>
      </c>
      <c r="Y107" s="1404">
        <f>AF107-AM107</f>
        <v/>
      </c>
      <c r="Z107" s="1404">
        <f>AG107-AN107</f>
        <v/>
      </c>
      <c r="AA107" s="1404">
        <f>AH107-AO107</f>
        <v/>
      </c>
      <c r="AB107" s="1404">
        <f>AI107-AP107</f>
        <v/>
      </c>
      <c r="AC107" s="1404">
        <f>SUM(W107:AB107)</f>
        <v/>
      </c>
      <c r="AD107" s="1405" t="n"/>
      <c r="AE107" s="1405" t="n"/>
      <c r="AF107" s="1405" t="n"/>
      <c r="AG107" s="1405" t="n"/>
      <c r="AH107" s="1405" t="n"/>
      <c r="AI107" s="1405" t="n"/>
      <c r="AJ107" s="1404">
        <f>SUM(AD107:AI107)</f>
        <v/>
      </c>
      <c r="AK107" s="1404" t="n"/>
      <c r="AL107" s="1404" t="n"/>
      <c r="AM107" s="1404" t="n"/>
      <c r="AN107" s="1404" t="n"/>
      <c r="AO107" s="1404" t="n"/>
      <c r="AP107" s="1404" t="n"/>
      <c r="AQ107" s="1404" t="n"/>
      <c r="AR107" s="1404" t="n"/>
      <c r="AS107" s="1404" t="n"/>
      <c r="AT107" s="1404" t="n"/>
      <c r="AU107" s="1404" t="n"/>
      <c r="AV107" s="1404" t="n"/>
      <c r="AW107" s="1404">
        <f>AK107-AQ107</f>
        <v/>
      </c>
      <c r="AX107" s="1404">
        <f>AL107-AR107</f>
        <v/>
      </c>
      <c r="AY107" s="1404">
        <f>AM107-AS107</f>
        <v/>
      </c>
      <c r="AZ107" s="1404">
        <f>AN107-AT107</f>
        <v/>
      </c>
      <c r="BA107" s="1404">
        <f>AO107-AU107</f>
        <v/>
      </c>
      <c r="BB107" s="1404">
        <f>AP107-AV107</f>
        <v/>
      </c>
      <c r="BC107" s="1404">
        <f>SUM(AW107:BB107)</f>
        <v/>
      </c>
      <c r="BD107" s="1404" t="n"/>
      <c r="BE107" s="1404" t="n"/>
      <c r="BF107" s="1404" t="n"/>
      <c r="BG107" s="1404" t="n"/>
      <c r="BH107" s="1404" t="n"/>
      <c r="BI107" s="1404" t="n"/>
      <c r="BJ107" s="1404">
        <f>SUM(BC107:BI107)</f>
        <v/>
      </c>
      <c r="BK107" s="1404">
        <f>BR107-BY107</f>
        <v/>
      </c>
      <c r="BL107" s="1404">
        <f>BS107-BZ107</f>
        <v/>
      </c>
      <c r="BM107" s="1404">
        <f>BT107-CA107</f>
        <v/>
      </c>
      <c r="BN107" s="1404">
        <f>BU107-CB107</f>
        <v/>
      </c>
      <c r="BO107" s="1404">
        <f>BV107-CC107</f>
        <v/>
      </c>
      <c r="BP107" s="1404">
        <f>BW107-CD107</f>
        <v/>
      </c>
      <c r="BQ107" s="1404">
        <f>SUM(BK107:BP107)</f>
        <v/>
      </c>
      <c r="BR107" s="1404" t="n"/>
      <c r="BS107" s="1404" t="n"/>
      <c r="BT107" s="1404" t="n"/>
      <c r="BU107" s="1404" t="n"/>
      <c r="BV107" s="1404" t="n"/>
      <c r="BW107" s="1404" t="n"/>
      <c r="BX107" s="1404">
        <f>SUM(BR107:BW107)</f>
        <v/>
      </c>
      <c r="BY107" s="1404" t="n"/>
      <c r="BZ107" s="1404" t="n"/>
      <c r="CA107" s="1404" t="n"/>
      <c r="CB107" s="1404" t="n"/>
      <c r="CC107" s="1404" t="n"/>
      <c r="CD107" s="1404" t="n"/>
      <c r="CE107" s="1404" t="n"/>
      <c r="CF107" s="1404" t="n"/>
      <c r="CG107" s="1404" t="n"/>
      <c r="CH107" s="1404" t="n"/>
      <c r="CI107" s="1404" t="n"/>
      <c r="CJ107" s="1404" t="n"/>
      <c r="CK107" s="1404">
        <f>SUM(CE107:CJ107)</f>
        <v/>
      </c>
    </row>
  </sheetData>
  <sheetProtection selectLockedCells="0" selectUnlockedCells="0" algorithmName="SHA-512" sheet="1" objects="0" insertRows="1" insertHyperlinks="1" autoFilter="1" scenarios="1" formatColumns="1" deleteColumns="1" insertColumns="1" pivotTables="1" deleteRows="1" formatCells="1" saltValue="iCfnqpayCNqHJ4lwh3U2qg==" formatRows="1" sort="1" spinCount="100000" hashValue="47yqmHERvHx9HBZiVRZuyDk5avaEGMyjDAHx76JQNQHqPa3V+hA+kacZIZB5InM60nM5yIWkWUO8cSiOusYtFQ=="/>
  <mergeCells count="16">
    <mergeCell ref="Z36:AC36"/>
    <mergeCell ref="Z37:AC37"/>
    <mergeCell ref="Z38:AC38"/>
    <mergeCell ref="W40:AC40"/>
    <mergeCell ref="AD40:AJ40"/>
    <mergeCell ref="AK40:AP40"/>
    <mergeCell ref="AQ40:AV40"/>
    <mergeCell ref="AW40:BC40"/>
    <mergeCell ref="BD40:BJ40"/>
    <mergeCell ref="BK40:BQ40"/>
    <mergeCell ref="BR40:BX40"/>
    <mergeCell ref="BY40:CD40"/>
    <mergeCell ref="CE40:CK40"/>
    <mergeCell ref="R40:R41"/>
    <mergeCell ref="S40:S41"/>
    <mergeCell ref="T40:T41"/>
  </mergeCells>
  <dataValidations count="1">
    <dataValidation sqref="X37" showErrorMessage="1" showInputMessage="1" allowBlank="1" type="list">
      <formula1>$E$17:$E$19</formula1>
    </dataValidation>
  </dataValidations>
  <pageMargins left="0.7" right="0.7" top="0.75" bottom="0.75" header="0.3" footer="0.3"/>
  <pageSetup orientation="portrait" paperSize="9"/>
  <drawing xmlns:r="http://schemas.openxmlformats.org/officeDocument/2006/relationships" r:id="rId1"/>
</worksheet>
</file>

<file path=xl/worksheets/sheet37.xml><?xml version="1.0" encoding="utf-8"?>
<worksheet xmlns="http://schemas.openxmlformats.org/spreadsheetml/2006/main">
  <sheetPr codeName="Sheet7">
    <outlinePr summaryBelow="1" summaryRight="1"/>
    <pageSetUpPr/>
  </sheetPr>
  <dimension ref="A1:DP113"/>
  <sheetViews>
    <sheetView topLeftCell="U38" zoomScale="80" zoomScaleNormal="80" workbookViewId="0">
      <selection activeCell="AR61" sqref="AR61"/>
    </sheetView>
  </sheetViews>
  <sheetFormatPr baseColWidth="8" defaultColWidth="9" defaultRowHeight="16.8"/>
  <cols>
    <col hidden="1" outlineLevel="1" width="7.75" customWidth="1" style="1181" min="1" max="1"/>
    <col hidden="1" outlineLevel="1" width="15.125" customWidth="1" style="1181" min="2" max="2"/>
    <col hidden="1" outlineLevel="1" width="11.375" customWidth="1" style="1181" min="3" max="3"/>
    <col hidden="1" outlineLevel="1" width="36.375" customWidth="1" style="1181" min="4" max="4"/>
    <col hidden="1" outlineLevel="1" width="8.625" customWidth="1" style="1181" min="5" max="20"/>
    <col collapsed="1" width="2.5" customWidth="1" style="1181" min="21" max="21"/>
    <col width="33.375" customWidth="1" style="1181" min="22" max="22"/>
    <col hidden="1" outlineLevel="1" width="19" customWidth="1" style="1181" min="23" max="23"/>
    <col hidden="1" outlineLevel="1" width="23.75" customWidth="1" style="1181" min="24" max="24"/>
    <col hidden="1" collapsed="1" width="23.625" customWidth="1" style="1181" min="25" max="25"/>
    <col hidden="1" width="23.625" customWidth="1" style="1181" min="26" max="40"/>
    <col width="23.625" customWidth="1" style="1181" min="41" max="48"/>
    <col hidden="1" outlineLevel="1" width="23.625" customWidth="1" style="1181" min="49" max="72"/>
    <col collapsed="1" width="23.625" customWidth="1" style="1181" min="73" max="73"/>
    <col width="23.625" customWidth="1" style="1181" min="74" max="96"/>
    <col hidden="1" outlineLevel="1" width="23.625" customWidth="1" style="1181" min="97" max="104"/>
    <col collapsed="1" width="23.625" customWidth="1" style="1181" min="105" max="105"/>
    <col width="23.625" customWidth="1" style="1181" min="106" max="120"/>
  </cols>
  <sheetData>
    <row r="1" hidden="1" outlineLevel="1" s="1181">
      <c r="A1" s="172" t="inlineStr">
        <is>
          <t>维度清单</t>
        </is>
      </c>
      <c r="B1" s="462" t="n"/>
      <c r="C1" s="173" t="n"/>
      <c r="D1" s="173" t="n"/>
      <c r="E1" s="716" t="n"/>
      <c r="F1" s="384" t="n"/>
      <c r="G1" s="384" t="n"/>
      <c r="H1" s="384" t="n"/>
      <c r="I1" s="384" t="n"/>
      <c r="J1" s="384" t="n"/>
      <c r="K1" s="384" t="n"/>
      <c r="L1" s="384" t="n"/>
      <c r="M1" s="384" t="n"/>
      <c r="N1" s="384" t="n"/>
      <c r="O1" s="384" t="n"/>
      <c r="P1" s="384" t="n"/>
      <c r="Q1" s="384" t="n"/>
      <c r="R1" s="384" t="n"/>
      <c r="S1" s="384" t="n"/>
      <c r="T1" s="384" t="n"/>
      <c r="U1" s="384" t="n"/>
      <c r="V1" s="384" t="n"/>
      <c r="W1" s="384" t="n"/>
      <c r="X1" s="384" t="n"/>
      <c r="Y1" s="384" t="n"/>
      <c r="Z1" s="384" t="n"/>
      <c r="AA1" s="384" t="n"/>
      <c r="AB1" s="384" t="n"/>
      <c r="AC1" s="384" t="n"/>
      <c r="AD1" s="384" t="n"/>
      <c r="AE1" s="384" t="n"/>
      <c r="AF1" s="384" t="n"/>
      <c r="AG1" s="384" t="n"/>
      <c r="AH1" s="384" t="n"/>
      <c r="AI1" s="384" t="n"/>
      <c r="AJ1" s="384" t="n"/>
      <c r="AK1" s="384" t="n"/>
      <c r="AL1" s="384" t="n"/>
      <c r="AM1" s="384" t="n"/>
      <c r="AN1" s="384" t="n"/>
      <c r="AO1" s="384" t="n"/>
      <c r="AP1" s="384" t="n"/>
      <c r="AQ1" s="384" t="n"/>
      <c r="AR1" s="384" t="n"/>
      <c r="AS1" s="384" t="n"/>
      <c r="AT1" s="384" t="n"/>
      <c r="AU1" s="384" t="n"/>
      <c r="AV1" s="384" t="n"/>
      <c r="AW1" s="384" t="n"/>
      <c r="AX1" s="384" t="n"/>
      <c r="AY1" s="384" t="n"/>
      <c r="AZ1" s="384" t="n"/>
      <c r="BA1" s="384" t="n"/>
      <c r="BB1" s="384" t="n"/>
      <c r="BC1" s="384" t="n"/>
      <c r="BD1" s="384" t="n"/>
      <c r="BE1" s="384" t="n"/>
      <c r="BF1" s="384" t="n"/>
      <c r="BG1" s="384" t="n"/>
      <c r="BH1" s="384" t="n"/>
      <c r="BI1" s="384" t="n"/>
      <c r="BJ1" s="384" t="n"/>
      <c r="BK1" s="384" t="n"/>
      <c r="BL1" s="384" t="n"/>
      <c r="BM1" s="384" t="n"/>
      <c r="BN1" s="384" t="n"/>
      <c r="BO1" s="384" t="n"/>
      <c r="BP1" s="384" t="n"/>
      <c r="BQ1" s="384" t="n"/>
      <c r="BR1" s="384" t="n"/>
      <c r="BS1" s="384" t="n"/>
      <c r="BT1" s="384" t="n"/>
      <c r="BU1" s="384" t="n"/>
      <c r="BV1" s="384" t="n"/>
      <c r="BW1" s="384" t="n"/>
      <c r="BX1" s="384" t="n"/>
      <c r="BY1" s="384" t="n"/>
      <c r="BZ1" s="384" t="n"/>
      <c r="CA1" s="384" t="n"/>
      <c r="CB1" s="384" t="n"/>
      <c r="CC1" s="384" t="n"/>
      <c r="CD1" s="384" t="n"/>
      <c r="CE1" s="384" t="n"/>
      <c r="CF1" s="384" t="n"/>
      <c r="CG1" s="384" t="n"/>
      <c r="CH1" s="384" t="n"/>
      <c r="CI1" s="384" t="n"/>
      <c r="CJ1" s="384" t="n"/>
      <c r="CK1" s="384" t="n"/>
      <c r="CL1" s="384" t="n"/>
      <c r="CM1" s="384" t="n"/>
      <c r="CN1" s="384" t="n"/>
      <c r="CO1" s="384" t="n"/>
      <c r="CP1" s="384" t="n"/>
      <c r="CQ1" s="384" t="n"/>
      <c r="CR1" s="384" t="n"/>
      <c r="CS1" s="384" t="n"/>
      <c r="CT1" s="384" t="n"/>
      <c r="CU1" s="384" t="n"/>
      <c r="CV1" s="384" t="n"/>
      <c r="CW1" s="384" t="n"/>
      <c r="CX1" s="384" t="n"/>
      <c r="CY1" s="384" t="n"/>
      <c r="CZ1" s="384" t="n"/>
      <c r="DA1" s="384" t="n"/>
      <c r="DB1" s="384" t="n"/>
      <c r="DC1" s="384" t="n"/>
      <c r="DD1" s="384" t="n"/>
      <c r="DE1" s="384" t="n"/>
      <c r="DF1" s="384" t="n"/>
      <c r="DG1" s="384" t="n"/>
      <c r="DH1" s="384" t="n"/>
      <c r="DI1" s="384" t="n"/>
      <c r="DJ1" s="384" t="n"/>
      <c r="DK1" s="384" t="n"/>
      <c r="DL1" s="384" t="n"/>
      <c r="DM1" s="384" t="n"/>
      <c r="DN1" s="384" t="n"/>
      <c r="DO1" s="384" t="n"/>
      <c r="DP1" s="384" t="n"/>
    </row>
    <row r="2" hidden="1" outlineLevel="1" s="1181">
      <c r="A2" s="174" t="inlineStr">
        <is>
          <t>维度类型</t>
        </is>
      </c>
      <c r="B2" s="174" t="inlineStr">
        <is>
          <t>维度</t>
        </is>
      </c>
      <c r="C2" s="174" t="inlineStr">
        <is>
          <t>维度CV值</t>
        </is>
      </c>
      <c r="D2" s="174" t="inlineStr">
        <is>
          <t>描述</t>
        </is>
      </c>
      <c r="E2" s="174" t="inlineStr">
        <is>
          <t>备注</t>
        </is>
      </c>
      <c r="F2" s="174" t="n"/>
      <c r="G2" s="174" t="n"/>
      <c r="H2" s="174" t="n"/>
      <c r="I2" s="174" t="n"/>
      <c r="J2" s="384" t="n"/>
      <c r="K2" s="384" t="n"/>
      <c r="L2" s="384" t="n"/>
      <c r="M2" s="384" t="n"/>
      <c r="N2" s="384" t="n"/>
      <c r="O2" s="384" t="n"/>
      <c r="P2" s="384" t="n"/>
      <c r="Q2" s="384" t="n"/>
      <c r="R2" s="384" t="n"/>
      <c r="S2" s="384" t="n"/>
      <c r="T2" s="384" t="n"/>
      <c r="U2" s="384" t="n"/>
      <c r="V2" s="384" t="n"/>
      <c r="W2" s="384" t="n"/>
      <c r="X2" s="384" t="n"/>
      <c r="Y2" s="384" t="n"/>
      <c r="Z2" s="384" t="n"/>
      <c r="AA2" s="384" t="n"/>
      <c r="AB2" s="384" t="n"/>
      <c r="AC2" s="384" t="n"/>
      <c r="AD2" s="384" t="n"/>
      <c r="AE2" s="384" t="n"/>
      <c r="AF2" s="384" t="n"/>
      <c r="AG2" s="384" t="n"/>
      <c r="AH2" s="384" t="n"/>
      <c r="AI2" s="384" t="n"/>
      <c r="AJ2" s="384" t="n"/>
      <c r="AK2" s="384" t="n"/>
      <c r="AL2" s="384" t="n"/>
      <c r="AM2" s="384" t="n"/>
      <c r="AN2" s="384" t="n"/>
      <c r="AO2" s="384" t="n"/>
      <c r="AP2" s="384" t="n"/>
      <c r="AQ2" s="384" t="n"/>
      <c r="AR2" s="384" t="n"/>
      <c r="AS2" s="384" t="n"/>
      <c r="AT2" s="384" t="n"/>
      <c r="AU2" s="384" t="n"/>
      <c r="AV2" s="384" t="n"/>
      <c r="AW2" s="384" t="n"/>
      <c r="AX2" s="384" t="n"/>
      <c r="AY2" s="384" t="n"/>
      <c r="AZ2" s="384" t="n"/>
      <c r="BA2" s="384" t="n"/>
      <c r="BB2" s="384" t="n"/>
      <c r="BC2" s="384" t="n"/>
      <c r="BD2" s="384" t="n"/>
      <c r="BE2" s="384" t="n"/>
      <c r="BF2" s="384" t="n"/>
      <c r="BG2" s="384" t="n"/>
      <c r="BH2" s="384" t="n"/>
      <c r="BI2" s="384" t="n"/>
      <c r="BJ2" s="384" t="n"/>
      <c r="BK2" s="384" t="n"/>
      <c r="BL2" s="384" t="n"/>
      <c r="BM2" s="384" t="n"/>
      <c r="BN2" s="384" t="n"/>
      <c r="BO2" s="384" t="n"/>
      <c r="BP2" s="384" t="n"/>
      <c r="BQ2" s="384" t="n"/>
      <c r="BR2" s="384" t="n"/>
      <c r="BS2" s="384" t="n"/>
      <c r="BT2" s="384" t="n"/>
      <c r="BU2" s="384" t="n"/>
      <c r="BV2" s="384" t="n"/>
      <c r="BW2" s="384" t="n"/>
      <c r="BX2" s="384" t="n"/>
      <c r="BY2" s="384" t="n"/>
      <c r="BZ2" s="384" t="n"/>
      <c r="CA2" s="384" t="n"/>
      <c r="CB2" s="384" t="n"/>
      <c r="CC2" s="384" t="n"/>
      <c r="CD2" s="384" t="n"/>
      <c r="CE2" s="384" t="n"/>
      <c r="CF2" s="384" t="n"/>
      <c r="CG2" s="384" t="n"/>
      <c r="CH2" s="384" t="n"/>
      <c r="CI2" s="384" t="n"/>
      <c r="CJ2" s="384" t="n"/>
      <c r="CK2" s="384" t="n"/>
      <c r="CL2" s="384" t="n"/>
      <c r="CM2" s="384" t="n"/>
      <c r="CN2" s="384" t="n"/>
      <c r="CO2" s="384" t="n"/>
      <c r="CP2" s="384" t="n"/>
      <c r="CQ2" s="384" t="n"/>
      <c r="CR2" s="384" t="n"/>
      <c r="CS2" s="384" t="n"/>
      <c r="CT2" s="384" t="n"/>
      <c r="CU2" s="384" t="n"/>
      <c r="CV2" s="384" t="n"/>
      <c r="CW2" s="384" t="n"/>
      <c r="CX2" s="384" t="n"/>
      <c r="CY2" s="384" t="n"/>
      <c r="CZ2" s="384" t="n"/>
      <c r="DA2" s="384" t="n"/>
      <c r="DB2" s="384" t="n"/>
      <c r="DC2" s="384" t="n"/>
      <c r="DD2" s="384" t="n"/>
      <c r="DE2" s="384" t="n"/>
      <c r="DF2" s="384" t="n"/>
      <c r="DG2" s="384" t="n"/>
      <c r="DH2" s="384" t="n"/>
      <c r="DI2" s="384" t="n"/>
      <c r="DJ2" s="384" t="n"/>
      <c r="DK2" s="384" t="n"/>
      <c r="DL2" s="384" t="n"/>
      <c r="DM2" s="384" t="n"/>
      <c r="DN2" s="384" t="n"/>
      <c r="DO2" s="384" t="n"/>
      <c r="DP2" s="384" t="n"/>
    </row>
    <row r="3" hidden="1" outlineLevel="1" s="1181">
      <c r="A3" s="175" t="inlineStr">
        <is>
          <t>A</t>
        </is>
      </c>
      <c r="B3" s="176">
        <f>IF(_epmOfflineCondition_,"C_ACCOUNT",EPMDimensionType(,A3))</f>
        <v/>
      </c>
      <c r="C3" s="176">
        <f>IF(_epmOfflineCondition_,"A_ALL",IF(B3="","",EPMContextMember(,B3)))</f>
        <v/>
      </c>
      <c r="D3" s="176">
        <f>IF(_epmOfflineCondition_,"所有科目",EPMMemberDesc(C3))</f>
        <v/>
      </c>
      <c r="E3" s="176" t="n"/>
      <c r="F3" s="176" t="n"/>
      <c r="G3" s="176" t="n"/>
      <c r="H3" s="176" t="n"/>
      <c r="I3" s="176" t="n"/>
      <c r="J3" s="384" t="n"/>
      <c r="K3" s="384" t="n"/>
      <c r="L3" s="384" t="n"/>
      <c r="M3" s="384" t="n"/>
      <c r="N3" s="384" t="n"/>
      <c r="O3" s="384" t="n"/>
      <c r="P3" s="384" t="n"/>
      <c r="Q3" s="384" t="n"/>
      <c r="R3" s="384" t="n"/>
      <c r="S3" s="384" t="n"/>
      <c r="T3" s="384" t="n"/>
      <c r="U3" s="384" t="n"/>
      <c r="V3" s="384" t="n"/>
      <c r="W3" s="384" t="n"/>
      <c r="X3" s="384" t="n"/>
      <c r="Y3" s="384" t="n"/>
      <c r="Z3" s="384" t="n"/>
      <c r="AA3" s="384" t="n"/>
      <c r="AB3" s="384" t="n"/>
      <c r="AC3" s="384" t="n"/>
      <c r="AD3" s="384" t="n"/>
      <c r="AE3" s="384" t="n"/>
      <c r="AF3" s="384" t="n"/>
      <c r="AG3" s="384" t="n"/>
      <c r="AH3" s="384" t="n"/>
      <c r="AI3" s="384" t="n"/>
      <c r="AJ3" s="384" t="n"/>
      <c r="AK3" s="384" t="n"/>
      <c r="AL3" s="384" t="n"/>
      <c r="AM3" s="384" t="n"/>
      <c r="AN3" s="384" t="n"/>
      <c r="AO3" s="384" t="n"/>
      <c r="AP3" s="384" t="n"/>
      <c r="AQ3" s="384" t="n"/>
      <c r="AR3" s="384" t="n"/>
      <c r="AS3" s="384" t="n"/>
      <c r="AT3" s="384" t="n"/>
      <c r="AU3" s="384" t="n"/>
      <c r="AV3" s="384" t="n"/>
      <c r="AW3" s="384" t="n"/>
      <c r="AX3" s="384" t="n"/>
      <c r="AY3" s="384" t="n"/>
      <c r="AZ3" s="384" t="n"/>
      <c r="BA3" s="384" t="n"/>
      <c r="BB3" s="384" t="n"/>
      <c r="BC3" s="384" t="n"/>
      <c r="BD3" s="384" t="n"/>
      <c r="BE3" s="384" t="n"/>
      <c r="BF3" s="384" t="n"/>
      <c r="BG3" s="384" t="n"/>
      <c r="BH3" s="384" t="n"/>
      <c r="BI3" s="384" t="n"/>
      <c r="BJ3" s="384" t="n"/>
      <c r="BK3" s="384" t="n"/>
      <c r="BL3" s="384" t="n"/>
      <c r="BM3" s="384" t="n"/>
      <c r="BN3" s="384" t="n"/>
      <c r="BO3" s="384" t="n"/>
      <c r="BP3" s="384" t="n"/>
      <c r="BQ3" s="384" t="n"/>
      <c r="BR3" s="384" t="n"/>
      <c r="BS3" s="384" t="n"/>
      <c r="BT3" s="384" t="n"/>
      <c r="BU3" s="384" t="n"/>
      <c r="BV3" s="384" t="n"/>
      <c r="BW3" s="384" t="n"/>
      <c r="BX3" s="384" t="n"/>
      <c r="BY3" s="384" t="n"/>
      <c r="BZ3" s="384" t="n"/>
      <c r="CA3" s="384" t="n"/>
      <c r="CB3" s="384" t="n"/>
      <c r="CC3" s="384" t="n"/>
      <c r="CD3" s="384" t="n"/>
      <c r="CE3" s="384" t="n"/>
      <c r="CF3" s="384" t="n"/>
      <c r="CG3" s="384" t="n"/>
      <c r="CH3" s="384" t="n"/>
      <c r="CI3" s="384" t="n"/>
      <c r="CJ3" s="384" t="n"/>
      <c r="CK3" s="384" t="n"/>
      <c r="CL3" s="384" t="n"/>
      <c r="CM3" s="384" t="n"/>
      <c r="CN3" s="384" t="n"/>
      <c r="CO3" s="384" t="n"/>
      <c r="CP3" s="384" t="n"/>
      <c r="CQ3" s="384" t="n"/>
      <c r="CR3" s="384" t="n"/>
      <c r="CS3" s="384" t="n"/>
      <c r="CT3" s="384" t="n"/>
      <c r="CU3" s="384" t="n"/>
      <c r="CV3" s="384" t="n"/>
      <c r="CW3" s="384" t="n"/>
      <c r="CX3" s="384" t="n"/>
      <c r="CY3" s="384" t="n"/>
      <c r="CZ3" s="384" t="n"/>
      <c r="DA3" s="384" t="n"/>
      <c r="DB3" s="384" t="n"/>
      <c r="DC3" s="384" t="n"/>
      <c r="DD3" s="384" t="n"/>
      <c r="DE3" s="384" t="n"/>
      <c r="DF3" s="384" t="n"/>
      <c r="DG3" s="384" t="n"/>
      <c r="DH3" s="384" t="n"/>
      <c r="DI3" s="384" t="n"/>
      <c r="DJ3" s="384" t="n"/>
      <c r="DK3" s="384" t="n"/>
      <c r="DL3" s="384" t="n"/>
      <c r="DM3" s="384" t="n"/>
      <c r="DN3" s="384" t="n"/>
      <c r="DO3" s="384" t="n"/>
      <c r="DP3" s="384" t="n"/>
    </row>
    <row r="4" hidden="1" outlineLevel="1" s="1181">
      <c r="A4" s="175" t="inlineStr">
        <is>
          <t>C</t>
        </is>
      </c>
      <c r="B4" s="176">
        <f>IF(_epmOfflineCondition_,"C_CATEGORY",EPMDimensionType(,A4))</f>
        <v/>
      </c>
      <c r="C4" s="176">
        <f>IF(_epmOfflineCondition_,"C_ALL",IF(B4="","",EPMContextMember(,B4)))</f>
        <v/>
      </c>
      <c r="D4" s="176">
        <f>IF(_epmOfflineCondition_,"全部类别",EPMMemberDesc(C4))</f>
        <v/>
      </c>
      <c r="E4" s="176" t="n"/>
      <c r="F4" s="176" t="n"/>
      <c r="G4" s="176" t="n"/>
      <c r="H4" s="176" t="n"/>
      <c r="I4" s="176" t="n"/>
      <c r="J4" s="384" t="n"/>
      <c r="K4" s="384" t="n"/>
      <c r="L4" s="384" t="n"/>
      <c r="M4" s="384" t="n"/>
      <c r="N4" s="384" t="n"/>
      <c r="O4" s="384" t="n"/>
      <c r="P4" s="384" t="n"/>
      <c r="Q4" s="384" t="n"/>
      <c r="R4" s="384" t="n"/>
      <c r="S4" s="384" t="n"/>
      <c r="T4" s="384" t="n"/>
      <c r="U4" s="384" t="n"/>
      <c r="V4" s="384" t="n"/>
      <c r="W4" s="384" t="n"/>
      <c r="X4" s="384" t="n"/>
      <c r="Y4" s="384" t="n"/>
      <c r="Z4" s="384" t="n"/>
      <c r="AA4" s="384" t="n"/>
      <c r="AB4" s="384" t="n"/>
      <c r="AC4" s="384" t="n"/>
      <c r="AD4" s="384" t="n"/>
      <c r="AE4" s="384" t="n"/>
      <c r="AF4" s="384" t="n"/>
      <c r="AG4" s="384" t="n"/>
      <c r="AH4" s="384" t="n"/>
      <c r="AI4" s="384" t="n"/>
      <c r="AJ4" s="384" t="n"/>
      <c r="AK4" s="384" t="n"/>
      <c r="AL4" s="384" t="n"/>
      <c r="AM4" s="384" t="n"/>
      <c r="AN4" s="384" t="n"/>
      <c r="AO4" s="384" t="n"/>
      <c r="AP4" s="384" t="n"/>
      <c r="AQ4" s="384" t="n"/>
      <c r="AR4" s="384" t="n"/>
      <c r="AS4" s="384" t="n"/>
      <c r="AT4" s="384" t="n"/>
      <c r="AU4" s="384" t="n"/>
      <c r="AV4" s="384" t="n"/>
      <c r="AW4" s="384" t="n"/>
      <c r="AX4" s="384" t="n"/>
      <c r="AY4" s="384" t="n"/>
      <c r="AZ4" s="384" t="n"/>
      <c r="BA4" s="384" t="n"/>
      <c r="BB4" s="384" t="n"/>
      <c r="BC4" s="384" t="n"/>
      <c r="BD4" s="384" t="n"/>
      <c r="BE4" s="384" t="n"/>
      <c r="BF4" s="384" t="n"/>
      <c r="BG4" s="384" t="n"/>
      <c r="BH4" s="384" t="n"/>
      <c r="BI4" s="384" t="n"/>
      <c r="BJ4" s="384" t="n"/>
      <c r="BK4" s="384" t="n"/>
      <c r="BL4" s="384" t="n"/>
      <c r="BM4" s="384" t="n"/>
      <c r="BN4" s="384" t="n"/>
      <c r="BO4" s="384" t="n"/>
      <c r="BP4" s="384" t="n"/>
      <c r="BQ4" s="384" t="n"/>
      <c r="BR4" s="384" t="n"/>
      <c r="BS4" s="384" t="n"/>
      <c r="BT4" s="384" t="n"/>
      <c r="BU4" s="384" t="n"/>
      <c r="BV4" s="384" t="n"/>
      <c r="BW4" s="384" t="n"/>
      <c r="BX4" s="384" t="n"/>
      <c r="BY4" s="384" t="n"/>
      <c r="BZ4" s="384" t="n"/>
      <c r="CA4" s="384" t="n"/>
      <c r="CB4" s="384" t="n"/>
      <c r="CC4" s="384" t="n"/>
      <c r="CD4" s="384" t="n"/>
      <c r="CE4" s="384" t="n"/>
      <c r="CF4" s="384" t="n"/>
      <c r="CG4" s="384" t="n"/>
      <c r="CH4" s="384" t="n"/>
      <c r="CI4" s="384" t="n"/>
      <c r="CJ4" s="384" t="n"/>
      <c r="CK4" s="384" t="n"/>
      <c r="CL4" s="384" t="n"/>
      <c r="CM4" s="384" t="n"/>
      <c r="CN4" s="384" t="n"/>
      <c r="CO4" s="384" t="n"/>
      <c r="CP4" s="384" t="n"/>
      <c r="CQ4" s="384" t="n"/>
      <c r="CR4" s="384" t="n"/>
      <c r="CS4" s="384" t="n"/>
      <c r="CT4" s="384" t="n"/>
      <c r="CU4" s="384" t="n"/>
      <c r="CV4" s="384" t="n"/>
      <c r="CW4" s="384" t="n"/>
      <c r="CX4" s="384" t="n"/>
      <c r="CY4" s="384" t="n"/>
      <c r="CZ4" s="384" t="n"/>
      <c r="DA4" s="384" t="n"/>
      <c r="DB4" s="384" t="n"/>
      <c r="DC4" s="384" t="n"/>
      <c r="DD4" s="384" t="n"/>
      <c r="DE4" s="384" t="n"/>
      <c r="DF4" s="384" t="n"/>
      <c r="DG4" s="384" t="n"/>
      <c r="DH4" s="384" t="n"/>
      <c r="DI4" s="384" t="n"/>
      <c r="DJ4" s="384" t="n"/>
      <c r="DK4" s="384" t="n"/>
      <c r="DL4" s="384" t="n"/>
      <c r="DM4" s="384" t="n"/>
      <c r="DN4" s="384" t="n"/>
      <c r="DO4" s="384" t="n"/>
      <c r="DP4" s="384" t="n"/>
    </row>
    <row r="5" hidden="1" outlineLevel="1" s="1181">
      <c r="A5" s="175" t="inlineStr">
        <is>
          <t>T</t>
        </is>
      </c>
      <c r="B5" s="176">
        <f>IF(_epmOfflineCondition_,"C_TIME",EPMDimensionType(,A5))</f>
        <v/>
      </c>
      <c r="C5" s="176">
        <f>IF(_epmOfflineCondition_,"2025.03",IF(B5="","",EPMContextMember(,B5)))</f>
        <v/>
      </c>
      <c r="D5" s="176">
        <f>IF(_epmOfflineCondition_,"2025.03",EPMMemberDesc(C5))</f>
        <v/>
      </c>
      <c r="E5" s="176">
        <f>LEFT(C5,4)</f>
        <v/>
      </c>
      <c r="F5" s="176">
        <f>RIGHT(C5,2)</f>
        <v/>
      </c>
      <c r="G5" s="176">
        <f>IF(_epmOfflineCondition_,"2025.02",IF(F5="01","2021.01",EPMMemberOffset(,C5,-1)))</f>
        <v/>
      </c>
      <c r="H5" s="176">
        <f>IF(_epmOfflineCondition_,"2025.01",EPMMemberOffset(,C5,-2))</f>
        <v/>
      </c>
      <c r="I5" s="176">
        <f>IF(_epmOfflineCondition_,"2024.03",EPMMemberOffset(,C5,-12))</f>
        <v/>
      </c>
      <c r="J5" s="384">
        <f>IF(_epmOfflineCondition_,"2025.02",EPMMemberOffset(,C5,-1))</f>
        <v/>
      </c>
      <c r="K5" s="384" t="n"/>
      <c r="L5" s="384" t="n"/>
      <c r="M5" s="384" t="n"/>
      <c r="N5" s="384" t="n"/>
      <c r="O5" s="384" t="n"/>
      <c r="P5" s="384" t="n"/>
      <c r="Q5" s="384" t="n"/>
      <c r="R5" s="384" t="n"/>
      <c r="S5" s="384" t="n"/>
      <c r="T5" s="384" t="n"/>
      <c r="U5" s="384" t="n"/>
      <c r="V5" s="384" t="n"/>
      <c r="W5" s="384" t="n"/>
      <c r="X5" s="384" t="n"/>
      <c r="Y5" s="384" t="n"/>
      <c r="Z5" s="384" t="n"/>
      <c r="AA5" s="384" t="n"/>
      <c r="AB5" s="384" t="n"/>
      <c r="AC5" s="384" t="n"/>
      <c r="AD5" s="384" t="n"/>
      <c r="AE5" s="384" t="n"/>
      <c r="AF5" s="384" t="n"/>
      <c r="AG5" s="384" t="n"/>
      <c r="AH5" s="384" t="n"/>
      <c r="AI5" s="384" t="n"/>
      <c r="AJ5" s="384" t="n"/>
      <c r="AK5" s="384" t="n"/>
      <c r="AL5" s="384" t="n"/>
      <c r="AM5" s="384" t="n"/>
      <c r="AN5" s="384" t="n"/>
      <c r="AO5" s="384" t="n"/>
      <c r="AP5" s="384" t="n"/>
      <c r="AQ5" s="384" t="n"/>
      <c r="AR5" s="384" t="n"/>
      <c r="AS5" s="384" t="n"/>
      <c r="AT5" s="384" t="n"/>
      <c r="AU5" s="384" t="n"/>
      <c r="AV5" s="384" t="n"/>
      <c r="AW5" s="384" t="n"/>
      <c r="AX5" s="384" t="n"/>
      <c r="AY5" s="384" t="n"/>
      <c r="AZ5" s="384" t="n"/>
      <c r="BA5" s="384" t="n"/>
      <c r="BB5" s="384" t="n"/>
      <c r="BC5" s="384" t="n"/>
      <c r="BD5" s="384" t="n"/>
      <c r="BE5" s="384" t="n"/>
      <c r="BF5" s="384" t="n"/>
      <c r="BG5" s="384" t="n"/>
      <c r="BH5" s="384" t="n"/>
      <c r="BI5" s="384" t="n"/>
      <c r="BJ5" s="384" t="n"/>
      <c r="BK5" s="384" t="n"/>
      <c r="BL5" s="384" t="n"/>
      <c r="BM5" s="384" t="n"/>
      <c r="BN5" s="384" t="n"/>
      <c r="BO5" s="384" t="n"/>
      <c r="BP5" s="384" t="n"/>
      <c r="BQ5" s="384" t="n"/>
      <c r="BR5" s="384" t="n"/>
      <c r="BS5" s="384" t="n"/>
      <c r="BT5" s="384" t="n"/>
      <c r="BU5" s="384" t="n"/>
      <c r="BV5" s="384" t="n"/>
      <c r="BW5" s="384" t="n"/>
      <c r="BX5" s="384" t="n"/>
      <c r="BY5" s="384" t="n"/>
      <c r="BZ5" s="384" t="n"/>
      <c r="CA5" s="384" t="n"/>
      <c r="CB5" s="384" t="n"/>
      <c r="CC5" s="384" t="n"/>
      <c r="CD5" s="384" t="n"/>
      <c r="CE5" s="384" t="n"/>
      <c r="CF5" s="384" t="n"/>
      <c r="CG5" s="384" t="n"/>
      <c r="CH5" s="384" t="n"/>
      <c r="CI5" s="384" t="n"/>
      <c r="CJ5" s="384" t="n"/>
      <c r="CK5" s="384" t="n"/>
      <c r="CL5" s="384" t="n"/>
      <c r="CM5" s="384" t="n"/>
      <c r="CN5" s="384" t="n"/>
      <c r="CO5" s="384" t="n"/>
      <c r="CP5" s="384" t="n"/>
      <c r="CQ5" s="384" t="n"/>
      <c r="CR5" s="384" t="n"/>
      <c r="CS5" s="384" t="n"/>
      <c r="CT5" s="384" t="n"/>
      <c r="CU5" s="384" t="n"/>
      <c r="CV5" s="384" t="n"/>
      <c r="CW5" s="384" t="n"/>
      <c r="CX5" s="384" t="n"/>
      <c r="CY5" s="384" t="n"/>
      <c r="CZ5" s="384" t="n"/>
      <c r="DA5" s="384" t="n"/>
      <c r="DB5" s="384" t="n"/>
      <c r="DC5" s="384" t="n"/>
      <c r="DD5" s="384" t="n"/>
      <c r="DE5" s="384" t="n"/>
      <c r="DF5" s="384" t="n"/>
      <c r="DG5" s="384" t="n"/>
      <c r="DH5" s="384" t="n"/>
      <c r="DI5" s="384" t="n"/>
      <c r="DJ5" s="384" t="n"/>
      <c r="DK5" s="384" t="n"/>
      <c r="DL5" s="384" t="n"/>
      <c r="DM5" s="384" t="n"/>
      <c r="DN5" s="384" t="n"/>
      <c r="DO5" s="384" t="n"/>
      <c r="DP5" s="384" t="n"/>
    </row>
    <row r="6" hidden="1" outlineLevel="1" s="1181">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76" t="n"/>
      <c r="G6" s="176" t="n"/>
      <c r="H6" s="176" t="n"/>
      <c r="I6" s="176" t="n"/>
      <c r="J6" s="384" t="n"/>
      <c r="K6" s="384" t="n"/>
      <c r="L6" s="384" t="n"/>
      <c r="M6" s="384" t="n"/>
      <c r="N6" s="384" t="n"/>
      <c r="O6" s="384" t="n"/>
      <c r="P6" s="384" t="n"/>
      <c r="Q6" s="384" t="n"/>
      <c r="R6" s="384" t="n"/>
      <c r="S6" s="384" t="n"/>
      <c r="T6" s="384" t="n"/>
      <c r="U6" s="384" t="n"/>
      <c r="V6" s="384" t="n"/>
      <c r="W6" s="384" t="n"/>
      <c r="X6" s="384" t="n"/>
      <c r="Y6" s="384" t="n"/>
      <c r="Z6" s="384" t="n"/>
      <c r="AA6" s="384" t="n"/>
      <c r="AB6" s="384" t="n"/>
      <c r="AC6" s="384" t="n"/>
      <c r="AD6" s="384" t="n"/>
      <c r="AE6" s="384" t="n"/>
      <c r="AF6" s="384" t="n"/>
      <c r="AG6" s="384" t="n"/>
      <c r="AH6" s="384" t="n"/>
      <c r="AI6" s="384" t="n"/>
      <c r="AJ6" s="384" t="n"/>
      <c r="AK6" s="384" t="n"/>
      <c r="AL6" s="384" t="n"/>
      <c r="AM6" s="384" t="n"/>
      <c r="AN6" s="384" t="n"/>
      <c r="AO6" s="384" t="n"/>
      <c r="AP6" s="384" t="n"/>
      <c r="AQ6" s="384" t="n"/>
      <c r="AR6" s="384" t="n"/>
      <c r="AS6" s="384" t="n"/>
      <c r="AT6" s="384" t="n"/>
      <c r="AU6" s="384" t="n"/>
      <c r="AV6" s="384" t="n"/>
      <c r="AW6" s="384" t="n"/>
      <c r="AX6" s="384" t="n"/>
      <c r="AY6" s="384" t="n"/>
      <c r="AZ6" s="384" t="n"/>
      <c r="BA6" s="384" t="n"/>
      <c r="BB6" s="384" t="n"/>
      <c r="BC6" s="384" t="n"/>
      <c r="BD6" s="384" t="n"/>
      <c r="BE6" s="384" t="n"/>
      <c r="BF6" s="384" t="n"/>
      <c r="BG6" s="384" t="n"/>
      <c r="BH6" s="384" t="n"/>
      <c r="BI6" s="384" t="n"/>
      <c r="BJ6" s="384" t="n"/>
      <c r="BK6" s="384" t="n"/>
      <c r="BL6" s="384" t="n"/>
      <c r="BM6" s="384" t="n"/>
      <c r="BN6" s="384" t="n"/>
      <c r="BO6" s="384" t="n"/>
      <c r="BP6" s="384" t="n"/>
      <c r="BQ6" s="384" t="n"/>
      <c r="BR6" s="384" t="n"/>
      <c r="BS6" s="384" t="n"/>
      <c r="BT6" s="384" t="n"/>
      <c r="BU6" s="384" t="n"/>
      <c r="BV6" s="384" t="n"/>
      <c r="BW6" s="384" t="n"/>
      <c r="BX6" s="384" t="n"/>
      <c r="BY6" s="384" t="n"/>
      <c r="BZ6" s="384" t="n"/>
      <c r="CA6" s="384" t="n"/>
      <c r="CB6" s="384" t="n"/>
      <c r="CC6" s="384" t="n"/>
      <c r="CD6" s="384" t="n"/>
      <c r="CE6" s="384" t="n"/>
      <c r="CF6" s="384" t="n"/>
      <c r="CG6" s="384" t="n"/>
      <c r="CH6" s="384" t="n"/>
      <c r="CI6" s="384" t="n"/>
      <c r="CJ6" s="384" t="n"/>
      <c r="CK6" s="384" t="n"/>
      <c r="CL6" s="384" t="n"/>
      <c r="CM6" s="384" t="n"/>
      <c r="CN6" s="384" t="n"/>
      <c r="CO6" s="384" t="n"/>
      <c r="CP6" s="384" t="n"/>
      <c r="CQ6" s="384" t="n"/>
      <c r="CR6" s="384" t="n"/>
      <c r="CS6" s="384" t="n"/>
      <c r="CT6" s="384" t="n"/>
      <c r="CU6" s="384" t="n"/>
      <c r="CV6" s="384" t="n"/>
      <c r="CW6" s="384" t="n"/>
      <c r="CX6" s="384" t="n"/>
      <c r="CY6" s="384" t="n"/>
      <c r="CZ6" s="384" t="n"/>
      <c r="DA6" s="384" t="n"/>
      <c r="DB6" s="384" t="n"/>
      <c r="DC6" s="384" t="n"/>
      <c r="DD6" s="384" t="n"/>
      <c r="DE6" s="384" t="n"/>
      <c r="DF6" s="384" t="n"/>
      <c r="DG6" s="384" t="n"/>
      <c r="DH6" s="384" t="n"/>
      <c r="DI6" s="384" t="n"/>
      <c r="DJ6" s="384" t="n"/>
      <c r="DK6" s="384" t="n"/>
      <c r="DL6" s="384" t="n"/>
      <c r="DM6" s="384" t="n"/>
      <c r="DN6" s="384" t="n"/>
      <c r="DO6" s="384" t="n"/>
      <c r="DP6" s="384" t="n"/>
    </row>
    <row r="7" hidden="1" outlineLevel="1" s="1181">
      <c r="A7" s="175" t="inlineStr">
        <is>
          <t>R</t>
        </is>
      </c>
      <c r="B7" s="176">
        <f>IF(_epmOfflineCondition_,"C_RPTCURRENCY",EPMDimensionType(,A7))</f>
        <v/>
      </c>
      <c r="C7" s="176">
        <f>IF(_epmOfflineCondition_,"AUD",IF(B7="","",EPMContextMember(,B7)))</f>
        <v/>
      </c>
      <c r="D7" s="176">
        <f>IF(_epmOfflineCondition_,"澳元",EPMMemberDesc(C7))</f>
        <v/>
      </c>
      <c r="E7" s="176">
        <f>IF($AA$41=$G$18,"LC",IF(AND($AA$41=$G$20,E11="G_DUMMY"),"LC","CNY"))</f>
        <v/>
      </c>
      <c r="F7" s="176" t="n"/>
      <c r="G7" s="176" t="n"/>
      <c r="H7" s="176" t="n"/>
      <c r="I7" s="176" t="n"/>
      <c r="J7" s="384" t="n"/>
      <c r="K7" s="384" t="n"/>
      <c r="L7" s="384" t="n"/>
      <c r="M7" s="384" t="n"/>
      <c r="N7" s="384" t="n"/>
      <c r="O7" s="384" t="n"/>
      <c r="P7" s="384" t="n"/>
      <c r="Q7" s="384" t="n"/>
      <c r="R7" s="384" t="n"/>
      <c r="S7" s="384" t="n"/>
      <c r="T7" s="384" t="n"/>
      <c r="U7" s="384" t="n"/>
      <c r="V7" s="384" t="n"/>
      <c r="W7" s="384" t="n"/>
      <c r="X7" s="384" t="n"/>
      <c r="Y7" s="384" t="n"/>
      <c r="Z7" s="384" t="n"/>
      <c r="AA7" s="384" t="n"/>
      <c r="AB7" s="384" t="n"/>
      <c r="AC7" s="384" t="n"/>
      <c r="AD7" s="384" t="n"/>
      <c r="AE7" s="384" t="n"/>
      <c r="AF7" s="384" t="n"/>
      <c r="AG7" s="384" t="n"/>
      <c r="AH7" s="384" t="n"/>
      <c r="AI7" s="384" t="n"/>
      <c r="AJ7" s="384" t="n"/>
      <c r="AK7" s="384" t="n"/>
      <c r="AL7" s="384" t="n"/>
      <c r="AM7" s="384" t="n"/>
      <c r="AN7" s="384" t="n"/>
      <c r="AO7" s="384" t="n"/>
      <c r="AP7" s="384" t="n"/>
      <c r="AQ7" s="384" t="n"/>
      <c r="AR7" s="384" t="n"/>
      <c r="AS7" s="384" t="n"/>
      <c r="AT7" s="384" t="n"/>
      <c r="AU7" s="384" t="n"/>
      <c r="AV7" s="384" t="n"/>
      <c r="AW7" s="384" t="n"/>
      <c r="AX7" s="384" t="n"/>
      <c r="AY7" s="384" t="n"/>
      <c r="AZ7" s="384" t="n"/>
      <c r="BA7" s="384" t="n"/>
      <c r="BB7" s="384" t="n"/>
      <c r="BC7" s="384" t="n"/>
      <c r="BD7" s="384" t="n"/>
      <c r="BE7" s="384" t="n"/>
      <c r="BF7" s="384" t="n"/>
      <c r="BG7" s="384" t="n"/>
      <c r="BH7" s="384" t="n"/>
      <c r="BI7" s="384" t="n"/>
      <c r="BJ7" s="384" t="n"/>
      <c r="BK7" s="384" t="n"/>
      <c r="BL7" s="384" t="n"/>
      <c r="BM7" s="384" t="n"/>
      <c r="BN7" s="384" t="n"/>
      <c r="BO7" s="384" t="n"/>
      <c r="BP7" s="384" t="n"/>
      <c r="BQ7" s="384" t="n"/>
      <c r="BR7" s="384" t="n"/>
      <c r="BS7" s="384" t="n"/>
      <c r="BT7" s="384" t="n"/>
      <c r="BU7" s="384" t="n"/>
      <c r="BV7" s="384" t="n"/>
      <c r="BW7" s="384" t="n"/>
      <c r="BX7" s="384" t="n"/>
      <c r="BY7" s="384" t="n"/>
      <c r="BZ7" s="384" t="n"/>
      <c r="CA7" s="384" t="n"/>
      <c r="CB7" s="384" t="n"/>
      <c r="CC7" s="384" t="n"/>
      <c r="CD7" s="384" t="n"/>
      <c r="CE7" s="384" t="n"/>
      <c r="CF7" s="384" t="n"/>
      <c r="CG7" s="384" t="n"/>
      <c r="CH7" s="384" t="n"/>
      <c r="CI7" s="384" t="n"/>
      <c r="CJ7" s="384" t="n"/>
      <c r="CK7" s="384" t="n"/>
      <c r="CL7" s="384" t="n"/>
      <c r="CM7" s="384" t="n"/>
      <c r="CN7" s="384" t="n"/>
      <c r="CO7" s="384" t="n"/>
      <c r="CP7" s="384" t="n"/>
      <c r="CQ7" s="384" t="n"/>
      <c r="CR7" s="384" t="n"/>
      <c r="CS7" s="384" t="n"/>
      <c r="CT7" s="384" t="n"/>
      <c r="CU7" s="384" t="n"/>
      <c r="CV7" s="384" t="n"/>
      <c r="CW7" s="384" t="n"/>
      <c r="CX7" s="384" t="n"/>
      <c r="CY7" s="384" t="n"/>
      <c r="CZ7" s="384" t="n"/>
      <c r="DA7" s="384" t="n"/>
      <c r="DB7" s="384" t="n"/>
      <c r="DC7" s="384" t="n"/>
      <c r="DD7" s="384" t="n"/>
      <c r="DE7" s="384" t="n"/>
      <c r="DF7" s="384" t="n"/>
      <c r="DG7" s="384" t="n"/>
      <c r="DH7" s="384" t="n"/>
      <c r="DI7" s="384" t="n"/>
      <c r="DJ7" s="384" t="n"/>
      <c r="DK7" s="384" t="n"/>
      <c r="DL7" s="384" t="n"/>
      <c r="DM7" s="384" t="n"/>
      <c r="DN7" s="384" t="n"/>
      <c r="DO7" s="384" t="n"/>
      <c r="DP7" s="384" t="n"/>
    </row>
    <row r="8" hidden="1" outlineLevel="1" s="1181">
      <c r="A8" s="175" t="inlineStr">
        <is>
          <t>D</t>
        </is>
      </c>
      <c r="B8" s="176">
        <f>IF(_epmOfflineCondition_,"C_AUDITTRAIL",EPMDimensionType(,A8))</f>
        <v/>
      </c>
      <c r="C8" s="176">
        <f>IF(_epmOfflineCondition_,"DALL",IF(B8="","",EPMContextMember(,B8)))</f>
        <v/>
      </c>
      <c r="D8" s="176">
        <f>IF(_epmOfflineCondition_,"合并后",EPMMemberDesc(C8))</f>
        <v/>
      </c>
      <c r="E8" s="176">
        <f>IF($AA$41=$G$20,$H$20,$H$17)</f>
        <v/>
      </c>
      <c r="F8" s="176" t="n"/>
      <c r="G8" s="176" t="n"/>
      <c r="H8" s="176" t="n"/>
      <c r="I8" s="176" t="n"/>
      <c r="J8" s="384" t="n"/>
      <c r="K8" s="384" t="n"/>
      <c r="L8" s="384" t="n"/>
      <c r="M8" s="384" t="n"/>
      <c r="N8" s="384" t="n"/>
      <c r="O8" s="384" t="n"/>
      <c r="P8" s="384" t="n"/>
      <c r="Q8" s="384" t="n"/>
      <c r="R8" s="384" t="n"/>
      <c r="S8" s="384" t="n"/>
      <c r="T8" s="384" t="n"/>
      <c r="U8" s="384" t="n"/>
      <c r="V8" s="384" t="n"/>
      <c r="W8" s="384" t="n"/>
      <c r="X8" s="384" t="n"/>
      <c r="Y8" s="384" t="n"/>
      <c r="Z8" s="384" t="n"/>
      <c r="AA8" s="384" t="n"/>
      <c r="AB8" s="384" t="n"/>
      <c r="AC8" s="384" t="n"/>
      <c r="AD8" s="384" t="n"/>
      <c r="AE8" s="384" t="n"/>
      <c r="AF8" s="384" t="n"/>
      <c r="AG8" s="384" t="n"/>
      <c r="AH8" s="384" t="n"/>
      <c r="AI8" s="384" t="n"/>
      <c r="AJ8" s="384" t="n"/>
      <c r="AK8" s="384" t="n"/>
      <c r="AL8" s="384" t="n"/>
      <c r="AM8" s="384" t="n"/>
      <c r="AN8" s="384" t="n"/>
      <c r="AO8" s="384" t="n"/>
      <c r="AP8" s="384" t="n"/>
      <c r="AQ8" s="384" t="n"/>
      <c r="AR8" s="384" t="n"/>
      <c r="AS8" s="384" t="n"/>
      <c r="AT8" s="384" t="n"/>
      <c r="AU8" s="384" t="n"/>
      <c r="AV8" s="384" t="n"/>
      <c r="AW8" s="384" t="n"/>
      <c r="AX8" s="384" t="n"/>
      <c r="AY8" s="384" t="n"/>
      <c r="AZ8" s="384" t="n"/>
      <c r="BA8" s="384" t="n"/>
      <c r="BB8" s="384" t="n"/>
      <c r="BC8" s="384" t="n"/>
      <c r="BD8" s="384" t="n"/>
      <c r="BE8" s="384" t="n"/>
      <c r="BF8" s="384" t="n"/>
      <c r="BG8" s="384" t="n"/>
      <c r="BH8" s="384" t="n"/>
      <c r="BI8" s="384" t="n"/>
      <c r="BJ8" s="384" t="n"/>
      <c r="BK8" s="384" t="n"/>
      <c r="BL8" s="384" t="n"/>
      <c r="BM8" s="384" t="n"/>
      <c r="BN8" s="384" t="n"/>
      <c r="BO8" s="384" t="n"/>
      <c r="BP8" s="384" t="n"/>
      <c r="BQ8" s="384" t="n"/>
      <c r="BR8" s="384" t="n"/>
      <c r="BS8" s="384" t="n"/>
      <c r="BT8" s="384" t="n"/>
      <c r="BU8" s="384" t="n"/>
      <c r="BV8" s="384" t="n"/>
      <c r="BW8" s="384" t="n"/>
      <c r="BX8" s="384" t="n"/>
      <c r="BY8" s="384" t="n"/>
      <c r="BZ8" s="384" t="n"/>
      <c r="CA8" s="384" t="n"/>
      <c r="CB8" s="384" t="n"/>
      <c r="CC8" s="384" t="n"/>
      <c r="CD8" s="384" t="n"/>
      <c r="CE8" s="384" t="n"/>
      <c r="CF8" s="384" t="n"/>
      <c r="CG8" s="384" t="n"/>
      <c r="CH8" s="384" t="n"/>
      <c r="CI8" s="384" t="n"/>
      <c r="CJ8" s="384" t="n"/>
      <c r="CK8" s="384" t="n"/>
      <c r="CL8" s="384" t="n"/>
      <c r="CM8" s="384" t="n"/>
      <c r="CN8" s="384" t="n"/>
      <c r="CO8" s="384" t="n"/>
      <c r="CP8" s="384" t="n"/>
      <c r="CQ8" s="384" t="n"/>
      <c r="CR8" s="384" t="n"/>
      <c r="CS8" s="384" t="n"/>
      <c r="CT8" s="384" t="n"/>
      <c r="CU8" s="384" t="n"/>
      <c r="CV8" s="384" t="n"/>
      <c r="CW8" s="384" t="n"/>
      <c r="CX8" s="384" t="n"/>
      <c r="CY8" s="384" t="n"/>
      <c r="CZ8" s="384" t="n"/>
      <c r="DA8" s="384" t="n"/>
      <c r="DB8" s="384" t="n"/>
      <c r="DC8" s="384" t="n"/>
      <c r="DD8" s="384" t="n"/>
      <c r="DE8" s="384" t="n"/>
      <c r="DF8" s="384" t="n"/>
      <c r="DG8" s="384" t="n"/>
      <c r="DH8" s="384" t="n"/>
      <c r="DI8" s="384" t="n"/>
      <c r="DJ8" s="384" t="n"/>
      <c r="DK8" s="384" t="n"/>
      <c r="DL8" s="384" t="n"/>
      <c r="DM8" s="384" t="n"/>
      <c r="DN8" s="384" t="n"/>
      <c r="DO8" s="384" t="n"/>
      <c r="DP8" s="384" t="n"/>
    </row>
    <row r="9" hidden="1" outlineLevel="1" s="1181">
      <c r="A9" s="175" t="inlineStr">
        <is>
          <t>S</t>
        </is>
      </c>
      <c r="B9" s="176">
        <f>IF(_epmOfflineCondition_,"C_FLOW",EPMDimensionType(,A9))</f>
        <v/>
      </c>
      <c r="C9" s="176">
        <f>IF(_epmOfflineCondition_,"FTOTAL",IF(B9="","",EPMContextMember(,B9)))</f>
        <v/>
      </c>
      <c r="D9" s="176">
        <f>IF(_epmOfflineCondition_,"全部变动",EPMMemberDesc(C9))</f>
        <v/>
      </c>
      <c r="E9" s="176">
        <f>IF($AA$41=$G$20,"FEND","F20")</f>
        <v/>
      </c>
      <c r="F9" s="176" t="n"/>
      <c r="G9" s="176" t="n"/>
      <c r="H9" s="176" t="n"/>
      <c r="I9" s="176" t="n"/>
      <c r="J9" s="384" t="n"/>
      <c r="K9" s="384" t="n"/>
      <c r="L9" s="384" t="n"/>
      <c r="M9" s="384" t="n"/>
      <c r="N9" s="384" t="n"/>
      <c r="O9" s="384" t="n"/>
      <c r="P9" s="384" t="n"/>
      <c r="Q9" s="384" t="n"/>
      <c r="R9" s="384" t="n"/>
      <c r="S9" s="384" t="n"/>
      <c r="T9" s="384" t="n"/>
      <c r="U9" s="384" t="n"/>
      <c r="V9" s="384" t="n"/>
      <c r="W9" s="384" t="n"/>
      <c r="X9" s="384" t="n"/>
      <c r="Y9" s="384" t="n"/>
      <c r="Z9" s="384" t="n"/>
      <c r="AA9" s="384" t="n"/>
      <c r="AB9" s="384" t="n"/>
      <c r="AC9" s="384" t="n"/>
      <c r="AD9" s="384" t="n"/>
      <c r="AE9" s="384" t="n"/>
      <c r="AF9" s="384" t="n"/>
      <c r="AG9" s="384" t="n"/>
      <c r="AH9" s="384" t="n"/>
      <c r="AI9" s="384" t="n"/>
      <c r="AJ9" s="384" t="n"/>
      <c r="AK9" s="384" t="n"/>
      <c r="AL9" s="384" t="n"/>
      <c r="AM9" s="384" t="n"/>
      <c r="AN9" s="384" t="n"/>
      <c r="AO9" s="384" t="n"/>
      <c r="AP9" s="384" t="n"/>
      <c r="AQ9" s="384" t="n"/>
      <c r="AR9" s="384" t="n"/>
      <c r="AS9" s="384" t="n"/>
      <c r="AT9" s="384" t="n"/>
      <c r="AU9" s="384" t="n"/>
      <c r="AV9" s="384" t="n"/>
      <c r="AW9" s="384" t="n"/>
      <c r="AX9" s="384" t="n"/>
      <c r="AY9" s="384" t="n"/>
      <c r="AZ9" s="384" t="n"/>
      <c r="BA9" s="384" t="n"/>
      <c r="BB9" s="384" t="n"/>
      <c r="BC9" s="384" t="n"/>
      <c r="BD9" s="384" t="n"/>
      <c r="BE9" s="384" t="n"/>
      <c r="BF9" s="384" t="n"/>
      <c r="BG9" s="384" t="n"/>
      <c r="BH9" s="384" t="n"/>
      <c r="BI9" s="384" t="n"/>
      <c r="BJ9" s="384" t="n"/>
      <c r="BK9" s="384" t="n"/>
      <c r="BL9" s="384" t="n"/>
      <c r="BM9" s="384" t="n"/>
      <c r="BN9" s="384" t="n"/>
      <c r="BO9" s="384" t="n"/>
      <c r="BP9" s="384" t="n"/>
      <c r="BQ9" s="384" t="n"/>
      <c r="BR9" s="384" t="n"/>
      <c r="BS9" s="384" t="n"/>
      <c r="BT9" s="384" t="n"/>
      <c r="BU9" s="384" t="n"/>
      <c r="BV9" s="384" t="n"/>
      <c r="BW9" s="384" t="n"/>
      <c r="BX9" s="384" t="n"/>
      <c r="BY9" s="384" t="n"/>
      <c r="BZ9" s="384" t="n"/>
      <c r="CA9" s="384" t="n"/>
      <c r="CB9" s="384" t="n"/>
      <c r="CC9" s="384" t="n"/>
      <c r="CD9" s="384" t="n"/>
      <c r="CE9" s="384" t="n"/>
      <c r="CF9" s="384" t="n"/>
      <c r="CG9" s="384" t="n"/>
      <c r="CH9" s="384" t="n"/>
      <c r="CI9" s="384" t="n"/>
      <c r="CJ9" s="384" t="n"/>
      <c r="CK9" s="384" t="n"/>
      <c r="CL9" s="384" t="n"/>
      <c r="CM9" s="384" t="n"/>
      <c r="CN9" s="384" t="n"/>
      <c r="CO9" s="384" t="n"/>
      <c r="CP9" s="384" t="n"/>
      <c r="CQ9" s="384" t="n"/>
      <c r="CR9" s="384" t="n"/>
      <c r="CS9" s="384" t="n"/>
      <c r="CT9" s="384" t="n"/>
      <c r="CU9" s="384" t="n"/>
      <c r="CV9" s="384" t="n"/>
      <c r="CW9" s="384" t="n"/>
      <c r="CX9" s="384" t="n"/>
      <c r="CY9" s="384" t="n"/>
      <c r="CZ9" s="384" t="n"/>
      <c r="DA9" s="384" t="n"/>
      <c r="DB9" s="384" t="n"/>
      <c r="DC9" s="384" t="n"/>
      <c r="DD9" s="384" t="n"/>
      <c r="DE9" s="384" t="n"/>
      <c r="DF9" s="384" t="n"/>
      <c r="DG9" s="384" t="n"/>
      <c r="DH9" s="384" t="n"/>
      <c r="DI9" s="384" t="n"/>
      <c r="DJ9" s="384" t="n"/>
      <c r="DK9" s="384" t="n"/>
      <c r="DL9" s="384" t="n"/>
      <c r="DM9" s="384" t="n"/>
      <c r="DN9" s="384" t="n"/>
      <c r="DO9" s="384" t="n"/>
      <c r="DP9" s="384" t="n"/>
    </row>
    <row r="10" hidden="1" outlineLevel="1" s="1181">
      <c r="A10" s="175" t="inlineStr">
        <is>
          <t>I</t>
        </is>
      </c>
      <c r="B10" s="176">
        <f>IF(_epmOfflineCondition_,"C_INTERCO",EPMDimensionType(,A10))</f>
        <v/>
      </c>
      <c r="C10" s="176">
        <f>IF(_epmOfflineCondition_,"I_ALL",IF(B10="","",EPMContextMember(,B10)))</f>
        <v/>
      </c>
      <c r="D10" s="176">
        <f>IF(_epmOfflineCondition_,"全部贸易伙伴",EPMMemberDesc(C10))</f>
        <v/>
      </c>
      <c r="E10" s="176">
        <f>IF($AA$41=$G$20,"I_ALL","I_DUMMY")</f>
        <v/>
      </c>
      <c r="F10" s="176" t="n"/>
      <c r="G10" s="176" t="n"/>
      <c r="H10" s="176" t="n"/>
      <c r="I10" s="176" t="n"/>
      <c r="J10" s="384" t="n"/>
      <c r="K10" s="384" t="n"/>
      <c r="L10" s="384" t="n"/>
      <c r="M10" s="384" t="n"/>
      <c r="N10" s="384" t="n"/>
      <c r="O10" s="384" t="n"/>
      <c r="P10" s="384" t="n"/>
      <c r="Q10" s="384" t="n"/>
      <c r="R10" s="384" t="n"/>
      <c r="S10" s="384" t="n"/>
      <c r="T10" s="384" t="n"/>
      <c r="U10" s="384" t="n"/>
      <c r="V10" s="384" t="n"/>
      <c r="W10" s="384" t="n"/>
      <c r="X10" s="384" t="n"/>
      <c r="Y10" s="384" t="n"/>
      <c r="Z10" s="384" t="n"/>
      <c r="AA10" s="384" t="n"/>
      <c r="AB10" s="384" t="n"/>
      <c r="AC10" s="384" t="n"/>
      <c r="AD10" s="384" t="n"/>
      <c r="AE10" s="384" t="n"/>
      <c r="AF10" s="384" t="n"/>
      <c r="AG10" s="384" t="n"/>
      <c r="AH10" s="384" t="n"/>
      <c r="AI10" s="384" t="n"/>
      <c r="AJ10" s="384" t="n"/>
      <c r="AK10" s="384" t="n"/>
      <c r="AL10" s="384" t="n"/>
      <c r="AM10" s="384" t="n"/>
      <c r="AN10" s="384" t="n"/>
      <c r="AO10" s="384" t="n"/>
      <c r="AP10" s="384" t="n"/>
      <c r="AQ10" s="384" t="n"/>
      <c r="AR10" s="384" t="n"/>
      <c r="AS10" s="384" t="n"/>
      <c r="AT10" s="384" t="n"/>
      <c r="AU10" s="384" t="n"/>
      <c r="AV10" s="384" t="n"/>
      <c r="AW10" s="384" t="n"/>
      <c r="AX10" s="384" t="n"/>
      <c r="AY10" s="384" t="n"/>
      <c r="AZ10" s="384" t="n"/>
      <c r="BA10" s="384" t="n"/>
      <c r="BB10" s="384" t="n"/>
      <c r="BC10" s="384" t="n"/>
      <c r="BD10" s="384" t="n"/>
      <c r="BE10" s="384" t="n"/>
      <c r="BF10" s="384" t="n"/>
      <c r="BG10" s="384" t="n"/>
      <c r="BH10" s="384" t="n"/>
      <c r="BI10" s="384" t="n"/>
      <c r="BJ10" s="384" t="n"/>
      <c r="BK10" s="384" t="n"/>
      <c r="BL10" s="384" t="n"/>
      <c r="BM10" s="384" t="n"/>
      <c r="BN10" s="384" t="n"/>
      <c r="BO10" s="384" t="n"/>
      <c r="BP10" s="384" t="n"/>
      <c r="BQ10" s="384" t="n"/>
      <c r="BR10" s="384" t="n"/>
      <c r="BS10" s="384" t="n"/>
      <c r="BT10" s="384" t="n"/>
      <c r="BU10" s="384" t="n"/>
      <c r="BV10" s="384" t="n"/>
      <c r="BW10" s="384" t="n"/>
      <c r="BX10" s="384" t="n"/>
      <c r="BY10" s="384" t="n"/>
      <c r="BZ10" s="384" t="n"/>
      <c r="CA10" s="384" t="n"/>
      <c r="CB10" s="384" t="n"/>
      <c r="CC10" s="384" t="n"/>
      <c r="CD10" s="384" t="n"/>
      <c r="CE10" s="384" t="n"/>
      <c r="CF10" s="384" t="n"/>
      <c r="CG10" s="384" t="n"/>
      <c r="CH10" s="384" t="n"/>
      <c r="CI10" s="384" t="n"/>
      <c r="CJ10" s="384" t="n"/>
      <c r="CK10" s="384" t="n"/>
      <c r="CL10" s="384" t="n"/>
      <c r="CM10" s="384" t="n"/>
      <c r="CN10" s="384" t="n"/>
      <c r="CO10" s="384" t="n"/>
      <c r="CP10" s="384" t="n"/>
      <c r="CQ10" s="384" t="n"/>
      <c r="CR10" s="384" t="n"/>
      <c r="CS10" s="384" t="n"/>
      <c r="CT10" s="384" t="n"/>
      <c r="CU10" s="384" t="n"/>
      <c r="CV10" s="384" t="n"/>
      <c r="CW10" s="384" t="n"/>
      <c r="CX10" s="384" t="n"/>
      <c r="CY10" s="384" t="n"/>
      <c r="CZ10" s="384" t="n"/>
      <c r="DA10" s="384" t="n"/>
      <c r="DB10" s="384" t="n"/>
      <c r="DC10" s="384" t="n"/>
      <c r="DD10" s="384" t="n"/>
      <c r="DE10" s="384" t="n"/>
      <c r="DF10" s="384" t="n"/>
      <c r="DG10" s="384" t="n"/>
      <c r="DH10" s="384" t="n"/>
      <c r="DI10" s="384" t="n"/>
      <c r="DJ10" s="384" t="n"/>
      <c r="DK10" s="384" t="n"/>
      <c r="DL10" s="384" t="n"/>
      <c r="DM10" s="384" t="n"/>
      <c r="DN10" s="384" t="n"/>
      <c r="DO10" s="384" t="n"/>
      <c r="DP10" s="384" t="n"/>
    </row>
    <row r="11" hidden="1" outlineLevel="1" s="1181">
      <c r="A11" s="175" t="inlineStr">
        <is>
          <t>G</t>
        </is>
      </c>
      <c r="B11" s="176">
        <f>IF(_epmOfflineCondition_,"C_SCOPE",EPMDimensionType(,A11))</f>
        <v/>
      </c>
      <c r="C11" s="176">
        <f>IF(_epmOfflineCondition_,"G_DUMMY",IF(B11="","",EPMContextMember(,B11)))</f>
        <v/>
      </c>
      <c r="D11" s="176">
        <f>IF(_epmOfflineCondition_,"合并范围无关",EPMMemberDesc(C11))</f>
        <v/>
      </c>
      <c r="E11" s="176">
        <f>IF(OR(RIGHT(C11,1)="P",RIGHT(C11,1)="S"),LEFT(C11,LEN(C11)-1),C11)</f>
        <v/>
      </c>
      <c r="F11" s="176" t="n"/>
      <c r="G11" s="176" t="n"/>
      <c r="H11" s="176" t="n"/>
      <c r="I11" s="176" t="n"/>
      <c r="J11" s="384" t="n"/>
      <c r="K11" s="384" t="n"/>
      <c r="L11" s="384" t="n"/>
      <c r="M11" s="384" t="n"/>
      <c r="N11" s="384" t="n"/>
      <c r="O11" s="384" t="n"/>
      <c r="P11" s="384" t="n"/>
      <c r="Q11" s="384" t="n"/>
      <c r="R11" s="384" t="n"/>
      <c r="S11" s="384" t="n"/>
      <c r="T11" s="384" t="n"/>
      <c r="U11" s="384" t="n"/>
      <c r="V11" s="384" t="n"/>
      <c r="W11" s="384" t="n"/>
      <c r="X11" s="384" t="n"/>
      <c r="Y11" s="384" t="n"/>
      <c r="Z11" s="384" t="n"/>
      <c r="AA11" s="384" t="n"/>
      <c r="AB11" s="384" t="n"/>
      <c r="AC11" s="384" t="n"/>
      <c r="AD11" s="384" t="n"/>
      <c r="AE11" s="384" t="n"/>
      <c r="AF11" s="384" t="n"/>
      <c r="AG11" s="384" t="n"/>
      <c r="AH11" s="384" t="n"/>
      <c r="AI11" s="384" t="n"/>
      <c r="AJ11" s="384" t="n"/>
      <c r="AK11" s="384" t="n"/>
      <c r="AL11" s="384" t="n"/>
      <c r="AM11" s="384" t="n"/>
      <c r="AN11" s="384" t="n"/>
      <c r="AO11" s="384" t="n"/>
      <c r="AP11" s="384" t="n"/>
      <c r="AQ11" s="384" t="n"/>
      <c r="AR11" s="384" t="n"/>
      <c r="AS11" s="384" t="n"/>
      <c r="AT11" s="384" t="n"/>
      <c r="AU11" s="384" t="n"/>
      <c r="AV11" s="384" t="n"/>
      <c r="AW11" s="384" t="n"/>
      <c r="AX11" s="384" t="n"/>
      <c r="AY11" s="384" t="n"/>
      <c r="AZ11" s="384" t="n"/>
      <c r="BA11" s="384" t="n"/>
      <c r="BB11" s="384" t="n"/>
      <c r="BC11" s="384" t="n"/>
      <c r="BD11" s="384" t="n"/>
      <c r="BE11" s="384" t="n"/>
      <c r="BF11" s="384" t="n"/>
      <c r="BG11" s="384" t="n"/>
      <c r="BH11" s="384" t="n"/>
      <c r="BI11" s="384" t="n"/>
      <c r="BJ11" s="384" t="n"/>
      <c r="BK11" s="384" t="n"/>
      <c r="BL11" s="384" t="n"/>
      <c r="BM11" s="384" t="n"/>
      <c r="BN11" s="384" t="n"/>
      <c r="BO11" s="384" t="n"/>
      <c r="BP11" s="384" t="n"/>
      <c r="BQ11" s="384" t="n"/>
      <c r="BR11" s="384" t="n"/>
      <c r="BS11" s="384" t="n"/>
      <c r="BT11" s="384" t="n"/>
      <c r="BU11" s="384" t="n"/>
      <c r="BV11" s="384" t="n"/>
      <c r="BW11" s="384" t="n"/>
      <c r="BX11" s="384" t="n"/>
      <c r="BY11" s="384" t="n"/>
      <c r="BZ11" s="384" t="n"/>
      <c r="CA11" s="384" t="n"/>
      <c r="CB11" s="384" t="n"/>
      <c r="CC11" s="384" t="n"/>
      <c r="CD11" s="384" t="n"/>
      <c r="CE11" s="384" t="n"/>
      <c r="CF11" s="384" t="n"/>
      <c r="CG11" s="384" t="n"/>
      <c r="CH11" s="384" t="n"/>
      <c r="CI11" s="384" t="n"/>
      <c r="CJ11" s="384" t="n"/>
      <c r="CK11" s="384" t="n"/>
      <c r="CL11" s="384" t="n"/>
      <c r="CM11" s="384" t="n"/>
      <c r="CN11" s="384" t="n"/>
      <c r="CO11" s="384" t="n"/>
      <c r="CP11" s="384" t="n"/>
      <c r="CQ11" s="384" t="n"/>
      <c r="CR11" s="384" t="n"/>
      <c r="CS11" s="384" t="n"/>
      <c r="CT11" s="384" t="n"/>
      <c r="CU11" s="384" t="n"/>
      <c r="CV11" s="384" t="n"/>
      <c r="CW11" s="384" t="n"/>
      <c r="CX11" s="384" t="n"/>
      <c r="CY11" s="384" t="n"/>
      <c r="CZ11" s="384" t="n"/>
      <c r="DA11" s="384" t="n"/>
      <c r="DB11" s="384" t="n"/>
      <c r="DC11" s="384" t="n"/>
      <c r="DD11" s="384" t="n"/>
      <c r="DE11" s="384" t="n"/>
      <c r="DF11" s="384" t="n"/>
      <c r="DG11" s="384" t="n"/>
      <c r="DH11" s="384" t="n"/>
      <c r="DI11" s="384" t="n"/>
      <c r="DJ11" s="384" t="n"/>
      <c r="DK11" s="384" t="n"/>
      <c r="DL11" s="384" t="n"/>
      <c r="DM11" s="384" t="n"/>
      <c r="DN11" s="384" t="n"/>
      <c r="DO11" s="384" t="n"/>
      <c r="DP11" s="384" t="n"/>
    </row>
    <row r="12" hidden="1" outlineLevel="1" s="1181">
      <c r="A12" s="175" t="inlineStr">
        <is>
          <t>U8</t>
        </is>
      </c>
      <c r="B12" s="176">
        <f>IF(_epmOfflineCondition_,"C_PROJECT",EPMDimensionType(,A12))</f>
        <v/>
      </c>
      <c r="C12" s="176">
        <f>IF(_epmOfflineCondition_,"ZP_ALL",IF(B12="","",EPMContextMember(,B12)))</f>
        <v/>
      </c>
      <c r="D12" s="176">
        <f>IF(_epmOfflineCondition_,"项目合计",EPMMemberDesc(C12))</f>
        <v/>
      </c>
      <c r="E12" s="176">
        <f>IF($AA$41=$G$20,"ZP_ALL","ZP_DUMMY")</f>
        <v/>
      </c>
      <c r="F12" s="176" t="n"/>
      <c r="G12" s="176" t="n"/>
      <c r="H12" s="176" t="n"/>
      <c r="I12" s="176" t="n"/>
      <c r="J12" s="384" t="n"/>
      <c r="K12" s="384" t="n"/>
      <c r="L12" s="384" t="n"/>
      <c r="M12" s="384" t="n"/>
      <c r="N12" s="384" t="n"/>
      <c r="O12" s="384" t="n"/>
      <c r="P12" s="384" t="n"/>
      <c r="Q12" s="384" t="n"/>
      <c r="R12" s="384" t="n"/>
      <c r="S12" s="384" t="n"/>
      <c r="T12" s="384" t="n"/>
      <c r="U12" s="384" t="n"/>
      <c r="V12" s="384" t="n"/>
      <c r="W12" s="384" t="n"/>
      <c r="X12" s="384" t="n"/>
      <c r="Y12" s="384" t="n"/>
      <c r="Z12" s="384" t="n"/>
      <c r="AA12" s="384" t="n"/>
      <c r="AB12" s="384" t="n"/>
      <c r="AC12" s="384" t="n"/>
      <c r="AD12" s="384" t="n"/>
      <c r="AE12" s="384" t="n"/>
      <c r="AF12" s="384" t="n"/>
      <c r="AG12" s="384" t="n"/>
      <c r="AH12" s="384" t="n"/>
      <c r="AI12" s="384" t="n"/>
      <c r="AJ12" s="384" t="n"/>
      <c r="AK12" s="384" t="n"/>
      <c r="AL12" s="384" t="n"/>
      <c r="AM12" s="384" t="n"/>
      <c r="AN12" s="384" t="n"/>
      <c r="AO12" s="384" t="n"/>
      <c r="AP12" s="384" t="n"/>
      <c r="AQ12" s="384" t="n"/>
      <c r="AR12" s="384" t="n"/>
      <c r="AS12" s="384" t="n"/>
      <c r="AT12" s="384" t="n"/>
      <c r="AU12" s="384" t="n"/>
      <c r="AV12" s="384" t="n"/>
      <c r="AW12" s="384" t="n"/>
      <c r="AX12" s="384" t="n"/>
      <c r="AY12" s="384" t="n"/>
      <c r="AZ12" s="384" t="n"/>
      <c r="BA12" s="384" t="n"/>
      <c r="BB12" s="384" t="n"/>
      <c r="BC12" s="384" t="n"/>
      <c r="BD12" s="384" t="n"/>
      <c r="BE12" s="384" t="n"/>
      <c r="BF12" s="384" t="n"/>
      <c r="BG12" s="384" t="n"/>
      <c r="BH12" s="384" t="n"/>
      <c r="BI12" s="384" t="n"/>
      <c r="BJ12" s="384" t="n"/>
      <c r="BK12" s="384" t="n"/>
      <c r="BL12" s="384" t="n"/>
      <c r="BM12" s="384" t="n"/>
      <c r="BN12" s="384" t="n"/>
      <c r="BO12" s="384" t="n"/>
      <c r="BP12" s="384" t="n"/>
      <c r="BQ12" s="384" t="n"/>
      <c r="BR12" s="384" t="n"/>
      <c r="BS12" s="384" t="n"/>
      <c r="BT12" s="384" t="n"/>
      <c r="BU12" s="384" t="n"/>
      <c r="BV12" s="384" t="n"/>
      <c r="BW12" s="384" t="n"/>
      <c r="BX12" s="384" t="n"/>
      <c r="BY12" s="384" t="n"/>
      <c r="BZ12" s="384" t="n"/>
      <c r="CA12" s="384" t="n"/>
      <c r="CB12" s="384" t="n"/>
      <c r="CC12" s="384" t="n"/>
      <c r="CD12" s="384" t="n"/>
      <c r="CE12" s="384" t="n"/>
      <c r="CF12" s="384" t="n"/>
      <c r="CG12" s="384" t="n"/>
      <c r="CH12" s="384" t="n"/>
      <c r="CI12" s="384" t="n"/>
      <c r="CJ12" s="384" t="n"/>
      <c r="CK12" s="384" t="n"/>
      <c r="CL12" s="384" t="n"/>
      <c r="CM12" s="384" t="n"/>
      <c r="CN12" s="384" t="n"/>
      <c r="CO12" s="384" t="n"/>
      <c r="CP12" s="384" t="n"/>
      <c r="CQ12" s="384" t="n"/>
      <c r="CR12" s="384" t="n"/>
      <c r="CS12" s="384" t="n"/>
      <c r="CT12" s="384" t="n"/>
      <c r="CU12" s="384" t="n"/>
      <c r="CV12" s="384" t="n"/>
      <c r="CW12" s="384" t="n"/>
      <c r="CX12" s="384" t="n"/>
      <c r="CY12" s="384" t="n"/>
      <c r="CZ12" s="384" t="n"/>
      <c r="DA12" s="384" t="n"/>
      <c r="DB12" s="384" t="n"/>
      <c r="DC12" s="384" t="n"/>
      <c r="DD12" s="384" t="n"/>
      <c r="DE12" s="384" t="n"/>
      <c r="DF12" s="384" t="n"/>
      <c r="DG12" s="384" t="n"/>
      <c r="DH12" s="384" t="n"/>
      <c r="DI12" s="384" t="n"/>
      <c r="DJ12" s="384" t="n"/>
      <c r="DK12" s="384" t="n"/>
      <c r="DL12" s="384" t="n"/>
      <c r="DM12" s="384" t="n"/>
      <c r="DN12" s="384" t="n"/>
      <c r="DO12" s="384" t="n"/>
      <c r="DP12" s="384" t="n"/>
    </row>
    <row r="13" hidden="1" outlineLevel="1" s="1181">
      <c r="A13" s="175" t="inlineStr">
        <is>
          <t>U9</t>
        </is>
      </c>
      <c r="B13" s="176">
        <f>IF(_epmOfflineCondition_,"C_ITEM",EPMDimensionType(,A13))</f>
        <v/>
      </c>
      <c r="C13" s="176">
        <f>IF(_epmOfflineCondition_,"ZI_ALL",IF(B13="","",EPMContextMember(,B13)))</f>
        <v/>
      </c>
      <c r="D13" s="176">
        <f>IF(_epmOfflineCondition_,"全部ITEM",EPMMemberDesc(C13))</f>
        <v/>
      </c>
      <c r="E13" s="176">
        <f>IF($AA$41=$G$20,"ZI_ALL","ZI_DUMMY")</f>
        <v/>
      </c>
      <c r="F13" s="186" t="n"/>
      <c r="G13" s="186" t="n"/>
      <c r="H13" s="186" t="n"/>
      <c r="I13" s="186" t="n"/>
      <c r="J13" s="384" t="n"/>
      <c r="K13" s="384" t="n"/>
      <c r="L13" s="384" t="n"/>
      <c r="M13" s="384" t="n"/>
      <c r="N13" s="384" t="n"/>
      <c r="O13" s="384" t="n"/>
      <c r="P13" s="384" t="n"/>
      <c r="Q13" s="384" t="n"/>
      <c r="R13" s="384" t="n"/>
      <c r="S13" s="384" t="n"/>
      <c r="T13" s="384" t="n"/>
      <c r="U13" s="384" t="n"/>
      <c r="V13" s="384" t="n"/>
      <c r="W13" s="384" t="n"/>
      <c r="X13" s="384" t="n"/>
      <c r="Y13" s="384" t="n"/>
      <c r="Z13" s="384" t="n"/>
      <c r="AA13" s="384" t="n"/>
      <c r="AB13" s="384" t="n"/>
      <c r="AC13" s="384" t="n"/>
      <c r="AD13" s="384" t="n"/>
      <c r="AE13" s="384" t="n"/>
      <c r="AF13" s="384" t="n"/>
      <c r="AG13" s="384" t="n"/>
      <c r="AH13" s="384" t="n"/>
      <c r="AI13" s="384" t="n"/>
      <c r="AJ13" s="384" t="n"/>
      <c r="AK13" s="384" t="n"/>
      <c r="AL13" s="384" t="n"/>
      <c r="AM13" s="384" t="n"/>
      <c r="AN13" s="384" t="n"/>
      <c r="AO13" s="384" t="n"/>
      <c r="AP13" s="384" t="n"/>
      <c r="AQ13" s="384" t="n"/>
      <c r="AR13" s="384" t="n"/>
      <c r="AS13" s="384" t="n"/>
      <c r="AT13" s="384" t="n"/>
      <c r="AU13" s="384" t="n"/>
      <c r="AV13" s="384" t="n"/>
      <c r="AW13" s="384" t="n"/>
      <c r="AX13" s="384" t="n"/>
      <c r="AY13" s="384" t="n"/>
      <c r="AZ13" s="384" t="n"/>
      <c r="BA13" s="384" t="n"/>
      <c r="BB13" s="384" t="n"/>
      <c r="BC13" s="384" t="n"/>
      <c r="BD13" s="384" t="n"/>
      <c r="BE13" s="384" t="n"/>
      <c r="BF13" s="384" t="n"/>
      <c r="BG13" s="384" t="n"/>
      <c r="BH13" s="384" t="n"/>
      <c r="BI13" s="384" t="n"/>
      <c r="BJ13" s="384" t="n"/>
      <c r="BK13" s="384" t="n"/>
      <c r="BL13" s="384" t="n"/>
      <c r="BM13" s="384" t="n"/>
      <c r="BN13" s="384" t="n"/>
      <c r="BO13" s="384" t="n"/>
      <c r="BP13" s="384" t="n"/>
      <c r="BQ13" s="384" t="n"/>
      <c r="BR13" s="384" t="n"/>
      <c r="BS13" s="384" t="n"/>
      <c r="BT13" s="384" t="n"/>
      <c r="BU13" s="384" t="n"/>
      <c r="BV13" s="384" t="n"/>
      <c r="BW13" s="384" t="n"/>
      <c r="BX13" s="384" t="n"/>
      <c r="BY13" s="384" t="n"/>
      <c r="BZ13" s="384" t="n"/>
      <c r="CA13" s="384" t="n"/>
      <c r="CB13" s="384" t="n"/>
      <c r="CC13" s="384" t="n"/>
      <c r="CD13" s="384" t="n"/>
      <c r="CE13" s="384" t="n"/>
      <c r="CF13" s="384" t="n"/>
      <c r="CG13" s="384" t="n"/>
      <c r="CH13" s="384" t="n"/>
      <c r="CI13" s="384" t="n"/>
      <c r="CJ13" s="384" t="n"/>
      <c r="CK13" s="384" t="n"/>
      <c r="CL13" s="384" t="n"/>
      <c r="CM13" s="384" t="n"/>
      <c r="CN13" s="384" t="n"/>
      <c r="CO13" s="384" t="n"/>
      <c r="CP13" s="384" t="n"/>
      <c r="CQ13" s="384" t="n"/>
      <c r="CR13" s="384" t="n"/>
      <c r="CS13" s="384" t="n"/>
      <c r="CT13" s="384" t="n"/>
      <c r="CU13" s="384" t="n"/>
      <c r="CV13" s="384" t="n"/>
      <c r="CW13" s="384" t="n"/>
      <c r="CX13" s="384" t="n"/>
      <c r="CY13" s="384" t="n"/>
      <c r="CZ13" s="384" t="n"/>
      <c r="DA13" s="384" t="n"/>
      <c r="DB13" s="384" t="n"/>
      <c r="DC13" s="384" t="n"/>
      <c r="DD13" s="384" t="n"/>
      <c r="DE13" s="384" t="n"/>
      <c r="DF13" s="384" t="n"/>
      <c r="DG13" s="384" t="n"/>
      <c r="DH13" s="384" t="n"/>
      <c r="DI13" s="384" t="n"/>
      <c r="DJ13" s="384" t="n"/>
      <c r="DK13" s="384" t="n"/>
      <c r="DL13" s="384" t="n"/>
      <c r="DM13" s="384" t="n"/>
      <c r="DN13" s="384" t="n"/>
      <c r="DO13" s="384" t="n"/>
      <c r="DP13" s="384" t="n"/>
    </row>
    <row r="14" hidden="1" outlineLevel="1" s="1181">
      <c r="A14" s="175" t="inlineStr">
        <is>
          <t>U10</t>
        </is>
      </c>
      <c r="B14" s="176">
        <f>IF(_epmOfflineCondition_,"C_MISK",EPMDimensionType(,A14))</f>
        <v/>
      </c>
      <c r="C14" s="176">
        <f>IF(_epmOfflineCondition_,"ZM_ALL",IF(B14="","",EPMContextMember(,B14)))</f>
        <v/>
      </c>
      <c r="D14" s="176">
        <f>IF(_epmOfflineCondition_,"ALL",EPMMemberDesc(C14))</f>
        <v/>
      </c>
      <c r="E14" s="186" t="n"/>
      <c r="F14" s="186" t="n"/>
      <c r="G14" s="186" t="n"/>
      <c r="H14" s="186" t="n"/>
      <c r="I14" s="186" t="n"/>
      <c r="J14" s="384" t="n"/>
      <c r="K14" s="384" t="n"/>
      <c r="L14" s="384" t="n"/>
      <c r="M14" s="384" t="n"/>
      <c r="N14" s="384" t="n"/>
      <c r="O14" s="384" t="n"/>
      <c r="P14" s="384" t="n"/>
      <c r="Q14" s="384" t="n"/>
      <c r="R14" s="384" t="n"/>
      <c r="S14" s="384" t="n"/>
      <c r="T14" s="384" t="n"/>
      <c r="U14" s="384" t="n"/>
      <c r="V14" s="384" t="n"/>
      <c r="W14" s="384" t="n"/>
      <c r="X14" s="384" t="n"/>
      <c r="Y14" s="384" t="n"/>
      <c r="Z14" s="384" t="n"/>
      <c r="AA14" s="384" t="n"/>
      <c r="AB14" s="384" t="n"/>
      <c r="AC14" s="384" t="n"/>
      <c r="AD14" s="384" t="n"/>
      <c r="AE14" s="384" t="n"/>
      <c r="AF14" s="384" t="n"/>
      <c r="AG14" s="384" t="n"/>
      <c r="AH14" s="384" t="n"/>
      <c r="AI14" s="384" t="n"/>
      <c r="AJ14" s="384" t="n"/>
      <c r="AK14" s="384" t="n"/>
      <c r="AL14" s="384" t="n"/>
      <c r="AM14" s="384" t="n"/>
      <c r="AN14" s="384" t="n"/>
      <c r="AO14" s="384" t="n"/>
      <c r="AP14" s="384" t="n"/>
      <c r="AQ14" s="384" t="n"/>
      <c r="AR14" s="384" t="n"/>
      <c r="AS14" s="384" t="n"/>
      <c r="AT14" s="384" t="n"/>
      <c r="AU14" s="384" t="n"/>
      <c r="AV14" s="384" t="n"/>
      <c r="AW14" s="384" t="n"/>
      <c r="AX14" s="384" t="n"/>
      <c r="AY14" s="384" t="n"/>
      <c r="AZ14" s="384" t="n"/>
      <c r="BA14" s="384" t="n"/>
      <c r="BB14" s="384" t="n"/>
      <c r="BC14" s="384" t="n"/>
      <c r="BD14" s="384" t="n"/>
      <c r="BE14" s="384" t="n"/>
      <c r="BF14" s="384" t="n"/>
      <c r="BG14" s="384" t="n"/>
      <c r="BH14" s="384" t="n"/>
      <c r="BI14" s="384" t="n"/>
      <c r="BJ14" s="384" t="n"/>
      <c r="BK14" s="384" t="n"/>
      <c r="BL14" s="384" t="n"/>
      <c r="BM14" s="384" t="n"/>
      <c r="BN14" s="384" t="n"/>
      <c r="BO14" s="384" t="n"/>
      <c r="BP14" s="384" t="n"/>
      <c r="BQ14" s="384" t="n"/>
      <c r="BR14" s="384" t="n"/>
      <c r="BS14" s="384" t="n"/>
      <c r="BT14" s="384" t="n"/>
      <c r="BU14" s="384" t="n"/>
      <c r="BV14" s="384" t="n"/>
      <c r="BW14" s="384" t="n"/>
      <c r="BX14" s="384" t="n"/>
      <c r="BY14" s="384" t="n"/>
      <c r="BZ14" s="384" t="n"/>
      <c r="CA14" s="384" t="n"/>
      <c r="CB14" s="384" t="n"/>
      <c r="CC14" s="384" t="n"/>
      <c r="CD14" s="384" t="n"/>
      <c r="CE14" s="384" t="n"/>
      <c r="CF14" s="384" t="n"/>
      <c r="CG14" s="384" t="n"/>
      <c r="CH14" s="384" t="n"/>
      <c r="CI14" s="384" t="n"/>
      <c r="CJ14" s="384" t="n"/>
      <c r="CK14" s="384" t="n"/>
      <c r="CL14" s="384" t="n"/>
      <c r="CM14" s="384" t="n"/>
      <c r="CN14" s="384" t="n"/>
      <c r="CO14" s="384" t="n"/>
      <c r="CP14" s="384" t="n"/>
      <c r="CQ14" s="384" t="n"/>
      <c r="CR14" s="384" t="n"/>
      <c r="CS14" s="384" t="n"/>
      <c r="CT14" s="384" t="n"/>
      <c r="CU14" s="384" t="n"/>
      <c r="CV14" s="384" t="n"/>
      <c r="CW14" s="384" t="n"/>
      <c r="CX14" s="384" t="n"/>
      <c r="CY14" s="384" t="n"/>
      <c r="CZ14" s="384" t="n"/>
      <c r="DA14" s="384" t="n"/>
      <c r="DB14" s="384" t="n"/>
      <c r="DC14" s="384" t="n"/>
      <c r="DD14" s="384" t="n"/>
      <c r="DE14" s="384" t="n"/>
      <c r="DF14" s="384" t="n"/>
      <c r="DG14" s="384" t="n"/>
      <c r="DH14" s="384" t="n"/>
      <c r="DI14" s="384" t="n"/>
      <c r="DJ14" s="384" t="n"/>
      <c r="DK14" s="384" t="n"/>
      <c r="DL14" s="384" t="n"/>
      <c r="DM14" s="384" t="n"/>
      <c r="DN14" s="384" t="n"/>
      <c r="DO14" s="384" t="n"/>
      <c r="DP14" s="384" t="n"/>
    </row>
    <row r="15" hidden="1" outlineLevel="1" s="1181">
      <c r="A15" s="384" t="n"/>
      <c r="B15" s="384" t="n"/>
      <c r="C15" s="384" t="n"/>
      <c r="D15" s="384" t="n"/>
      <c r="E15" s="384" t="n"/>
      <c r="F15" s="384" t="n"/>
      <c r="G15" s="384" t="n"/>
      <c r="H15" s="384" t="n"/>
      <c r="I15" s="384" t="n"/>
      <c r="J15" s="384" t="n"/>
      <c r="K15" s="384" t="n"/>
      <c r="L15" s="384" t="n"/>
      <c r="M15" s="384" t="n"/>
      <c r="N15" s="384" t="n"/>
      <c r="O15" s="384" t="n"/>
      <c r="P15" s="384" t="n"/>
      <c r="Q15" s="384" t="n"/>
      <c r="R15" s="384" t="n"/>
      <c r="S15" s="384" t="n"/>
      <c r="T15" s="384" t="n"/>
      <c r="U15" s="384" t="n"/>
      <c r="V15" s="384" t="n"/>
      <c r="W15" s="384" t="n"/>
      <c r="X15" s="384" t="n"/>
      <c r="Y15" s="384" t="n"/>
      <c r="Z15" s="384" t="n"/>
      <c r="AA15" s="384" t="n"/>
      <c r="AB15" s="384" t="n"/>
      <c r="AC15" s="384" t="n"/>
      <c r="AD15" s="384" t="n"/>
      <c r="AE15" s="384" t="n"/>
      <c r="AF15" s="384" t="n"/>
      <c r="AG15" s="384" t="n"/>
      <c r="AH15" s="384" t="n"/>
      <c r="AI15" s="384" t="n"/>
      <c r="AJ15" s="384" t="n"/>
      <c r="AK15" s="384" t="n"/>
      <c r="AL15" s="384" t="n"/>
      <c r="AM15" s="384" t="n"/>
      <c r="AN15" s="384" t="n"/>
      <c r="AO15" s="384" t="n"/>
      <c r="AP15" s="384" t="n"/>
      <c r="AQ15" s="384" t="n"/>
      <c r="AR15" s="384" t="n"/>
      <c r="AS15" s="384" t="n"/>
      <c r="AT15" s="384" t="n"/>
      <c r="AU15" s="384" t="n"/>
      <c r="AV15" s="384" t="n"/>
      <c r="AW15" s="384" t="n"/>
      <c r="AX15" s="384" t="n"/>
      <c r="AY15" s="384" t="n"/>
      <c r="AZ15" s="384" t="n"/>
      <c r="BA15" s="384" t="n"/>
      <c r="BB15" s="384" t="n"/>
      <c r="BC15" s="384" t="n"/>
      <c r="BD15" s="384" t="n"/>
      <c r="BE15" s="384" t="n"/>
      <c r="BF15" s="384" t="n"/>
      <c r="BG15" s="384" t="n"/>
      <c r="BH15" s="384" t="n"/>
      <c r="BI15" s="384" t="n"/>
      <c r="BJ15" s="384" t="n"/>
      <c r="BK15" s="384" t="n"/>
      <c r="BL15" s="384" t="n"/>
      <c r="BM15" s="384" t="n"/>
      <c r="BN15" s="384" t="n"/>
      <c r="BO15" s="384" t="n"/>
      <c r="BP15" s="384" t="n"/>
      <c r="BQ15" s="384" t="n"/>
      <c r="BR15" s="384" t="n"/>
      <c r="BS15" s="384" t="n"/>
      <c r="BT15" s="384" t="n"/>
      <c r="BU15" s="384" t="n"/>
      <c r="BV15" s="384" t="n"/>
      <c r="BW15" s="384" t="n"/>
      <c r="BX15" s="384" t="n"/>
      <c r="BY15" s="384" t="n"/>
      <c r="BZ15" s="384" t="n"/>
      <c r="CA15" s="384" t="n"/>
      <c r="CB15" s="384" t="n"/>
      <c r="CC15" s="384" t="n"/>
      <c r="CD15" s="384" t="n"/>
      <c r="CE15" s="384" t="n"/>
      <c r="CF15" s="384" t="n"/>
      <c r="CG15" s="384" t="n"/>
      <c r="CH15" s="384" t="n"/>
      <c r="CI15" s="384" t="n"/>
      <c r="CJ15" s="384" t="n"/>
      <c r="CK15" s="384" t="n"/>
      <c r="CL15" s="384" t="n"/>
      <c r="CM15" s="384" t="n"/>
      <c r="CN15" s="384" t="n"/>
      <c r="CO15" s="384" t="n"/>
      <c r="CP15" s="384" t="n"/>
      <c r="CQ15" s="384" t="n"/>
      <c r="CR15" s="384" t="n"/>
      <c r="CS15" s="384" t="n"/>
      <c r="CT15" s="384" t="n"/>
      <c r="CU15" s="384" t="n"/>
      <c r="CV15" s="384" t="n"/>
      <c r="CW15" s="384" t="n"/>
      <c r="CX15" s="384" t="n"/>
      <c r="CY15" s="384" t="n"/>
      <c r="CZ15" s="384" t="n"/>
      <c r="DA15" s="384" t="n"/>
      <c r="DB15" s="384" t="n"/>
      <c r="DC15" s="384" t="n"/>
      <c r="DD15" s="384" t="n"/>
      <c r="DE15" s="384" t="n"/>
      <c r="DF15" s="384" t="n"/>
      <c r="DG15" s="384" t="n"/>
      <c r="DH15" s="384" t="n"/>
      <c r="DI15" s="384" t="n"/>
      <c r="DJ15" s="384" t="n"/>
      <c r="DK15" s="384" t="n"/>
      <c r="DL15" s="384" t="n"/>
      <c r="DM15" s="384" t="n"/>
      <c r="DN15" s="384" t="n"/>
      <c r="DO15" s="384" t="n"/>
      <c r="DP15" s="384" t="n"/>
    </row>
    <row r="16" hidden="1" outlineLevel="1" s="1181">
      <c r="A16" s="384" t="n"/>
      <c r="B16" s="384" t="inlineStr">
        <is>
          <t>本年1月时上月数取值</t>
        </is>
      </c>
      <c r="C16" s="384" t="inlineStr">
        <is>
          <t>取预算数：由于本表中的修理费用了A031科目，而预算系统成本表中风光的修理费手工填到了A028科目上，刷A031时刷不出风光的数，所以单独做retrive公式取。Lxx</t>
        </is>
      </c>
      <c r="D16" s="384" t="n"/>
      <c r="E16" s="384" t="n"/>
      <c r="F16" s="384" t="n"/>
      <c r="G16" s="384" t="n"/>
      <c r="H16" s="384" t="n"/>
      <c r="I16" s="384" t="n"/>
      <c r="J16" s="384" t="n"/>
      <c r="K16" s="384" t="n"/>
      <c r="L16" s="384" t="n"/>
      <c r="M16" s="384" t="n"/>
      <c r="N16" s="384" t="n"/>
      <c r="O16" s="384" t="n"/>
      <c r="P16" s="384" t="n"/>
      <c r="Q16" s="384" t="n"/>
      <c r="R16" s="384" t="n"/>
      <c r="S16" s="384" t="n"/>
      <c r="T16" s="384" t="n"/>
      <c r="U16" s="384" t="n"/>
      <c r="V16" s="384" t="n"/>
      <c r="W16" s="384" t="n"/>
      <c r="X16" s="384" t="n"/>
      <c r="Y16" s="384" t="n"/>
      <c r="Z16" s="384" t="n"/>
      <c r="AA16" s="384" t="n"/>
      <c r="AB16" s="384" t="n"/>
      <c r="AC16" s="384" t="n"/>
      <c r="AD16" s="384" t="n"/>
      <c r="AE16" s="384" t="n"/>
      <c r="AF16" s="384" t="n"/>
      <c r="AG16" s="384" t="n"/>
      <c r="AH16" s="384" t="n"/>
      <c r="AI16" s="384" t="n"/>
      <c r="AJ16" s="384" t="n"/>
      <c r="AK16" s="384" t="n"/>
      <c r="AL16" s="384" t="n"/>
      <c r="AM16" s="384" t="n"/>
      <c r="AN16" s="384" t="n"/>
      <c r="AO16" s="384" t="n"/>
      <c r="AP16" s="384" t="n"/>
      <c r="AQ16" s="384" t="n"/>
      <c r="AR16" s="384" t="n"/>
      <c r="AS16" s="384" t="n"/>
      <c r="AT16" s="384" t="n"/>
      <c r="AU16" s="384" t="n"/>
      <c r="AV16" s="384" t="n"/>
      <c r="AW16" s="384" t="n"/>
      <c r="AX16" s="384" t="n"/>
      <c r="AY16" s="384" t="n"/>
      <c r="AZ16" s="384" t="n"/>
      <c r="BA16" s="384" t="n"/>
      <c r="BB16" s="384" t="n"/>
      <c r="BC16" s="384" t="n"/>
      <c r="BD16" s="384" t="n"/>
      <c r="BE16" s="384" t="n"/>
      <c r="BF16" s="384" t="n"/>
      <c r="BG16" s="384" t="n"/>
      <c r="BH16" s="384" t="n"/>
      <c r="BI16" s="384" t="n"/>
      <c r="BJ16" s="384" t="n"/>
      <c r="BK16" s="384" t="n"/>
      <c r="BL16" s="384" t="n"/>
      <c r="BM16" s="384" t="n"/>
      <c r="BN16" s="384" t="n"/>
      <c r="BO16" s="384" t="n"/>
      <c r="BP16" s="384" t="n"/>
      <c r="BQ16" s="384" t="n"/>
      <c r="BR16" s="384" t="n"/>
      <c r="BS16" s="384" t="n"/>
      <c r="BT16" s="384" t="n"/>
      <c r="BU16" s="384" t="n"/>
      <c r="BV16" s="384" t="n"/>
      <c r="BW16" s="384" t="n"/>
      <c r="BX16" s="384" t="n"/>
      <c r="BY16" s="384" t="n"/>
      <c r="BZ16" s="384" t="n"/>
      <c r="CA16" s="384" t="n"/>
      <c r="CB16" s="384" t="n"/>
      <c r="CC16" s="384" t="n"/>
      <c r="CD16" s="384" t="n"/>
      <c r="CE16" s="384" t="n"/>
      <c r="CF16" s="384" t="n"/>
      <c r="CG16" s="384" t="n"/>
      <c r="CH16" s="384" t="n"/>
      <c r="CI16" s="384" t="n"/>
      <c r="CJ16" s="384" t="n"/>
      <c r="CK16" s="384" t="n"/>
      <c r="CL16" s="384" t="n"/>
      <c r="CM16" s="384" t="n"/>
      <c r="CN16" s="384" t="n"/>
      <c r="CO16" s="384" t="n"/>
      <c r="CP16" s="384" t="n"/>
      <c r="CQ16" s="384" t="n"/>
      <c r="CR16" s="384" t="n"/>
      <c r="CS16" s="384" t="n"/>
      <c r="CT16" s="384" t="n"/>
      <c r="CU16" s="384" t="n"/>
      <c r="CV16" s="384" t="n"/>
      <c r="CW16" s="384" t="n"/>
      <c r="CX16" s="384" t="n"/>
      <c r="CY16" s="384" t="n"/>
      <c r="CZ16" s="384" t="n"/>
      <c r="DA16" s="384" t="n"/>
      <c r="DB16" s="384" t="n"/>
      <c r="DC16" s="384" t="n"/>
      <c r="DD16" s="384" t="n"/>
      <c r="DE16" s="384" t="n"/>
      <c r="DF16" s="384" t="n"/>
      <c r="DG16" s="384" t="n"/>
      <c r="DH16" s="384" t="n"/>
      <c r="DI16" s="384" t="n"/>
      <c r="DJ16" s="384" t="n"/>
      <c r="DK16" s="384" t="n"/>
      <c r="DL16" s="384" t="n"/>
      <c r="DM16" s="384" t="n"/>
      <c r="DN16" s="384" t="n"/>
      <c r="DO16" s="384" t="n"/>
      <c r="DP16" s="384" t="n"/>
    </row>
    <row r="17" hidden="1" outlineLevel="1" s="1181">
      <c r="A17" s="384" t="n"/>
      <c r="B17" s="384">
        <f>E5-1&amp;".12"</f>
        <v/>
      </c>
      <c r="C17" s="349" t="n"/>
      <c r="D17" s="349" t="inlineStr">
        <is>
          <t>A02801010203</t>
        </is>
      </c>
      <c r="E17" s="384">
        <f>IF(_epmOfflineCondition_,"修理费",EPMMemberDesc(D17))</f>
        <v/>
      </c>
      <c r="F17" s="384" t="n"/>
      <c r="G17" s="180" t="inlineStr">
        <is>
          <t>选择的值</t>
        </is>
      </c>
      <c r="H17" s="180">
        <f>VLOOKUP(AA41,G18:H20,2,FALSE)</f>
        <v/>
      </c>
      <c r="I17" s="384" t="n"/>
      <c r="J17" s="384" t="n"/>
      <c r="K17" s="384" t="n"/>
      <c r="L17" s="384" t="n"/>
      <c r="M17" s="384" t="n"/>
      <c r="N17" s="384" t="n"/>
      <c r="O17" s="384" t="n"/>
      <c r="P17" s="384" t="n"/>
      <c r="Q17" s="384" t="n"/>
      <c r="R17" s="384" t="n"/>
      <c r="S17" s="384" t="n"/>
      <c r="T17" s="384" t="n"/>
      <c r="U17" s="384" t="n"/>
      <c r="V17" s="384" t="n"/>
      <c r="W17" s="384" t="n"/>
      <c r="X17" s="384" t="n"/>
      <c r="Y17" s="384" t="n"/>
      <c r="Z17" s="384" t="n"/>
      <c r="AA17" s="384" t="n"/>
      <c r="AB17" s="384" t="n"/>
      <c r="AC17" s="384" t="n"/>
      <c r="AD17" s="384" t="n"/>
      <c r="AE17" s="384" t="n"/>
      <c r="AF17" s="384" t="n"/>
      <c r="AG17" s="384" t="n"/>
      <c r="AH17" s="384" t="n"/>
      <c r="AI17" s="384" t="n"/>
      <c r="AJ17" s="384" t="n"/>
      <c r="AK17" s="384" t="n"/>
      <c r="AL17" s="384" t="n"/>
      <c r="AM17" s="384" t="n"/>
      <c r="AN17" s="384" t="n"/>
      <c r="AO17" s="384" t="n"/>
      <c r="AP17" s="384" t="n"/>
      <c r="AQ17" s="384" t="n"/>
      <c r="AR17" s="384" t="n"/>
      <c r="AS17" s="384" t="n"/>
      <c r="AT17" s="384" t="n"/>
      <c r="AU17" s="384" t="n"/>
      <c r="AV17" s="384" t="n"/>
      <c r="AW17" s="384" t="n"/>
      <c r="AX17" s="384" t="n"/>
      <c r="AY17" s="384" t="n"/>
      <c r="AZ17" s="384" t="n"/>
      <c r="BA17" s="384" t="n"/>
      <c r="BB17" s="384" t="n"/>
      <c r="BC17" s="384" t="n"/>
      <c r="BD17" s="384" t="n"/>
      <c r="BE17" s="384" t="n"/>
      <c r="BF17" s="384" t="n"/>
      <c r="BG17" s="384" t="n"/>
      <c r="BH17" s="384" t="n"/>
      <c r="BI17" s="384" t="n"/>
      <c r="BJ17" s="384" t="n"/>
      <c r="BK17" s="384" t="n"/>
      <c r="BL17" s="384" t="n"/>
      <c r="BM17" s="384" t="n"/>
      <c r="BN17" s="384" t="n"/>
      <c r="BO17" s="384" t="n"/>
      <c r="BP17" s="384" t="n"/>
      <c r="BQ17" s="384" t="n"/>
      <c r="BR17" s="384" t="n"/>
      <c r="BS17" s="384" t="n"/>
      <c r="BT17" s="384" t="n"/>
      <c r="BU17" s="384" t="n"/>
      <c r="BV17" s="384" t="n"/>
      <c r="BW17" s="384" t="n"/>
      <c r="BX17" s="384" t="n"/>
      <c r="BY17" s="384" t="n"/>
      <c r="BZ17" s="384" t="n"/>
      <c r="CA17" s="384" t="n"/>
      <c r="CB17" s="384" t="n"/>
      <c r="CC17" s="384" t="n"/>
      <c r="CD17" s="384" t="n"/>
      <c r="CE17" s="384" t="n"/>
      <c r="CF17" s="384" t="n"/>
      <c r="CG17" s="384" t="n"/>
      <c r="CH17" s="384" t="n"/>
      <c r="CI17" s="384" t="n"/>
      <c r="CJ17" s="384" t="n"/>
      <c r="CK17" s="384" t="n"/>
      <c r="CL17" s="384" t="n"/>
      <c r="CM17" s="384" t="n"/>
      <c r="CN17" s="384" t="n"/>
      <c r="CO17" s="384" t="n"/>
      <c r="CP17" s="384" t="n"/>
      <c r="CQ17" s="384" t="n"/>
      <c r="CR17" s="384" t="n"/>
      <c r="CS17" s="384" t="n"/>
      <c r="CT17" s="384" t="n"/>
      <c r="CU17" s="384" t="n"/>
      <c r="CV17" s="384" t="n"/>
      <c r="CW17" s="384" t="n"/>
      <c r="CX17" s="384" t="n"/>
      <c r="CY17" s="384" t="n"/>
      <c r="CZ17" s="384" t="n"/>
      <c r="DA17" s="384" t="n"/>
      <c r="DB17" s="384" t="n"/>
      <c r="DC17" s="384" t="n"/>
      <c r="DD17" s="384" t="n"/>
      <c r="DE17" s="384" t="n"/>
      <c r="DF17" s="384" t="n"/>
      <c r="DG17" s="384" t="n"/>
      <c r="DH17" s="384" t="n"/>
      <c r="DI17" s="384" t="n"/>
      <c r="DJ17" s="384" t="n"/>
      <c r="DK17" s="384" t="n"/>
      <c r="DL17" s="384" t="n"/>
      <c r="DM17" s="384" t="n"/>
      <c r="DN17" s="384" t="n"/>
      <c r="DO17" s="384" t="n"/>
      <c r="DP17" s="384" t="n"/>
    </row>
    <row r="18" hidden="1" outlineLevel="1" s="1181">
      <c r="A18" s="384" t="n"/>
      <c r="B18" s="384">
        <f>IF(_epmOfflineCondition_,"",EPMMemberDesc(C18))</f>
        <v/>
      </c>
      <c r="C18" s="349" t="n"/>
      <c r="D18" s="349" t="n"/>
      <c r="E18" s="384" t="n"/>
      <c r="F18" s="384" t="n"/>
      <c r="G18" s="180" t="inlineStr">
        <is>
          <t>单体录入</t>
        </is>
      </c>
      <c r="H18" s="180" t="inlineStr">
        <is>
          <t>D1110</t>
        </is>
      </c>
      <c r="I18" s="384" t="n"/>
      <c r="J18" s="384" t="n"/>
      <c r="K18" s="384" t="n"/>
      <c r="L18" s="384" t="n"/>
      <c r="M18" s="384" t="n"/>
      <c r="N18" s="384" t="n"/>
      <c r="O18" s="384" t="n"/>
      <c r="P18" s="384" t="n"/>
      <c r="Q18" s="384" t="n"/>
      <c r="R18" s="384" t="n"/>
      <c r="S18" s="384" t="n"/>
      <c r="T18" s="384" t="n"/>
      <c r="U18" s="384" t="n"/>
      <c r="V18" s="384" t="n"/>
      <c r="W18" s="384" t="n"/>
      <c r="X18" s="384" t="n"/>
      <c r="Y18" s="384" t="n"/>
      <c r="Z18" s="384" t="n"/>
      <c r="AA18" s="384" t="n"/>
      <c r="AB18" s="384" t="n"/>
      <c r="AC18" s="384" t="n"/>
      <c r="AD18" s="384" t="n"/>
      <c r="AE18" s="384" t="n"/>
      <c r="AF18" s="384" t="n"/>
      <c r="AG18" s="384" t="n"/>
      <c r="AH18" s="384" t="n"/>
      <c r="AI18" s="384" t="n"/>
      <c r="AJ18" s="384" t="n"/>
      <c r="AK18" s="384" t="n"/>
      <c r="AL18" s="384" t="n"/>
      <c r="AM18" s="384" t="n"/>
      <c r="AN18" s="384" t="n"/>
      <c r="AO18" s="384" t="n"/>
      <c r="AP18" s="384" t="n"/>
      <c r="AQ18" s="384" t="n"/>
      <c r="AR18" s="384" t="n"/>
      <c r="AS18" s="384" t="n"/>
      <c r="AT18" s="384" t="n"/>
      <c r="AU18" s="384" t="n"/>
      <c r="AV18" s="384" t="n"/>
      <c r="AW18" s="384" t="n"/>
      <c r="AX18" s="384" t="n"/>
      <c r="AY18" s="384" t="n"/>
      <c r="AZ18" s="384" t="n"/>
      <c r="BA18" s="384" t="n"/>
      <c r="BB18" s="384" t="n"/>
      <c r="BC18" s="384" t="n"/>
      <c r="BD18" s="384" t="n"/>
      <c r="BE18" s="384" t="n"/>
      <c r="BF18" s="384" t="n"/>
      <c r="BG18" s="384" t="n"/>
      <c r="BH18" s="384" t="n"/>
      <c r="BI18" s="384" t="n"/>
      <c r="BJ18" s="384" t="n"/>
      <c r="BK18" s="384" t="n"/>
      <c r="BL18" s="384" t="n"/>
      <c r="BM18" s="384" t="n"/>
      <c r="BN18" s="384" t="n"/>
      <c r="BO18" s="384" t="n"/>
      <c r="BP18" s="384" t="n"/>
      <c r="BQ18" s="384" t="n"/>
      <c r="BR18" s="384" t="n"/>
      <c r="BS18" s="384" t="n"/>
      <c r="BT18" s="384" t="n"/>
      <c r="BU18" s="384" t="n"/>
      <c r="BV18" s="384" t="n"/>
      <c r="BW18" s="384" t="n"/>
      <c r="BX18" s="384" t="n"/>
      <c r="BY18" s="384" t="n"/>
      <c r="BZ18" s="384" t="n"/>
      <c r="CA18" s="384" t="n"/>
      <c r="CB18" s="384" t="n"/>
      <c r="CC18" s="384" t="n"/>
      <c r="CD18" s="384" t="n"/>
      <c r="CE18" s="384" t="n"/>
      <c r="CF18" s="384" t="n"/>
      <c r="CG18" s="384" t="n"/>
      <c r="CH18" s="384" t="n"/>
      <c r="CI18" s="384" t="n"/>
      <c r="CJ18" s="384" t="n"/>
      <c r="CK18" s="384" t="n"/>
      <c r="CL18" s="384" t="n"/>
      <c r="CM18" s="384" t="n"/>
      <c r="CN18" s="384" t="n"/>
      <c r="CO18" s="384" t="n"/>
      <c r="CP18" s="384" t="n"/>
      <c r="CQ18" s="384" t="n"/>
      <c r="CR18" s="384" t="n"/>
      <c r="CS18" s="384" t="n"/>
      <c r="CT18" s="384" t="n"/>
      <c r="CU18" s="384" t="n"/>
      <c r="CV18" s="384" t="n"/>
      <c r="CW18" s="384" t="n"/>
      <c r="CX18" s="384" t="n"/>
      <c r="CY18" s="384" t="n"/>
      <c r="CZ18" s="384" t="n"/>
      <c r="DA18" s="384" t="n"/>
      <c r="DB18" s="384" t="n"/>
      <c r="DC18" s="384" t="n"/>
      <c r="DD18" s="384" t="n"/>
      <c r="DE18" s="384" t="n"/>
      <c r="DF18" s="384" t="n"/>
      <c r="DG18" s="384" t="n"/>
      <c r="DH18" s="384" t="n"/>
      <c r="DI18" s="384" t="n"/>
      <c r="DJ18" s="384" t="n"/>
      <c r="DK18" s="384" t="n"/>
      <c r="DL18" s="384" t="n"/>
      <c r="DM18" s="384" t="n"/>
      <c r="DN18" s="384" t="n"/>
      <c r="DO18" s="384" t="n"/>
      <c r="DP18" s="384" t="n"/>
    </row>
    <row r="19" hidden="1" outlineLevel="1" s="1181">
      <c r="A19" s="384" t="n"/>
      <c r="B19" s="384" t="n"/>
      <c r="C19" s="384" t="n"/>
      <c r="D19" s="384" t="n"/>
      <c r="E19" s="384" t="n"/>
      <c r="F19" s="384" t="n"/>
      <c r="G19" s="180" t="inlineStr">
        <is>
          <t>合并调整</t>
        </is>
      </c>
      <c r="H19" s="180" t="inlineStr">
        <is>
          <t>DELIM_IPT_IC_BP_99</t>
        </is>
      </c>
      <c r="I19" s="384" t="n"/>
      <c r="J19" s="384" t="n"/>
      <c r="K19" s="384" t="n"/>
      <c r="L19" s="384" t="n"/>
      <c r="M19" s="384" t="n"/>
      <c r="N19" s="384" t="n"/>
      <c r="O19" s="384" t="n"/>
      <c r="P19" s="384" t="n"/>
      <c r="Q19" s="384" t="n"/>
      <c r="R19" s="384" t="n"/>
      <c r="S19" s="384" t="n"/>
      <c r="T19" s="384" t="n"/>
      <c r="U19" s="384" t="n"/>
      <c r="V19" s="384" t="n"/>
      <c r="W19" s="384" t="n"/>
      <c r="X19" s="384" t="n"/>
      <c r="Y19" s="384" t="n"/>
      <c r="Z19" s="384" t="n"/>
      <c r="AA19" s="384" t="n"/>
      <c r="AB19" s="384" t="n"/>
      <c r="AC19" s="384" t="n"/>
      <c r="AD19" s="384" t="n"/>
      <c r="AE19" s="384" t="n"/>
      <c r="AF19" s="384" t="n"/>
      <c r="AG19" s="384" t="n"/>
      <c r="AH19" s="384" t="n"/>
      <c r="AI19" s="384" t="n"/>
      <c r="AJ19" s="384" t="n"/>
      <c r="AK19" s="384" t="n"/>
      <c r="AL19" s="384" t="n"/>
      <c r="AM19" s="384" t="n"/>
      <c r="AN19" s="384" t="n"/>
      <c r="AO19" s="384" t="n"/>
      <c r="AP19" s="384" t="n"/>
      <c r="AQ19" s="384" t="n"/>
      <c r="AR19" s="384" t="n"/>
      <c r="AS19" s="384" t="n"/>
      <c r="AT19" s="384" t="n"/>
      <c r="AU19" s="384" t="n"/>
      <c r="AV19" s="384" t="n"/>
      <c r="AW19" s="384" t="n"/>
      <c r="AX19" s="384" t="n"/>
      <c r="AY19" s="384" t="n"/>
      <c r="AZ19" s="384" t="n"/>
      <c r="BA19" s="384" t="n"/>
      <c r="BB19" s="384" t="n"/>
      <c r="BC19" s="384" t="n"/>
      <c r="BD19" s="384" t="n"/>
      <c r="BE19" s="384" t="n"/>
      <c r="BF19" s="384" t="n"/>
      <c r="BG19" s="384" t="n"/>
      <c r="BH19" s="384" t="n"/>
      <c r="BI19" s="384" t="n"/>
      <c r="BJ19" s="384" t="n"/>
      <c r="BK19" s="384" t="n"/>
      <c r="BL19" s="384" t="n"/>
      <c r="BM19" s="384" t="n"/>
      <c r="BN19" s="384" t="n"/>
      <c r="BO19" s="384" t="n"/>
      <c r="BP19" s="384" t="n"/>
      <c r="BQ19" s="384" t="n"/>
      <c r="BR19" s="384" t="n"/>
      <c r="BS19" s="384" t="n"/>
      <c r="BT19" s="384" t="n"/>
      <c r="BU19" s="384" t="n"/>
      <c r="BV19" s="384" t="n"/>
      <c r="BW19" s="384" t="n"/>
      <c r="BX19" s="384" t="n"/>
      <c r="BY19" s="384" t="n"/>
      <c r="BZ19" s="384" t="n"/>
      <c r="CA19" s="384" t="n"/>
      <c r="CB19" s="384" t="n"/>
      <c r="CC19" s="384" t="n"/>
      <c r="CD19" s="384" t="n"/>
      <c r="CE19" s="384" t="n"/>
      <c r="CF19" s="384" t="n"/>
      <c r="CG19" s="384" t="n"/>
      <c r="CH19" s="384" t="n"/>
      <c r="CI19" s="384" t="n"/>
      <c r="CJ19" s="384" t="n"/>
      <c r="CK19" s="384" t="n"/>
      <c r="CL19" s="384" t="n"/>
      <c r="CM19" s="384" t="n"/>
      <c r="CN19" s="384" t="n"/>
      <c r="CO19" s="384" t="n"/>
      <c r="CP19" s="384" t="n"/>
      <c r="CQ19" s="384" t="n"/>
      <c r="CR19" s="384" t="n"/>
      <c r="CS19" s="384" t="n"/>
      <c r="CT19" s="384" t="n"/>
      <c r="CU19" s="384" t="n"/>
      <c r="CV19" s="384" t="n"/>
      <c r="CW19" s="384" t="n"/>
      <c r="CX19" s="384" t="n"/>
      <c r="CY19" s="384" t="n"/>
      <c r="CZ19" s="384" t="n"/>
      <c r="DA19" s="384" t="n"/>
      <c r="DB19" s="384" t="n"/>
      <c r="DC19" s="384" t="n"/>
      <c r="DD19" s="384" t="n"/>
      <c r="DE19" s="384" t="n"/>
      <c r="DF19" s="384" t="n"/>
      <c r="DG19" s="384" t="n"/>
      <c r="DH19" s="384" t="n"/>
      <c r="DI19" s="384" t="n"/>
      <c r="DJ19" s="384" t="n"/>
      <c r="DK19" s="384" t="n"/>
      <c r="DL19" s="384" t="n"/>
      <c r="DM19" s="384" t="n"/>
      <c r="DN19" s="384" t="n"/>
      <c r="DO19" s="384" t="n"/>
      <c r="DP19" s="384" t="n"/>
    </row>
    <row r="20" hidden="1" outlineLevel="1" s="1181">
      <c r="A20" s="384" t="n"/>
      <c r="B20" s="384" t="n"/>
      <c r="C20" s="384" t="n"/>
      <c r="D20" s="384" t="n"/>
      <c r="E20" s="384" t="n"/>
      <c r="F20" s="384" t="n"/>
      <c r="G20" s="180" t="inlineStr">
        <is>
          <t>查询</t>
        </is>
      </c>
      <c r="H20" s="180" t="inlineStr">
        <is>
          <t>DALL</t>
        </is>
      </c>
      <c r="I20" s="384" t="n"/>
      <c r="J20" s="384" t="n"/>
      <c r="K20" s="384" t="n"/>
      <c r="L20" s="384" t="n"/>
      <c r="M20" s="384" t="n"/>
      <c r="N20" s="384" t="n"/>
      <c r="O20" s="384" t="n"/>
      <c r="P20" s="384" t="n"/>
      <c r="Q20" s="384" t="n"/>
      <c r="R20" s="384" t="n"/>
      <c r="S20" s="384" t="n"/>
      <c r="T20" s="384" t="n"/>
      <c r="U20" s="384" t="n"/>
      <c r="V20" s="384" t="n"/>
      <c r="W20" s="384" t="n"/>
      <c r="X20" s="384" t="n"/>
      <c r="Y20" s="384" t="n"/>
      <c r="Z20" s="384" t="n"/>
      <c r="AA20" s="384" t="n"/>
      <c r="AB20" s="384" t="n"/>
      <c r="AC20" s="384" t="n"/>
      <c r="AD20" s="384" t="n"/>
      <c r="AE20" s="384" t="n"/>
      <c r="AF20" s="384" t="n"/>
      <c r="AG20" s="384" t="n"/>
      <c r="AH20" s="384" t="n"/>
      <c r="AI20" s="384" t="n"/>
      <c r="AJ20" s="384" t="n"/>
      <c r="AK20" s="384" t="n"/>
      <c r="AL20" s="384" t="n"/>
      <c r="AM20" s="384" t="n"/>
      <c r="AN20" s="384" t="n"/>
      <c r="AO20" s="384" t="n"/>
      <c r="AP20" s="384" t="n"/>
      <c r="AQ20" s="384" t="n"/>
      <c r="AR20" s="384" t="n"/>
      <c r="AS20" s="384" t="n"/>
      <c r="AT20" s="384" t="n"/>
      <c r="AU20" s="384" t="n"/>
      <c r="AV20" s="384" t="n"/>
      <c r="AW20" s="384" t="n"/>
      <c r="AX20" s="384" t="n"/>
      <c r="AY20" s="384" t="n"/>
      <c r="AZ20" s="384" t="n"/>
      <c r="BA20" s="384" t="n"/>
      <c r="BB20" s="384" t="n"/>
      <c r="BC20" s="384" t="n"/>
      <c r="BD20" s="384" t="n"/>
      <c r="BE20" s="384" t="n"/>
      <c r="BF20" s="384" t="n"/>
      <c r="BG20" s="384" t="n"/>
      <c r="BH20" s="384" t="n"/>
      <c r="BI20" s="384" t="n"/>
      <c r="BJ20" s="384" t="n"/>
      <c r="BK20" s="384" t="n"/>
      <c r="BL20" s="384" t="n"/>
      <c r="BM20" s="384" t="n"/>
      <c r="BN20" s="384" t="n"/>
      <c r="BO20" s="384" t="n"/>
      <c r="BP20" s="384" t="n"/>
      <c r="BQ20" s="384" t="n"/>
      <c r="BR20" s="384" t="n"/>
      <c r="BS20" s="384" t="n"/>
      <c r="BT20" s="384" t="n"/>
      <c r="BU20" s="384" t="n"/>
      <c r="BV20" s="384" t="n"/>
      <c r="BW20" s="384" t="n"/>
      <c r="BX20" s="384" t="n"/>
      <c r="BY20" s="384" t="n"/>
      <c r="BZ20" s="384" t="n"/>
      <c r="CA20" s="384" t="n"/>
      <c r="CB20" s="384" t="n"/>
      <c r="CC20" s="384" t="n"/>
      <c r="CD20" s="384" t="n"/>
      <c r="CE20" s="384" t="n"/>
      <c r="CF20" s="384" t="n"/>
      <c r="CG20" s="384" t="n"/>
      <c r="CH20" s="384" t="n"/>
      <c r="CI20" s="384" t="n"/>
      <c r="CJ20" s="384" t="n"/>
      <c r="CK20" s="384" t="n"/>
      <c r="CL20" s="384" t="n"/>
      <c r="CM20" s="384" t="n"/>
      <c r="CN20" s="384" t="n"/>
      <c r="CO20" s="384" t="n"/>
      <c r="CP20" s="384" t="n"/>
      <c r="CQ20" s="384" t="n"/>
      <c r="CR20" s="384" t="n"/>
      <c r="CS20" s="384" t="n"/>
      <c r="CT20" s="384" t="n"/>
      <c r="CU20" s="384" t="n"/>
      <c r="CV20" s="384" t="n"/>
      <c r="CW20" s="384" t="n"/>
      <c r="CX20" s="384" t="n"/>
      <c r="CY20" s="384" t="n"/>
      <c r="CZ20" s="384" t="n"/>
      <c r="DA20" s="384" t="n"/>
      <c r="DB20" s="384" t="n"/>
      <c r="DC20" s="384" t="n"/>
      <c r="DD20" s="384" t="n"/>
      <c r="DE20" s="384" t="n"/>
      <c r="DF20" s="384" t="n"/>
      <c r="DG20" s="384" t="n"/>
      <c r="DH20" s="384" t="n"/>
      <c r="DI20" s="384" t="n"/>
      <c r="DJ20" s="384" t="n"/>
      <c r="DK20" s="384" t="n"/>
      <c r="DL20" s="384" t="n"/>
      <c r="DM20" s="384" t="n"/>
      <c r="DN20" s="384" t="n"/>
      <c r="DO20" s="384" t="n"/>
      <c r="DP20" s="384" t="n"/>
    </row>
    <row r="21" hidden="1" outlineLevel="1" s="1181">
      <c r="A21" s="384" t="n"/>
      <c r="B21" s="384" t="n"/>
      <c r="C21" s="384" t="n"/>
      <c r="D21" s="384" t="n"/>
      <c r="E21" s="384" t="n"/>
      <c r="F21" s="384" t="n"/>
      <c r="G21" s="384" t="n"/>
      <c r="H21" s="384" t="n"/>
      <c r="I21" s="384" t="n"/>
      <c r="J21" s="384" t="n"/>
      <c r="K21" s="384" t="n"/>
      <c r="L21" s="384" t="n"/>
      <c r="M21" s="384" t="n"/>
      <c r="N21" s="384" t="n"/>
      <c r="O21" s="384" t="n"/>
      <c r="P21" s="384" t="n"/>
      <c r="Q21" s="384" t="n"/>
      <c r="R21" s="384" t="n"/>
      <c r="S21" s="384" t="n"/>
      <c r="T21" s="384" t="n"/>
      <c r="U21" s="384" t="n"/>
      <c r="V21" s="384" t="n"/>
      <c r="W21" s="384" t="n"/>
      <c r="X21" s="384" t="n"/>
      <c r="Y21" s="384" t="n"/>
      <c r="Z21" s="384" t="n"/>
      <c r="AA21" s="384" t="n"/>
      <c r="AB21" s="384" t="n"/>
      <c r="AC21" s="384" t="n"/>
      <c r="AD21" s="384" t="n"/>
      <c r="AE21" s="384" t="n"/>
      <c r="AF21" s="384" t="n"/>
      <c r="AG21" s="384" t="n"/>
      <c r="AH21" s="384" t="n"/>
      <c r="AI21" s="384" t="n"/>
      <c r="AJ21" s="384" t="n"/>
      <c r="AK21" s="384" t="n"/>
      <c r="AL21" s="384" t="n"/>
      <c r="AM21" s="384" t="n"/>
      <c r="AN21" s="384" t="n"/>
      <c r="AO21" s="384" t="n"/>
      <c r="AP21" s="384" t="n"/>
      <c r="AQ21" s="384" t="n"/>
      <c r="AR21" s="384" t="n"/>
      <c r="AS21" s="384" t="n"/>
      <c r="AT21" s="384" t="n"/>
      <c r="AU21" s="384" t="n"/>
      <c r="AV21" s="384" t="n"/>
      <c r="AW21" s="384" t="n"/>
      <c r="AX21" s="384" t="n"/>
      <c r="AY21" s="384" t="n"/>
      <c r="AZ21" s="384" t="n"/>
      <c r="BA21" s="384" t="n"/>
      <c r="BB21" s="384" t="n"/>
      <c r="BC21" s="384" t="n"/>
      <c r="BD21" s="384" t="n"/>
      <c r="BE21" s="384" t="n"/>
      <c r="BF21" s="384" t="n"/>
      <c r="BG21" s="384" t="n"/>
      <c r="BH21" s="384" t="n"/>
      <c r="BI21" s="384" t="n"/>
      <c r="BJ21" s="384" t="n"/>
      <c r="BK21" s="384" t="n"/>
      <c r="BL21" s="384" t="n"/>
      <c r="BM21" s="384" t="n"/>
      <c r="BN21" s="384" t="n"/>
      <c r="BO21" s="384" t="n"/>
      <c r="BP21" s="384" t="n"/>
      <c r="BQ21" s="384" t="n"/>
      <c r="BR21" s="384" t="n"/>
      <c r="BS21" s="384" t="n"/>
      <c r="BT21" s="384" t="n"/>
      <c r="BU21" s="384" t="n"/>
      <c r="BV21" s="384" t="n"/>
      <c r="BW21" s="384" t="n"/>
      <c r="BX21" s="384" t="n"/>
      <c r="BY21" s="384" t="n"/>
      <c r="BZ21" s="384" t="n"/>
      <c r="CA21" s="384" t="n"/>
      <c r="CB21" s="384" t="n"/>
      <c r="CC21" s="384" t="n"/>
      <c r="CD21" s="384" t="n"/>
      <c r="CE21" s="384" t="n"/>
      <c r="CF21" s="384" t="n"/>
      <c r="CG21" s="384" t="n"/>
      <c r="CH21" s="384" t="n"/>
      <c r="CI21" s="384" t="n"/>
      <c r="CJ21" s="384" t="n"/>
      <c r="CK21" s="384" t="n"/>
      <c r="CL21" s="384" t="n"/>
      <c r="CM21" s="384" t="n"/>
      <c r="CN21" s="384" t="n"/>
      <c r="CO21" s="384" t="n"/>
      <c r="CP21" s="384" t="n"/>
      <c r="CQ21" s="384" t="n"/>
      <c r="CR21" s="384" t="n"/>
      <c r="CS21" s="384" t="n"/>
      <c r="CT21" s="384" t="n"/>
      <c r="CU21" s="384" t="n"/>
      <c r="CV21" s="384" t="n"/>
      <c r="CW21" s="384" t="n"/>
      <c r="CX21" s="384" t="n"/>
      <c r="CY21" s="384" t="n"/>
      <c r="CZ21" s="384" t="n"/>
      <c r="DA21" s="384" t="n"/>
      <c r="DB21" s="384" t="n"/>
      <c r="DC21" s="384" t="n"/>
      <c r="DD21" s="384" t="n"/>
      <c r="DE21" s="384" t="n"/>
      <c r="DF21" s="384" t="n"/>
      <c r="DG21" s="384" t="n"/>
      <c r="DH21" s="384" t="n"/>
      <c r="DI21" s="384" t="n"/>
      <c r="DJ21" s="384" t="n"/>
      <c r="DK21" s="384" t="n"/>
      <c r="DL21" s="384" t="n"/>
      <c r="DM21" s="384" t="n"/>
      <c r="DN21" s="384" t="n"/>
      <c r="DO21" s="384" t="n"/>
      <c r="DP21" s="384" t="n"/>
    </row>
    <row r="22" hidden="1" outlineLevel="1" s="1181">
      <c r="A22" s="384" t="n"/>
      <c r="B22" s="384" t="n"/>
      <c r="C22" s="384" t="n"/>
      <c r="D22" s="384" t="n"/>
      <c r="E22" s="384" t="n"/>
      <c r="F22" s="384" t="n"/>
      <c r="G22" s="384" t="n"/>
      <c r="H22" s="384" t="n"/>
      <c r="I22" s="384" t="n"/>
      <c r="J22" s="384" t="n"/>
      <c r="K22" s="384" t="n"/>
      <c r="L22" s="384" t="n"/>
      <c r="M22" s="384" t="n"/>
      <c r="N22" s="384" t="n"/>
      <c r="O22" s="384" t="n"/>
      <c r="P22" s="384" t="n"/>
      <c r="Q22" s="384" t="n"/>
      <c r="R22" s="384" t="n"/>
      <c r="S22" s="384" t="n"/>
      <c r="T22" s="384" t="n"/>
      <c r="U22" s="384" t="n"/>
      <c r="V22" s="384" t="n"/>
      <c r="W22" s="384" t="n"/>
      <c r="X22" s="384" t="n"/>
      <c r="Y22" s="384" t="n"/>
      <c r="Z22" s="384" t="n"/>
      <c r="AA22" s="384" t="n"/>
      <c r="AB22" s="384" t="n"/>
      <c r="AC22" s="384" t="n"/>
      <c r="AD22" s="384" t="n"/>
      <c r="AE22" s="384" t="n"/>
      <c r="AF22" s="384" t="n"/>
      <c r="AG22" s="384" t="n"/>
      <c r="AH22" s="384" t="n"/>
      <c r="AI22" s="384" t="n"/>
      <c r="AJ22" s="384" t="n"/>
      <c r="AK22" s="384" t="n"/>
      <c r="AL22" s="384" t="n"/>
      <c r="AM22" s="384" t="n"/>
      <c r="AN22" s="384" t="n"/>
      <c r="AO22" s="384" t="n"/>
      <c r="AP22" s="384" t="n"/>
      <c r="AQ22" s="384" t="n"/>
      <c r="AR22" s="384" t="n"/>
      <c r="AS22" s="384" t="n"/>
      <c r="AT22" s="384" t="n"/>
      <c r="AU22" s="384" t="n"/>
      <c r="AV22" s="384" t="n"/>
      <c r="AW22" s="384" t="n"/>
      <c r="AX22" s="384" t="n"/>
      <c r="AY22" s="384" t="n"/>
      <c r="AZ22" s="384" t="n"/>
      <c r="BA22" s="384" t="n"/>
      <c r="BB22" s="384" t="n"/>
      <c r="BC22" s="384" t="n"/>
      <c r="BD22" s="384" t="n"/>
      <c r="BE22" s="384" t="n"/>
      <c r="BF22" s="384" t="n"/>
      <c r="BG22" s="384" t="n"/>
      <c r="BH22" s="384" t="n"/>
      <c r="BI22" s="384" t="n"/>
      <c r="BJ22" s="384" t="n"/>
      <c r="BK22" s="384" t="n"/>
      <c r="BL22" s="384" t="n"/>
      <c r="BM22" s="384" t="n"/>
      <c r="BN22" s="384" t="n"/>
      <c r="BO22" s="384" t="n"/>
      <c r="BP22" s="384" t="n"/>
      <c r="BQ22" s="384" t="n"/>
      <c r="BR22" s="384" t="n"/>
      <c r="BS22" s="384" t="n"/>
      <c r="BT22" s="384" t="n"/>
      <c r="BU22" s="384" t="n"/>
      <c r="BV22" s="384" t="n"/>
      <c r="BW22" s="384" t="n"/>
      <c r="BX22" s="384" t="n"/>
      <c r="BY22" s="384" t="n"/>
      <c r="BZ22" s="384" t="n"/>
      <c r="CA22" s="384" t="n"/>
      <c r="CB22" s="384" t="n"/>
      <c r="CC22" s="384" t="n"/>
      <c r="CD22" s="384" t="n"/>
      <c r="CE22" s="384" t="n"/>
      <c r="CF22" s="384" t="n"/>
      <c r="CG22" s="384" t="n"/>
      <c r="CH22" s="384" t="n"/>
      <c r="CI22" s="384" t="n"/>
      <c r="CJ22" s="384" t="n"/>
      <c r="CK22" s="384" t="n"/>
      <c r="CL22" s="384" t="n"/>
      <c r="CM22" s="384" t="n"/>
      <c r="CN22" s="384" t="n"/>
      <c r="CO22" s="384" t="n"/>
      <c r="CP22" s="384" t="n"/>
      <c r="CQ22" s="384" t="n"/>
      <c r="CR22" s="384" t="n"/>
      <c r="CS22" s="384" t="n"/>
      <c r="CT22" s="384" t="n"/>
      <c r="CU22" s="384" t="n"/>
      <c r="CV22" s="384" t="n"/>
      <c r="CW22" s="384" t="n"/>
      <c r="CX22" s="384" t="n"/>
      <c r="CY22" s="384" t="n"/>
      <c r="CZ22" s="384" t="n"/>
      <c r="DA22" s="384" t="n"/>
      <c r="DB22" s="384" t="n"/>
      <c r="DC22" s="384" t="n"/>
      <c r="DD22" s="384" t="n"/>
      <c r="DE22" s="384" t="n"/>
      <c r="DF22" s="384" t="n"/>
      <c r="DG22" s="384" t="n"/>
      <c r="DH22" s="384" t="n"/>
      <c r="DI22" s="384" t="n"/>
      <c r="DJ22" s="384" t="n"/>
      <c r="DK22" s="384" t="n"/>
      <c r="DL22" s="384" t="n"/>
      <c r="DM22" s="384" t="n"/>
      <c r="DN22" s="384" t="n"/>
      <c r="DO22" s="384" t="n"/>
      <c r="DP22" s="384" t="n"/>
    </row>
    <row r="23" hidden="1" outlineLevel="1" s="1181">
      <c r="A23" s="384" t="n"/>
      <c r="B23" s="384" t="n"/>
      <c r="C23" s="384" t="n"/>
      <c r="D23" s="384" t="n"/>
      <c r="E23" s="384" t="n"/>
      <c r="F23" s="384" t="n"/>
      <c r="G23" s="384" t="n"/>
      <c r="H23" s="384" t="n"/>
      <c r="I23" s="384" t="n"/>
      <c r="J23" s="384" t="n"/>
      <c r="K23" s="384" t="n"/>
      <c r="L23" s="384" t="n"/>
      <c r="M23" s="384" t="n"/>
      <c r="N23" s="384" t="n"/>
      <c r="O23" s="384" t="n"/>
      <c r="P23" s="384" t="n"/>
      <c r="Q23" s="384" t="n"/>
      <c r="R23" s="384" t="n"/>
      <c r="S23" s="384" t="n"/>
      <c r="T23" s="384" t="n"/>
      <c r="U23" s="384" t="n"/>
      <c r="V23" s="384" t="n"/>
      <c r="W23" s="384" t="n"/>
      <c r="X23" s="384" t="inlineStr">
        <is>
          <t>C_FLOW</t>
        </is>
      </c>
      <c r="Y23" s="384" t="inlineStr">
        <is>
          <t>FEND</t>
        </is>
      </c>
      <c r="Z23" s="384" t="inlineStr">
        <is>
          <t>FEND</t>
        </is>
      </c>
      <c r="AA23" s="384" t="inlineStr">
        <is>
          <t>FEND</t>
        </is>
      </c>
      <c r="AB23" s="384" t="inlineStr">
        <is>
          <t>FEND</t>
        </is>
      </c>
      <c r="AC23" s="384" t="inlineStr">
        <is>
          <t>FEND</t>
        </is>
      </c>
      <c r="AD23" s="384" t="inlineStr">
        <is>
          <t>FEND</t>
        </is>
      </c>
      <c r="AE23" s="384" t="inlineStr">
        <is>
          <t>FEND</t>
        </is>
      </c>
      <c r="AF23" s="384" t="inlineStr">
        <is>
          <t>FEND</t>
        </is>
      </c>
      <c r="AG23" s="384" t="inlineStr">
        <is>
          <t>FEND</t>
        </is>
      </c>
      <c r="AH23" s="384" t="inlineStr">
        <is>
          <t>FEND</t>
        </is>
      </c>
      <c r="AI23" s="384" t="inlineStr">
        <is>
          <t>FEND</t>
        </is>
      </c>
      <c r="AJ23" s="384" t="inlineStr">
        <is>
          <t>FEND</t>
        </is>
      </c>
      <c r="AK23" s="384" t="inlineStr">
        <is>
          <t>FEND</t>
        </is>
      </c>
      <c r="AL23" s="384" t="inlineStr">
        <is>
          <t>FEND</t>
        </is>
      </c>
      <c r="AM23" s="384" t="inlineStr">
        <is>
          <t>FEND</t>
        </is>
      </c>
      <c r="AN23" s="384" t="inlineStr">
        <is>
          <t>FEND</t>
        </is>
      </c>
      <c r="AO23" s="384">
        <f>$E$9</f>
        <v/>
      </c>
      <c r="AP23" s="384">
        <f>$E$9</f>
        <v/>
      </c>
      <c r="AQ23" s="384">
        <f>$E$9</f>
        <v/>
      </c>
      <c r="AR23" s="384">
        <f>$E$9</f>
        <v/>
      </c>
      <c r="AS23" s="384">
        <f>$E$9</f>
        <v/>
      </c>
      <c r="AT23" s="384">
        <f>$E$9</f>
        <v/>
      </c>
      <c r="AU23" s="384">
        <f>$E$9</f>
        <v/>
      </c>
      <c r="AV23" s="384">
        <f>$E$9</f>
        <v/>
      </c>
      <c r="AW23" s="384" t="inlineStr">
        <is>
          <t>FEND</t>
        </is>
      </c>
      <c r="AX23" s="384" t="inlineStr">
        <is>
          <t>FEND</t>
        </is>
      </c>
      <c r="AY23" s="384" t="inlineStr">
        <is>
          <t>FEND</t>
        </is>
      </c>
      <c r="AZ23" s="384" t="inlineStr">
        <is>
          <t>FEND</t>
        </is>
      </c>
      <c r="BA23" s="384" t="inlineStr">
        <is>
          <t>FEND</t>
        </is>
      </c>
      <c r="BB23" s="384" t="inlineStr">
        <is>
          <t>FEND</t>
        </is>
      </c>
      <c r="BC23" s="384" t="inlineStr">
        <is>
          <t>FEND</t>
        </is>
      </c>
      <c r="BD23" s="384" t="inlineStr">
        <is>
          <t>FEND</t>
        </is>
      </c>
      <c r="BE23" s="384" t="inlineStr">
        <is>
          <t>FEND</t>
        </is>
      </c>
      <c r="BF23" s="384" t="inlineStr">
        <is>
          <t>FEND</t>
        </is>
      </c>
      <c r="BG23" s="384" t="inlineStr">
        <is>
          <t>FEND</t>
        </is>
      </c>
      <c r="BH23" s="384" t="inlineStr">
        <is>
          <t>FEND</t>
        </is>
      </c>
      <c r="BI23" s="384" t="inlineStr">
        <is>
          <t>FEND</t>
        </is>
      </c>
      <c r="BJ23" s="384" t="inlineStr">
        <is>
          <t>FEND</t>
        </is>
      </c>
      <c r="BK23" s="384" t="inlineStr">
        <is>
          <t>FEND</t>
        </is>
      </c>
      <c r="BL23" s="384" t="inlineStr">
        <is>
          <t>FEND</t>
        </is>
      </c>
      <c r="BM23" s="384" t="inlineStr">
        <is>
          <t>FEND</t>
        </is>
      </c>
      <c r="BN23" s="384" t="inlineStr">
        <is>
          <t>FEND</t>
        </is>
      </c>
      <c r="BO23" s="384" t="inlineStr">
        <is>
          <t>FEND</t>
        </is>
      </c>
      <c r="BP23" s="384" t="inlineStr">
        <is>
          <t>FEND</t>
        </is>
      </c>
      <c r="BQ23" s="384" t="inlineStr">
        <is>
          <t>FEND</t>
        </is>
      </c>
      <c r="BR23" s="384" t="inlineStr">
        <is>
          <t>FEND</t>
        </is>
      </c>
      <c r="BS23" s="384" t="inlineStr">
        <is>
          <t>FEND</t>
        </is>
      </c>
      <c r="BT23" s="384" t="inlineStr">
        <is>
          <t>FEND</t>
        </is>
      </c>
      <c r="BU23" s="384" t="inlineStr">
        <is>
          <t>FEND</t>
        </is>
      </c>
      <c r="BV23" s="384" t="inlineStr">
        <is>
          <t>FEND</t>
        </is>
      </c>
      <c r="BW23" s="384" t="inlineStr">
        <is>
          <t>FEND</t>
        </is>
      </c>
      <c r="BX23" s="384" t="inlineStr">
        <is>
          <t>FEND</t>
        </is>
      </c>
      <c r="BY23" s="384" t="inlineStr">
        <is>
          <t>FEND</t>
        </is>
      </c>
      <c r="BZ23" s="384" t="inlineStr">
        <is>
          <t>FEND</t>
        </is>
      </c>
      <c r="CA23" s="384" t="inlineStr">
        <is>
          <t>FEND</t>
        </is>
      </c>
      <c r="CB23" s="384" t="inlineStr">
        <is>
          <t>FEND</t>
        </is>
      </c>
      <c r="CC23" s="384" t="inlineStr">
        <is>
          <t>FEND</t>
        </is>
      </c>
      <c r="CD23" s="384" t="inlineStr">
        <is>
          <t>FEND</t>
        </is>
      </c>
      <c r="CE23" s="384" t="inlineStr">
        <is>
          <t>FEND</t>
        </is>
      </c>
      <c r="CF23" s="384" t="inlineStr">
        <is>
          <t>FEND</t>
        </is>
      </c>
      <c r="CG23" s="384" t="inlineStr">
        <is>
          <t>FEND</t>
        </is>
      </c>
      <c r="CH23" s="384" t="inlineStr">
        <is>
          <t>FEND</t>
        </is>
      </c>
      <c r="CI23" s="384" t="inlineStr">
        <is>
          <t>FEND</t>
        </is>
      </c>
      <c r="CJ23" s="384" t="inlineStr">
        <is>
          <t>FEND</t>
        </is>
      </c>
      <c r="CK23" s="384" t="inlineStr">
        <is>
          <t>FEND</t>
        </is>
      </c>
      <c r="CL23" s="384" t="inlineStr">
        <is>
          <t>FEND</t>
        </is>
      </c>
      <c r="CM23" s="384" t="inlineStr">
        <is>
          <t>FEND</t>
        </is>
      </c>
      <c r="CN23" s="384" t="inlineStr">
        <is>
          <t>FEND</t>
        </is>
      </c>
      <c r="CO23" s="384" t="inlineStr">
        <is>
          <t>FEND</t>
        </is>
      </c>
      <c r="CP23" s="384" t="inlineStr">
        <is>
          <t>FEND</t>
        </is>
      </c>
      <c r="CQ23" s="384" t="inlineStr">
        <is>
          <t>FEND</t>
        </is>
      </c>
      <c r="CR23" s="384" t="inlineStr">
        <is>
          <t>FEND</t>
        </is>
      </c>
      <c r="CS23" s="384" t="inlineStr">
        <is>
          <t>FEND</t>
        </is>
      </c>
      <c r="CT23" s="384" t="inlineStr">
        <is>
          <t>FEND</t>
        </is>
      </c>
      <c r="CU23" s="384" t="inlineStr">
        <is>
          <t>FEND</t>
        </is>
      </c>
      <c r="CV23" s="384" t="inlineStr">
        <is>
          <t>FEND</t>
        </is>
      </c>
      <c r="CW23" s="384" t="inlineStr">
        <is>
          <t>FEND</t>
        </is>
      </c>
      <c r="CX23" s="384" t="inlineStr">
        <is>
          <t>FEND</t>
        </is>
      </c>
      <c r="CY23" s="384" t="inlineStr">
        <is>
          <t>FEND</t>
        </is>
      </c>
      <c r="CZ23" s="384" t="inlineStr">
        <is>
          <t>FEND</t>
        </is>
      </c>
      <c r="DA23" s="384" t="inlineStr">
        <is>
          <t>FEND</t>
        </is>
      </c>
      <c r="DB23" s="384" t="inlineStr">
        <is>
          <t>FEND</t>
        </is>
      </c>
      <c r="DC23" s="384" t="inlineStr">
        <is>
          <t>FEND</t>
        </is>
      </c>
      <c r="DD23" s="384" t="inlineStr">
        <is>
          <t>FEND</t>
        </is>
      </c>
      <c r="DE23" s="384" t="inlineStr">
        <is>
          <t>FEND</t>
        </is>
      </c>
      <c r="DF23" s="384" t="inlineStr">
        <is>
          <t>FEND</t>
        </is>
      </c>
      <c r="DG23" s="384" t="inlineStr">
        <is>
          <t>FEND</t>
        </is>
      </c>
      <c r="DH23" s="384" t="inlineStr">
        <is>
          <t>FEND</t>
        </is>
      </c>
      <c r="DI23" s="384" t="inlineStr">
        <is>
          <t>FEND</t>
        </is>
      </c>
      <c r="DJ23" s="384" t="inlineStr">
        <is>
          <t>FEND</t>
        </is>
      </c>
      <c r="DK23" s="384" t="inlineStr">
        <is>
          <t>FEND</t>
        </is>
      </c>
      <c r="DL23" s="384" t="inlineStr">
        <is>
          <t>FEND</t>
        </is>
      </c>
      <c r="DM23" s="384" t="inlineStr">
        <is>
          <t>FEND</t>
        </is>
      </c>
      <c r="DN23" s="384" t="inlineStr">
        <is>
          <t>FEND</t>
        </is>
      </c>
      <c r="DO23" s="384" t="inlineStr">
        <is>
          <t>FEND</t>
        </is>
      </c>
      <c r="DP23" s="384" t="inlineStr">
        <is>
          <t>FEND</t>
        </is>
      </c>
    </row>
    <row r="24" hidden="1" outlineLevel="1" s="1181">
      <c r="A24" s="384" t="n"/>
      <c r="B24" s="384" t="n"/>
      <c r="C24" s="384" t="n"/>
      <c r="D24" s="384" t="n"/>
      <c r="E24" s="384" t="n"/>
      <c r="F24" s="384" t="n"/>
      <c r="G24" s="384" t="n"/>
      <c r="H24" s="384" t="n"/>
      <c r="I24" s="384" t="n"/>
      <c r="J24" s="384" t="n"/>
      <c r="K24" s="384" t="n"/>
      <c r="L24" s="384" t="n"/>
      <c r="M24" s="384" t="n"/>
      <c r="N24" s="384" t="n"/>
      <c r="O24" s="384" t="n"/>
      <c r="P24" s="384" t="n"/>
      <c r="Q24" s="384" t="n"/>
      <c r="R24" s="384" t="n"/>
      <c r="S24" s="384" t="n"/>
      <c r="T24" s="384" t="n"/>
      <c r="U24" s="384" t="n"/>
      <c r="V24" s="384" t="n"/>
      <c r="W24" s="384" t="n"/>
      <c r="X24" s="384" t="inlineStr">
        <is>
          <t>C_AUDITTRAIL</t>
        </is>
      </c>
      <c r="Y24" s="178">
        <f>$C$8</f>
        <v/>
      </c>
      <c r="Z24" s="178">
        <f>$C$8</f>
        <v/>
      </c>
      <c r="AA24" s="178">
        <f>$C$8</f>
        <v/>
      </c>
      <c r="AB24" s="178">
        <f>$C$8</f>
        <v/>
      </c>
      <c r="AC24" s="178">
        <f>$C$8</f>
        <v/>
      </c>
      <c r="AD24" s="178">
        <f>$C$8</f>
        <v/>
      </c>
      <c r="AE24" s="178">
        <f>$C$8</f>
        <v/>
      </c>
      <c r="AF24" s="178">
        <f>$C$8</f>
        <v/>
      </c>
      <c r="AG24" s="178">
        <f>$C$8</f>
        <v/>
      </c>
      <c r="AH24" s="178">
        <f>$C$8</f>
        <v/>
      </c>
      <c r="AI24" s="178">
        <f>$C$8</f>
        <v/>
      </c>
      <c r="AJ24" s="178">
        <f>$C$8</f>
        <v/>
      </c>
      <c r="AK24" s="178">
        <f>$C$8</f>
        <v/>
      </c>
      <c r="AL24" s="178">
        <f>$C$8</f>
        <v/>
      </c>
      <c r="AM24" s="178">
        <f>$C$8</f>
        <v/>
      </c>
      <c r="AN24" s="178">
        <f>$C$8</f>
        <v/>
      </c>
      <c r="AO24" s="178">
        <f>$E$8</f>
        <v/>
      </c>
      <c r="AP24" s="178">
        <f>$E$8</f>
        <v/>
      </c>
      <c r="AQ24" s="178">
        <f>$E$8</f>
        <v/>
      </c>
      <c r="AR24" s="178">
        <f>$E$8</f>
        <v/>
      </c>
      <c r="AS24" s="178">
        <f>$E$8</f>
        <v/>
      </c>
      <c r="AT24" s="178">
        <f>$E$8</f>
        <v/>
      </c>
      <c r="AU24" s="178">
        <f>$E$8</f>
        <v/>
      </c>
      <c r="AV24" s="178">
        <f>$E$8</f>
        <v/>
      </c>
      <c r="AW24" s="178">
        <f>$C$8</f>
        <v/>
      </c>
      <c r="AX24" s="178">
        <f>$C$8</f>
        <v/>
      </c>
      <c r="AY24" s="178">
        <f>$C$8</f>
        <v/>
      </c>
      <c r="AZ24" s="178">
        <f>$C$8</f>
        <v/>
      </c>
      <c r="BA24" s="178">
        <f>$C$8</f>
        <v/>
      </c>
      <c r="BB24" s="178">
        <f>$C$8</f>
        <v/>
      </c>
      <c r="BC24" s="178">
        <f>$C$8</f>
        <v/>
      </c>
      <c r="BD24" s="178">
        <f>$C$8</f>
        <v/>
      </c>
      <c r="BE24" s="178">
        <f>$C$8</f>
        <v/>
      </c>
      <c r="BF24" s="178">
        <f>$C$8</f>
        <v/>
      </c>
      <c r="BG24" s="178">
        <f>$C$8</f>
        <v/>
      </c>
      <c r="BH24" s="178">
        <f>$C$8</f>
        <v/>
      </c>
      <c r="BI24" s="178">
        <f>$C$8</f>
        <v/>
      </c>
      <c r="BJ24" s="178">
        <f>$C$8</f>
        <v/>
      </c>
      <c r="BK24" s="178">
        <f>$C$8</f>
        <v/>
      </c>
      <c r="BL24" s="178">
        <f>$C$8</f>
        <v/>
      </c>
      <c r="BM24" s="178">
        <f>$C$8</f>
        <v/>
      </c>
      <c r="BN24" s="178">
        <f>$C$8</f>
        <v/>
      </c>
      <c r="BO24" s="178">
        <f>$C$8</f>
        <v/>
      </c>
      <c r="BP24" s="178">
        <f>$C$8</f>
        <v/>
      </c>
      <c r="BQ24" s="178">
        <f>$C$8</f>
        <v/>
      </c>
      <c r="BR24" s="178">
        <f>$C$8</f>
        <v/>
      </c>
      <c r="BS24" s="178">
        <f>$C$8</f>
        <v/>
      </c>
      <c r="BT24" s="178">
        <f>$C$8</f>
        <v/>
      </c>
      <c r="BU24" s="178">
        <f>$C$8</f>
        <v/>
      </c>
      <c r="BV24" s="178">
        <f>$C$8</f>
        <v/>
      </c>
      <c r="BW24" s="178">
        <f>$C$8</f>
        <v/>
      </c>
      <c r="BX24" s="178">
        <f>$C$8</f>
        <v/>
      </c>
      <c r="BY24" s="178">
        <f>$C$8</f>
        <v/>
      </c>
      <c r="BZ24" s="178">
        <f>$C$8</f>
        <v/>
      </c>
      <c r="CA24" s="178">
        <f>$C$8</f>
        <v/>
      </c>
      <c r="CB24" s="178">
        <f>$C$8</f>
        <v/>
      </c>
      <c r="CC24" s="178">
        <f>$C$8</f>
        <v/>
      </c>
      <c r="CD24" s="178">
        <f>$C$8</f>
        <v/>
      </c>
      <c r="CE24" s="178">
        <f>$C$8</f>
        <v/>
      </c>
      <c r="CF24" s="178">
        <f>$C$8</f>
        <v/>
      </c>
      <c r="CG24" s="178">
        <f>$C$8</f>
        <v/>
      </c>
      <c r="CH24" s="178">
        <f>$C$8</f>
        <v/>
      </c>
      <c r="CI24" s="178">
        <f>$C$8</f>
        <v/>
      </c>
      <c r="CJ24" s="178">
        <f>$C$8</f>
        <v/>
      </c>
      <c r="CK24" s="221" t="inlineStr">
        <is>
          <t>D1201</t>
        </is>
      </c>
      <c r="CL24" s="221" t="inlineStr">
        <is>
          <t>D1201</t>
        </is>
      </c>
      <c r="CM24" s="221" t="inlineStr">
        <is>
          <t>D1201</t>
        </is>
      </c>
      <c r="CN24" s="221" t="inlineStr">
        <is>
          <t>D1201</t>
        </is>
      </c>
      <c r="CO24" s="221" t="inlineStr">
        <is>
          <t>D1201</t>
        </is>
      </c>
      <c r="CP24" s="221" t="inlineStr">
        <is>
          <t>D1201</t>
        </is>
      </c>
      <c r="CQ24" s="221" t="inlineStr">
        <is>
          <t>D1201</t>
        </is>
      </c>
      <c r="CR24" s="221" t="inlineStr">
        <is>
          <t>D1201</t>
        </is>
      </c>
      <c r="CS24" s="221" t="inlineStr">
        <is>
          <t>D1201</t>
        </is>
      </c>
      <c r="CT24" s="221" t="inlineStr">
        <is>
          <t>D1201</t>
        </is>
      </c>
      <c r="CU24" s="221" t="inlineStr">
        <is>
          <t>D1201</t>
        </is>
      </c>
      <c r="CV24" s="221" t="inlineStr">
        <is>
          <t>D1201</t>
        </is>
      </c>
      <c r="CW24" s="221" t="inlineStr">
        <is>
          <t>D1201</t>
        </is>
      </c>
      <c r="CX24" s="221" t="inlineStr">
        <is>
          <t>D1201</t>
        </is>
      </c>
      <c r="CY24" s="221" t="inlineStr">
        <is>
          <t>D1201</t>
        </is>
      </c>
      <c r="CZ24" s="221" t="inlineStr">
        <is>
          <t>D1201</t>
        </is>
      </c>
      <c r="DA24" s="221" t="inlineStr">
        <is>
          <t>D1201</t>
        </is>
      </c>
      <c r="DB24" s="221" t="inlineStr">
        <is>
          <t>D1201</t>
        </is>
      </c>
      <c r="DC24" s="221" t="inlineStr">
        <is>
          <t>D1201</t>
        </is>
      </c>
      <c r="DD24" s="221" t="inlineStr">
        <is>
          <t>D1201</t>
        </is>
      </c>
      <c r="DE24" s="221" t="inlineStr">
        <is>
          <t>D1201</t>
        </is>
      </c>
      <c r="DF24" s="221" t="inlineStr">
        <is>
          <t>D1201</t>
        </is>
      </c>
      <c r="DG24" s="221" t="inlineStr">
        <is>
          <t>D1201</t>
        </is>
      </c>
      <c r="DH24" s="221" t="inlineStr">
        <is>
          <t>D1201</t>
        </is>
      </c>
      <c r="DI24" s="221" t="inlineStr">
        <is>
          <t>D1201</t>
        </is>
      </c>
      <c r="DJ24" s="221" t="inlineStr">
        <is>
          <t>D1201</t>
        </is>
      </c>
      <c r="DK24" s="221" t="inlineStr">
        <is>
          <t>D1201</t>
        </is>
      </c>
      <c r="DL24" s="221" t="inlineStr">
        <is>
          <t>D1201</t>
        </is>
      </c>
      <c r="DM24" s="221" t="inlineStr">
        <is>
          <t>D1201</t>
        </is>
      </c>
      <c r="DN24" s="221" t="inlineStr">
        <is>
          <t>D1201</t>
        </is>
      </c>
      <c r="DO24" s="221" t="inlineStr">
        <is>
          <t>D1201</t>
        </is>
      </c>
      <c r="DP24" s="221" t="inlineStr">
        <is>
          <t>D1201</t>
        </is>
      </c>
    </row>
    <row r="25" hidden="1" outlineLevel="1" s="1181">
      <c r="A25" s="384" t="n"/>
      <c r="B25" s="384" t="n"/>
      <c r="C25" s="384" t="n"/>
      <c r="D25" s="384" t="n"/>
      <c r="E25" s="384" t="n"/>
      <c r="F25" s="384" t="n"/>
      <c r="G25" s="384" t="n"/>
      <c r="H25" s="384" t="n"/>
      <c r="I25" s="384" t="n"/>
      <c r="J25" s="384" t="n"/>
      <c r="K25" s="384" t="n"/>
      <c r="L25" s="384" t="n"/>
      <c r="M25" s="384" t="n"/>
      <c r="N25" s="384" t="n"/>
      <c r="O25" s="384" t="n"/>
      <c r="P25" s="384" t="n"/>
      <c r="Q25" s="384" t="n"/>
      <c r="R25" s="384" t="n"/>
      <c r="S25" s="384" t="n"/>
      <c r="T25" s="384" t="n"/>
      <c r="U25" s="384" t="n"/>
      <c r="V25" s="384" t="n"/>
      <c r="W25" s="384" t="n"/>
      <c r="X25" s="384" t="inlineStr">
        <is>
          <t>C_CATEGORY</t>
        </is>
      </c>
      <c r="Y25" s="178" t="inlineStr">
        <is>
          <t>C1001</t>
        </is>
      </c>
      <c r="Z25" s="178" t="inlineStr">
        <is>
          <t>C1001</t>
        </is>
      </c>
      <c r="AA25" s="178" t="inlineStr">
        <is>
          <t>C1001</t>
        </is>
      </c>
      <c r="AB25" s="178" t="inlineStr">
        <is>
          <t>C1001</t>
        </is>
      </c>
      <c r="AC25" s="178" t="inlineStr">
        <is>
          <t>C1001</t>
        </is>
      </c>
      <c r="AD25" s="178" t="inlineStr">
        <is>
          <t>C1001</t>
        </is>
      </c>
      <c r="AE25" s="178" t="inlineStr">
        <is>
          <t>C1001</t>
        </is>
      </c>
      <c r="AF25" s="178" t="inlineStr">
        <is>
          <t>C1001</t>
        </is>
      </c>
      <c r="AG25" s="178" t="inlineStr">
        <is>
          <t>C1001</t>
        </is>
      </c>
      <c r="AH25" s="178" t="inlineStr">
        <is>
          <t>C1001</t>
        </is>
      </c>
      <c r="AI25" s="178" t="inlineStr">
        <is>
          <t>C1001</t>
        </is>
      </c>
      <c r="AJ25" s="178" t="inlineStr">
        <is>
          <t>C1001</t>
        </is>
      </c>
      <c r="AK25" s="178" t="inlineStr">
        <is>
          <t>C1001</t>
        </is>
      </c>
      <c r="AL25" s="178" t="inlineStr">
        <is>
          <t>C1001</t>
        </is>
      </c>
      <c r="AM25" s="178" t="inlineStr">
        <is>
          <t>C1001</t>
        </is>
      </c>
      <c r="AN25" s="178" t="inlineStr">
        <is>
          <t>C1001</t>
        </is>
      </c>
      <c r="AO25" s="178" t="inlineStr">
        <is>
          <t>C1001</t>
        </is>
      </c>
      <c r="AP25" s="178" t="inlineStr">
        <is>
          <t>C1001</t>
        </is>
      </c>
      <c r="AQ25" s="178" t="inlineStr">
        <is>
          <t>C1001</t>
        </is>
      </c>
      <c r="AR25" s="178" t="inlineStr">
        <is>
          <t>C1001</t>
        </is>
      </c>
      <c r="AS25" s="178" t="inlineStr">
        <is>
          <t>C1001</t>
        </is>
      </c>
      <c r="AT25" s="178" t="inlineStr">
        <is>
          <t>C1001</t>
        </is>
      </c>
      <c r="AU25" s="178" t="inlineStr">
        <is>
          <t>C1001</t>
        </is>
      </c>
      <c r="AV25" s="178" t="inlineStr">
        <is>
          <t>C1001</t>
        </is>
      </c>
      <c r="AW25" s="178" t="inlineStr">
        <is>
          <t>C1001</t>
        </is>
      </c>
      <c r="AX25" s="178" t="inlineStr">
        <is>
          <t>C1001</t>
        </is>
      </c>
      <c r="AY25" s="178" t="inlineStr">
        <is>
          <t>C1001</t>
        </is>
      </c>
      <c r="AZ25" s="178" t="inlineStr">
        <is>
          <t>C1001</t>
        </is>
      </c>
      <c r="BA25" s="178" t="inlineStr">
        <is>
          <t>C1001</t>
        </is>
      </c>
      <c r="BB25" s="178" t="inlineStr">
        <is>
          <t>C1001</t>
        </is>
      </c>
      <c r="BC25" s="178" t="inlineStr">
        <is>
          <t>C1001</t>
        </is>
      </c>
      <c r="BD25" s="178" t="inlineStr">
        <is>
          <t>C1001</t>
        </is>
      </c>
      <c r="BE25" s="178" t="inlineStr">
        <is>
          <t>C1001</t>
        </is>
      </c>
      <c r="BF25" s="178" t="inlineStr">
        <is>
          <t>C1001</t>
        </is>
      </c>
      <c r="BG25" s="178" t="inlineStr">
        <is>
          <t>C1001</t>
        </is>
      </c>
      <c r="BH25" s="178" t="inlineStr">
        <is>
          <t>C1001</t>
        </is>
      </c>
      <c r="BI25" s="178" t="inlineStr">
        <is>
          <t>C1001</t>
        </is>
      </c>
      <c r="BJ25" s="178" t="inlineStr">
        <is>
          <t>C1001</t>
        </is>
      </c>
      <c r="BK25" s="178" t="inlineStr">
        <is>
          <t>C1001</t>
        </is>
      </c>
      <c r="BL25" s="178" t="inlineStr">
        <is>
          <t>C1001</t>
        </is>
      </c>
      <c r="BM25" s="178" t="inlineStr">
        <is>
          <t>C1001</t>
        </is>
      </c>
      <c r="BN25" s="178" t="inlineStr">
        <is>
          <t>C1001</t>
        </is>
      </c>
      <c r="BO25" s="178" t="inlineStr">
        <is>
          <t>C1001</t>
        </is>
      </c>
      <c r="BP25" s="178" t="inlineStr">
        <is>
          <t>C1001</t>
        </is>
      </c>
      <c r="BQ25" s="178" t="inlineStr">
        <is>
          <t>C1001</t>
        </is>
      </c>
      <c r="BR25" s="178" t="inlineStr">
        <is>
          <t>C1001</t>
        </is>
      </c>
      <c r="BS25" s="178" t="inlineStr">
        <is>
          <t>C1001</t>
        </is>
      </c>
      <c r="BT25" s="178" t="inlineStr">
        <is>
          <t>C1001</t>
        </is>
      </c>
      <c r="BU25" s="178" t="inlineStr">
        <is>
          <t>C1001</t>
        </is>
      </c>
      <c r="BV25" s="178" t="inlineStr">
        <is>
          <t>C1001</t>
        </is>
      </c>
      <c r="BW25" s="178" t="inlineStr">
        <is>
          <t>C1001</t>
        </is>
      </c>
      <c r="BX25" s="178" t="inlineStr">
        <is>
          <t>C1001</t>
        </is>
      </c>
      <c r="BY25" s="178" t="inlineStr">
        <is>
          <t>C1001</t>
        </is>
      </c>
      <c r="BZ25" s="178" t="inlineStr">
        <is>
          <t>C1001</t>
        </is>
      </c>
      <c r="CA25" s="178" t="inlineStr">
        <is>
          <t>C1001</t>
        </is>
      </c>
      <c r="CB25" s="178" t="inlineStr">
        <is>
          <t>C1001</t>
        </is>
      </c>
      <c r="CC25" s="178" t="inlineStr">
        <is>
          <t>C1001</t>
        </is>
      </c>
      <c r="CD25" s="178" t="inlineStr">
        <is>
          <t>C1001</t>
        </is>
      </c>
      <c r="CE25" s="178" t="inlineStr">
        <is>
          <t>C1001</t>
        </is>
      </c>
      <c r="CF25" s="178" t="inlineStr">
        <is>
          <t>C1001</t>
        </is>
      </c>
      <c r="CG25" s="178" t="inlineStr">
        <is>
          <t>C1001</t>
        </is>
      </c>
      <c r="CH25" s="178" t="inlineStr">
        <is>
          <t>C1001</t>
        </is>
      </c>
      <c r="CI25" s="178" t="inlineStr">
        <is>
          <t>C1001</t>
        </is>
      </c>
      <c r="CJ25" s="178" t="inlineStr">
        <is>
          <t>C1001</t>
        </is>
      </c>
      <c r="CK25" s="221" t="inlineStr">
        <is>
          <t>C3002</t>
        </is>
      </c>
      <c r="CL25" s="221" t="inlineStr">
        <is>
          <t>C3002</t>
        </is>
      </c>
      <c r="CM25" s="221" t="inlineStr">
        <is>
          <t>C3002</t>
        </is>
      </c>
      <c r="CN25" s="221" t="inlineStr">
        <is>
          <t>C3002</t>
        </is>
      </c>
      <c r="CO25" s="221" t="inlineStr">
        <is>
          <t>C3002</t>
        </is>
      </c>
      <c r="CP25" s="221" t="inlineStr">
        <is>
          <t>C3002</t>
        </is>
      </c>
      <c r="CQ25" s="221" t="inlineStr">
        <is>
          <t>C3002</t>
        </is>
      </c>
      <c r="CR25" s="221" t="inlineStr">
        <is>
          <t>C3002</t>
        </is>
      </c>
      <c r="CS25" s="221" t="inlineStr">
        <is>
          <t>C3003</t>
        </is>
      </c>
      <c r="CT25" s="221" t="inlineStr">
        <is>
          <t>C3003</t>
        </is>
      </c>
      <c r="CU25" s="221" t="inlineStr">
        <is>
          <t>C3003</t>
        </is>
      </c>
      <c r="CV25" s="221" t="inlineStr">
        <is>
          <t>C3003</t>
        </is>
      </c>
      <c r="CW25" s="221" t="inlineStr">
        <is>
          <t>C3003</t>
        </is>
      </c>
      <c r="CX25" s="221" t="inlineStr">
        <is>
          <t>C3003</t>
        </is>
      </c>
      <c r="CY25" s="221" t="inlineStr">
        <is>
          <t>C3003</t>
        </is>
      </c>
      <c r="CZ25" s="221" t="inlineStr">
        <is>
          <t>C3003</t>
        </is>
      </c>
      <c r="DA25" s="221" t="inlineStr">
        <is>
          <t>C3003</t>
        </is>
      </c>
      <c r="DB25" s="221" t="inlineStr">
        <is>
          <t>C3003</t>
        </is>
      </c>
      <c r="DC25" s="221" t="inlineStr">
        <is>
          <t>C3003</t>
        </is>
      </c>
      <c r="DD25" s="221" t="inlineStr">
        <is>
          <t>C3003</t>
        </is>
      </c>
      <c r="DE25" s="221" t="inlineStr">
        <is>
          <t>C3003</t>
        </is>
      </c>
      <c r="DF25" s="221" t="inlineStr">
        <is>
          <t>C3003</t>
        </is>
      </c>
      <c r="DG25" s="221" t="inlineStr">
        <is>
          <t>C3003</t>
        </is>
      </c>
      <c r="DH25" s="221" t="inlineStr">
        <is>
          <t>C3003</t>
        </is>
      </c>
      <c r="DI25" s="221" t="inlineStr">
        <is>
          <t>C3004</t>
        </is>
      </c>
      <c r="DJ25" s="221" t="inlineStr">
        <is>
          <t>C3004</t>
        </is>
      </c>
      <c r="DK25" s="221" t="inlineStr">
        <is>
          <t>C3004</t>
        </is>
      </c>
      <c r="DL25" s="221" t="inlineStr">
        <is>
          <t>C3004</t>
        </is>
      </c>
      <c r="DM25" s="221" t="inlineStr">
        <is>
          <t>C3004</t>
        </is>
      </c>
      <c r="DN25" s="221" t="inlineStr">
        <is>
          <t>C3004</t>
        </is>
      </c>
      <c r="DO25" s="221" t="inlineStr">
        <is>
          <t>C3004</t>
        </is>
      </c>
      <c r="DP25" s="221" t="inlineStr">
        <is>
          <t>C3004</t>
        </is>
      </c>
    </row>
    <row r="26" hidden="1" outlineLevel="1" s="1181">
      <c r="A26" s="384" t="n"/>
      <c r="B26" s="384" t="n"/>
      <c r="C26" s="384" t="n"/>
      <c r="D26" s="384" t="n"/>
      <c r="E26" s="384" t="n"/>
      <c r="F26" s="384" t="n"/>
      <c r="G26" s="384" t="n"/>
      <c r="H26" s="384" t="n"/>
      <c r="I26" s="384" t="n"/>
      <c r="J26" s="384" t="n"/>
      <c r="K26" s="384" t="n"/>
      <c r="L26" s="384" t="n"/>
      <c r="M26" s="384" t="n"/>
      <c r="N26" s="384" t="n"/>
      <c r="O26" s="384" t="n"/>
      <c r="P26" s="384" t="n"/>
      <c r="Q26" s="384" t="n"/>
      <c r="R26" s="384" t="n"/>
      <c r="S26" s="384" t="n"/>
      <c r="T26" s="384" t="n"/>
      <c r="U26" s="384" t="n"/>
      <c r="V26" s="384" t="n"/>
      <c r="W26" s="384" t="n"/>
      <c r="X26" s="384" t="inlineStr">
        <is>
          <t>C_TIME</t>
        </is>
      </c>
      <c r="Y26" s="178">
        <f>$C$5</f>
        <v/>
      </c>
      <c r="Z26" s="178">
        <f>$C$5</f>
        <v/>
      </c>
      <c r="AA26" s="178">
        <f>$C$5</f>
        <v/>
      </c>
      <c r="AB26" s="178">
        <f>$C$5</f>
        <v/>
      </c>
      <c r="AC26" s="178">
        <f>$C$5</f>
        <v/>
      </c>
      <c r="AD26" s="178">
        <f>$C$5</f>
        <v/>
      </c>
      <c r="AE26" s="178">
        <f>$C$5</f>
        <v/>
      </c>
      <c r="AF26" s="178">
        <f>$C$5</f>
        <v/>
      </c>
      <c r="AG26" s="178">
        <f>$C$5</f>
        <v/>
      </c>
      <c r="AH26" s="178">
        <f>$C$5</f>
        <v/>
      </c>
      <c r="AI26" s="178">
        <f>$C$5</f>
        <v/>
      </c>
      <c r="AJ26" s="178">
        <f>$C$5</f>
        <v/>
      </c>
      <c r="AK26" s="178">
        <f>$C$5</f>
        <v/>
      </c>
      <c r="AL26" s="178">
        <f>$C$5</f>
        <v/>
      </c>
      <c r="AM26" s="178">
        <f>$C$5</f>
        <v/>
      </c>
      <c r="AN26" s="178">
        <f>$C$5</f>
        <v/>
      </c>
      <c r="AO26" s="178">
        <f>$C$5</f>
        <v/>
      </c>
      <c r="AP26" s="178">
        <f>$C$5</f>
        <v/>
      </c>
      <c r="AQ26" s="178">
        <f>$C$5</f>
        <v/>
      </c>
      <c r="AR26" s="178">
        <f>$C$5</f>
        <v/>
      </c>
      <c r="AS26" s="178">
        <f>$C$5</f>
        <v/>
      </c>
      <c r="AT26" s="178">
        <f>$C$5</f>
        <v/>
      </c>
      <c r="AU26" s="178">
        <f>$C$5</f>
        <v/>
      </c>
      <c r="AV26" s="178">
        <f>$C$5</f>
        <v/>
      </c>
      <c r="AW26" s="200">
        <f>$G$5</f>
        <v/>
      </c>
      <c r="AX26" s="200">
        <f>$G$5</f>
        <v/>
      </c>
      <c r="AY26" s="200">
        <f>$G$5</f>
        <v/>
      </c>
      <c r="AZ26" s="200">
        <f>$G$5</f>
        <v/>
      </c>
      <c r="BA26" s="200">
        <f>$G$5</f>
        <v/>
      </c>
      <c r="BB26" s="200">
        <f>$G$5</f>
        <v/>
      </c>
      <c r="BC26" s="200">
        <f>$G$5</f>
        <v/>
      </c>
      <c r="BD26" s="200">
        <f>$G$5</f>
        <v/>
      </c>
      <c r="BE26" s="200">
        <f>$J$5</f>
        <v/>
      </c>
      <c r="BF26" s="200">
        <f>$J$5</f>
        <v/>
      </c>
      <c r="BG26" s="200">
        <f>$J$5</f>
        <v/>
      </c>
      <c r="BH26" s="200">
        <f>$J$5</f>
        <v/>
      </c>
      <c r="BI26" s="200">
        <f>$J$5</f>
        <v/>
      </c>
      <c r="BJ26" s="200">
        <f>$J$5</f>
        <v/>
      </c>
      <c r="BK26" s="200">
        <f>$J$5</f>
        <v/>
      </c>
      <c r="BL26" s="200">
        <f>$J$5</f>
        <v/>
      </c>
      <c r="BM26" s="200">
        <f>$H$5</f>
        <v/>
      </c>
      <c r="BN26" s="200">
        <f>$H$5</f>
        <v/>
      </c>
      <c r="BO26" s="200">
        <f>$H$5</f>
        <v/>
      </c>
      <c r="BP26" s="200">
        <f>$H$5</f>
        <v/>
      </c>
      <c r="BQ26" s="200">
        <f>$H$5</f>
        <v/>
      </c>
      <c r="BR26" s="200">
        <f>$H$5</f>
        <v/>
      </c>
      <c r="BS26" s="200">
        <f>$H$5</f>
        <v/>
      </c>
      <c r="BT26" s="200">
        <f>$H$5</f>
        <v/>
      </c>
      <c r="BU26" s="178">
        <f>IF(RIGHT($C$5,2)="01",$B$17,$G$5)</f>
        <v/>
      </c>
      <c r="BV26" s="178">
        <f>IF(RIGHT($C$5,2)="01",$B$17,$G$5)</f>
        <v/>
      </c>
      <c r="BW26" s="178">
        <f>IF(RIGHT($C$5,2)="01",$B$17,$G$5)</f>
        <v/>
      </c>
      <c r="BX26" s="178">
        <f>IF(RIGHT($C$5,2)="01",$B$17,$G$5)</f>
        <v/>
      </c>
      <c r="BY26" s="178">
        <f>IF(RIGHT($C$5,2)="01",$B$17,$G$5)</f>
        <v/>
      </c>
      <c r="BZ26" s="178">
        <f>IF(RIGHT($C$5,2)="01",$B$17,$G$5)</f>
        <v/>
      </c>
      <c r="CA26" s="178">
        <f>IF(RIGHT($C$5,2)="01",$B$17,$G$5)</f>
        <v/>
      </c>
      <c r="CB26" s="178">
        <f>IF(RIGHT($C$5,2)="01",$B$17,$G$5)</f>
        <v/>
      </c>
      <c r="CC26" s="200">
        <f>$I$5</f>
        <v/>
      </c>
      <c r="CD26" s="200">
        <f>$I$5</f>
        <v/>
      </c>
      <c r="CE26" s="200">
        <f>$I$5</f>
        <v/>
      </c>
      <c r="CF26" s="200">
        <f>$I$5</f>
        <v/>
      </c>
      <c r="CG26" s="200">
        <f>$I$5</f>
        <v/>
      </c>
      <c r="CH26" s="200">
        <f>$I$5</f>
        <v/>
      </c>
      <c r="CI26" s="200">
        <f>$I$5</f>
        <v/>
      </c>
      <c r="CJ26" s="200">
        <f>$I$5</f>
        <v/>
      </c>
      <c r="CK26" s="221">
        <f>$C$5</f>
        <v/>
      </c>
      <c r="CL26" s="221">
        <f>$C$5</f>
        <v/>
      </c>
      <c r="CM26" s="221">
        <f>$C$5</f>
        <v/>
      </c>
      <c r="CN26" s="221">
        <f>$C$5</f>
        <v/>
      </c>
      <c r="CO26" s="221">
        <f>$C$5</f>
        <v/>
      </c>
      <c r="CP26" s="221">
        <f>$C$5</f>
        <v/>
      </c>
      <c r="CQ26" s="221">
        <f>$C$5</f>
        <v/>
      </c>
      <c r="CR26" s="221">
        <f>$C$5</f>
        <v/>
      </c>
      <c r="CS26" s="221">
        <f>$G$5</f>
        <v/>
      </c>
      <c r="CT26" s="221">
        <f>$G$5</f>
        <v/>
      </c>
      <c r="CU26" s="221">
        <f>$G$5</f>
        <v/>
      </c>
      <c r="CV26" s="221">
        <f>$G$5</f>
        <v/>
      </c>
      <c r="CW26" s="221">
        <f>$G$5</f>
        <v/>
      </c>
      <c r="CX26" s="221">
        <f>$G$5</f>
        <v/>
      </c>
      <c r="CY26" s="221">
        <f>$G$5</f>
        <v/>
      </c>
      <c r="CZ26" s="221">
        <f>$G$5</f>
        <v/>
      </c>
      <c r="DA26" s="221">
        <f>$C$5</f>
        <v/>
      </c>
      <c r="DB26" s="221">
        <f>$C$5</f>
        <v/>
      </c>
      <c r="DC26" s="221">
        <f>$C$5</f>
        <v/>
      </c>
      <c r="DD26" s="221">
        <f>$C$5</f>
        <v/>
      </c>
      <c r="DE26" s="221">
        <f>$C$5</f>
        <v/>
      </c>
      <c r="DF26" s="221">
        <f>$C$5</f>
        <v/>
      </c>
      <c r="DG26" s="221">
        <f>$C$5</f>
        <v/>
      </c>
      <c r="DH26" s="221">
        <f>$C$5</f>
        <v/>
      </c>
      <c r="DI26" s="221">
        <f>$C$5</f>
        <v/>
      </c>
      <c r="DJ26" s="221">
        <f>$C$5</f>
        <v/>
      </c>
      <c r="DK26" s="221">
        <f>$C$5</f>
        <v/>
      </c>
      <c r="DL26" s="221">
        <f>$C$5</f>
        <v/>
      </c>
      <c r="DM26" s="221">
        <f>$C$5</f>
        <v/>
      </c>
      <c r="DN26" s="221">
        <f>$C$5</f>
        <v/>
      </c>
      <c r="DO26" s="221">
        <f>$C$5</f>
        <v/>
      </c>
      <c r="DP26" s="221">
        <f>$C$5</f>
        <v/>
      </c>
    </row>
    <row r="27" hidden="1" outlineLevel="1" s="1181">
      <c r="A27" s="384" t="n"/>
      <c r="B27" s="384" t="n"/>
      <c r="C27" s="384" t="n"/>
      <c r="D27" s="384" t="n"/>
      <c r="E27" s="384" t="n"/>
      <c r="F27" s="384" t="n"/>
      <c r="G27" s="384" t="n"/>
      <c r="H27" s="384" t="n"/>
      <c r="I27" s="384" t="n"/>
      <c r="J27" s="384" t="n"/>
      <c r="K27" s="384" t="n"/>
      <c r="L27" s="384" t="n"/>
      <c r="M27" s="384" t="n"/>
      <c r="N27" s="384" t="n"/>
      <c r="O27" s="384" t="n"/>
      <c r="P27" s="384" t="n"/>
      <c r="Q27" s="384" t="n"/>
      <c r="R27" s="384" t="n"/>
      <c r="S27" s="384" t="n"/>
      <c r="T27" s="384" t="n"/>
      <c r="U27" s="384" t="n"/>
      <c r="V27" s="384" t="n"/>
      <c r="W27" s="384" t="n"/>
      <c r="X27" s="384" t="inlineStr">
        <is>
          <t>C_MISK</t>
        </is>
      </c>
      <c r="Y27" s="178" t="inlineStr">
        <is>
          <t>ZM_ALL</t>
        </is>
      </c>
      <c r="Z27" s="178" t="inlineStr">
        <is>
          <t>ZM_ALL</t>
        </is>
      </c>
      <c r="AA27" s="178" t="inlineStr">
        <is>
          <t>ZM_ALL</t>
        </is>
      </c>
      <c r="AB27" s="178" t="inlineStr">
        <is>
          <t>ZM_ALL</t>
        </is>
      </c>
      <c r="AC27" s="178" t="inlineStr">
        <is>
          <t>ZM_ALL</t>
        </is>
      </c>
      <c r="AD27" s="178" t="inlineStr">
        <is>
          <t>ZM_ALL</t>
        </is>
      </c>
      <c r="AE27" s="178" t="inlineStr">
        <is>
          <t>ZM_ALL</t>
        </is>
      </c>
      <c r="AF27" s="178" t="inlineStr">
        <is>
          <t>ZM_ALL</t>
        </is>
      </c>
      <c r="AG27" s="178" t="inlineStr">
        <is>
          <t>ZM0300101</t>
        </is>
      </c>
      <c r="AH27" s="178" t="inlineStr">
        <is>
          <t>ZM0300102</t>
        </is>
      </c>
      <c r="AI27" s="178" t="inlineStr">
        <is>
          <t>ZM0300103</t>
        </is>
      </c>
      <c r="AJ27" s="178" t="inlineStr">
        <is>
          <t>ZM0300104</t>
        </is>
      </c>
      <c r="AK27" s="178" t="inlineStr">
        <is>
          <t>ZM0300105</t>
        </is>
      </c>
      <c r="AL27" s="178" t="inlineStr">
        <is>
          <t>ZM0300201</t>
        </is>
      </c>
      <c r="AM27" s="178" t="inlineStr">
        <is>
          <t>ZM0300202</t>
        </is>
      </c>
      <c r="AN27" s="178" t="inlineStr">
        <is>
          <t>ZM0300106</t>
        </is>
      </c>
      <c r="AO27" s="178" t="inlineStr">
        <is>
          <t>ZM0300101</t>
        </is>
      </c>
      <c r="AP27" s="178" t="inlineStr">
        <is>
          <t>ZM0300102</t>
        </is>
      </c>
      <c r="AQ27" s="178" t="inlineStr">
        <is>
          <t>ZM0300103</t>
        </is>
      </c>
      <c r="AR27" s="178" t="inlineStr">
        <is>
          <t>ZM0300104</t>
        </is>
      </c>
      <c r="AS27" s="178" t="inlineStr">
        <is>
          <t>ZM0300105</t>
        </is>
      </c>
      <c r="AT27" s="178" t="inlineStr">
        <is>
          <t>ZM0300201</t>
        </is>
      </c>
      <c r="AU27" s="178" t="inlineStr">
        <is>
          <t>ZM0300202</t>
        </is>
      </c>
      <c r="AV27" s="178" t="inlineStr">
        <is>
          <t>ZM0300106</t>
        </is>
      </c>
      <c r="AW27" s="178" t="inlineStr">
        <is>
          <t>ZM0300101</t>
        </is>
      </c>
      <c r="AX27" s="178" t="inlineStr">
        <is>
          <t>ZM0300102</t>
        </is>
      </c>
      <c r="AY27" s="178" t="inlineStr">
        <is>
          <t>ZM0300103</t>
        </is>
      </c>
      <c r="AZ27" s="178" t="inlineStr">
        <is>
          <t>ZM0300104</t>
        </is>
      </c>
      <c r="BA27" s="178" t="inlineStr">
        <is>
          <t>ZM0300105</t>
        </is>
      </c>
      <c r="BB27" s="178" t="inlineStr">
        <is>
          <t>ZM0300201</t>
        </is>
      </c>
      <c r="BC27" s="178" t="inlineStr">
        <is>
          <t>ZM0300202</t>
        </is>
      </c>
      <c r="BD27" s="178" t="inlineStr">
        <is>
          <t>ZM0300106</t>
        </is>
      </c>
      <c r="BE27" s="178" t="inlineStr">
        <is>
          <t>ZM0300101</t>
        </is>
      </c>
      <c r="BF27" s="178" t="inlineStr">
        <is>
          <t>ZM0300102</t>
        </is>
      </c>
      <c r="BG27" s="178" t="inlineStr">
        <is>
          <t>ZM0300103</t>
        </is>
      </c>
      <c r="BH27" s="178" t="inlineStr">
        <is>
          <t>ZM0300104</t>
        </is>
      </c>
      <c r="BI27" s="178" t="inlineStr">
        <is>
          <t>ZM0300105</t>
        </is>
      </c>
      <c r="BJ27" s="178" t="inlineStr">
        <is>
          <t>ZM0300201</t>
        </is>
      </c>
      <c r="BK27" s="178" t="inlineStr">
        <is>
          <t>ZM0300202</t>
        </is>
      </c>
      <c r="BL27" s="178" t="inlineStr">
        <is>
          <t>ZM0300106</t>
        </is>
      </c>
      <c r="BM27" s="178" t="inlineStr">
        <is>
          <t>ZM0300101</t>
        </is>
      </c>
      <c r="BN27" s="178" t="inlineStr">
        <is>
          <t>ZM0300102</t>
        </is>
      </c>
      <c r="BO27" s="178" t="inlineStr">
        <is>
          <t>ZM0300103</t>
        </is>
      </c>
      <c r="BP27" s="178" t="inlineStr">
        <is>
          <t>ZM0300104</t>
        </is>
      </c>
      <c r="BQ27" s="178" t="inlineStr">
        <is>
          <t>ZM0300105</t>
        </is>
      </c>
      <c r="BR27" s="178" t="inlineStr">
        <is>
          <t>ZM0300201</t>
        </is>
      </c>
      <c r="BS27" s="178" t="inlineStr">
        <is>
          <t>ZM0300202</t>
        </is>
      </c>
      <c r="BT27" s="178" t="inlineStr">
        <is>
          <t>ZM0300106</t>
        </is>
      </c>
      <c r="BU27" s="178" t="inlineStr">
        <is>
          <t>ZM0300101</t>
        </is>
      </c>
      <c r="BV27" s="178" t="inlineStr">
        <is>
          <t>ZM0300102</t>
        </is>
      </c>
      <c r="BW27" s="178" t="inlineStr">
        <is>
          <t>ZM0300103</t>
        </is>
      </c>
      <c r="BX27" s="178" t="inlineStr">
        <is>
          <t>ZM0300104</t>
        </is>
      </c>
      <c r="BY27" s="178" t="inlineStr">
        <is>
          <t>ZM0300105</t>
        </is>
      </c>
      <c r="BZ27" s="178" t="inlineStr">
        <is>
          <t>ZM0300201</t>
        </is>
      </c>
      <c r="CA27" s="178" t="inlineStr">
        <is>
          <t>ZM0300202</t>
        </is>
      </c>
      <c r="CB27" s="178" t="inlineStr">
        <is>
          <t>ZM0300106</t>
        </is>
      </c>
      <c r="CC27" s="178" t="inlineStr">
        <is>
          <t>ZM0300101</t>
        </is>
      </c>
      <c r="CD27" s="178" t="inlineStr">
        <is>
          <t>ZM0300102</t>
        </is>
      </c>
      <c r="CE27" s="178" t="inlineStr">
        <is>
          <t>ZM0300103</t>
        </is>
      </c>
      <c r="CF27" s="178" t="inlineStr">
        <is>
          <t>ZM0300104</t>
        </is>
      </c>
      <c r="CG27" s="178" t="inlineStr">
        <is>
          <t>ZM0300105</t>
        </is>
      </c>
      <c r="CH27" s="178" t="inlineStr">
        <is>
          <t>ZM0300201</t>
        </is>
      </c>
      <c r="CI27" s="178" t="inlineStr">
        <is>
          <t>ZM0300202</t>
        </is>
      </c>
      <c r="CJ27" s="178" t="inlineStr">
        <is>
          <t>ZM0300106</t>
        </is>
      </c>
      <c r="CK27" s="221" t="inlineStr">
        <is>
          <t>ZM0300101</t>
        </is>
      </c>
      <c r="CL27" s="221" t="inlineStr">
        <is>
          <t>ZM0300102</t>
        </is>
      </c>
      <c r="CM27" s="221" t="inlineStr">
        <is>
          <t>ZM0300103</t>
        </is>
      </c>
      <c r="CN27" s="221" t="inlineStr">
        <is>
          <t>ZM0300104</t>
        </is>
      </c>
      <c r="CO27" s="221" t="inlineStr">
        <is>
          <t>ZM0300105</t>
        </is>
      </c>
      <c r="CP27" s="221" t="inlineStr">
        <is>
          <t>ZM0300201</t>
        </is>
      </c>
      <c r="CQ27" s="221" t="inlineStr">
        <is>
          <t>ZM0300202</t>
        </is>
      </c>
      <c r="CR27" s="221" t="inlineStr">
        <is>
          <t>ZM0300106</t>
        </is>
      </c>
      <c r="CS27" s="221" t="inlineStr">
        <is>
          <t>ZM0300101</t>
        </is>
      </c>
      <c r="CT27" s="221" t="inlineStr">
        <is>
          <t>ZM0300102</t>
        </is>
      </c>
      <c r="CU27" s="221" t="inlineStr">
        <is>
          <t>ZM0300103</t>
        </is>
      </c>
      <c r="CV27" s="221" t="inlineStr">
        <is>
          <t>ZM0300104</t>
        </is>
      </c>
      <c r="CW27" s="221" t="inlineStr">
        <is>
          <t>ZM0300105</t>
        </is>
      </c>
      <c r="CX27" s="221" t="inlineStr">
        <is>
          <t>ZM0300201</t>
        </is>
      </c>
      <c r="CY27" s="221" t="inlineStr">
        <is>
          <t>ZM0300202</t>
        </is>
      </c>
      <c r="CZ27" s="221" t="inlineStr">
        <is>
          <t>ZM0300106</t>
        </is>
      </c>
      <c r="DA27" s="221" t="inlineStr">
        <is>
          <t>ZM0300101</t>
        </is>
      </c>
      <c r="DB27" s="221" t="inlineStr">
        <is>
          <t>ZM0300102</t>
        </is>
      </c>
      <c r="DC27" s="221" t="inlineStr">
        <is>
          <t>ZM0300103</t>
        </is>
      </c>
      <c r="DD27" s="221" t="inlineStr">
        <is>
          <t>ZM0300104</t>
        </is>
      </c>
      <c r="DE27" s="221" t="inlineStr">
        <is>
          <t>ZM0300105</t>
        </is>
      </c>
      <c r="DF27" s="221" t="inlineStr">
        <is>
          <t>ZM0300201</t>
        </is>
      </c>
      <c r="DG27" s="221" t="inlineStr">
        <is>
          <t>ZM0300202</t>
        </is>
      </c>
      <c r="DH27" s="221" t="inlineStr">
        <is>
          <t>ZM0300106</t>
        </is>
      </c>
      <c r="DI27" s="221" t="inlineStr">
        <is>
          <t>ZM0300101</t>
        </is>
      </c>
      <c r="DJ27" s="221" t="inlineStr">
        <is>
          <t>ZM0300102</t>
        </is>
      </c>
      <c r="DK27" s="221" t="inlineStr">
        <is>
          <t>ZM0300103</t>
        </is>
      </c>
      <c r="DL27" s="221" t="inlineStr">
        <is>
          <t>ZM0300104</t>
        </is>
      </c>
      <c r="DM27" s="221" t="inlineStr">
        <is>
          <t>ZM0300105</t>
        </is>
      </c>
      <c r="DN27" s="221" t="inlineStr">
        <is>
          <t>ZM0300201</t>
        </is>
      </c>
      <c r="DO27" s="221" t="inlineStr">
        <is>
          <t>ZM0300202</t>
        </is>
      </c>
      <c r="DP27" s="221" t="inlineStr">
        <is>
          <t>ZM0300106</t>
        </is>
      </c>
    </row>
    <row r="28" hidden="1" outlineLevel="1" s="1181">
      <c r="A28" s="384" t="n"/>
      <c r="B28" s="384" t="n"/>
      <c r="C28" s="384" t="n"/>
      <c r="D28" s="384" t="n"/>
      <c r="E28" s="384" t="n"/>
      <c r="F28" s="384" t="n"/>
      <c r="G28" s="384" t="n"/>
      <c r="H28" s="384" t="n"/>
      <c r="I28" s="384" t="n"/>
      <c r="J28" s="384" t="n"/>
      <c r="K28" s="384" t="n"/>
      <c r="L28" s="384" t="n"/>
      <c r="M28" s="384" t="n"/>
      <c r="N28" s="384" t="n"/>
      <c r="O28" s="384" t="n"/>
      <c r="P28" s="384" t="n"/>
      <c r="Q28" s="384" t="n"/>
      <c r="R28" s="384" t="n"/>
      <c r="S28" s="384" t="n"/>
      <c r="T28" s="384" t="n"/>
      <c r="U28" s="384" t="n"/>
      <c r="V28" s="384" t="n"/>
      <c r="W28" s="384" t="n"/>
      <c r="X28" s="384" t="inlineStr">
        <is>
          <t>C_RPTCURRENCY</t>
        </is>
      </c>
      <c r="Y28" s="353">
        <f>$E$7</f>
        <v/>
      </c>
      <c r="Z28" s="353">
        <f>$E$7</f>
        <v/>
      </c>
      <c r="AA28" s="353">
        <f>$E$7</f>
        <v/>
      </c>
      <c r="AB28" s="353">
        <f>$E$7</f>
        <v/>
      </c>
      <c r="AC28" s="353">
        <f>$E$7</f>
        <v/>
      </c>
      <c r="AD28" s="353">
        <f>$E$7</f>
        <v/>
      </c>
      <c r="AE28" s="353">
        <f>$E$7</f>
        <v/>
      </c>
      <c r="AF28" s="353">
        <f>$E$7</f>
        <v/>
      </c>
      <c r="AG28" s="353">
        <f>$E$7</f>
        <v/>
      </c>
      <c r="AH28" s="353">
        <f>$E$7</f>
        <v/>
      </c>
      <c r="AI28" s="353">
        <f>$E$7</f>
        <v/>
      </c>
      <c r="AJ28" s="353">
        <f>$E$7</f>
        <v/>
      </c>
      <c r="AK28" s="353">
        <f>$E$7</f>
        <v/>
      </c>
      <c r="AL28" s="353">
        <f>$E$7</f>
        <v/>
      </c>
      <c r="AM28" s="353">
        <f>$E$7</f>
        <v/>
      </c>
      <c r="AN28" s="353">
        <f>$E$7</f>
        <v/>
      </c>
      <c r="AO28" s="353">
        <f>$E$7</f>
        <v/>
      </c>
      <c r="AP28" s="353">
        <f>$E$7</f>
        <v/>
      </c>
      <c r="AQ28" s="353">
        <f>$E$7</f>
        <v/>
      </c>
      <c r="AR28" s="353">
        <f>$E$7</f>
        <v/>
      </c>
      <c r="AS28" s="353">
        <f>$E$7</f>
        <v/>
      </c>
      <c r="AT28" s="353">
        <f>$E$7</f>
        <v/>
      </c>
      <c r="AU28" s="353">
        <f>$E$7</f>
        <v/>
      </c>
      <c r="AV28" s="353">
        <f>$E$7</f>
        <v/>
      </c>
      <c r="AW28" s="353">
        <f>$E$7</f>
        <v/>
      </c>
      <c r="AX28" s="353">
        <f>$E$7</f>
        <v/>
      </c>
      <c r="AY28" s="353">
        <f>$E$7</f>
        <v/>
      </c>
      <c r="AZ28" s="353">
        <f>$E$7</f>
        <v/>
      </c>
      <c r="BA28" s="353">
        <f>$E$7</f>
        <v/>
      </c>
      <c r="BB28" s="353">
        <f>$E$7</f>
        <v/>
      </c>
      <c r="BC28" s="353">
        <f>$E$7</f>
        <v/>
      </c>
      <c r="BD28" s="353">
        <f>$E$7</f>
        <v/>
      </c>
      <c r="BE28" s="353">
        <f>$E$7</f>
        <v/>
      </c>
      <c r="BF28" s="353">
        <f>$E$7</f>
        <v/>
      </c>
      <c r="BG28" s="353">
        <f>$E$7</f>
        <v/>
      </c>
      <c r="BH28" s="353">
        <f>$E$7</f>
        <v/>
      </c>
      <c r="BI28" s="353">
        <f>$E$7</f>
        <v/>
      </c>
      <c r="BJ28" s="353">
        <f>$E$7</f>
        <v/>
      </c>
      <c r="BK28" s="353">
        <f>$E$7</f>
        <v/>
      </c>
      <c r="BL28" s="353">
        <f>$E$7</f>
        <v/>
      </c>
      <c r="BM28" s="353">
        <f>$E$7</f>
        <v/>
      </c>
      <c r="BN28" s="353">
        <f>$E$7</f>
        <v/>
      </c>
      <c r="BO28" s="353">
        <f>$E$7</f>
        <v/>
      </c>
      <c r="BP28" s="353">
        <f>$E$7</f>
        <v/>
      </c>
      <c r="BQ28" s="353">
        <f>$E$7</f>
        <v/>
      </c>
      <c r="BR28" s="353">
        <f>$E$7</f>
        <v/>
      </c>
      <c r="BS28" s="353">
        <f>$E$7</f>
        <v/>
      </c>
      <c r="BT28" s="353">
        <f>$E$7</f>
        <v/>
      </c>
      <c r="BU28" s="353">
        <f>$E$7</f>
        <v/>
      </c>
      <c r="BV28" s="353">
        <f>$E$7</f>
        <v/>
      </c>
      <c r="BW28" s="353">
        <f>$E$7</f>
        <v/>
      </c>
      <c r="BX28" s="353">
        <f>$E$7</f>
        <v/>
      </c>
      <c r="BY28" s="353">
        <f>$E$7</f>
        <v/>
      </c>
      <c r="BZ28" s="353">
        <f>$E$7</f>
        <v/>
      </c>
      <c r="CA28" s="353">
        <f>$E$7</f>
        <v/>
      </c>
      <c r="CB28" s="353">
        <f>$E$7</f>
        <v/>
      </c>
      <c r="CC28" s="353">
        <f>$E$7</f>
        <v/>
      </c>
      <c r="CD28" s="353">
        <f>$E$7</f>
        <v/>
      </c>
      <c r="CE28" s="353">
        <f>$E$7</f>
        <v/>
      </c>
      <c r="CF28" s="353">
        <f>$E$7</f>
        <v/>
      </c>
      <c r="CG28" s="353">
        <f>$E$7</f>
        <v/>
      </c>
      <c r="CH28" s="353">
        <f>$E$7</f>
        <v/>
      </c>
      <c r="CI28" s="353">
        <f>$E$7</f>
        <v/>
      </c>
      <c r="CJ28" s="353">
        <f>$E$7</f>
        <v/>
      </c>
      <c r="CK28" s="377" t="inlineStr">
        <is>
          <t>CNY</t>
        </is>
      </c>
      <c r="CL28" s="221" t="inlineStr">
        <is>
          <t>CNY</t>
        </is>
      </c>
      <c r="CM28" s="221" t="inlineStr">
        <is>
          <t>CNY</t>
        </is>
      </c>
      <c r="CN28" s="221" t="inlineStr">
        <is>
          <t>CNY</t>
        </is>
      </c>
      <c r="CO28" s="221" t="inlineStr">
        <is>
          <t>CNY</t>
        </is>
      </c>
      <c r="CP28" s="221" t="inlineStr">
        <is>
          <t>CNY</t>
        </is>
      </c>
      <c r="CQ28" s="221" t="inlineStr">
        <is>
          <t>CNY</t>
        </is>
      </c>
      <c r="CR28" s="221" t="inlineStr">
        <is>
          <t>CNY</t>
        </is>
      </c>
      <c r="CS28" s="221" t="inlineStr">
        <is>
          <t>CNY</t>
        </is>
      </c>
      <c r="CT28" s="221" t="inlineStr">
        <is>
          <t>CNY</t>
        </is>
      </c>
      <c r="CU28" s="221" t="inlineStr">
        <is>
          <t>CNY</t>
        </is>
      </c>
      <c r="CV28" s="221" t="inlineStr">
        <is>
          <t>CNY</t>
        </is>
      </c>
      <c r="CW28" s="221" t="inlineStr">
        <is>
          <t>CNY</t>
        </is>
      </c>
      <c r="CX28" s="221" t="inlineStr">
        <is>
          <t>CNY</t>
        </is>
      </c>
      <c r="CY28" s="221" t="inlineStr">
        <is>
          <t>CNY</t>
        </is>
      </c>
      <c r="CZ28" s="221" t="inlineStr">
        <is>
          <t>CNY</t>
        </is>
      </c>
      <c r="DA28" s="221" t="inlineStr">
        <is>
          <t>CNY</t>
        </is>
      </c>
      <c r="DB28" s="221" t="inlineStr">
        <is>
          <t>CNY</t>
        </is>
      </c>
      <c r="DC28" s="221" t="inlineStr">
        <is>
          <t>CNY</t>
        </is>
      </c>
      <c r="DD28" s="221" t="inlineStr">
        <is>
          <t>CNY</t>
        </is>
      </c>
      <c r="DE28" s="221" t="inlineStr">
        <is>
          <t>CNY</t>
        </is>
      </c>
      <c r="DF28" s="221" t="inlineStr">
        <is>
          <t>CNY</t>
        </is>
      </c>
      <c r="DG28" s="221" t="inlineStr">
        <is>
          <t>CNY</t>
        </is>
      </c>
      <c r="DH28" s="221" t="inlineStr">
        <is>
          <t>CNY</t>
        </is>
      </c>
      <c r="DI28" s="221" t="inlineStr">
        <is>
          <t>CNY</t>
        </is>
      </c>
      <c r="DJ28" s="221" t="inlineStr">
        <is>
          <t>CNY</t>
        </is>
      </c>
      <c r="DK28" s="221" t="inlineStr">
        <is>
          <t>CNY</t>
        </is>
      </c>
      <c r="DL28" s="221" t="inlineStr">
        <is>
          <t>CNY</t>
        </is>
      </c>
      <c r="DM28" s="221" t="inlineStr">
        <is>
          <t>CNY</t>
        </is>
      </c>
      <c r="DN28" s="221" t="inlineStr">
        <is>
          <t>CNY</t>
        </is>
      </c>
      <c r="DO28" s="221" t="inlineStr">
        <is>
          <t>CNY</t>
        </is>
      </c>
      <c r="DP28" s="221" t="inlineStr">
        <is>
          <t>CNY</t>
        </is>
      </c>
    </row>
    <row r="29" hidden="1" outlineLevel="1" s="1181">
      <c r="A29" s="384" t="n"/>
      <c r="B29" s="384" t="n"/>
      <c r="C29" s="384" t="n"/>
      <c r="D29" s="384" t="n"/>
      <c r="E29" s="384" t="n"/>
      <c r="F29" s="384" t="n"/>
      <c r="G29" s="384" t="n"/>
      <c r="H29" s="384" t="n"/>
      <c r="I29" s="384" t="n"/>
      <c r="J29" s="384" t="n"/>
      <c r="K29" s="384" t="n"/>
      <c r="L29" s="384" t="n"/>
      <c r="M29" s="384" t="n"/>
      <c r="N29" s="384" t="n"/>
      <c r="O29" s="384" t="n"/>
      <c r="P29" s="384" t="n"/>
      <c r="Q29" s="384" t="n"/>
      <c r="R29" s="384" t="n"/>
      <c r="S29" s="384" t="n"/>
      <c r="T29" s="384" t="n"/>
      <c r="U29" s="384" t="n"/>
      <c r="V29" s="384" t="n"/>
      <c r="W29" s="384" t="n"/>
      <c r="X29" s="384" t="inlineStr">
        <is>
          <t>C_INTERCO</t>
        </is>
      </c>
      <c r="Y29" s="353" t="inlineStr">
        <is>
          <t>I_ALL</t>
        </is>
      </c>
      <c r="Z29" s="353" t="inlineStr">
        <is>
          <t>I_ALL</t>
        </is>
      </c>
      <c r="AA29" s="353" t="inlineStr">
        <is>
          <t>I_ALL</t>
        </is>
      </c>
      <c r="AB29" s="353" t="inlineStr">
        <is>
          <t>I_ALL</t>
        </is>
      </c>
      <c r="AC29" s="353" t="inlineStr">
        <is>
          <t>I_ALL</t>
        </is>
      </c>
      <c r="AD29" s="353" t="inlineStr">
        <is>
          <t>I_ALL</t>
        </is>
      </c>
      <c r="AE29" s="353" t="inlineStr">
        <is>
          <t>I_ALL</t>
        </is>
      </c>
      <c r="AF29" s="353" t="inlineStr">
        <is>
          <t>I_ALL</t>
        </is>
      </c>
      <c r="AG29" s="353" t="inlineStr">
        <is>
          <t>I_ALL</t>
        </is>
      </c>
      <c r="AH29" s="353" t="inlineStr">
        <is>
          <t>I_ALL</t>
        </is>
      </c>
      <c r="AI29" s="353" t="inlineStr">
        <is>
          <t>I_ALL</t>
        </is>
      </c>
      <c r="AJ29" s="353" t="inlineStr">
        <is>
          <t>I_ALL</t>
        </is>
      </c>
      <c r="AK29" s="353" t="inlineStr">
        <is>
          <t>I_ALL</t>
        </is>
      </c>
      <c r="AL29" s="353" t="inlineStr">
        <is>
          <t>I_ALL</t>
        </is>
      </c>
      <c r="AM29" s="353" t="inlineStr">
        <is>
          <t>I_ALL</t>
        </is>
      </c>
      <c r="AN29" s="353" t="inlineStr">
        <is>
          <t>I_ALL</t>
        </is>
      </c>
      <c r="AO29" s="353">
        <f>$E$10</f>
        <v/>
      </c>
      <c r="AP29" s="353">
        <f>$E$10</f>
        <v/>
      </c>
      <c r="AQ29" s="353">
        <f>$E$10</f>
        <v/>
      </c>
      <c r="AR29" s="353">
        <f>$E$10</f>
        <v/>
      </c>
      <c r="AS29" s="353">
        <f>$E$10</f>
        <v/>
      </c>
      <c r="AT29" s="353">
        <f>$E$10</f>
        <v/>
      </c>
      <c r="AU29" s="353">
        <f>$E$10</f>
        <v/>
      </c>
      <c r="AV29" s="353">
        <f>$E$10</f>
        <v/>
      </c>
      <c r="AW29" s="353" t="inlineStr">
        <is>
          <t>I_ALL</t>
        </is>
      </c>
      <c r="AX29" s="353" t="inlineStr">
        <is>
          <t>I_ALL</t>
        </is>
      </c>
      <c r="AY29" s="353" t="inlineStr">
        <is>
          <t>I_ALL</t>
        </is>
      </c>
      <c r="AZ29" s="353" t="inlineStr">
        <is>
          <t>I_ALL</t>
        </is>
      </c>
      <c r="BA29" s="353" t="inlineStr">
        <is>
          <t>I_ALL</t>
        </is>
      </c>
      <c r="BB29" s="353" t="inlineStr">
        <is>
          <t>I_ALL</t>
        </is>
      </c>
      <c r="BC29" s="353" t="inlineStr">
        <is>
          <t>I_ALL</t>
        </is>
      </c>
      <c r="BD29" s="353" t="inlineStr">
        <is>
          <t>I_ALL</t>
        </is>
      </c>
      <c r="BE29" s="353" t="inlineStr">
        <is>
          <t>I_ALL</t>
        </is>
      </c>
      <c r="BF29" s="353" t="inlineStr">
        <is>
          <t>I_ALL</t>
        </is>
      </c>
      <c r="BG29" s="353" t="inlineStr">
        <is>
          <t>I_ALL</t>
        </is>
      </c>
      <c r="BH29" s="353" t="inlineStr">
        <is>
          <t>I_ALL</t>
        </is>
      </c>
      <c r="BI29" s="353" t="inlineStr">
        <is>
          <t>I_ALL</t>
        </is>
      </c>
      <c r="BJ29" s="353" t="inlineStr">
        <is>
          <t>I_ALL</t>
        </is>
      </c>
      <c r="BK29" s="353" t="inlineStr">
        <is>
          <t>I_ALL</t>
        </is>
      </c>
      <c r="BL29" s="353" t="inlineStr">
        <is>
          <t>I_ALL</t>
        </is>
      </c>
      <c r="BM29" s="353" t="inlineStr">
        <is>
          <t>I_ALL</t>
        </is>
      </c>
      <c r="BN29" s="353" t="inlineStr">
        <is>
          <t>I_ALL</t>
        </is>
      </c>
      <c r="BO29" s="353" t="inlineStr">
        <is>
          <t>I_ALL</t>
        </is>
      </c>
      <c r="BP29" s="353" t="inlineStr">
        <is>
          <t>I_ALL</t>
        </is>
      </c>
      <c r="BQ29" s="353" t="inlineStr">
        <is>
          <t>I_ALL</t>
        </is>
      </c>
      <c r="BR29" s="353" t="inlineStr">
        <is>
          <t>I_ALL</t>
        </is>
      </c>
      <c r="BS29" s="353" t="inlineStr">
        <is>
          <t>I_ALL</t>
        </is>
      </c>
      <c r="BT29" s="353" t="inlineStr">
        <is>
          <t>I_ALL</t>
        </is>
      </c>
      <c r="BU29" s="353" t="inlineStr">
        <is>
          <t>I_ALL</t>
        </is>
      </c>
      <c r="BV29" s="353" t="inlineStr">
        <is>
          <t>I_ALL</t>
        </is>
      </c>
      <c r="BW29" s="353" t="inlineStr">
        <is>
          <t>I_ALL</t>
        </is>
      </c>
      <c r="BX29" s="353" t="inlineStr">
        <is>
          <t>I_ALL</t>
        </is>
      </c>
      <c r="BY29" s="353" t="inlineStr">
        <is>
          <t>I_ALL</t>
        </is>
      </c>
      <c r="BZ29" s="353" t="inlineStr">
        <is>
          <t>I_ALL</t>
        </is>
      </c>
      <c r="CA29" s="353" t="inlineStr">
        <is>
          <t>I_ALL</t>
        </is>
      </c>
      <c r="CB29" s="353" t="inlineStr">
        <is>
          <t>I_ALL</t>
        </is>
      </c>
      <c r="CC29" s="353" t="inlineStr">
        <is>
          <t>I_ALL</t>
        </is>
      </c>
      <c r="CD29" s="353" t="inlineStr">
        <is>
          <t>I_ALL</t>
        </is>
      </c>
      <c r="CE29" s="353" t="inlineStr">
        <is>
          <t>I_ALL</t>
        </is>
      </c>
      <c r="CF29" s="353" t="inlineStr">
        <is>
          <t>I_ALL</t>
        </is>
      </c>
      <c r="CG29" s="353" t="inlineStr">
        <is>
          <t>I_ALL</t>
        </is>
      </c>
      <c r="CH29" s="353" t="inlineStr">
        <is>
          <t>I_ALL</t>
        </is>
      </c>
      <c r="CI29" s="353" t="inlineStr">
        <is>
          <t>I_ALL</t>
        </is>
      </c>
      <c r="CJ29" s="353" t="inlineStr">
        <is>
          <t>I_ALL</t>
        </is>
      </c>
      <c r="CK29" s="221" t="inlineStr">
        <is>
          <t>I_ALL</t>
        </is>
      </c>
      <c r="CL29" s="221" t="inlineStr">
        <is>
          <t>I_ALL</t>
        </is>
      </c>
      <c r="CM29" s="221" t="inlineStr">
        <is>
          <t>I_ALL</t>
        </is>
      </c>
      <c r="CN29" s="221" t="inlineStr">
        <is>
          <t>I_ALL</t>
        </is>
      </c>
      <c r="CO29" s="221" t="inlineStr">
        <is>
          <t>I_ALL</t>
        </is>
      </c>
      <c r="CP29" s="221" t="inlineStr">
        <is>
          <t>I_ALL</t>
        </is>
      </c>
      <c r="CQ29" s="221" t="inlineStr">
        <is>
          <t>I_ALL</t>
        </is>
      </c>
      <c r="CR29" s="221" t="inlineStr">
        <is>
          <t>I_ALL</t>
        </is>
      </c>
      <c r="CS29" s="221" t="inlineStr">
        <is>
          <t>I_ALL</t>
        </is>
      </c>
      <c r="CT29" s="221" t="inlineStr">
        <is>
          <t>I_ALL</t>
        </is>
      </c>
      <c r="CU29" s="221" t="inlineStr">
        <is>
          <t>I_ALL</t>
        </is>
      </c>
      <c r="CV29" s="221" t="inlineStr">
        <is>
          <t>I_ALL</t>
        </is>
      </c>
      <c r="CW29" s="221" t="inlineStr">
        <is>
          <t>I_ALL</t>
        </is>
      </c>
      <c r="CX29" s="221" t="inlineStr">
        <is>
          <t>I_ALL</t>
        </is>
      </c>
      <c r="CY29" s="221" t="inlineStr">
        <is>
          <t>I_ALL</t>
        </is>
      </c>
      <c r="CZ29" s="221" t="inlineStr">
        <is>
          <t>I_ALL</t>
        </is>
      </c>
      <c r="DA29" s="221" t="inlineStr">
        <is>
          <t>I_ALL</t>
        </is>
      </c>
      <c r="DB29" s="221" t="inlineStr">
        <is>
          <t>I_ALL</t>
        </is>
      </c>
      <c r="DC29" s="221" t="inlineStr">
        <is>
          <t>I_ALL</t>
        </is>
      </c>
      <c r="DD29" s="221" t="inlineStr">
        <is>
          <t>I_ALL</t>
        </is>
      </c>
      <c r="DE29" s="221" t="inlineStr">
        <is>
          <t>I_ALL</t>
        </is>
      </c>
      <c r="DF29" s="221" t="inlineStr">
        <is>
          <t>I_ALL</t>
        </is>
      </c>
      <c r="DG29" s="221" t="inlineStr">
        <is>
          <t>I_ALL</t>
        </is>
      </c>
      <c r="DH29" s="221" t="inlineStr">
        <is>
          <t>I_ALL</t>
        </is>
      </c>
      <c r="DI29" s="221" t="inlineStr">
        <is>
          <t>I_ALL</t>
        </is>
      </c>
      <c r="DJ29" s="221" t="inlineStr">
        <is>
          <t>I_ALL</t>
        </is>
      </c>
      <c r="DK29" s="221" t="inlineStr">
        <is>
          <t>I_ALL</t>
        </is>
      </c>
      <c r="DL29" s="221" t="inlineStr">
        <is>
          <t>I_ALL</t>
        </is>
      </c>
      <c r="DM29" s="221" t="inlineStr">
        <is>
          <t>I_ALL</t>
        </is>
      </c>
      <c r="DN29" s="221" t="inlineStr">
        <is>
          <t>I_ALL</t>
        </is>
      </c>
      <c r="DO29" s="221" t="inlineStr">
        <is>
          <t>I_ALL</t>
        </is>
      </c>
      <c r="DP29" s="221" t="inlineStr">
        <is>
          <t>I_ALL</t>
        </is>
      </c>
    </row>
    <row r="30" hidden="1" outlineLevel="1" s="1181">
      <c r="A30" s="384" t="n"/>
      <c r="B30" s="384" t="n"/>
      <c r="C30" s="384" t="n"/>
      <c r="D30" s="384" t="n"/>
      <c r="E30" s="384" t="n"/>
      <c r="F30" s="384" t="n"/>
      <c r="G30" s="384" t="n"/>
      <c r="H30" s="384" t="n"/>
      <c r="I30" s="384" t="n"/>
      <c r="J30" s="384" t="n"/>
      <c r="K30" s="384" t="n"/>
      <c r="L30" s="384" t="n"/>
      <c r="M30" s="384" t="n"/>
      <c r="N30" s="384" t="n"/>
      <c r="O30" s="384" t="n"/>
      <c r="P30" s="384" t="n"/>
      <c r="Q30" s="384" t="n"/>
      <c r="R30" s="384" t="n"/>
      <c r="S30" s="384" t="n"/>
      <c r="T30" s="384" t="n"/>
      <c r="U30" s="384" t="n"/>
      <c r="V30" s="384" t="n"/>
      <c r="W30" s="384" t="n"/>
      <c r="X30" s="384" t="inlineStr">
        <is>
          <t>C_PROJECT</t>
        </is>
      </c>
      <c r="Y30" s="353" t="inlineStr">
        <is>
          <t>ZP_ALL</t>
        </is>
      </c>
      <c r="Z30" s="353" t="inlineStr">
        <is>
          <t>ZP_ALL</t>
        </is>
      </c>
      <c r="AA30" s="353" t="inlineStr">
        <is>
          <t>ZP_ALL</t>
        </is>
      </c>
      <c r="AB30" s="353" t="inlineStr">
        <is>
          <t>ZP_ALL</t>
        </is>
      </c>
      <c r="AC30" s="353" t="inlineStr">
        <is>
          <t>ZP_ALL</t>
        </is>
      </c>
      <c r="AD30" s="353" t="inlineStr">
        <is>
          <t>ZP_ALL</t>
        </is>
      </c>
      <c r="AE30" s="353" t="inlineStr">
        <is>
          <t>ZP_ALL</t>
        </is>
      </c>
      <c r="AF30" s="353" t="inlineStr">
        <is>
          <t>ZP_ALL</t>
        </is>
      </c>
      <c r="AG30" s="353" t="inlineStr">
        <is>
          <t>ZP_ALL</t>
        </is>
      </c>
      <c r="AH30" s="353" t="inlineStr">
        <is>
          <t>ZP_ALL</t>
        </is>
      </c>
      <c r="AI30" s="353" t="inlineStr">
        <is>
          <t>ZP_ALL</t>
        </is>
      </c>
      <c r="AJ30" s="353" t="inlineStr">
        <is>
          <t>ZP_ALL</t>
        </is>
      </c>
      <c r="AK30" s="353" t="inlineStr">
        <is>
          <t>ZP_ALL</t>
        </is>
      </c>
      <c r="AL30" s="353" t="inlineStr">
        <is>
          <t>ZP_ALL</t>
        </is>
      </c>
      <c r="AM30" s="353" t="inlineStr">
        <is>
          <t>ZP_ALL</t>
        </is>
      </c>
      <c r="AN30" s="353" t="inlineStr">
        <is>
          <t>ZP_ALL</t>
        </is>
      </c>
      <c r="AO30" s="353">
        <f>$E$12</f>
        <v/>
      </c>
      <c r="AP30" s="353">
        <f>$E$12</f>
        <v/>
      </c>
      <c r="AQ30" s="353">
        <f>$E$12</f>
        <v/>
      </c>
      <c r="AR30" s="353">
        <f>$E$12</f>
        <v/>
      </c>
      <c r="AS30" s="353">
        <f>$E$12</f>
        <v/>
      </c>
      <c r="AT30" s="353">
        <f>$E$12</f>
        <v/>
      </c>
      <c r="AU30" s="353">
        <f>$E$12</f>
        <v/>
      </c>
      <c r="AV30" s="353">
        <f>$E$12</f>
        <v/>
      </c>
      <c r="AW30" s="353" t="inlineStr">
        <is>
          <t>ZP_ALL</t>
        </is>
      </c>
      <c r="AX30" s="353" t="inlineStr">
        <is>
          <t>ZP_ALL</t>
        </is>
      </c>
      <c r="AY30" s="353" t="inlineStr">
        <is>
          <t>ZP_ALL</t>
        </is>
      </c>
      <c r="AZ30" s="353" t="inlineStr">
        <is>
          <t>ZP_ALL</t>
        </is>
      </c>
      <c r="BA30" s="353" t="inlineStr">
        <is>
          <t>ZP_ALL</t>
        </is>
      </c>
      <c r="BB30" s="353" t="inlineStr">
        <is>
          <t>ZP_ALL</t>
        </is>
      </c>
      <c r="BC30" s="353" t="inlineStr">
        <is>
          <t>ZP_ALL</t>
        </is>
      </c>
      <c r="BD30" s="353" t="inlineStr">
        <is>
          <t>ZP_ALL</t>
        </is>
      </c>
      <c r="BE30" s="353" t="inlineStr">
        <is>
          <t>ZP_ALL</t>
        </is>
      </c>
      <c r="BF30" s="353" t="inlineStr">
        <is>
          <t>ZP_ALL</t>
        </is>
      </c>
      <c r="BG30" s="353" t="inlineStr">
        <is>
          <t>ZP_ALL</t>
        </is>
      </c>
      <c r="BH30" s="353" t="inlineStr">
        <is>
          <t>ZP_ALL</t>
        </is>
      </c>
      <c r="BI30" s="353" t="inlineStr">
        <is>
          <t>ZP_ALL</t>
        </is>
      </c>
      <c r="BJ30" s="353" t="inlineStr">
        <is>
          <t>ZP_ALL</t>
        </is>
      </c>
      <c r="BK30" s="353" t="inlineStr">
        <is>
          <t>ZP_ALL</t>
        </is>
      </c>
      <c r="BL30" s="353" t="inlineStr">
        <is>
          <t>ZP_ALL</t>
        </is>
      </c>
      <c r="BM30" s="353" t="inlineStr">
        <is>
          <t>ZP_ALL</t>
        </is>
      </c>
      <c r="BN30" s="353" t="inlineStr">
        <is>
          <t>ZP_ALL</t>
        </is>
      </c>
      <c r="BO30" s="353" t="inlineStr">
        <is>
          <t>ZP_ALL</t>
        </is>
      </c>
      <c r="BP30" s="353" t="inlineStr">
        <is>
          <t>ZP_ALL</t>
        </is>
      </c>
      <c r="BQ30" s="353" t="inlineStr">
        <is>
          <t>ZP_ALL</t>
        </is>
      </c>
      <c r="BR30" s="353" t="inlineStr">
        <is>
          <t>ZP_ALL</t>
        </is>
      </c>
      <c r="BS30" s="353" t="inlineStr">
        <is>
          <t>ZP_ALL</t>
        </is>
      </c>
      <c r="BT30" s="353" t="inlineStr">
        <is>
          <t>ZP_ALL</t>
        </is>
      </c>
      <c r="BU30" s="353" t="inlineStr">
        <is>
          <t>ZP_ALL</t>
        </is>
      </c>
      <c r="BV30" s="353" t="inlineStr">
        <is>
          <t>ZP_ALL</t>
        </is>
      </c>
      <c r="BW30" s="353" t="inlineStr">
        <is>
          <t>ZP_ALL</t>
        </is>
      </c>
      <c r="BX30" s="353" t="inlineStr">
        <is>
          <t>ZP_ALL</t>
        </is>
      </c>
      <c r="BY30" s="353" t="inlineStr">
        <is>
          <t>ZP_ALL</t>
        </is>
      </c>
      <c r="BZ30" s="353" t="inlineStr">
        <is>
          <t>ZP_ALL</t>
        </is>
      </c>
      <c r="CA30" s="353" t="inlineStr">
        <is>
          <t>ZP_ALL</t>
        </is>
      </c>
      <c r="CB30" s="353" t="inlineStr">
        <is>
          <t>ZP_ALL</t>
        </is>
      </c>
      <c r="CC30" s="353" t="inlineStr">
        <is>
          <t>ZP_ALL</t>
        </is>
      </c>
      <c r="CD30" s="353" t="inlineStr">
        <is>
          <t>ZP_ALL</t>
        </is>
      </c>
      <c r="CE30" s="353" t="inlineStr">
        <is>
          <t>ZP_ALL</t>
        </is>
      </c>
      <c r="CF30" s="353" t="inlineStr">
        <is>
          <t>ZP_ALL</t>
        </is>
      </c>
      <c r="CG30" s="353" t="inlineStr">
        <is>
          <t>ZP_ALL</t>
        </is>
      </c>
      <c r="CH30" s="353" t="inlineStr">
        <is>
          <t>ZP_ALL</t>
        </is>
      </c>
      <c r="CI30" s="353" t="inlineStr">
        <is>
          <t>ZP_ALL</t>
        </is>
      </c>
      <c r="CJ30" s="353" t="inlineStr">
        <is>
          <t>ZP_ALL</t>
        </is>
      </c>
      <c r="CK30" s="221" t="inlineStr">
        <is>
          <t>ZP_ALL</t>
        </is>
      </c>
      <c r="CL30" s="221" t="inlineStr">
        <is>
          <t>ZP_ALL</t>
        </is>
      </c>
      <c r="CM30" s="221" t="inlineStr">
        <is>
          <t>ZP_ALL</t>
        </is>
      </c>
      <c r="CN30" s="221" t="inlineStr">
        <is>
          <t>ZP_ALL</t>
        </is>
      </c>
      <c r="CO30" s="221" t="inlineStr">
        <is>
          <t>ZP_ALL</t>
        </is>
      </c>
      <c r="CP30" s="221" t="inlineStr">
        <is>
          <t>ZP_ALL</t>
        </is>
      </c>
      <c r="CQ30" s="221" t="inlineStr">
        <is>
          <t>ZP_ALL</t>
        </is>
      </c>
      <c r="CR30" s="221" t="inlineStr">
        <is>
          <t>ZP_ALL</t>
        </is>
      </c>
      <c r="CS30" s="221" t="inlineStr">
        <is>
          <t>ZP_ALL</t>
        </is>
      </c>
      <c r="CT30" s="221" t="inlineStr">
        <is>
          <t>ZP_ALL</t>
        </is>
      </c>
      <c r="CU30" s="221" t="inlineStr">
        <is>
          <t>ZP_ALL</t>
        </is>
      </c>
      <c r="CV30" s="221" t="inlineStr">
        <is>
          <t>ZP_ALL</t>
        </is>
      </c>
      <c r="CW30" s="221" t="inlineStr">
        <is>
          <t>ZP_ALL</t>
        </is>
      </c>
      <c r="CX30" s="221" t="inlineStr">
        <is>
          <t>ZP_ALL</t>
        </is>
      </c>
      <c r="CY30" s="221" t="inlineStr">
        <is>
          <t>ZP_ALL</t>
        </is>
      </c>
      <c r="CZ30" s="221" t="inlineStr">
        <is>
          <t>ZP_ALL</t>
        </is>
      </c>
      <c r="DA30" s="221" t="inlineStr">
        <is>
          <t>ZP_ALL</t>
        </is>
      </c>
      <c r="DB30" s="221" t="inlineStr">
        <is>
          <t>ZP_ALL</t>
        </is>
      </c>
      <c r="DC30" s="221" t="inlineStr">
        <is>
          <t>ZP_ALL</t>
        </is>
      </c>
      <c r="DD30" s="221" t="inlineStr">
        <is>
          <t>ZP_ALL</t>
        </is>
      </c>
      <c r="DE30" s="221" t="inlineStr">
        <is>
          <t>ZP_ALL</t>
        </is>
      </c>
      <c r="DF30" s="221" t="inlineStr">
        <is>
          <t>ZP_ALL</t>
        </is>
      </c>
      <c r="DG30" s="221" t="inlineStr">
        <is>
          <t>ZP_ALL</t>
        </is>
      </c>
      <c r="DH30" s="221" t="inlineStr">
        <is>
          <t>ZP_ALL</t>
        </is>
      </c>
      <c r="DI30" s="221" t="inlineStr">
        <is>
          <t>ZP_ALL</t>
        </is>
      </c>
      <c r="DJ30" s="221" t="inlineStr">
        <is>
          <t>ZP_ALL</t>
        </is>
      </c>
      <c r="DK30" s="221" t="inlineStr">
        <is>
          <t>ZP_ALL</t>
        </is>
      </c>
      <c r="DL30" s="221" t="inlineStr">
        <is>
          <t>ZP_ALL</t>
        </is>
      </c>
      <c r="DM30" s="221" t="inlineStr">
        <is>
          <t>ZP_ALL</t>
        </is>
      </c>
      <c r="DN30" s="221" t="inlineStr">
        <is>
          <t>ZP_ALL</t>
        </is>
      </c>
      <c r="DO30" s="221" t="inlineStr">
        <is>
          <t>ZP_ALL</t>
        </is>
      </c>
      <c r="DP30" s="221" t="inlineStr">
        <is>
          <t>ZP_ALL</t>
        </is>
      </c>
    </row>
    <row r="31" hidden="1" outlineLevel="1" s="1181">
      <c r="A31" s="384" t="n"/>
      <c r="B31" s="384" t="n"/>
      <c r="C31" s="384" t="n"/>
      <c r="D31" s="384" t="n"/>
      <c r="E31" s="384" t="n"/>
      <c r="F31" s="384" t="n"/>
      <c r="G31" s="384" t="n"/>
      <c r="H31" s="384" t="n"/>
      <c r="I31" s="384" t="n"/>
      <c r="J31" s="384" t="n"/>
      <c r="K31" s="384" t="n"/>
      <c r="L31" s="384" t="n"/>
      <c r="M31" s="384" t="n"/>
      <c r="N31" s="384" t="n"/>
      <c r="O31" s="384" t="n"/>
      <c r="P31" s="384" t="n"/>
      <c r="Q31" s="384" t="n"/>
      <c r="R31" s="384" t="n"/>
      <c r="S31" s="384" t="n"/>
      <c r="T31" s="384" t="n"/>
      <c r="U31" s="384" t="n"/>
      <c r="V31" s="384" t="n"/>
      <c r="W31" s="384" t="n"/>
      <c r="X31" s="384" t="inlineStr">
        <is>
          <t>C_ITEM</t>
        </is>
      </c>
      <c r="Y31" s="353" t="inlineStr">
        <is>
          <t>ZI_ALL</t>
        </is>
      </c>
      <c r="Z31" s="353" t="inlineStr">
        <is>
          <t>ZI_ALL</t>
        </is>
      </c>
      <c r="AA31" s="353" t="inlineStr">
        <is>
          <t>ZI_ALL</t>
        </is>
      </c>
      <c r="AB31" s="353" t="inlineStr">
        <is>
          <t>ZI_ALL</t>
        </is>
      </c>
      <c r="AC31" s="353" t="inlineStr">
        <is>
          <t>ZI_ALL</t>
        </is>
      </c>
      <c r="AD31" s="353" t="inlineStr">
        <is>
          <t>ZI_ALL</t>
        </is>
      </c>
      <c r="AE31" s="353" t="inlineStr">
        <is>
          <t>ZI_ALL</t>
        </is>
      </c>
      <c r="AF31" s="353" t="inlineStr">
        <is>
          <t>ZI_ALL</t>
        </is>
      </c>
      <c r="AG31" s="353" t="inlineStr">
        <is>
          <t>ZI_ALL</t>
        </is>
      </c>
      <c r="AH31" s="353" t="inlineStr">
        <is>
          <t>ZI_ALL</t>
        </is>
      </c>
      <c r="AI31" s="353" t="inlineStr">
        <is>
          <t>ZI_ALL</t>
        </is>
      </c>
      <c r="AJ31" s="353" t="inlineStr">
        <is>
          <t>ZI_ALL</t>
        </is>
      </c>
      <c r="AK31" s="353" t="inlineStr">
        <is>
          <t>ZI_ALL</t>
        </is>
      </c>
      <c r="AL31" s="353" t="inlineStr">
        <is>
          <t>ZI_ALL</t>
        </is>
      </c>
      <c r="AM31" s="353" t="inlineStr">
        <is>
          <t>ZI_ALL</t>
        </is>
      </c>
      <c r="AN31" s="353" t="inlineStr">
        <is>
          <t>ZI_ALL</t>
        </is>
      </c>
      <c r="AO31" s="353">
        <f>$E$13</f>
        <v/>
      </c>
      <c r="AP31" s="353">
        <f>$E$13</f>
        <v/>
      </c>
      <c r="AQ31" s="353">
        <f>$E$13</f>
        <v/>
      </c>
      <c r="AR31" s="353">
        <f>$E$13</f>
        <v/>
      </c>
      <c r="AS31" s="353">
        <f>$E$13</f>
        <v/>
      </c>
      <c r="AT31" s="353">
        <f>$E$13</f>
        <v/>
      </c>
      <c r="AU31" s="353">
        <f>$E$13</f>
        <v/>
      </c>
      <c r="AV31" s="353">
        <f>$E$13</f>
        <v/>
      </c>
      <c r="AW31" s="353" t="inlineStr">
        <is>
          <t>ZI_ALL</t>
        </is>
      </c>
      <c r="AX31" s="353" t="inlineStr">
        <is>
          <t>ZI_ALL</t>
        </is>
      </c>
      <c r="AY31" s="353" t="inlineStr">
        <is>
          <t>ZI_ALL</t>
        </is>
      </c>
      <c r="AZ31" s="353" t="inlineStr">
        <is>
          <t>ZI_ALL</t>
        </is>
      </c>
      <c r="BA31" s="353" t="inlineStr">
        <is>
          <t>ZI_ALL</t>
        </is>
      </c>
      <c r="BB31" s="353" t="inlineStr">
        <is>
          <t>ZI_ALL</t>
        </is>
      </c>
      <c r="BC31" s="353" t="inlineStr">
        <is>
          <t>ZI_ALL</t>
        </is>
      </c>
      <c r="BD31" s="353" t="inlineStr">
        <is>
          <t>ZI_ALL</t>
        </is>
      </c>
      <c r="BE31" s="353" t="inlineStr">
        <is>
          <t>ZI_ALL</t>
        </is>
      </c>
      <c r="BF31" s="353" t="inlineStr">
        <is>
          <t>ZI_ALL</t>
        </is>
      </c>
      <c r="BG31" s="353" t="inlineStr">
        <is>
          <t>ZI_ALL</t>
        </is>
      </c>
      <c r="BH31" s="353" t="inlineStr">
        <is>
          <t>ZI_ALL</t>
        </is>
      </c>
      <c r="BI31" s="353" t="inlineStr">
        <is>
          <t>ZI_ALL</t>
        </is>
      </c>
      <c r="BJ31" s="353" t="inlineStr">
        <is>
          <t>ZI_ALL</t>
        </is>
      </c>
      <c r="BK31" s="353" t="inlineStr">
        <is>
          <t>ZI_ALL</t>
        </is>
      </c>
      <c r="BL31" s="353" t="inlineStr">
        <is>
          <t>ZI_ALL</t>
        </is>
      </c>
      <c r="BM31" s="353" t="inlineStr">
        <is>
          <t>ZI_ALL</t>
        </is>
      </c>
      <c r="BN31" s="353" t="inlineStr">
        <is>
          <t>ZI_ALL</t>
        </is>
      </c>
      <c r="BO31" s="353" t="inlineStr">
        <is>
          <t>ZI_ALL</t>
        </is>
      </c>
      <c r="BP31" s="353" t="inlineStr">
        <is>
          <t>ZI_ALL</t>
        </is>
      </c>
      <c r="BQ31" s="353" t="inlineStr">
        <is>
          <t>ZI_ALL</t>
        </is>
      </c>
      <c r="BR31" s="353" t="inlineStr">
        <is>
          <t>ZI_ALL</t>
        </is>
      </c>
      <c r="BS31" s="353" t="inlineStr">
        <is>
          <t>ZI_ALL</t>
        </is>
      </c>
      <c r="BT31" s="353" t="inlineStr">
        <is>
          <t>ZI_ALL</t>
        </is>
      </c>
      <c r="BU31" s="353" t="inlineStr">
        <is>
          <t>ZI_ALL</t>
        </is>
      </c>
      <c r="BV31" s="353" t="inlineStr">
        <is>
          <t>ZI_ALL</t>
        </is>
      </c>
      <c r="BW31" s="353" t="inlineStr">
        <is>
          <t>ZI_ALL</t>
        </is>
      </c>
      <c r="BX31" s="353" t="inlineStr">
        <is>
          <t>ZI_ALL</t>
        </is>
      </c>
      <c r="BY31" s="353" t="inlineStr">
        <is>
          <t>ZI_ALL</t>
        </is>
      </c>
      <c r="BZ31" s="353" t="inlineStr">
        <is>
          <t>ZI_ALL</t>
        </is>
      </c>
      <c r="CA31" s="353" t="inlineStr">
        <is>
          <t>ZI_ALL</t>
        </is>
      </c>
      <c r="CB31" s="353" t="inlineStr">
        <is>
          <t>ZI_ALL</t>
        </is>
      </c>
      <c r="CC31" s="353" t="inlineStr">
        <is>
          <t>ZI_ALL</t>
        </is>
      </c>
      <c r="CD31" s="353" t="inlineStr">
        <is>
          <t>ZI_ALL</t>
        </is>
      </c>
      <c r="CE31" s="353" t="inlineStr">
        <is>
          <t>ZI_ALL</t>
        </is>
      </c>
      <c r="CF31" s="353" t="inlineStr">
        <is>
          <t>ZI_ALL</t>
        </is>
      </c>
      <c r="CG31" s="353" t="inlineStr">
        <is>
          <t>ZI_ALL</t>
        </is>
      </c>
      <c r="CH31" s="353" t="inlineStr">
        <is>
          <t>ZI_ALL</t>
        </is>
      </c>
      <c r="CI31" s="353" t="inlineStr">
        <is>
          <t>ZI_ALL</t>
        </is>
      </c>
      <c r="CJ31" s="353" t="inlineStr">
        <is>
          <t>ZI_ALL</t>
        </is>
      </c>
      <c r="CK31" s="221" t="inlineStr">
        <is>
          <t>ZI_ALL</t>
        </is>
      </c>
      <c r="CL31" s="221" t="inlineStr">
        <is>
          <t>ZI_ALL</t>
        </is>
      </c>
      <c r="CM31" s="221" t="inlineStr">
        <is>
          <t>ZI_ALL</t>
        </is>
      </c>
      <c r="CN31" s="221" t="inlineStr">
        <is>
          <t>ZI_ALL</t>
        </is>
      </c>
      <c r="CO31" s="221" t="inlineStr">
        <is>
          <t>ZI_ALL</t>
        </is>
      </c>
      <c r="CP31" s="221" t="inlineStr">
        <is>
          <t>ZI_ALL</t>
        </is>
      </c>
      <c r="CQ31" s="221" t="inlineStr">
        <is>
          <t>ZI_ALL</t>
        </is>
      </c>
      <c r="CR31" s="221" t="inlineStr">
        <is>
          <t>ZI_ALL</t>
        </is>
      </c>
      <c r="CS31" s="221" t="inlineStr">
        <is>
          <t>ZI_ALL</t>
        </is>
      </c>
      <c r="CT31" s="221" t="inlineStr">
        <is>
          <t>ZI_ALL</t>
        </is>
      </c>
      <c r="CU31" s="221" t="inlineStr">
        <is>
          <t>ZI_ALL</t>
        </is>
      </c>
      <c r="CV31" s="221" t="inlineStr">
        <is>
          <t>ZI_ALL</t>
        </is>
      </c>
      <c r="CW31" s="221" t="inlineStr">
        <is>
          <t>ZI_ALL</t>
        </is>
      </c>
      <c r="CX31" s="221" t="inlineStr">
        <is>
          <t>ZI_ALL</t>
        </is>
      </c>
      <c r="CY31" s="221" t="inlineStr">
        <is>
          <t>ZI_ALL</t>
        </is>
      </c>
      <c r="CZ31" s="221" t="inlineStr">
        <is>
          <t>ZI_ALL</t>
        </is>
      </c>
      <c r="DA31" s="221" t="inlineStr">
        <is>
          <t>ZI_ALL</t>
        </is>
      </c>
      <c r="DB31" s="221" t="inlineStr">
        <is>
          <t>ZI_ALL</t>
        </is>
      </c>
      <c r="DC31" s="221" t="inlineStr">
        <is>
          <t>ZI_ALL</t>
        </is>
      </c>
      <c r="DD31" s="221" t="inlineStr">
        <is>
          <t>ZI_ALL</t>
        </is>
      </c>
      <c r="DE31" s="221" t="inlineStr">
        <is>
          <t>ZI_ALL</t>
        </is>
      </c>
      <c r="DF31" s="221" t="inlineStr">
        <is>
          <t>ZI_ALL</t>
        </is>
      </c>
      <c r="DG31" s="221" t="inlineStr">
        <is>
          <t>ZI_ALL</t>
        </is>
      </c>
      <c r="DH31" s="221" t="inlineStr">
        <is>
          <t>ZI_ALL</t>
        </is>
      </c>
      <c r="DI31" s="221" t="inlineStr">
        <is>
          <t>ZI_ALL</t>
        </is>
      </c>
      <c r="DJ31" s="221" t="inlineStr">
        <is>
          <t>ZI_ALL</t>
        </is>
      </c>
      <c r="DK31" s="221" t="inlineStr">
        <is>
          <t>ZI_ALL</t>
        </is>
      </c>
      <c r="DL31" s="221" t="inlineStr">
        <is>
          <t>ZI_ALL</t>
        </is>
      </c>
      <c r="DM31" s="221" t="inlineStr">
        <is>
          <t>ZI_ALL</t>
        </is>
      </c>
      <c r="DN31" s="221" t="inlineStr">
        <is>
          <t>ZI_ALL</t>
        </is>
      </c>
      <c r="DO31" s="221" t="inlineStr">
        <is>
          <t>ZI_ALL</t>
        </is>
      </c>
      <c r="DP31" s="221" t="inlineStr">
        <is>
          <t>ZI_ALL</t>
        </is>
      </c>
    </row>
    <row r="32" hidden="1" outlineLevel="1" s="1181">
      <c r="A32" s="384" t="n"/>
      <c r="B32" s="384" t="n"/>
      <c r="C32" s="384" t="n"/>
      <c r="D32" s="384" t="n"/>
      <c r="E32" s="384" t="n"/>
      <c r="F32" s="384" t="n"/>
      <c r="G32" s="384" t="n"/>
      <c r="H32" s="384" t="n"/>
      <c r="I32" s="384" t="n"/>
      <c r="J32" s="384" t="n"/>
      <c r="K32" s="384" t="n"/>
      <c r="L32" s="384" t="n"/>
      <c r="M32" s="384" t="n"/>
      <c r="N32" s="384" t="n"/>
      <c r="O32" s="384" t="n"/>
      <c r="P32" s="384" t="n"/>
      <c r="Q32" s="384" t="n"/>
      <c r="R32" s="384" t="n"/>
      <c r="S32" s="384" t="n"/>
      <c r="T32" s="384" t="n"/>
      <c r="U32" s="384" t="n"/>
      <c r="V32" s="384" t="n"/>
      <c r="W32" s="384" t="n"/>
      <c r="X32" s="384" t="n"/>
      <c r="Y32" s="384" t="n"/>
      <c r="Z32" s="384" t="n"/>
      <c r="AA32" s="384" t="n"/>
      <c r="AB32" s="384" t="n"/>
      <c r="AC32" s="384" t="n"/>
      <c r="AD32" s="384" t="n"/>
      <c r="AE32" s="384" t="n"/>
      <c r="AF32" s="384" t="n"/>
      <c r="AG32" s="384" t="n"/>
      <c r="AH32" s="384" t="n"/>
      <c r="AI32" s="384" t="n"/>
      <c r="AJ32" s="384" t="n"/>
      <c r="AK32" s="384" t="n"/>
      <c r="AL32" s="384" t="n"/>
      <c r="AM32" s="384" t="n"/>
      <c r="AN32" s="384" t="n"/>
      <c r="AO32" s="384" t="n"/>
      <c r="AP32" s="384" t="n"/>
      <c r="AQ32" s="384" t="n"/>
      <c r="AR32" s="384" t="n"/>
      <c r="AS32" s="384" t="n"/>
      <c r="AT32" s="384" t="n"/>
      <c r="AU32" s="384" t="n"/>
      <c r="AV32" s="384" t="n"/>
      <c r="AW32" s="384" t="n"/>
      <c r="AX32" s="384" t="n"/>
      <c r="AY32" s="384" t="n"/>
      <c r="AZ32" s="384" t="n"/>
      <c r="BA32" s="384" t="n"/>
      <c r="BB32" s="384" t="n"/>
      <c r="BC32" s="384" t="n"/>
      <c r="BD32" s="384" t="n"/>
      <c r="BE32" s="384" t="n"/>
      <c r="BF32" s="384" t="n"/>
      <c r="BG32" s="384" t="n"/>
      <c r="BH32" s="384" t="n"/>
      <c r="BI32" s="384" t="n"/>
      <c r="BJ32" s="384" t="n"/>
      <c r="BK32" s="384" t="n"/>
      <c r="BL32" s="384" t="n"/>
      <c r="BM32" s="384" t="n"/>
      <c r="BN32" s="384" t="n"/>
      <c r="BO32" s="384" t="n"/>
      <c r="BP32" s="384" t="n"/>
      <c r="BQ32" s="384" t="n"/>
      <c r="BR32" s="384" t="n"/>
      <c r="BS32" s="384" t="n"/>
      <c r="BT32" s="384" t="n"/>
      <c r="BU32" s="384" t="n"/>
      <c r="BV32" s="384" t="n"/>
      <c r="BW32" s="384" t="n"/>
      <c r="BX32" s="384" t="n"/>
      <c r="BY32" s="384" t="n"/>
      <c r="BZ32" s="384" t="n"/>
      <c r="CA32" s="384" t="n"/>
      <c r="CB32" s="384" t="n"/>
      <c r="CC32" s="384" t="n"/>
      <c r="CD32" s="384" t="n"/>
      <c r="CE32" s="384" t="n"/>
      <c r="CF32" s="384" t="n"/>
      <c r="CG32" s="384" t="n"/>
      <c r="CH32" s="384" t="n"/>
      <c r="CI32" s="384" t="n"/>
      <c r="CJ32" s="384" t="n"/>
      <c r="CK32" s="384" t="n"/>
      <c r="CL32" s="384" t="n"/>
      <c r="CM32" s="384" t="n"/>
      <c r="CN32" s="384" t="n"/>
      <c r="CO32" s="384" t="n"/>
      <c r="CP32" s="384" t="n"/>
      <c r="CQ32" s="384" t="n"/>
      <c r="CR32" s="384" t="n"/>
      <c r="CS32" s="384" t="n"/>
      <c r="CT32" s="384" t="n"/>
      <c r="CU32" s="384" t="n"/>
      <c r="CV32" s="384" t="n"/>
      <c r="CW32" s="384" t="n"/>
      <c r="CX32" s="384" t="n"/>
      <c r="CY32" s="384" t="n"/>
      <c r="CZ32" s="384" t="n"/>
      <c r="DA32" s="384" t="n"/>
      <c r="DB32" s="384" t="n"/>
      <c r="DC32" s="384" t="n"/>
      <c r="DD32" s="384" t="n"/>
      <c r="DE32" s="384" t="n"/>
      <c r="DF32" s="384" t="n"/>
      <c r="DG32" s="384" t="n"/>
      <c r="DH32" s="384" t="n"/>
      <c r="DI32" s="384" t="n"/>
      <c r="DJ32" s="384" t="n"/>
      <c r="DK32" s="384" t="n"/>
      <c r="DL32" s="384" t="n"/>
      <c r="DM32" s="384" t="n"/>
      <c r="DN32" s="384" t="n"/>
      <c r="DO32" s="384" t="n"/>
      <c r="DP32" s="384" t="n"/>
    </row>
    <row r="33" hidden="1" outlineLevel="1" s="1181">
      <c r="A33" s="384" t="n"/>
      <c r="B33" s="384" t="n"/>
      <c r="C33" s="384" t="n"/>
      <c r="D33" s="384" t="n"/>
      <c r="E33" s="384" t="n"/>
      <c r="F33" s="384" t="n"/>
      <c r="G33" s="384" t="n"/>
      <c r="H33" s="384" t="n"/>
      <c r="I33" s="384" t="n"/>
      <c r="J33" s="384" t="n"/>
      <c r="K33" s="384" t="n"/>
      <c r="L33" s="384" t="n"/>
      <c r="M33" s="384" t="n"/>
      <c r="N33" s="384" t="n"/>
      <c r="O33" s="384" t="n"/>
      <c r="P33" s="384" t="n"/>
      <c r="Q33" s="384" t="n"/>
      <c r="R33" s="384" t="n"/>
      <c r="S33" s="384" t="n"/>
      <c r="T33" s="384" t="n"/>
      <c r="U33" s="384" t="n"/>
      <c r="V33" s="384" t="n"/>
      <c r="W33" s="1178" t="inlineStr">
        <is>
          <t>=EPMCopyRange("000",TRUE,Y33:CX33)</t>
        </is>
      </c>
      <c r="X33" s="384" t="n"/>
      <c r="Y33" s="1409">
        <f>SUM(AG33:AM33)</f>
        <v/>
      </c>
      <c r="Z33" s="1409">
        <f>SUM(AO33:AT33)</f>
        <v/>
      </c>
      <c r="AA33" s="1409">
        <f>SUM(BU33:CA33)</f>
        <v/>
      </c>
      <c r="AB33" s="1409">
        <f>Y33-AA33</f>
        <v/>
      </c>
      <c r="AC33" s="361">
        <f>IFERROR(AB33/AA33,0)</f>
        <v/>
      </c>
      <c r="AD33" s="1409">
        <f>SUM(CC33:CI33)</f>
        <v/>
      </c>
      <c r="AE33" s="1409">
        <f>Z33-AD33</f>
        <v/>
      </c>
      <c r="AF33" s="361">
        <f>IFERROR(AE33/AD33,0)</f>
        <v/>
      </c>
      <c r="AG33" s="1409">
        <f>AO33-AW33</f>
        <v/>
      </c>
      <c r="AH33" s="1409">
        <f>AP33-AX33</f>
        <v/>
      </c>
      <c r="AI33" s="1409">
        <f>AQ33-AY33</f>
        <v/>
      </c>
      <c r="AJ33" s="1409">
        <f>AR33-AZ33</f>
        <v/>
      </c>
      <c r="AK33" s="1409">
        <f>AS33-BA33</f>
        <v/>
      </c>
      <c r="AL33" s="1409">
        <f>AT33-BB33</f>
        <v/>
      </c>
      <c r="AM33" s="1409">
        <f>AU33-BC33</f>
        <v/>
      </c>
      <c r="AN33" s="1409">
        <f>AW33-BM33</f>
        <v/>
      </c>
      <c r="AO33" s="1410" t="n"/>
      <c r="AP33" s="1410" t="n"/>
      <c r="AQ33" s="1410" t="n"/>
      <c r="AR33" s="1410" t="n"/>
      <c r="AS33" s="1410" t="n"/>
      <c r="AT33" s="1410" t="n"/>
      <c r="AU33" s="1410" t="n"/>
      <c r="AV33" s="1410" t="n"/>
      <c r="AW33" s="1409" t="n"/>
      <c r="AX33" s="1409" t="n"/>
      <c r="AY33" s="1409" t="n"/>
      <c r="AZ33" s="1409" t="n"/>
      <c r="BA33" s="1409" t="n"/>
      <c r="BB33" s="1409" t="n"/>
      <c r="BC33" s="1409" t="n"/>
      <c r="BD33" s="1409" t="n"/>
      <c r="BE33" s="1409" t="n"/>
      <c r="BF33" s="1409" t="n"/>
      <c r="BG33" s="1409" t="n"/>
      <c r="BH33" s="1409" t="n"/>
      <c r="BI33" s="1409" t="n"/>
      <c r="BJ33" s="1409" t="n"/>
      <c r="BK33" s="1409" t="n"/>
      <c r="BL33" s="1409" t="n"/>
      <c r="BM33" s="1409" t="n"/>
      <c r="BN33" s="1409" t="n"/>
      <c r="BO33" s="1409" t="n"/>
      <c r="BP33" s="1409" t="n"/>
      <c r="BQ33" s="1409" t="n"/>
      <c r="BR33" s="1409" t="n"/>
      <c r="BS33" s="1409" t="n"/>
      <c r="BT33" s="1409" t="n"/>
      <c r="BU33" s="1409">
        <f>BE33-BM33</f>
        <v/>
      </c>
      <c r="BV33" s="1409">
        <f>BF33-BN33</f>
        <v/>
      </c>
      <c r="BW33" s="1409">
        <f>BG33-BO33</f>
        <v/>
      </c>
      <c r="BX33" s="1409">
        <f>BH33-BP33</f>
        <v/>
      </c>
      <c r="BY33" s="1409">
        <f>BI33-BQ33</f>
        <v/>
      </c>
      <c r="BZ33" s="1409">
        <f>BJ33-BR33</f>
        <v/>
      </c>
      <c r="CA33" s="1409">
        <f>BK33-BS33</f>
        <v/>
      </c>
      <c r="CB33" s="1409">
        <f>BL33-BT33</f>
        <v/>
      </c>
      <c r="CC33" s="1409" t="n"/>
      <c r="CD33" s="1409" t="n"/>
      <c r="CE33" s="1409" t="n"/>
      <c r="CF33" s="1409" t="n"/>
      <c r="CG33" s="1409" t="n"/>
      <c r="CH33" s="1409" t="n"/>
      <c r="CI33" s="1409" t="n"/>
      <c r="CJ33" s="1409" t="n"/>
      <c r="CK33" s="1409">
        <f>DA33-CS33</f>
        <v/>
      </c>
      <c r="CL33" s="1409">
        <f>DB33-CT33</f>
        <v/>
      </c>
      <c r="CM33" s="1409">
        <f>DC33-CU33</f>
        <v/>
      </c>
      <c r="CN33" s="1409">
        <f>DD33-CV33</f>
        <v/>
      </c>
      <c r="CO33" s="1409">
        <f>DE33-CW33</f>
        <v/>
      </c>
      <c r="CP33" s="1409">
        <f>DF33-CX33</f>
        <v/>
      </c>
      <c r="CQ33" s="1409">
        <f>DG33-CY33</f>
        <v/>
      </c>
      <c r="CR33" s="1409">
        <f>DI33-DA33</f>
        <v/>
      </c>
      <c r="CS33" s="1409" t="n"/>
      <c r="CT33" s="1409" t="n"/>
      <c r="CU33" s="1409" t="n"/>
      <c r="CV33" s="1409" t="n"/>
      <c r="CW33" s="1409" t="n"/>
      <c r="CX33" s="1409" t="n"/>
      <c r="CY33" s="1409" t="n"/>
      <c r="CZ33" s="1409" t="n"/>
      <c r="DA33" s="1409" t="n"/>
      <c r="DB33" s="1409" t="n"/>
      <c r="DC33" s="1409" t="n"/>
      <c r="DD33" s="1409" t="n"/>
      <c r="DE33" s="1409" t="n"/>
      <c r="DF33" s="1409" t="n"/>
      <c r="DG33" s="1409" t="n"/>
      <c r="DH33" s="1409" t="n"/>
      <c r="DI33" s="1409" t="n"/>
      <c r="DJ33" s="1409" t="n"/>
      <c r="DK33" s="1409" t="n"/>
      <c r="DL33" s="1409" t="n"/>
      <c r="DM33" s="1409" t="n"/>
      <c r="DN33" s="1409" t="n"/>
      <c r="DO33" s="1409" t="n"/>
      <c r="DP33" s="1409" t="n"/>
    </row>
    <row r="34" hidden="1" outlineLevel="1" s="1181">
      <c r="A34" s="384" t="n"/>
      <c r="B34" s="384" t="n"/>
      <c r="C34" s="384" t="n"/>
      <c r="D34" s="384" t="n"/>
      <c r="E34" s="384" t="n"/>
      <c r="F34" s="384" t="n"/>
      <c r="G34" s="384" t="n"/>
      <c r="H34" s="384" t="n"/>
      <c r="I34" s="384" t="n"/>
      <c r="J34" s="384" t="n"/>
      <c r="K34" s="384" t="n"/>
      <c r="L34" s="384" t="n"/>
      <c r="M34" s="384" t="n"/>
      <c r="N34" s="384" t="n"/>
      <c r="O34" s="384" t="n"/>
      <c r="P34" s="384" t="n"/>
      <c r="Q34" s="384" t="n"/>
      <c r="R34" s="384" t="n"/>
      <c r="S34" s="384" t="n"/>
      <c r="T34" s="384" t="n"/>
      <c r="U34" s="384" t="n"/>
      <c r="V34" s="384" t="n"/>
      <c r="W34" s="384" t="n"/>
      <c r="X34" s="384" t="n"/>
      <c r="Y34" s="384" t="n"/>
      <c r="Z34" s="384" t="n"/>
      <c r="AA34" s="384" t="n"/>
      <c r="AB34" s="384" t="n"/>
      <c r="AC34" s="384" t="n"/>
      <c r="AD34" s="384" t="n"/>
      <c r="AE34" s="384" t="n"/>
      <c r="AF34" s="384" t="n"/>
      <c r="AG34" s="384" t="n"/>
      <c r="AH34" s="384" t="n"/>
      <c r="AI34" s="384" t="n"/>
      <c r="AJ34" s="384" t="n"/>
      <c r="AK34" s="384" t="n"/>
      <c r="AL34" s="384" t="n"/>
      <c r="AM34" s="384" t="n"/>
      <c r="AN34" s="384" t="n"/>
      <c r="AO34" s="384" t="n"/>
      <c r="AP34" s="384" t="n"/>
      <c r="AQ34" s="384" t="n"/>
      <c r="AR34" s="384" t="n"/>
      <c r="AS34" s="384" t="n"/>
      <c r="AT34" s="384" t="n"/>
      <c r="AU34" s="384" t="n"/>
      <c r="AV34" s="384" t="n"/>
      <c r="AW34" s="384" t="n"/>
      <c r="AX34" s="384" t="n"/>
      <c r="AY34" s="384" t="n"/>
      <c r="AZ34" s="384" t="n"/>
      <c r="BA34" s="384" t="n"/>
      <c r="BB34" s="384" t="n"/>
      <c r="BC34" s="384" t="n"/>
      <c r="BD34" s="384" t="n"/>
      <c r="BE34" s="384" t="n"/>
      <c r="BF34" s="384" t="n"/>
      <c r="BG34" s="384" t="n"/>
      <c r="BH34" s="384" t="n"/>
      <c r="BI34" s="384" t="n"/>
      <c r="BJ34" s="384" t="n"/>
      <c r="BK34" s="384" t="n"/>
      <c r="BL34" s="384" t="n"/>
      <c r="BM34" s="384" t="n"/>
      <c r="BN34" s="384" t="n"/>
      <c r="BO34" s="384" t="n"/>
      <c r="BP34" s="384" t="n"/>
      <c r="BQ34" s="384" t="n"/>
      <c r="BR34" s="384" t="n"/>
      <c r="BS34" s="384" t="n"/>
      <c r="BT34" s="384" t="n"/>
      <c r="BU34" s="384" t="n"/>
      <c r="BV34" s="384" t="n"/>
      <c r="BW34" s="384" t="n"/>
      <c r="BX34" s="384" t="n"/>
      <c r="BY34" s="384" t="n"/>
      <c r="BZ34" s="384" t="n"/>
      <c r="CA34" s="384" t="n"/>
      <c r="CB34" s="384" t="n"/>
      <c r="CC34" s="384" t="n"/>
      <c r="CD34" s="384" t="n"/>
      <c r="CE34" s="384" t="n"/>
      <c r="CF34" s="384" t="n"/>
      <c r="CG34" s="384" t="n"/>
      <c r="CH34" s="384" t="n"/>
      <c r="CI34" s="384" t="n"/>
      <c r="CJ34" s="384" t="n"/>
      <c r="CK34" s="384" t="n"/>
      <c r="CL34" s="384" t="n"/>
      <c r="CM34" s="384" t="n"/>
      <c r="CN34" s="384" t="n"/>
      <c r="CO34" s="384" t="n"/>
      <c r="CP34" s="384" t="n"/>
      <c r="CQ34" s="384" t="n"/>
      <c r="CR34" s="384" t="n"/>
      <c r="CS34" s="384" t="n"/>
      <c r="CT34" s="384" t="n"/>
      <c r="CU34" s="384" t="n"/>
      <c r="CV34" s="384" t="n"/>
      <c r="CW34" s="384" t="n"/>
      <c r="CX34" s="384" t="n"/>
      <c r="CY34" s="384" t="n"/>
      <c r="CZ34" s="384" t="n"/>
      <c r="DA34" s="384" t="n"/>
      <c r="DB34" s="384" t="n"/>
      <c r="DC34" s="384" t="n"/>
      <c r="DD34" s="384" t="n"/>
      <c r="DE34" s="384" t="n"/>
      <c r="DF34" s="384" t="n"/>
      <c r="DG34" s="384" t="n"/>
      <c r="DH34" s="384" t="n"/>
      <c r="DI34" s="384" t="n"/>
      <c r="DJ34" s="384" t="n"/>
      <c r="DK34" s="384" t="n"/>
      <c r="DL34" s="384" t="n"/>
      <c r="DM34" s="384" t="n"/>
      <c r="DN34" s="384" t="n"/>
      <c r="DO34" s="384" t="n"/>
      <c r="DP34" s="384" t="n"/>
    </row>
    <row r="35" hidden="1" outlineLevel="1" s="1181">
      <c r="A35" s="384" t="n"/>
      <c r="B35" s="384" t="n"/>
      <c r="C35" s="384" t="n"/>
      <c r="D35" s="384" t="n"/>
      <c r="E35" s="384" t="n"/>
      <c r="F35" s="384" t="n"/>
      <c r="G35" s="384" t="n"/>
      <c r="H35" s="384" t="n"/>
      <c r="I35" s="384" t="n"/>
      <c r="J35" s="384" t="n"/>
      <c r="K35" s="384" t="n"/>
      <c r="L35" s="384" t="n"/>
      <c r="M35" s="384" t="n"/>
      <c r="N35" s="384" t="n"/>
      <c r="O35" s="384" t="n"/>
      <c r="P35" s="384" t="n"/>
      <c r="Q35" s="384" t="n"/>
      <c r="R35" s="384" t="n"/>
      <c r="S35" s="384" t="n"/>
      <c r="T35" s="384" t="n"/>
      <c r="U35" s="384" t="n"/>
      <c r="V35" s="384" t="n"/>
      <c r="W35" s="384" t="n"/>
      <c r="X35" s="384" t="n"/>
      <c r="Y35" s="384" t="n"/>
      <c r="Z35" s="384" t="n"/>
      <c r="AA35" s="384" t="n"/>
      <c r="AB35" s="384" t="n"/>
      <c r="AC35" s="384" t="n"/>
      <c r="AD35" s="384" t="n"/>
      <c r="AE35" s="384" t="n"/>
      <c r="AF35" s="384" t="n"/>
      <c r="AG35" s="384" t="n"/>
      <c r="AH35" s="384" t="n"/>
      <c r="AI35" s="384" t="n"/>
      <c r="AJ35" s="384" t="n"/>
      <c r="AK35" s="384" t="n"/>
      <c r="AL35" s="384" t="n"/>
      <c r="AM35" s="384" t="n"/>
      <c r="AN35" s="384" t="n"/>
      <c r="AO35" s="384" t="n"/>
      <c r="AP35" s="384" t="n"/>
      <c r="AQ35" s="384" t="n"/>
      <c r="AR35" s="384" t="n"/>
      <c r="AS35" s="384" t="n"/>
      <c r="AT35" s="384" t="n"/>
      <c r="AU35" s="384" t="n"/>
      <c r="AV35" s="384" t="n"/>
      <c r="AW35" s="384" t="n"/>
      <c r="AX35" s="384" t="n"/>
      <c r="AY35" s="384" t="n"/>
      <c r="AZ35" s="384" t="n"/>
      <c r="BA35" s="384" t="n"/>
      <c r="BB35" s="384" t="n"/>
      <c r="BC35" s="384" t="n"/>
      <c r="BD35" s="384" t="n"/>
      <c r="BE35" s="384" t="n"/>
      <c r="BF35" s="384" t="n"/>
      <c r="BG35" s="384" t="n"/>
      <c r="BH35" s="384" t="n"/>
      <c r="BI35" s="384" t="n"/>
      <c r="BJ35" s="384" t="n"/>
      <c r="BK35" s="384" t="n"/>
      <c r="BL35" s="384" t="n"/>
      <c r="BM35" s="384" t="n"/>
      <c r="BN35" s="384" t="n"/>
      <c r="BO35" s="384" t="n"/>
      <c r="BP35" s="384" t="n"/>
      <c r="BQ35" s="384" t="n"/>
      <c r="BR35" s="384" t="n"/>
      <c r="BS35" s="384" t="n"/>
      <c r="BT35" s="384" t="n"/>
      <c r="BU35" s="384" t="n"/>
      <c r="BV35" s="384" t="n"/>
      <c r="BW35" s="384" t="n"/>
      <c r="BX35" s="384" t="n"/>
      <c r="BY35" s="384" t="n"/>
      <c r="BZ35" s="384" t="n"/>
      <c r="CA35" s="384" t="n"/>
      <c r="CB35" s="384" t="n"/>
      <c r="CC35" s="384" t="n"/>
      <c r="CD35" s="384" t="n"/>
      <c r="CE35" s="384" t="n"/>
      <c r="CF35" s="384" t="n"/>
      <c r="CG35" s="384" t="n"/>
      <c r="CH35" s="384" t="n"/>
      <c r="CI35" s="384" t="n"/>
      <c r="CJ35" s="384" t="n"/>
      <c r="CK35" s="384" t="n"/>
      <c r="CL35" s="384" t="n"/>
      <c r="CM35" s="384" t="n"/>
      <c r="CN35" s="384" t="n"/>
      <c r="CO35" s="384" t="n"/>
      <c r="CP35" s="384" t="n"/>
      <c r="CQ35" s="384" t="n"/>
      <c r="CR35" s="384" t="n"/>
      <c r="CS35" s="384" t="n"/>
      <c r="CT35" s="384" t="n"/>
      <c r="CU35" s="384" t="n"/>
      <c r="CV35" s="384" t="n"/>
      <c r="CW35" s="384" t="n"/>
      <c r="CX35" s="384" t="n"/>
      <c r="CY35" s="384" t="n"/>
      <c r="CZ35" s="384" t="n"/>
      <c r="DA35" s="384" t="n"/>
      <c r="DB35" s="384" t="n"/>
      <c r="DC35" s="384" t="n"/>
      <c r="DD35" s="384" t="n"/>
      <c r="DE35" s="384" t="n"/>
      <c r="DF35" s="384" t="n"/>
      <c r="DG35" s="384" t="n"/>
      <c r="DH35" s="384" t="n"/>
      <c r="DI35" s="384" t="n"/>
      <c r="DJ35" s="384" t="n"/>
      <c r="DK35" s="384" t="n"/>
      <c r="DL35" s="384" t="n"/>
      <c r="DM35" s="384" t="n"/>
      <c r="DN35" s="384" t="n"/>
      <c r="DO35" s="384" t="n"/>
      <c r="DP35" s="384" t="n"/>
    </row>
    <row r="36" hidden="1" outlineLevel="1" s="1181">
      <c r="A36" s="384" t="n"/>
      <c r="B36" s="384" t="n"/>
      <c r="C36" s="384" t="n"/>
      <c r="D36" s="384" t="n"/>
      <c r="E36" s="384" t="n"/>
      <c r="F36" s="384" t="n"/>
      <c r="G36" s="384" t="n"/>
      <c r="H36" s="384" t="n"/>
      <c r="I36" s="384" t="n"/>
      <c r="J36" s="384" t="n"/>
      <c r="K36" s="384" t="n"/>
      <c r="L36" s="384" t="n"/>
      <c r="M36" s="384" t="n"/>
      <c r="N36" s="384" t="n"/>
      <c r="O36" s="384" t="n"/>
      <c r="P36" s="384" t="n"/>
      <c r="Q36" s="384" t="n"/>
      <c r="R36" s="384" t="n"/>
      <c r="S36" s="384" t="n"/>
      <c r="T36" s="384" t="n"/>
      <c r="U36" s="384" t="n"/>
      <c r="V36" s="384" t="n"/>
      <c r="W36" s="384" t="n"/>
      <c r="X36" s="384" t="n"/>
      <c r="Y36" s="384" t="n"/>
      <c r="Z36" s="384" t="n"/>
      <c r="AA36" s="384" t="n"/>
      <c r="AB36" s="384" t="n"/>
      <c r="AC36" s="384" t="n"/>
      <c r="AD36" s="384" t="n"/>
      <c r="AE36" s="384" t="n"/>
      <c r="AF36" s="384" t="n"/>
      <c r="AG36" s="384" t="n"/>
      <c r="AH36" s="384" t="n"/>
      <c r="AI36" s="384" t="n"/>
      <c r="AJ36" s="384" t="n"/>
      <c r="AK36" s="384" t="n"/>
      <c r="AL36" s="384" t="n"/>
      <c r="AM36" s="384" t="n"/>
      <c r="AN36" s="384" t="n"/>
      <c r="AO36" s="384" t="n"/>
      <c r="AP36" s="384" t="n"/>
      <c r="AQ36" s="384" t="n"/>
      <c r="AR36" s="384" t="n"/>
      <c r="AS36" s="384" t="n"/>
      <c r="AT36" s="384" t="n"/>
      <c r="AU36" s="384" t="n"/>
      <c r="AV36" s="384" t="n"/>
      <c r="AW36" s="384" t="n"/>
      <c r="AX36" s="384" t="n"/>
      <c r="AY36" s="384" t="n"/>
      <c r="AZ36" s="384" t="n"/>
      <c r="BA36" s="384" t="n"/>
      <c r="BB36" s="384" t="n"/>
      <c r="BC36" s="384" t="n"/>
      <c r="BD36" s="384" t="n"/>
      <c r="BE36" s="384" t="n"/>
      <c r="BF36" s="384" t="n"/>
      <c r="BG36" s="384" t="n"/>
      <c r="BH36" s="384" t="n"/>
      <c r="BI36" s="384" t="n"/>
      <c r="BJ36" s="384" t="n"/>
      <c r="BK36" s="384" t="n"/>
      <c r="BL36" s="384" t="n"/>
      <c r="BM36" s="384" t="n"/>
      <c r="BN36" s="384" t="n"/>
      <c r="BO36" s="384" t="n"/>
      <c r="BP36" s="384" t="n"/>
      <c r="BQ36" s="384" t="n"/>
      <c r="BR36" s="384" t="n"/>
      <c r="BS36" s="384" t="n"/>
      <c r="BT36" s="384" t="n"/>
      <c r="BU36" s="384" t="n"/>
      <c r="BV36" s="384" t="n"/>
      <c r="BW36" s="384" t="n"/>
      <c r="BX36" s="384" t="n"/>
      <c r="BY36" s="384" t="n"/>
      <c r="BZ36" s="384" t="n"/>
      <c r="CA36" s="384" t="n"/>
      <c r="CB36" s="384" t="n"/>
      <c r="CC36" s="384" t="n"/>
      <c r="CD36" s="384" t="n"/>
      <c r="CE36" s="384" t="n"/>
      <c r="CF36" s="384" t="n"/>
      <c r="CG36" s="384" t="n"/>
      <c r="CH36" s="384" t="n"/>
      <c r="CI36" s="384" t="n"/>
      <c r="CJ36" s="384" t="n"/>
      <c r="CK36" s="384" t="n"/>
      <c r="CL36" s="384" t="n"/>
      <c r="CM36" s="384" t="n"/>
      <c r="CN36" s="384" t="n"/>
      <c r="CO36" s="384" t="n"/>
      <c r="CP36" s="384" t="n"/>
      <c r="CQ36" s="384" t="n"/>
      <c r="CR36" s="384" t="n"/>
      <c r="CS36" s="384" t="n"/>
      <c r="CT36" s="384" t="n"/>
      <c r="CU36" s="384" t="n"/>
      <c r="CV36" s="384" t="n"/>
      <c r="CW36" s="384" t="n"/>
      <c r="CX36" s="384" t="n"/>
      <c r="CY36" s="384" t="n"/>
      <c r="CZ36" s="384" t="n"/>
      <c r="DA36" s="384" t="n"/>
      <c r="DB36" s="384" t="n"/>
      <c r="DC36" s="384" t="n"/>
      <c r="DD36" s="384" t="n"/>
      <c r="DE36" s="384" t="n"/>
      <c r="DF36" s="384" t="n"/>
      <c r="DG36" s="384" t="n"/>
      <c r="DH36" s="384" t="n"/>
      <c r="DI36" s="384" t="n"/>
      <c r="DJ36" s="384" t="n"/>
      <c r="DK36" s="384" t="n"/>
      <c r="DL36" s="384" t="n"/>
      <c r="DM36" s="384" t="n"/>
      <c r="DN36" s="384" t="n"/>
      <c r="DO36" s="384" t="n"/>
      <c r="DP36" s="384" t="n"/>
    </row>
    <row r="37" hidden="1" outlineLevel="1" ht="20.1" customHeight="1" s="1181">
      <c r="A37" s="384" t="n"/>
      <c r="B37" s="384" t="n"/>
      <c r="C37" s="384" t="n"/>
      <c r="D37" s="384" t="n"/>
      <c r="E37" s="384" t="n"/>
      <c r="F37" s="384" t="n"/>
      <c r="G37" s="384" t="n"/>
      <c r="H37" s="384" t="n"/>
      <c r="I37" s="384" t="n"/>
      <c r="J37" s="384" t="n"/>
      <c r="K37" s="384" t="n"/>
      <c r="L37" s="384" t="n"/>
      <c r="M37" s="384" t="n"/>
      <c r="N37" s="384" t="n"/>
      <c r="O37" s="384" t="n"/>
      <c r="P37" s="384" t="n"/>
      <c r="Q37" s="384" t="n"/>
      <c r="R37" s="384" t="n"/>
      <c r="S37" s="384" t="n"/>
      <c r="T37" s="384" t="n"/>
      <c r="U37" s="384" t="n"/>
      <c r="V37" s="384" t="n"/>
      <c r="W37" s="384" t="n"/>
      <c r="X37" s="384" t="n"/>
      <c r="Y37" s="384" t="n"/>
      <c r="Z37" s="384" t="n"/>
      <c r="AA37" s="384" t="n"/>
      <c r="AB37" s="384" t="n"/>
      <c r="AC37" s="384" t="n"/>
      <c r="AD37" s="384" t="n"/>
      <c r="AE37" s="384" t="n"/>
      <c r="AF37" s="384" t="n"/>
      <c r="AG37" s="384" t="n"/>
      <c r="AH37" s="384" t="n"/>
      <c r="AI37" s="384" t="n"/>
      <c r="AJ37" s="384" t="n"/>
      <c r="AK37" s="384" t="n"/>
      <c r="AL37" s="384" t="n"/>
      <c r="AM37" s="384" t="n"/>
      <c r="AN37" s="384" t="n"/>
      <c r="AO37" s="384" t="n"/>
      <c r="AP37" s="384" t="n"/>
      <c r="AQ37" s="384" t="n"/>
      <c r="AR37" s="384" t="n"/>
      <c r="AS37" s="384" t="n"/>
      <c r="AT37" s="384" t="n"/>
      <c r="AU37" s="384" t="n"/>
      <c r="AV37" s="384" t="n"/>
      <c r="AW37" s="384" t="n"/>
      <c r="AX37" s="384" t="n"/>
      <c r="AY37" s="384" t="n"/>
      <c r="AZ37" s="384" t="n"/>
      <c r="BA37" s="384" t="n"/>
      <c r="BB37" s="384" t="n"/>
      <c r="BC37" s="384" t="n"/>
      <c r="BD37" s="384" t="n"/>
      <c r="BE37" s="384" t="n"/>
      <c r="BF37" s="384" t="n"/>
      <c r="BG37" s="384" t="n"/>
      <c r="BH37" s="384" t="n"/>
      <c r="BI37" s="384" t="n"/>
      <c r="BJ37" s="384" t="n"/>
      <c r="BK37" s="384" t="n"/>
      <c r="BL37" s="384" t="n"/>
      <c r="BM37" s="384" t="n"/>
      <c r="BN37" s="384" t="n"/>
      <c r="BO37" s="384" t="n"/>
      <c r="BP37" s="384" t="n"/>
      <c r="BQ37" s="384" t="n"/>
      <c r="BR37" s="384" t="n"/>
      <c r="BS37" s="384" t="n"/>
      <c r="BT37" s="384" t="n"/>
      <c r="BU37" s="384" t="n"/>
      <c r="BV37" s="384" t="n"/>
      <c r="BW37" s="384" t="n"/>
      <c r="BX37" s="384" t="n"/>
      <c r="BY37" s="384" t="n"/>
      <c r="BZ37" s="384" t="n"/>
      <c r="CA37" s="384" t="n"/>
      <c r="CB37" s="384" t="n"/>
      <c r="CC37" s="384" t="n"/>
      <c r="CD37" s="384" t="n"/>
      <c r="CE37" s="384" t="n"/>
      <c r="CF37" s="384" t="n"/>
      <c r="CG37" s="384" t="n"/>
      <c r="CH37" s="384" t="n"/>
      <c r="CI37" s="384" t="n"/>
      <c r="CJ37" s="384" t="n"/>
      <c r="CK37" s="384" t="n"/>
      <c r="CL37" s="384" t="n"/>
      <c r="CM37" s="384" t="n"/>
      <c r="CN37" s="384" t="n"/>
      <c r="CO37" s="384" t="n"/>
      <c r="CP37" s="384" t="n"/>
      <c r="CQ37" s="384" t="n"/>
      <c r="CR37" s="384" t="n"/>
      <c r="CS37" s="384" t="n"/>
      <c r="CT37" s="384" t="n"/>
      <c r="CU37" s="384" t="n"/>
      <c r="CV37" s="384" t="n"/>
      <c r="CW37" s="384" t="n"/>
      <c r="CX37" s="384" t="n"/>
      <c r="CY37" s="384" t="n"/>
      <c r="CZ37" s="384" t="n"/>
      <c r="DA37" s="384" t="n"/>
      <c r="DB37" s="384" t="n"/>
      <c r="DC37" s="384" t="n"/>
      <c r="DD37" s="384" t="n"/>
      <c r="DE37" s="384" t="n"/>
      <c r="DF37" s="384" t="n"/>
      <c r="DG37" s="384" t="n"/>
      <c r="DH37" s="384" t="n"/>
      <c r="DI37" s="384" t="n"/>
      <c r="DJ37" s="384" t="n"/>
      <c r="DK37" s="384" t="n"/>
      <c r="DL37" s="384" t="n"/>
      <c r="DM37" s="384" t="n"/>
      <c r="DN37" s="384" t="n"/>
      <c r="DO37" s="384" t="n"/>
      <c r="DP37" s="384" t="n"/>
    </row>
    <row r="38" collapsed="1" ht="8.65" customHeight="1" s="1181">
      <c r="A38" s="384" t="n"/>
      <c r="B38" s="384" t="n"/>
      <c r="C38" s="384" t="n"/>
      <c r="D38" s="384" t="n"/>
      <c r="E38" s="384" t="n"/>
      <c r="F38" s="384" t="n"/>
      <c r="G38" s="384" t="n"/>
      <c r="H38" s="384" t="n"/>
      <c r="I38" s="384" t="n"/>
      <c r="J38" s="384" t="n"/>
      <c r="K38" s="384" t="n"/>
      <c r="L38" s="384" t="n"/>
      <c r="M38" s="384" t="n"/>
      <c r="N38" s="384" t="n"/>
      <c r="O38" s="384" t="n"/>
      <c r="P38" s="384" t="n"/>
      <c r="Q38" s="384" t="n"/>
      <c r="R38" s="384" t="n"/>
      <c r="S38" s="384" t="n"/>
      <c r="T38" s="384" t="n"/>
      <c r="U38" s="384" t="n"/>
      <c r="V38" s="384" t="n"/>
      <c r="W38" s="384" t="n"/>
      <c r="X38" s="384" t="n"/>
      <c r="Y38" s="384" t="n"/>
      <c r="Z38" s="384" t="n"/>
      <c r="AA38" s="384" t="n"/>
      <c r="AB38" s="384" t="n"/>
      <c r="AC38" s="384" t="n"/>
      <c r="AD38" s="384" t="n"/>
      <c r="AE38" s="384" t="n"/>
      <c r="AF38" s="384" t="n"/>
      <c r="AG38" s="384" t="n"/>
      <c r="AH38" s="384" t="n"/>
      <c r="AI38" s="384" t="n"/>
      <c r="AJ38" s="384" t="n"/>
      <c r="AK38" s="384" t="n"/>
      <c r="AL38" s="384" t="n"/>
      <c r="AM38" s="384" t="n"/>
      <c r="AN38" s="384" t="n"/>
      <c r="AO38" s="384" t="n"/>
      <c r="AP38" s="384" t="n"/>
      <c r="AQ38" s="384" t="n"/>
      <c r="AR38" s="384" t="n"/>
      <c r="AS38" s="384" t="n"/>
      <c r="AT38" s="384" t="n"/>
      <c r="AU38" s="384" t="n"/>
      <c r="AV38" s="384" t="n"/>
      <c r="AW38" s="384" t="n"/>
      <c r="AX38" s="384" t="n"/>
      <c r="AY38" s="384" t="n"/>
      <c r="AZ38" s="384" t="n"/>
      <c r="BA38" s="384" t="n"/>
      <c r="BB38" s="384" t="n"/>
      <c r="BC38" s="384" t="n"/>
      <c r="BD38" s="384" t="n"/>
      <c r="BE38" s="384" t="n"/>
      <c r="BF38" s="384" t="n"/>
      <c r="BG38" s="384" t="n"/>
      <c r="BH38" s="384" t="n"/>
      <c r="BI38" s="384" t="n"/>
      <c r="BJ38" s="384" t="n"/>
      <c r="BK38" s="384" t="n"/>
      <c r="BL38" s="384" t="n"/>
      <c r="BM38" s="384" t="n"/>
      <c r="BN38" s="384" t="n"/>
      <c r="BO38" s="384" t="n"/>
      <c r="BP38" s="384" t="n"/>
      <c r="BQ38" s="384" t="n"/>
      <c r="BR38" s="384" t="n"/>
      <c r="BS38" s="384" t="n"/>
      <c r="BT38" s="384" t="n"/>
      <c r="BU38" s="384" t="n"/>
      <c r="BV38" s="384" t="n"/>
      <c r="BW38" s="384" t="n"/>
      <c r="BX38" s="384" t="n"/>
      <c r="BY38" s="384" t="n"/>
      <c r="BZ38" s="384" t="n"/>
      <c r="CA38" s="384" t="n"/>
      <c r="CB38" s="384" t="n"/>
      <c r="CC38" s="384" t="n"/>
      <c r="CD38" s="384" t="n"/>
      <c r="CE38" s="384" t="n"/>
      <c r="CF38" s="384" t="n"/>
      <c r="CG38" s="384" t="n"/>
      <c r="CH38" s="384" t="n"/>
      <c r="CI38" s="384" t="n"/>
      <c r="CJ38" s="384" t="n"/>
      <c r="CK38" s="384" t="n"/>
      <c r="CL38" s="384" t="n"/>
      <c r="CM38" s="384" t="n"/>
      <c r="CN38" s="384" t="n"/>
      <c r="CO38" s="384" t="n"/>
      <c r="CP38" s="384" t="n"/>
      <c r="CQ38" s="384" t="n"/>
      <c r="CR38" s="384" t="n"/>
      <c r="CS38" s="384" t="n"/>
      <c r="CT38" s="384" t="n"/>
      <c r="CU38" s="384" t="n"/>
      <c r="CV38" s="384" t="n"/>
      <c r="CW38" s="384" t="n"/>
      <c r="CX38" s="384" t="n"/>
      <c r="CY38" s="384" t="n"/>
      <c r="CZ38" s="384" t="n"/>
      <c r="DA38" s="384" t="n"/>
      <c r="DB38" s="384" t="n"/>
      <c r="DC38" s="384" t="n"/>
      <c r="DD38" s="384" t="n"/>
      <c r="DE38" s="384" t="n"/>
      <c r="DF38" s="384" t="n"/>
      <c r="DG38" s="384" t="n"/>
      <c r="DH38" s="384" t="n"/>
      <c r="DI38" s="384" t="n"/>
      <c r="DJ38" s="384" t="n"/>
      <c r="DK38" s="384" t="n"/>
      <c r="DL38" s="384" t="n"/>
      <c r="DM38" s="384" t="n"/>
      <c r="DN38" s="384" t="n"/>
      <c r="DO38" s="384" t="n"/>
      <c r="DP38" s="384" t="n"/>
    </row>
    <row r="39" ht="32.1" customHeight="1" s="1181">
      <c r="A39" s="384" t="n"/>
      <c r="B39" s="384" t="n"/>
      <c r="C39" s="384" t="n"/>
      <c r="D39" s="384" t="n"/>
      <c r="E39" s="384" t="n"/>
      <c r="F39" s="384" t="n"/>
      <c r="G39" s="384" t="n"/>
      <c r="H39" s="384" t="n"/>
      <c r="I39" s="384" t="n"/>
      <c r="J39" s="384" t="n"/>
      <c r="K39" s="384" t="n"/>
      <c r="L39" s="384" t="n"/>
      <c r="M39" s="384" t="n"/>
      <c r="N39" s="384" t="n"/>
      <c r="O39" s="384" t="n"/>
      <c r="P39" s="384" t="n"/>
      <c r="Q39" s="384" t="n"/>
      <c r="R39" s="384" t="n"/>
      <c r="S39" s="384" t="n"/>
      <c r="T39" s="384" t="n"/>
      <c r="U39" s="384" t="n"/>
      <c r="V39" s="384" t="n"/>
      <c r="W39" s="384" t="n"/>
      <c r="X39" s="384" t="n"/>
      <c r="Y39" s="384" t="n"/>
      <c r="Z39" s="384" t="n"/>
      <c r="AA39" s="384" t="n"/>
      <c r="AB39" s="201" t="inlineStr">
        <is>
          <t>主营业务成本表（发电企业）</t>
        </is>
      </c>
      <c r="AC39" s="384" t="n"/>
      <c r="AD39" s="384" t="n"/>
      <c r="AE39" s="384" t="n"/>
      <c r="AF39" s="384" t="n"/>
      <c r="AG39" s="384" t="n"/>
      <c r="AH39" s="384" t="n"/>
      <c r="AI39" s="384" t="n"/>
      <c r="AJ39" s="384" t="n"/>
      <c r="AK39" s="384" t="n"/>
      <c r="AL39" s="384" t="n"/>
      <c r="AM39" s="384" t="n"/>
      <c r="AN39" s="384" t="n"/>
      <c r="AO39" s="384" t="n"/>
      <c r="AP39" s="384" t="n"/>
      <c r="AQ39" s="384" t="n"/>
      <c r="AR39" s="384" t="n"/>
      <c r="AS39" s="384" t="n"/>
      <c r="AT39" s="384" t="n"/>
      <c r="AU39" s="384" t="n"/>
      <c r="AV39" s="384" t="n"/>
      <c r="AW39" s="384" t="n"/>
      <c r="AX39" s="384" t="n"/>
      <c r="AY39" s="384" t="n"/>
      <c r="AZ39" s="384" t="n"/>
      <c r="BA39" s="384" t="n"/>
      <c r="BB39" s="384" t="n"/>
      <c r="BC39" s="384" t="n"/>
      <c r="BD39" s="384" t="n"/>
      <c r="BE39" s="384" t="n"/>
      <c r="BF39" s="384" t="n"/>
      <c r="BG39" s="384" t="n"/>
      <c r="BH39" s="384" t="n"/>
      <c r="BI39" s="384" t="n"/>
      <c r="BJ39" s="384" t="n"/>
      <c r="BK39" s="384" t="n"/>
      <c r="BL39" s="384" t="n"/>
      <c r="BM39" s="384" t="n"/>
      <c r="BN39" s="384" t="n"/>
      <c r="BO39" s="384" t="n"/>
      <c r="BP39" s="384" t="n"/>
      <c r="BQ39" s="384" t="n"/>
      <c r="BR39" s="384" t="n"/>
      <c r="BS39" s="384" t="n"/>
      <c r="BT39" s="384" t="n"/>
      <c r="BU39" s="384" t="n"/>
      <c r="BV39" s="384" t="n"/>
      <c r="BW39" s="384" t="n"/>
      <c r="BX39" s="384" t="n"/>
      <c r="BY39" s="384" t="n"/>
      <c r="BZ39" s="384" t="n"/>
      <c r="CA39" s="384" t="n"/>
      <c r="CB39" s="384" t="n"/>
      <c r="CC39" s="384" t="n"/>
      <c r="CD39" s="384" t="n"/>
      <c r="CE39" s="384" t="n"/>
      <c r="CF39" s="384" t="n"/>
      <c r="CG39" s="384" t="n"/>
      <c r="CH39" s="384" t="n"/>
      <c r="CI39" s="384" t="n"/>
      <c r="CJ39" s="384" t="n"/>
      <c r="CK39" s="384" t="n"/>
      <c r="CL39" s="384" t="n"/>
      <c r="CM39" s="384" t="n"/>
      <c r="CN39" s="384" t="n"/>
      <c r="CO39" s="384" t="n"/>
      <c r="CP39" s="384" t="n"/>
      <c r="CQ39" s="384" t="n"/>
      <c r="CR39" s="384" t="n"/>
      <c r="CS39" s="384" t="n"/>
      <c r="CT39" s="384" t="n"/>
      <c r="CU39" s="384" t="n"/>
      <c r="CV39" s="384" t="n"/>
      <c r="CW39" s="384" t="n"/>
      <c r="CX39" s="384" t="n"/>
      <c r="CY39" s="384" t="n"/>
      <c r="CZ39" s="384" t="n"/>
      <c r="DA39" s="384" t="n"/>
      <c r="DB39" s="384" t="n"/>
      <c r="DC39" s="384" t="n"/>
      <c r="DD39" s="384" t="n"/>
      <c r="DE39" s="384" t="n"/>
      <c r="DF39" s="384" t="n"/>
      <c r="DG39" s="384" t="n"/>
      <c r="DH39" s="384" t="n"/>
      <c r="DI39" s="384" t="n"/>
      <c r="DJ39" s="384" t="n"/>
      <c r="DK39" s="384" t="n"/>
      <c r="DL39" s="384" t="n"/>
      <c r="DM39" s="384" t="n"/>
      <c r="DN39" s="384" t="n"/>
      <c r="DO39" s="384" t="n"/>
      <c r="DP39" s="384" t="n"/>
    </row>
    <row r="40">
      <c r="A40" s="384" t="n"/>
      <c r="B40" s="384" t="n"/>
      <c r="C40" s="384" t="n"/>
      <c r="D40" s="384" t="n"/>
      <c r="E40" s="384" t="n"/>
      <c r="F40" s="384" t="n"/>
      <c r="G40" s="384" t="n"/>
      <c r="H40" s="384" t="n"/>
      <c r="I40" s="384" t="n"/>
      <c r="J40" s="384" t="n"/>
      <c r="K40" s="384" t="n"/>
      <c r="L40" s="384" t="n"/>
      <c r="M40" s="384" t="n"/>
      <c r="N40" s="384" t="n"/>
      <c r="O40" s="384" t="n"/>
      <c r="P40" s="384" t="n"/>
      <c r="Q40" s="384" t="n"/>
      <c r="R40" s="384" t="n"/>
      <c r="S40" s="384" t="n"/>
      <c r="T40" s="384" t="n"/>
      <c r="U40" s="384" t="n"/>
      <c r="V40" s="190">
        <f>IF(_epmOfflineCondition_,"编制单位：内蒙古京能苏尼特风力发电有限公司（内蒙古分公司）","编制单位："&amp;EPMMemberDesc($D$6))</f>
        <v/>
      </c>
      <c r="W40" s="384" t="n"/>
      <c r="X40" s="384" t="n"/>
      <c r="Y40" s="384" t="n"/>
      <c r="Z40" s="384" t="n"/>
      <c r="AA40" s="384" t="n"/>
      <c r="AB40" s="355" t="inlineStr">
        <is>
          <t>本表数字除白色单元格手工填入外，部分数据取自其他经营表单，请在填写其他经营表单后，再次刷新并保存本表</t>
        </is>
      </c>
      <c r="AG40" s="384" t="n"/>
      <c r="AH40" s="384" t="n"/>
      <c r="AI40" s="384" t="n"/>
      <c r="AJ40" s="384" t="n"/>
      <c r="AK40" s="384" t="n"/>
      <c r="AL40" s="384" t="n"/>
      <c r="AM40" s="384" t="n"/>
      <c r="AN40" s="384" t="n"/>
      <c r="AO40" s="384" t="n"/>
      <c r="AP40" s="384" t="n"/>
      <c r="AQ40" s="384" t="n"/>
      <c r="AR40" s="384" t="n"/>
      <c r="AS40" s="384" t="n"/>
      <c r="AT40" s="384" t="n"/>
      <c r="AU40" s="384" t="n"/>
      <c r="AV40" s="384" t="n"/>
      <c r="AW40" s="384" t="n"/>
      <c r="AX40" s="384" t="n"/>
      <c r="AY40" s="384" t="n"/>
      <c r="AZ40" s="384" t="n"/>
      <c r="BA40" s="384" t="n"/>
      <c r="BB40" s="384" t="n"/>
      <c r="BC40" s="384" t="n"/>
      <c r="BD40" s="384" t="n"/>
      <c r="BE40" s="384" t="n"/>
      <c r="BF40" s="384" t="n"/>
      <c r="BG40" s="384" t="n"/>
      <c r="BH40" s="384" t="n"/>
      <c r="BI40" s="384" t="n"/>
      <c r="BJ40" s="384" t="n"/>
      <c r="BK40" s="384" t="n"/>
      <c r="BL40" s="384" t="n"/>
      <c r="BM40" s="384" t="n"/>
      <c r="BN40" s="384" t="n"/>
      <c r="BO40" s="384" t="n"/>
      <c r="BP40" s="384" t="n"/>
      <c r="BQ40" s="384" t="n"/>
      <c r="BR40" s="384" t="n"/>
      <c r="BS40" s="384" t="n"/>
      <c r="BT40" s="384" t="n"/>
      <c r="BU40" s="384" t="n"/>
      <c r="BV40" s="384" t="n"/>
      <c r="BW40" s="384" t="n"/>
      <c r="BX40" s="384" t="n"/>
      <c r="BY40" s="384" t="n"/>
      <c r="BZ40" s="384" t="n"/>
      <c r="CA40" s="384" t="n"/>
      <c r="CB40" s="384" t="n"/>
      <c r="CC40" s="384" t="n"/>
      <c r="CD40" s="384" t="n"/>
      <c r="CE40" s="384" t="n"/>
      <c r="CF40" s="384" t="n"/>
      <c r="CG40" s="384" t="n"/>
      <c r="CH40" s="384" t="n"/>
      <c r="CI40" s="384" t="n"/>
      <c r="CJ40" s="384" t="n"/>
      <c r="CK40" s="384" t="n"/>
      <c r="CL40" s="384" t="n"/>
      <c r="CM40" s="384" t="n"/>
      <c r="CN40" s="384" t="n"/>
      <c r="CO40" s="384" t="n"/>
      <c r="CP40" s="384" t="n"/>
      <c r="CQ40" s="384" t="n"/>
      <c r="CR40" s="384" t="n"/>
      <c r="CS40" s="384" t="n"/>
      <c r="CT40" s="384" t="n"/>
      <c r="CU40" s="384" t="n"/>
      <c r="CV40" s="384" t="n"/>
      <c r="CW40" s="384" t="n"/>
      <c r="CX40" s="384" t="n"/>
      <c r="CY40" s="384" t="n"/>
      <c r="CZ40" s="384" t="n"/>
      <c r="DA40" s="384" t="n"/>
      <c r="DB40" s="384" t="n"/>
      <c r="DC40" s="384" t="n"/>
      <c r="DD40" s="384" t="n"/>
      <c r="DE40" s="384" t="n"/>
      <c r="DF40" s="384" t="n"/>
      <c r="DG40" s="384" t="n"/>
      <c r="DH40" s="384" t="n"/>
      <c r="DI40" s="384" t="n"/>
      <c r="DJ40" s="384" t="n"/>
      <c r="DK40" s="384" t="n"/>
      <c r="DL40" s="384" t="n"/>
      <c r="DM40" s="384" t="n"/>
      <c r="DN40" s="384" t="n"/>
      <c r="DO40" s="384" t="n"/>
      <c r="DP40" s="384" t="n"/>
    </row>
    <row r="41">
      <c r="A41" s="384" t="n"/>
      <c r="B41" s="384" t="n"/>
      <c r="C41" s="384" t="n"/>
      <c r="D41" s="384" t="n"/>
      <c r="E41" s="384" t="n"/>
      <c r="F41" s="384" t="n"/>
      <c r="G41" s="384" t="n"/>
      <c r="H41" s="384" t="n"/>
      <c r="I41" s="384" t="n"/>
      <c r="J41" s="384" t="n"/>
      <c r="K41" s="384" t="n"/>
      <c r="L41" s="384" t="n"/>
      <c r="M41" s="384" t="n"/>
      <c r="N41" s="384" t="n"/>
      <c r="O41" s="384" t="n"/>
      <c r="P41" s="384" t="n"/>
      <c r="Q41" s="384" t="n"/>
      <c r="R41" s="384" t="n"/>
      <c r="S41" s="384" t="n"/>
      <c r="T41" s="384" t="n"/>
      <c r="U41" s="384" t="n"/>
      <c r="V41" s="190">
        <f>"编制月份："&amp;$E$5&amp;"年"&amp;$F$5&amp;"月"</f>
        <v/>
      </c>
      <c r="W41" s="384" t="n"/>
      <c r="X41" s="384" t="n"/>
      <c r="Y41" s="384" t="n"/>
      <c r="Z41" s="204" t="inlineStr">
        <is>
          <t>审计线索：</t>
        </is>
      </c>
      <c r="AA41" s="182" t="inlineStr">
        <is>
          <t>单体录入</t>
        </is>
      </c>
      <c r="AG41" s="190" t="inlineStr">
        <is>
          <t>单位：元</t>
        </is>
      </c>
      <c r="AH41" s="384" t="n"/>
      <c r="AI41" s="384" t="n"/>
      <c r="AJ41" s="384" t="n"/>
      <c r="AK41" s="384" t="n"/>
      <c r="AL41" s="384" t="n"/>
      <c r="AM41" s="384" t="n"/>
      <c r="AN41" s="384" t="n"/>
      <c r="AO41" s="384" t="n"/>
      <c r="AP41" s="384" t="n"/>
      <c r="AQ41" s="384" t="n"/>
      <c r="AR41" s="384" t="n"/>
      <c r="AS41" s="384" t="n"/>
      <c r="AT41" s="384" t="n"/>
      <c r="AU41" s="384" t="n"/>
      <c r="AV41" s="384" t="n"/>
      <c r="AW41" s="384" t="n"/>
      <c r="AX41" s="384" t="n"/>
      <c r="AY41" s="384" t="n"/>
      <c r="AZ41" s="384" t="n"/>
      <c r="BA41" s="384" t="n"/>
      <c r="BB41" s="384" t="n"/>
      <c r="BC41" s="384" t="n"/>
      <c r="BD41" s="384" t="n"/>
      <c r="BE41" s="384" t="n"/>
      <c r="BF41" s="384" t="n"/>
      <c r="BG41" s="384" t="n"/>
      <c r="BH41" s="384" t="n"/>
      <c r="BI41" s="384" t="n"/>
      <c r="BJ41" s="384" t="n"/>
      <c r="BK41" s="384" t="n"/>
      <c r="BL41" s="384" t="n"/>
      <c r="BM41" s="384" t="n"/>
      <c r="BN41" s="384" t="n"/>
      <c r="BO41" s="384" t="n"/>
      <c r="BP41" s="384" t="n"/>
      <c r="BQ41" s="384" t="n"/>
      <c r="BR41" s="384" t="n"/>
      <c r="BS41" s="384" t="n"/>
      <c r="BT41" s="384" t="n"/>
      <c r="BU41" s="384" t="n"/>
      <c r="BV41" s="384" t="n"/>
      <c r="BW41" s="384" t="n"/>
      <c r="BX41" s="384" t="n"/>
      <c r="BY41" s="384" t="n"/>
      <c r="BZ41" s="384" t="n"/>
      <c r="CA41" s="384" t="n"/>
      <c r="CB41" s="384" t="n"/>
      <c r="CC41" s="384" t="n"/>
      <c r="CD41" s="384" t="n"/>
      <c r="CE41" s="384" t="n"/>
      <c r="CF41" s="384" t="n"/>
      <c r="CG41" s="384" t="n"/>
      <c r="CH41" s="384" t="n"/>
      <c r="CI41" s="384" t="n"/>
      <c r="CJ41" s="384" t="n"/>
      <c r="CK41" s="384" t="n"/>
      <c r="CL41" s="384" t="n"/>
      <c r="CM41" s="384" t="n"/>
      <c r="CN41" s="384" t="n"/>
      <c r="CO41" s="384" t="n"/>
      <c r="CP41" s="384" t="n"/>
      <c r="CQ41" s="384" t="n"/>
      <c r="CR41" s="384" t="n"/>
      <c r="CS41" s="384" t="n"/>
      <c r="CT41" s="384" t="n"/>
      <c r="CU41" s="384" t="n"/>
      <c r="CV41" s="384" t="n"/>
      <c r="CW41" s="384" t="n"/>
      <c r="CX41" s="384" t="n"/>
      <c r="CY41" s="384" t="n"/>
      <c r="CZ41" s="384" t="n"/>
      <c r="DA41" s="384" t="n"/>
      <c r="DB41" s="384" t="n"/>
      <c r="DC41" s="384" t="n"/>
      <c r="DD41" s="384" t="n"/>
      <c r="DE41" s="384" t="n"/>
      <c r="DF41" s="384" t="n"/>
      <c r="DG41" s="384" t="n"/>
      <c r="DH41" s="384" t="n"/>
      <c r="DI41" s="384" t="n"/>
      <c r="DJ41" s="384" t="n"/>
      <c r="DK41" s="384" t="n"/>
      <c r="DL41" s="384" t="n"/>
      <c r="DM41" s="384" t="n"/>
      <c r="DN41" s="384" t="n"/>
      <c r="DO41" s="384" t="n"/>
      <c r="DP41" s="384" t="n"/>
    </row>
    <row r="42" ht="17.55" customHeight="1" s="1181">
      <c r="A42" s="384" t="n"/>
      <c r="B42" s="384" t="n"/>
      <c r="C42" s="384" t="n"/>
      <c r="D42" s="384" t="n"/>
      <c r="E42" s="384" t="n"/>
      <c r="F42" s="384" t="n"/>
      <c r="G42" s="384" t="n"/>
      <c r="H42" s="384" t="n"/>
      <c r="I42" s="384" t="n"/>
      <c r="J42" s="384" t="n"/>
      <c r="K42" s="384" t="n"/>
      <c r="L42" s="384" t="n"/>
      <c r="M42" s="384" t="n"/>
      <c r="N42" s="384" t="n"/>
      <c r="O42" s="384" t="n"/>
      <c r="P42" s="384" t="n"/>
      <c r="Q42" s="384" t="n"/>
      <c r="R42" s="384" t="n"/>
      <c r="S42" s="384" t="n"/>
      <c r="T42" s="384" t="n"/>
      <c r="U42" s="384" t="n"/>
      <c r="V42" s="190" t="n"/>
      <c r="W42" s="384" t="n"/>
      <c r="X42" s="384" t="n"/>
      <c r="Y42" s="384" t="n"/>
      <c r="Z42" s="384" t="n"/>
      <c r="AA42" s="384" t="n"/>
      <c r="AB42" s="384" t="n"/>
      <c r="AC42" s="384" t="n"/>
      <c r="AD42" s="384" t="n"/>
      <c r="AE42" s="384" t="n"/>
      <c r="AF42" s="384" t="n"/>
      <c r="AG42" s="384" t="n"/>
      <c r="AH42" s="384" t="n"/>
      <c r="AI42" s="384" t="n"/>
      <c r="AJ42" s="384" t="n"/>
      <c r="AK42" s="384" t="n"/>
      <c r="AL42" s="384" t="n"/>
      <c r="AM42" s="384" t="n"/>
      <c r="AN42" s="384" t="n"/>
      <c r="AO42" s="384" t="n"/>
      <c r="AP42" s="384" t="n"/>
      <c r="AQ42" s="384" t="n"/>
      <c r="AR42" s="384" t="n"/>
      <c r="AS42" s="384" t="n"/>
      <c r="AT42" s="384" t="n"/>
      <c r="AU42" s="384" t="n"/>
      <c r="AV42" s="384" t="n"/>
      <c r="AW42" s="384" t="n"/>
      <c r="AX42" s="384" t="n"/>
      <c r="AY42" s="384" t="n"/>
      <c r="AZ42" s="384" t="n"/>
      <c r="BA42" s="384" t="n"/>
      <c r="BB42" s="384" t="n"/>
      <c r="BC42" s="384" t="n"/>
      <c r="BD42" s="384" t="n"/>
      <c r="BE42" s="384" t="n"/>
      <c r="BF42" s="384" t="n"/>
      <c r="BG42" s="384" t="n"/>
      <c r="BH42" s="384" t="n"/>
      <c r="BI42" s="384" t="n"/>
      <c r="BJ42" s="384" t="n"/>
      <c r="BK42" s="384" t="n"/>
      <c r="BL42" s="384" t="n"/>
      <c r="BM42" s="384" t="n"/>
      <c r="BN42" s="384" t="n"/>
      <c r="BO42" s="384" t="n"/>
      <c r="BP42" s="384" t="n"/>
      <c r="BQ42" s="384" t="n"/>
      <c r="BR42" s="384" t="n"/>
      <c r="BS42" s="384" t="n"/>
      <c r="BT42" s="384" t="n"/>
      <c r="BU42" s="384" t="n"/>
      <c r="BV42" s="384" t="n"/>
      <c r="BW42" s="384" t="n"/>
      <c r="BX42" s="384" t="n"/>
      <c r="BY42" s="384" t="n"/>
      <c r="BZ42" s="384" t="n"/>
      <c r="CA42" s="384" t="n"/>
      <c r="CB42" s="384" t="n"/>
      <c r="CC42" s="384" t="n"/>
      <c r="CD42" s="384" t="n"/>
      <c r="CE42" s="384" t="n"/>
      <c r="CF42" s="384" t="n"/>
      <c r="CG42" s="384" t="n"/>
      <c r="CH42" s="384" t="n"/>
      <c r="CI42" s="384" t="n"/>
      <c r="CJ42" s="384" t="n"/>
      <c r="CK42" s="384" t="n"/>
      <c r="CL42" s="384" t="n"/>
      <c r="CM42" s="384" t="n"/>
      <c r="CN42" s="384" t="n"/>
      <c r="CO42" s="384" t="n"/>
      <c r="CP42" s="384" t="n"/>
      <c r="CQ42" s="384" t="n"/>
      <c r="CR42" s="384" t="n"/>
      <c r="CS42" s="384" t="n"/>
      <c r="CT42" s="384" t="n"/>
      <c r="CU42" s="384" t="n"/>
      <c r="CV42" s="384" t="n"/>
      <c r="CW42" s="384" t="n"/>
      <c r="CX42" s="384" t="n"/>
      <c r="CY42" s="384" t="n"/>
      <c r="CZ42" s="384" t="n"/>
      <c r="DA42" s="384" t="n"/>
      <c r="DB42" s="384" t="n"/>
      <c r="DC42" s="384" t="n"/>
      <c r="DD42" s="384" t="n"/>
      <c r="DE42" s="384" t="n"/>
      <c r="DF42" s="384" t="n"/>
      <c r="DG42" s="384" t="n"/>
      <c r="DH42" s="384" t="n"/>
      <c r="DI42" s="384" t="n"/>
      <c r="DJ42" s="384" t="n"/>
      <c r="DK42" s="384" t="n"/>
      <c r="DL42" s="384" t="n"/>
      <c r="DM42" s="384" t="n"/>
      <c r="DN42" s="384" t="n"/>
      <c r="DO42" s="384" t="n"/>
      <c r="DP42" s="384" t="n"/>
    </row>
    <row r="43">
      <c r="A43" s="384" t="n"/>
      <c r="B43" s="384" t="n"/>
      <c r="C43" s="384" t="n"/>
      <c r="D43" s="384" t="n"/>
      <c r="E43" s="384" t="n"/>
      <c r="F43" s="384" t="n"/>
      <c r="G43" s="384" t="n"/>
      <c r="H43" s="384" t="n"/>
      <c r="I43" s="384" t="n"/>
      <c r="J43" s="384" t="n"/>
      <c r="K43" s="384" t="n"/>
      <c r="L43" s="384" t="n"/>
      <c r="M43" s="384" t="n"/>
      <c r="N43" s="384" t="n"/>
      <c r="O43" s="384" t="n"/>
      <c r="P43" s="384" t="n"/>
      <c r="Q43" s="384" t="n"/>
      <c r="R43" s="384" t="n"/>
      <c r="S43" s="384" t="n"/>
      <c r="T43" s="384" t="n"/>
      <c r="U43" s="384" t="n"/>
      <c r="V43" s="41" t="inlineStr">
        <is>
          <t>项    目</t>
        </is>
      </c>
      <c r="W43" s="384" t="n"/>
      <c r="X43" s="384" t="n"/>
      <c r="Y43" s="57" t="inlineStr">
        <is>
          <t>合计数</t>
        </is>
      </c>
      <c r="Z43" s="1401" t="n"/>
      <c r="AA43" s="1401" t="n"/>
      <c r="AB43" s="1401" t="n"/>
      <c r="AC43" s="1401" t="n"/>
      <c r="AD43" s="1401" t="n"/>
      <c r="AE43" s="1401" t="n"/>
      <c r="AF43" s="1402" t="n"/>
      <c r="AG43" s="100" t="inlineStr">
        <is>
          <t>本月数</t>
        </is>
      </c>
      <c r="AH43" s="1411" t="n"/>
      <c r="AI43" s="1411" t="n"/>
      <c r="AJ43" s="1411" t="n"/>
      <c r="AK43" s="1411" t="n"/>
      <c r="AL43" s="1411" t="n"/>
      <c r="AM43" s="1411" t="n"/>
      <c r="AN43" s="1412" t="n"/>
      <c r="AO43" s="100" t="inlineStr">
        <is>
          <t>本年累计</t>
        </is>
      </c>
      <c r="AP43" s="1411" t="n"/>
      <c r="AQ43" s="1411" t="n"/>
      <c r="AR43" s="1411" t="n"/>
      <c r="AS43" s="1411" t="n"/>
      <c r="AT43" s="1411" t="n"/>
      <c r="AU43" s="1411" t="n"/>
      <c r="AV43" s="1412" t="n"/>
      <c r="AW43" s="100" t="inlineStr">
        <is>
          <t>本年累计(截至上月取本月）-隐藏</t>
        </is>
      </c>
      <c r="AX43" s="1411" t="n"/>
      <c r="AY43" s="1411" t="n"/>
      <c r="AZ43" s="1411" t="n"/>
      <c r="BA43" s="1411" t="n"/>
      <c r="BB43" s="1411" t="n"/>
      <c r="BC43" s="1411" t="n"/>
      <c r="BD43" s="1412" t="n"/>
      <c r="BE43" s="100" t="inlineStr">
        <is>
          <t>本年累计(截至上月取上月）-隐藏</t>
        </is>
      </c>
      <c r="BF43" s="1411" t="n"/>
      <c r="BG43" s="1411" t="n"/>
      <c r="BH43" s="1411" t="n"/>
      <c r="BI43" s="1411" t="n"/>
      <c r="BJ43" s="1411" t="n"/>
      <c r="BK43" s="1411" t="n"/>
      <c r="BL43" s="1412" t="n"/>
      <c r="BM43" s="100" t="inlineStr">
        <is>
          <t>本年累计(截至上上月）-隐藏</t>
        </is>
      </c>
      <c r="BN43" s="1411" t="n"/>
      <c r="BO43" s="1411" t="n"/>
      <c r="BP43" s="1411" t="n"/>
      <c r="BQ43" s="1411" t="n"/>
      <c r="BR43" s="1411" t="n"/>
      <c r="BS43" s="1411" t="n"/>
      <c r="BT43" s="1412" t="n"/>
      <c r="BU43" s="1413" t="inlineStr">
        <is>
          <t>上月数</t>
        </is>
      </c>
      <c r="BV43" s="1411" t="n"/>
      <c r="BW43" s="1411" t="n"/>
      <c r="BX43" s="1411" t="n"/>
      <c r="BY43" s="1411" t="n"/>
      <c r="BZ43" s="1411" t="n"/>
      <c r="CA43" s="1411" t="n"/>
      <c r="CB43" s="1412" t="n"/>
      <c r="CC43" s="100" t="inlineStr">
        <is>
          <t>上年同期累计数</t>
        </is>
      </c>
      <c r="CD43" s="1411" t="n"/>
      <c r="CE43" s="1411" t="n"/>
      <c r="CF43" s="1411" t="n"/>
      <c r="CG43" s="1411" t="n"/>
      <c r="CH43" s="1411" t="n"/>
      <c r="CI43" s="1411" t="n"/>
      <c r="CJ43" s="1412" t="n"/>
      <c r="CK43" s="100" t="inlineStr">
        <is>
          <t>本月预算数</t>
        </is>
      </c>
      <c r="CL43" s="1411" t="n"/>
      <c r="CM43" s="1411" t="n"/>
      <c r="CN43" s="1411" t="n"/>
      <c r="CO43" s="1411" t="n"/>
      <c r="CP43" s="1411" t="n"/>
      <c r="CQ43" s="1411" t="n"/>
      <c r="CR43" s="1412" t="n"/>
      <c r="CS43" s="100" t="inlineStr">
        <is>
          <t>进度预算数（截至上月）-隐藏</t>
        </is>
      </c>
      <c r="CT43" s="1411" t="n"/>
      <c r="CU43" s="1411" t="n"/>
      <c r="CV43" s="1411" t="n"/>
      <c r="CW43" s="1411" t="n"/>
      <c r="CX43" s="1411" t="n"/>
      <c r="CY43" s="1411" t="n"/>
      <c r="CZ43" s="1412" t="n"/>
      <c r="DA43" s="100" t="inlineStr">
        <is>
          <t>进度预算数</t>
        </is>
      </c>
      <c r="DB43" s="1411" t="n"/>
      <c r="DC43" s="1411" t="n"/>
      <c r="DD43" s="1411" t="n"/>
      <c r="DE43" s="1411" t="n"/>
      <c r="DF43" s="1411" t="n"/>
      <c r="DG43" s="1411" t="n"/>
      <c r="DH43" s="1412" t="n"/>
      <c r="DI43" s="102" t="inlineStr">
        <is>
          <t>年度预算数</t>
        </is>
      </c>
      <c r="DJ43" s="1414" t="n"/>
      <c r="DK43" s="1414" t="n"/>
      <c r="DL43" s="1414" t="n"/>
      <c r="DM43" s="1414" t="n"/>
      <c r="DN43" s="1414" t="n"/>
      <c r="DO43" s="1414" t="n"/>
      <c r="DP43" s="1415" t="n"/>
    </row>
    <row r="44">
      <c r="A44" s="384" t="n"/>
      <c r="B44" s="384" t="n"/>
      <c r="C44" s="384" t="n"/>
      <c r="D44" s="384" t="n"/>
      <c r="E44" s="384" t="n"/>
      <c r="F44" s="384" t="n"/>
      <c r="G44" s="384" t="n"/>
      <c r="H44" s="384" t="n"/>
      <c r="I44" s="384" t="n"/>
      <c r="J44" s="384" t="n"/>
      <c r="K44" s="384" t="n"/>
      <c r="L44" s="384" t="n"/>
      <c r="M44" s="384" t="n"/>
      <c r="N44" s="384" t="n"/>
      <c r="O44" s="384" t="n"/>
      <c r="P44" s="384" t="n"/>
      <c r="Q44" s="384" t="n"/>
      <c r="R44" s="384" t="n"/>
      <c r="S44" s="384" t="n"/>
      <c r="T44" s="384" t="n"/>
      <c r="U44" s="384" t="n"/>
      <c r="V44" s="1416" t="n"/>
      <c r="W44" s="384" t="n"/>
      <c r="X44" s="384" t="n"/>
      <c r="Y44" s="102" t="inlineStr">
        <is>
          <t>本年</t>
        </is>
      </c>
      <c r="Z44" s="1183" t="n"/>
      <c r="AA44" s="102" t="inlineStr">
        <is>
          <t>本月对比上月</t>
        </is>
      </c>
      <c r="AB44" s="1182" t="n"/>
      <c r="AC44" s="1183" t="n"/>
      <c r="AD44" s="102" t="inlineStr">
        <is>
          <t>本年累计对比上年同期</t>
        </is>
      </c>
      <c r="AE44" s="1182" t="n"/>
      <c r="AF44" s="1183" t="n"/>
      <c r="AG44" s="1417" t="n"/>
      <c r="AH44" s="1270" t="n"/>
      <c r="AI44" s="1270" t="n"/>
      <c r="AJ44" s="1270" t="n"/>
      <c r="AK44" s="1270" t="n"/>
      <c r="AL44" s="1270" t="n"/>
      <c r="AM44" s="1270" t="n"/>
      <c r="AN44" s="1271" t="n"/>
      <c r="AO44" s="1417" t="n"/>
      <c r="AP44" s="1270" t="n"/>
      <c r="AQ44" s="1270" t="n"/>
      <c r="AR44" s="1270" t="n"/>
      <c r="AS44" s="1270" t="n"/>
      <c r="AT44" s="1270" t="n"/>
      <c r="AU44" s="1270" t="n"/>
      <c r="AV44" s="1271" t="n"/>
      <c r="AW44" s="1417" t="n"/>
      <c r="AX44" s="1270" t="n"/>
      <c r="AY44" s="1270" t="n"/>
      <c r="AZ44" s="1270" t="n"/>
      <c r="BA44" s="1270" t="n"/>
      <c r="BB44" s="1270" t="n"/>
      <c r="BC44" s="1270" t="n"/>
      <c r="BD44" s="1271" t="n"/>
      <c r="BE44" s="1417" t="n"/>
      <c r="BF44" s="1270" t="n"/>
      <c r="BG44" s="1270" t="n"/>
      <c r="BH44" s="1270" t="n"/>
      <c r="BI44" s="1270" t="n"/>
      <c r="BJ44" s="1270" t="n"/>
      <c r="BK44" s="1270" t="n"/>
      <c r="BL44" s="1271" t="n"/>
      <c r="BM44" s="1417" t="n"/>
      <c r="BN44" s="1270" t="n"/>
      <c r="BO44" s="1270" t="n"/>
      <c r="BP44" s="1270" t="n"/>
      <c r="BQ44" s="1270" t="n"/>
      <c r="BR44" s="1270" t="n"/>
      <c r="BS44" s="1270" t="n"/>
      <c r="BT44" s="1271" t="n"/>
      <c r="BU44" s="1417" t="n"/>
      <c r="BV44" s="1270" t="n"/>
      <c r="BW44" s="1270" t="n"/>
      <c r="BX44" s="1270" t="n"/>
      <c r="BY44" s="1270" t="n"/>
      <c r="BZ44" s="1270" t="n"/>
      <c r="CA44" s="1270" t="n"/>
      <c r="CB44" s="1271" t="n"/>
      <c r="CC44" s="1417" t="n"/>
      <c r="CD44" s="1270" t="n"/>
      <c r="CE44" s="1270" t="n"/>
      <c r="CF44" s="1270" t="n"/>
      <c r="CG44" s="1270" t="n"/>
      <c r="CH44" s="1270" t="n"/>
      <c r="CI44" s="1270" t="n"/>
      <c r="CJ44" s="1271" t="n"/>
      <c r="CK44" s="1417" t="n"/>
      <c r="CL44" s="1270" t="n"/>
      <c r="CM44" s="1270" t="n"/>
      <c r="CN44" s="1270" t="n"/>
      <c r="CO44" s="1270" t="n"/>
      <c r="CP44" s="1270" t="n"/>
      <c r="CQ44" s="1270" t="n"/>
      <c r="CR44" s="1271" t="n"/>
      <c r="CS44" s="1417" t="n"/>
      <c r="CT44" s="1270" t="n"/>
      <c r="CU44" s="1270" t="n"/>
      <c r="CV44" s="1270" t="n"/>
      <c r="CW44" s="1270" t="n"/>
      <c r="CX44" s="1270" t="n"/>
      <c r="CY44" s="1270" t="n"/>
      <c r="CZ44" s="1271" t="n"/>
      <c r="DA44" s="1417" t="n"/>
      <c r="DB44" s="1270" t="n"/>
      <c r="DC44" s="1270" t="n"/>
      <c r="DD44" s="1270" t="n"/>
      <c r="DE44" s="1270" t="n"/>
      <c r="DF44" s="1270" t="n"/>
      <c r="DG44" s="1270" t="n"/>
      <c r="DH44" s="1271" t="n"/>
      <c r="DI44" s="1417" t="n"/>
      <c r="DJ44" s="1270" t="n"/>
      <c r="DK44" s="1270" t="n"/>
      <c r="DL44" s="1270" t="n"/>
      <c r="DM44" s="1270" t="n"/>
      <c r="DN44" s="1270" t="n"/>
      <c r="DO44" s="1270" t="n"/>
      <c r="DP44" s="1271" t="n"/>
    </row>
    <row r="45">
      <c r="A45" s="384" t="n"/>
      <c r="B45" s="384" t="n"/>
      <c r="C45" s="384" t="n"/>
      <c r="D45" s="384" t="n"/>
      <c r="E45" s="384" t="n"/>
      <c r="F45" s="384" t="n"/>
      <c r="G45" s="384" t="n"/>
      <c r="H45" s="384" t="n"/>
      <c r="I45" s="384" t="n"/>
      <c r="J45" s="384" t="n"/>
      <c r="K45" s="384" t="n"/>
      <c r="L45" s="384" t="n"/>
      <c r="M45" s="384" t="n"/>
      <c r="N45" s="384" t="n"/>
      <c r="O45" s="384" t="n"/>
      <c r="P45" s="384" t="n"/>
      <c r="Q45" s="384" t="n"/>
      <c r="R45" s="384" t="n"/>
      <c r="S45" s="384" t="n"/>
      <c r="T45" s="384" t="n"/>
      <c r="U45" s="384" t="n"/>
      <c r="V45" s="1276" t="n"/>
      <c r="W45" s="384" t="n"/>
      <c r="X45" s="384" t="n"/>
      <c r="Y45" s="356" t="inlineStr">
        <is>
          <t>本月</t>
        </is>
      </c>
      <c r="Z45" s="356" t="inlineStr">
        <is>
          <t>本年累计</t>
        </is>
      </c>
      <c r="AA45" s="1418" t="inlineStr">
        <is>
          <t>上月数</t>
        </is>
      </c>
      <c r="AB45" s="1418" t="inlineStr">
        <is>
          <t>增减额</t>
        </is>
      </c>
      <c r="AC45" s="1418" t="inlineStr">
        <is>
          <t>增减%</t>
        </is>
      </c>
      <c r="AD45" s="1418" t="inlineStr">
        <is>
          <t>上年同期累计</t>
        </is>
      </c>
      <c r="AE45" s="1418" t="inlineStr">
        <is>
          <t>增减额</t>
        </is>
      </c>
      <c r="AF45" s="1418" t="inlineStr">
        <is>
          <t>增减%</t>
        </is>
      </c>
      <c r="AG45" s="103" t="inlineStr">
        <is>
          <t>火力发电</t>
        </is>
      </c>
      <c r="AH45" s="103" t="inlineStr">
        <is>
          <t>风力发电</t>
        </is>
      </c>
      <c r="AI45" s="103" t="inlineStr">
        <is>
          <t>光伏发电</t>
        </is>
      </c>
      <c r="AJ45" s="102" t="inlineStr">
        <is>
          <t>燃气发电</t>
        </is>
      </c>
      <c r="AK45" s="102" t="inlineStr">
        <is>
          <t>水力发电</t>
        </is>
      </c>
      <c r="AL45" s="368" t="inlineStr">
        <is>
          <t>售热</t>
        </is>
      </c>
      <c r="AM45" s="102" t="inlineStr">
        <is>
          <t>售电服务</t>
        </is>
      </c>
      <c r="AN45" s="102" t="inlineStr">
        <is>
          <t>其他</t>
        </is>
      </c>
      <c r="AO45" s="103" t="inlineStr">
        <is>
          <t>火力发电</t>
        </is>
      </c>
      <c r="AP45" s="103" t="inlineStr">
        <is>
          <t>风力发电</t>
        </is>
      </c>
      <c r="AQ45" s="103" t="inlineStr">
        <is>
          <t>光伏发电</t>
        </is>
      </c>
      <c r="AR45" s="102" t="inlineStr">
        <is>
          <t>燃气发电</t>
        </is>
      </c>
      <c r="AS45" s="102" t="inlineStr">
        <is>
          <t>水力发电</t>
        </is>
      </c>
      <c r="AT45" s="368" t="inlineStr">
        <is>
          <t>售热</t>
        </is>
      </c>
      <c r="AU45" s="102" t="inlineStr">
        <is>
          <t>售电服务</t>
        </is>
      </c>
      <c r="AV45" s="102" t="inlineStr">
        <is>
          <t>其他</t>
        </is>
      </c>
      <c r="AW45" s="103" t="inlineStr">
        <is>
          <t>火力发电</t>
        </is>
      </c>
      <c r="AX45" s="103" t="inlineStr">
        <is>
          <t>风力发电</t>
        </is>
      </c>
      <c r="AY45" s="103" t="inlineStr">
        <is>
          <t>光伏发电</t>
        </is>
      </c>
      <c r="AZ45" s="102" t="inlineStr">
        <is>
          <t>燃气发电</t>
        </is>
      </c>
      <c r="BA45" s="102" t="inlineStr">
        <is>
          <t>水力发电</t>
        </is>
      </c>
      <c r="BB45" s="368" t="inlineStr">
        <is>
          <t>售热</t>
        </is>
      </c>
      <c r="BC45" s="102" t="inlineStr">
        <is>
          <t>售电服务</t>
        </is>
      </c>
      <c r="BD45" s="102" t="inlineStr">
        <is>
          <t>其他</t>
        </is>
      </c>
      <c r="BE45" s="103" t="inlineStr">
        <is>
          <t>火力发电</t>
        </is>
      </c>
      <c r="BF45" s="103" t="inlineStr">
        <is>
          <t>风力发电</t>
        </is>
      </c>
      <c r="BG45" s="103" t="inlineStr">
        <is>
          <t>光伏发电</t>
        </is>
      </c>
      <c r="BH45" s="102" t="inlineStr">
        <is>
          <t>燃气发电</t>
        </is>
      </c>
      <c r="BI45" s="102" t="inlineStr">
        <is>
          <t>水力发电</t>
        </is>
      </c>
      <c r="BJ45" s="368" t="inlineStr">
        <is>
          <t>售热</t>
        </is>
      </c>
      <c r="BK45" s="102" t="inlineStr">
        <is>
          <t>售电服务</t>
        </is>
      </c>
      <c r="BL45" s="102" t="inlineStr">
        <is>
          <t>其他</t>
        </is>
      </c>
      <c r="BM45" s="103" t="inlineStr">
        <is>
          <t>火力发电</t>
        </is>
      </c>
      <c r="BN45" s="103" t="inlineStr">
        <is>
          <t>风力发电</t>
        </is>
      </c>
      <c r="BO45" s="103" t="inlineStr">
        <is>
          <t>光伏发电</t>
        </is>
      </c>
      <c r="BP45" s="102" t="inlineStr">
        <is>
          <t>燃气发电</t>
        </is>
      </c>
      <c r="BQ45" s="102" t="inlineStr">
        <is>
          <t>水力发电</t>
        </is>
      </c>
      <c r="BR45" s="368" t="inlineStr">
        <is>
          <t>售热</t>
        </is>
      </c>
      <c r="BS45" s="102" t="inlineStr">
        <is>
          <t>售电服务</t>
        </is>
      </c>
      <c r="BT45" s="102" t="inlineStr">
        <is>
          <t>其他</t>
        </is>
      </c>
      <c r="BU45" s="356" t="inlineStr">
        <is>
          <t>火力发电</t>
        </is>
      </c>
      <c r="BV45" s="356" t="inlineStr">
        <is>
          <t>风力发电</t>
        </is>
      </c>
      <c r="BW45" s="356" t="inlineStr">
        <is>
          <t>光伏发电</t>
        </is>
      </c>
      <c r="BX45" s="368" t="inlineStr">
        <is>
          <t>燃气发电</t>
        </is>
      </c>
      <c r="BY45" s="368" t="inlineStr">
        <is>
          <t>水力发电</t>
        </is>
      </c>
      <c r="BZ45" s="368" t="inlineStr">
        <is>
          <t>售热</t>
        </is>
      </c>
      <c r="CA45" s="368" t="inlineStr">
        <is>
          <t>售电服务</t>
        </is>
      </c>
      <c r="CB45" s="368" t="inlineStr">
        <is>
          <t>其他</t>
        </is>
      </c>
      <c r="CC45" s="356" t="inlineStr">
        <is>
          <t>火力发电</t>
        </is>
      </c>
      <c r="CD45" s="356" t="inlineStr">
        <is>
          <t>风力发电</t>
        </is>
      </c>
      <c r="CE45" s="356" t="inlineStr">
        <is>
          <t>光伏发电</t>
        </is>
      </c>
      <c r="CF45" s="368" t="inlineStr">
        <is>
          <t>燃气发电</t>
        </is>
      </c>
      <c r="CG45" s="368" t="inlineStr">
        <is>
          <t>水力发电</t>
        </is>
      </c>
      <c r="CH45" s="368" t="inlineStr">
        <is>
          <t>售热</t>
        </is>
      </c>
      <c r="CI45" s="368" t="inlineStr">
        <is>
          <t>售电服务</t>
        </is>
      </c>
      <c r="CJ45" s="368" t="inlineStr">
        <is>
          <t>其他</t>
        </is>
      </c>
      <c r="CK45" s="356" t="inlineStr">
        <is>
          <t>火力发电</t>
        </is>
      </c>
      <c r="CL45" s="356" t="inlineStr">
        <is>
          <t>风力发电</t>
        </is>
      </c>
      <c r="CM45" s="356" t="inlineStr">
        <is>
          <t>光伏发电</t>
        </is>
      </c>
      <c r="CN45" s="368" t="inlineStr">
        <is>
          <t>燃气发电</t>
        </is>
      </c>
      <c r="CO45" s="368" t="inlineStr">
        <is>
          <t>水力发电</t>
        </is>
      </c>
      <c r="CP45" s="368" t="inlineStr">
        <is>
          <t>售热</t>
        </is>
      </c>
      <c r="CQ45" s="368" t="inlineStr">
        <is>
          <t>售电服务</t>
        </is>
      </c>
      <c r="CR45" s="368" t="inlineStr">
        <is>
          <t>其他</t>
        </is>
      </c>
      <c r="CS45" s="356" t="inlineStr">
        <is>
          <t>火力发电</t>
        </is>
      </c>
      <c r="CT45" s="356" t="inlineStr">
        <is>
          <t>风力发电</t>
        </is>
      </c>
      <c r="CU45" s="356" t="inlineStr">
        <is>
          <t>光伏发电</t>
        </is>
      </c>
      <c r="CV45" s="368" t="inlineStr">
        <is>
          <t>燃气发电</t>
        </is>
      </c>
      <c r="CW45" s="368" t="inlineStr">
        <is>
          <t>水力发电</t>
        </is>
      </c>
      <c r="CX45" s="368" t="inlineStr">
        <is>
          <t>售热</t>
        </is>
      </c>
      <c r="CY45" s="368" t="inlineStr">
        <is>
          <t>售电服务</t>
        </is>
      </c>
      <c r="CZ45" s="368" t="inlineStr">
        <is>
          <t>其他</t>
        </is>
      </c>
      <c r="DA45" s="356" t="inlineStr">
        <is>
          <t>火力发电</t>
        </is>
      </c>
      <c r="DB45" s="356" t="inlineStr">
        <is>
          <t>风力发电</t>
        </is>
      </c>
      <c r="DC45" s="356" t="inlineStr">
        <is>
          <t>光伏发电</t>
        </is>
      </c>
      <c r="DD45" s="368" t="inlineStr">
        <is>
          <t>燃气发电</t>
        </is>
      </c>
      <c r="DE45" s="368" t="inlineStr">
        <is>
          <t>水力发电</t>
        </is>
      </c>
      <c r="DF45" s="368" t="inlineStr">
        <is>
          <t>售热</t>
        </is>
      </c>
      <c r="DG45" s="368" t="inlineStr">
        <is>
          <t>售电服务</t>
        </is>
      </c>
      <c r="DH45" s="368" t="inlineStr">
        <is>
          <t>其他</t>
        </is>
      </c>
      <c r="DI45" s="356" t="inlineStr">
        <is>
          <t>火力发电</t>
        </is>
      </c>
      <c r="DJ45" s="356" t="inlineStr">
        <is>
          <t>风力发电</t>
        </is>
      </c>
      <c r="DK45" s="356" t="inlineStr">
        <is>
          <t>光伏发电</t>
        </is>
      </c>
      <c r="DL45" s="368" t="inlineStr">
        <is>
          <t>燃气发电</t>
        </is>
      </c>
      <c r="DM45" s="368" t="inlineStr">
        <is>
          <t>水力发电</t>
        </is>
      </c>
      <c r="DN45" s="368" t="inlineStr">
        <is>
          <t>售热</t>
        </is>
      </c>
      <c r="DO45" s="378" t="inlineStr">
        <is>
          <t>售电服务</t>
        </is>
      </c>
      <c r="DP45" s="378" t="inlineStr">
        <is>
          <t>其他</t>
        </is>
      </c>
    </row>
    <row r="46" hidden="1" outlineLevel="1" ht="13.5" customHeight="1" s="1181">
      <c r="A46" s="384" t="n"/>
      <c r="B46" s="384" t="n"/>
      <c r="C46" s="384" t="n"/>
      <c r="D46" s="384" t="n"/>
      <c r="E46" s="384" t="n"/>
      <c r="F46" s="384" t="n"/>
      <c r="G46" s="384" t="n"/>
      <c r="H46" s="384" t="n"/>
      <c r="I46" s="384" t="n"/>
      <c r="J46" s="384" t="n"/>
      <c r="K46" s="384" t="n"/>
      <c r="L46" s="384" t="n"/>
      <c r="M46" s="384" t="n"/>
      <c r="N46" s="384" t="n"/>
      <c r="O46" s="384" t="n"/>
      <c r="P46" s="384" t="n"/>
      <c r="Q46" s="384" t="n"/>
      <c r="R46" s="384" t="n"/>
      <c r="S46" s="384" t="n"/>
      <c r="T46" s="384" t="n"/>
      <c r="U46" s="384" t="n"/>
      <c r="V46" s="384" t="n"/>
      <c r="W46" s="384" t="n"/>
      <c r="X46" s="384" t="inlineStr">
        <is>
          <t>C_CATEGORY</t>
        </is>
      </c>
      <c r="Y46" s="384">
        <f>IF(_epmOfflineCondition_,"C1001",EPMOlapMemberO(Y25,"[C_CATEGORY].[PARENTH1].[C1001]","C1001 - 实际数/决算数","","000"))</f>
        <v/>
      </c>
      <c r="Z46" s="384">
        <f>IF(_epmOfflineCondition_,"C1001",EPMOlapMemberO(Z25,"[C_CATEGORY].[PARENTH1].[C1001]","C1001 - 实际数/决算数","","000"))</f>
        <v/>
      </c>
      <c r="AA46" s="384">
        <f>IF(_epmOfflineCondition_,"C1001",EPMOlapMemberO(AA25,"[C_CATEGORY].[PARENTH1].[C1001]","C1001 - 实际数/决算数","","000"))</f>
        <v/>
      </c>
      <c r="AB46" s="384">
        <f>IF(_epmOfflineCondition_,"C1001",EPMOlapMemberO(AB25,"[C_CATEGORY].[PARENTH1].[C1001]","C1001 - 实际数/决算数","","000"))</f>
        <v/>
      </c>
      <c r="AC46" s="384">
        <f>IF(_epmOfflineCondition_,"C1001",EPMOlapMemberO(AC25,"[C_CATEGORY].[PARENTH1].[C1001]","C1001 - 实际数/决算数","","000"))</f>
        <v/>
      </c>
      <c r="AD46" s="384">
        <f>IF(_epmOfflineCondition_,"C1001",EPMOlapMemberO(AD25,"[C_CATEGORY].[PARENTH1].[C1001]","C1001 - 实际数/决算数","","000"))</f>
        <v/>
      </c>
      <c r="AE46" s="384">
        <f>IF(_epmOfflineCondition_,"C1001",EPMOlapMemberO(AE25,"[C_CATEGORY].[PARENTH1].[C1001]","C1001 - 实际数/决算数","","000"))</f>
        <v/>
      </c>
      <c r="AF46" s="384">
        <f>IF(_epmOfflineCondition_,"C1001",EPMOlapMemberO(AF25,"[C_CATEGORY].[PARENTH1].[C1001]","C1001 - 实际数/决算数","","000"))</f>
        <v/>
      </c>
      <c r="AG46" s="384">
        <f>IF(_epmOfflineCondition_,"C1001",EPMOlapMemberO(AG25,"[C_CATEGORY].[PARENTH1].[C1001]","C1001 - 实际数/决算数","","000"))</f>
        <v/>
      </c>
      <c r="AH46" s="384">
        <f>IF(_epmOfflineCondition_,"C1001",EPMOlapMemberO(AH25,"[C_CATEGORY].[PARENTH1].[C1001]","C1001 - 实际数/决算数","","000"))</f>
        <v/>
      </c>
      <c r="AI46" s="384">
        <f>IF(_epmOfflineCondition_,"C1001",EPMOlapMemberO(AI25,"[C_CATEGORY].[PARENTH1].[C1001]","C1001 - 实际数/决算数","","000"))</f>
        <v/>
      </c>
      <c r="AJ46" s="384">
        <f>IF(_epmOfflineCondition_,"C1001",EPMOlapMemberO(AJ25,"[C_CATEGORY].[PARENTH1].[C1001]","C1001 - 实际数/决算数","","000"))</f>
        <v/>
      </c>
      <c r="AK46" s="384">
        <f>IF(_epmOfflineCondition_,"C1001",EPMOlapMemberO(AK25,"[C_CATEGORY].[PARENTH1].[C1001]","C1001 - 实际数/决算数","","000"))</f>
        <v/>
      </c>
      <c r="AL46" s="384">
        <f>IF(_epmOfflineCondition_,"C1001",EPMOlapMemberO(AL25,"[C_CATEGORY].[PARENTH1].[C1001]","C1001 - 实际数/决算数","","000"))</f>
        <v/>
      </c>
      <c r="AM46" s="384">
        <f>IF(_epmOfflineCondition_,"C1001",EPMOlapMemberO(AM25,"[C_CATEGORY].[PARENTH1].[C1001]","C1001 - 实际数/决算数","","000"))</f>
        <v/>
      </c>
      <c r="AN46" s="384">
        <f>IF(_epmOfflineCondition_,"C1001",EPMOlapMemberO(AN25,"[C_CATEGORY].[PARENTH1].[C1001]","C1001 - 实际数/决算数","","000"))</f>
        <v/>
      </c>
      <c r="AO46" s="384">
        <f>IF(_epmOfflineCondition_,"C1001",EPMOlapMemberO(AO25,"[C_CATEGORY].[PARENTH1].[C1001]","C1001 - 实际数/决算数","","000"))</f>
        <v/>
      </c>
      <c r="AP46" s="384">
        <f>IF(_epmOfflineCondition_,"C1001",EPMOlapMemberO(AP25,"[C_CATEGORY].[PARENTH1].[C1001]","C1001 - 实际数/决算数","","000"))</f>
        <v/>
      </c>
      <c r="AQ46" s="384">
        <f>IF(_epmOfflineCondition_,"C1001",EPMOlapMemberO(AQ25,"[C_CATEGORY].[PARENTH1].[C1001]","C1001 - 实际数/决算数","","000"))</f>
        <v/>
      </c>
      <c r="AR46" s="384">
        <f>IF(_epmOfflineCondition_,"C1001",EPMOlapMemberO(AR25,"[C_CATEGORY].[PARENTH1].[C1001]","C1001 - 实际数/决算数","","000"))</f>
        <v/>
      </c>
      <c r="AS46" s="384">
        <f>IF(_epmOfflineCondition_,"C1001",EPMOlapMemberO(AS25,"[C_CATEGORY].[PARENTH1].[C1001]","C1001 - 实际数/决算数","","000"))</f>
        <v/>
      </c>
      <c r="AT46" s="384">
        <f>IF(_epmOfflineCondition_,"C1001",EPMOlapMemberO(AT25,"[C_CATEGORY].[PARENTH1].[C1001]","C1001 - 实际数/决算数","","000"))</f>
        <v/>
      </c>
      <c r="AU46" s="384">
        <f>IF(_epmOfflineCondition_,"C1001",EPMOlapMemberO(AU25,"[C_CATEGORY].[PARENTH1].[C1001]","C1001 - 实际数/决算数","","000"))</f>
        <v/>
      </c>
      <c r="AV46" s="384">
        <f>IF(_epmOfflineCondition_,"C1001",EPMOlapMemberO(AV25,"[C_CATEGORY].[PARENTH1].[C1001]","C1001 - 实际数/决算数","","000"))</f>
        <v/>
      </c>
      <c r="AW46" s="384">
        <f>IF(_epmOfflineCondition_,"C1001",EPMOlapMemberO(AW25,"[C_CATEGORY].[PARENTH1].[C1001]","C1001 - 实际数/决算数","","000"))</f>
        <v/>
      </c>
      <c r="AX46" s="384">
        <f>IF(_epmOfflineCondition_,"C1001",EPMOlapMemberO(AX25,"[C_CATEGORY].[PARENTH1].[C1001]","C1001 - 实际数/决算数","","000"))</f>
        <v/>
      </c>
      <c r="AY46" s="384">
        <f>IF(_epmOfflineCondition_,"C1001",EPMOlapMemberO(AY25,"[C_CATEGORY].[PARENTH1].[C1001]","C1001 - 实际数/决算数","","000"))</f>
        <v/>
      </c>
      <c r="AZ46" s="384">
        <f>IF(_epmOfflineCondition_,"C1001",EPMOlapMemberO(AZ25,"[C_CATEGORY].[PARENTH1].[C1001]","C1001 - 实际数/决算数","","000"))</f>
        <v/>
      </c>
      <c r="BA46" s="384">
        <f>IF(_epmOfflineCondition_,"C1001",EPMOlapMemberO(BA25,"[C_CATEGORY].[PARENTH1].[C1001]","C1001 - 实际数/决算数","","000"))</f>
        <v/>
      </c>
      <c r="BB46" s="384">
        <f>IF(_epmOfflineCondition_,"C1001",EPMOlapMemberO(BB25,"[C_CATEGORY].[PARENTH1].[C1001]","C1001 - 实际数/决算数","","000"))</f>
        <v/>
      </c>
      <c r="BC46" s="384">
        <f>IF(_epmOfflineCondition_,"C1001",EPMOlapMemberO(BC25,"[C_CATEGORY].[PARENTH1].[C1001]","C1001 - 实际数/决算数","","000"))</f>
        <v/>
      </c>
      <c r="BD46" s="384">
        <f>IF(_epmOfflineCondition_,"C1001",EPMOlapMemberO(BD25,"[C_CATEGORY].[PARENTH1].[C1001]","C1001 - 实际数/决算数","","000"))</f>
        <v/>
      </c>
      <c r="BE46" s="384">
        <f>IF(_epmOfflineCondition_,"C1001",EPMOlapMemberO(BE25,"[C_CATEGORY].[PARENTH1].[C1001]","C1001 - 实际数/决算数","","000"))</f>
        <v/>
      </c>
      <c r="BF46" s="384">
        <f>IF(_epmOfflineCondition_,"C1001",EPMOlapMemberO(BF25,"[C_CATEGORY].[PARENTH1].[C1001]","C1001 - 实际数/决算数","","000"))</f>
        <v/>
      </c>
      <c r="BG46" s="384">
        <f>IF(_epmOfflineCondition_,"C1001",EPMOlapMemberO(BG25,"[C_CATEGORY].[PARENTH1].[C1001]","C1001 - 实际数/决算数","","000"))</f>
        <v/>
      </c>
      <c r="BH46" s="384">
        <f>IF(_epmOfflineCondition_,"C1001",EPMOlapMemberO(BH25,"[C_CATEGORY].[PARENTH1].[C1001]","C1001 - 实际数/决算数","","000"))</f>
        <v/>
      </c>
      <c r="BI46" s="384">
        <f>IF(_epmOfflineCondition_,"C1001",EPMOlapMemberO(BI25,"[C_CATEGORY].[PARENTH1].[C1001]","C1001 - 实际数/决算数","","000"))</f>
        <v/>
      </c>
      <c r="BJ46" s="384">
        <f>IF(_epmOfflineCondition_,"C1001",EPMOlapMemberO(BJ25,"[C_CATEGORY].[PARENTH1].[C1001]","C1001 - 实际数/决算数","","000"))</f>
        <v/>
      </c>
      <c r="BK46" s="384">
        <f>IF(_epmOfflineCondition_,"C1001",EPMOlapMemberO(BK25,"[C_CATEGORY].[PARENTH1].[C1001]","C1001 - 实际数/决算数","","000"))</f>
        <v/>
      </c>
      <c r="BL46" s="384">
        <f>IF(_epmOfflineCondition_,"C1001",EPMOlapMemberO(BL25,"[C_CATEGORY].[PARENTH1].[C1001]","C1001 - 实际数/决算数","","000"))</f>
        <v/>
      </c>
      <c r="BM46" s="384">
        <f>IF(_epmOfflineCondition_,"C1001",EPMOlapMemberO(BM25,"[C_CATEGORY].[PARENTH1].[C1001]","C1001 - 实际数/决算数","","000"))</f>
        <v/>
      </c>
      <c r="BN46" s="384">
        <f>IF(_epmOfflineCondition_,"C1001",EPMOlapMemberO(BN25,"[C_CATEGORY].[PARENTH1].[C1001]","C1001 - 实际数/决算数","","000"))</f>
        <v/>
      </c>
      <c r="BO46" s="384">
        <f>IF(_epmOfflineCondition_,"C1001",EPMOlapMemberO(BO25,"[C_CATEGORY].[PARENTH1].[C1001]","C1001 - 实际数/决算数","","000"))</f>
        <v/>
      </c>
      <c r="BP46" s="384">
        <f>IF(_epmOfflineCondition_,"C1001",EPMOlapMemberO(BP25,"[C_CATEGORY].[PARENTH1].[C1001]","C1001 - 实际数/决算数","","000"))</f>
        <v/>
      </c>
      <c r="BQ46" s="384">
        <f>IF(_epmOfflineCondition_,"C1001",EPMOlapMemberO(BQ25,"[C_CATEGORY].[PARENTH1].[C1001]","C1001 - 实际数/决算数","","000"))</f>
        <v/>
      </c>
      <c r="BR46" s="384">
        <f>IF(_epmOfflineCondition_,"C1001",EPMOlapMemberO(BR25,"[C_CATEGORY].[PARENTH1].[C1001]","C1001 - 实际数/决算数","","000"))</f>
        <v/>
      </c>
      <c r="BS46" s="384">
        <f>IF(_epmOfflineCondition_,"C1001",EPMOlapMemberO(BS25,"[C_CATEGORY].[PARENTH1].[C1001]","C1001 - 实际数/决算数","","000"))</f>
        <v/>
      </c>
      <c r="BT46" s="384">
        <f>IF(_epmOfflineCondition_,"C1001",EPMOlapMemberO(BT25,"[C_CATEGORY].[PARENTH1].[C1001]","C1001 - 实际数/决算数","","000"))</f>
        <v/>
      </c>
      <c r="BU46" s="384">
        <f>IF(_epmOfflineCondition_,"C1001",EPMOlapMemberO(BU25,"[C_CATEGORY].[PARENTH1].[C1001]","C1001 - 实际数/决算数","","000"))</f>
        <v/>
      </c>
      <c r="BV46" s="384">
        <f>IF(_epmOfflineCondition_,"C1001",EPMOlapMemberO(BV25,"[C_CATEGORY].[PARENTH1].[C1001]","C1001 - 实际数/决算数","","000"))</f>
        <v/>
      </c>
      <c r="BW46" s="384">
        <f>IF(_epmOfflineCondition_,"C1001",EPMOlapMemberO(BW25,"[C_CATEGORY].[PARENTH1].[C1001]","C1001 - 实际数/决算数","","000"))</f>
        <v/>
      </c>
      <c r="BX46" s="384">
        <f>IF(_epmOfflineCondition_,"C1001",EPMOlapMemberO(BX25,"[C_CATEGORY].[PARENTH1].[C1001]","C1001 - 实际数/决算数","","000"))</f>
        <v/>
      </c>
      <c r="BY46" s="384">
        <f>IF(_epmOfflineCondition_,"C1001",EPMOlapMemberO(BY25,"[C_CATEGORY].[PARENTH1].[C1001]","C1001 - 实际数/决算数","","000"))</f>
        <v/>
      </c>
      <c r="BZ46" s="384">
        <f>IF(_epmOfflineCondition_,"C1001",EPMOlapMemberO(BZ25,"[C_CATEGORY].[PARENTH1].[C1001]","C1001 - 实际数/决算数","","000"))</f>
        <v/>
      </c>
      <c r="CA46" s="384">
        <f>IF(_epmOfflineCondition_,"C1001",EPMOlapMemberO(CA25,"[C_CATEGORY].[PARENTH1].[C1001]","C1001 - 实际数/决算数","","000"))</f>
        <v/>
      </c>
      <c r="CB46" s="384">
        <f>IF(_epmOfflineCondition_,"C1001",EPMOlapMemberO(CB25,"[C_CATEGORY].[PARENTH1].[C1001]","C1001 - 实际数/决算数","","000"))</f>
        <v/>
      </c>
      <c r="CC46" s="384">
        <f>IF(_epmOfflineCondition_,"C1001",EPMOlapMemberO(CC25,"[C_CATEGORY].[PARENTH1].[C1001]","C1001 - 实际数/决算数","","000"))</f>
        <v/>
      </c>
      <c r="CD46" s="384">
        <f>IF(_epmOfflineCondition_,"C1001",EPMOlapMemberO(CD25,"[C_CATEGORY].[PARENTH1].[C1001]","C1001 - 实际数/决算数","","000"))</f>
        <v/>
      </c>
      <c r="CE46" s="384">
        <f>IF(_epmOfflineCondition_,"C1001",EPMOlapMemberO(CE25,"[C_CATEGORY].[PARENTH1].[C1001]","C1001 - 实际数/决算数","","000"))</f>
        <v/>
      </c>
      <c r="CF46" s="384">
        <f>IF(_epmOfflineCondition_,"C1001",EPMOlapMemberO(CF25,"[C_CATEGORY].[PARENTH1].[C1001]","C1001 - 实际数/决算数","","000"))</f>
        <v/>
      </c>
      <c r="CG46" s="384">
        <f>IF(_epmOfflineCondition_,"C1001",EPMOlapMemberO(CG25,"[C_CATEGORY].[PARENTH1].[C1001]","C1001 - 实际数/决算数","","000"))</f>
        <v/>
      </c>
      <c r="CH46" s="384">
        <f>IF(_epmOfflineCondition_,"C1001",EPMOlapMemberO(CH25,"[C_CATEGORY].[PARENTH1].[C1001]","C1001 - 实际数/决算数","","000"))</f>
        <v/>
      </c>
      <c r="CI46" s="384">
        <f>IF(_epmOfflineCondition_,"C1001",EPMOlapMemberO(CI25,"[C_CATEGORY].[PARENTH1].[C1001]","C1001 - 实际数/决算数","","000"))</f>
        <v/>
      </c>
      <c r="CJ46" s="384">
        <f>IF(_epmOfflineCondition_,"C1001",EPMOlapMemberO(CJ25,"[C_CATEGORY].[PARENTH1].[C1001]","C1001 - 实际数/决算数","","000"))</f>
        <v/>
      </c>
      <c r="CK46" s="384">
        <f>IF(_epmOfflineCondition_,"C3002",EPMOlapMemberO(CK25,"[C_CATEGORY].[PARENTH1].[C3002]","C3002 - 月度预算（原""预算数（终稿）"")","","000"))</f>
        <v/>
      </c>
      <c r="CL46" s="384">
        <f>IF(_epmOfflineCondition_,"C3002",EPMOlapMemberO(CL25,"[C_CATEGORY].[PARENTH1].[C3002]","C3002 - 月度预算（原""预算数（终稿）"")","","000"))</f>
        <v/>
      </c>
      <c r="CM46" s="384">
        <f>IF(_epmOfflineCondition_,"C3002",EPMOlapMemberO(CM25,"[C_CATEGORY].[PARENTH1].[C3002]","C3002 - 月度预算（原""预算数（终稿）"")","","000"))</f>
        <v/>
      </c>
      <c r="CN46" s="384">
        <f>IF(_epmOfflineCondition_,"C3002",EPMOlapMemberO(CN25,"[C_CATEGORY].[PARENTH1].[C3002]","C3002 - 月度预算（原""预算数（终稿）"")","","000"))</f>
        <v/>
      </c>
      <c r="CO46" s="384">
        <f>IF(_epmOfflineCondition_,"C3002",EPMOlapMemberO(CO25,"[C_CATEGORY].[PARENTH1].[C3002]","C3002 - 月度预算（原""预算数（终稿）"")","","000"))</f>
        <v/>
      </c>
      <c r="CP46" s="384">
        <f>IF(_epmOfflineCondition_,"C3002",EPMOlapMemberO(CP25,"[C_CATEGORY].[PARENTH1].[C3002]","C3002 - 月度预算（原""预算数（终稿）"")","","000"))</f>
        <v/>
      </c>
      <c r="CQ46" s="384">
        <f>IF(_epmOfflineCondition_,"C3002",EPMOlapMemberO(CQ25,"[C_CATEGORY].[PARENTH1].[C3002]","C3002 - 月度预算（原""预算数（终稿）"")","","000"))</f>
        <v/>
      </c>
      <c r="CR46" s="384">
        <f>IF(_epmOfflineCondition_,"C3002",EPMOlapMemberO(CR25,"[C_CATEGORY].[PARENTH1].[C3002]","C3002 - 月度预算（原""预算数（终稿）"")","","000"))</f>
        <v/>
      </c>
      <c r="CS46" s="384">
        <f>IF(_epmOfflineCondition_,"C3003",EPMOlapMemberO(CS25,"[C_CATEGORY].[PARENTH1].[C3003]","C3003 - 进度预算（原""预算数（分解版）"")","","000"))</f>
        <v/>
      </c>
      <c r="CT46" s="384">
        <f>IF(_epmOfflineCondition_,"C3003",EPMOlapMemberO(CT25,"[C_CATEGORY].[PARENTH1].[C3003]","C3003 - 进度预算（原""预算数（分解版）"")","","000"))</f>
        <v/>
      </c>
      <c r="CU46" s="384">
        <f>IF(_epmOfflineCondition_,"C3003",EPMOlapMemberO(CU25,"[C_CATEGORY].[PARENTH1].[C3003]","C3003 - 进度预算（原""预算数（分解版）"")","","000"))</f>
        <v/>
      </c>
      <c r="CV46" s="384">
        <f>IF(_epmOfflineCondition_,"C3003",EPMOlapMemberO(CV25,"[C_CATEGORY].[PARENTH1].[C3003]","C3003 - 进度预算（原""预算数（分解版）"")","","000"))</f>
        <v/>
      </c>
      <c r="CW46" s="384">
        <f>IF(_epmOfflineCondition_,"C3003",EPMOlapMemberO(CW25,"[C_CATEGORY].[PARENTH1].[C3003]","C3003 - 进度预算（原""预算数（分解版）"")","","000"))</f>
        <v/>
      </c>
      <c r="CX46" s="384">
        <f>IF(_epmOfflineCondition_,"C3003",EPMOlapMemberO(CX25,"[C_CATEGORY].[PARENTH1].[C3003]","C3003 - 进度预算（原""预算数（分解版）"")","","000"))</f>
        <v/>
      </c>
      <c r="CY46" s="384">
        <f>IF(_epmOfflineCondition_,"C3003",EPMOlapMemberO(CY25,"[C_CATEGORY].[PARENTH1].[C3003]","C3003 - 进度预算（原""预算数（分解版）"")","","000"))</f>
        <v/>
      </c>
      <c r="CZ46" s="384">
        <f>IF(_epmOfflineCondition_,"C3003",EPMOlapMemberO(CZ25,"[C_CATEGORY].[PARENTH1].[C3003]","C3003 - 进度预算（原""预算数（分解版）"")","","000"))</f>
        <v/>
      </c>
      <c r="DA46" s="384">
        <f>IF(_epmOfflineCondition_,"C3003",EPMOlapMemberO(DA25,"[C_CATEGORY].[PARENTH1].[C3003]","C3003 - 进度预算（原""预算数（分解版）"")","","000"))</f>
        <v/>
      </c>
      <c r="DB46" s="384">
        <f>IF(_epmOfflineCondition_,"C3003",EPMOlapMemberO(DB25,"[C_CATEGORY].[PARENTH1].[C3003]","C3003 - 进度预算（原""预算数（分解版）"")","","000"))</f>
        <v/>
      </c>
      <c r="DC46" s="384">
        <f>IF(_epmOfflineCondition_,"C3003",EPMOlapMemberO(DC25,"[C_CATEGORY].[PARENTH1].[C3003]","C3003 - 进度预算（原""预算数（分解版）"")","","000"))</f>
        <v/>
      </c>
      <c r="DD46" s="384">
        <f>IF(_epmOfflineCondition_,"C3003",EPMOlapMemberO(DD25,"[C_CATEGORY].[PARENTH1].[C3003]","C3003 - 进度预算（原""预算数（分解版）"")","","000"))</f>
        <v/>
      </c>
      <c r="DE46" s="384">
        <f>IF(_epmOfflineCondition_,"C3003",EPMOlapMemberO(DE25,"[C_CATEGORY].[PARENTH1].[C3003]","C3003 - 进度预算（原""预算数（分解版）"")","","000"))</f>
        <v/>
      </c>
      <c r="DF46" s="384">
        <f>IF(_epmOfflineCondition_,"C3003",EPMOlapMemberO(DF25,"[C_CATEGORY].[PARENTH1].[C3003]","C3003 - 进度预算（原""预算数（分解版）"")","","000"))</f>
        <v/>
      </c>
      <c r="DG46" s="384">
        <f>IF(_epmOfflineCondition_,"C3003",EPMOlapMemberO(DG25,"[C_CATEGORY].[PARENTH1].[C3003]","C3003 - 进度预算（原""预算数（分解版）"")","","000"))</f>
        <v/>
      </c>
      <c r="DH46" s="384">
        <f>IF(_epmOfflineCondition_,"C3003",EPMOlapMemberO(DH25,"[C_CATEGORY].[PARENTH1].[C3003]","C3003 - 进度预算（原""预算数（分解版）"")","","000"))</f>
        <v/>
      </c>
      <c r="DI46" s="384">
        <f>IF(_epmOfflineCondition_,"C3004",EPMOlapMemberO(DI25,"[C_CATEGORY].[PARENTH1].[C3004]","C3004 - 年度预算","","000"))</f>
        <v/>
      </c>
      <c r="DJ46" s="384">
        <f>IF(_epmOfflineCondition_,"C3004",EPMOlapMemberO(DJ25,"[C_CATEGORY].[PARENTH1].[C3004]","C3004 - 年度预算","","000"))</f>
        <v/>
      </c>
      <c r="DK46" s="384">
        <f>IF(_epmOfflineCondition_,"C3004",EPMOlapMemberO(DK25,"[C_CATEGORY].[PARENTH1].[C3004]","C3004 - 年度预算","","000"))</f>
        <v/>
      </c>
      <c r="DL46" s="384">
        <f>IF(_epmOfflineCondition_,"C3004",EPMOlapMemberO(DL25,"[C_CATEGORY].[PARENTH1].[C3004]","C3004 - 年度预算","","000"))</f>
        <v/>
      </c>
      <c r="DM46" s="384">
        <f>IF(_epmOfflineCondition_,"C3004",EPMOlapMemberO(DM25,"[C_CATEGORY].[PARENTH1].[C3004]","C3004 - 年度预算","","000"))</f>
        <v/>
      </c>
      <c r="DN46" s="384">
        <f>IF(_epmOfflineCondition_,"C3004",EPMOlapMemberO(DN25,"[C_CATEGORY].[PARENTH1].[C3004]","C3004 - 年度预算","","000"))</f>
        <v/>
      </c>
      <c r="DO46" s="384">
        <f>IF(_epmOfflineCondition_,"C3004",EPMOlapMemberO(DO25,"[C_CATEGORY].[PARENTH1].[C3004]","C3004 - 年度预算","","000"))</f>
        <v/>
      </c>
      <c r="DP46" s="384">
        <f>IF(_epmOfflineCondition_,"C3004",EPMOlapMemberO(DP25,"[C_CATEGORY].[PARENTH1].[C3004]","C3004 - 年度预算","","000"))</f>
        <v/>
      </c>
    </row>
    <row r="47" hidden="1" outlineLevel="1" s="1181">
      <c r="A47" s="384" t="n"/>
      <c r="B47" s="384" t="n"/>
      <c r="C47" s="384" t="n"/>
      <c r="D47" s="384" t="n"/>
      <c r="E47" s="384" t="n"/>
      <c r="F47" s="384" t="n"/>
      <c r="G47" s="384" t="n"/>
      <c r="H47" s="384" t="n"/>
      <c r="I47" s="384" t="n"/>
      <c r="J47" s="384" t="n"/>
      <c r="K47" s="384" t="n"/>
      <c r="L47" s="384" t="n"/>
      <c r="M47" s="384" t="n"/>
      <c r="N47" s="384" t="n"/>
      <c r="O47" s="384" t="n"/>
      <c r="P47" s="384" t="n"/>
      <c r="Q47" s="384" t="n"/>
      <c r="R47" s="384" t="n"/>
      <c r="S47" s="384" t="n"/>
      <c r="T47" s="384" t="n"/>
      <c r="U47" s="384" t="n"/>
      <c r="V47" s="384" t="n"/>
      <c r="W47" s="384" t="n"/>
      <c r="X47" s="384" t="inlineStr">
        <is>
          <t>C_TIME</t>
        </is>
      </c>
      <c r="Y47" s="384">
        <f>IF(_epmOfflineCondition_,"2025.03",EPMOlapMemberO(Y26,"[C_TIME].[PARENTH1].[2025.03]","2025.03 - 2025.03","","000"))</f>
        <v/>
      </c>
      <c r="Z47" s="384">
        <f>IF(_epmOfflineCondition_,"2025.03",EPMOlapMemberO(Z26,"[C_TIME].[PARENTH1].[2025.03]","2025.03 - 2025.03","","000"))</f>
        <v/>
      </c>
      <c r="AA47" s="384">
        <f>IF(_epmOfflineCondition_,"2025.03",EPMOlapMemberO(AA26,"[C_TIME].[PARENTH1].[2025.03]","2025.03 - 2025.03","","000"))</f>
        <v/>
      </c>
      <c r="AB47" s="384">
        <f>IF(_epmOfflineCondition_,"2025.03",EPMOlapMemberO(AB26,"[C_TIME].[PARENTH1].[2025.03]","2025.03 - 2025.03","","000"))</f>
        <v/>
      </c>
      <c r="AC47" s="384">
        <f>IF(_epmOfflineCondition_,"2025.03",EPMOlapMemberO(AC26,"[C_TIME].[PARENTH1].[2025.03]","2025.03 - 2025.03","","000"))</f>
        <v/>
      </c>
      <c r="AD47" s="384">
        <f>IF(_epmOfflineCondition_,"2025.03",EPMOlapMemberO(AD26,"[C_TIME].[PARENTH1].[2025.03]","2025.03 - 2025.03","","000"))</f>
        <v/>
      </c>
      <c r="AE47" s="384">
        <f>IF(_epmOfflineCondition_,"2025.03",EPMOlapMemberO(AE26,"[C_TIME].[PARENTH1].[2025.03]","2025.03 - 2025.03","","000"))</f>
        <v/>
      </c>
      <c r="AF47" s="384">
        <f>IF(_epmOfflineCondition_,"2025.03",EPMOlapMemberO(AF26,"[C_TIME].[PARENTH1].[2025.03]","2025.03 - 2025.03","","000"))</f>
        <v/>
      </c>
      <c r="AG47" s="384">
        <f>IF(_epmOfflineCondition_,"2025.03",EPMOlapMemberO(AG26,"[C_TIME].[PARENTH1].[2025.03]","2025.03 - 2025.03","","000"))</f>
        <v/>
      </c>
      <c r="AH47" s="384">
        <f>IF(_epmOfflineCondition_,"2025.03",EPMOlapMemberO(AH26,"[C_TIME].[PARENTH1].[2025.03]","2025.03 - 2025.03","","000"))</f>
        <v/>
      </c>
      <c r="AI47" s="384">
        <f>IF(_epmOfflineCondition_,"2025.03",EPMOlapMemberO(AI26,"[C_TIME].[PARENTH1].[2025.03]","2025.03 - 2025.03","","000"))</f>
        <v/>
      </c>
      <c r="AJ47" s="384">
        <f>IF(_epmOfflineCondition_,"2025.03",EPMOlapMemberO(AJ26,"[C_TIME].[PARENTH1].[2025.03]","2025.03 - 2025.03","","000"))</f>
        <v/>
      </c>
      <c r="AK47" s="384">
        <f>IF(_epmOfflineCondition_,"2025.03",EPMOlapMemberO(AK26,"[C_TIME].[PARENTH1].[2025.03]","2025.03 - 2025.03","","000"))</f>
        <v/>
      </c>
      <c r="AL47" s="384">
        <f>IF(_epmOfflineCondition_,"2025.03",EPMOlapMemberO(AL26,"[C_TIME].[PARENTH1].[2025.03]","2025.03 - 2025.03","","000"))</f>
        <v/>
      </c>
      <c r="AM47" s="384">
        <f>IF(_epmOfflineCondition_,"2025.03",EPMOlapMemberO(AM26,"[C_TIME].[PARENTH1].[2025.03]","2025.03 - 2025.03","","000"))</f>
        <v/>
      </c>
      <c r="AN47" s="384">
        <f>IF(_epmOfflineCondition_,"2025.03",EPMOlapMemberO(AN26,"[C_TIME].[PARENTH1].[2025.03]","2025.03 - 2025.03","","000"))</f>
        <v/>
      </c>
      <c r="AO47" s="384">
        <f>IF(_epmOfflineCondition_,"2025.03",EPMOlapMemberO(AO26,"[C_TIME].[PARENTH1].[2025.03]","2025.03 - 2025.03","","000"))</f>
        <v/>
      </c>
      <c r="AP47" s="384">
        <f>IF(_epmOfflineCondition_,"2025.03",EPMOlapMemberO(AP26,"[C_TIME].[PARENTH1].[2025.03]","2025.03 - 2025.03","","000"))</f>
        <v/>
      </c>
      <c r="AQ47" s="384">
        <f>IF(_epmOfflineCondition_,"2025.03",EPMOlapMemberO(AQ26,"[C_TIME].[PARENTH1].[2025.03]","2025.03 - 2025.03","","000"))</f>
        <v/>
      </c>
      <c r="AR47" s="384">
        <f>IF(_epmOfflineCondition_,"2025.03",EPMOlapMemberO(AR26,"[C_TIME].[PARENTH1].[2025.03]","2025.03 - 2025.03","","000"))</f>
        <v/>
      </c>
      <c r="AS47" s="384">
        <f>IF(_epmOfflineCondition_,"2025.03",EPMOlapMemberO(AS26,"[C_TIME].[PARENTH1].[2025.03]","2025.03 - 2025.03","","000"))</f>
        <v/>
      </c>
      <c r="AT47" s="384">
        <f>IF(_epmOfflineCondition_,"2025.03",EPMOlapMemberO(AT26,"[C_TIME].[PARENTH1].[2025.03]","2025.03 - 2025.03","","000"))</f>
        <v/>
      </c>
      <c r="AU47" s="384">
        <f>IF(_epmOfflineCondition_,"2025.03",EPMOlapMemberO(AU26,"[C_TIME].[PARENTH1].[2025.03]","2025.03 - 2025.03","","000"))</f>
        <v/>
      </c>
      <c r="AV47" s="384">
        <f>IF(_epmOfflineCondition_,"2025.03",EPMOlapMemberO(AV26,"[C_TIME].[PARENTH1].[2025.03]","2025.03 - 2025.03","","000"))</f>
        <v/>
      </c>
      <c r="AW47" s="384">
        <f>IF(_epmOfflineCondition_,"2025.02",EPMOlapMemberO(AW26,"[C_TIME].[PARENTH1].[2025.02]","2025.02 - 2025.02","","000"))</f>
        <v/>
      </c>
      <c r="AX47" s="384">
        <f>IF(_epmOfflineCondition_,"2025.02",EPMOlapMemberO(AX26,"[C_TIME].[PARENTH1].[2025.02]","2025.02 - 2025.02","","000"))</f>
        <v/>
      </c>
      <c r="AY47" s="384">
        <f>IF(_epmOfflineCondition_,"2025.02",EPMOlapMemberO(AY26,"[C_TIME].[PARENTH1].[2025.02]","2025.02 - 2025.02","","000"))</f>
        <v/>
      </c>
      <c r="AZ47" s="384">
        <f>IF(_epmOfflineCondition_,"2025.02",EPMOlapMemberO(AZ26,"[C_TIME].[PARENTH1].[2025.02]","2025.02 - 2025.02","","000"))</f>
        <v/>
      </c>
      <c r="BA47" s="384">
        <f>IF(_epmOfflineCondition_,"2025.02",EPMOlapMemberO(BA26,"[C_TIME].[PARENTH1].[2025.02]","2025.02 - 2025.02","","000"))</f>
        <v/>
      </c>
      <c r="BB47" s="384">
        <f>IF(_epmOfflineCondition_,"2025.02",EPMOlapMemberO(BB26,"[C_TIME].[PARENTH1].[2025.02]","2025.02 - 2025.02","","000"))</f>
        <v/>
      </c>
      <c r="BC47" s="384">
        <f>IF(_epmOfflineCondition_,"2025.02",EPMOlapMemberO(BC26,"[C_TIME].[PARENTH1].[2025.02]","2025.02 - 2025.02","","000"))</f>
        <v/>
      </c>
      <c r="BD47" s="384">
        <f>IF(_epmOfflineCondition_,"2025.02",EPMOlapMemberO(BD26,"[C_TIME].[PARENTH1].[2025.02]","2025.02 - 2025.02","","000"))</f>
        <v/>
      </c>
      <c r="BE47" s="384">
        <f>IF(_epmOfflineCondition_,"2025.02",EPMOlapMemberO(BE26,"[C_TIME].[PARENTH1].[2025.02]","2025.02 - 2025.02","","000"))</f>
        <v/>
      </c>
      <c r="BF47" s="384">
        <f>IF(_epmOfflineCondition_,"2025.02",EPMOlapMemberO(BF26,"[C_TIME].[PARENTH1].[2025.02]","2025.02 - 2025.02","","000"))</f>
        <v/>
      </c>
      <c r="BG47" s="384">
        <f>IF(_epmOfflineCondition_,"2025.02",EPMOlapMemberO(BG26,"[C_TIME].[PARENTH1].[2025.02]","2025.02 - 2025.02","","000"))</f>
        <v/>
      </c>
      <c r="BH47" s="384">
        <f>IF(_epmOfflineCondition_,"2025.02",EPMOlapMemberO(BH26,"[C_TIME].[PARENTH1].[2025.02]","2025.02 - 2025.02","","000"))</f>
        <v/>
      </c>
      <c r="BI47" s="384">
        <f>IF(_epmOfflineCondition_,"2025.02",EPMOlapMemberO(BI26,"[C_TIME].[PARENTH1].[2025.02]","2025.02 - 2025.02","","000"))</f>
        <v/>
      </c>
      <c r="BJ47" s="384">
        <f>IF(_epmOfflineCondition_,"2025.02",EPMOlapMemberO(BJ26,"[C_TIME].[PARENTH1].[2025.02]","2025.02 - 2025.02","","000"))</f>
        <v/>
      </c>
      <c r="BK47" s="384">
        <f>IF(_epmOfflineCondition_,"2025.02",EPMOlapMemberO(BK26,"[C_TIME].[PARENTH1].[2025.02]","2025.02 - 2025.02","","000"))</f>
        <v/>
      </c>
      <c r="BL47" s="384">
        <f>IF(_epmOfflineCondition_,"2025.02",EPMOlapMemberO(BL26,"[C_TIME].[PARENTH1].[2025.02]","2025.02 - 2025.02","","000"))</f>
        <v/>
      </c>
      <c r="BM47" s="384">
        <f>IF(_epmOfflineCondition_,"2025.01",EPMOlapMemberO(BM26,"[C_TIME].[PARENTH1].[2025.01]","2025.01 - 2025.01","","000"))</f>
        <v/>
      </c>
      <c r="BN47" s="384">
        <f>IF(_epmOfflineCondition_,"2025.01",EPMOlapMemberO(BN26,"[C_TIME].[PARENTH1].[2025.01]","2025.01 - 2025.01","","000"))</f>
        <v/>
      </c>
      <c r="BO47" s="384">
        <f>IF(_epmOfflineCondition_,"2025.01",EPMOlapMemberO(BO26,"[C_TIME].[PARENTH1].[2025.01]","2025.01 - 2025.01","","000"))</f>
        <v/>
      </c>
      <c r="BP47" s="384">
        <f>IF(_epmOfflineCondition_,"2025.01",EPMOlapMemberO(BP26,"[C_TIME].[PARENTH1].[2025.01]","2025.01 - 2025.01","","000"))</f>
        <v/>
      </c>
      <c r="BQ47" s="384">
        <f>IF(_epmOfflineCondition_,"2025.01",EPMOlapMemberO(BQ26,"[C_TIME].[PARENTH1].[2025.01]","2025.01 - 2025.01","","000"))</f>
        <v/>
      </c>
      <c r="BR47" s="384">
        <f>IF(_epmOfflineCondition_,"2025.01",EPMOlapMemberO(BR26,"[C_TIME].[PARENTH1].[2025.01]","2025.01 - 2025.01","","000"))</f>
        <v/>
      </c>
      <c r="BS47" s="384">
        <f>IF(_epmOfflineCondition_,"2025.01",EPMOlapMemberO(BS26,"[C_TIME].[PARENTH1].[2025.01]","2025.01 - 2025.01","","000"))</f>
        <v/>
      </c>
      <c r="BT47" s="384">
        <f>IF(_epmOfflineCondition_,"2025.01",EPMOlapMemberO(BT26,"[C_TIME].[PARENTH1].[2025.01]","2025.01 - 2025.01","","000"))</f>
        <v/>
      </c>
      <c r="BU47" s="384">
        <f>IF(_epmOfflineCondition_,"2025.02",EPMOlapMemberO(BU26,"[C_TIME].[PARENTH1].[2025.02]","2025.02 - 2025.02","","000"))</f>
        <v/>
      </c>
      <c r="BV47" s="384">
        <f>IF(_epmOfflineCondition_,"2025.02",EPMOlapMemberO(BV26,"[C_TIME].[PARENTH1].[2025.02]","2025.02 - 2025.02","","000"))</f>
        <v/>
      </c>
      <c r="BW47" s="384">
        <f>IF(_epmOfflineCondition_,"2025.02",EPMOlapMemberO(BW26,"[C_TIME].[PARENTH1].[2025.02]","2025.02 - 2025.02","","000"))</f>
        <v/>
      </c>
      <c r="BX47" s="384">
        <f>IF(_epmOfflineCondition_,"2025.02",EPMOlapMemberO(BX26,"[C_TIME].[PARENTH1].[2025.02]","2025.02 - 2025.02","","000"))</f>
        <v/>
      </c>
      <c r="BY47" s="384">
        <f>IF(_epmOfflineCondition_,"2025.02",EPMOlapMemberO(BY26,"[C_TIME].[PARENTH1].[2025.02]","2025.02 - 2025.02","","000"))</f>
        <v/>
      </c>
      <c r="BZ47" s="384">
        <f>IF(_epmOfflineCondition_,"2025.02",EPMOlapMemberO(BZ26,"[C_TIME].[PARENTH1].[2025.02]","2025.02 - 2025.02","","000"))</f>
        <v/>
      </c>
      <c r="CA47" s="384">
        <f>IF(_epmOfflineCondition_,"2025.02",EPMOlapMemberO(CA26,"[C_TIME].[PARENTH1].[2025.02]","2025.02 - 2025.02","","000"))</f>
        <v/>
      </c>
      <c r="CB47" s="384">
        <f>IF(_epmOfflineCondition_,"2025.02",EPMOlapMemberO(CB26,"[C_TIME].[PARENTH1].[2025.02]","2025.02 - 2025.02","","000"))</f>
        <v/>
      </c>
      <c r="CC47" s="384">
        <f>IF(_epmOfflineCondition_,"2024.03",EPMOlapMemberO(CC26,"[C_TIME].[PARENTH1].[2024.03]","2024.03 - 2024.03","","000"))</f>
        <v/>
      </c>
      <c r="CD47" s="384">
        <f>IF(_epmOfflineCondition_,"2024.03",EPMOlapMemberO(CD26,"[C_TIME].[PARENTH1].[2024.03]","2024.03 - 2024.03","","000"))</f>
        <v/>
      </c>
      <c r="CE47" s="384">
        <f>IF(_epmOfflineCondition_,"2024.03",EPMOlapMemberO(CE26,"[C_TIME].[PARENTH1].[2024.03]","2024.03 - 2024.03","","000"))</f>
        <v/>
      </c>
      <c r="CF47" s="384">
        <f>IF(_epmOfflineCondition_,"2024.03",EPMOlapMemberO(CF26,"[C_TIME].[PARENTH1].[2024.03]","2024.03 - 2024.03","","000"))</f>
        <v/>
      </c>
      <c r="CG47" s="384">
        <f>IF(_epmOfflineCondition_,"2024.03",EPMOlapMemberO(CG26,"[C_TIME].[PARENTH1].[2024.03]","2024.03 - 2024.03","","000"))</f>
        <v/>
      </c>
      <c r="CH47" s="384">
        <f>IF(_epmOfflineCondition_,"2024.03",EPMOlapMemberO(CH26,"[C_TIME].[PARENTH1].[2024.03]","2024.03 - 2024.03","","000"))</f>
        <v/>
      </c>
      <c r="CI47" s="384">
        <f>IF(_epmOfflineCondition_,"2024.03",EPMOlapMemberO(CI26,"[C_TIME].[PARENTH1].[2024.03]","2024.03 - 2024.03","","000"))</f>
        <v/>
      </c>
      <c r="CJ47" s="384">
        <f>IF(_epmOfflineCondition_,"2024.03",EPMOlapMemberO(CJ26,"[C_TIME].[PARENTH1].[2024.03]","2024.03 - 2024.03","","000"))</f>
        <v/>
      </c>
      <c r="CK47" s="384">
        <f>IF(_epmOfflineCondition_,"2025.03",EPMOlapMemberO(CK26,"[C_TIME].[PARENTH1].[2025.03]","2025.03 - 2025.03","","000"))</f>
        <v/>
      </c>
      <c r="CL47" s="384">
        <f>IF(_epmOfflineCondition_,"2025.03",EPMOlapMemberO(CL26,"[C_TIME].[PARENTH1].[2025.03]","2025.03 - 2025.03","","000"))</f>
        <v/>
      </c>
      <c r="CM47" s="384">
        <f>IF(_epmOfflineCondition_,"2025.03",EPMOlapMemberO(CM26,"[C_TIME].[PARENTH1].[2025.03]","2025.03 - 2025.03","","000"))</f>
        <v/>
      </c>
      <c r="CN47" s="384">
        <f>IF(_epmOfflineCondition_,"2025.03",EPMOlapMemberO(CN26,"[C_TIME].[PARENTH1].[2025.03]","2025.03 - 2025.03","","000"))</f>
        <v/>
      </c>
      <c r="CO47" s="384">
        <f>IF(_epmOfflineCondition_,"2025.03",EPMOlapMemberO(CO26,"[C_TIME].[PARENTH1].[2025.03]","2025.03 - 2025.03","","000"))</f>
        <v/>
      </c>
      <c r="CP47" s="384">
        <f>IF(_epmOfflineCondition_,"2025.03",EPMOlapMemberO(CP26,"[C_TIME].[PARENTH1].[2025.03]","2025.03 - 2025.03","","000"))</f>
        <v/>
      </c>
      <c r="CQ47" s="384">
        <f>IF(_epmOfflineCondition_,"2025.03",EPMOlapMemberO(CQ26,"[C_TIME].[PARENTH1].[2025.03]","2025.03 - 2025.03","","000"))</f>
        <v/>
      </c>
      <c r="CR47" s="384">
        <f>IF(_epmOfflineCondition_,"2025.03",EPMOlapMemberO(CR26,"[C_TIME].[PARENTH1].[2025.03]","2025.03 - 2025.03","","000"))</f>
        <v/>
      </c>
      <c r="CS47" s="384">
        <f>IF(_epmOfflineCondition_,"2025.02",EPMOlapMemberO(CS26,"[C_TIME].[PARENTH1].[2025.02]","2025.02 - 2025.02","","000"))</f>
        <v/>
      </c>
      <c r="CT47" s="384">
        <f>IF(_epmOfflineCondition_,"2025.02",EPMOlapMemberO(CT26,"[C_TIME].[PARENTH1].[2025.02]","2025.02 - 2025.02","","000"))</f>
        <v/>
      </c>
      <c r="CU47" s="384">
        <f>IF(_epmOfflineCondition_,"2025.02",EPMOlapMemberO(CU26,"[C_TIME].[PARENTH1].[2025.02]","2025.02 - 2025.02","","000"))</f>
        <v/>
      </c>
      <c r="CV47" s="384">
        <f>IF(_epmOfflineCondition_,"2025.02",EPMOlapMemberO(CV26,"[C_TIME].[PARENTH1].[2025.02]","2025.02 - 2025.02","","000"))</f>
        <v/>
      </c>
      <c r="CW47" s="384">
        <f>IF(_epmOfflineCondition_,"2025.02",EPMOlapMemberO(CW26,"[C_TIME].[PARENTH1].[2025.02]","2025.02 - 2025.02","","000"))</f>
        <v/>
      </c>
      <c r="CX47" s="384">
        <f>IF(_epmOfflineCondition_,"2025.02",EPMOlapMemberO(CX26,"[C_TIME].[PARENTH1].[2025.02]","2025.02 - 2025.02","","000"))</f>
        <v/>
      </c>
      <c r="CY47" s="384">
        <f>IF(_epmOfflineCondition_,"2025.02",EPMOlapMemberO(CY26,"[C_TIME].[PARENTH1].[2025.02]","2025.02 - 2025.02","","000"))</f>
        <v/>
      </c>
      <c r="CZ47" s="384">
        <f>IF(_epmOfflineCondition_,"2025.02",EPMOlapMemberO(CZ26,"[C_TIME].[PARENTH1].[2025.02]","2025.02 - 2025.02","","000"))</f>
        <v/>
      </c>
      <c r="DA47" s="384">
        <f>IF(_epmOfflineCondition_,"2025.03",EPMOlapMemberO(DA26,"[C_TIME].[PARENTH1].[2025.03]","2025.03 - 2025.03","","000"))</f>
        <v/>
      </c>
      <c r="DB47" s="384">
        <f>IF(_epmOfflineCondition_,"2025.03",EPMOlapMemberO(DB26,"[C_TIME].[PARENTH1].[2025.03]","2025.03 - 2025.03","","000"))</f>
        <v/>
      </c>
      <c r="DC47" s="384">
        <f>IF(_epmOfflineCondition_,"2025.03",EPMOlapMemberO(DC26,"[C_TIME].[PARENTH1].[2025.03]","2025.03 - 2025.03","","000"))</f>
        <v/>
      </c>
      <c r="DD47" s="384">
        <f>IF(_epmOfflineCondition_,"2025.03",EPMOlapMemberO(DD26,"[C_TIME].[PARENTH1].[2025.03]","2025.03 - 2025.03","","000"))</f>
        <v/>
      </c>
      <c r="DE47" s="384">
        <f>IF(_epmOfflineCondition_,"2025.03",EPMOlapMemberO(DE26,"[C_TIME].[PARENTH1].[2025.03]","2025.03 - 2025.03","","000"))</f>
        <v/>
      </c>
      <c r="DF47" s="384">
        <f>IF(_epmOfflineCondition_,"2025.03",EPMOlapMemberO(DF26,"[C_TIME].[PARENTH1].[2025.03]","2025.03 - 2025.03","","000"))</f>
        <v/>
      </c>
      <c r="DG47" s="384">
        <f>IF(_epmOfflineCondition_,"2025.03",EPMOlapMemberO(DG26,"[C_TIME].[PARENTH1].[2025.03]","2025.03 - 2025.03","","000"))</f>
        <v/>
      </c>
      <c r="DH47" s="384">
        <f>IF(_epmOfflineCondition_,"2025.03",EPMOlapMemberO(DH26,"[C_TIME].[PARENTH1].[2025.03]","2025.03 - 2025.03","","000"))</f>
        <v/>
      </c>
      <c r="DI47" s="384">
        <f>IF(_epmOfflineCondition_,"2025.03",EPMOlapMemberO(DI26,"[C_TIME].[PARENTH1].[2025.03]","2025.03 - 2025.03","","000"))</f>
        <v/>
      </c>
      <c r="DJ47" s="384">
        <f>IF(_epmOfflineCondition_,"2025.03",EPMOlapMemberO(DJ26,"[C_TIME].[PARENTH1].[2025.03]","2025.03 - 2025.03","","000"))</f>
        <v/>
      </c>
      <c r="DK47" s="384">
        <f>IF(_epmOfflineCondition_,"2025.03",EPMOlapMemberO(DK26,"[C_TIME].[PARENTH1].[2025.03]","2025.03 - 2025.03","","000"))</f>
        <v/>
      </c>
      <c r="DL47" s="384">
        <f>IF(_epmOfflineCondition_,"2025.03",EPMOlapMemberO(DL26,"[C_TIME].[PARENTH1].[2025.03]","2025.03 - 2025.03","","000"))</f>
        <v/>
      </c>
      <c r="DM47" s="384">
        <f>IF(_epmOfflineCondition_,"2025.03",EPMOlapMemberO(DM26,"[C_TIME].[PARENTH1].[2025.03]","2025.03 - 2025.03","","000"))</f>
        <v/>
      </c>
      <c r="DN47" s="384">
        <f>IF(_epmOfflineCondition_,"2025.03",EPMOlapMemberO(DN26,"[C_TIME].[PARENTH1].[2025.03]","2025.03 - 2025.03","","000"))</f>
        <v/>
      </c>
      <c r="DO47" s="384">
        <f>IF(_epmOfflineCondition_,"2025.03",EPMOlapMemberO(DO26,"[C_TIME].[PARENTH1].[2025.03]","2025.03 - 2025.03","","000"))</f>
        <v/>
      </c>
      <c r="DP47" s="384">
        <f>IF(_epmOfflineCondition_,"2025.03",EPMOlapMemberO(DP26,"[C_TIME].[PARENTH1].[2025.03]","2025.03 - 2025.03","","000"))</f>
        <v/>
      </c>
    </row>
    <row r="48" hidden="1" outlineLevel="1" s="1181">
      <c r="A48" s="384" t="n"/>
      <c r="B48" s="384" t="n"/>
      <c r="C48" s="384" t="n"/>
      <c r="D48" s="384" t="n"/>
      <c r="E48" s="384" t="n"/>
      <c r="F48" s="384" t="n"/>
      <c r="G48" s="384" t="n"/>
      <c r="H48" s="384" t="n"/>
      <c r="I48" s="384" t="n"/>
      <c r="J48" s="384" t="n"/>
      <c r="K48" s="384" t="n"/>
      <c r="L48" s="384" t="n"/>
      <c r="M48" s="384" t="n"/>
      <c r="N48" s="384" t="n"/>
      <c r="O48" s="384" t="n"/>
      <c r="P48" s="384" t="n"/>
      <c r="Q48" s="384" t="n"/>
      <c r="R48" s="384" t="n"/>
      <c r="S48" s="384" t="n"/>
      <c r="T48" s="384" t="n"/>
      <c r="U48" s="384" t="n"/>
      <c r="V48" s="384" t="n"/>
      <c r="W48" s="384" t="n"/>
      <c r="X48" s="384" t="inlineStr">
        <is>
          <t>C_MISK</t>
        </is>
      </c>
      <c r="Y48" s="384">
        <f>IF(_epmOfflineCondition_,"ZM_ALL",EPMOlapMemberO(Y27,"[C_MISK].[PARENTH1].[ZM_ALL]","ZM_ALL - ALL","","000"))</f>
        <v/>
      </c>
      <c r="Z48" s="384">
        <f>IF(_epmOfflineCondition_,"ZM_ALL",EPMOlapMemberO(Z27,"[C_MISK].[PARENTH1].[ZM_ALL]","ZM_ALL - ALL","","000"))</f>
        <v/>
      </c>
      <c r="AA48" s="384">
        <f>IF(_epmOfflineCondition_,"ZM_ALL",EPMOlapMemberO(AA27,"[C_MISK].[PARENTH1].[ZM_ALL]","ZM_ALL - ALL","","000"))</f>
        <v/>
      </c>
      <c r="AB48" s="384">
        <f>IF(_epmOfflineCondition_,"ZM_ALL",EPMOlapMemberO(AB27,"[C_MISK].[PARENTH1].[ZM_ALL]","ZM_ALL - ALL","","000"))</f>
        <v/>
      </c>
      <c r="AC48" s="384">
        <f>IF(_epmOfflineCondition_,"ZM_ALL",EPMOlapMemberO(AC27,"[C_MISK].[PARENTH1].[ZM_ALL]","ZM_ALL - ALL","","000"))</f>
        <v/>
      </c>
      <c r="AD48" s="384">
        <f>IF(_epmOfflineCondition_,"ZM_ALL",EPMOlapMemberO(AD27,"[C_MISK].[PARENTH1].[ZM_ALL]","ZM_ALL - ALL","","000"))</f>
        <v/>
      </c>
      <c r="AE48" s="384">
        <f>IF(_epmOfflineCondition_,"ZM_ALL",EPMOlapMemberO(AE27,"[C_MISK].[PARENTH1].[ZM_ALL]","ZM_ALL - ALL","","000"))</f>
        <v/>
      </c>
      <c r="AF48" s="384">
        <f>IF(_epmOfflineCondition_,"ZM_ALL",EPMOlapMemberO(AF27,"[C_MISK].[PARENTH1].[ZM_ALL]","ZM_ALL - ALL","","000"))</f>
        <v/>
      </c>
      <c r="AG48" s="384">
        <f>IF(_epmOfflineCondition_,"ZM0300101",EPMOlapMemberO(AG27,"[C_MISK].[PARENTH1].[ZM0300101]","ZM0300101 - 火力发电","","000"))</f>
        <v/>
      </c>
      <c r="AH48" s="384">
        <f>IF(_epmOfflineCondition_,"ZM0300102",EPMOlapMemberO(AH27,"[C_MISK].[PARENTH1].[ZM0300102]","ZM0300102 - 风力发电","","000"))</f>
        <v/>
      </c>
      <c r="AI48" s="384">
        <f>IF(_epmOfflineCondition_,"ZM0300103",EPMOlapMemberO(AI27,"[C_MISK].[PARENTH1].[ZM0300103]","ZM0300103 - 光伏发电","","000"))</f>
        <v/>
      </c>
      <c r="AJ48" s="384">
        <f>IF(_epmOfflineCondition_,"ZM0300104",EPMOlapMemberO(AJ27,"[C_MISK].[PARENTH1].[ZM0300104]","ZM0300104 - 燃气发电","","000"))</f>
        <v/>
      </c>
      <c r="AK48" s="384">
        <f>IF(_epmOfflineCondition_,"ZM0300105",EPMOlapMemberO(AK27,"[C_MISK].[PARENTH1].[ZM0300105]","ZM0300105 - 水力发电","","000"))</f>
        <v/>
      </c>
      <c r="AL48" s="384">
        <f>IF(_epmOfflineCondition_,"ZM0300201",EPMOlapMemberO(AL27,"[C_MISK].[PARENTH1].[ZM0300201]","ZM0300201 - 售热","","000"))</f>
        <v/>
      </c>
      <c r="AM48" s="384">
        <f>IF(_epmOfflineCondition_,"ZM0300202",EPMOlapMemberO(AM27,"[C_MISK].[PARENTH1].[ZM0300202]","ZM0300202 - 售电服务","","000"))</f>
        <v/>
      </c>
      <c r="AN48" s="384">
        <f>IF(_epmOfflineCondition_,"ZM0300106",EPMOlapMemberO(AN27,"[C_MISK].[PARENTH1].[ZM0300106]","ZM0300106 - 其他","","000"))</f>
        <v/>
      </c>
      <c r="AO48" s="384">
        <f>IF(_epmOfflineCondition_,"ZM0300101",EPMOlapMemberO(AO27,"[C_MISK].[PARENTH1].[ZM0300101]","ZM0300101 - 火力发电","","000"))</f>
        <v/>
      </c>
      <c r="AP48" s="384">
        <f>IF(_epmOfflineCondition_,"ZM0300102",EPMOlapMemberO(AP27,"[C_MISK].[PARENTH1].[ZM0300102]","ZM0300102 - 风力发电","","000"))</f>
        <v/>
      </c>
      <c r="AQ48" s="384">
        <f>IF(_epmOfflineCondition_,"ZM0300103",EPMOlapMemberO(AQ27,"[C_MISK].[PARENTH1].[ZM0300103]","ZM0300103 - 光伏发电","","000"))</f>
        <v/>
      </c>
      <c r="AR48" s="384">
        <f>IF(_epmOfflineCondition_,"ZM0300104",EPMOlapMemberO(AR27,"[C_MISK].[PARENTH1].[ZM0300104]","ZM0300104 - 燃气发电","","000"))</f>
        <v/>
      </c>
      <c r="AS48" s="384">
        <f>IF(_epmOfflineCondition_,"ZM0300105",EPMOlapMemberO(AS27,"[C_MISK].[PARENTH1].[ZM0300105]","ZM0300105 - 水力发电","","000"))</f>
        <v/>
      </c>
      <c r="AT48" s="384">
        <f>IF(_epmOfflineCondition_,"ZM0300201",EPMOlapMemberO(AT27,"[C_MISK].[PARENTH1].[ZM0300201]","ZM0300201 - 售热","","000"))</f>
        <v/>
      </c>
      <c r="AU48" s="384">
        <f>IF(_epmOfflineCondition_,"ZM0300202",EPMOlapMemberO(AU27,"[C_MISK].[PARENTH1].[ZM0300202]","ZM0300202 - 售电服务","","000"))</f>
        <v/>
      </c>
      <c r="AV48" s="384">
        <f>IF(_epmOfflineCondition_,"ZM0300106",EPMOlapMemberO(AV27,"[C_MISK].[PARENTH1].[ZM0300106]","ZM0300106 - 其他","","000"))</f>
        <v/>
      </c>
      <c r="AW48" s="384">
        <f>IF(_epmOfflineCondition_,"ZM0300101",EPMOlapMemberO(AW27,"[C_MISK].[PARENTH1].[ZM0300101]","ZM0300101 - 火力发电","","000"))</f>
        <v/>
      </c>
      <c r="AX48" s="384">
        <f>IF(_epmOfflineCondition_,"ZM0300102",EPMOlapMemberO(AX27,"[C_MISK].[PARENTH1].[ZM0300102]","ZM0300102 - 风力发电","","000"))</f>
        <v/>
      </c>
      <c r="AY48" s="384">
        <f>IF(_epmOfflineCondition_,"ZM0300103",EPMOlapMemberO(AY27,"[C_MISK].[PARENTH1].[ZM0300103]","ZM0300103 - 光伏发电","","000"))</f>
        <v/>
      </c>
      <c r="AZ48" s="384">
        <f>IF(_epmOfflineCondition_,"ZM0300104",EPMOlapMemberO(AZ27,"[C_MISK].[PARENTH1].[ZM0300104]","ZM0300104 - 燃气发电","","000"))</f>
        <v/>
      </c>
      <c r="BA48" s="384">
        <f>IF(_epmOfflineCondition_,"ZM0300105",EPMOlapMemberO(BA27,"[C_MISK].[PARENTH1].[ZM0300105]","ZM0300105 - 水力发电","","000"))</f>
        <v/>
      </c>
      <c r="BB48" s="384">
        <f>IF(_epmOfflineCondition_,"ZM0300201",EPMOlapMemberO(BB27,"[C_MISK].[PARENTH1].[ZM0300201]","ZM0300201 - 售热","","000"))</f>
        <v/>
      </c>
      <c r="BC48" s="384">
        <f>IF(_epmOfflineCondition_,"ZM0300202",EPMOlapMemberO(BC27,"[C_MISK].[PARENTH1].[ZM0300202]","ZM0300202 - 售电服务","","000"))</f>
        <v/>
      </c>
      <c r="BD48" s="384">
        <f>IF(_epmOfflineCondition_,"ZM0300106",EPMOlapMemberO(BD27,"[C_MISK].[PARENTH1].[ZM0300106]","ZM0300106 - 其他","","000"))</f>
        <v/>
      </c>
      <c r="BE48" s="384">
        <f>IF(_epmOfflineCondition_,"ZM0300101",EPMOlapMemberO(BE27,"[C_MISK].[PARENTH1].[ZM0300101]","ZM0300101 - 火力发电","","000"))</f>
        <v/>
      </c>
      <c r="BF48" s="384">
        <f>IF(_epmOfflineCondition_,"ZM0300102",EPMOlapMemberO(BF27,"[C_MISK].[PARENTH1].[ZM0300102]","ZM0300102 - 风力发电","","000"))</f>
        <v/>
      </c>
      <c r="BG48" s="384">
        <f>IF(_epmOfflineCondition_,"ZM0300103",EPMOlapMemberO(BG27,"[C_MISK].[PARENTH1].[ZM0300103]","ZM0300103 - 光伏发电","","000"))</f>
        <v/>
      </c>
      <c r="BH48" s="384">
        <f>IF(_epmOfflineCondition_,"ZM0300104",EPMOlapMemberO(BH27,"[C_MISK].[PARENTH1].[ZM0300104]","ZM0300104 - 燃气发电","","000"))</f>
        <v/>
      </c>
      <c r="BI48" s="384">
        <f>IF(_epmOfflineCondition_,"ZM0300105",EPMOlapMemberO(BI27,"[C_MISK].[PARENTH1].[ZM0300105]","ZM0300105 - 水力发电","","000"))</f>
        <v/>
      </c>
      <c r="BJ48" s="384">
        <f>IF(_epmOfflineCondition_,"ZM0300201",EPMOlapMemberO(BJ27,"[C_MISK].[PARENTH1].[ZM0300201]","ZM0300201 - 售热","","000"))</f>
        <v/>
      </c>
      <c r="BK48" s="384">
        <f>IF(_epmOfflineCondition_,"ZM0300202",EPMOlapMemberO(BK27,"[C_MISK].[PARENTH1].[ZM0300202]","ZM0300202 - 售电服务","","000"))</f>
        <v/>
      </c>
      <c r="BL48" s="384">
        <f>IF(_epmOfflineCondition_,"ZM0300106",EPMOlapMemberO(BL27,"[C_MISK].[PARENTH1].[ZM0300106]","ZM0300106 - 其他","","000"))</f>
        <v/>
      </c>
      <c r="BM48" s="384">
        <f>IF(_epmOfflineCondition_,"ZM0300101",EPMOlapMemberO(BM27,"[C_MISK].[PARENTH1].[ZM0300101]","ZM0300101 - 火力发电","","000"))</f>
        <v/>
      </c>
      <c r="BN48" s="384">
        <f>IF(_epmOfflineCondition_,"ZM0300102",EPMOlapMemberO(BN27,"[C_MISK].[PARENTH1].[ZM0300102]","ZM0300102 - 风力发电","","000"))</f>
        <v/>
      </c>
      <c r="BO48" s="384">
        <f>IF(_epmOfflineCondition_,"ZM0300103",EPMOlapMemberO(BO27,"[C_MISK].[PARENTH1].[ZM0300103]","ZM0300103 - 光伏发电","","000"))</f>
        <v/>
      </c>
      <c r="BP48" s="384">
        <f>IF(_epmOfflineCondition_,"ZM0300104",EPMOlapMemberO(BP27,"[C_MISK].[PARENTH1].[ZM0300104]","ZM0300104 - 燃气发电","","000"))</f>
        <v/>
      </c>
      <c r="BQ48" s="384">
        <f>IF(_epmOfflineCondition_,"ZM0300105",EPMOlapMemberO(BQ27,"[C_MISK].[PARENTH1].[ZM0300105]","ZM0300105 - 水力发电","","000"))</f>
        <v/>
      </c>
      <c r="BR48" s="384">
        <f>IF(_epmOfflineCondition_,"ZM0300201",EPMOlapMemberO(BR27,"[C_MISK].[PARENTH1].[ZM0300201]","ZM0300201 - 售热","","000"))</f>
        <v/>
      </c>
      <c r="BS48" s="384">
        <f>IF(_epmOfflineCondition_,"ZM0300202",EPMOlapMemberO(BS27,"[C_MISK].[PARENTH1].[ZM0300202]","ZM0300202 - 售电服务","","000"))</f>
        <v/>
      </c>
      <c r="BT48" s="384">
        <f>IF(_epmOfflineCondition_,"ZM0300106",EPMOlapMemberO(BT27,"[C_MISK].[PARENTH1].[ZM0300106]","ZM0300106 - 其他","","000"))</f>
        <v/>
      </c>
      <c r="BU48" s="384">
        <f>IF(_epmOfflineCondition_,"ZM0300101",EPMOlapMemberO(BU27,"[C_MISK].[PARENTH1].[ZM0300101]","ZM0300101 - 火力发电","","000"))</f>
        <v/>
      </c>
      <c r="BV48" s="384">
        <f>IF(_epmOfflineCondition_,"ZM0300102",EPMOlapMemberO(BV27,"[C_MISK].[PARENTH1].[ZM0300102]","ZM0300102 - 风力发电","","000"))</f>
        <v/>
      </c>
      <c r="BW48" s="384">
        <f>IF(_epmOfflineCondition_,"ZM0300103",EPMOlapMemberO(BW27,"[C_MISK].[PARENTH1].[ZM0300103]","ZM0300103 - 光伏发电","","000"))</f>
        <v/>
      </c>
      <c r="BX48" s="384">
        <f>IF(_epmOfflineCondition_,"ZM0300104",EPMOlapMemberO(BX27,"[C_MISK].[PARENTH1].[ZM0300104]","ZM0300104 - 燃气发电","","000"))</f>
        <v/>
      </c>
      <c r="BY48" s="384">
        <f>IF(_epmOfflineCondition_,"ZM0300105",EPMOlapMemberO(BY27,"[C_MISK].[PARENTH1].[ZM0300105]","ZM0300105 - 水力发电","","000"))</f>
        <v/>
      </c>
      <c r="BZ48" s="384">
        <f>IF(_epmOfflineCondition_,"ZM0300201",EPMOlapMemberO(BZ27,"[C_MISK].[PARENTH1].[ZM0300201]","ZM0300201 - 售热","","000"))</f>
        <v/>
      </c>
      <c r="CA48" s="384">
        <f>IF(_epmOfflineCondition_,"ZM0300202",EPMOlapMemberO(CA27,"[C_MISK].[PARENTH1].[ZM0300202]","ZM0300202 - 售电服务","","000"))</f>
        <v/>
      </c>
      <c r="CB48" s="384">
        <f>IF(_epmOfflineCondition_,"ZM0300106",EPMOlapMemberO(CB27,"[C_MISK].[PARENTH1].[ZM0300106]","ZM0300106 - 其他","","000"))</f>
        <v/>
      </c>
      <c r="CC48" s="384">
        <f>IF(_epmOfflineCondition_,"ZM0300101",EPMOlapMemberO(CC27,"[C_MISK].[PARENTH1].[ZM0300101]","ZM0300101 - 火力发电","","000"))</f>
        <v/>
      </c>
      <c r="CD48" s="384">
        <f>IF(_epmOfflineCondition_,"ZM0300102",EPMOlapMemberO(CD27,"[C_MISK].[PARENTH1].[ZM0300102]","ZM0300102 - 风力发电","","000"))</f>
        <v/>
      </c>
      <c r="CE48" s="384">
        <f>IF(_epmOfflineCondition_,"ZM0300103",EPMOlapMemberO(CE27,"[C_MISK].[PARENTH1].[ZM0300103]","ZM0300103 - 光伏发电","","000"))</f>
        <v/>
      </c>
      <c r="CF48" s="384">
        <f>IF(_epmOfflineCondition_,"ZM0300104",EPMOlapMemberO(CF27,"[C_MISK].[PARENTH1].[ZM0300104]","ZM0300104 - 燃气发电","","000"))</f>
        <v/>
      </c>
      <c r="CG48" s="384">
        <f>IF(_epmOfflineCondition_,"ZM0300105",EPMOlapMemberO(CG27,"[C_MISK].[PARENTH1].[ZM0300105]","ZM0300105 - 水力发电","","000"))</f>
        <v/>
      </c>
      <c r="CH48" s="384">
        <f>IF(_epmOfflineCondition_,"ZM0300201",EPMOlapMemberO(CH27,"[C_MISK].[PARENTH1].[ZM0300201]","ZM0300201 - 售热","","000"))</f>
        <v/>
      </c>
      <c r="CI48" s="384">
        <f>IF(_epmOfflineCondition_,"ZM0300202",EPMOlapMemberO(CI27,"[C_MISK].[PARENTH1].[ZM0300202]","ZM0300202 - 售电服务","","000"))</f>
        <v/>
      </c>
      <c r="CJ48" s="384">
        <f>IF(_epmOfflineCondition_,"ZM0300106",EPMOlapMemberO(CJ27,"[C_MISK].[PARENTH1].[ZM0300106]","ZM0300106 - 其他","","000"))</f>
        <v/>
      </c>
      <c r="CK48" s="384">
        <f>IF(_epmOfflineCondition_,"ZM0300101",EPMOlapMemberO(CK27,"[C_MISK].[PARENTH1].[ZM0300101]","ZM0300101 - 火力发电","","000"))</f>
        <v/>
      </c>
      <c r="CL48" s="384">
        <f>IF(_epmOfflineCondition_,"ZM0300102",EPMOlapMemberO(CL27,"[C_MISK].[PARENTH1].[ZM0300102]","ZM0300102 - 风力发电","","000"))</f>
        <v/>
      </c>
      <c r="CM48" s="384">
        <f>IF(_epmOfflineCondition_,"ZM0300103",EPMOlapMemberO(CM27,"[C_MISK].[PARENTH1].[ZM0300103]","ZM0300103 - 光伏发电","","000"))</f>
        <v/>
      </c>
      <c r="CN48" s="384">
        <f>IF(_epmOfflineCondition_,"ZM0300104",EPMOlapMemberO(CN27,"[C_MISK].[PARENTH1].[ZM0300104]","ZM0300104 - 燃气发电","","000"))</f>
        <v/>
      </c>
      <c r="CO48" s="384">
        <f>IF(_epmOfflineCondition_,"ZM0300105",EPMOlapMemberO(CO27,"[C_MISK].[PARENTH1].[ZM0300105]","ZM0300105 - 水力发电","","000"))</f>
        <v/>
      </c>
      <c r="CP48" s="384">
        <f>IF(_epmOfflineCondition_,"ZM0300201",EPMOlapMemberO(CP27,"[C_MISK].[PARENTH1].[ZM0300201]","ZM0300201 - 售热","","000"))</f>
        <v/>
      </c>
      <c r="CQ48" s="384">
        <f>IF(_epmOfflineCondition_,"ZM0300202",EPMOlapMemberO(CQ27,"[C_MISK].[PARENTH1].[ZM0300202]","ZM0300202 - 售电服务","","000"))</f>
        <v/>
      </c>
      <c r="CR48" s="384">
        <f>IF(_epmOfflineCondition_,"ZM0300106",EPMOlapMemberO(CR27,"[C_MISK].[PARENTH1].[ZM0300106]","ZM0300106 - 其他","","000"))</f>
        <v/>
      </c>
      <c r="CS48" s="384">
        <f>IF(_epmOfflineCondition_,"ZM0300101",EPMOlapMemberO(CS27,"[C_MISK].[PARENTH1].[ZM0300101]","ZM0300101 - 火力发电","","000"))</f>
        <v/>
      </c>
      <c r="CT48" s="384">
        <f>IF(_epmOfflineCondition_,"ZM0300102",EPMOlapMemberO(CT27,"[C_MISK].[PARENTH1].[ZM0300102]","ZM0300102 - 风力发电","","000"))</f>
        <v/>
      </c>
      <c r="CU48" s="384">
        <f>IF(_epmOfflineCondition_,"ZM0300103",EPMOlapMemberO(CU27,"[C_MISK].[PARENTH1].[ZM0300103]","ZM0300103 - 光伏发电","","000"))</f>
        <v/>
      </c>
      <c r="CV48" s="384">
        <f>IF(_epmOfflineCondition_,"ZM0300104",EPMOlapMemberO(CV27,"[C_MISK].[PARENTH1].[ZM0300104]","ZM0300104 - 燃气发电","","000"))</f>
        <v/>
      </c>
      <c r="CW48" s="384">
        <f>IF(_epmOfflineCondition_,"ZM0300105",EPMOlapMemberO(CW27,"[C_MISK].[PARENTH1].[ZM0300105]","ZM0300105 - 水力发电","","000"))</f>
        <v/>
      </c>
      <c r="CX48" s="384">
        <f>IF(_epmOfflineCondition_,"ZM0300201",EPMOlapMemberO(CX27,"[C_MISK].[PARENTH1].[ZM0300201]","ZM0300201 - 售热","","000"))</f>
        <v/>
      </c>
      <c r="CY48" s="384">
        <f>IF(_epmOfflineCondition_,"ZM0300202",EPMOlapMemberO(CY27,"[C_MISK].[PARENTH1].[ZM0300202]","ZM0300202 - 售电服务","","000"))</f>
        <v/>
      </c>
      <c r="CZ48" s="384">
        <f>IF(_epmOfflineCondition_,"ZM0300106",EPMOlapMemberO(CZ27,"[C_MISK].[PARENTH1].[ZM0300106]","ZM0300106 - 其他","","000"))</f>
        <v/>
      </c>
      <c r="DA48" s="384">
        <f>IF(_epmOfflineCondition_,"ZM0300101",EPMOlapMemberO(DA27,"[C_MISK].[PARENTH1].[ZM0300101]","ZM0300101 - 火力发电","","000"))</f>
        <v/>
      </c>
      <c r="DB48" s="384">
        <f>IF(_epmOfflineCondition_,"ZM0300102",EPMOlapMemberO(DB27,"[C_MISK].[PARENTH1].[ZM0300102]","ZM0300102 - 风力发电","","000"))</f>
        <v/>
      </c>
      <c r="DC48" s="384">
        <f>IF(_epmOfflineCondition_,"ZM0300103",EPMOlapMemberO(DC27,"[C_MISK].[PARENTH1].[ZM0300103]","ZM0300103 - 光伏发电","","000"))</f>
        <v/>
      </c>
      <c r="DD48" s="384">
        <f>IF(_epmOfflineCondition_,"ZM0300104",EPMOlapMemberO(DD27,"[C_MISK].[PARENTH1].[ZM0300104]","ZM0300104 - 燃气发电","","000"))</f>
        <v/>
      </c>
      <c r="DE48" s="384">
        <f>IF(_epmOfflineCondition_,"ZM0300105",EPMOlapMemberO(DE27,"[C_MISK].[PARENTH1].[ZM0300105]","ZM0300105 - 水力发电","","000"))</f>
        <v/>
      </c>
      <c r="DF48" s="384">
        <f>IF(_epmOfflineCondition_,"ZM0300201",EPMOlapMemberO(DF27,"[C_MISK].[PARENTH1].[ZM0300201]","ZM0300201 - 售热","","000"))</f>
        <v/>
      </c>
      <c r="DG48" s="384">
        <f>IF(_epmOfflineCondition_,"ZM0300202",EPMOlapMemberO(DG27,"[C_MISK].[PARENTH1].[ZM0300202]","ZM0300202 - 售电服务","","000"))</f>
        <v/>
      </c>
      <c r="DH48" s="384">
        <f>IF(_epmOfflineCondition_,"ZM0300106",EPMOlapMemberO(DH27,"[C_MISK].[PARENTH1].[ZM0300106]","ZM0300106 - 其他","","000"))</f>
        <v/>
      </c>
      <c r="DI48" s="384">
        <f>IF(_epmOfflineCondition_,"ZM0300101",EPMOlapMemberO(DI27,"[C_MISK].[PARENTH1].[ZM0300101]","ZM0300101 - 火力发电","","000"))</f>
        <v/>
      </c>
      <c r="DJ48" s="384">
        <f>IF(_epmOfflineCondition_,"ZM0300102",EPMOlapMemberO(DJ27,"[C_MISK].[PARENTH1].[ZM0300102]","ZM0300102 - 风力发电","","000"))</f>
        <v/>
      </c>
      <c r="DK48" s="384">
        <f>IF(_epmOfflineCondition_,"ZM0300103",EPMOlapMemberO(DK27,"[C_MISK].[PARENTH1].[ZM0300103]","ZM0300103 - 光伏发电","","000"))</f>
        <v/>
      </c>
      <c r="DL48" s="384">
        <f>IF(_epmOfflineCondition_,"ZM0300104",EPMOlapMemberO(DL27,"[C_MISK].[PARENTH1].[ZM0300104]","ZM0300104 - 燃气发电","","000"))</f>
        <v/>
      </c>
      <c r="DM48" s="384">
        <f>IF(_epmOfflineCondition_,"ZM0300105",EPMOlapMemberO(DM27,"[C_MISK].[PARENTH1].[ZM0300105]","ZM0300105 - 水力发电","","000"))</f>
        <v/>
      </c>
      <c r="DN48" s="384">
        <f>IF(_epmOfflineCondition_,"ZM0300201",EPMOlapMemberO(DN27,"[C_MISK].[PARENTH1].[ZM0300201]","ZM0300201 - 售热","","000"))</f>
        <v/>
      </c>
      <c r="DO48" s="384">
        <f>IF(_epmOfflineCondition_,"ZM0300202",EPMOlapMemberO(DO27,"[C_MISK].[PARENTH1].[ZM0300202]","ZM0300202 - 售电服务","","000"))</f>
        <v/>
      </c>
      <c r="DP48" s="384">
        <f>IF(_epmOfflineCondition_,"ZM0300106",EPMOlapMemberO(DP27,"[C_MISK].[PARENTH1].[ZM0300106]","ZM0300106 - 其他","","000"))</f>
        <v/>
      </c>
    </row>
    <row r="49" hidden="1" outlineLevel="1" s="1181">
      <c r="A49" s="384" t="n"/>
      <c r="B49" s="384" t="n"/>
      <c r="C49" s="384" t="n"/>
      <c r="D49" s="384" t="n"/>
      <c r="E49" s="384" t="n"/>
      <c r="F49" s="384" t="n"/>
      <c r="G49" s="384" t="n"/>
      <c r="H49" s="384" t="n"/>
      <c r="I49" s="384" t="n"/>
      <c r="J49" s="384" t="n"/>
      <c r="K49" s="384" t="n"/>
      <c r="L49" s="384" t="n"/>
      <c r="M49" s="384" t="n"/>
      <c r="N49" s="384" t="n"/>
      <c r="O49" s="384" t="n"/>
      <c r="P49" s="384" t="n"/>
      <c r="Q49" s="384" t="n"/>
      <c r="R49" s="384" t="n"/>
      <c r="S49" s="384" t="n"/>
      <c r="T49" s="384" t="n"/>
      <c r="U49" s="384" t="n"/>
      <c r="V49" s="384" t="n"/>
      <c r="W49" s="384" t="n"/>
      <c r="X49" s="384" t="inlineStr">
        <is>
          <t>C_RPTCURRENCY</t>
        </is>
      </c>
      <c r="Y49" s="384">
        <f>IF(_epmOfflineCondition_,"LC",EPMOlapMemberO(Y28,"[C_RPTCURRENCY].[].[LC]","LC - 本位币","","000"))</f>
        <v/>
      </c>
      <c r="Z49" s="384">
        <f>IF(_epmOfflineCondition_,"LC",EPMOlapMemberO(Z28,"[C_RPTCURRENCY].[].[LC]","LC - 本位币","","000"))</f>
        <v/>
      </c>
      <c r="AA49" s="384">
        <f>IF(_epmOfflineCondition_,"LC",EPMOlapMemberO(AA28,"[C_RPTCURRENCY].[].[LC]","LC - 本位币","","000"))</f>
        <v/>
      </c>
      <c r="AB49" s="384">
        <f>IF(_epmOfflineCondition_,"LC",EPMOlapMemberO(AB28,"[C_RPTCURRENCY].[].[LC]","LC - 本位币","","000"))</f>
        <v/>
      </c>
      <c r="AC49" s="384">
        <f>IF(_epmOfflineCondition_,"LC",EPMOlapMemberO(AC28,"[C_RPTCURRENCY].[].[LC]","LC - 本位币","","000"))</f>
        <v/>
      </c>
      <c r="AD49" s="384">
        <f>IF(_epmOfflineCondition_,"LC",EPMOlapMemberO(AD28,"[C_RPTCURRENCY].[].[LC]","LC - 本位币","","000"))</f>
        <v/>
      </c>
      <c r="AE49" s="384">
        <f>IF(_epmOfflineCondition_,"LC",EPMOlapMemberO(AE28,"[C_RPTCURRENCY].[].[LC]","LC - 本位币","","000"))</f>
        <v/>
      </c>
      <c r="AF49" s="384">
        <f>IF(_epmOfflineCondition_,"LC",EPMOlapMemberO(AF28,"[C_RPTCURRENCY].[].[LC]","LC - 本位币","","000"))</f>
        <v/>
      </c>
      <c r="AG49" s="384">
        <f>IF(_epmOfflineCondition_,"LC",EPMOlapMemberO(AG28,"[C_RPTCURRENCY].[].[LC]","LC - 本位币","","000"))</f>
        <v/>
      </c>
      <c r="AH49" s="384">
        <f>IF(_epmOfflineCondition_,"LC",EPMOlapMemberO(AH28,"[C_RPTCURRENCY].[].[LC]","LC - 本位币","","000"))</f>
        <v/>
      </c>
      <c r="AI49" s="384">
        <f>IF(_epmOfflineCondition_,"LC",EPMOlapMemberO(AI28,"[C_RPTCURRENCY].[].[LC]","LC - 本位币","","000"))</f>
        <v/>
      </c>
      <c r="AJ49" s="384">
        <f>IF(_epmOfflineCondition_,"LC",EPMOlapMemberO(AJ28,"[C_RPTCURRENCY].[].[LC]","LC - 本位币","","000"))</f>
        <v/>
      </c>
      <c r="AK49" s="384">
        <f>IF(_epmOfflineCondition_,"LC",EPMOlapMemberO(AK28,"[C_RPTCURRENCY].[].[LC]","LC - 本位币","","000"))</f>
        <v/>
      </c>
      <c r="AL49" s="384">
        <f>IF(_epmOfflineCondition_,"LC",EPMOlapMemberO(AL28,"[C_RPTCURRENCY].[].[LC]","LC - 本位币","","000"))</f>
        <v/>
      </c>
      <c r="AM49" s="384">
        <f>IF(_epmOfflineCondition_,"LC",EPMOlapMemberO(AM28,"[C_RPTCURRENCY].[].[LC]","LC - 本位币","","000"))</f>
        <v/>
      </c>
      <c r="AN49" s="384">
        <f>IF(_epmOfflineCondition_,"LC",EPMOlapMemberO(AN28,"[C_RPTCURRENCY].[].[LC]","LC - 本位币","","000"))</f>
        <v/>
      </c>
      <c r="AO49" s="384">
        <f>IF(_epmOfflineCondition_,"LC",EPMOlapMemberO(AO28,"[C_RPTCURRENCY].[].[LC]","LC - 本位币","","000"))</f>
        <v/>
      </c>
      <c r="AP49" s="384">
        <f>IF(_epmOfflineCondition_,"LC",EPMOlapMemberO(AP28,"[C_RPTCURRENCY].[].[LC]","LC - 本位币","","000"))</f>
        <v/>
      </c>
      <c r="AQ49" s="384">
        <f>IF(_epmOfflineCondition_,"LC",EPMOlapMemberO(AQ28,"[C_RPTCURRENCY].[].[LC]","LC - 本位币","","000"))</f>
        <v/>
      </c>
      <c r="AR49" s="384">
        <f>IF(_epmOfflineCondition_,"LC",EPMOlapMemberO(AR28,"[C_RPTCURRENCY].[].[LC]","LC - 本位币","","000"))</f>
        <v/>
      </c>
      <c r="AS49" s="384">
        <f>IF(_epmOfflineCondition_,"LC",EPMOlapMemberO(AS28,"[C_RPTCURRENCY].[].[LC]","LC - 本位币","","000"))</f>
        <v/>
      </c>
      <c r="AT49" s="384">
        <f>IF(_epmOfflineCondition_,"LC",EPMOlapMemberO(AT28,"[C_RPTCURRENCY].[].[LC]","LC - 本位币","","000"))</f>
        <v/>
      </c>
      <c r="AU49" s="384">
        <f>IF(_epmOfflineCondition_,"LC",EPMOlapMemberO(AU28,"[C_RPTCURRENCY].[].[LC]","LC - 本位币","","000"))</f>
        <v/>
      </c>
      <c r="AV49" s="384">
        <f>IF(_epmOfflineCondition_,"LC",EPMOlapMemberO(AV28,"[C_RPTCURRENCY].[].[LC]","LC - 本位币","","000"))</f>
        <v/>
      </c>
      <c r="AW49" s="384">
        <f>IF(_epmOfflineCondition_,"LC",EPMOlapMemberO(AW28,"[C_RPTCURRENCY].[].[LC]","LC - 本位币","","000"))</f>
        <v/>
      </c>
      <c r="AX49" s="384">
        <f>IF(_epmOfflineCondition_,"LC",EPMOlapMemberO(AX28,"[C_RPTCURRENCY].[].[LC]","LC - 本位币","","000"))</f>
        <v/>
      </c>
      <c r="AY49" s="384">
        <f>IF(_epmOfflineCondition_,"LC",EPMOlapMemberO(AY28,"[C_RPTCURRENCY].[].[LC]","LC - 本位币","","000"))</f>
        <v/>
      </c>
      <c r="AZ49" s="384">
        <f>IF(_epmOfflineCondition_,"LC",EPMOlapMemberO(AZ28,"[C_RPTCURRENCY].[].[LC]","LC - 本位币","","000"))</f>
        <v/>
      </c>
      <c r="BA49" s="384">
        <f>IF(_epmOfflineCondition_,"LC",EPMOlapMemberO(BA28,"[C_RPTCURRENCY].[].[LC]","LC - 本位币","","000"))</f>
        <v/>
      </c>
      <c r="BB49" s="384">
        <f>IF(_epmOfflineCondition_,"LC",EPMOlapMemberO(BB28,"[C_RPTCURRENCY].[].[LC]","LC - 本位币","","000"))</f>
        <v/>
      </c>
      <c r="BC49" s="384">
        <f>IF(_epmOfflineCondition_,"LC",EPMOlapMemberO(BC28,"[C_RPTCURRENCY].[].[LC]","LC - 本位币","","000"))</f>
        <v/>
      </c>
      <c r="BD49" s="384">
        <f>IF(_epmOfflineCondition_,"LC",EPMOlapMemberO(BD28,"[C_RPTCURRENCY].[].[LC]","LC - 本位币","","000"))</f>
        <v/>
      </c>
      <c r="BE49" s="384">
        <f>IF(_epmOfflineCondition_,"LC",EPMOlapMemberO(BE28,"[C_RPTCURRENCY].[].[LC]","LC - 本位币","","000"))</f>
        <v/>
      </c>
      <c r="BF49" s="384">
        <f>IF(_epmOfflineCondition_,"LC",EPMOlapMemberO(BF28,"[C_RPTCURRENCY].[].[LC]","LC - 本位币","","000"))</f>
        <v/>
      </c>
      <c r="BG49" s="384">
        <f>IF(_epmOfflineCondition_,"LC",EPMOlapMemberO(BG28,"[C_RPTCURRENCY].[].[LC]","LC - 本位币","","000"))</f>
        <v/>
      </c>
      <c r="BH49" s="384">
        <f>IF(_epmOfflineCondition_,"LC",EPMOlapMemberO(BH28,"[C_RPTCURRENCY].[].[LC]","LC - 本位币","","000"))</f>
        <v/>
      </c>
      <c r="BI49" s="384">
        <f>IF(_epmOfflineCondition_,"LC",EPMOlapMemberO(BI28,"[C_RPTCURRENCY].[].[LC]","LC - 本位币","","000"))</f>
        <v/>
      </c>
      <c r="BJ49" s="384">
        <f>IF(_epmOfflineCondition_,"LC",EPMOlapMemberO(BJ28,"[C_RPTCURRENCY].[].[LC]","LC - 本位币","","000"))</f>
        <v/>
      </c>
      <c r="BK49" s="384">
        <f>IF(_epmOfflineCondition_,"LC",EPMOlapMemberO(BK28,"[C_RPTCURRENCY].[].[LC]","LC - 本位币","","000"))</f>
        <v/>
      </c>
      <c r="BL49" s="384">
        <f>IF(_epmOfflineCondition_,"LC",EPMOlapMemberO(BL28,"[C_RPTCURRENCY].[].[LC]","LC - 本位币","","000"))</f>
        <v/>
      </c>
      <c r="BM49" s="384">
        <f>IF(_epmOfflineCondition_,"LC",EPMOlapMemberO(BM28,"[C_RPTCURRENCY].[].[LC]","LC - 本位币","","000"))</f>
        <v/>
      </c>
      <c r="BN49" s="384">
        <f>IF(_epmOfflineCondition_,"LC",EPMOlapMemberO(BN28,"[C_RPTCURRENCY].[].[LC]","LC - 本位币","","000"))</f>
        <v/>
      </c>
      <c r="BO49" s="384">
        <f>IF(_epmOfflineCondition_,"LC",EPMOlapMemberO(BO28,"[C_RPTCURRENCY].[].[LC]","LC - 本位币","","000"))</f>
        <v/>
      </c>
      <c r="BP49" s="384">
        <f>IF(_epmOfflineCondition_,"LC",EPMOlapMemberO(BP28,"[C_RPTCURRENCY].[].[LC]","LC - 本位币","","000"))</f>
        <v/>
      </c>
      <c r="BQ49" s="384">
        <f>IF(_epmOfflineCondition_,"LC",EPMOlapMemberO(BQ28,"[C_RPTCURRENCY].[].[LC]","LC - 本位币","","000"))</f>
        <v/>
      </c>
      <c r="BR49" s="384">
        <f>IF(_epmOfflineCondition_,"LC",EPMOlapMemberO(BR28,"[C_RPTCURRENCY].[].[LC]","LC - 本位币","","000"))</f>
        <v/>
      </c>
      <c r="BS49" s="384">
        <f>IF(_epmOfflineCondition_,"LC",EPMOlapMemberO(BS28,"[C_RPTCURRENCY].[].[LC]","LC - 本位币","","000"))</f>
        <v/>
      </c>
      <c r="BT49" s="384">
        <f>IF(_epmOfflineCondition_,"LC",EPMOlapMemberO(BT28,"[C_RPTCURRENCY].[].[LC]","LC - 本位币","","000"))</f>
        <v/>
      </c>
      <c r="BU49" s="384">
        <f>IF(_epmOfflineCondition_,"LC",EPMOlapMemberO(BU28,"[C_RPTCURRENCY].[].[LC]","LC - 本位币","","000"))</f>
        <v/>
      </c>
      <c r="BV49" s="384">
        <f>IF(_epmOfflineCondition_,"LC",EPMOlapMemberO(BV28,"[C_RPTCURRENCY].[].[LC]","LC - 本位币","","000"))</f>
        <v/>
      </c>
      <c r="BW49" s="384">
        <f>IF(_epmOfflineCondition_,"LC",EPMOlapMemberO(BW28,"[C_RPTCURRENCY].[].[LC]","LC - 本位币","","000"))</f>
        <v/>
      </c>
      <c r="BX49" s="384">
        <f>IF(_epmOfflineCondition_,"LC",EPMOlapMemberO(BX28,"[C_RPTCURRENCY].[].[LC]","LC - 本位币","","000"))</f>
        <v/>
      </c>
      <c r="BY49" s="384">
        <f>IF(_epmOfflineCondition_,"LC",EPMOlapMemberO(BY28,"[C_RPTCURRENCY].[].[LC]","LC - 本位币","","000"))</f>
        <v/>
      </c>
      <c r="BZ49" s="384">
        <f>IF(_epmOfflineCondition_,"LC",EPMOlapMemberO(BZ28,"[C_RPTCURRENCY].[].[LC]","LC - 本位币","","000"))</f>
        <v/>
      </c>
      <c r="CA49" s="384">
        <f>IF(_epmOfflineCondition_,"LC",EPMOlapMemberO(CA28,"[C_RPTCURRENCY].[].[LC]","LC - 本位币","","000"))</f>
        <v/>
      </c>
      <c r="CB49" s="384">
        <f>IF(_epmOfflineCondition_,"LC",EPMOlapMemberO(CB28,"[C_RPTCURRENCY].[].[LC]","LC - 本位币","","000"))</f>
        <v/>
      </c>
      <c r="CC49" s="384">
        <f>IF(_epmOfflineCondition_,"LC",EPMOlapMemberO(CC28,"[C_RPTCURRENCY].[].[LC]","LC - 本位币","","000"))</f>
        <v/>
      </c>
      <c r="CD49" s="384">
        <f>IF(_epmOfflineCondition_,"LC",EPMOlapMemberO(CD28,"[C_RPTCURRENCY].[].[LC]","LC - 本位币","","000"))</f>
        <v/>
      </c>
      <c r="CE49" s="384">
        <f>IF(_epmOfflineCondition_,"LC",EPMOlapMemberO(CE28,"[C_RPTCURRENCY].[].[LC]","LC - 本位币","","000"))</f>
        <v/>
      </c>
      <c r="CF49" s="384">
        <f>IF(_epmOfflineCondition_,"LC",EPMOlapMemberO(CF28,"[C_RPTCURRENCY].[].[LC]","LC - 本位币","","000"))</f>
        <v/>
      </c>
      <c r="CG49" s="384">
        <f>IF(_epmOfflineCondition_,"LC",EPMOlapMemberO(CG28,"[C_RPTCURRENCY].[].[LC]","LC - 本位币","","000"))</f>
        <v/>
      </c>
      <c r="CH49" s="384">
        <f>IF(_epmOfflineCondition_,"LC",EPMOlapMemberO(CH28,"[C_RPTCURRENCY].[].[LC]","LC - 本位币","","000"))</f>
        <v/>
      </c>
      <c r="CI49" s="384">
        <f>IF(_epmOfflineCondition_,"LC",EPMOlapMemberO(CI28,"[C_RPTCURRENCY].[].[LC]","LC - 本位币","","000"))</f>
        <v/>
      </c>
      <c r="CJ49" s="384">
        <f>IF(_epmOfflineCondition_,"LC",EPMOlapMemberO(CJ28,"[C_RPTCURRENCY].[].[LC]","LC - 本位币","","000"))</f>
        <v/>
      </c>
      <c r="CK49" s="384">
        <f>IF(_epmOfflineCondition_,"CNY",EPMOlapMemberO(CK28,"[C_RPTCURRENCY].[].[CNY]","CNY - 人民币","","000"))</f>
        <v/>
      </c>
      <c r="CL49" s="384">
        <f>IF(_epmOfflineCondition_,"CNY",EPMOlapMemberO(CL28,"[C_RPTCURRENCY].[].[CNY]","CNY - 人民币","","000"))</f>
        <v/>
      </c>
      <c r="CM49" s="384">
        <f>IF(_epmOfflineCondition_,"CNY",EPMOlapMemberO(CM28,"[C_RPTCURRENCY].[].[CNY]","CNY - 人民币","","000"))</f>
        <v/>
      </c>
      <c r="CN49" s="384">
        <f>IF(_epmOfflineCondition_,"CNY",EPMOlapMemberO(CN28,"[C_RPTCURRENCY].[].[CNY]","CNY - 人民币","","000"))</f>
        <v/>
      </c>
      <c r="CO49" s="384">
        <f>IF(_epmOfflineCondition_,"CNY",EPMOlapMemberO(CO28,"[C_RPTCURRENCY].[].[CNY]","CNY - 人民币","","000"))</f>
        <v/>
      </c>
      <c r="CP49" s="384">
        <f>IF(_epmOfflineCondition_,"CNY",EPMOlapMemberO(CP28,"[C_RPTCURRENCY].[].[CNY]","CNY - 人民币","","000"))</f>
        <v/>
      </c>
      <c r="CQ49" s="384">
        <f>IF(_epmOfflineCondition_,"CNY",EPMOlapMemberO(CQ28,"[C_RPTCURRENCY].[].[CNY]","CNY - 人民币","","000"))</f>
        <v/>
      </c>
      <c r="CR49" s="384">
        <f>IF(_epmOfflineCondition_,"CNY",EPMOlapMemberO(CR28,"[C_RPTCURRENCY].[].[CNY]","CNY - 人民币","","000"))</f>
        <v/>
      </c>
      <c r="CS49" s="384">
        <f>IF(_epmOfflineCondition_,"CNY",EPMOlapMemberO(CS28,"[C_RPTCURRENCY].[].[CNY]","CNY - 人民币","","000"))</f>
        <v/>
      </c>
      <c r="CT49" s="384">
        <f>IF(_epmOfflineCondition_,"CNY",EPMOlapMemberO(CT28,"[C_RPTCURRENCY].[].[CNY]","CNY - 人民币","","000"))</f>
        <v/>
      </c>
      <c r="CU49" s="384">
        <f>IF(_epmOfflineCondition_,"CNY",EPMOlapMemberO(CU28,"[C_RPTCURRENCY].[].[CNY]","CNY - 人民币","","000"))</f>
        <v/>
      </c>
      <c r="CV49" s="384">
        <f>IF(_epmOfflineCondition_,"CNY",EPMOlapMemberO(CV28,"[C_RPTCURRENCY].[].[CNY]","CNY - 人民币","","000"))</f>
        <v/>
      </c>
      <c r="CW49" s="384">
        <f>IF(_epmOfflineCondition_,"CNY",EPMOlapMemberO(CW28,"[C_RPTCURRENCY].[].[CNY]","CNY - 人民币","","000"))</f>
        <v/>
      </c>
      <c r="CX49" s="384">
        <f>IF(_epmOfflineCondition_,"CNY",EPMOlapMemberO(CX28,"[C_RPTCURRENCY].[].[CNY]","CNY - 人民币","","000"))</f>
        <v/>
      </c>
      <c r="CY49" s="384">
        <f>IF(_epmOfflineCondition_,"CNY",EPMOlapMemberO(CY28,"[C_RPTCURRENCY].[].[CNY]","CNY - 人民币","","000"))</f>
        <v/>
      </c>
      <c r="CZ49" s="384">
        <f>IF(_epmOfflineCondition_,"CNY",EPMOlapMemberO(CZ28,"[C_RPTCURRENCY].[].[CNY]","CNY - 人民币","","000"))</f>
        <v/>
      </c>
      <c r="DA49" s="384">
        <f>IF(_epmOfflineCondition_,"CNY",EPMOlapMemberO(DA28,"[C_RPTCURRENCY].[].[CNY]","CNY - 人民币","","000"))</f>
        <v/>
      </c>
      <c r="DB49" s="384">
        <f>IF(_epmOfflineCondition_,"CNY",EPMOlapMemberO(DB28,"[C_RPTCURRENCY].[].[CNY]","CNY - 人民币","","000"))</f>
        <v/>
      </c>
      <c r="DC49" s="384">
        <f>IF(_epmOfflineCondition_,"CNY",EPMOlapMemberO(DC28,"[C_RPTCURRENCY].[].[CNY]","CNY - 人民币","","000"))</f>
        <v/>
      </c>
      <c r="DD49" s="384">
        <f>IF(_epmOfflineCondition_,"CNY",EPMOlapMemberO(DD28,"[C_RPTCURRENCY].[].[CNY]","CNY - 人民币","","000"))</f>
        <v/>
      </c>
      <c r="DE49" s="384">
        <f>IF(_epmOfflineCondition_,"CNY",EPMOlapMemberO(DE28,"[C_RPTCURRENCY].[].[CNY]","CNY - 人民币","","000"))</f>
        <v/>
      </c>
      <c r="DF49" s="384">
        <f>IF(_epmOfflineCondition_,"CNY",EPMOlapMemberO(DF28,"[C_RPTCURRENCY].[].[CNY]","CNY - 人民币","","000"))</f>
        <v/>
      </c>
      <c r="DG49" s="384">
        <f>IF(_epmOfflineCondition_,"CNY",EPMOlapMemberO(DG28,"[C_RPTCURRENCY].[].[CNY]","CNY - 人民币","","000"))</f>
        <v/>
      </c>
      <c r="DH49" s="384">
        <f>IF(_epmOfflineCondition_,"CNY",EPMOlapMemberO(DH28,"[C_RPTCURRENCY].[].[CNY]","CNY - 人民币","","000"))</f>
        <v/>
      </c>
      <c r="DI49" s="384">
        <f>IF(_epmOfflineCondition_,"CNY",EPMOlapMemberO(DI28,"[C_RPTCURRENCY].[].[CNY]","CNY - 人民币","","000"))</f>
        <v/>
      </c>
      <c r="DJ49" s="384">
        <f>IF(_epmOfflineCondition_,"CNY",EPMOlapMemberO(DJ28,"[C_RPTCURRENCY].[].[CNY]","CNY - 人民币","","000"))</f>
        <v/>
      </c>
      <c r="DK49" s="384">
        <f>IF(_epmOfflineCondition_,"CNY",EPMOlapMemberO(DK28,"[C_RPTCURRENCY].[].[CNY]","CNY - 人民币","","000"))</f>
        <v/>
      </c>
      <c r="DL49" s="384">
        <f>IF(_epmOfflineCondition_,"CNY",EPMOlapMemberO(DL28,"[C_RPTCURRENCY].[].[CNY]","CNY - 人民币","","000"))</f>
        <v/>
      </c>
      <c r="DM49" s="384">
        <f>IF(_epmOfflineCondition_,"CNY",EPMOlapMemberO(DM28,"[C_RPTCURRENCY].[].[CNY]","CNY - 人民币","","000"))</f>
        <v/>
      </c>
      <c r="DN49" s="384">
        <f>IF(_epmOfflineCondition_,"CNY",EPMOlapMemberO(DN28,"[C_RPTCURRENCY].[].[CNY]","CNY - 人民币","","000"))</f>
        <v/>
      </c>
      <c r="DO49" s="384">
        <f>IF(_epmOfflineCondition_,"CNY",EPMOlapMemberO(DO28,"[C_RPTCURRENCY].[].[CNY]","CNY - 人民币","","000"))</f>
        <v/>
      </c>
      <c r="DP49" s="384">
        <f>IF(_epmOfflineCondition_,"CNY",EPMOlapMemberO(DP28,"[C_RPTCURRENCY].[].[CNY]","CNY - 人民币","","000"))</f>
        <v/>
      </c>
    </row>
    <row r="50" hidden="1" outlineLevel="1" s="1181">
      <c r="A50" s="384" t="n"/>
      <c r="B50" s="384" t="n"/>
      <c r="C50" s="384" t="n"/>
      <c r="D50" s="384" t="n"/>
      <c r="E50" s="384" t="n"/>
      <c r="F50" s="384" t="n"/>
      <c r="G50" s="384" t="n"/>
      <c r="H50" s="384" t="n"/>
      <c r="I50" s="384" t="n"/>
      <c r="J50" s="384" t="n"/>
      <c r="K50" s="384" t="n"/>
      <c r="L50" s="384" t="n"/>
      <c r="M50" s="384" t="n"/>
      <c r="N50" s="384" t="n"/>
      <c r="O50" s="384" t="n"/>
      <c r="P50" s="384" t="n"/>
      <c r="Q50" s="384" t="n"/>
      <c r="R50" s="384" t="n"/>
      <c r="S50" s="384" t="n"/>
      <c r="T50" s="384" t="n"/>
      <c r="U50" s="384" t="n"/>
      <c r="V50" s="384" t="n"/>
      <c r="W50" s="384" t="n"/>
      <c r="X50" s="384" t="inlineStr">
        <is>
          <t>C_INTERCO</t>
        </is>
      </c>
      <c r="Y50" s="384">
        <f>IF(_epmOfflineCondition_,"I_ALL",EPMOlapMemberO(Y29,"[C_INTERCO].[PARENTH1].[I_ALL]","I_ALL - 全部贸易伙伴","","000"))</f>
        <v/>
      </c>
      <c r="Z50" s="384">
        <f>IF(_epmOfflineCondition_,"I_ALL",EPMOlapMemberO(Z29,"[C_INTERCO].[PARENTH1].[I_ALL]","I_ALL - 全部贸易伙伴","","000"))</f>
        <v/>
      </c>
      <c r="AA50" s="384">
        <f>IF(_epmOfflineCondition_,"I_ALL",EPMOlapMemberO(AA29,"[C_INTERCO].[PARENTH1].[I_ALL]","I_ALL - 全部贸易伙伴","","000"))</f>
        <v/>
      </c>
      <c r="AB50" s="384">
        <f>IF(_epmOfflineCondition_,"I_ALL",EPMOlapMemberO(AB29,"[C_INTERCO].[PARENTH1].[I_ALL]","I_ALL - 全部贸易伙伴","","000"))</f>
        <v/>
      </c>
      <c r="AC50" s="384">
        <f>IF(_epmOfflineCondition_,"I_ALL",EPMOlapMemberO(AC29,"[C_INTERCO].[PARENTH1].[I_ALL]","I_ALL - 全部贸易伙伴","","000"))</f>
        <v/>
      </c>
      <c r="AD50" s="384">
        <f>IF(_epmOfflineCondition_,"I_ALL",EPMOlapMemberO(AD29,"[C_INTERCO].[PARENTH1].[I_ALL]","I_ALL - 全部贸易伙伴","","000"))</f>
        <v/>
      </c>
      <c r="AE50" s="384">
        <f>IF(_epmOfflineCondition_,"I_ALL",EPMOlapMemberO(AE29,"[C_INTERCO].[PARENTH1].[I_ALL]","I_ALL - 全部贸易伙伴","","000"))</f>
        <v/>
      </c>
      <c r="AF50" s="384">
        <f>IF(_epmOfflineCondition_,"I_ALL",EPMOlapMemberO(AF29,"[C_INTERCO].[PARENTH1].[I_ALL]","I_ALL - 全部贸易伙伴","","000"))</f>
        <v/>
      </c>
      <c r="AG50" s="384">
        <f>IF(_epmOfflineCondition_,"I_ALL",EPMOlapMemberO(AG29,"[C_INTERCO].[PARENTH1].[I_ALL]","I_ALL - 全部贸易伙伴","","000"))</f>
        <v/>
      </c>
      <c r="AH50" s="384">
        <f>IF(_epmOfflineCondition_,"I_ALL",EPMOlapMemberO(AH29,"[C_INTERCO].[PARENTH1].[I_ALL]","I_ALL - 全部贸易伙伴","","000"))</f>
        <v/>
      </c>
      <c r="AI50" s="384">
        <f>IF(_epmOfflineCondition_,"I_ALL",EPMOlapMemberO(AI29,"[C_INTERCO].[PARENTH1].[I_ALL]","I_ALL - 全部贸易伙伴","","000"))</f>
        <v/>
      </c>
      <c r="AJ50" s="384">
        <f>IF(_epmOfflineCondition_,"I_ALL",EPMOlapMemberO(AJ29,"[C_INTERCO].[PARENTH1].[I_ALL]","I_ALL - 全部贸易伙伴","","000"))</f>
        <v/>
      </c>
      <c r="AK50" s="384">
        <f>IF(_epmOfflineCondition_,"I_ALL",EPMOlapMemberO(AK29,"[C_INTERCO].[PARENTH1].[I_ALL]","I_ALL - 全部贸易伙伴","","000"))</f>
        <v/>
      </c>
      <c r="AL50" s="384">
        <f>IF(_epmOfflineCondition_,"I_ALL",EPMOlapMemberO(AL29,"[C_INTERCO].[PARENTH1].[I_ALL]","I_ALL - 全部贸易伙伴","","000"))</f>
        <v/>
      </c>
      <c r="AM50" s="384">
        <f>IF(_epmOfflineCondition_,"I_ALL",EPMOlapMemberO(AM29,"[C_INTERCO].[PARENTH1].[I_ALL]","I_ALL - 全部贸易伙伴","","000"))</f>
        <v/>
      </c>
      <c r="AN50" s="384">
        <f>IF(_epmOfflineCondition_,"I_ALL",EPMOlapMemberO(AN29,"[C_INTERCO].[PARENTH1].[I_ALL]","I_ALL - 全部贸易伙伴","","000"))</f>
        <v/>
      </c>
      <c r="AO50" s="384">
        <f>IF(_epmOfflineCondition_,"I_DUMMY",EPMOlapMemberO(AO29,"[C_INTERCO].[PARENTH1].[I_DUMMY]","I_DUMMY - 贸易伙伴无关","","000"))</f>
        <v/>
      </c>
      <c r="AP50" s="384">
        <f>IF(_epmOfflineCondition_,"I_DUMMY",EPMOlapMemberO(AP29,"[C_INTERCO].[PARENTH1].[I_DUMMY]","I_DUMMY - 贸易伙伴无关","","000"))</f>
        <v/>
      </c>
      <c r="AQ50" s="384">
        <f>IF(_epmOfflineCondition_,"I_DUMMY",EPMOlapMemberO(AQ29,"[C_INTERCO].[PARENTH1].[I_DUMMY]","I_DUMMY - 贸易伙伴无关","","000"))</f>
        <v/>
      </c>
      <c r="AR50" s="384">
        <f>IF(_epmOfflineCondition_,"I_DUMMY",EPMOlapMemberO(AR29,"[C_INTERCO].[PARENTH1].[I_DUMMY]","I_DUMMY - 贸易伙伴无关","","000"))</f>
        <v/>
      </c>
      <c r="AS50" s="384">
        <f>IF(_epmOfflineCondition_,"I_DUMMY",EPMOlapMemberO(AS29,"[C_INTERCO].[PARENTH1].[I_DUMMY]","I_DUMMY - 贸易伙伴无关","","000"))</f>
        <v/>
      </c>
      <c r="AT50" s="384">
        <f>IF(_epmOfflineCondition_,"I_DUMMY",EPMOlapMemberO(AT29,"[C_INTERCO].[PARENTH1].[I_DUMMY]","I_DUMMY - 贸易伙伴无关","","000"))</f>
        <v/>
      </c>
      <c r="AU50" s="384">
        <f>IF(_epmOfflineCondition_,"I_DUMMY",EPMOlapMemberO(AU29,"[C_INTERCO].[PARENTH1].[I_DUMMY]","I_DUMMY - 贸易伙伴无关","","000"))</f>
        <v/>
      </c>
      <c r="AV50" s="384">
        <f>IF(_epmOfflineCondition_,"I_DUMMY",EPMOlapMemberO(AV29,"[C_INTERCO].[PARENTH1].[I_DUMMY]","I_DUMMY - 贸易伙伴无关","","000"))</f>
        <v/>
      </c>
      <c r="AW50" s="384">
        <f>IF(_epmOfflineCondition_,"I_ALL",EPMOlapMemberO(AW29,"[C_INTERCO].[PARENTH1].[I_ALL]","I_ALL - 全部贸易伙伴","","000"))</f>
        <v/>
      </c>
      <c r="AX50" s="384">
        <f>IF(_epmOfflineCondition_,"I_ALL",EPMOlapMemberO(AX29,"[C_INTERCO].[PARENTH1].[I_ALL]","I_ALL - 全部贸易伙伴","","000"))</f>
        <v/>
      </c>
      <c r="AY50" s="384">
        <f>IF(_epmOfflineCondition_,"I_ALL",EPMOlapMemberO(AY29,"[C_INTERCO].[PARENTH1].[I_ALL]","I_ALL - 全部贸易伙伴","","000"))</f>
        <v/>
      </c>
      <c r="AZ50" s="384">
        <f>IF(_epmOfflineCondition_,"I_ALL",EPMOlapMemberO(AZ29,"[C_INTERCO].[PARENTH1].[I_ALL]","I_ALL - 全部贸易伙伴","","000"))</f>
        <v/>
      </c>
      <c r="BA50" s="384">
        <f>IF(_epmOfflineCondition_,"I_ALL",EPMOlapMemberO(BA29,"[C_INTERCO].[PARENTH1].[I_ALL]","I_ALL - 全部贸易伙伴","","000"))</f>
        <v/>
      </c>
      <c r="BB50" s="384">
        <f>IF(_epmOfflineCondition_,"I_ALL",EPMOlapMemberO(BB29,"[C_INTERCO].[PARENTH1].[I_ALL]","I_ALL - 全部贸易伙伴","","000"))</f>
        <v/>
      </c>
      <c r="BC50" s="384">
        <f>IF(_epmOfflineCondition_,"I_ALL",EPMOlapMemberO(BC29,"[C_INTERCO].[PARENTH1].[I_ALL]","I_ALL - 全部贸易伙伴","","000"))</f>
        <v/>
      </c>
      <c r="BD50" s="384">
        <f>IF(_epmOfflineCondition_,"I_ALL",EPMOlapMemberO(BD29,"[C_INTERCO].[PARENTH1].[I_ALL]","I_ALL - 全部贸易伙伴","","000"))</f>
        <v/>
      </c>
      <c r="BE50" s="384">
        <f>IF(_epmOfflineCondition_,"I_ALL",EPMOlapMemberO(BE29,"[C_INTERCO].[PARENTH1].[I_ALL]","I_ALL - 全部贸易伙伴","","000"))</f>
        <v/>
      </c>
      <c r="BF50" s="384">
        <f>IF(_epmOfflineCondition_,"I_ALL",EPMOlapMemberO(BF29,"[C_INTERCO].[PARENTH1].[I_ALL]","I_ALL - 全部贸易伙伴","","000"))</f>
        <v/>
      </c>
      <c r="BG50" s="384">
        <f>IF(_epmOfflineCondition_,"I_ALL",EPMOlapMemberO(BG29,"[C_INTERCO].[PARENTH1].[I_ALL]","I_ALL - 全部贸易伙伴","","000"))</f>
        <v/>
      </c>
      <c r="BH50" s="384">
        <f>IF(_epmOfflineCondition_,"I_ALL",EPMOlapMemberO(BH29,"[C_INTERCO].[PARENTH1].[I_ALL]","I_ALL - 全部贸易伙伴","","000"))</f>
        <v/>
      </c>
      <c r="BI50" s="384">
        <f>IF(_epmOfflineCondition_,"I_ALL",EPMOlapMemberO(BI29,"[C_INTERCO].[PARENTH1].[I_ALL]","I_ALL - 全部贸易伙伴","","000"))</f>
        <v/>
      </c>
      <c r="BJ50" s="384">
        <f>IF(_epmOfflineCondition_,"I_ALL",EPMOlapMemberO(BJ29,"[C_INTERCO].[PARENTH1].[I_ALL]","I_ALL - 全部贸易伙伴","","000"))</f>
        <v/>
      </c>
      <c r="BK50" s="384">
        <f>IF(_epmOfflineCondition_,"I_ALL",EPMOlapMemberO(BK29,"[C_INTERCO].[PARENTH1].[I_ALL]","I_ALL - 全部贸易伙伴","","000"))</f>
        <v/>
      </c>
      <c r="BL50" s="384">
        <f>IF(_epmOfflineCondition_,"I_ALL",EPMOlapMemberO(BL29,"[C_INTERCO].[PARENTH1].[I_ALL]","I_ALL - 全部贸易伙伴","","000"))</f>
        <v/>
      </c>
      <c r="BM50" s="384">
        <f>IF(_epmOfflineCondition_,"I_ALL",EPMOlapMemberO(BM29,"[C_INTERCO].[PARENTH1].[I_ALL]","I_ALL - 全部贸易伙伴","","000"))</f>
        <v/>
      </c>
      <c r="BN50" s="384">
        <f>IF(_epmOfflineCondition_,"I_ALL",EPMOlapMemberO(BN29,"[C_INTERCO].[PARENTH1].[I_ALL]","I_ALL - 全部贸易伙伴","","000"))</f>
        <v/>
      </c>
      <c r="BO50" s="384">
        <f>IF(_epmOfflineCondition_,"I_ALL",EPMOlapMemberO(BO29,"[C_INTERCO].[PARENTH1].[I_ALL]","I_ALL - 全部贸易伙伴","","000"))</f>
        <v/>
      </c>
      <c r="BP50" s="384">
        <f>IF(_epmOfflineCondition_,"I_ALL",EPMOlapMemberO(BP29,"[C_INTERCO].[PARENTH1].[I_ALL]","I_ALL - 全部贸易伙伴","","000"))</f>
        <v/>
      </c>
      <c r="BQ50" s="384">
        <f>IF(_epmOfflineCondition_,"I_ALL",EPMOlapMemberO(BQ29,"[C_INTERCO].[PARENTH1].[I_ALL]","I_ALL - 全部贸易伙伴","","000"))</f>
        <v/>
      </c>
      <c r="BR50" s="384">
        <f>IF(_epmOfflineCondition_,"I_ALL",EPMOlapMemberO(BR29,"[C_INTERCO].[PARENTH1].[I_ALL]","I_ALL - 全部贸易伙伴","","000"))</f>
        <v/>
      </c>
      <c r="BS50" s="384">
        <f>IF(_epmOfflineCondition_,"I_ALL",EPMOlapMemberO(BS29,"[C_INTERCO].[PARENTH1].[I_ALL]","I_ALL - 全部贸易伙伴","","000"))</f>
        <v/>
      </c>
      <c r="BT50" s="384">
        <f>IF(_epmOfflineCondition_,"I_ALL",EPMOlapMemberO(BT29,"[C_INTERCO].[PARENTH1].[I_ALL]","I_ALL - 全部贸易伙伴","","000"))</f>
        <v/>
      </c>
      <c r="BU50" s="384">
        <f>IF(_epmOfflineCondition_,"I_ALL",EPMOlapMemberO(BU29,"[C_INTERCO].[PARENTH1].[I_ALL]","I_ALL - 全部贸易伙伴","","000"))</f>
        <v/>
      </c>
      <c r="BV50" s="384">
        <f>IF(_epmOfflineCondition_,"I_ALL",EPMOlapMemberO(BV29,"[C_INTERCO].[PARENTH1].[I_ALL]","I_ALL - 全部贸易伙伴","","000"))</f>
        <v/>
      </c>
      <c r="BW50" s="384">
        <f>IF(_epmOfflineCondition_,"I_ALL",EPMOlapMemberO(BW29,"[C_INTERCO].[PARENTH1].[I_ALL]","I_ALL - 全部贸易伙伴","","000"))</f>
        <v/>
      </c>
      <c r="BX50" s="384">
        <f>IF(_epmOfflineCondition_,"I_ALL",EPMOlapMemberO(BX29,"[C_INTERCO].[PARENTH1].[I_ALL]","I_ALL - 全部贸易伙伴","","000"))</f>
        <v/>
      </c>
      <c r="BY50" s="384">
        <f>IF(_epmOfflineCondition_,"I_ALL",EPMOlapMemberO(BY29,"[C_INTERCO].[PARENTH1].[I_ALL]","I_ALL - 全部贸易伙伴","","000"))</f>
        <v/>
      </c>
      <c r="BZ50" s="384">
        <f>IF(_epmOfflineCondition_,"I_ALL",EPMOlapMemberO(BZ29,"[C_INTERCO].[PARENTH1].[I_ALL]","I_ALL - 全部贸易伙伴","","000"))</f>
        <v/>
      </c>
      <c r="CA50" s="384">
        <f>IF(_epmOfflineCondition_,"I_ALL",EPMOlapMemberO(CA29,"[C_INTERCO].[PARENTH1].[I_ALL]","I_ALL - 全部贸易伙伴","","000"))</f>
        <v/>
      </c>
      <c r="CB50" s="384">
        <f>IF(_epmOfflineCondition_,"I_ALL",EPMOlapMemberO(CB29,"[C_INTERCO].[PARENTH1].[I_ALL]","I_ALL - 全部贸易伙伴","","000"))</f>
        <v/>
      </c>
      <c r="CC50" s="384">
        <f>IF(_epmOfflineCondition_,"I_ALL",EPMOlapMemberO(CC29,"[C_INTERCO].[PARENTH1].[I_ALL]","I_ALL - 全部贸易伙伴","","000"))</f>
        <v/>
      </c>
      <c r="CD50" s="384">
        <f>IF(_epmOfflineCondition_,"I_ALL",EPMOlapMemberO(CD29,"[C_INTERCO].[PARENTH1].[I_ALL]","I_ALL - 全部贸易伙伴","","000"))</f>
        <v/>
      </c>
      <c r="CE50" s="384">
        <f>IF(_epmOfflineCondition_,"I_ALL",EPMOlapMemberO(CE29,"[C_INTERCO].[PARENTH1].[I_ALL]","I_ALL - 全部贸易伙伴","","000"))</f>
        <v/>
      </c>
      <c r="CF50" s="384">
        <f>IF(_epmOfflineCondition_,"I_ALL",EPMOlapMemberO(CF29,"[C_INTERCO].[PARENTH1].[I_ALL]","I_ALL - 全部贸易伙伴","","000"))</f>
        <v/>
      </c>
      <c r="CG50" s="384">
        <f>IF(_epmOfflineCondition_,"I_ALL",EPMOlapMemberO(CG29,"[C_INTERCO].[PARENTH1].[I_ALL]","I_ALL - 全部贸易伙伴","","000"))</f>
        <v/>
      </c>
      <c r="CH50" s="384">
        <f>IF(_epmOfflineCondition_,"I_ALL",EPMOlapMemberO(CH29,"[C_INTERCO].[PARENTH1].[I_ALL]","I_ALL - 全部贸易伙伴","","000"))</f>
        <v/>
      </c>
      <c r="CI50" s="384">
        <f>IF(_epmOfflineCondition_,"I_ALL",EPMOlapMemberO(CI29,"[C_INTERCO].[PARENTH1].[I_ALL]","I_ALL - 全部贸易伙伴","","000"))</f>
        <v/>
      </c>
      <c r="CJ50" s="384">
        <f>IF(_epmOfflineCondition_,"I_ALL",EPMOlapMemberO(CJ29,"[C_INTERCO].[PARENTH1].[I_ALL]","I_ALL - 全部贸易伙伴","","000"))</f>
        <v/>
      </c>
      <c r="CK50" s="384">
        <f>IF(_epmOfflineCondition_,"I_ALL",EPMOlapMemberO(CK29,"[C_INTERCO].[PARENTH1].[I_ALL]","I_ALL - 全部贸易伙伴","","000"))</f>
        <v/>
      </c>
      <c r="CL50" s="384">
        <f>IF(_epmOfflineCondition_,"I_ALL",EPMOlapMemberO(CL29,"[C_INTERCO].[PARENTH1].[I_ALL]","I_ALL - 全部贸易伙伴","","000"))</f>
        <v/>
      </c>
      <c r="CM50" s="384">
        <f>IF(_epmOfflineCondition_,"I_ALL",EPMOlapMemberO(CM29,"[C_INTERCO].[PARENTH1].[I_ALL]","I_ALL - 全部贸易伙伴","","000"))</f>
        <v/>
      </c>
      <c r="CN50" s="384">
        <f>IF(_epmOfflineCondition_,"I_ALL",EPMOlapMemberO(CN29,"[C_INTERCO].[PARENTH1].[I_ALL]","I_ALL - 全部贸易伙伴","","000"))</f>
        <v/>
      </c>
      <c r="CO50" s="384">
        <f>IF(_epmOfflineCondition_,"I_ALL",EPMOlapMemberO(CO29,"[C_INTERCO].[PARENTH1].[I_ALL]","I_ALL - 全部贸易伙伴","","000"))</f>
        <v/>
      </c>
      <c r="CP50" s="384">
        <f>IF(_epmOfflineCondition_,"I_ALL",EPMOlapMemberO(CP29,"[C_INTERCO].[PARENTH1].[I_ALL]","I_ALL - 全部贸易伙伴","","000"))</f>
        <v/>
      </c>
      <c r="CQ50" s="384">
        <f>IF(_epmOfflineCondition_,"I_ALL",EPMOlapMemberO(CQ29,"[C_INTERCO].[PARENTH1].[I_ALL]","I_ALL - 全部贸易伙伴","","000"))</f>
        <v/>
      </c>
      <c r="CR50" s="384">
        <f>IF(_epmOfflineCondition_,"I_ALL",EPMOlapMemberO(CR29,"[C_INTERCO].[PARENTH1].[I_ALL]","I_ALL - 全部贸易伙伴","","000"))</f>
        <v/>
      </c>
      <c r="CS50" s="384">
        <f>IF(_epmOfflineCondition_,"I_ALL",EPMOlapMemberO(CS29,"[C_INTERCO].[PARENTH1].[I_ALL]","I_ALL - 全部贸易伙伴","","000"))</f>
        <v/>
      </c>
      <c r="CT50" s="384">
        <f>IF(_epmOfflineCondition_,"I_ALL",EPMOlapMemberO(CT29,"[C_INTERCO].[PARENTH1].[I_ALL]","I_ALL - 全部贸易伙伴","","000"))</f>
        <v/>
      </c>
      <c r="CU50" s="384">
        <f>IF(_epmOfflineCondition_,"I_ALL",EPMOlapMemberO(CU29,"[C_INTERCO].[PARENTH1].[I_ALL]","I_ALL - 全部贸易伙伴","","000"))</f>
        <v/>
      </c>
      <c r="CV50" s="384">
        <f>IF(_epmOfflineCondition_,"I_ALL",EPMOlapMemberO(CV29,"[C_INTERCO].[PARENTH1].[I_ALL]","I_ALL - 全部贸易伙伴","","000"))</f>
        <v/>
      </c>
      <c r="CW50" s="384">
        <f>IF(_epmOfflineCondition_,"I_ALL",EPMOlapMemberO(CW29,"[C_INTERCO].[PARENTH1].[I_ALL]","I_ALL - 全部贸易伙伴","","000"))</f>
        <v/>
      </c>
      <c r="CX50" s="384">
        <f>IF(_epmOfflineCondition_,"I_ALL",EPMOlapMemberO(CX29,"[C_INTERCO].[PARENTH1].[I_ALL]","I_ALL - 全部贸易伙伴","","000"))</f>
        <v/>
      </c>
      <c r="CY50" s="384">
        <f>IF(_epmOfflineCondition_,"I_ALL",EPMOlapMemberO(CY29,"[C_INTERCO].[PARENTH1].[I_ALL]","I_ALL - 全部贸易伙伴","","000"))</f>
        <v/>
      </c>
      <c r="CZ50" s="384">
        <f>IF(_epmOfflineCondition_,"I_ALL",EPMOlapMemberO(CZ29,"[C_INTERCO].[PARENTH1].[I_ALL]","I_ALL - 全部贸易伙伴","","000"))</f>
        <v/>
      </c>
      <c r="DA50" s="384">
        <f>IF(_epmOfflineCondition_,"I_ALL",EPMOlapMemberO(DA29,"[C_INTERCO].[PARENTH1].[I_ALL]","I_ALL - 全部贸易伙伴","","000"))</f>
        <v/>
      </c>
      <c r="DB50" s="384">
        <f>IF(_epmOfflineCondition_,"I_ALL",EPMOlapMemberO(DB29,"[C_INTERCO].[PARENTH1].[I_ALL]","I_ALL - 全部贸易伙伴","","000"))</f>
        <v/>
      </c>
      <c r="DC50" s="384">
        <f>IF(_epmOfflineCondition_,"I_ALL",EPMOlapMemberO(DC29,"[C_INTERCO].[PARENTH1].[I_ALL]","I_ALL - 全部贸易伙伴","","000"))</f>
        <v/>
      </c>
      <c r="DD50" s="384">
        <f>IF(_epmOfflineCondition_,"I_ALL",EPMOlapMemberO(DD29,"[C_INTERCO].[PARENTH1].[I_ALL]","I_ALL - 全部贸易伙伴","","000"))</f>
        <v/>
      </c>
      <c r="DE50" s="384">
        <f>IF(_epmOfflineCondition_,"I_ALL",EPMOlapMemberO(DE29,"[C_INTERCO].[PARENTH1].[I_ALL]","I_ALL - 全部贸易伙伴","","000"))</f>
        <v/>
      </c>
      <c r="DF50" s="384">
        <f>IF(_epmOfflineCondition_,"I_ALL",EPMOlapMemberO(DF29,"[C_INTERCO].[PARENTH1].[I_ALL]","I_ALL - 全部贸易伙伴","","000"))</f>
        <v/>
      </c>
      <c r="DG50" s="384">
        <f>IF(_epmOfflineCondition_,"I_ALL",EPMOlapMemberO(DG29,"[C_INTERCO].[PARENTH1].[I_ALL]","I_ALL - 全部贸易伙伴","","000"))</f>
        <v/>
      </c>
      <c r="DH50" s="384">
        <f>IF(_epmOfflineCondition_,"I_ALL",EPMOlapMemberO(DH29,"[C_INTERCO].[PARENTH1].[I_ALL]","I_ALL - 全部贸易伙伴","","000"))</f>
        <v/>
      </c>
      <c r="DI50" s="384">
        <f>IF(_epmOfflineCondition_,"I_ALL",EPMOlapMemberO(DI29,"[C_INTERCO].[PARENTH1].[I_ALL]","I_ALL - 全部贸易伙伴","","000"))</f>
        <v/>
      </c>
      <c r="DJ50" s="384">
        <f>IF(_epmOfflineCondition_,"I_ALL",EPMOlapMemberO(DJ29,"[C_INTERCO].[PARENTH1].[I_ALL]","I_ALL - 全部贸易伙伴","","000"))</f>
        <v/>
      </c>
      <c r="DK50" s="384">
        <f>IF(_epmOfflineCondition_,"I_ALL",EPMOlapMemberO(DK29,"[C_INTERCO].[PARENTH1].[I_ALL]","I_ALL - 全部贸易伙伴","","000"))</f>
        <v/>
      </c>
      <c r="DL50" s="384">
        <f>IF(_epmOfflineCondition_,"I_ALL",EPMOlapMemberO(DL29,"[C_INTERCO].[PARENTH1].[I_ALL]","I_ALL - 全部贸易伙伴","","000"))</f>
        <v/>
      </c>
      <c r="DM50" s="384">
        <f>IF(_epmOfflineCondition_,"I_ALL",EPMOlapMemberO(DM29,"[C_INTERCO].[PARENTH1].[I_ALL]","I_ALL - 全部贸易伙伴","","000"))</f>
        <v/>
      </c>
      <c r="DN50" s="384">
        <f>IF(_epmOfflineCondition_,"I_ALL",EPMOlapMemberO(DN29,"[C_INTERCO].[PARENTH1].[I_ALL]","I_ALL - 全部贸易伙伴","","000"))</f>
        <v/>
      </c>
      <c r="DO50" s="384">
        <f>IF(_epmOfflineCondition_,"I_ALL",EPMOlapMemberO(DO29,"[C_INTERCO].[PARENTH1].[I_ALL]","I_ALL - 全部贸易伙伴","","000"))</f>
        <v/>
      </c>
      <c r="DP50" s="384">
        <f>IF(_epmOfflineCondition_,"I_ALL",EPMOlapMemberO(DP29,"[C_INTERCO].[PARENTH1].[I_ALL]","I_ALL - 全部贸易伙伴","","000"))</f>
        <v/>
      </c>
    </row>
    <row r="51" hidden="1" outlineLevel="1" s="1181">
      <c r="A51" s="384" t="n"/>
      <c r="B51" s="384" t="n"/>
      <c r="C51" s="384" t="n"/>
      <c r="D51" s="384" t="n"/>
      <c r="E51" s="384" t="n"/>
      <c r="F51" s="384" t="n"/>
      <c r="G51" s="384" t="n"/>
      <c r="H51" s="384" t="n"/>
      <c r="I51" s="384" t="n"/>
      <c r="J51" s="384" t="n"/>
      <c r="K51" s="384" t="n"/>
      <c r="L51" s="384" t="n"/>
      <c r="M51" s="384" t="n"/>
      <c r="N51" s="384" t="n"/>
      <c r="O51" s="384" t="n"/>
      <c r="P51" s="384" t="n"/>
      <c r="Q51" s="384" t="n"/>
      <c r="R51" s="384" t="n"/>
      <c r="S51" s="384" t="n"/>
      <c r="T51" s="384" t="n"/>
      <c r="U51" s="384" t="n"/>
      <c r="V51" s="384" t="n"/>
      <c r="W51" s="384" t="n"/>
      <c r="X51" s="384" t="inlineStr">
        <is>
          <t>C_PROJECT</t>
        </is>
      </c>
      <c r="Y51" s="384">
        <f>IF(_epmOfflineCondition_,"ZP_ALL",EPMOlapMemberO(Y30,"[C_PROJECT].[PARENTH1].[ZP_ALL]","ZP_ALL - 项目合计","","000"))</f>
        <v/>
      </c>
      <c r="Z51" s="384">
        <f>IF(_epmOfflineCondition_,"ZP_ALL",EPMOlapMemberO(Z30,"[C_PROJECT].[PARENTH1].[ZP_ALL]","ZP_ALL - 项目合计","","000"))</f>
        <v/>
      </c>
      <c r="AA51" s="384">
        <f>IF(_epmOfflineCondition_,"ZP_ALL",EPMOlapMemberO(AA30,"[C_PROJECT].[PARENTH1].[ZP_ALL]","ZP_ALL - 项目合计","","000"))</f>
        <v/>
      </c>
      <c r="AB51" s="384">
        <f>IF(_epmOfflineCondition_,"ZP_ALL",EPMOlapMemberO(AB30,"[C_PROJECT].[PARENTH1].[ZP_ALL]","ZP_ALL - 项目合计","","000"))</f>
        <v/>
      </c>
      <c r="AC51" s="384">
        <f>IF(_epmOfflineCondition_,"ZP_ALL",EPMOlapMemberO(AC30,"[C_PROJECT].[PARENTH1].[ZP_ALL]","ZP_ALL - 项目合计","","000"))</f>
        <v/>
      </c>
      <c r="AD51" s="384">
        <f>IF(_epmOfflineCondition_,"ZP_ALL",EPMOlapMemberO(AD30,"[C_PROJECT].[PARENTH1].[ZP_ALL]","ZP_ALL - 项目合计","","000"))</f>
        <v/>
      </c>
      <c r="AE51" s="384">
        <f>IF(_epmOfflineCondition_,"ZP_ALL",EPMOlapMemberO(AE30,"[C_PROJECT].[PARENTH1].[ZP_ALL]","ZP_ALL - 项目合计","","000"))</f>
        <v/>
      </c>
      <c r="AF51" s="384">
        <f>IF(_epmOfflineCondition_,"ZP_ALL",EPMOlapMemberO(AF30,"[C_PROJECT].[PARENTH1].[ZP_ALL]","ZP_ALL - 项目合计","","000"))</f>
        <v/>
      </c>
      <c r="AG51" s="384">
        <f>IF(_epmOfflineCondition_,"ZP_ALL",EPMOlapMemberO(AG30,"[C_PROJECT].[PARENTH1].[ZP_ALL]","ZP_ALL - 项目合计","","000"))</f>
        <v/>
      </c>
      <c r="AH51" s="384">
        <f>IF(_epmOfflineCondition_,"ZP_ALL",EPMOlapMemberO(AH30,"[C_PROJECT].[PARENTH1].[ZP_ALL]","ZP_ALL - 项目合计","","000"))</f>
        <v/>
      </c>
      <c r="AI51" s="384">
        <f>IF(_epmOfflineCondition_,"ZP_ALL",EPMOlapMemberO(AI30,"[C_PROJECT].[PARENTH1].[ZP_ALL]","ZP_ALL - 项目合计","","000"))</f>
        <v/>
      </c>
      <c r="AJ51" s="384">
        <f>IF(_epmOfflineCondition_,"ZP_ALL",EPMOlapMemberO(AJ30,"[C_PROJECT].[PARENTH1].[ZP_ALL]","ZP_ALL - 项目合计","","000"))</f>
        <v/>
      </c>
      <c r="AK51" s="384">
        <f>IF(_epmOfflineCondition_,"ZP_ALL",EPMOlapMemberO(AK30,"[C_PROJECT].[PARENTH1].[ZP_ALL]","ZP_ALL - 项目合计","","000"))</f>
        <v/>
      </c>
      <c r="AL51" s="384">
        <f>IF(_epmOfflineCondition_,"ZP_ALL",EPMOlapMemberO(AL30,"[C_PROJECT].[PARENTH1].[ZP_ALL]","ZP_ALL - 项目合计","","000"))</f>
        <v/>
      </c>
      <c r="AM51" s="384">
        <f>IF(_epmOfflineCondition_,"ZP_ALL",EPMOlapMemberO(AM30,"[C_PROJECT].[PARENTH1].[ZP_ALL]","ZP_ALL - 项目合计","","000"))</f>
        <v/>
      </c>
      <c r="AN51" s="384">
        <f>IF(_epmOfflineCondition_,"ZP_ALL",EPMOlapMemberO(AN30,"[C_PROJECT].[PARENTH1].[ZP_ALL]","ZP_ALL - 项目合计","","000"))</f>
        <v/>
      </c>
      <c r="AO51" s="384">
        <f>IF(_epmOfflineCondition_,"ZP_DUMMY",EPMOlapMemberO(AO30,"[C_PROJECT].[PARENTH1].[ZP_DUMMY]","ZP_DUMMY - 项目无关","","000"))</f>
        <v/>
      </c>
      <c r="AP51" s="384">
        <f>IF(_epmOfflineCondition_,"ZP_DUMMY",EPMOlapMemberO(AP30,"[C_PROJECT].[PARENTH1].[ZP_DUMMY]","ZP_DUMMY - 项目无关","","000"))</f>
        <v/>
      </c>
      <c r="AQ51" s="384">
        <f>IF(_epmOfflineCondition_,"ZP_DUMMY",EPMOlapMemberO(AQ30,"[C_PROJECT].[PARENTH1].[ZP_DUMMY]","ZP_DUMMY - 项目无关","","000"))</f>
        <v/>
      </c>
      <c r="AR51" s="384">
        <f>IF(_epmOfflineCondition_,"ZP_DUMMY",EPMOlapMemberO(AR30,"[C_PROJECT].[PARENTH1].[ZP_DUMMY]","ZP_DUMMY - 项目无关","","000"))</f>
        <v/>
      </c>
      <c r="AS51" s="384">
        <f>IF(_epmOfflineCondition_,"ZP_DUMMY",EPMOlapMemberO(AS30,"[C_PROJECT].[PARENTH1].[ZP_DUMMY]","ZP_DUMMY - 项目无关","","000"))</f>
        <v/>
      </c>
      <c r="AT51" s="384">
        <f>IF(_epmOfflineCondition_,"ZP_DUMMY",EPMOlapMemberO(AT30,"[C_PROJECT].[PARENTH1].[ZP_DUMMY]","ZP_DUMMY - 项目无关","","000"))</f>
        <v/>
      </c>
      <c r="AU51" s="384">
        <f>IF(_epmOfflineCondition_,"ZP_DUMMY",EPMOlapMemberO(AU30,"[C_PROJECT].[PARENTH1].[ZP_DUMMY]","ZP_DUMMY - 项目无关","","000"))</f>
        <v/>
      </c>
      <c r="AV51" s="384">
        <f>IF(_epmOfflineCondition_,"ZP_DUMMY",EPMOlapMemberO(AV30,"[C_PROJECT].[PARENTH1].[ZP_DUMMY]","ZP_DUMMY - 项目无关","","000"))</f>
        <v/>
      </c>
      <c r="AW51" s="384">
        <f>IF(_epmOfflineCondition_,"ZP_ALL",EPMOlapMemberO(AW30,"[C_PROJECT].[PARENTH1].[ZP_ALL]","ZP_ALL - 项目合计","","000"))</f>
        <v/>
      </c>
      <c r="AX51" s="384">
        <f>IF(_epmOfflineCondition_,"ZP_ALL",EPMOlapMemberO(AX30,"[C_PROJECT].[PARENTH1].[ZP_ALL]","ZP_ALL - 项目合计","","000"))</f>
        <v/>
      </c>
      <c r="AY51" s="384">
        <f>IF(_epmOfflineCondition_,"ZP_ALL",EPMOlapMemberO(AY30,"[C_PROJECT].[PARENTH1].[ZP_ALL]","ZP_ALL - 项目合计","","000"))</f>
        <v/>
      </c>
      <c r="AZ51" s="384">
        <f>IF(_epmOfflineCondition_,"ZP_ALL",EPMOlapMemberO(AZ30,"[C_PROJECT].[PARENTH1].[ZP_ALL]","ZP_ALL - 项目合计","","000"))</f>
        <v/>
      </c>
      <c r="BA51" s="384">
        <f>IF(_epmOfflineCondition_,"ZP_ALL",EPMOlapMemberO(BA30,"[C_PROJECT].[PARENTH1].[ZP_ALL]","ZP_ALL - 项目合计","","000"))</f>
        <v/>
      </c>
      <c r="BB51" s="384">
        <f>IF(_epmOfflineCondition_,"ZP_ALL",EPMOlapMemberO(BB30,"[C_PROJECT].[PARENTH1].[ZP_ALL]","ZP_ALL - 项目合计","","000"))</f>
        <v/>
      </c>
      <c r="BC51" s="384">
        <f>IF(_epmOfflineCondition_,"ZP_ALL",EPMOlapMemberO(BC30,"[C_PROJECT].[PARENTH1].[ZP_ALL]","ZP_ALL - 项目合计","","000"))</f>
        <v/>
      </c>
      <c r="BD51" s="384">
        <f>IF(_epmOfflineCondition_,"ZP_ALL",EPMOlapMemberO(BD30,"[C_PROJECT].[PARENTH1].[ZP_ALL]","ZP_ALL - 项目合计","","000"))</f>
        <v/>
      </c>
      <c r="BE51" s="384">
        <f>IF(_epmOfflineCondition_,"ZP_ALL",EPMOlapMemberO(BE30,"[C_PROJECT].[PARENTH1].[ZP_ALL]","ZP_ALL - 项目合计","","000"))</f>
        <v/>
      </c>
      <c r="BF51" s="384">
        <f>IF(_epmOfflineCondition_,"ZP_ALL",EPMOlapMemberO(BF30,"[C_PROJECT].[PARENTH1].[ZP_ALL]","ZP_ALL - 项目合计","","000"))</f>
        <v/>
      </c>
      <c r="BG51" s="384">
        <f>IF(_epmOfflineCondition_,"ZP_ALL",EPMOlapMemberO(BG30,"[C_PROJECT].[PARENTH1].[ZP_ALL]","ZP_ALL - 项目合计","","000"))</f>
        <v/>
      </c>
      <c r="BH51" s="384">
        <f>IF(_epmOfflineCondition_,"ZP_ALL",EPMOlapMemberO(BH30,"[C_PROJECT].[PARENTH1].[ZP_ALL]","ZP_ALL - 项目合计","","000"))</f>
        <v/>
      </c>
      <c r="BI51" s="384">
        <f>IF(_epmOfflineCondition_,"ZP_ALL",EPMOlapMemberO(BI30,"[C_PROJECT].[PARENTH1].[ZP_ALL]","ZP_ALL - 项目合计","","000"))</f>
        <v/>
      </c>
      <c r="BJ51" s="384">
        <f>IF(_epmOfflineCondition_,"ZP_ALL",EPMOlapMemberO(BJ30,"[C_PROJECT].[PARENTH1].[ZP_ALL]","ZP_ALL - 项目合计","","000"))</f>
        <v/>
      </c>
      <c r="BK51" s="384">
        <f>IF(_epmOfflineCondition_,"ZP_ALL",EPMOlapMemberO(BK30,"[C_PROJECT].[PARENTH1].[ZP_ALL]","ZP_ALL - 项目合计","","000"))</f>
        <v/>
      </c>
      <c r="BL51" s="384">
        <f>IF(_epmOfflineCondition_,"ZP_ALL",EPMOlapMemberO(BL30,"[C_PROJECT].[PARENTH1].[ZP_ALL]","ZP_ALL - 项目合计","","000"))</f>
        <v/>
      </c>
      <c r="BM51" s="384">
        <f>IF(_epmOfflineCondition_,"ZP_ALL",EPMOlapMemberO(BM30,"[C_PROJECT].[PARENTH1].[ZP_ALL]","ZP_ALL - 项目合计","","000"))</f>
        <v/>
      </c>
      <c r="BN51" s="384">
        <f>IF(_epmOfflineCondition_,"ZP_ALL",EPMOlapMemberO(BN30,"[C_PROJECT].[PARENTH1].[ZP_ALL]","ZP_ALL - 项目合计","","000"))</f>
        <v/>
      </c>
      <c r="BO51" s="384">
        <f>IF(_epmOfflineCondition_,"ZP_ALL",EPMOlapMemberO(BO30,"[C_PROJECT].[PARENTH1].[ZP_ALL]","ZP_ALL - 项目合计","","000"))</f>
        <v/>
      </c>
      <c r="BP51" s="384">
        <f>IF(_epmOfflineCondition_,"ZP_ALL",EPMOlapMemberO(BP30,"[C_PROJECT].[PARENTH1].[ZP_ALL]","ZP_ALL - 项目合计","","000"))</f>
        <v/>
      </c>
      <c r="BQ51" s="384">
        <f>IF(_epmOfflineCondition_,"ZP_ALL",EPMOlapMemberO(BQ30,"[C_PROJECT].[PARENTH1].[ZP_ALL]","ZP_ALL - 项目合计","","000"))</f>
        <v/>
      </c>
      <c r="BR51" s="384">
        <f>IF(_epmOfflineCondition_,"ZP_ALL",EPMOlapMemberO(BR30,"[C_PROJECT].[PARENTH1].[ZP_ALL]","ZP_ALL - 项目合计","","000"))</f>
        <v/>
      </c>
      <c r="BS51" s="384">
        <f>IF(_epmOfflineCondition_,"ZP_ALL",EPMOlapMemberO(BS30,"[C_PROJECT].[PARENTH1].[ZP_ALL]","ZP_ALL - 项目合计","","000"))</f>
        <v/>
      </c>
      <c r="BT51" s="384">
        <f>IF(_epmOfflineCondition_,"ZP_ALL",EPMOlapMemberO(BT30,"[C_PROJECT].[PARENTH1].[ZP_ALL]","ZP_ALL - 项目合计","","000"))</f>
        <v/>
      </c>
      <c r="BU51" s="384">
        <f>IF(_epmOfflineCondition_,"ZP_ALL",EPMOlapMemberO(BU30,"[C_PROJECT].[PARENTH1].[ZP_ALL]","ZP_ALL - 项目合计","","000"))</f>
        <v/>
      </c>
      <c r="BV51" s="384">
        <f>IF(_epmOfflineCondition_,"ZP_ALL",EPMOlapMemberO(BV30,"[C_PROJECT].[PARENTH1].[ZP_ALL]","ZP_ALL - 项目合计","","000"))</f>
        <v/>
      </c>
      <c r="BW51" s="384">
        <f>IF(_epmOfflineCondition_,"ZP_ALL",EPMOlapMemberO(BW30,"[C_PROJECT].[PARENTH1].[ZP_ALL]","ZP_ALL - 项目合计","","000"))</f>
        <v/>
      </c>
      <c r="BX51" s="384">
        <f>IF(_epmOfflineCondition_,"ZP_ALL",EPMOlapMemberO(BX30,"[C_PROJECT].[PARENTH1].[ZP_ALL]","ZP_ALL - 项目合计","","000"))</f>
        <v/>
      </c>
      <c r="BY51" s="384">
        <f>IF(_epmOfflineCondition_,"ZP_ALL",EPMOlapMemberO(BY30,"[C_PROJECT].[PARENTH1].[ZP_ALL]","ZP_ALL - 项目合计","","000"))</f>
        <v/>
      </c>
      <c r="BZ51" s="384">
        <f>IF(_epmOfflineCondition_,"ZP_ALL",EPMOlapMemberO(BZ30,"[C_PROJECT].[PARENTH1].[ZP_ALL]","ZP_ALL - 项目合计","","000"))</f>
        <v/>
      </c>
      <c r="CA51" s="384">
        <f>IF(_epmOfflineCondition_,"ZP_ALL",EPMOlapMemberO(CA30,"[C_PROJECT].[PARENTH1].[ZP_ALL]","ZP_ALL - 项目合计","","000"))</f>
        <v/>
      </c>
      <c r="CB51" s="384">
        <f>IF(_epmOfflineCondition_,"ZP_ALL",EPMOlapMemberO(CB30,"[C_PROJECT].[PARENTH1].[ZP_ALL]","ZP_ALL - 项目合计","","000"))</f>
        <v/>
      </c>
      <c r="CC51" s="384">
        <f>IF(_epmOfflineCondition_,"ZP_ALL",EPMOlapMemberO(CC30,"[C_PROJECT].[PARENTH1].[ZP_ALL]","ZP_ALL - 项目合计","","000"))</f>
        <v/>
      </c>
      <c r="CD51" s="384">
        <f>IF(_epmOfflineCondition_,"ZP_ALL",EPMOlapMemberO(CD30,"[C_PROJECT].[PARENTH1].[ZP_ALL]","ZP_ALL - 项目合计","","000"))</f>
        <v/>
      </c>
      <c r="CE51" s="384">
        <f>IF(_epmOfflineCondition_,"ZP_ALL",EPMOlapMemberO(CE30,"[C_PROJECT].[PARENTH1].[ZP_ALL]","ZP_ALL - 项目合计","","000"))</f>
        <v/>
      </c>
      <c r="CF51" s="384">
        <f>IF(_epmOfflineCondition_,"ZP_ALL",EPMOlapMemberO(CF30,"[C_PROJECT].[PARENTH1].[ZP_ALL]","ZP_ALL - 项目合计","","000"))</f>
        <v/>
      </c>
      <c r="CG51" s="384">
        <f>IF(_epmOfflineCondition_,"ZP_ALL",EPMOlapMemberO(CG30,"[C_PROJECT].[PARENTH1].[ZP_ALL]","ZP_ALL - 项目合计","","000"))</f>
        <v/>
      </c>
      <c r="CH51" s="384">
        <f>IF(_epmOfflineCondition_,"ZP_ALL",EPMOlapMemberO(CH30,"[C_PROJECT].[PARENTH1].[ZP_ALL]","ZP_ALL - 项目合计","","000"))</f>
        <v/>
      </c>
      <c r="CI51" s="384">
        <f>IF(_epmOfflineCondition_,"ZP_ALL",EPMOlapMemberO(CI30,"[C_PROJECT].[PARENTH1].[ZP_ALL]","ZP_ALL - 项目合计","","000"))</f>
        <v/>
      </c>
      <c r="CJ51" s="384">
        <f>IF(_epmOfflineCondition_,"ZP_ALL",EPMOlapMemberO(CJ30,"[C_PROJECT].[PARENTH1].[ZP_ALL]","ZP_ALL - 项目合计","","000"))</f>
        <v/>
      </c>
      <c r="CK51" s="384">
        <f>IF(_epmOfflineCondition_,"ZP_ALL",EPMOlapMemberO(CK30,"[C_PROJECT].[PARENTH1].[ZP_ALL]","ZP_ALL - 项目合计","","000"))</f>
        <v/>
      </c>
      <c r="CL51" s="384">
        <f>IF(_epmOfflineCondition_,"ZP_ALL",EPMOlapMemberO(CL30,"[C_PROJECT].[PARENTH1].[ZP_ALL]","ZP_ALL - 项目合计","","000"))</f>
        <v/>
      </c>
      <c r="CM51" s="384">
        <f>IF(_epmOfflineCondition_,"ZP_ALL",EPMOlapMemberO(CM30,"[C_PROJECT].[PARENTH1].[ZP_ALL]","ZP_ALL - 项目合计","","000"))</f>
        <v/>
      </c>
      <c r="CN51" s="384">
        <f>IF(_epmOfflineCondition_,"ZP_ALL",EPMOlapMemberO(CN30,"[C_PROJECT].[PARENTH1].[ZP_ALL]","ZP_ALL - 项目合计","","000"))</f>
        <v/>
      </c>
      <c r="CO51" s="384">
        <f>IF(_epmOfflineCondition_,"ZP_ALL",EPMOlapMemberO(CO30,"[C_PROJECT].[PARENTH1].[ZP_ALL]","ZP_ALL - 项目合计","","000"))</f>
        <v/>
      </c>
      <c r="CP51" s="384">
        <f>IF(_epmOfflineCondition_,"ZP_ALL",EPMOlapMemberO(CP30,"[C_PROJECT].[PARENTH1].[ZP_ALL]","ZP_ALL - 项目合计","","000"))</f>
        <v/>
      </c>
      <c r="CQ51" s="384">
        <f>IF(_epmOfflineCondition_,"ZP_ALL",EPMOlapMemberO(CQ30,"[C_PROJECT].[PARENTH1].[ZP_ALL]","ZP_ALL - 项目合计","","000"))</f>
        <v/>
      </c>
      <c r="CR51" s="384">
        <f>IF(_epmOfflineCondition_,"ZP_ALL",EPMOlapMemberO(CR30,"[C_PROJECT].[PARENTH1].[ZP_ALL]","ZP_ALL - 项目合计","","000"))</f>
        <v/>
      </c>
      <c r="CS51" s="384">
        <f>IF(_epmOfflineCondition_,"ZP_ALL",EPMOlapMemberO(CS30,"[C_PROJECT].[PARENTH1].[ZP_ALL]","ZP_ALL - 项目合计","","000"))</f>
        <v/>
      </c>
      <c r="CT51" s="384">
        <f>IF(_epmOfflineCondition_,"ZP_ALL",EPMOlapMemberO(CT30,"[C_PROJECT].[PARENTH1].[ZP_ALL]","ZP_ALL - 项目合计","","000"))</f>
        <v/>
      </c>
      <c r="CU51" s="384">
        <f>IF(_epmOfflineCondition_,"ZP_ALL",EPMOlapMemberO(CU30,"[C_PROJECT].[PARENTH1].[ZP_ALL]","ZP_ALL - 项目合计","","000"))</f>
        <v/>
      </c>
      <c r="CV51" s="384">
        <f>IF(_epmOfflineCondition_,"ZP_ALL",EPMOlapMemberO(CV30,"[C_PROJECT].[PARENTH1].[ZP_ALL]","ZP_ALL - 项目合计","","000"))</f>
        <v/>
      </c>
      <c r="CW51" s="384">
        <f>IF(_epmOfflineCondition_,"ZP_ALL",EPMOlapMemberO(CW30,"[C_PROJECT].[PARENTH1].[ZP_ALL]","ZP_ALL - 项目合计","","000"))</f>
        <v/>
      </c>
      <c r="CX51" s="384">
        <f>IF(_epmOfflineCondition_,"ZP_ALL",EPMOlapMemberO(CX30,"[C_PROJECT].[PARENTH1].[ZP_ALL]","ZP_ALL - 项目合计","","000"))</f>
        <v/>
      </c>
      <c r="CY51" s="384">
        <f>IF(_epmOfflineCondition_,"ZP_ALL",EPMOlapMemberO(CY30,"[C_PROJECT].[PARENTH1].[ZP_ALL]","ZP_ALL - 项目合计","","000"))</f>
        <v/>
      </c>
      <c r="CZ51" s="384">
        <f>IF(_epmOfflineCondition_,"ZP_ALL",EPMOlapMemberO(CZ30,"[C_PROJECT].[PARENTH1].[ZP_ALL]","ZP_ALL - 项目合计","","000"))</f>
        <v/>
      </c>
      <c r="DA51" s="384">
        <f>IF(_epmOfflineCondition_,"ZP_ALL",EPMOlapMemberO(DA30,"[C_PROJECT].[PARENTH1].[ZP_ALL]","ZP_ALL - 项目合计","","000"))</f>
        <v/>
      </c>
      <c r="DB51" s="384">
        <f>IF(_epmOfflineCondition_,"ZP_ALL",EPMOlapMemberO(DB30,"[C_PROJECT].[PARENTH1].[ZP_ALL]","ZP_ALL - 项目合计","","000"))</f>
        <v/>
      </c>
      <c r="DC51" s="384">
        <f>IF(_epmOfflineCondition_,"ZP_ALL",EPMOlapMemberO(DC30,"[C_PROJECT].[PARENTH1].[ZP_ALL]","ZP_ALL - 项目合计","","000"))</f>
        <v/>
      </c>
      <c r="DD51" s="384">
        <f>IF(_epmOfflineCondition_,"ZP_ALL",EPMOlapMemberO(DD30,"[C_PROJECT].[PARENTH1].[ZP_ALL]","ZP_ALL - 项目合计","","000"))</f>
        <v/>
      </c>
      <c r="DE51" s="384">
        <f>IF(_epmOfflineCondition_,"ZP_ALL",EPMOlapMemberO(DE30,"[C_PROJECT].[PARENTH1].[ZP_ALL]","ZP_ALL - 项目合计","","000"))</f>
        <v/>
      </c>
      <c r="DF51" s="384">
        <f>IF(_epmOfflineCondition_,"ZP_ALL",EPMOlapMemberO(DF30,"[C_PROJECT].[PARENTH1].[ZP_ALL]","ZP_ALL - 项目合计","","000"))</f>
        <v/>
      </c>
      <c r="DG51" s="384">
        <f>IF(_epmOfflineCondition_,"ZP_ALL",EPMOlapMemberO(DG30,"[C_PROJECT].[PARENTH1].[ZP_ALL]","ZP_ALL - 项目合计","","000"))</f>
        <v/>
      </c>
      <c r="DH51" s="384">
        <f>IF(_epmOfflineCondition_,"ZP_ALL",EPMOlapMemberO(DH30,"[C_PROJECT].[PARENTH1].[ZP_ALL]","ZP_ALL - 项目合计","","000"))</f>
        <v/>
      </c>
      <c r="DI51" s="384">
        <f>IF(_epmOfflineCondition_,"ZP_ALL",EPMOlapMemberO(DI30,"[C_PROJECT].[PARENTH1].[ZP_ALL]","ZP_ALL - 项目合计","","000"))</f>
        <v/>
      </c>
      <c r="DJ51" s="384">
        <f>IF(_epmOfflineCondition_,"ZP_ALL",EPMOlapMemberO(DJ30,"[C_PROJECT].[PARENTH1].[ZP_ALL]","ZP_ALL - 项目合计","","000"))</f>
        <v/>
      </c>
      <c r="DK51" s="384">
        <f>IF(_epmOfflineCondition_,"ZP_ALL",EPMOlapMemberO(DK30,"[C_PROJECT].[PARENTH1].[ZP_ALL]","ZP_ALL - 项目合计","","000"))</f>
        <v/>
      </c>
      <c r="DL51" s="384">
        <f>IF(_epmOfflineCondition_,"ZP_ALL",EPMOlapMemberO(DL30,"[C_PROJECT].[PARENTH1].[ZP_ALL]","ZP_ALL - 项目合计","","000"))</f>
        <v/>
      </c>
      <c r="DM51" s="384">
        <f>IF(_epmOfflineCondition_,"ZP_ALL",EPMOlapMemberO(DM30,"[C_PROJECT].[PARENTH1].[ZP_ALL]","ZP_ALL - 项目合计","","000"))</f>
        <v/>
      </c>
      <c r="DN51" s="384">
        <f>IF(_epmOfflineCondition_,"ZP_ALL",EPMOlapMemberO(DN30,"[C_PROJECT].[PARENTH1].[ZP_ALL]","ZP_ALL - 项目合计","","000"))</f>
        <v/>
      </c>
      <c r="DO51" s="384">
        <f>IF(_epmOfflineCondition_,"ZP_ALL",EPMOlapMemberO(DO30,"[C_PROJECT].[PARENTH1].[ZP_ALL]","ZP_ALL - 项目合计","","000"))</f>
        <v/>
      </c>
      <c r="DP51" s="384">
        <f>IF(_epmOfflineCondition_,"ZP_ALL",EPMOlapMemberO(DP30,"[C_PROJECT].[PARENTH1].[ZP_ALL]","ZP_ALL - 项目合计","","000"))</f>
        <v/>
      </c>
    </row>
    <row r="52" hidden="1" outlineLevel="1" s="1181">
      <c r="A52" s="384" t="n"/>
      <c r="B52" s="384" t="n"/>
      <c r="C52" s="384" t="n"/>
      <c r="D52" s="384" t="n"/>
      <c r="E52" s="384" t="n"/>
      <c r="F52" s="384" t="n"/>
      <c r="G52" s="384" t="n"/>
      <c r="H52" s="384" t="n"/>
      <c r="I52" s="384" t="n"/>
      <c r="J52" s="384" t="n"/>
      <c r="K52" s="384" t="n"/>
      <c r="L52" s="384" t="n"/>
      <c r="M52" s="384" t="n"/>
      <c r="N52" s="384" t="n"/>
      <c r="O52" s="384" t="n"/>
      <c r="P52" s="384" t="n"/>
      <c r="Q52" s="384" t="n"/>
      <c r="R52" s="384" t="n"/>
      <c r="S52" s="384" t="n"/>
      <c r="T52" s="384" t="n"/>
      <c r="U52" s="384" t="n"/>
      <c r="V52" s="384" t="n"/>
      <c r="W52" s="384" t="n"/>
      <c r="X52" s="384" t="inlineStr">
        <is>
          <t>C_ITEM</t>
        </is>
      </c>
      <c r="Y52" s="384">
        <f>IF(_epmOfflineCondition_,"ZI_ALL",EPMOlapMemberO(Y31,"[C_ITEM].[PARENTH1].[ZI_ALL]","ZI_ALL - 全部ITEM","","000"))</f>
        <v/>
      </c>
      <c r="Z52" s="384">
        <f>IF(_epmOfflineCondition_,"ZI_ALL",EPMOlapMemberO(Z31,"[C_ITEM].[PARENTH1].[ZI_ALL]","ZI_ALL - 全部ITEM","","000"))</f>
        <v/>
      </c>
      <c r="AA52" s="384">
        <f>IF(_epmOfflineCondition_,"ZI_ALL",EPMOlapMemberO(AA31,"[C_ITEM].[PARENTH1].[ZI_ALL]","ZI_ALL - 全部ITEM","","000"))</f>
        <v/>
      </c>
      <c r="AB52" s="384">
        <f>IF(_epmOfflineCondition_,"ZI_ALL",EPMOlapMemberO(AB31,"[C_ITEM].[PARENTH1].[ZI_ALL]","ZI_ALL - 全部ITEM","","000"))</f>
        <v/>
      </c>
      <c r="AC52" s="384">
        <f>IF(_epmOfflineCondition_,"ZI_ALL",EPMOlapMemberO(AC31,"[C_ITEM].[PARENTH1].[ZI_ALL]","ZI_ALL - 全部ITEM","","000"))</f>
        <v/>
      </c>
      <c r="AD52" s="384">
        <f>IF(_epmOfflineCondition_,"ZI_ALL",EPMOlapMemberO(AD31,"[C_ITEM].[PARENTH1].[ZI_ALL]","ZI_ALL - 全部ITEM","","000"))</f>
        <v/>
      </c>
      <c r="AE52" s="384">
        <f>IF(_epmOfflineCondition_,"ZI_ALL",EPMOlapMemberO(AE31,"[C_ITEM].[PARENTH1].[ZI_ALL]","ZI_ALL - 全部ITEM","","000"))</f>
        <v/>
      </c>
      <c r="AF52" s="384">
        <f>IF(_epmOfflineCondition_,"ZI_ALL",EPMOlapMemberO(AF31,"[C_ITEM].[PARENTH1].[ZI_ALL]","ZI_ALL - 全部ITEM","","000"))</f>
        <v/>
      </c>
      <c r="AG52" s="384">
        <f>IF(_epmOfflineCondition_,"ZI_ALL",EPMOlapMemberO(AG31,"[C_ITEM].[PARENTH1].[ZI_ALL]","ZI_ALL - 全部ITEM","","000"))</f>
        <v/>
      </c>
      <c r="AH52" s="384">
        <f>IF(_epmOfflineCondition_,"ZI_ALL",EPMOlapMemberO(AH31,"[C_ITEM].[PARENTH1].[ZI_ALL]","ZI_ALL - 全部ITEM","","000"))</f>
        <v/>
      </c>
      <c r="AI52" s="384">
        <f>IF(_epmOfflineCondition_,"ZI_ALL",EPMOlapMemberO(AI31,"[C_ITEM].[PARENTH1].[ZI_ALL]","ZI_ALL - 全部ITEM","","000"))</f>
        <v/>
      </c>
      <c r="AJ52" s="384">
        <f>IF(_epmOfflineCondition_,"ZI_ALL",EPMOlapMemberO(AJ31,"[C_ITEM].[PARENTH1].[ZI_ALL]","ZI_ALL - 全部ITEM","","000"))</f>
        <v/>
      </c>
      <c r="AK52" s="384">
        <f>IF(_epmOfflineCondition_,"ZI_ALL",EPMOlapMemberO(AK31,"[C_ITEM].[PARENTH1].[ZI_ALL]","ZI_ALL - 全部ITEM","","000"))</f>
        <v/>
      </c>
      <c r="AL52" s="384">
        <f>IF(_epmOfflineCondition_,"ZI_ALL",EPMOlapMemberO(AL31,"[C_ITEM].[PARENTH1].[ZI_ALL]","ZI_ALL - 全部ITEM","","000"))</f>
        <v/>
      </c>
      <c r="AM52" s="384">
        <f>IF(_epmOfflineCondition_,"ZI_ALL",EPMOlapMemberO(AM31,"[C_ITEM].[PARENTH1].[ZI_ALL]","ZI_ALL - 全部ITEM","","000"))</f>
        <v/>
      </c>
      <c r="AN52" s="384">
        <f>IF(_epmOfflineCondition_,"ZI_ALL",EPMOlapMemberO(AN31,"[C_ITEM].[PARENTH1].[ZI_ALL]","ZI_ALL - 全部ITEM","","000"))</f>
        <v/>
      </c>
      <c r="AO52" s="384">
        <f>IF(_epmOfflineCondition_,"ZI_DUMMY",EPMOlapMemberO(AO31,"[C_ITEM].[PARENTH1].[ZI_DUMMY]","ZI_DUMMY - 与子项无关","","000"))</f>
        <v/>
      </c>
      <c r="AP52" s="384">
        <f>IF(_epmOfflineCondition_,"ZI_DUMMY",EPMOlapMemberO(AP31,"[C_ITEM].[PARENTH1].[ZI_DUMMY]","ZI_DUMMY - 与子项无关","","000"))</f>
        <v/>
      </c>
      <c r="AQ52" s="384">
        <f>IF(_epmOfflineCondition_,"ZI_DUMMY",EPMOlapMemberO(AQ31,"[C_ITEM].[PARENTH1].[ZI_DUMMY]","ZI_DUMMY - 与子项无关","","000"))</f>
        <v/>
      </c>
      <c r="AR52" s="384">
        <f>IF(_epmOfflineCondition_,"ZI_DUMMY",EPMOlapMemberO(AR31,"[C_ITEM].[PARENTH1].[ZI_DUMMY]","ZI_DUMMY - 与子项无关","","000"))</f>
        <v/>
      </c>
      <c r="AS52" s="384">
        <f>IF(_epmOfflineCondition_,"ZI_DUMMY",EPMOlapMemberO(AS31,"[C_ITEM].[PARENTH1].[ZI_DUMMY]","ZI_DUMMY - 与子项无关","","000"))</f>
        <v/>
      </c>
      <c r="AT52" s="384">
        <f>IF(_epmOfflineCondition_,"ZI_DUMMY",EPMOlapMemberO(AT31,"[C_ITEM].[PARENTH1].[ZI_DUMMY]","ZI_DUMMY - 与子项无关","","000"))</f>
        <v/>
      </c>
      <c r="AU52" s="384">
        <f>IF(_epmOfflineCondition_,"ZI_DUMMY",EPMOlapMemberO(AU31,"[C_ITEM].[PARENTH1].[ZI_DUMMY]","ZI_DUMMY - 与子项无关","","000"))</f>
        <v/>
      </c>
      <c r="AV52" s="384">
        <f>IF(_epmOfflineCondition_,"ZI_DUMMY",EPMOlapMemberO(AV31,"[C_ITEM].[PARENTH1].[ZI_DUMMY]","ZI_DUMMY - 与子项无关","","000"))</f>
        <v/>
      </c>
      <c r="AW52" s="384">
        <f>IF(_epmOfflineCondition_,"ZI_ALL",EPMOlapMemberO(AW31,"[C_ITEM].[PARENTH1].[ZI_ALL]","ZI_ALL - 全部ITEM","","000"))</f>
        <v/>
      </c>
      <c r="AX52" s="384">
        <f>IF(_epmOfflineCondition_,"ZI_ALL",EPMOlapMemberO(AX31,"[C_ITEM].[PARENTH1].[ZI_ALL]","ZI_ALL - 全部ITEM","","000"))</f>
        <v/>
      </c>
      <c r="AY52" s="384">
        <f>IF(_epmOfflineCondition_,"ZI_ALL",EPMOlapMemberO(AY31,"[C_ITEM].[PARENTH1].[ZI_ALL]","ZI_ALL - 全部ITEM","","000"))</f>
        <v/>
      </c>
      <c r="AZ52" s="384">
        <f>IF(_epmOfflineCondition_,"ZI_ALL",EPMOlapMemberO(AZ31,"[C_ITEM].[PARENTH1].[ZI_ALL]","ZI_ALL - 全部ITEM","","000"))</f>
        <v/>
      </c>
      <c r="BA52" s="384">
        <f>IF(_epmOfflineCondition_,"ZI_ALL",EPMOlapMemberO(BA31,"[C_ITEM].[PARENTH1].[ZI_ALL]","ZI_ALL - 全部ITEM","","000"))</f>
        <v/>
      </c>
      <c r="BB52" s="384">
        <f>IF(_epmOfflineCondition_,"ZI_ALL",EPMOlapMemberO(BB31,"[C_ITEM].[PARENTH1].[ZI_ALL]","ZI_ALL - 全部ITEM","","000"))</f>
        <v/>
      </c>
      <c r="BC52" s="384">
        <f>IF(_epmOfflineCondition_,"ZI_ALL",EPMOlapMemberO(BC31,"[C_ITEM].[PARENTH1].[ZI_ALL]","ZI_ALL - 全部ITEM","","000"))</f>
        <v/>
      </c>
      <c r="BD52" s="384">
        <f>IF(_epmOfflineCondition_,"ZI_ALL",EPMOlapMemberO(BD31,"[C_ITEM].[PARENTH1].[ZI_ALL]","ZI_ALL - 全部ITEM","","000"))</f>
        <v/>
      </c>
      <c r="BE52" s="384">
        <f>IF(_epmOfflineCondition_,"ZI_ALL",EPMOlapMemberO(BE31,"[C_ITEM].[PARENTH1].[ZI_ALL]","ZI_ALL - 全部ITEM","","000"))</f>
        <v/>
      </c>
      <c r="BF52" s="384">
        <f>IF(_epmOfflineCondition_,"ZI_ALL",EPMOlapMemberO(BF31,"[C_ITEM].[PARENTH1].[ZI_ALL]","ZI_ALL - 全部ITEM","","000"))</f>
        <v/>
      </c>
      <c r="BG52" s="384">
        <f>IF(_epmOfflineCondition_,"ZI_ALL",EPMOlapMemberO(BG31,"[C_ITEM].[PARENTH1].[ZI_ALL]","ZI_ALL - 全部ITEM","","000"))</f>
        <v/>
      </c>
      <c r="BH52" s="384">
        <f>IF(_epmOfflineCondition_,"ZI_ALL",EPMOlapMemberO(BH31,"[C_ITEM].[PARENTH1].[ZI_ALL]","ZI_ALL - 全部ITEM","","000"))</f>
        <v/>
      </c>
      <c r="BI52" s="384">
        <f>IF(_epmOfflineCondition_,"ZI_ALL",EPMOlapMemberO(BI31,"[C_ITEM].[PARENTH1].[ZI_ALL]","ZI_ALL - 全部ITEM","","000"))</f>
        <v/>
      </c>
      <c r="BJ52" s="384">
        <f>IF(_epmOfflineCondition_,"ZI_ALL",EPMOlapMemberO(BJ31,"[C_ITEM].[PARENTH1].[ZI_ALL]","ZI_ALL - 全部ITEM","","000"))</f>
        <v/>
      </c>
      <c r="BK52" s="384">
        <f>IF(_epmOfflineCondition_,"ZI_ALL",EPMOlapMemberO(BK31,"[C_ITEM].[PARENTH1].[ZI_ALL]","ZI_ALL - 全部ITEM","","000"))</f>
        <v/>
      </c>
      <c r="BL52" s="384">
        <f>IF(_epmOfflineCondition_,"ZI_ALL",EPMOlapMemberO(BL31,"[C_ITEM].[PARENTH1].[ZI_ALL]","ZI_ALL - 全部ITEM","","000"))</f>
        <v/>
      </c>
      <c r="BM52" s="384">
        <f>IF(_epmOfflineCondition_,"ZI_ALL",EPMOlapMemberO(BM31,"[C_ITEM].[PARENTH1].[ZI_ALL]","ZI_ALL - 全部ITEM","","000"))</f>
        <v/>
      </c>
      <c r="BN52" s="384">
        <f>IF(_epmOfflineCondition_,"ZI_ALL",EPMOlapMemberO(BN31,"[C_ITEM].[PARENTH1].[ZI_ALL]","ZI_ALL - 全部ITEM","","000"))</f>
        <v/>
      </c>
      <c r="BO52" s="384">
        <f>IF(_epmOfflineCondition_,"ZI_ALL",EPMOlapMemberO(BO31,"[C_ITEM].[PARENTH1].[ZI_ALL]","ZI_ALL - 全部ITEM","","000"))</f>
        <v/>
      </c>
      <c r="BP52" s="384">
        <f>IF(_epmOfflineCondition_,"ZI_ALL",EPMOlapMemberO(BP31,"[C_ITEM].[PARENTH1].[ZI_ALL]","ZI_ALL - 全部ITEM","","000"))</f>
        <v/>
      </c>
      <c r="BQ52" s="384">
        <f>IF(_epmOfflineCondition_,"ZI_ALL",EPMOlapMemberO(BQ31,"[C_ITEM].[PARENTH1].[ZI_ALL]","ZI_ALL - 全部ITEM","","000"))</f>
        <v/>
      </c>
      <c r="BR52" s="384">
        <f>IF(_epmOfflineCondition_,"ZI_ALL",EPMOlapMemberO(BR31,"[C_ITEM].[PARENTH1].[ZI_ALL]","ZI_ALL - 全部ITEM","","000"))</f>
        <v/>
      </c>
      <c r="BS52" s="384">
        <f>IF(_epmOfflineCondition_,"ZI_ALL",EPMOlapMemberO(BS31,"[C_ITEM].[PARENTH1].[ZI_ALL]","ZI_ALL - 全部ITEM","","000"))</f>
        <v/>
      </c>
      <c r="BT52" s="384">
        <f>IF(_epmOfflineCondition_,"ZI_ALL",EPMOlapMemberO(BT31,"[C_ITEM].[PARENTH1].[ZI_ALL]","ZI_ALL - 全部ITEM","","000"))</f>
        <v/>
      </c>
      <c r="BU52" s="384">
        <f>IF(_epmOfflineCondition_,"ZI_ALL",EPMOlapMemberO(BU31,"[C_ITEM].[PARENTH1].[ZI_ALL]","ZI_ALL - 全部ITEM","","000"))</f>
        <v/>
      </c>
      <c r="BV52" s="384">
        <f>IF(_epmOfflineCondition_,"ZI_ALL",EPMOlapMemberO(BV31,"[C_ITEM].[PARENTH1].[ZI_ALL]","ZI_ALL - 全部ITEM","","000"))</f>
        <v/>
      </c>
      <c r="BW52" s="384">
        <f>IF(_epmOfflineCondition_,"ZI_ALL",EPMOlapMemberO(BW31,"[C_ITEM].[PARENTH1].[ZI_ALL]","ZI_ALL - 全部ITEM","","000"))</f>
        <v/>
      </c>
      <c r="BX52" s="384">
        <f>IF(_epmOfflineCondition_,"ZI_ALL",EPMOlapMemberO(BX31,"[C_ITEM].[PARENTH1].[ZI_ALL]","ZI_ALL - 全部ITEM","","000"))</f>
        <v/>
      </c>
      <c r="BY52" s="384">
        <f>IF(_epmOfflineCondition_,"ZI_ALL",EPMOlapMemberO(BY31,"[C_ITEM].[PARENTH1].[ZI_ALL]","ZI_ALL - 全部ITEM","","000"))</f>
        <v/>
      </c>
      <c r="BZ52" s="384">
        <f>IF(_epmOfflineCondition_,"ZI_ALL",EPMOlapMemberO(BZ31,"[C_ITEM].[PARENTH1].[ZI_ALL]","ZI_ALL - 全部ITEM","","000"))</f>
        <v/>
      </c>
      <c r="CA52" s="384">
        <f>IF(_epmOfflineCondition_,"ZI_ALL",EPMOlapMemberO(CA31,"[C_ITEM].[PARENTH1].[ZI_ALL]","ZI_ALL - 全部ITEM","","000"))</f>
        <v/>
      </c>
      <c r="CB52" s="384">
        <f>IF(_epmOfflineCondition_,"ZI_ALL",EPMOlapMemberO(CB31,"[C_ITEM].[PARENTH1].[ZI_ALL]","ZI_ALL - 全部ITEM","","000"))</f>
        <v/>
      </c>
      <c r="CC52" s="384">
        <f>IF(_epmOfflineCondition_,"ZI_ALL",EPMOlapMemberO(CC31,"[C_ITEM].[PARENTH1].[ZI_ALL]","ZI_ALL - 全部ITEM","","000"))</f>
        <v/>
      </c>
      <c r="CD52" s="384">
        <f>IF(_epmOfflineCondition_,"ZI_ALL",EPMOlapMemberO(CD31,"[C_ITEM].[PARENTH1].[ZI_ALL]","ZI_ALL - 全部ITEM","","000"))</f>
        <v/>
      </c>
      <c r="CE52" s="384">
        <f>IF(_epmOfflineCondition_,"ZI_ALL",EPMOlapMemberO(CE31,"[C_ITEM].[PARENTH1].[ZI_ALL]","ZI_ALL - 全部ITEM","","000"))</f>
        <v/>
      </c>
      <c r="CF52" s="384">
        <f>IF(_epmOfflineCondition_,"ZI_ALL",EPMOlapMemberO(CF31,"[C_ITEM].[PARENTH1].[ZI_ALL]","ZI_ALL - 全部ITEM","","000"))</f>
        <v/>
      </c>
      <c r="CG52" s="384">
        <f>IF(_epmOfflineCondition_,"ZI_ALL",EPMOlapMemberO(CG31,"[C_ITEM].[PARENTH1].[ZI_ALL]","ZI_ALL - 全部ITEM","","000"))</f>
        <v/>
      </c>
      <c r="CH52" s="384">
        <f>IF(_epmOfflineCondition_,"ZI_ALL",EPMOlapMemberO(CH31,"[C_ITEM].[PARENTH1].[ZI_ALL]","ZI_ALL - 全部ITEM","","000"))</f>
        <v/>
      </c>
      <c r="CI52" s="384">
        <f>IF(_epmOfflineCondition_,"ZI_ALL",EPMOlapMemberO(CI31,"[C_ITEM].[PARENTH1].[ZI_ALL]","ZI_ALL - 全部ITEM","","000"))</f>
        <v/>
      </c>
      <c r="CJ52" s="384">
        <f>IF(_epmOfflineCondition_,"ZI_ALL",EPMOlapMemberO(CJ31,"[C_ITEM].[PARENTH1].[ZI_ALL]","ZI_ALL - 全部ITEM","","000"))</f>
        <v/>
      </c>
      <c r="CK52" s="384">
        <f>IF(_epmOfflineCondition_,"ZI_ALL",EPMOlapMemberO(CK31,"[C_ITEM].[PARENTH1].[ZI_ALL]","ZI_ALL - 全部ITEM","","000"))</f>
        <v/>
      </c>
      <c r="CL52" s="384">
        <f>IF(_epmOfflineCondition_,"ZI_ALL",EPMOlapMemberO(CL31,"[C_ITEM].[PARENTH1].[ZI_ALL]","ZI_ALL - 全部ITEM","","000"))</f>
        <v/>
      </c>
      <c r="CM52" s="384">
        <f>IF(_epmOfflineCondition_,"ZI_ALL",EPMOlapMemberO(CM31,"[C_ITEM].[PARENTH1].[ZI_ALL]","ZI_ALL - 全部ITEM","","000"))</f>
        <v/>
      </c>
      <c r="CN52" s="384">
        <f>IF(_epmOfflineCondition_,"ZI_ALL",EPMOlapMemberO(CN31,"[C_ITEM].[PARENTH1].[ZI_ALL]","ZI_ALL - 全部ITEM","","000"))</f>
        <v/>
      </c>
      <c r="CO52" s="384">
        <f>IF(_epmOfflineCondition_,"ZI_ALL",EPMOlapMemberO(CO31,"[C_ITEM].[PARENTH1].[ZI_ALL]","ZI_ALL - 全部ITEM","","000"))</f>
        <v/>
      </c>
      <c r="CP52" s="384">
        <f>IF(_epmOfflineCondition_,"ZI_ALL",EPMOlapMemberO(CP31,"[C_ITEM].[PARENTH1].[ZI_ALL]","ZI_ALL - 全部ITEM","","000"))</f>
        <v/>
      </c>
      <c r="CQ52" s="384">
        <f>IF(_epmOfflineCondition_,"ZI_ALL",EPMOlapMemberO(CQ31,"[C_ITEM].[PARENTH1].[ZI_ALL]","ZI_ALL - 全部ITEM","","000"))</f>
        <v/>
      </c>
      <c r="CR52" s="384">
        <f>IF(_epmOfflineCondition_,"ZI_ALL",EPMOlapMemberO(CR31,"[C_ITEM].[PARENTH1].[ZI_ALL]","ZI_ALL - 全部ITEM","","000"))</f>
        <v/>
      </c>
      <c r="CS52" s="384">
        <f>IF(_epmOfflineCondition_,"ZI_ALL",EPMOlapMemberO(CS31,"[C_ITEM].[PARENTH1].[ZI_ALL]","ZI_ALL - 全部ITEM","","000"))</f>
        <v/>
      </c>
      <c r="CT52" s="384">
        <f>IF(_epmOfflineCondition_,"ZI_ALL",EPMOlapMemberO(CT31,"[C_ITEM].[PARENTH1].[ZI_ALL]","ZI_ALL - 全部ITEM","","000"))</f>
        <v/>
      </c>
      <c r="CU52" s="384">
        <f>IF(_epmOfflineCondition_,"ZI_ALL",EPMOlapMemberO(CU31,"[C_ITEM].[PARENTH1].[ZI_ALL]","ZI_ALL - 全部ITEM","","000"))</f>
        <v/>
      </c>
      <c r="CV52" s="384">
        <f>IF(_epmOfflineCondition_,"ZI_ALL",EPMOlapMemberO(CV31,"[C_ITEM].[PARENTH1].[ZI_ALL]","ZI_ALL - 全部ITEM","","000"))</f>
        <v/>
      </c>
      <c r="CW52" s="384">
        <f>IF(_epmOfflineCondition_,"ZI_ALL",EPMOlapMemberO(CW31,"[C_ITEM].[PARENTH1].[ZI_ALL]","ZI_ALL - 全部ITEM","","000"))</f>
        <v/>
      </c>
      <c r="CX52" s="384">
        <f>IF(_epmOfflineCondition_,"ZI_ALL",EPMOlapMemberO(CX31,"[C_ITEM].[PARENTH1].[ZI_ALL]","ZI_ALL - 全部ITEM","","000"))</f>
        <v/>
      </c>
      <c r="CY52" s="384">
        <f>IF(_epmOfflineCondition_,"ZI_ALL",EPMOlapMemberO(CY31,"[C_ITEM].[PARENTH1].[ZI_ALL]","ZI_ALL - 全部ITEM","","000"))</f>
        <v/>
      </c>
      <c r="CZ52" s="384">
        <f>IF(_epmOfflineCondition_,"ZI_ALL",EPMOlapMemberO(CZ31,"[C_ITEM].[PARENTH1].[ZI_ALL]","ZI_ALL - 全部ITEM","","000"))</f>
        <v/>
      </c>
      <c r="DA52" s="384">
        <f>IF(_epmOfflineCondition_,"ZI_ALL",EPMOlapMemberO(DA31,"[C_ITEM].[PARENTH1].[ZI_ALL]","ZI_ALL - 全部ITEM","","000"))</f>
        <v/>
      </c>
      <c r="DB52" s="384">
        <f>IF(_epmOfflineCondition_,"ZI_ALL",EPMOlapMemberO(DB31,"[C_ITEM].[PARENTH1].[ZI_ALL]","ZI_ALL - 全部ITEM","","000"))</f>
        <v/>
      </c>
      <c r="DC52" s="384">
        <f>IF(_epmOfflineCondition_,"ZI_ALL",EPMOlapMemberO(DC31,"[C_ITEM].[PARENTH1].[ZI_ALL]","ZI_ALL - 全部ITEM","","000"))</f>
        <v/>
      </c>
      <c r="DD52" s="384">
        <f>IF(_epmOfflineCondition_,"ZI_ALL",EPMOlapMemberO(DD31,"[C_ITEM].[PARENTH1].[ZI_ALL]","ZI_ALL - 全部ITEM","","000"))</f>
        <v/>
      </c>
      <c r="DE52" s="384">
        <f>IF(_epmOfflineCondition_,"ZI_ALL",EPMOlapMemberO(DE31,"[C_ITEM].[PARENTH1].[ZI_ALL]","ZI_ALL - 全部ITEM","","000"))</f>
        <v/>
      </c>
      <c r="DF52" s="384">
        <f>IF(_epmOfflineCondition_,"ZI_ALL",EPMOlapMemberO(DF31,"[C_ITEM].[PARENTH1].[ZI_ALL]","ZI_ALL - 全部ITEM","","000"))</f>
        <v/>
      </c>
      <c r="DG52" s="384">
        <f>IF(_epmOfflineCondition_,"ZI_ALL",EPMOlapMemberO(DG31,"[C_ITEM].[PARENTH1].[ZI_ALL]","ZI_ALL - 全部ITEM","","000"))</f>
        <v/>
      </c>
      <c r="DH52" s="384">
        <f>IF(_epmOfflineCondition_,"ZI_ALL",EPMOlapMemberO(DH31,"[C_ITEM].[PARENTH1].[ZI_ALL]","ZI_ALL - 全部ITEM","","000"))</f>
        <v/>
      </c>
      <c r="DI52" s="384">
        <f>IF(_epmOfflineCondition_,"ZI_ALL",EPMOlapMemberO(DI31,"[C_ITEM].[PARENTH1].[ZI_ALL]","ZI_ALL - 全部ITEM","","000"))</f>
        <v/>
      </c>
      <c r="DJ52" s="384">
        <f>IF(_epmOfflineCondition_,"ZI_ALL",EPMOlapMemberO(DJ31,"[C_ITEM].[PARENTH1].[ZI_ALL]","ZI_ALL - 全部ITEM","","000"))</f>
        <v/>
      </c>
      <c r="DK52" s="384">
        <f>IF(_epmOfflineCondition_,"ZI_ALL",EPMOlapMemberO(DK31,"[C_ITEM].[PARENTH1].[ZI_ALL]","ZI_ALL - 全部ITEM","","000"))</f>
        <v/>
      </c>
      <c r="DL52" s="384">
        <f>IF(_epmOfflineCondition_,"ZI_ALL",EPMOlapMemberO(DL31,"[C_ITEM].[PARENTH1].[ZI_ALL]","ZI_ALL - 全部ITEM","","000"))</f>
        <v/>
      </c>
      <c r="DM52" s="384">
        <f>IF(_epmOfflineCondition_,"ZI_ALL",EPMOlapMemberO(DM31,"[C_ITEM].[PARENTH1].[ZI_ALL]","ZI_ALL - 全部ITEM","","000"))</f>
        <v/>
      </c>
      <c r="DN52" s="384">
        <f>IF(_epmOfflineCondition_,"ZI_ALL",EPMOlapMemberO(DN31,"[C_ITEM].[PARENTH1].[ZI_ALL]","ZI_ALL - 全部ITEM","","000"))</f>
        <v/>
      </c>
      <c r="DO52" s="384">
        <f>IF(_epmOfflineCondition_,"ZI_ALL",EPMOlapMemberO(DO31,"[C_ITEM].[PARENTH1].[ZI_ALL]","ZI_ALL - 全部ITEM","","000"))</f>
        <v/>
      </c>
      <c r="DP52" s="384">
        <f>IF(_epmOfflineCondition_,"ZI_ALL",EPMOlapMemberO(DP31,"[C_ITEM].[PARENTH1].[ZI_ALL]","ZI_ALL - 全部ITEM","","000"))</f>
        <v/>
      </c>
    </row>
    <row r="53" hidden="1" outlineLevel="1" s="1181">
      <c r="A53" s="384" t="n"/>
      <c r="B53" s="384" t="n"/>
      <c r="C53" s="384" t="n"/>
      <c r="D53" s="384" t="n"/>
      <c r="E53" s="384" t="n"/>
      <c r="F53" s="384" t="n"/>
      <c r="G53" s="384" t="n"/>
      <c r="H53" s="384" t="n"/>
      <c r="I53" s="384" t="n"/>
      <c r="J53" s="384" t="n"/>
      <c r="K53" s="384" t="n"/>
      <c r="L53" s="384" t="n"/>
      <c r="M53" s="384" t="n"/>
      <c r="N53" s="384" t="n"/>
      <c r="O53" s="384" t="n"/>
      <c r="P53" s="384" t="n"/>
      <c r="Q53" s="384" t="n"/>
      <c r="R53" s="384" t="n"/>
      <c r="S53" s="384" t="n"/>
      <c r="T53" s="384" t="n"/>
      <c r="U53" s="384" t="n"/>
      <c r="V53" s="384" t="n"/>
      <c r="W53" s="384" t="n"/>
      <c r="X53" s="384" t="inlineStr">
        <is>
          <t>C_AUDITTRAIL</t>
        </is>
      </c>
      <c r="Y53" s="384">
        <f>IF(_epmOfflineCondition_,"DALL",EPMOlapMemberO(Y24,"[C_AUDITTRAIL].[PARENTH1].[DALL]","DALL - 合并后","","000"))</f>
        <v/>
      </c>
      <c r="Z53" s="384">
        <f>IF(_epmOfflineCondition_,"DALL",EPMOlapMemberO(Z24,"[C_AUDITTRAIL].[PARENTH1].[DALL]","DALL - 合并后","","000"))</f>
        <v/>
      </c>
      <c r="AA53" s="384">
        <f>IF(_epmOfflineCondition_,"DALL",EPMOlapMemberO(AA24,"[C_AUDITTRAIL].[PARENTH1].[DALL]","DALL - 合并后","","000"))</f>
        <v/>
      </c>
      <c r="AB53" s="384">
        <f>IF(_epmOfflineCondition_,"DALL",EPMOlapMemberO(AB24,"[C_AUDITTRAIL].[PARENTH1].[DALL]","DALL - 合并后","","000"))</f>
        <v/>
      </c>
      <c r="AC53" s="384">
        <f>IF(_epmOfflineCondition_,"DALL",EPMOlapMemberO(AC24,"[C_AUDITTRAIL].[PARENTH1].[DALL]","DALL - 合并后","","000"))</f>
        <v/>
      </c>
      <c r="AD53" s="384">
        <f>IF(_epmOfflineCondition_,"DALL",EPMOlapMemberO(AD24,"[C_AUDITTRAIL].[PARENTH1].[DALL]","DALL - 合并后","","000"))</f>
        <v/>
      </c>
      <c r="AE53" s="384">
        <f>IF(_epmOfflineCondition_,"DALL",EPMOlapMemberO(AE24,"[C_AUDITTRAIL].[PARENTH1].[DALL]","DALL - 合并后","","000"))</f>
        <v/>
      </c>
      <c r="AF53" s="384">
        <f>IF(_epmOfflineCondition_,"DALL",EPMOlapMemberO(AF24,"[C_AUDITTRAIL].[PARENTH1].[DALL]","DALL - 合并后","","000"))</f>
        <v/>
      </c>
      <c r="AG53" s="384">
        <f>IF(_epmOfflineCondition_,"DALL",EPMOlapMemberO(AG24,"[C_AUDITTRAIL].[PARENTH1].[DALL]","DALL - 合并后","","000"))</f>
        <v/>
      </c>
      <c r="AH53" s="384">
        <f>IF(_epmOfflineCondition_,"DALL",EPMOlapMemberO(AH24,"[C_AUDITTRAIL].[PARENTH1].[DALL]","DALL - 合并后","","000"))</f>
        <v/>
      </c>
      <c r="AI53" s="384">
        <f>IF(_epmOfflineCondition_,"DALL",EPMOlapMemberO(AI24,"[C_AUDITTRAIL].[PARENTH1].[DALL]","DALL - 合并后","","000"))</f>
        <v/>
      </c>
      <c r="AJ53" s="384">
        <f>IF(_epmOfflineCondition_,"DALL",EPMOlapMemberO(AJ24,"[C_AUDITTRAIL].[PARENTH1].[DALL]","DALL - 合并后","","000"))</f>
        <v/>
      </c>
      <c r="AK53" s="384">
        <f>IF(_epmOfflineCondition_,"DALL",EPMOlapMemberO(AK24,"[C_AUDITTRAIL].[PARENTH1].[DALL]","DALL - 合并后","","000"))</f>
        <v/>
      </c>
      <c r="AL53" s="384">
        <f>IF(_epmOfflineCondition_,"DALL",EPMOlapMemberO(AL24,"[C_AUDITTRAIL].[PARENTH1].[DALL]","DALL - 合并后","","000"))</f>
        <v/>
      </c>
      <c r="AM53" s="384">
        <f>IF(_epmOfflineCondition_,"DALL",EPMOlapMemberO(AM24,"[C_AUDITTRAIL].[PARENTH1].[DALL]","DALL - 合并后","","000"))</f>
        <v/>
      </c>
      <c r="AN53" s="384">
        <f>IF(_epmOfflineCondition_,"DALL",EPMOlapMemberO(AN24,"[C_AUDITTRAIL].[PARENTH1].[DALL]","DALL - 合并后","","000"))</f>
        <v/>
      </c>
      <c r="AO53" s="384">
        <f>IF(_epmOfflineCondition_,"D1110",EPMOlapMemberO(AO24,"[C_AUDITTRAIL].[PARENTH1].[D1110]","D1110 - 平台表单手工输入","","000"))</f>
        <v/>
      </c>
      <c r="AP53" s="384">
        <f>IF(_epmOfflineCondition_,"D1110",EPMOlapMemberO(AP24,"[C_AUDITTRAIL].[PARENTH1].[D1110]","D1110 - 平台表单手工输入","","000"))</f>
        <v/>
      </c>
      <c r="AQ53" s="384">
        <f>IF(_epmOfflineCondition_,"D1110",EPMOlapMemberO(AQ24,"[C_AUDITTRAIL].[PARENTH1].[D1110]","D1110 - 平台表单手工输入","","000"))</f>
        <v/>
      </c>
      <c r="AR53" s="384">
        <f>IF(_epmOfflineCondition_,"D1110",EPMOlapMemberO(AR24,"[C_AUDITTRAIL].[PARENTH1].[D1110]","D1110 - 平台表单手工输入","","000"))</f>
        <v/>
      </c>
      <c r="AS53" s="384">
        <f>IF(_epmOfflineCondition_,"D1110",EPMOlapMemberO(AS24,"[C_AUDITTRAIL].[PARENTH1].[D1110]","D1110 - 平台表单手工输入","","000"))</f>
        <v/>
      </c>
      <c r="AT53" s="384">
        <f>IF(_epmOfflineCondition_,"D1110",EPMOlapMemberO(AT24,"[C_AUDITTRAIL].[PARENTH1].[D1110]","D1110 - 平台表单手工输入","","000"))</f>
        <v/>
      </c>
      <c r="AU53" s="384">
        <f>IF(_epmOfflineCondition_,"D1110",EPMOlapMemberO(AU24,"[C_AUDITTRAIL].[PARENTH1].[D1110]","D1110 - 平台表单手工输入","","000"))</f>
        <v/>
      </c>
      <c r="AV53" s="384">
        <f>IF(_epmOfflineCondition_,"D1110",EPMOlapMemberO(AV24,"[C_AUDITTRAIL].[PARENTH1].[D1110]","D1110 - 平台表单手工输入","","000"))</f>
        <v/>
      </c>
      <c r="AW53" s="384">
        <f>IF(_epmOfflineCondition_,"DALL",EPMOlapMemberO(AW24,"[C_AUDITTRAIL].[PARENTH1].[DALL]","DALL - 合并后","","000"))</f>
        <v/>
      </c>
      <c r="AX53" s="384">
        <f>IF(_epmOfflineCondition_,"DALL",EPMOlapMemberO(AX24,"[C_AUDITTRAIL].[PARENTH1].[DALL]","DALL - 合并后","","000"))</f>
        <v/>
      </c>
      <c r="AY53" s="384">
        <f>IF(_epmOfflineCondition_,"DALL",EPMOlapMemberO(AY24,"[C_AUDITTRAIL].[PARENTH1].[DALL]","DALL - 合并后","","000"))</f>
        <v/>
      </c>
      <c r="AZ53" s="384">
        <f>IF(_epmOfflineCondition_,"DALL",EPMOlapMemberO(AZ24,"[C_AUDITTRAIL].[PARENTH1].[DALL]","DALL - 合并后","","000"))</f>
        <v/>
      </c>
      <c r="BA53" s="384">
        <f>IF(_epmOfflineCondition_,"DALL",EPMOlapMemberO(BA24,"[C_AUDITTRAIL].[PARENTH1].[DALL]","DALL - 合并后","","000"))</f>
        <v/>
      </c>
      <c r="BB53" s="384">
        <f>IF(_epmOfflineCondition_,"DALL",EPMOlapMemberO(BB24,"[C_AUDITTRAIL].[PARENTH1].[DALL]","DALL - 合并后","","000"))</f>
        <v/>
      </c>
      <c r="BC53" s="384">
        <f>IF(_epmOfflineCondition_,"DALL",EPMOlapMemberO(BC24,"[C_AUDITTRAIL].[PARENTH1].[DALL]","DALL - 合并后","","000"))</f>
        <v/>
      </c>
      <c r="BD53" s="384">
        <f>IF(_epmOfflineCondition_,"DALL",EPMOlapMemberO(BD24,"[C_AUDITTRAIL].[PARENTH1].[DALL]","DALL - 合并后","","000"))</f>
        <v/>
      </c>
      <c r="BE53" s="384">
        <f>IF(_epmOfflineCondition_,"DALL",EPMOlapMemberO(BE24,"[C_AUDITTRAIL].[PARENTH1].[DALL]","DALL - 合并后","","000"))</f>
        <v/>
      </c>
      <c r="BF53" s="384">
        <f>IF(_epmOfflineCondition_,"DALL",EPMOlapMemberO(BF24,"[C_AUDITTRAIL].[PARENTH1].[DALL]","DALL - 合并后","","000"))</f>
        <v/>
      </c>
      <c r="BG53" s="384">
        <f>IF(_epmOfflineCondition_,"DALL",EPMOlapMemberO(BG24,"[C_AUDITTRAIL].[PARENTH1].[DALL]","DALL - 合并后","","000"))</f>
        <v/>
      </c>
      <c r="BH53" s="384">
        <f>IF(_epmOfflineCondition_,"DALL",EPMOlapMemberO(BH24,"[C_AUDITTRAIL].[PARENTH1].[DALL]","DALL - 合并后","","000"))</f>
        <v/>
      </c>
      <c r="BI53" s="384">
        <f>IF(_epmOfflineCondition_,"DALL",EPMOlapMemberO(BI24,"[C_AUDITTRAIL].[PARENTH1].[DALL]","DALL - 合并后","","000"))</f>
        <v/>
      </c>
      <c r="BJ53" s="384">
        <f>IF(_epmOfflineCondition_,"DALL",EPMOlapMemberO(BJ24,"[C_AUDITTRAIL].[PARENTH1].[DALL]","DALL - 合并后","","000"))</f>
        <v/>
      </c>
      <c r="BK53" s="384">
        <f>IF(_epmOfflineCondition_,"DALL",EPMOlapMemberO(BK24,"[C_AUDITTRAIL].[PARENTH1].[DALL]","DALL - 合并后","","000"))</f>
        <v/>
      </c>
      <c r="BL53" s="384">
        <f>IF(_epmOfflineCondition_,"DALL",EPMOlapMemberO(BL24,"[C_AUDITTRAIL].[PARENTH1].[DALL]","DALL - 合并后","","000"))</f>
        <v/>
      </c>
      <c r="BM53" s="384">
        <f>IF(_epmOfflineCondition_,"DALL",EPMOlapMemberO(BM24,"[C_AUDITTRAIL].[PARENTH1].[DALL]","DALL - 合并后","","000"))</f>
        <v/>
      </c>
      <c r="BN53" s="384">
        <f>IF(_epmOfflineCondition_,"DALL",EPMOlapMemberO(BN24,"[C_AUDITTRAIL].[PARENTH1].[DALL]","DALL - 合并后","","000"))</f>
        <v/>
      </c>
      <c r="BO53" s="384">
        <f>IF(_epmOfflineCondition_,"DALL",EPMOlapMemberO(BO24,"[C_AUDITTRAIL].[PARENTH1].[DALL]","DALL - 合并后","","000"))</f>
        <v/>
      </c>
      <c r="BP53" s="384">
        <f>IF(_epmOfflineCondition_,"DALL",EPMOlapMemberO(BP24,"[C_AUDITTRAIL].[PARENTH1].[DALL]","DALL - 合并后","","000"))</f>
        <v/>
      </c>
      <c r="BQ53" s="384">
        <f>IF(_epmOfflineCondition_,"DALL",EPMOlapMemberO(BQ24,"[C_AUDITTRAIL].[PARENTH1].[DALL]","DALL - 合并后","","000"))</f>
        <v/>
      </c>
      <c r="BR53" s="384">
        <f>IF(_epmOfflineCondition_,"DALL",EPMOlapMemberO(BR24,"[C_AUDITTRAIL].[PARENTH1].[DALL]","DALL - 合并后","","000"))</f>
        <v/>
      </c>
      <c r="BS53" s="384">
        <f>IF(_epmOfflineCondition_,"DALL",EPMOlapMemberO(BS24,"[C_AUDITTRAIL].[PARENTH1].[DALL]","DALL - 合并后","","000"))</f>
        <v/>
      </c>
      <c r="BT53" s="384">
        <f>IF(_epmOfflineCondition_,"DALL",EPMOlapMemberO(BT24,"[C_AUDITTRAIL].[PARENTH1].[DALL]","DALL - 合并后","","000"))</f>
        <v/>
      </c>
      <c r="BU53" s="384">
        <f>IF(_epmOfflineCondition_,"DALL",EPMOlapMemberO(BU24,"[C_AUDITTRAIL].[PARENTH1].[DALL]","DALL - 合并后","","000"))</f>
        <v/>
      </c>
      <c r="BV53" s="384">
        <f>IF(_epmOfflineCondition_,"DALL",EPMOlapMemberO(BV24,"[C_AUDITTRAIL].[PARENTH1].[DALL]","DALL - 合并后","","000"))</f>
        <v/>
      </c>
      <c r="BW53" s="384">
        <f>IF(_epmOfflineCondition_,"DALL",EPMOlapMemberO(BW24,"[C_AUDITTRAIL].[PARENTH1].[DALL]","DALL - 合并后","","000"))</f>
        <v/>
      </c>
      <c r="BX53" s="384">
        <f>IF(_epmOfflineCondition_,"DALL",EPMOlapMemberO(BX24,"[C_AUDITTRAIL].[PARENTH1].[DALL]","DALL - 合并后","","000"))</f>
        <v/>
      </c>
      <c r="BY53" s="384">
        <f>IF(_epmOfflineCondition_,"DALL",EPMOlapMemberO(BY24,"[C_AUDITTRAIL].[PARENTH1].[DALL]","DALL - 合并后","","000"))</f>
        <v/>
      </c>
      <c r="BZ53" s="384">
        <f>IF(_epmOfflineCondition_,"DALL",EPMOlapMemberO(BZ24,"[C_AUDITTRAIL].[PARENTH1].[DALL]","DALL - 合并后","","000"))</f>
        <v/>
      </c>
      <c r="CA53" s="384">
        <f>IF(_epmOfflineCondition_,"DALL",EPMOlapMemberO(CA24,"[C_AUDITTRAIL].[PARENTH1].[DALL]","DALL - 合并后","","000"))</f>
        <v/>
      </c>
      <c r="CB53" s="384">
        <f>IF(_epmOfflineCondition_,"DALL",EPMOlapMemberO(CB24,"[C_AUDITTRAIL].[PARENTH1].[DALL]","DALL - 合并后","","000"))</f>
        <v/>
      </c>
      <c r="CC53" s="384">
        <f>IF(_epmOfflineCondition_,"DALL",EPMOlapMemberO(CC24,"[C_AUDITTRAIL].[PARENTH1].[DALL]","DALL - 合并后","","000"))</f>
        <v/>
      </c>
      <c r="CD53" s="384">
        <f>IF(_epmOfflineCondition_,"DALL",EPMOlapMemberO(CD24,"[C_AUDITTRAIL].[PARENTH1].[DALL]","DALL - 合并后","","000"))</f>
        <v/>
      </c>
      <c r="CE53" s="384">
        <f>IF(_epmOfflineCondition_,"DALL",EPMOlapMemberO(CE24,"[C_AUDITTRAIL].[PARENTH1].[DALL]","DALL - 合并后","","000"))</f>
        <v/>
      </c>
      <c r="CF53" s="384">
        <f>IF(_epmOfflineCondition_,"DALL",EPMOlapMemberO(CF24,"[C_AUDITTRAIL].[PARENTH1].[DALL]","DALL - 合并后","","000"))</f>
        <v/>
      </c>
      <c r="CG53" s="384">
        <f>IF(_epmOfflineCondition_,"DALL",EPMOlapMemberO(CG24,"[C_AUDITTRAIL].[PARENTH1].[DALL]","DALL - 合并后","","000"))</f>
        <v/>
      </c>
      <c r="CH53" s="384">
        <f>IF(_epmOfflineCondition_,"DALL",EPMOlapMemberO(CH24,"[C_AUDITTRAIL].[PARENTH1].[DALL]","DALL - 合并后","","000"))</f>
        <v/>
      </c>
      <c r="CI53" s="384">
        <f>IF(_epmOfflineCondition_,"DALL",EPMOlapMemberO(CI24,"[C_AUDITTRAIL].[PARENTH1].[DALL]","DALL - 合并后","","000"))</f>
        <v/>
      </c>
      <c r="CJ53" s="384">
        <f>IF(_epmOfflineCondition_,"DALL",EPMOlapMemberO(CJ24,"[C_AUDITTRAIL].[PARENTH1].[DALL]","DALL - 合并后","","000"))</f>
        <v/>
      </c>
      <c r="CK53" s="384">
        <f>IF(_epmOfflineCondition_,"D1201",EPMOlapMemberO(CK24,"[C_AUDITTRAIL].[PARENTH1].[D1201]","D1201 - 来自预算","","000"))</f>
        <v/>
      </c>
      <c r="CL53" s="384">
        <f>IF(_epmOfflineCondition_,"D1201",EPMOlapMemberO(CL24,"[C_AUDITTRAIL].[PARENTH1].[D1201]","D1201 - 来自预算","","000"))</f>
        <v/>
      </c>
      <c r="CM53" s="384">
        <f>IF(_epmOfflineCondition_,"D1201",EPMOlapMemberO(CM24,"[C_AUDITTRAIL].[PARENTH1].[D1201]","D1201 - 来自预算","","000"))</f>
        <v/>
      </c>
      <c r="CN53" s="384">
        <f>IF(_epmOfflineCondition_,"D1201",EPMOlapMemberO(CN24,"[C_AUDITTRAIL].[PARENTH1].[D1201]","D1201 - 来自预算","","000"))</f>
        <v/>
      </c>
      <c r="CO53" s="384">
        <f>IF(_epmOfflineCondition_,"D1201",EPMOlapMemberO(CO24,"[C_AUDITTRAIL].[PARENTH1].[D1201]","D1201 - 来自预算","","000"))</f>
        <v/>
      </c>
      <c r="CP53" s="384">
        <f>IF(_epmOfflineCondition_,"D1201",EPMOlapMemberO(CP24,"[C_AUDITTRAIL].[PARENTH1].[D1201]","D1201 - 来自预算","","000"))</f>
        <v/>
      </c>
      <c r="CQ53" s="384">
        <f>IF(_epmOfflineCondition_,"D1201",EPMOlapMemberO(CQ24,"[C_AUDITTRAIL].[PARENTH1].[D1201]","D1201 - 来自预算","","000"))</f>
        <v/>
      </c>
      <c r="CR53" s="384">
        <f>IF(_epmOfflineCondition_,"D1201",EPMOlapMemberO(CR24,"[C_AUDITTRAIL].[PARENTH1].[D1201]","D1201 - 来自预算","","000"))</f>
        <v/>
      </c>
      <c r="CS53" s="384">
        <f>IF(_epmOfflineCondition_,"D1201",EPMOlapMemberO(CS24,"[C_AUDITTRAIL].[PARENTH1].[D1201]","D1201 - 来自预算","","000"))</f>
        <v/>
      </c>
      <c r="CT53" s="384">
        <f>IF(_epmOfflineCondition_,"D1201",EPMOlapMemberO(CT24,"[C_AUDITTRAIL].[PARENTH1].[D1201]","D1201 - 来自预算","","000"))</f>
        <v/>
      </c>
      <c r="CU53" s="384">
        <f>IF(_epmOfflineCondition_,"D1201",EPMOlapMemberO(CU24,"[C_AUDITTRAIL].[PARENTH1].[D1201]","D1201 - 来自预算","","000"))</f>
        <v/>
      </c>
      <c r="CV53" s="384">
        <f>IF(_epmOfflineCondition_,"D1201",EPMOlapMemberO(CV24,"[C_AUDITTRAIL].[PARENTH1].[D1201]","D1201 - 来自预算","","000"))</f>
        <v/>
      </c>
      <c r="CW53" s="384">
        <f>IF(_epmOfflineCondition_,"D1201",EPMOlapMemberO(CW24,"[C_AUDITTRAIL].[PARENTH1].[D1201]","D1201 - 来自预算","","000"))</f>
        <v/>
      </c>
      <c r="CX53" s="384">
        <f>IF(_epmOfflineCondition_,"D1201",EPMOlapMemberO(CX24,"[C_AUDITTRAIL].[PARENTH1].[D1201]","D1201 - 来自预算","","000"))</f>
        <v/>
      </c>
      <c r="CY53" s="384">
        <f>IF(_epmOfflineCondition_,"D1201",EPMOlapMemberO(CY24,"[C_AUDITTRAIL].[PARENTH1].[D1201]","D1201 - 来自预算","","000"))</f>
        <v/>
      </c>
      <c r="CZ53" s="384">
        <f>IF(_epmOfflineCondition_,"D1201",EPMOlapMemberO(CZ24,"[C_AUDITTRAIL].[PARENTH1].[D1201]","D1201 - 来自预算","","000"))</f>
        <v/>
      </c>
      <c r="DA53" s="384">
        <f>IF(_epmOfflineCondition_,"D1201",EPMOlapMemberO(DA24,"[C_AUDITTRAIL].[PARENTH1].[D1201]","D1201 - 来自预算","","000"))</f>
        <v/>
      </c>
      <c r="DB53" s="384">
        <f>IF(_epmOfflineCondition_,"D1201",EPMOlapMemberO(DB24,"[C_AUDITTRAIL].[PARENTH1].[D1201]","D1201 - 来自预算","","000"))</f>
        <v/>
      </c>
      <c r="DC53" s="384">
        <f>IF(_epmOfflineCondition_,"D1201",EPMOlapMemberO(DC24,"[C_AUDITTRAIL].[PARENTH1].[D1201]","D1201 - 来自预算","","000"))</f>
        <v/>
      </c>
      <c r="DD53" s="384">
        <f>IF(_epmOfflineCondition_,"D1201",EPMOlapMemberO(DD24,"[C_AUDITTRAIL].[PARENTH1].[D1201]","D1201 - 来自预算","","000"))</f>
        <v/>
      </c>
      <c r="DE53" s="384">
        <f>IF(_epmOfflineCondition_,"D1201",EPMOlapMemberO(DE24,"[C_AUDITTRAIL].[PARENTH1].[D1201]","D1201 - 来自预算","","000"))</f>
        <v/>
      </c>
      <c r="DF53" s="384">
        <f>IF(_epmOfflineCondition_,"D1201",EPMOlapMemberO(DF24,"[C_AUDITTRAIL].[PARENTH1].[D1201]","D1201 - 来自预算","","000"))</f>
        <v/>
      </c>
      <c r="DG53" s="384">
        <f>IF(_epmOfflineCondition_,"D1201",EPMOlapMemberO(DG24,"[C_AUDITTRAIL].[PARENTH1].[D1201]","D1201 - 来自预算","","000"))</f>
        <v/>
      </c>
      <c r="DH53" s="384">
        <f>IF(_epmOfflineCondition_,"D1201",EPMOlapMemberO(DH24,"[C_AUDITTRAIL].[PARENTH1].[D1201]","D1201 - 来自预算","","000"))</f>
        <v/>
      </c>
      <c r="DI53" s="384">
        <f>IF(_epmOfflineCondition_,"D1201",EPMOlapMemberO(DI24,"[C_AUDITTRAIL].[PARENTH1].[D1201]","D1201 - 来自预算","","000"))</f>
        <v/>
      </c>
      <c r="DJ53" s="384">
        <f>IF(_epmOfflineCondition_,"D1201",EPMOlapMemberO(DJ24,"[C_AUDITTRAIL].[PARENTH1].[D1201]","D1201 - 来自预算","","000"))</f>
        <v/>
      </c>
      <c r="DK53" s="384">
        <f>IF(_epmOfflineCondition_,"D1201",EPMOlapMemberO(DK24,"[C_AUDITTRAIL].[PARENTH1].[D1201]","D1201 - 来自预算","","000"))</f>
        <v/>
      </c>
      <c r="DL53" s="384">
        <f>IF(_epmOfflineCondition_,"D1201",EPMOlapMemberO(DL24,"[C_AUDITTRAIL].[PARENTH1].[D1201]","D1201 - 来自预算","","000"))</f>
        <v/>
      </c>
      <c r="DM53" s="384">
        <f>IF(_epmOfflineCondition_,"D1201",EPMOlapMemberO(DM24,"[C_AUDITTRAIL].[PARENTH1].[D1201]","D1201 - 来自预算","","000"))</f>
        <v/>
      </c>
      <c r="DN53" s="384">
        <f>IF(_epmOfflineCondition_,"D1201",EPMOlapMemberO(DN24,"[C_AUDITTRAIL].[PARENTH1].[D1201]","D1201 - 来自预算","","000"))</f>
        <v/>
      </c>
      <c r="DO53" s="384">
        <f>IF(_epmOfflineCondition_,"D1201",EPMOlapMemberO(DO24,"[C_AUDITTRAIL].[PARENTH1].[D1201]","D1201 - 来自预算","","000"))</f>
        <v/>
      </c>
      <c r="DP53" s="384">
        <f>IF(_epmOfflineCondition_,"D1201",EPMOlapMemberO(DP24,"[C_AUDITTRAIL].[PARENTH1].[D1201]","D1201 - 来自预算","","000"))</f>
        <v/>
      </c>
    </row>
    <row r="54" hidden="1" outlineLevel="1" s="1181">
      <c r="A54" s="384" t="n"/>
      <c r="B54" s="384" t="n"/>
      <c r="C54" s="384" t="n"/>
      <c r="D54" s="384" t="n"/>
      <c r="E54" s="384" t="n"/>
      <c r="F54" s="384" t="n"/>
      <c r="G54" s="384" t="n"/>
      <c r="H54" s="384" t="n"/>
      <c r="I54" s="384" t="n"/>
      <c r="J54" s="384" t="n"/>
      <c r="K54" s="384" t="n"/>
      <c r="L54" s="384" t="n"/>
      <c r="M54" s="384" t="n"/>
      <c r="N54" s="384" t="n"/>
      <c r="O54" s="384" t="n"/>
      <c r="P54" s="384" t="n"/>
      <c r="Q54" s="384" t="n"/>
      <c r="R54" s="384" t="n"/>
      <c r="S54" s="384" t="n"/>
      <c r="T54" s="384" t="n"/>
      <c r="U54" s="384" t="n"/>
      <c r="V54" s="384" t="n"/>
      <c r="W54" s="384" t="n"/>
      <c r="X54" s="384" t="inlineStr">
        <is>
          <t>C_FLOW</t>
        </is>
      </c>
      <c r="Y54" s="359">
        <f>IF(_epmOfflineCondition_,"",EPMOlapMemberO("[Blank Member]","","","","000"))</f>
        <v/>
      </c>
      <c r="Z54" s="359">
        <f>IF(_epmOfflineCondition_,"",EPMOlapMemberO("[Blank Member]","","","","000"))</f>
        <v/>
      </c>
      <c r="AA54" s="359">
        <f>IF(_epmOfflineCondition_,"",EPMOlapMemberO("[Blank Member]","","","","000"))</f>
        <v/>
      </c>
      <c r="AB54" s="359">
        <f>IF(_epmOfflineCondition_,"",EPMOlapMemberO("[Blank Member]","","","","000"))</f>
        <v/>
      </c>
      <c r="AC54" s="359">
        <f>IF(_epmOfflineCondition_,"",EPMOlapMemberO("[Blank Member]","","","","000"))</f>
        <v/>
      </c>
      <c r="AD54" s="359">
        <f>IF(_epmOfflineCondition_,"",EPMOlapMemberO("[Blank Member]","","","","000"))</f>
        <v/>
      </c>
      <c r="AE54" s="359">
        <f>IF(_epmOfflineCondition_,"",EPMOlapMemberO("[Blank Member]","","","","000"))</f>
        <v/>
      </c>
      <c r="AF54" s="359">
        <f>IF(_epmOfflineCondition_,"",EPMOlapMemberO("[Blank Member]","","","","000"))</f>
        <v/>
      </c>
      <c r="AG54" s="359">
        <f>IF(_epmOfflineCondition_,"",EPMOlapMemberO("[Blank Member]","","","","000"))</f>
        <v/>
      </c>
      <c r="AH54" s="359">
        <f>IF(_epmOfflineCondition_,"",EPMOlapMemberO("[Blank Member]","","","","000"))</f>
        <v/>
      </c>
      <c r="AI54" s="359">
        <f>IF(_epmOfflineCondition_,"",EPMOlapMemberO("[Blank Member]","","","","000"))</f>
        <v/>
      </c>
      <c r="AJ54" s="359">
        <f>IF(_epmOfflineCondition_,"",EPMOlapMemberO("[Blank Member]","","","","000"))</f>
        <v/>
      </c>
      <c r="AK54" s="359">
        <f>IF(_epmOfflineCondition_,"",EPMOlapMemberO("[Blank Member]","","","","000"))</f>
        <v/>
      </c>
      <c r="AL54" s="359">
        <f>IF(_epmOfflineCondition_,"",EPMOlapMemberO("[Blank Member]","","","","000"))</f>
        <v/>
      </c>
      <c r="AM54" s="359">
        <f>IF(_epmOfflineCondition_,"",EPMOlapMemberO("[Blank Member]","","","","000"))</f>
        <v/>
      </c>
      <c r="AN54" s="359">
        <f>IF(_epmOfflineCondition_,"",EPMOlapMemberO("[Blank Member]","","","","000"))</f>
        <v/>
      </c>
      <c r="AO54" s="359">
        <f>IF(_epmOfflineCondition_,"F20",EPMOlapMemberO(AO23,"[C_FLOW].[PARENTH1].[F20]","F20 - 本期增加","","000"))</f>
        <v/>
      </c>
      <c r="AP54" s="359">
        <f>IF(_epmOfflineCondition_,"F20",EPMOlapMemberO(AP23,"[C_FLOW].[PARENTH1].[F20]","F20 - 本期增加","","000"))</f>
        <v/>
      </c>
      <c r="AQ54" s="359">
        <f>IF(_epmOfflineCondition_,"F20",EPMOlapMemberO(AQ23,"[C_FLOW].[PARENTH1].[F20]","F20 - 本期增加","","000"))</f>
        <v/>
      </c>
      <c r="AR54" s="359">
        <f>IF(_epmOfflineCondition_,"F20",EPMOlapMemberO(AR23,"[C_FLOW].[PARENTH1].[F20]","F20 - 本期增加","","000"))</f>
        <v/>
      </c>
      <c r="AS54" s="359">
        <f>IF(_epmOfflineCondition_,"F20",EPMOlapMemberO(AS23,"[C_FLOW].[PARENTH1].[F20]","F20 - 本期增加","","000"))</f>
        <v/>
      </c>
      <c r="AT54" s="359">
        <f>IF(_epmOfflineCondition_,"F20",EPMOlapMemberO(AT23,"[C_FLOW].[PARENTH1].[F20]","F20 - 本期增加","","000"))</f>
        <v/>
      </c>
      <c r="AU54" s="359">
        <f>IF(_epmOfflineCondition_,"F20",EPMOlapMemberO(AU23,"[C_FLOW].[PARENTH1].[F20]","F20 - 本期增加","","000"))</f>
        <v/>
      </c>
      <c r="AV54" s="359">
        <f>IF(_epmOfflineCondition_,"F20",EPMOlapMemberO(AV23,"[C_FLOW].[PARENTH1].[F20]","F20 - 本期增加","","000"))</f>
        <v/>
      </c>
      <c r="AW54" s="359">
        <f>IF(_epmOfflineCondition_,"FEND",EPMOlapMemberO(AW23,"[C_FLOW].[PARENTH1].[FEND]","FEND - 期末金额","","000"))</f>
        <v/>
      </c>
      <c r="AX54" s="359">
        <f>IF(_epmOfflineCondition_,"FEND",EPMOlapMemberO(AX23,"[C_FLOW].[PARENTH1].[FEND]","FEND - 期末金额","","000"))</f>
        <v/>
      </c>
      <c r="AY54" s="359">
        <f>IF(_epmOfflineCondition_,"FEND",EPMOlapMemberO(AY23,"[C_FLOW].[PARENTH1].[FEND]","FEND - 期末金额","","000"))</f>
        <v/>
      </c>
      <c r="AZ54" s="359">
        <f>IF(_epmOfflineCondition_,"FEND",EPMOlapMemberO(AZ23,"[C_FLOW].[PARENTH1].[FEND]","FEND - 期末金额","","000"))</f>
        <v/>
      </c>
      <c r="BA54" s="359">
        <f>IF(_epmOfflineCondition_,"FEND",EPMOlapMemberO(BA23,"[C_FLOW].[PARENTH1].[FEND]","FEND - 期末金额","","000"))</f>
        <v/>
      </c>
      <c r="BB54" s="359">
        <f>IF(_epmOfflineCondition_,"FEND",EPMOlapMemberO(BB23,"[C_FLOW].[PARENTH1].[FEND]","FEND - 期末金额","","000"))</f>
        <v/>
      </c>
      <c r="BC54" s="359">
        <f>IF(_epmOfflineCondition_,"FEND",EPMOlapMemberO(BC23,"[C_FLOW].[PARENTH1].[FEND]","FEND - 期末金额","","000"))</f>
        <v/>
      </c>
      <c r="BD54" s="359">
        <f>IF(_epmOfflineCondition_,"FEND",EPMOlapMemberO(BD23,"[C_FLOW].[PARENTH1].[FEND]","FEND - 期末金额","","000"))</f>
        <v/>
      </c>
      <c r="BE54" s="359">
        <f>IF(_epmOfflineCondition_,"FEND",EPMOlapMemberO(BE23,"[C_FLOW].[PARENTH1].[FEND]","FEND - 期末金额","","000"))</f>
        <v/>
      </c>
      <c r="BF54" s="359">
        <f>IF(_epmOfflineCondition_,"FEND",EPMOlapMemberO(BF23,"[C_FLOW].[PARENTH1].[FEND]","FEND - 期末金额","","000"))</f>
        <v/>
      </c>
      <c r="BG54" s="359">
        <f>IF(_epmOfflineCondition_,"FEND",EPMOlapMemberO(BG23,"[C_FLOW].[PARENTH1].[FEND]","FEND - 期末金额","","000"))</f>
        <v/>
      </c>
      <c r="BH54" s="359">
        <f>IF(_epmOfflineCondition_,"FEND",EPMOlapMemberO(BH23,"[C_FLOW].[PARENTH1].[FEND]","FEND - 期末金额","","000"))</f>
        <v/>
      </c>
      <c r="BI54" s="359">
        <f>IF(_epmOfflineCondition_,"FEND",EPMOlapMemberO(BI23,"[C_FLOW].[PARENTH1].[FEND]","FEND - 期末金额","","000"))</f>
        <v/>
      </c>
      <c r="BJ54" s="359">
        <f>IF(_epmOfflineCondition_,"FEND",EPMOlapMemberO(BJ23,"[C_FLOW].[PARENTH1].[FEND]","FEND - 期末金额","","000"))</f>
        <v/>
      </c>
      <c r="BK54" s="359">
        <f>IF(_epmOfflineCondition_,"FEND",EPMOlapMemberO(BK23,"[C_FLOW].[PARENTH1].[FEND]","FEND - 期末金额","","000"))</f>
        <v/>
      </c>
      <c r="BL54" s="359">
        <f>IF(_epmOfflineCondition_,"FEND",EPMOlapMemberO(BL23,"[C_FLOW].[PARENTH1].[FEND]","FEND - 期末金额","","000"))</f>
        <v/>
      </c>
      <c r="BM54" s="359">
        <f>IF(_epmOfflineCondition_,"FEND",EPMOlapMemberO(BM23,"[C_FLOW].[PARENTH1].[FEND]","FEND - 期末金额","","000"))</f>
        <v/>
      </c>
      <c r="BN54" s="359">
        <f>IF(_epmOfflineCondition_,"FEND",EPMOlapMemberO(BN23,"[C_FLOW].[PARENTH1].[FEND]","FEND - 期末金额","","000"))</f>
        <v/>
      </c>
      <c r="BO54" s="359">
        <f>IF(_epmOfflineCondition_,"FEND",EPMOlapMemberO(BO23,"[C_FLOW].[PARENTH1].[FEND]","FEND - 期末金额","","000"))</f>
        <v/>
      </c>
      <c r="BP54" s="359">
        <f>IF(_epmOfflineCondition_,"FEND",EPMOlapMemberO(BP23,"[C_FLOW].[PARENTH1].[FEND]","FEND - 期末金额","","000"))</f>
        <v/>
      </c>
      <c r="BQ54" s="359">
        <f>IF(_epmOfflineCondition_,"FEND",EPMOlapMemberO(BQ23,"[C_FLOW].[PARENTH1].[FEND]","FEND - 期末金额","","000"))</f>
        <v/>
      </c>
      <c r="BR54" s="359">
        <f>IF(_epmOfflineCondition_,"FEND",EPMOlapMemberO(BR23,"[C_FLOW].[PARENTH1].[FEND]","FEND - 期末金额","","000"))</f>
        <v/>
      </c>
      <c r="BS54" s="359">
        <f>IF(_epmOfflineCondition_,"FEND",EPMOlapMemberO(BS23,"[C_FLOW].[PARENTH1].[FEND]","FEND - 期末金额","","000"))</f>
        <v/>
      </c>
      <c r="BT54" s="359">
        <f>IF(_epmOfflineCondition_,"FEND",EPMOlapMemberO(BT23,"[C_FLOW].[PARENTH1].[FEND]","FEND - 期末金额","","000"))</f>
        <v/>
      </c>
      <c r="BU54" s="359">
        <f>IF(_epmOfflineCondition_,"",EPMOlapMemberO("[Blank Member]","","","","000"))</f>
        <v/>
      </c>
      <c r="BV54" s="359">
        <f>IF(_epmOfflineCondition_,"",EPMOlapMemberO("[Blank Member]","","","","000"))</f>
        <v/>
      </c>
      <c r="BW54" s="359">
        <f>IF(_epmOfflineCondition_,"",EPMOlapMemberO("[Blank Member]","","","","000"))</f>
        <v/>
      </c>
      <c r="BX54" s="359">
        <f>IF(_epmOfflineCondition_,"",EPMOlapMemberO("[Blank Member]","","","","000"))</f>
        <v/>
      </c>
      <c r="BY54" s="359">
        <f>IF(_epmOfflineCondition_,"",EPMOlapMemberO("[Blank Member]","","","","000"))</f>
        <v/>
      </c>
      <c r="BZ54" s="359">
        <f>IF(_epmOfflineCondition_,"",EPMOlapMemberO("[Blank Member]","","","","000"))</f>
        <v/>
      </c>
      <c r="CA54" s="359">
        <f>IF(_epmOfflineCondition_,"",EPMOlapMemberO("[Blank Member]","","","","000"))</f>
        <v/>
      </c>
      <c r="CB54" s="359">
        <f>IF(_epmOfflineCondition_,"",EPMOlapMemberO("[Blank Member]","","","","000"))</f>
        <v/>
      </c>
      <c r="CC54" s="359">
        <f>IF(_epmOfflineCondition_,"FEND",EPMOlapMemberO(CC23,"[C_FLOW].[PARENTH1].[FEND]","FEND - 期末金额","","000"))</f>
        <v/>
      </c>
      <c r="CD54" s="359">
        <f>IF(_epmOfflineCondition_,"FEND",EPMOlapMemberO(CD23,"[C_FLOW].[PARENTH1].[FEND]","FEND - 期末金额","","000"))</f>
        <v/>
      </c>
      <c r="CE54" s="359">
        <f>IF(_epmOfflineCondition_,"FEND",EPMOlapMemberO(CE23,"[C_FLOW].[PARENTH1].[FEND]","FEND - 期末金额","","000"))</f>
        <v/>
      </c>
      <c r="CF54" s="359">
        <f>IF(_epmOfflineCondition_,"FEND",EPMOlapMemberO(CF23,"[C_FLOW].[PARENTH1].[FEND]","FEND - 期末金额","","000"))</f>
        <v/>
      </c>
      <c r="CG54" s="359">
        <f>IF(_epmOfflineCondition_,"FEND",EPMOlapMemberO(CG23,"[C_FLOW].[PARENTH1].[FEND]","FEND - 期末金额","","000"))</f>
        <v/>
      </c>
      <c r="CH54" s="359">
        <f>IF(_epmOfflineCondition_,"FEND",EPMOlapMemberO(CH23,"[C_FLOW].[PARENTH1].[FEND]","FEND - 期末金额","","000"))</f>
        <v/>
      </c>
      <c r="CI54" s="359">
        <f>IF(_epmOfflineCondition_,"FEND",EPMOlapMemberO(CI23,"[C_FLOW].[PARENTH1].[FEND]","FEND - 期末金额","","000"))</f>
        <v/>
      </c>
      <c r="CJ54" s="359">
        <f>IF(_epmOfflineCondition_,"FEND",EPMOlapMemberO(CJ23,"[C_FLOW].[PARENTH1].[FEND]","FEND - 期末金额","","000"))</f>
        <v/>
      </c>
      <c r="CK54" s="359">
        <f>IF(_epmOfflineCondition_,"FEND",EPMOlapMemberO(CK23,"[C_FLOW].[PARENTH1].[FEND]","FEND - 期末金额","","000"))</f>
        <v/>
      </c>
      <c r="CL54" s="359">
        <f>IF(_epmOfflineCondition_,"FEND",EPMOlapMemberO(CL23,"[C_FLOW].[PARENTH1].[FEND]","FEND - 期末金额","","000"))</f>
        <v/>
      </c>
      <c r="CM54" s="359">
        <f>IF(_epmOfflineCondition_,"FEND",EPMOlapMemberO(CM23,"[C_FLOW].[PARENTH1].[FEND]","FEND - 期末金额","","000"))</f>
        <v/>
      </c>
      <c r="CN54" s="359">
        <f>IF(_epmOfflineCondition_,"FEND",EPMOlapMemberO(CN23,"[C_FLOW].[PARENTH1].[FEND]","FEND - 期末金额","","000"))</f>
        <v/>
      </c>
      <c r="CO54" s="359">
        <f>IF(_epmOfflineCondition_,"FEND",EPMOlapMemberO(CO23,"[C_FLOW].[PARENTH1].[FEND]","FEND - 期末金额","","000"))</f>
        <v/>
      </c>
      <c r="CP54" s="359">
        <f>IF(_epmOfflineCondition_,"FEND",EPMOlapMemberO(CP23,"[C_FLOW].[PARENTH1].[FEND]","FEND - 期末金额","","000"))</f>
        <v/>
      </c>
      <c r="CQ54" s="359">
        <f>IF(_epmOfflineCondition_,"FEND",EPMOlapMemberO(CQ23,"[C_FLOW].[PARENTH1].[FEND]","FEND - 期末金额","","000"))</f>
        <v/>
      </c>
      <c r="CR54" s="359">
        <f>IF(_epmOfflineCondition_,"FEND",EPMOlapMemberO(CR23,"[C_FLOW].[PARENTH1].[FEND]","FEND - 期末金额","","000"))</f>
        <v/>
      </c>
      <c r="CS54" s="359">
        <f>IF(_epmOfflineCondition_,"FEND",EPMOlapMemberO(CS23,"[C_FLOW].[PARENTH1].[FEND]","FEND - 期末金额","","000"))</f>
        <v/>
      </c>
      <c r="CT54" s="359">
        <f>IF(_epmOfflineCondition_,"FEND",EPMOlapMemberO(CT23,"[C_FLOW].[PARENTH1].[FEND]","FEND - 期末金额","","000"))</f>
        <v/>
      </c>
      <c r="CU54" s="359">
        <f>IF(_epmOfflineCondition_,"FEND",EPMOlapMemberO(CU23,"[C_FLOW].[PARENTH1].[FEND]","FEND - 期末金额","","000"))</f>
        <v/>
      </c>
      <c r="CV54" s="359">
        <f>IF(_epmOfflineCondition_,"FEND",EPMOlapMemberO(CV23,"[C_FLOW].[PARENTH1].[FEND]","FEND - 期末金额","","000"))</f>
        <v/>
      </c>
      <c r="CW54" s="359">
        <f>IF(_epmOfflineCondition_,"FEND",EPMOlapMemberO(CW23,"[C_FLOW].[PARENTH1].[FEND]","FEND - 期末金额","","000"))</f>
        <v/>
      </c>
      <c r="CX54" s="359">
        <f>IF(_epmOfflineCondition_,"FEND",EPMOlapMemberO(CX23,"[C_FLOW].[PARENTH1].[FEND]","FEND - 期末金额","","000"))</f>
        <v/>
      </c>
      <c r="CY54" s="359">
        <f>IF(_epmOfflineCondition_,"FEND",EPMOlapMemberO(CY23,"[C_FLOW].[PARENTH1].[FEND]","FEND - 期末金额","","000"))</f>
        <v/>
      </c>
      <c r="CZ54" s="359">
        <f>IF(_epmOfflineCondition_,"FEND",EPMOlapMemberO(CZ23,"[C_FLOW].[PARENTH1].[FEND]","FEND - 期末金额","","000"))</f>
        <v/>
      </c>
      <c r="DA54" s="359">
        <f>IF(_epmOfflineCondition_,"FEND",EPMOlapMemberO(DA23,"[C_FLOW].[PARENTH1].[FEND]","FEND - 期末金额","","000"))</f>
        <v/>
      </c>
      <c r="DB54" s="359">
        <f>IF(_epmOfflineCondition_,"FEND",EPMOlapMemberO(DB23,"[C_FLOW].[PARENTH1].[FEND]","FEND - 期末金额","","000"))</f>
        <v/>
      </c>
      <c r="DC54" s="359">
        <f>IF(_epmOfflineCondition_,"FEND",EPMOlapMemberO(DC23,"[C_FLOW].[PARENTH1].[FEND]","FEND - 期末金额","","000"))</f>
        <v/>
      </c>
      <c r="DD54" s="359">
        <f>IF(_epmOfflineCondition_,"FEND",EPMOlapMemberO(DD23,"[C_FLOW].[PARENTH1].[FEND]","FEND - 期末金额","","000"))</f>
        <v/>
      </c>
      <c r="DE54" s="359">
        <f>IF(_epmOfflineCondition_,"FEND",EPMOlapMemberO(DE23,"[C_FLOW].[PARENTH1].[FEND]","FEND - 期末金额","","000"))</f>
        <v/>
      </c>
      <c r="DF54" s="359">
        <f>IF(_epmOfflineCondition_,"FEND",EPMOlapMemberO(DF23,"[C_FLOW].[PARENTH1].[FEND]","FEND - 期末金额","","000"))</f>
        <v/>
      </c>
      <c r="DG54" s="359">
        <f>IF(_epmOfflineCondition_,"FEND",EPMOlapMemberO(DG23,"[C_FLOW].[PARENTH1].[FEND]","FEND - 期末金额","","000"))</f>
        <v/>
      </c>
      <c r="DH54" s="359">
        <f>IF(_epmOfflineCondition_,"FEND",EPMOlapMemberO(DH23,"[C_FLOW].[PARENTH1].[FEND]","FEND - 期末金额","","000"))</f>
        <v/>
      </c>
      <c r="DI54" s="359">
        <f>IF(_epmOfflineCondition_,"FEND",EPMOlapMemberO(DI23,"[C_FLOW].[PARENTH1].[FEND]","FEND - 期末金额","","000"))</f>
        <v/>
      </c>
      <c r="DJ54" s="359">
        <f>IF(_epmOfflineCondition_,"FEND",EPMOlapMemberO(DJ23,"[C_FLOW].[PARENTH1].[FEND]","FEND - 期末金额","","000"))</f>
        <v/>
      </c>
      <c r="DK54" s="359">
        <f>IF(_epmOfflineCondition_,"FEND",EPMOlapMemberO(DK23,"[C_FLOW].[PARENTH1].[FEND]","FEND - 期末金额","","000"))</f>
        <v/>
      </c>
      <c r="DL54" s="359">
        <f>IF(_epmOfflineCondition_,"FEND",EPMOlapMemberO(DL23,"[C_FLOW].[PARENTH1].[FEND]","FEND - 期末金额","","000"))</f>
        <v/>
      </c>
      <c r="DM54" s="359">
        <f>IF(_epmOfflineCondition_,"FEND",EPMOlapMemberO(DM23,"[C_FLOW].[PARENTH1].[FEND]","FEND - 期末金额","","000"))</f>
        <v/>
      </c>
      <c r="DN54" s="359">
        <f>IF(_epmOfflineCondition_,"FEND",EPMOlapMemberO(DN23,"[C_FLOW].[PARENTH1].[FEND]","FEND - 期末金额","","000"))</f>
        <v/>
      </c>
      <c r="DO54" s="359">
        <f>IF(_epmOfflineCondition_,"FEND",EPMOlapMemberO(DO23,"[C_FLOW].[PARENTH1].[FEND]","FEND - 期末金额","","000"))</f>
        <v/>
      </c>
      <c r="DP54" s="359">
        <f>IF(_epmOfflineCondition_,"FEND",EPMOlapMemberO(DP23,"[C_FLOW].[PARENTH1].[FEND]","FEND - 期末金额","","000"))</f>
        <v/>
      </c>
    </row>
    <row r="55" collapsed="1" s="1181">
      <c r="A55" s="384" t="n"/>
      <c r="B55" s="384" t="n"/>
      <c r="C55" s="384" t="n"/>
      <c r="D55" s="384" t="n"/>
      <c r="E55" s="384" t="n"/>
      <c r="F55" s="384" t="n"/>
      <c r="G55" s="384" t="n"/>
      <c r="H55" s="384" t="n"/>
      <c r="I55" s="384" t="n"/>
      <c r="J55" s="384" t="n"/>
      <c r="K55" s="384" t="n"/>
      <c r="L55" s="384" t="n"/>
      <c r="M55" s="384" t="n"/>
      <c r="N55" s="384" t="n"/>
      <c r="O55" s="384" t="n"/>
      <c r="P55" s="384" t="n"/>
      <c r="Q55" s="384" t="n"/>
      <c r="R55" s="384" t="n"/>
      <c r="S55" s="384" t="n"/>
      <c r="T55" s="384" t="n"/>
      <c r="U55" s="384" t="n"/>
      <c r="V55" s="1419" t="inlineStr">
        <is>
          <t>一、主营业务成本（合计）</t>
        </is>
      </c>
      <c r="W55" s="889" t="inlineStr">
        <is>
          <t>A0280101</t>
        </is>
      </c>
      <c r="X55" s="32">
        <f>IF(_epmOfflineCondition_,"A0280101",EPMOlapMemberO(W55,"[C_ACCOUNT].[PARENTH1].[A0280101]","A0280101 - 一、主营业务成本（合计）","","000"))</f>
        <v/>
      </c>
      <c r="Y55" s="1420">
        <f>Y56+Y67</f>
        <v/>
      </c>
      <c r="Z55" s="1420">
        <f>Z56+Z67</f>
        <v/>
      </c>
      <c r="AA55" s="1420">
        <f>AA56+AA67</f>
        <v/>
      </c>
      <c r="AB55" s="1420">
        <f>AB56+AB67</f>
        <v/>
      </c>
      <c r="AC55" s="1420">
        <f>IFERROR(AB55/AA55,0)</f>
        <v/>
      </c>
      <c r="AD55" s="1420">
        <f>AD56+AD67</f>
        <v/>
      </c>
      <c r="AE55" s="1420">
        <f>AE56+AE67</f>
        <v/>
      </c>
      <c r="AF55" s="1420">
        <f>IFERROR(AE55/AD55,0)</f>
        <v/>
      </c>
      <c r="AG55" s="1420">
        <f>AG56+AG67</f>
        <v/>
      </c>
      <c r="AH55" s="1420">
        <f>AH56+AH67</f>
        <v/>
      </c>
      <c r="AI55" s="1420">
        <f>AI56+AI67</f>
        <v/>
      </c>
      <c r="AJ55" s="1420">
        <f>AJ56+AJ67</f>
        <v/>
      </c>
      <c r="AK55" s="1420">
        <f>AK56+AK67</f>
        <v/>
      </c>
      <c r="AL55" s="1420">
        <f>AL56+AL67</f>
        <v/>
      </c>
      <c r="AM55" s="1420">
        <f>AM56+AM67</f>
        <v/>
      </c>
      <c r="AN55" s="1420">
        <f>AN56+AN67</f>
        <v/>
      </c>
      <c r="AO55" s="1420">
        <f>AO56+AO67</f>
        <v/>
      </c>
      <c r="AP55" s="1420">
        <f>AP56+AP67</f>
        <v/>
      </c>
      <c r="AQ55" s="1420">
        <f>AQ56+AQ67</f>
        <v/>
      </c>
      <c r="AR55" s="1420">
        <f>AR56+AR67</f>
        <v/>
      </c>
      <c r="AS55" s="1420">
        <f>AS56+AS67</f>
        <v/>
      </c>
      <c r="AT55" s="1420">
        <f>AT56+AT67</f>
        <v/>
      </c>
      <c r="AU55" s="1420">
        <f>AU56+AU67</f>
        <v/>
      </c>
      <c r="AV55" s="1420">
        <f>AV56+AV67</f>
        <v/>
      </c>
      <c r="AW55" s="1420">
        <f>AW56+AW67</f>
        <v/>
      </c>
      <c r="AX55" s="1420">
        <f>AX56+AX67</f>
        <v/>
      </c>
      <c r="AY55" s="1420">
        <f>AY56+AY67</f>
        <v/>
      </c>
      <c r="AZ55" s="1420">
        <f>AZ56+AZ67</f>
        <v/>
      </c>
      <c r="BA55" s="1420">
        <f>BA56+BA67</f>
        <v/>
      </c>
      <c r="BB55" s="1420">
        <f>BB56+BB67</f>
        <v/>
      </c>
      <c r="BC55" s="1420">
        <f>BC56+BC67</f>
        <v/>
      </c>
      <c r="BD55" s="1420">
        <f>BD56+BD67</f>
        <v/>
      </c>
      <c r="BE55" s="1420">
        <f>BE56+BE67</f>
        <v/>
      </c>
      <c r="BF55" s="1420">
        <f>BF56+BF67</f>
        <v/>
      </c>
      <c r="BG55" s="1420">
        <f>BG56+BG67</f>
        <v/>
      </c>
      <c r="BH55" s="1420">
        <f>BH56+BH67</f>
        <v/>
      </c>
      <c r="BI55" s="1420">
        <f>BI56+BI67</f>
        <v/>
      </c>
      <c r="BJ55" s="1420">
        <f>BJ56+BJ67</f>
        <v/>
      </c>
      <c r="BK55" s="1420">
        <f>BK56+BK67</f>
        <v/>
      </c>
      <c r="BL55" s="1420">
        <f>BL56+BL67</f>
        <v/>
      </c>
      <c r="BM55" s="1420">
        <f>BM56+BM67</f>
        <v/>
      </c>
      <c r="BN55" s="1420">
        <f>BN56+BN67</f>
        <v/>
      </c>
      <c r="BO55" s="1420">
        <f>BO56+BO67</f>
        <v/>
      </c>
      <c r="BP55" s="1420">
        <f>BP56+BP67</f>
        <v/>
      </c>
      <c r="BQ55" s="1420">
        <f>BQ56+BQ67</f>
        <v/>
      </c>
      <c r="BR55" s="1420">
        <f>BR56+BR67</f>
        <v/>
      </c>
      <c r="BS55" s="1420">
        <f>BS56+BS67</f>
        <v/>
      </c>
      <c r="BT55" s="1420">
        <f>BT56+BT67</f>
        <v/>
      </c>
      <c r="BU55" s="1420">
        <f>BE55-BM55</f>
        <v/>
      </c>
      <c r="BV55" s="1420">
        <f>BF55-BN55</f>
        <v/>
      </c>
      <c r="BW55" s="1420">
        <f>BG55-BO55</f>
        <v/>
      </c>
      <c r="BX55" s="1420">
        <f>BH55-BP55</f>
        <v/>
      </c>
      <c r="BY55" s="1420">
        <f>BI55-BQ55</f>
        <v/>
      </c>
      <c r="BZ55" s="1420">
        <f>BJ55-BR55</f>
        <v/>
      </c>
      <c r="CA55" s="1420">
        <f>BK55-BS55</f>
        <v/>
      </c>
      <c r="CB55" s="1420">
        <f>BL55-BT55</f>
        <v/>
      </c>
      <c r="CC55" s="1420">
        <f>CC56+CC67</f>
        <v/>
      </c>
      <c r="CD55" s="1420">
        <f>CD56+CD67</f>
        <v/>
      </c>
      <c r="CE55" s="1420">
        <f>CE56+CE67</f>
        <v/>
      </c>
      <c r="CF55" s="1420">
        <f>CF56+CF67</f>
        <v/>
      </c>
      <c r="CG55" s="1420">
        <f>CG56+CG67</f>
        <v/>
      </c>
      <c r="CH55" s="1420">
        <f>CH56+CH67</f>
        <v/>
      </c>
      <c r="CI55" s="1420">
        <f>CI56+CI67</f>
        <v/>
      </c>
      <c r="CJ55" s="1420">
        <f>CJ56+CJ67</f>
        <v/>
      </c>
      <c r="CK55" s="1420" t="n"/>
      <c r="CL55" s="1420" t="n"/>
      <c r="CM55" s="1420" t="n"/>
      <c r="CN55" s="1420" t="n"/>
      <c r="CO55" s="1420" t="n"/>
      <c r="CP55" s="1420" t="n"/>
      <c r="CQ55" s="1420" t="n"/>
      <c r="CR55" s="1420" t="n"/>
      <c r="CS55" s="1420" t="n"/>
      <c r="CT55" s="1420" t="n"/>
      <c r="CU55" s="1420" t="n"/>
      <c r="CV55" s="1420" t="n"/>
      <c r="CW55" s="1420" t="n"/>
      <c r="CX55" s="1420" t="n"/>
      <c r="CY55" s="1420" t="n"/>
      <c r="CZ55" s="1420" t="n"/>
      <c r="DA55" s="1420" t="n"/>
      <c r="DB55" s="1420" t="n"/>
      <c r="DC55" s="1420" t="n"/>
      <c r="DD55" s="1420" t="n"/>
      <c r="DE55" s="1420" t="n"/>
      <c r="DF55" s="1420" t="n"/>
      <c r="DG55" s="1420" t="n"/>
      <c r="DH55" s="1420" t="n"/>
      <c r="DI55" s="1420" t="n"/>
      <c r="DJ55" s="1420" t="inlineStr"/>
      <c r="DK55" s="1420" t="n"/>
      <c r="DL55" s="1420" t="n"/>
      <c r="DM55" s="1420" t="n"/>
      <c r="DN55" s="1420" t="n"/>
      <c r="DO55" s="1420" t="n"/>
      <c r="DP55" s="1420" t="n"/>
    </row>
    <row r="56">
      <c r="A56" s="384" t="n"/>
      <c r="B56" s="384" t="n"/>
      <c r="C56" s="384" t="n"/>
      <c r="D56" s="384" t="n"/>
      <c r="E56" s="384" t="n"/>
      <c r="F56" s="384" t="n"/>
      <c r="G56" s="384" t="n"/>
      <c r="H56" s="384" t="n"/>
      <c r="I56" s="384" t="n"/>
      <c r="J56" s="384" t="n"/>
      <c r="K56" s="384" t="n"/>
      <c r="L56" s="384" t="n"/>
      <c r="M56" s="384" t="n"/>
      <c r="N56" s="384" t="n"/>
      <c r="O56" s="384" t="n"/>
      <c r="P56" s="384" t="n"/>
      <c r="Q56" s="384" t="n"/>
      <c r="R56" s="384" t="n"/>
      <c r="S56" s="384" t="n"/>
      <c r="T56" s="384" t="n"/>
      <c r="U56" s="384" t="n"/>
      <c r="V56" s="1419" t="inlineStr">
        <is>
          <t>变动成本</t>
        </is>
      </c>
      <c r="W56" s="97" t="inlineStr">
        <is>
          <t>A028010101</t>
        </is>
      </c>
      <c r="X56" s="32">
        <f>IF(_epmOfflineCondition_,"A028010101",EPMOlapMemberO(W56,"[C_ACCOUNT].[PARENTH1].[A028010101]","A028010101 - 变动成本","","000"))</f>
        <v/>
      </c>
      <c r="Y56" s="1420">
        <f>Y57+SUM(Y62:Y66)</f>
        <v/>
      </c>
      <c r="Z56" s="1420">
        <f>Z57+SUM(Z62:Z66)</f>
        <v/>
      </c>
      <c r="AA56" s="1420">
        <f>AA57+SUM(AA62:AA66)</f>
        <v/>
      </c>
      <c r="AB56" s="1420">
        <f>AB57+SUM(AB62:AB66)</f>
        <v/>
      </c>
      <c r="AC56" s="1420">
        <f>IFERROR(AB56/AA56,0)</f>
        <v/>
      </c>
      <c r="AD56" s="1420">
        <f>AD57+SUM(AD62:AD66)</f>
        <v/>
      </c>
      <c r="AE56" s="1420">
        <f>AE57+SUM(AE62:AE66)</f>
        <v/>
      </c>
      <c r="AF56" s="1420">
        <f>IFERROR(AE56/AD56,0)</f>
        <v/>
      </c>
      <c r="AG56" s="1420">
        <f>AG57+SUM(AG62:AG66)</f>
        <v/>
      </c>
      <c r="AH56" s="1420">
        <f>AH57+SUM(AH62:AH66)</f>
        <v/>
      </c>
      <c r="AI56" s="1420">
        <f>AI57+SUM(AI62:AI66)</f>
        <v/>
      </c>
      <c r="AJ56" s="1420">
        <f>AJ57+SUM(AJ62:AJ66)</f>
        <v/>
      </c>
      <c r="AK56" s="1420">
        <f>AK57+SUM(AK62:AK66)</f>
        <v/>
      </c>
      <c r="AL56" s="1420">
        <f>AL57+SUM(AL62:AL66)</f>
        <v/>
      </c>
      <c r="AM56" s="1420">
        <f>AM57+SUM(AM62:AM66)</f>
        <v/>
      </c>
      <c r="AN56" s="1420">
        <f>AN57+SUM(AN62:AN66)</f>
        <v/>
      </c>
      <c r="AO56" s="1420">
        <f>AO57+SUM(AO62:AO66)</f>
        <v/>
      </c>
      <c r="AP56" s="1420">
        <f>AP57+SUM(AP62:AP66)</f>
        <v/>
      </c>
      <c r="AQ56" s="1420">
        <f>AQ57+SUM(AQ62:AQ66)</f>
        <v/>
      </c>
      <c r="AR56" s="1420">
        <f>AR57+SUM(AR62:AR66)</f>
        <v/>
      </c>
      <c r="AS56" s="1420">
        <f>AS57+SUM(AS62:AS66)</f>
        <v/>
      </c>
      <c r="AT56" s="1420">
        <f>AT57+SUM(AT62:AT66)</f>
        <v/>
      </c>
      <c r="AU56" s="1420">
        <f>AU57+SUM(AU62:AU66)</f>
        <v/>
      </c>
      <c r="AV56" s="1420">
        <f>AV57+SUM(AV62:AV66)</f>
        <v/>
      </c>
      <c r="AW56" s="1420">
        <f>AW57+SUM(AW62:AW66)</f>
        <v/>
      </c>
      <c r="AX56" s="1420">
        <f>AX57+SUM(AX62:AX66)</f>
        <v/>
      </c>
      <c r="AY56" s="1420">
        <f>AY57+SUM(AY62:AY66)</f>
        <v/>
      </c>
      <c r="AZ56" s="1420">
        <f>AZ57+SUM(AZ62:AZ66)</f>
        <v/>
      </c>
      <c r="BA56" s="1420">
        <f>BA57+SUM(BA62:BA66)</f>
        <v/>
      </c>
      <c r="BB56" s="1420">
        <f>BB57+SUM(BB62:BB66)</f>
        <v/>
      </c>
      <c r="BC56" s="1420">
        <f>BC57+SUM(BC62:BC66)</f>
        <v/>
      </c>
      <c r="BD56" s="1420">
        <f>BD57+SUM(BD62:BD66)</f>
        <v/>
      </c>
      <c r="BE56" s="1420">
        <f>BE57+SUM(BE62:BE66)</f>
        <v/>
      </c>
      <c r="BF56" s="1420">
        <f>BF57+SUM(BF62:BF66)</f>
        <v/>
      </c>
      <c r="BG56" s="1420">
        <f>BG57+SUM(BG62:BG66)</f>
        <v/>
      </c>
      <c r="BH56" s="1420">
        <f>BH57+SUM(BH62:BH66)</f>
        <v/>
      </c>
      <c r="BI56" s="1420">
        <f>BI57+SUM(BI62:BI66)</f>
        <v/>
      </c>
      <c r="BJ56" s="1420">
        <f>BJ57+SUM(BJ62:BJ66)</f>
        <v/>
      </c>
      <c r="BK56" s="1420">
        <f>BK57+SUM(BK62:BK66)</f>
        <v/>
      </c>
      <c r="BL56" s="1420">
        <f>BL57+SUM(BL62:BL66)</f>
        <v/>
      </c>
      <c r="BM56" s="1420">
        <f>BM57+SUM(BM62:BM66)</f>
        <v/>
      </c>
      <c r="BN56" s="1420">
        <f>BN57+SUM(BN62:BN66)</f>
        <v/>
      </c>
      <c r="BO56" s="1420">
        <f>BO57+SUM(BO62:BO66)</f>
        <v/>
      </c>
      <c r="BP56" s="1420">
        <f>BP57+SUM(BP62:BP66)</f>
        <v/>
      </c>
      <c r="BQ56" s="1420">
        <f>BQ57+SUM(BQ62:BQ66)</f>
        <v/>
      </c>
      <c r="BR56" s="1420">
        <f>BR57+SUM(BR62:BR66)</f>
        <v/>
      </c>
      <c r="BS56" s="1420">
        <f>BS57+SUM(BS62:BS66)</f>
        <v/>
      </c>
      <c r="BT56" s="1420">
        <f>BT57+SUM(BT62:BT66)</f>
        <v/>
      </c>
      <c r="BU56" s="1420">
        <f>BE56-BM56</f>
        <v/>
      </c>
      <c r="BV56" s="1420">
        <f>BF56-BN56</f>
        <v/>
      </c>
      <c r="BW56" s="1420">
        <f>BG56-BO56</f>
        <v/>
      </c>
      <c r="BX56" s="1420">
        <f>BH56-BP56</f>
        <v/>
      </c>
      <c r="BY56" s="1420">
        <f>BI56-BQ56</f>
        <v/>
      </c>
      <c r="BZ56" s="1420">
        <f>BJ56-BR56</f>
        <v/>
      </c>
      <c r="CA56" s="1420">
        <f>BK56-BS56</f>
        <v/>
      </c>
      <c r="CB56" s="1420">
        <f>BL56-BT56</f>
        <v/>
      </c>
      <c r="CC56" s="1420">
        <f>CC57+SUM(CC62:CC66)</f>
        <v/>
      </c>
      <c r="CD56" s="1420">
        <f>CD57+SUM(CD62:CD66)</f>
        <v/>
      </c>
      <c r="CE56" s="1420">
        <f>CE57+SUM(CE62:CE66)</f>
        <v/>
      </c>
      <c r="CF56" s="1420">
        <f>CF57+SUM(CF62:CF66)</f>
        <v/>
      </c>
      <c r="CG56" s="1420">
        <f>CG57+SUM(CG62:CG66)</f>
        <v/>
      </c>
      <c r="CH56" s="1420">
        <f>CH57+SUM(CH62:CH66)</f>
        <v/>
      </c>
      <c r="CI56" s="1420">
        <f>CI57+SUM(CI62:CI66)</f>
        <v/>
      </c>
      <c r="CJ56" s="1420">
        <f>CJ57+SUM(CJ62:CJ66)</f>
        <v/>
      </c>
      <c r="CK56" s="1420" t="n"/>
      <c r="CL56" s="1420" t="n"/>
      <c r="CM56" s="1420" t="n"/>
      <c r="CN56" s="1420" t="n"/>
      <c r="CO56" s="1420" t="n"/>
      <c r="CP56" s="1420" t="n"/>
      <c r="CQ56" s="1420" t="n"/>
      <c r="CR56" s="1420" t="n"/>
      <c r="CS56" s="1420" t="n"/>
      <c r="CT56" s="1420" t="n"/>
      <c r="CU56" s="1420" t="n"/>
      <c r="CV56" s="1420" t="n"/>
      <c r="CW56" s="1420" t="n"/>
      <c r="CX56" s="1420" t="n"/>
      <c r="CY56" s="1420" t="n"/>
      <c r="CZ56" s="1420" t="n"/>
      <c r="DA56" s="1420" t="n"/>
      <c r="DB56" s="1420" t="n"/>
      <c r="DC56" s="1420" t="n"/>
      <c r="DD56" s="1420" t="n"/>
      <c r="DE56" s="1420" t="n"/>
      <c r="DF56" s="1420" t="n"/>
      <c r="DG56" s="1420" t="n"/>
      <c r="DH56" s="1420" t="n"/>
      <c r="DI56" s="1420" t="n"/>
      <c r="DJ56" s="1420" t="inlineStr"/>
      <c r="DK56" s="1420" t="n"/>
      <c r="DL56" s="1420" t="n"/>
      <c r="DM56" s="1420" t="n"/>
      <c r="DN56" s="1420" t="n"/>
      <c r="DO56" s="1420" t="n"/>
      <c r="DP56" s="1420" t="n"/>
    </row>
    <row r="57">
      <c r="A57" s="384" t="n"/>
      <c r="B57" s="384" t="n"/>
      <c r="C57" s="384" t="n"/>
      <c r="D57" s="384" t="n"/>
      <c r="E57" s="384" t="n"/>
      <c r="F57" s="384" t="n"/>
      <c r="G57" s="384" t="n"/>
      <c r="H57" s="384" t="n"/>
      <c r="I57" s="384" t="n"/>
      <c r="J57" s="384" t="n"/>
      <c r="K57" s="384" t="n"/>
      <c r="L57" s="384" t="n"/>
      <c r="M57" s="384" t="n"/>
      <c r="N57" s="384" t="n"/>
      <c r="O57" s="384" t="n"/>
      <c r="P57" s="384" t="n"/>
      <c r="Q57" s="384" t="n"/>
      <c r="R57" s="384" t="n"/>
      <c r="S57" s="384" t="n"/>
      <c r="T57" s="384" t="n"/>
      <c r="U57" s="384" t="n"/>
      <c r="V57" s="1419" t="inlineStr">
        <is>
          <t>燃料费</t>
        </is>
      </c>
      <c r="W57" s="135" t="inlineStr">
        <is>
          <t>A02801010101</t>
        </is>
      </c>
      <c r="X57" s="32">
        <f>IF(_epmOfflineCondition_,"A02801010101",EPMOlapMemberO(W57,"[C_ACCOUNT].[PARENTH1].[A02801010101]","A02801010101 - 燃料费","","000"))</f>
        <v/>
      </c>
      <c r="Y57" s="1420">
        <f>SUM(Y58:Y62)-Y59</f>
        <v/>
      </c>
      <c r="Z57" s="1420">
        <f>SUM(Z58:Z62)-Z59</f>
        <v/>
      </c>
      <c r="AA57" s="1420">
        <f>SUM(AA58:AA62)-AA59</f>
        <v/>
      </c>
      <c r="AB57" s="1420">
        <f>SUM(AB58:AB62)-AB59</f>
        <v/>
      </c>
      <c r="AC57" s="1420">
        <f>IFERROR(AB57/AA57,0)</f>
        <v/>
      </c>
      <c r="AD57" s="1420">
        <f>SUM(AD58:AD62)-AD59</f>
        <v/>
      </c>
      <c r="AE57" s="1420">
        <f>SUM(AE58:AE62)-AE59</f>
        <v/>
      </c>
      <c r="AF57" s="1420">
        <f>IFERROR(AE57/AD57,0)</f>
        <v/>
      </c>
      <c r="AG57" s="1420">
        <f>SUM(AG58:AG62)-AG59</f>
        <v/>
      </c>
      <c r="AH57" s="1420">
        <f>SUM(AH58:AH62)-AH59</f>
        <v/>
      </c>
      <c r="AI57" s="1420">
        <f>SUM(AI58:AI62)-AI59</f>
        <v/>
      </c>
      <c r="AJ57" s="1420">
        <f>SUM(AJ58:AJ62)-AJ59</f>
        <v/>
      </c>
      <c r="AK57" s="1420">
        <f>SUM(AK58:AK62)-AK59</f>
        <v/>
      </c>
      <c r="AL57" s="1420">
        <f>SUM(AL58:AL62)-AL59</f>
        <v/>
      </c>
      <c r="AM57" s="1420">
        <f>SUM(AM58:AM62)-AM59</f>
        <v/>
      </c>
      <c r="AN57" s="1420">
        <f>SUM(AN58:AN62)-AN59</f>
        <v/>
      </c>
      <c r="AO57" s="1420">
        <f>SUM(AO58:AO62)-AO59</f>
        <v/>
      </c>
      <c r="AP57" s="1420">
        <f>SUM(AP58:AP62)-AP59</f>
        <v/>
      </c>
      <c r="AQ57" s="1420">
        <f>SUM(AQ58:AQ62)-AQ59</f>
        <v/>
      </c>
      <c r="AR57" s="1420">
        <f>SUM(AR58:AR62)-AR59</f>
        <v/>
      </c>
      <c r="AS57" s="1420">
        <f>SUM(AS58:AS62)-AS59</f>
        <v/>
      </c>
      <c r="AT57" s="1420">
        <f>SUM(AT58:AT62)-AT59</f>
        <v/>
      </c>
      <c r="AU57" s="1420">
        <f>SUM(AU58:AU62)-AU59</f>
        <v/>
      </c>
      <c r="AV57" s="1420">
        <f>SUM(AV58:AV62)-AV59</f>
        <v/>
      </c>
      <c r="AW57" s="1420">
        <f>SUM(AW58:AW62)-AW59</f>
        <v/>
      </c>
      <c r="AX57" s="1420">
        <f>SUM(AX58:AX62)-AX59</f>
        <v/>
      </c>
      <c r="AY57" s="1420">
        <f>SUM(AY58:AY62)-AY59</f>
        <v/>
      </c>
      <c r="AZ57" s="1420">
        <f>SUM(AZ58:AZ62)-AZ59</f>
        <v/>
      </c>
      <c r="BA57" s="1420">
        <f>SUM(BA58:BA62)-BA59</f>
        <v/>
      </c>
      <c r="BB57" s="1420">
        <f>SUM(BB58:BB62)-BB59</f>
        <v/>
      </c>
      <c r="BC57" s="1420">
        <f>SUM(BC58:BC62)-BC59</f>
        <v/>
      </c>
      <c r="BD57" s="1420">
        <f>SUM(BD58:BD62)-BD59</f>
        <v/>
      </c>
      <c r="BE57" s="1420">
        <f>SUM(BE58:BE62)-BE59</f>
        <v/>
      </c>
      <c r="BF57" s="1420">
        <f>SUM(BF58:BF62)-BF59</f>
        <v/>
      </c>
      <c r="BG57" s="1420">
        <f>SUM(BG58:BG62)-BG59</f>
        <v/>
      </c>
      <c r="BH57" s="1420">
        <f>SUM(BH58:BH62)-BH59</f>
        <v/>
      </c>
      <c r="BI57" s="1420">
        <f>SUM(BI58:BI62)-BI59</f>
        <v/>
      </c>
      <c r="BJ57" s="1420">
        <f>SUM(BJ58:BJ62)-BJ59</f>
        <v/>
      </c>
      <c r="BK57" s="1420">
        <f>SUM(BK58:BK62)-BK59</f>
        <v/>
      </c>
      <c r="BL57" s="1420">
        <f>SUM(BL58:BL62)-BL59</f>
        <v/>
      </c>
      <c r="BM57" s="1420">
        <f>SUM(BM58:BM62)-BM59</f>
        <v/>
      </c>
      <c r="BN57" s="1420">
        <f>SUM(BN58:BN62)-BN59</f>
        <v/>
      </c>
      <c r="BO57" s="1420">
        <f>SUM(BO58:BO62)-BO59</f>
        <v/>
      </c>
      <c r="BP57" s="1420">
        <f>SUM(BP58:BP62)-BP59</f>
        <v/>
      </c>
      <c r="BQ57" s="1420">
        <f>SUM(BQ58:BQ62)-BQ59</f>
        <v/>
      </c>
      <c r="BR57" s="1420">
        <f>SUM(BR58:BR62)-BR59</f>
        <v/>
      </c>
      <c r="BS57" s="1420">
        <f>SUM(BS58:BS62)-BS59</f>
        <v/>
      </c>
      <c r="BT57" s="1420">
        <f>SUM(BT58:BT62)-BT59</f>
        <v/>
      </c>
      <c r="BU57" s="1420">
        <f>BE57-BM57</f>
        <v/>
      </c>
      <c r="BV57" s="1420">
        <f>BF57-BN57</f>
        <v/>
      </c>
      <c r="BW57" s="1420">
        <f>BG57-BO57</f>
        <v/>
      </c>
      <c r="BX57" s="1420">
        <f>BH57-BP57</f>
        <v/>
      </c>
      <c r="BY57" s="1420">
        <f>BI57-BQ57</f>
        <v/>
      </c>
      <c r="BZ57" s="1420">
        <f>BJ57-BR57</f>
        <v/>
      </c>
      <c r="CA57" s="1420">
        <f>BK57-BS57</f>
        <v/>
      </c>
      <c r="CB57" s="1420">
        <f>BL57-BT57</f>
        <v/>
      </c>
      <c r="CC57" s="1420">
        <f>SUM(CC58:CC62)-CC59</f>
        <v/>
      </c>
      <c r="CD57" s="1420">
        <f>SUM(CD58:CD62)-CD59</f>
        <v/>
      </c>
      <c r="CE57" s="1420">
        <f>SUM(CE58:CE62)-CE59</f>
        <v/>
      </c>
      <c r="CF57" s="1420">
        <f>SUM(CF58:CF62)-CF59</f>
        <v/>
      </c>
      <c r="CG57" s="1420">
        <f>SUM(CG58:CG62)-CG59</f>
        <v/>
      </c>
      <c r="CH57" s="1420">
        <f>SUM(CH58:CH62)-CH59</f>
        <v/>
      </c>
      <c r="CI57" s="1420">
        <f>SUM(CI58:CI62)-CI59</f>
        <v/>
      </c>
      <c r="CJ57" s="1420">
        <f>SUM(CJ58:CJ62)-CJ59</f>
        <v/>
      </c>
      <c r="CK57" s="1420" t="n"/>
      <c r="CL57" s="1420" t="n"/>
      <c r="CM57" s="1420" t="n"/>
      <c r="CN57" s="1420" t="n"/>
      <c r="CO57" s="1420" t="n"/>
      <c r="CP57" s="1420" t="n"/>
      <c r="CQ57" s="1420" t="n"/>
      <c r="CR57" s="1420" t="n"/>
      <c r="CS57" s="1420" t="n"/>
      <c r="CT57" s="1420" t="n"/>
      <c r="CU57" s="1420" t="n"/>
      <c r="CV57" s="1420" t="n"/>
      <c r="CW57" s="1420" t="n"/>
      <c r="CX57" s="1420" t="n"/>
      <c r="CY57" s="1420" t="n"/>
      <c r="CZ57" s="1420" t="n"/>
      <c r="DA57" s="1420" t="n"/>
      <c r="DB57" s="1420" t="n"/>
      <c r="DC57" s="1420" t="n"/>
      <c r="DD57" s="1420" t="n"/>
      <c r="DE57" s="1420" t="n"/>
      <c r="DF57" s="1420" t="n"/>
      <c r="DG57" s="1420" t="n"/>
      <c r="DH57" s="1420" t="n"/>
      <c r="DI57" s="1420" t="n"/>
      <c r="DJ57" s="1420" t="n"/>
      <c r="DK57" s="1420" t="n"/>
      <c r="DL57" s="1420" t="n"/>
      <c r="DM57" s="1420" t="n"/>
      <c r="DN57" s="1420" t="n"/>
      <c r="DO57" s="1420" t="n"/>
      <c r="DP57" s="1420" t="n"/>
    </row>
    <row r="58">
      <c r="A58" s="384" t="n"/>
      <c r="B58" s="384" t="n"/>
      <c r="C58" s="384" t="n"/>
      <c r="D58" s="384" t="n"/>
      <c r="E58" s="384" t="n"/>
      <c r="F58" s="384" t="n"/>
      <c r="G58" s="384" t="n"/>
      <c r="H58" s="384" t="n"/>
      <c r="I58" s="384" t="n"/>
      <c r="J58" s="384" t="n"/>
      <c r="K58" s="384" t="n"/>
      <c r="L58" s="384" t="n"/>
      <c r="M58" s="384" t="n"/>
      <c r="N58" s="384" t="n"/>
      <c r="O58" s="384" t="n"/>
      <c r="P58" s="384" t="n"/>
      <c r="Q58" s="384" t="n"/>
      <c r="R58" s="384" t="n"/>
      <c r="S58" s="384" t="n"/>
      <c r="T58" s="384" t="n"/>
      <c r="U58" s="384" t="n"/>
      <c r="V58" s="1421" t="inlineStr">
        <is>
          <t xml:space="preserve">   燃煤费</t>
        </is>
      </c>
      <c r="W58" s="135" t="inlineStr">
        <is>
          <t>A0280101010101</t>
        </is>
      </c>
      <c r="X58" s="32">
        <f>IF(_epmOfflineCondition_,"A0280101010101",EPMOlapMemberO(W58,"[C_ACCOUNT].[PARENTH1].[A0280101010101]","A0280101010101 -    燃煤费","","000"))</f>
        <v/>
      </c>
      <c r="Y58" s="1420">
        <f>SUM(AG58:AN58)</f>
        <v/>
      </c>
      <c r="Z58" s="1420">
        <f>SUM(AO58:AV58)</f>
        <v/>
      </c>
      <c r="AA58" s="1420">
        <f>SUM(BU58:CB58)</f>
        <v/>
      </c>
      <c r="AB58" s="1420">
        <f>Y58-AA58</f>
        <v/>
      </c>
      <c r="AC58" s="1420">
        <f>IFERROR(AB58/AA58,0)</f>
        <v/>
      </c>
      <c r="AD58" s="1420">
        <f>SUM(CC58:CJ58)</f>
        <v/>
      </c>
      <c r="AE58" s="1420">
        <f>Z58-AD58</f>
        <v/>
      </c>
      <c r="AF58" s="1420">
        <f>IFERROR(AE58/AD58,0)</f>
        <v/>
      </c>
      <c r="AG58" s="1420">
        <f>AO58-AW58</f>
        <v/>
      </c>
      <c r="AH58" s="1420">
        <f>AP58-AX58</f>
        <v/>
      </c>
      <c r="AI58" s="1420">
        <f>AQ58-AY58</f>
        <v/>
      </c>
      <c r="AJ58" s="1420">
        <f>AR58-AZ58</f>
        <v/>
      </c>
      <c r="AK58" s="1420">
        <f>AS58-BA58</f>
        <v/>
      </c>
      <c r="AL58" s="1420">
        <f>AT58-BB58</f>
        <v/>
      </c>
      <c r="AM58" s="1420">
        <f>AU58-BC58</f>
        <v/>
      </c>
      <c r="AN58" s="1420">
        <f>AV58-BD58</f>
        <v/>
      </c>
      <c r="AO58" s="1422" t="n"/>
      <c r="AP58" s="1422" t="n"/>
      <c r="AQ58" s="1422" t="n"/>
      <c r="AR58" s="1422" t="n"/>
      <c r="AS58" s="1422" t="n"/>
      <c r="AT58" s="1422" t="n"/>
      <c r="AU58" s="1422" t="n"/>
      <c r="AV58" s="1422" t="n"/>
      <c r="AW58" s="1422" t="n"/>
      <c r="AX58" s="1422" t="n"/>
      <c r="AY58" s="1422" t="n"/>
      <c r="AZ58" s="1422" t="n"/>
      <c r="BA58" s="1422" t="n"/>
      <c r="BB58" s="1422" t="n"/>
      <c r="BC58" s="1422" t="n"/>
      <c r="BD58" s="1422" t="n"/>
      <c r="BE58" s="1422" t="n"/>
      <c r="BF58" s="1422" t="n"/>
      <c r="BG58" s="1422" t="n"/>
      <c r="BH58" s="1422" t="n"/>
      <c r="BI58" s="1422" t="n"/>
      <c r="BJ58" s="1422" t="n"/>
      <c r="BK58" s="1422" t="n"/>
      <c r="BL58" s="1422" t="n"/>
      <c r="BM58" s="1422" t="n"/>
      <c r="BN58" s="1422" t="n"/>
      <c r="BO58" s="1422" t="n"/>
      <c r="BP58" s="1422" t="n"/>
      <c r="BQ58" s="1422" t="n"/>
      <c r="BR58" s="1422" t="n"/>
      <c r="BS58" s="1422" t="n"/>
      <c r="BT58" s="1422" t="n"/>
      <c r="BU58" s="1420">
        <f>BE58-BM58</f>
        <v/>
      </c>
      <c r="BV58" s="1420">
        <f>BF58-BN58</f>
        <v/>
      </c>
      <c r="BW58" s="1420">
        <f>BG58-BO58</f>
        <v/>
      </c>
      <c r="BX58" s="1420">
        <f>BH58-BP58</f>
        <v/>
      </c>
      <c r="BY58" s="1420">
        <f>BI58-BQ58</f>
        <v/>
      </c>
      <c r="BZ58" s="1420">
        <f>BJ58-BR58</f>
        <v/>
      </c>
      <c r="CA58" s="1420">
        <f>BK58-BS58</f>
        <v/>
      </c>
      <c r="CB58" s="1420">
        <f>BL58-BT58</f>
        <v/>
      </c>
      <c r="CC58" s="1420" t="n"/>
      <c r="CD58" s="1420" t="n"/>
      <c r="CE58" s="1420" t="n"/>
      <c r="CF58" s="1420" t="n"/>
      <c r="CG58" s="1420" t="n"/>
      <c r="CH58" s="1420" t="n"/>
      <c r="CI58" s="1420" t="n"/>
      <c r="CJ58" s="1420" t="n"/>
      <c r="CK58" s="1420" t="n"/>
      <c r="CL58" s="1420" t="n"/>
      <c r="CM58" s="1420" t="n"/>
      <c r="CN58" s="1420" t="n"/>
      <c r="CO58" s="1420" t="n"/>
      <c r="CP58" s="1420" t="n"/>
      <c r="CQ58" s="1420" t="n"/>
      <c r="CR58" s="1420" t="n"/>
      <c r="CS58" s="1420" t="n"/>
      <c r="CT58" s="1420" t="n"/>
      <c r="CU58" s="1420" t="n"/>
      <c r="CV58" s="1420" t="n"/>
      <c r="CW58" s="1420" t="n"/>
      <c r="CX58" s="1420" t="n"/>
      <c r="CY58" s="1420" t="n"/>
      <c r="CZ58" s="1420" t="n"/>
      <c r="DA58" s="1420" t="n"/>
      <c r="DB58" s="1420" t="n"/>
      <c r="DC58" s="1420" t="n"/>
      <c r="DD58" s="1420" t="n"/>
      <c r="DE58" s="1420" t="n"/>
      <c r="DF58" s="1420" t="n"/>
      <c r="DG58" s="1420" t="n"/>
      <c r="DH58" s="1420" t="n"/>
      <c r="DI58" s="1420" t="n"/>
      <c r="DJ58" s="1420" t="n"/>
      <c r="DK58" s="1420" t="n"/>
      <c r="DL58" s="1420" t="n"/>
      <c r="DM58" s="1420" t="n"/>
      <c r="DN58" s="1420" t="n"/>
      <c r="DO58" s="1420" t="n"/>
      <c r="DP58" s="1420" t="n"/>
    </row>
    <row r="59">
      <c r="A59" s="384" t="n"/>
      <c r="B59" s="384" t="n"/>
      <c r="C59" s="384" t="n"/>
      <c r="D59" s="384" t="n"/>
      <c r="E59" s="384" t="n"/>
      <c r="F59" s="384" t="n"/>
      <c r="G59" s="384" t="n"/>
      <c r="H59" s="384" t="n"/>
      <c r="I59" s="384" t="n"/>
      <c r="J59" s="384" t="n"/>
      <c r="K59" s="384" t="n"/>
      <c r="L59" s="384" t="n"/>
      <c r="M59" s="384" t="n"/>
      <c r="N59" s="384" t="n"/>
      <c r="O59" s="384" t="n"/>
      <c r="P59" s="384" t="n"/>
      <c r="Q59" s="384" t="n"/>
      <c r="R59" s="384" t="n"/>
      <c r="S59" s="384" t="n"/>
      <c r="T59" s="384" t="n"/>
      <c r="U59" s="384" t="n"/>
      <c r="V59" s="1421" t="inlineStr">
        <is>
          <t xml:space="preserve">     其中：燃料二次费</t>
        </is>
      </c>
      <c r="W59" s="97" t="inlineStr">
        <is>
          <t>A02802</t>
        </is>
      </c>
      <c r="X59" s="32">
        <f>IF(_epmOfflineCondition_,"A02802",EPMOlapMemberO(W59,"[C_ACCOUNT].[PARENTH1].[A02802]","A02802 -      其中：燃料二次费","","000"))</f>
        <v/>
      </c>
      <c r="Y59" s="1420">
        <f>SUM(AG59:AN59)</f>
        <v/>
      </c>
      <c r="Z59" s="1420">
        <f>SUM(AO59:AV59)</f>
        <v/>
      </c>
      <c r="AA59" s="1420">
        <f>SUM(BU59:CB59)</f>
        <v/>
      </c>
      <c r="AB59" s="1420">
        <f>Y59-AA59</f>
        <v/>
      </c>
      <c r="AC59" s="1420">
        <f>IFERROR(AB59/AA59,0)</f>
        <v/>
      </c>
      <c r="AD59" s="1420">
        <f>SUM(CC59:CJ59)</f>
        <v/>
      </c>
      <c r="AE59" s="1420">
        <f>Z59-AD59</f>
        <v/>
      </c>
      <c r="AF59" s="1420">
        <f>IFERROR(AE59/AD59,0)</f>
        <v/>
      </c>
      <c r="AG59" s="1420">
        <f>AO59-AW59</f>
        <v/>
      </c>
      <c r="AH59" s="1420">
        <f>AP59-AX59</f>
        <v/>
      </c>
      <c r="AI59" s="1420">
        <f>AQ59-AY59</f>
        <v/>
      </c>
      <c r="AJ59" s="1420">
        <f>AR59-AZ59</f>
        <v/>
      </c>
      <c r="AK59" s="1420">
        <f>AS59-BA59</f>
        <v/>
      </c>
      <c r="AL59" s="1420">
        <f>AT59-BB59</f>
        <v/>
      </c>
      <c r="AM59" s="1420">
        <f>AU59-BC59</f>
        <v/>
      </c>
      <c r="AN59" s="1420">
        <f>AV59-BD59</f>
        <v/>
      </c>
      <c r="AO59" s="1422" t="n"/>
      <c r="AP59" s="1422" t="n"/>
      <c r="AQ59" s="1422" t="n"/>
      <c r="AR59" s="1422" t="n"/>
      <c r="AS59" s="1422" t="n"/>
      <c r="AT59" s="1422" t="n"/>
      <c r="AU59" s="1422" t="n"/>
      <c r="AV59" s="1422" t="n"/>
      <c r="AW59" s="1422" t="n"/>
      <c r="AX59" s="1422" t="n"/>
      <c r="AY59" s="1422" t="n"/>
      <c r="AZ59" s="1422" t="n"/>
      <c r="BA59" s="1422" t="n"/>
      <c r="BB59" s="1422" t="n"/>
      <c r="BC59" s="1422" t="n"/>
      <c r="BD59" s="1422" t="n"/>
      <c r="BE59" s="1422" t="n"/>
      <c r="BF59" s="1422" t="n"/>
      <c r="BG59" s="1422" t="n"/>
      <c r="BH59" s="1422" t="n"/>
      <c r="BI59" s="1422" t="n"/>
      <c r="BJ59" s="1422" t="n"/>
      <c r="BK59" s="1422" t="n"/>
      <c r="BL59" s="1422" t="n"/>
      <c r="BM59" s="1422" t="n"/>
      <c r="BN59" s="1422" t="n"/>
      <c r="BO59" s="1422" t="n"/>
      <c r="BP59" s="1422" t="n"/>
      <c r="BQ59" s="1422" t="n"/>
      <c r="BR59" s="1422" t="n"/>
      <c r="BS59" s="1422" t="n"/>
      <c r="BT59" s="1422" t="n"/>
      <c r="BU59" s="1420">
        <f>BE59-BM59</f>
        <v/>
      </c>
      <c r="BV59" s="1420">
        <f>BF59-BN59</f>
        <v/>
      </c>
      <c r="BW59" s="1420">
        <f>BG59-BO59</f>
        <v/>
      </c>
      <c r="BX59" s="1420">
        <f>BH59-BP59</f>
        <v/>
      </c>
      <c r="BY59" s="1420">
        <f>BI59-BQ59</f>
        <v/>
      </c>
      <c r="BZ59" s="1420">
        <f>BJ59-BR59</f>
        <v/>
      </c>
      <c r="CA59" s="1420">
        <f>BK59-BS59</f>
        <v/>
      </c>
      <c r="CB59" s="1420">
        <f>BL59-BT59</f>
        <v/>
      </c>
      <c r="CC59" s="1420" t="n"/>
      <c r="CD59" s="1420" t="n"/>
      <c r="CE59" s="1420" t="n"/>
      <c r="CF59" s="1420" t="n"/>
      <c r="CG59" s="1420" t="n"/>
      <c r="CH59" s="1420" t="n"/>
      <c r="CI59" s="1420" t="n"/>
      <c r="CJ59" s="1420" t="n"/>
      <c r="CK59" s="1420" t="n"/>
      <c r="CL59" s="1420" t="n"/>
      <c r="CM59" s="1420" t="n"/>
      <c r="CN59" s="1420" t="n"/>
      <c r="CO59" s="1420" t="n"/>
      <c r="CP59" s="1420" t="n"/>
      <c r="CQ59" s="1420" t="n"/>
      <c r="CR59" s="1420" t="n"/>
      <c r="CS59" s="1420" t="n"/>
      <c r="CT59" s="1420" t="n"/>
      <c r="CU59" s="1420" t="n"/>
      <c r="CV59" s="1420" t="n"/>
      <c r="CW59" s="1420" t="n"/>
      <c r="CX59" s="1420" t="n"/>
      <c r="CY59" s="1420" t="n"/>
      <c r="CZ59" s="1420" t="n"/>
      <c r="DA59" s="1420" t="n"/>
      <c r="DB59" s="1420" t="n"/>
      <c r="DC59" s="1420" t="n"/>
      <c r="DD59" s="1420" t="n"/>
      <c r="DE59" s="1420" t="n"/>
      <c r="DF59" s="1420" t="n"/>
      <c r="DG59" s="1420" t="n"/>
      <c r="DH59" s="1420" t="n"/>
      <c r="DI59" s="1420" t="n"/>
      <c r="DJ59" s="1420" t="n"/>
      <c r="DK59" s="1420" t="n"/>
      <c r="DL59" s="1420" t="n"/>
      <c r="DM59" s="1420" t="n"/>
      <c r="DN59" s="1420" t="n"/>
      <c r="DO59" s="1420" t="n"/>
      <c r="DP59" s="1420" t="n"/>
    </row>
    <row r="60">
      <c r="A60" s="384" t="n"/>
      <c r="B60" s="384" t="n"/>
      <c r="C60" s="384" t="n"/>
      <c r="D60" s="384" t="n"/>
      <c r="E60" s="384" t="n"/>
      <c r="F60" s="384" t="n"/>
      <c r="G60" s="384" t="n"/>
      <c r="H60" s="384" t="n"/>
      <c r="I60" s="384" t="n"/>
      <c r="J60" s="384" t="n"/>
      <c r="K60" s="384" t="n"/>
      <c r="L60" s="384" t="n"/>
      <c r="M60" s="384" t="n"/>
      <c r="N60" s="384" t="n"/>
      <c r="O60" s="384" t="n"/>
      <c r="P60" s="384" t="n"/>
      <c r="Q60" s="384" t="n"/>
      <c r="R60" s="384" t="n"/>
      <c r="S60" s="384" t="n"/>
      <c r="T60" s="384" t="n"/>
      <c r="U60" s="384" t="n"/>
      <c r="V60" s="1421" t="inlineStr">
        <is>
          <t xml:space="preserve">   燃气费</t>
        </is>
      </c>
      <c r="W60" s="135" t="inlineStr">
        <is>
          <t>A0280101010102</t>
        </is>
      </c>
      <c r="X60" s="32">
        <f>IF(_epmOfflineCondition_,"A0280101010102",EPMOlapMemberO(W60,"[C_ACCOUNT].[PARENTH1].[A0280101010102]","A0280101010102 -    燃气费","","000"))</f>
        <v/>
      </c>
      <c r="Y60" s="1420">
        <f>SUM(AG60:AN60)</f>
        <v/>
      </c>
      <c r="Z60" s="1420">
        <f>SUM(AO60:AV60)</f>
        <v/>
      </c>
      <c r="AA60" s="1420">
        <f>SUM(BU60:CB60)</f>
        <v/>
      </c>
      <c r="AB60" s="1420">
        <f>Y60-AA60</f>
        <v/>
      </c>
      <c r="AC60" s="1420">
        <f>IFERROR(AB60/AA60,0)</f>
        <v/>
      </c>
      <c r="AD60" s="1420">
        <f>SUM(CC60:CJ60)</f>
        <v/>
      </c>
      <c r="AE60" s="1420">
        <f>Z60-AD60</f>
        <v/>
      </c>
      <c r="AF60" s="1420">
        <f>IFERROR(AE60/AD60,0)</f>
        <v/>
      </c>
      <c r="AG60" s="1420">
        <f>AO60-AW60</f>
        <v/>
      </c>
      <c r="AH60" s="1420">
        <f>AP60-AX60</f>
        <v/>
      </c>
      <c r="AI60" s="1420">
        <f>AQ60-AY60</f>
        <v/>
      </c>
      <c r="AJ60" s="1420">
        <f>AR60-AZ60</f>
        <v/>
      </c>
      <c r="AK60" s="1420">
        <f>AS60-BA60</f>
        <v/>
      </c>
      <c r="AL60" s="1420">
        <f>AT60-BB60</f>
        <v/>
      </c>
      <c r="AM60" s="1420">
        <f>AU60-BC60</f>
        <v/>
      </c>
      <c r="AN60" s="1420">
        <f>AV60-BD60</f>
        <v/>
      </c>
      <c r="AO60" s="1422" t="n"/>
      <c r="AP60" s="1422" t="n"/>
      <c r="AQ60" s="1422" t="n"/>
      <c r="AR60" s="1422" t="n"/>
      <c r="AS60" s="1422" t="n"/>
      <c r="AT60" s="1422" t="n"/>
      <c r="AU60" s="1422" t="n"/>
      <c r="AV60" s="1422" t="n"/>
      <c r="AW60" s="1422" t="n"/>
      <c r="AX60" s="1422" t="n"/>
      <c r="AY60" s="1422" t="n"/>
      <c r="AZ60" s="1422" t="n"/>
      <c r="BA60" s="1422" t="n"/>
      <c r="BB60" s="1422" t="n"/>
      <c r="BC60" s="1422" t="n"/>
      <c r="BD60" s="1422" t="n"/>
      <c r="BE60" s="1422" t="n"/>
      <c r="BF60" s="1422" t="n"/>
      <c r="BG60" s="1422" t="n"/>
      <c r="BH60" s="1422" t="n"/>
      <c r="BI60" s="1422" t="n"/>
      <c r="BJ60" s="1422" t="n"/>
      <c r="BK60" s="1422" t="n"/>
      <c r="BL60" s="1422" t="n"/>
      <c r="BM60" s="1422" t="n"/>
      <c r="BN60" s="1422" t="n"/>
      <c r="BO60" s="1422" t="n"/>
      <c r="BP60" s="1422" t="n"/>
      <c r="BQ60" s="1422" t="n"/>
      <c r="BR60" s="1422" t="n"/>
      <c r="BS60" s="1422" t="n"/>
      <c r="BT60" s="1422" t="n"/>
      <c r="BU60" s="1420">
        <f>BE60-BM60</f>
        <v/>
      </c>
      <c r="BV60" s="1420">
        <f>BF60-BN60</f>
        <v/>
      </c>
      <c r="BW60" s="1420">
        <f>BG60-BO60</f>
        <v/>
      </c>
      <c r="BX60" s="1420">
        <f>BH60-BP60</f>
        <v/>
      </c>
      <c r="BY60" s="1420">
        <f>BI60-BQ60</f>
        <v/>
      </c>
      <c r="BZ60" s="1420">
        <f>BJ60-BR60</f>
        <v/>
      </c>
      <c r="CA60" s="1420">
        <f>BK60-BS60</f>
        <v/>
      </c>
      <c r="CB60" s="1420">
        <f>BL60-BT60</f>
        <v/>
      </c>
      <c r="CC60" s="1420" t="n"/>
      <c r="CD60" s="1420" t="n"/>
      <c r="CE60" s="1420" t="n"/>
      <c r="CF60" s="1420" t="n"/>
      <c r="CG60" s="1420" t="n"/>
      <c r="CH60" s="1420" t="n"/>
      <c r="CI60" s="1420" t="n"/>
      <c r="CJ60" s="1420" t="n"/>
      <c r="CK60" s="1420" t="n"/>
      <c r="CL60" s="1420" t="n"/>
      <c r="CM60" s="1420" t="n"/>
      <c r="CN60" s="1420" t="n"/>
      <c r="CO60" s="1420" t="n"/>
      <c r="CP60" s="1420" t="n"/>
      <c r="CQ60" s="1420" t="n"/>
      <c r="CR60" s="1420" t="n"/>
      <c r="CS60" s="1420" t="n"/>
      <c r="CT60" s="1420" t="n"/>
      <c r="CU60" s="1420" t="n"/>
      <c r="CV60" s="1420" t="n"/>
      <c r="CW60" s="1420" t="n"/>
      <c r="CX60" s="1420" t="n"/>
      <c r="CY60" s="1420" t="n"/>
      <c r="CZ60" s="1420" t="n"/>
      <c r="DA60" s="1420" t="n"/>
      <c r="DB60" s="1420" t="n"/>
      <c r="DC60" s="1420" t="n"/>
      <c r="DD60" s="1420" t="n"/>
      <c r="DE60" s="1420" t="n"/>
      <c r="DF60" s="1420" t="n"/>
      <c r="DG60" s="1420" t="n"/>
      <c r="DH60" s="1420" t="n"/>
      <c r="DI60" s="1420" t="n"/>
      <c r="DJ60" s="1420" t="n"/>
      <c r="DK60" s="1420" t="n"/>
      <c r="DL60" s="1420" t="n"/>
      <c r="DM60" s="1420" t="n"/>
      <c r="DN60" s="1420" t="n"/>
      <c r="DO60" s="1420" t="n"/>
      <c r="DP60" s="1420" t="n"/>
    </row>
    <row r="61">
      <c r="A61" s="384" t="n"/>
      <c r="B61" s="384" t="n"/>
      <c r="C61" s="384" t="n"/>
      <c r="D61" s="384" t="n"/>
      <c r="E61" s="384" t="n"/>
      <c r="F61" s="384" t="n"/>
      <c r="G61" s="384" t="n"/>
      <c r="H61" s="384" t="n"/>
      <c r="I61" s="384" t="n"/>
      <c r="J61" s="384" t="n"/>
      <c r="K61" s="384" t="n"/>
      <c r="L61" s="384" t="n"/>
      <c r="M61" s="384" t="n"/>
      <c r="N61" s="384" t="n"/>
      <c r="O61" s="384" t="n"/>
      <c r="P61" s="384" t="n"/>
      <c r="Q61" s="384" t="n"/>
      <c r="R61" s="384" t="n"/>
      <c r="S61" s="384" t="n"/>
      <c r="T61" s="384" t="n"/>
      <c r="U61" s="384" t="n"/>
      <c r="V61" s="1421" t="inlineStr">
        <is>
          <t xml:space="preserve">   燃油费</t>
        </is>
      </c>
      <c r="W61" s="135" t="inlineStr">
        <is>
          <t>A0280101010103</t>
        </is>
      </c>
      <c r="X61" s="32">
        <f>IF(_epmOfflineCondition_,"A0280101010103",EPMOlapMemberO(W61,"[C_ACCOUNT].[PARENTH1].[A0280101010103]","A0280101010103 -    燃油费","","000"))</f>
        <v/>
      </c>
      <c r="Y61" s="1420">
        <f>SUM(AG61:AN61)</f>
        <v/>
      </c>
      <c r="Z61" s="1420">
        <f>SUM(AO61:AV61)</f>
        <v/>
      </c>
      <c r="AA61" s="1420">
        <f>SUM(BU61:CB61)</f>
        <v/>
      </c>
      <c r="AB61" s="1420">
        <f>Y61-AA61</f>
        <v/>
      </c>
      <c r="AC61" s="1420">
        <f>IFERROR(AB61/AA61,0)</f>
        <v/>
      </c>
      <c r="AD61" s="1420">
        <f>SUM(CC61:CJ61)</f>
        <v/>
      </c>
      <c r="AE61" s="1420">
        <f>Z61-AD61</f>
        <v/>
      </c>
      <c r="AF61" s="1420">
        <f>IFERROR(AE61/AD61,0)</f>
        <v/>
      </c>
      <c r="AG61" s="1420">
        <f>AO61-AW61</f>
        <v/>
      </c>
      <c r="AH61" s="1420">
        <f>AP61-AX61</f>
        <v/>
      </c>
      <c r="AI61" s="1420">
        <f>AQ61-AY61</f>
        <v/>
      </c>
      <c r="AJ61" s="1420">
        <f>AR61-AZ61</f>
        <v/>
      </c>
      <c r="AK61" s="1420">
        <f>AS61-BA61</f>
        <v/>
      </c>
      <c r="AL61" s="1420">
        <f>AT61-BB61</f>
        <v/>
      </c>
      <c r="AM61" s="1420">
        <f>AU61-BC61</f>
        <v/>
      </c>
      <c r="AN61" s="1420">
        <f>AV61-BD61</f>
        <v/>
      </c>
      <c r="AO61" s="1422" t="n"/>
      <c r="AP61" s="1422" t="n"/>
      <c r="AQ61" s="1422" t="n"/>
      <c r="AR61" s="1422" t="n"/>
      <c r="AS61" s="1422" t="n"/>
      <c r="AT61" s="1422" t="n"/>
      <c r="AU61" s="1422" t="n"/>
      <c r="AV61" s="1422" t="n"/>
      <c r="AW61" s="1422" t="n"/>
      <c r="AX61" s="1422" t="n"/>
      <c r="AY61" s="1422" t="n"/>
      <c r="AZ61" s="1422" t="n"/>
      <c r="BA61" s="1422" t="n"/>
      <c r="BB61" s="1422" t="n"/>
      <c r="BC61" s="1422" t="n"/>
      <c r="BD61" s="1422" t="n"/>
      <c r="BE61" s="1422" t="n"/>
      <c r="BF61" s="1422" t="n"/>
      <c r="BG61" s="1422" t="n"/>
      <c r="BH61" s="1422" t="n"/>
      <c r="BI61" s="1422" t="n"/>
      <c r="BJ61" s="1422" t="n"/>
      <c r="BK61" s="1422" t="n"/>
      <c r="BL61" s="1422" t="n"/>
      <c r="BM61" s="1422" t="n"/>
      <c r="BN61" s="1422" t="n"/>
      <c r="BO61" s="1422" t="n"/>
      <c r="BP61" s="1422" t="n"/>
      <c r="BQ61" s="1422" t="n"/>
      <c r="BR61" s="1422" t="n"/>
      <c r="BS61" s="1422" t="n"/>
      <c r="BT61" s="1422" t="n"/>
      <c r="BU61" s="1420">
        <f>BE61-BM61</f>
        <v/>
      </c>
      <c r="BV61" s="1420">
        <f>BF61-BN61</f>
        <v/>
      </c>
      <c r="BW61" s="1420">
        <f>BG61-BO61</f>
        <v/>
      </c>
      <c r="BX61" s="1420">
        <f>BH61-BP61</f>
        <v/>
      </c>
      <c r="BY61" s="1420">
        <f>BI61-BQ61</f>
        <v/>
      </c>
      <c r="BZ61" s="1420">
        <f>BJ61-BR61</f>
        <v/>
      </c>
      <c r="CA61" s="1420">
        <f>BK61-BS61</f>
        <v/>
      </c>
      <c r="CB61" s="1420">
        <f>BL61-BT61</f>
        <v/>
      </c>
      <c r="CC61" s="1420" t="n"/>
      <c r="CD61" s="1420" t="n"/>
      <c r="CE61" s="1420" t="n"/>
      <c r="CF61" s="1420" t="n"/>
      <c r="CG61" s="1420" t="n"/>
      <c r="CH61" s="1420" t="n"/>
      <c r="CI61" s="1420" t="n"/>
      <c r="CJ61" s="1420" t="n"/>
      <c r="CK61" s="1420" t="n"/>
      <c r="CL61" s="1420" t="n"/>
      <c r="CM61" s="1420" t="n"/>
      <c r="CN61" s="1420" t="n"/>
      <c r="CO61" s="1420" t="n"/>
      <c r="CP61" s="1420" t="n"/>
      <c r="CQ61" s="1420" t="n"/>
      <c r="CR61" s="1420" t="n"/>
      <c r="CS61" s="1420" t="n"/>
      <c r="CT61" s="1420" t="n"/>
      <c r="CU61" s="1420" t="n"/>
      <c r="CV61" s="1420" t="n"/>
      <c r="CW61" s="1420" t="n"/>
      <c r="CX61" s="1420" t="n"/>
      <c r="CY61" s="1420" t="n"/>
      <c r="CZ61" s="1420" t="n"/>
      <c r="DA61" s="1420" t="n"/>
      <c r="DB61" s="1420" t="n"/>
      <c r="DC61" s="1420" t="n"/>
      <c r="DD61" s="1420" t="n"/>
      <c r="DE61" s="1420" t="n"/>
      <c r="DF61" s="1420" t="n"/>
      <c r="DG61" s="1420" t="n"/>
      <c r="DH61" s="1420" t="n"/>
      <c r="DI61" s="1420" t="n"/>
      <c r="DJ61" s="1420" t="n"/>
      <c r="DK61" s="1420" t="n"/>
      <c r="DL61" s="1420" t="n"/>
      <c r="DM61" s="1420" t="n"/>
      <c r="DN61" s="1420" t="n"/>
      <c r="DO61" s="1420" t="n"/>
      <c r="DP61" s="1420" t="n"/>
    </row>
    <row r="62">
      <c r="A62" s="384" t="n"/>
      <c r="B62" s="384" t="n"/>
      <c r="C62" s="384" t="n"/>
      <c r="D62" s="384" t="n"/>
      <c r="E62" s="384" t="n"/>
      <c r="F62" s="384" t="n"/>
      <c r="G62" s="384" t="n"/>
      <c r="H62" s="384" t="n"/>
      <c r="I62" s="384" t="n"/>
      <c r="J62" s="384" t="n"/>
      <c r="K62" s="384" t="n"/>
      <c r="L62" s="384" t="n"/>
      <c r="M62" s="384" t="n"/>
      <c r="N62" s="384" t="n"/>
      <c r="O62" s="384" t="n"/>
      <c r="P62" s="384" t="n"/>
      <c r="Q62" s="384" t="n"/>
      <c r="R62" s="384" t="n"/>
      <c r="S62" s="384" t="n"/>
      <c r="T62" s="384" t="n"/>
      <c r="U62" s="384" t="n"/>
      <c r="V62" s="1421" t="inlineStr">
        <is>
          <t xml:space="preserve">   秸秆</t>
        </is>
      </c>
      <c r="W62" s="135" t="inlineStr">
        <is>
          <t>A0280101010104</t>
        </is>
      </c>
      <c r="X62" s="32">
        <f>IF(_epmOfflineCondition_,"A0280101010104",EPMOlapMemberO(W62,"[C_ACCOUNT].[PARENTH1].[A0280101010104]","A0280101010104 -    秸秆","","000"))</f>
        <v/>
      </c>
      <c r="Y62" s="1420">
        <f>SUM(AG62:AN62)</f>
        <v/>
      </c>
      <c r="Z62" s="1420">
        <f>SUM(AO62:AV62)</f>
        <v/>
      </c>
      <c r="AA62" s="1420">
        <f>SUM(BU62:CB62)</f>
        <v/>
      </c>
      <c r="AB62" s="1420">
        <f>Y62-AA62</f>
        <v/>
      </c>
      <c r="AC62" s="1420">
        <f>IFERROR(AB62/AA62,0)</f>
        <v/>
      </c>
      <c r="AD62" s="1420">
        <f>SUM(CC62:CJ62)</f>
        <v/>
      </c>
      <c r="AE62" s="1420">
        <f>Z62-AD62</f>
        <v/>
      </c>
      <c r="AF62" s="1420">
        <f>IFERROR(AE62/AD62,0)</f>
        <v/>
      </c>
      <c r="AG62" s="1420">
        <f>AO62-AW62</f>
        <v/>
      </c>
      <c r="AH62" s="1420">
        <f>AP62-AX62</f>
        <v/>
      </c>
      <c r="AI62" s="1420">
        <f>AQ62-AY62</f>
        <v/>
      </c>
      <c r="AJ62" s="1420">
        <f>AR62-AZ62</f>
        <v/>
      </c>
      <c r="AK62" s="1420">
        <f>AS62-BA62</f>
        <v/>
      </c>
      <c r="AL62" s="1420">
        <f>AT62-BB62</f>
        <v/>
      </c>
      <c r="AM62" s="1420">
        <f>AU62-BC62</f>
        <v/>
      </c>
      <c r="AN62" s="1420">
        <f>AV62-BD62</f>
        <v/>
      </c>
      <c r="AO62" s="1422" t="n"/>
      <c r="AP62" s="1422" t="n"/>
      <c r="AQ62" s="1422" t="n"/>
      <c r="AR62" s="1422" t="n"/>
      <c r="AS62" s="1422" t="n"/>
      <c r="AT62" s="1422" t="n"/>
      <c r="AU62" s="1422" t="n"/>
      <c r="AV62" s="1422" t="n"/>
      <c r="AW62" s="1422" t="n"/>
      <c r="AX62" s="1422" t="n"/>
      <c r="AY62" s="1422" t="n"/>
      <c r="AZ62" s="1422" t="n"/>
      <c r="BA62" s="1422" t="n"/>
      <c r="BB62" s="1422" t="n"/>
      <c r="BC62" s="1422" t="n"/>
      <c r="BD62" s="1422" t="n"/>
      <c r="BE62" s="1422" t="n"/>
      <c r="BF62" s="1422" t="n"/>
      <c r="BG62" s="1422" t="n"/>
      <c r="BH62" s="1422" t="n"/>
      <c r="BI62" s="1422" t="n"/>
      <c r="BJ62" s="1422" t="n"/>
      <c r="BK62" s="1422" t="n"/>
      <c r="BL62" s="1422" t="n"/>
      <c r="BM62" s="1422" t="n"/>
      <c r="BN62" s="1422" t="n"/>
      <c r="BO62" s="1422" t="n"/>
      <c r="BP62" s="1422" t="n"/>
      <c r="BQ62" s="1422" t="n"/>
      <c r="BR62" s="1422" t="n"/>
      <c r="BS62" s="1422" t="n"/>
      <c r="BT62" s="1422" t="n"/>
      <c r="BU62" s="1420">
        <f>BE62-BM62</f>
        <v/>
      </c>
      <c r="BV62" s="1420">
        <f>BF62-BN62</f>
        <v/>
      </c>
      <c r="BW62" s="1420">
        <f>BG62-BO62</f>
        <v/>
      </c>
      <c r="BX62" s="1420">
        <f>BH62-BP62</f>
        <v/>
      </c>
      <c r="BY62" s="1420">
        <f>BI62-BQ62</f>
        <v/>
      </c>
      <c r="BZ62" s="1420">
        <f>BJ62-BR62</f>
        <v/>
      </c>
      <c r="CA62" s="1420">
        <f>BK62-BS62</f>
        <v/>
      </c>
      <c r="CB62" s="1420">
        <f>BL62-BT62</f>
        <v/>
      </c>
      <c r="CC62" s="1420" t="n"/>
      <c r="CD62" s="1420" t="n"/>
      <c r="CE62" s="1420" t="n"/>
      <c r="CF62" s="1420" t="n"/>
      <c r="CG62" s="1420" t="n"/>
      <c r="CH62" s="1420" t="n"/>
      <c r="CI62" s="1420" t="n"/>
      <c r="CJ62" s="1420" t="n"/>
      <c r="CK62" s="1420" t="n"/>
      <c r="CL62" s="1420" t="n"/>
      <c r="CM62" s="1420" t="n"/>
      <c r="CN62" s="1420" t="n"/>
      <c r="CO62" s="1420" t="n"/>
      <c r="CP62" s="1420" t="n"/>
      <c r="CQ62" s="1420" t="n"/>
      <c r="CR62" s="1420" t="n"/>
      <c r="CS62" s="1420" t="n"/>
      <c r="CT62" s="1420" t="n"/>
      <c r="CU62" s="1420" t="n"/>
      <c r="CV62" s="1420" t="n"/>
      <c r="CW62" s="1420" t="n"/>
      <c r="CX62" s="1420" t="n"/>
      <c r="CY62" s="1420" t="n"/>
      <c r="CZ62" s="1420" t="n"/>
      <c r="DA62" s="1420" t="n"/>
      <c r="DB62" s="1420" t="n"/>
      <c r="DC62" s="1420" t="n"/>
      <c r="DD62" s="1420" t="n"/>
      <c r="DE62" s="1420" t="n"/>
      <c r="DF62" s="1420" t="n"/>
      <c r="DG62" s="1420" t="n"/>
      <c r="DH62" s="1420" t="n"/>
      <c r="DI62" s="1420" t="n"/>
      <c r="DJ62" s="1420" t="n"/>
      <c r="DK62" s="1420" t="n"/>
      <c r="DL62" s="1420" t="n"/>
      <c r="DM62" s="1420" t="n"/>
      <c r="DN62" s="1420" t="n"/>
      <c r="DO62" s="1420" t="n"/>
      <c r="DP62" s="1420" t="n"/>
    </row>
    <row r="63">
      <c r="A63" s="384" t="n"/>
      <c r="B63" s="384" t="n"/>
      <c r="C63" s="384" t="n"/>
      <c r="D63" s="384" t="n"/>
      <c r="E63" s="384" t="n"/>
      <c r="F63" s="384" t="n"/>
      <c r="G63" s="384" t="n"/>
      <c r="H63" s="384" t="n"/>
      <c r="I63" s="384" t="n"/>
      <c r="J63" s="384" t="n"/>
      <c r="K63" s="384" t="n"/>
      <c r="L63" s="384" t="n"/>
      <c r="M63" s="384" t="n"/>
      <c r="N63" s="384" t="n"/>
      <c r="O63" s="384" t="n"/>
      <c r="P63" s="384" t="n"/>
      <c r="Q63" s="384" t="n"/>
      <c r="R63" s="384" t="n"/>
      <c r="S63" s="384" t="n"/>
      <c r="T63" s="384" t="n"/>
      <c r="U63" s="384" t="n"/>
      <c r="V63" s="1421" t="inlineStr">
        <is>
          <t>水费及水资源费</t>
        </is>
      </c>
      <c r="W63" s="135" t="inlineStr">
        <is>
          <t>A02801010102</t>
        </is>
      </c>
      <c r="X63" s="32">
        <f>IF(_epmOfflineCondition_,"A02801010102",EPMOlapMemberO(W63,"[C_ACCOUNT].[PARENTH1].[A02801010102]","A02801010102 - 水费及水资源费","","000"))</f>
        <v/>
      </c>
      <c r="Y63" s="1420">
        <f>SUM(AG63:AN63)</f>
        <v/>
      </c>
      <c r="Z63" s="1420">
        <f>SUM(AO63:AV63)</f>
        <v/>
      </c>
      <c r="AA63" s="1420">
        <f>SUM(BU63:CB63)</f>
        <v/>
      </c>
      <c r="AB63" s="1420">
        <f>Y63-AA63</f>
        <v/>
      </c>
      <c r="AC63" s="1420">
        <f>IFERROR(AB63/AA63,0)</f>
        <v/>
      </c>
      <c r="AD63" s="1420">
        <f>SUM(CC63:CJ63)</f>
        <v/>
      </c>
      <c r="AE63" s="1420">
        <f>Z63-AD63</f>
        <v/>
      </c>
      <c r="AF63" s="1420">
        <f>IFERROR(AE63/AD63,0)</f>
        <v/>
      </c>
      <c r="AG63" s="1420">
        <f>AO63-AW63</f>
        <v/>
      </c>
      <c r="AH63" s="1420">
        <f>AP63-AX63</f>
        <v/>
      </c>
      <c r="AI63" s="1420">
        <f>AQ63-AY63</f>
        <v/>
      </c>
      <c r="AJ63" s="1420">
        <f>AR63-AZ63</f>
        <v/>
      </c>
      <c r="AK63" s="1420">
        <f>AS63-BA63</f>
        <v/>
      </c>
      <c r="AL63" s="1420">
        <f>AT63-BB63</f>
        <v/>
      </c>
      <c r="AM63" s="1420">
        <f>AU63-BC63</f>
        <v/>
      </c>
      <c r="AN63" s="1420">
        <f>AV63-BD63</f>
        <v/>
      </c>
      <c r="AO63" s="1422" t="n"/>
      <c r="AP63" s="1422" t="n"/>
      <c r="AQ63" s="1422" t="n"/>
      <c r="AR63" s="1422" t="n"/>
      <c r="AS63" s="1422" t="n"/>
      <c r="AT63" s="1422" t="n"/>
      <c r="AU63" s="1422" t="n"/>
      <c r="AV63" s="1422" t="n"/>
      <c r="AW63" s="1422" t="n"/>
      <c r="AX63" s="1422" t="n"/>
      <c r="AY63" s="1422" t="n"/>
      <c r="AZ63" s="1422" t="n"/>
      <c r="BA63" s="1422" t="n"/>
      <c r="BB63" s="1422" t="n"/>
      <c r="BC63" s="1422" t="n"/>
      <c r="BD63" s="1422" t="n"/>
      <c r="BE63" s="1422" t="n"/>
      <c r="BF63" s="1422" t="n"/>
      <c r="BG63" s="1422" t="n"/>
      <c r="BH63" s="1422" t="n"/>
      <c r="BI63" s="1422" t="n"/>
      <c r="BJ63" s="1422" t="n"/>
      <c r="BK63" s="1422" t="n"/>
      <c r="BL63" s="1422" t="n"/>
      <c r="BM63" s="1422" t="n"/>
      <c r="BN63" s="1422" t="n"/>
      <c r="BO63" s="1422" t="n"/>
      <c r="BP63" s="1422" t="n"/>
      <c r="BQ63" s="1422" t="n"/>
      <c r="BR63" s="1422" t="n"/>
      <c r="BS63" s="1422" t="n"/>
      <c r="BT63" s="1422" t="n"/>
      <c r="BU63" s="1420">
        <f>BE63-BM63</f>
        <v/>
      </c>
      <c r="BV63" s="1420">
        <f>BF63-BN63</f>
        <v/>
      </c>
      <c r="BW63" s="1420">
        <f>BG63-BO63</f>
        <v/>
      </c>
      <c r="BX63" s="1420">
        <f>BH63-BP63</f>
        <v/>
      </c>
      <c r="BY63" s="1420">
        <f>BI63-BQ63</f>
        <v/>
      </c>
      <c r="BZ63" s="1420">
        <f>BJ63-BR63</f>
        <v/>
      </c>
      <c r="CA63" s="1420">
        <f>BK63-BS63</f>
        <v/>
      </c>
      <c r="CB63" s="1420">
        <f>BL63-BT63</f>
        <v/>
      </c>
      <c r="CC63" s="1420" t="n"/>
      <c r="CD63" s="1420" t="n"/>
      <c r="CE63" s="1420" t="n"/>
      <c r="CF63" s="1420" t="n"/>
      <c r="CG63" s="1420" t="n"/>
      <c r="CH63" s="1420" t="n"/>
      <c r="CI63" s="1420" t="n"/>
      <c r="CJ63" s="1420" t="n"/>
      <c r="CK63" s="1420" t="n"/>
      <c r="CL63" s="1420" t="n"/>
      <c r="CM63" s="1420" t="n"/>
      <c r="CN63" s="1420" t="n"/>
      <c r="CO63" s="1420" t="n"/>
      <c r="CP63" s="1420" t="n"/>
      <c r="CQ63" s="1420" t="n"/>
      <c r="CR63" s="1420" t="n"/>
      <c r="CS63" s="1420" t="n"/>
      <c r="CT63" s="1420" t="n"/>
      <c r="CU63" s="1420" t="n"/>
      <c r="CV63" s="1420" t="n"/>
      <c r="CW63" s="1420" t="n"/>
      <c r="CX63" s="1420" t="n"/>
      <c r="CY63" s="1420" t="n"/>
      <c r="CZ63" s="1420" t="n"/>
      <c r="DA63" s="1420" t="n"/>
      <c r="DB63" s="1420" t="n"/>
      <c r="DC63" s="1420" t="n"/>
      <c r="DD63" s="1420" t="n"/>
      <c r="DE63" s="1420" t="n"/>
      <c r="DF63" s="1420" t="n"/>
      <c r="DG63" s="1420" t="n"/>
      <c r="DH63" s="1420" t="n"/>
      <c r="DI63" s="1420" t="n"/>
      <c r="DJ63" s="1420" t="n"/>
      <c r="DK63" s="1420" t="n"/>
      <c r="DL63" s="1420" t="n"/>
      <c r="DM63" s="1420" t="n"/>
      <c r="DN63" s="1420" t="n"/>
      <c r="DO63" s="1420" t="n"/>
      <c r="DP63" s="1420" t="n"/>
    </row>
    <row r="64">
      <c r="A64" s="384" t="n"/>
      <c r="B64" s="384" t="n"/>
      <c r="C64" s="384" t="n"/>
      <c r="D64" s="384" t="n"/>
      <c r="E64" s="384" t="n"/>
      <c r="F64" s="384" t="n"/>
      <c r="G64" s="384" t="n"/>
      <c r="H64" s="384" t="n"/>
      <c r="I64" s="384" t="n"/>
      <c r="J64" s="384" t="n"/>
      <c r="K64" s="384" t="n"/>
      <c r="L64" s="384" t="n"/>
      <c r="M64" s="384" t="n"/>
      <c r="N64" s="384" t="n"/>
      <c r="O64" s="384" t="n"/>
      <c r="P64" s="384" t="n"/>
      <c r="Q64" s="384" t="n"/>
      <c r="R64" s="384" t="n"/>
      <c r="S64" s="384" t="n"/>
      <c r="T64" s="384" t="n"/>
      <c r="U64" s="384" t="n"/>
      <c r="V64" s="1421" t="inlineStr">
        <is>
          <t>材料费</t>
        </is>
      </c>
      <c r="W64" s="97" t="inlineStr">
        <is>
          <t>A02801010103</t>
        </is>
      </c>
      <c r="X64" s="32">
        <f>IF(_epmOfflineCondition_,"A02801010103",EPMOlapMemberO(W64,"[C_ACCOUNT].[PARENTH1].[A02801010103]","A02801010103 - 材料费","","000"))</f>
        <v/>
      </c>
      <c r="Y64" s="1420">
        <f>SUM(AG64:AN64)</f>
        <v/>
      </c>
      <c r="Z64" s="1420">
        <f>SUM(AO64:AV64)</f>
        <v/>
      </c>
      <c r="AA64" s="1420">
        <f>SUM(BU64:CB64)</f>
        <v/>
      </c>
      <c r="AB64" s="1420">
        <f>Y64-AA64</f>
        <v/>
      </c>
      <c r="AC64" s="1420">
        <f>IFERROR(AB64/AA64,0)</f>
        <v/>
      </c>
      <c r="AD64" s="1420">
        <f>SUM(CC64:CJ64)</f>
        <v/>
      </c>
      <c r="AE64" s="1420">
        <f>Z64-AD64</f>
        <v/>
      </c>
      <c r="AF64" s="1420">
        <f>IFERROR(AE64/AD64,0)</f>
        <v/>
      </c>
      <c r="AG64" s="1420">
        <f>AO64-AW64</f>
        <v/>
      </c>
      <c r="AH64" s="1420">
        <f>AP64-AX64</f>
        <v/>
      </c>
      <c r="AI64" s="1420">
        <f>AQ64-AY64</f>
        <v/>
      </c>
      <c r="AJ64" s="1420">
        <f>AR64-AZ64</f>
        <v/>
      </c>
      <c r="AK64" s="1420">
        <f>AS64-BA64</f>
        <v/>
      </c>
      <c r="AL64" s="1420">
        <f>AT64-BB64</f>
        <v/>
      </c>
      <c r="AM64" s="1420">
        <f>AU64-BC64</f>
        <v/>
      </c>
      <c r="AN64" s="1420">
        <f>AV64-BD64</f>
        <v/>
      </c>
      <c r="AO64" s="1422" t="n"/>
      <c r="AP64" s="1422" t="n"/>
      <c r="AQ64" s="1422" t="n"/>
      <c r="AR64" s="1422" t="n"/>
      <c r="AS64" s="1422" t="n"/>
      <c r="AT64" s="1422" t="n"/>
      <c r="AU64" s="1422" t="n"/>
      <c r="AV64" s="1422" t="n"/>
      <c r="AW64" s="1422" t="n"/>
      <c r="AX64" s="1422" t="n"/>
      <c r="AY64" s="1422" t="n"/>
      <c r="AZ64" s="1422" t="n"/>
      <c r="BA64" s="1422" t="n"/>
      <c r="BB64" s="1422" t="n"/>
      <c r="BC64" s="1422" t="n"/>
      <c r="BD64" s="1422" t="n"/>
      <c r="BE64" s="1422" t="n"/>
      <c r="BF64" s="1422" t="n"/>
      <c r="BG64" s="1422" t="n"/>
      <c r="BH64" s="1422" t="n"/>
      <c r="BI64" s="1422" t="n"/>
      <c r="BJ64" s="1422" t="n"/>
      <c r="BK64" s="1422" t="n"/>
      <c r="BL64" s="1422" t="n"/>
      <c r="BM64" s="1422" t="n"/>
      <c r="BN64" s="1422" t="n"/>
      <c r="BO64" s="1422" t="n"/>
      <c r="BP64" s="1422" t="n"/>
      <c r="BQ64" s="1422" t="n"/>
      <c r="BR64" s="1422" t="n"/>
      <c r="BS64" s="1422" t="n"/>
      <c r="BT64" s="1422" t="n"/>
      <c r="BU64" s="1420">
        <f>BE64-BM64</f>
        <v/>
      </c>
      <c r="BV64" s="1420">
        <f>BF64-BN64</f>
        <v/>
      </c>
      <c r="BW64" s="1420">
        <f>BG64-BO64</f>
        <v/>
      </c>
      <c r="BX64" s="1420">
        <f>BH64-BP64</f>
        <v/>
      </c>
      <c r="BY64" s="1420">
        <f>BI64-BQ64</f>
        <v/>
      </c>
      <c r="BZ64" s="1420">
        <f>BJ64-BR64</f>
        <v/>
      </c>
      <c r="CA64" s="1420">
        <f>BK64-BS64</f>
        <v/>
      </c>
      <c r="CB64" s="1420">
        <f>BL64-BT64</f>
        <v/>
      </c>
      <c r="CC64" s="1420" t="n"/>
      <c r="CD64" s="1420" t="n"/>
      <c r="CE64" s="1420" t="n"/>
      <c r="CF64" s="1420" t="n"/>
      <c r="CG64" s="1420" t="n"/>
      <c r="CH64" s="1420" t="n"/>
      <c r="CI64" s="1420" t="n"/>
      <c r="CJ64" s="1420" t="n"/>
      <c r="CK64" s="1420" t="n"/>
      <c r="CL64" s="1420" t="n"/>
      <c r="CM64" s="1420" t="n"/>
      <c r="CN64" s="1420" t="n"/>
      <c r="CO64" s="1420" t="n"/>
      <c r="CP64" s="1420" t="n"/>
      <c r="CQ64" s="1420" t="n"/>
      <c r="CR64" s="1420" t="n"/>
      <c r="CS64" s="1420" t="n"/>
      <c r="CT64" s="1420" t="n"/>
      <c r="CU64" s="1420" t="n"/>
      <c r="CV64" s="1420" t="n"/>
      <c r="CW64" s="1420" t="n"/>
      <c r="CX64" s="1420" t="n"/>
      <c r="CY64" s="1420" t="n"/>
      <c r="CZ64" s="1420" t="n"/>
      <c r="DA64" s="1420" t="n"/>
      <c r="DB64" s="1420" t="n"/>
      <c r="DC64" s="1420" t="n"/>
      <c r="DD64" s="1420" t="n"/>
      <c r="DE64" s="1420" t="n"/>
      <c r="DF64" s="1420" t="n"/>
      <c r="DG64" s="1420" t="n"/>
      <c r="DH64" s="1420" t="n"/>
      <c r="DI64" s="1420" t="n"/>
      <c r="DJ64" s="1420" t="n"/>
      <c r="DK64" s="1420" t="n"/>
      <c r="DL64" s="1420" t="n"/>
      <c r="DM64" s="1420" t="n"/>
      <c r="DN64" s="1420" t="n"/>
      <c r="DO64" s="1420" t="n"/>
      <c r="DP64" s="1420" t="n"/>
    </row>
    <row r="65">
      <c r="A65" s="384" t="n"/>
      <c r="B65" s="384" t="n"/>
      <c r="C65" s="384" t="n"/>
      <c r="D65" s="384" t="n"/>
      <c r="E65" s="384" t="n"/>
      <c r="F65" s="384" t="n"/>
      <c r="G65" s="384" t="n"/>
      <c r="H65" s="384" t="n"/>
      <c r="I65" s="384" t="n"/>
      <c r="J65" s="384" t="n"/>
      <c r="K65" s="384" t="n"/>
      <c r="L65" s="384" t="n"/>
      <c r="M65" s="384" t="n"/>
      <c r="N65" s="384" t="n"/>
      <c r="O65" s="384" t="n"/>
      <c r="P65" s="384" t="n"/>
      <c r="Q65" s="384" t="n"/>
      <c r="R65" s="384" t="n"/>
      <c r="S65" s="384" t="n"/>
      <c r="T65" s="384" t="n"/>
      <c r="U65" s="384" t="n"/>
      <c r="V65" s="1421" t="inlineStr">
        <is>
          <t>外购动力</t>
        </is>
      </c>
      <c r="W65" s="384" t="inlineStr">
        <is>
          <t>A02801010104</t>
        </is>
      </c>
      <c r="X65" s="32">
        <f>IF(_epmOfflineCondition_,"A02801010104",EPMOlapMemberO(W65,"[C_ACCOUNT].[PARENTH1].[A02801010104]","A02801010104 - 外购动力","","000"))</f>
        <v/>
      </c>
      <c r="Y65" s="1420">
        <f>SUM(AG65:AN65)</f>
        <v/>
      </c>
      <c r="Z65" s="1420">
        <f>SUM(AO65:AV65)</f>
        <v/>
      </c>
      <c r="AA65" s="1420">
        <f>SUM(BU65:CB65)</f>
        <v/>
      </c>
      <c r="AB65" s="1420">
        <f>Y65-AA65</f>
        <v/>
      </c>
      <c r="AC65" s="1420">
        <f>IFERROR(AB65/AA65,0)</f>
        <v/>
      </c>
      <c r="AD65" s="1420">
        <f>SUM(CC65:CJ65)</f>
        <v/>
      </c>
      <c r="AE65" s="1420">
        <f>Z65-AD65</f>
        <v/>
      </c>
      <c r="AF65" s="1420">
        <f>IFERROR(AE65/AD65,0)</f>
        <v/>
      </c>
      <c r="AG65" s="1420">
        <f>AO65-AW65</f>
        <v/>
      </c>
      <c r="AH65" s="1420">
        <f>AP65-AX65</f>
        <v/>
      </c>
      <c r="AI65" s="1420">
        <f>AQ65-AY65</f>
        <v/>
      </c>
      <c r="AJ65" s="1420">
        <f>AR65-AZ65</f>
        <v/>
      </c>
      <c r="AK65" s="1420">
        <f>AS65-BA65</f>
        <v/>
      </c>
      <c r="AL65" s="1420">
        <f>AT65-BB65</f>
        <v/>
      </c>
      <c r="AM65" s="1420">
        <f>AU65-BC65</f>
        <v/>
      </c>
      <c r="AN65" s="1420">
        <f>AV65-BD65</f>
        <v/>
      </c>
      <c r="AO65" s="1422" t="n"/>
      <c r="AP65" s="1422" t="inlineStr"/>
      <c r="AQ65" s="1422" t="n"/>
      <c r="AR65" s="1422" t="n"/>
      <c r="AS65" s="1422" t="n"/>
      <c r="AT65" s="1422" t="n"/>
      <c r="AU65" s="1422" t="n"/>
      <c r="AV65" s="1422" t="n"/>
      <c r="AW65" s="1422" t="n"/>
      <c r="AX65" s="1422" t="inlineStr"/>
      <c r="AY65" s="1422" t="n"/>
      <c r="AZ65" s="1422" t="n"/>
      <c r="BA65" s="1422" t="n"/>
      <c r="BB65" s="1422" t="n"/>
      <c r="BC65" s="1422" t="n"/>
      <c r="BD65" s="1422" t="n"/>
      <c r="BE65" s="1422" t="n"/>
      <c r="BF65" s="1422" t="inlineStr"/>
      <c r="BG65" s="1422" t="n"/>
      <c r="BH65" s="1422" t="n"/>
      <c r="BI65" s="1422" t="n"/>
      <c r="BJ65" s="1422" t="n"/>
      <c r="BK65" s="1422" t="n"/>
      <c r="BL65" s="1422" t="n"/>
      <c r="BM65" s="1422" t="n"/>
      <c r="BN65" s="1422" t="n"/>
      <c r="BO65" s="1422" t="n"/>
      <c r="BP65" s="1422" t="n"/>
      <c r="BQ65" s="1422" t="n"/>
      <c r="BR65" s="1422" t="n"/>
      <c r="BS65" s="1422" t="n"/>
      <c r="BT65" s="1422" t="n"/>
      <c r="BU65" s="1420">
        <f>BE65-BM65</f>
        <v/>
      </c>
      <c r="BV65" s="1420">
        <f>BF65-BN65</f>
        <v/>
      </c>
      <c r="BW65" s="1420">
        <f>BG65-BO65</f>
        <v/>
      </c>
      <c r="BX65" s="1420">
        <f>BH65-BP65</f>
        <v/>
      </c>
      <c r="BY65" s="1420">
        <f>BI65-BQ65</f>
        <v/>
      </c>
      <c r="BZ65" s="1420">
        <f>BJ65-BR65</f>
        <v/>
      </c>
      <c r="CA65" s="1420">
        <f>BK65-BS65</f>
        <v/>
      </c>
      <c r="CB65" s="1420">
        <f>BL65-BT65</f>
        <v/>
      </c>
      <c r="CC65" s="1420" t="n"/>
      <c r="CD65" s="1420" t="n"/>
      <c r="CE65" s="1420" t="n"/>
      <c r="CF65" s="1420" t="n"/>
      <c r="CG65" s="1420" t="n"/>
      <c r="CH65" s="1420" t="n"/>
      <c r="CI65" s="1420" t="n"/>
      <c r="CJ65" s="1420" t="n"/>
      <c r="CK65" s="1420" t="n"/>
      <c r="CL65" s="1420" t="n"/>
      <c r="CM65" s="1420" t="n"/>
      <c r="CN65" s="1420" t="n"/>
      <c r="CO65" s="1420" t="n"/>
      <c r="CP65" s="1420" t="n"/>
      <c r="CQ65" s="1420" t="n"/>
      <c r="CR65" s="1420" t="n"/>
      <c r="CS65" s="1420" t="n"/>
      <c r="CT65" s="1420" t="n"/>
      <c r="CU65" s="1420" t="n"/>
      <c r="CV65" s="1420" t="n"/>
      <c r="CW65" s="1420" t="n"/>
      <c r="CX65" s="1420" t="n"/>
      <c r="CY65" s="1420" t="n"/>
      <c r="CZ65" s="1420" t="n"/>
      <c r="DA65" s="1420" t="n"/>
      <c r="DB65" s="1420" t="n"/>
      <c r="DC65" s="1420" t="n"/>
      <c r="DD65" s="1420" t="n"/>
      <c r="DE65" s="1420" t="n"/>
      <c r="DF65" s="1420" t="n"/>
      <c r="DG65" s="1420" t="n"/>
      <c r="DH65" s="1420" t="n"/>
      <c r="DI65" s="1420" t="n"/>
      <c r="DJ65" s="1420" t="inlineStr"/>
      <c r="DK65" s="1420" t="n"/>
      <c r="DL65" s="1420" t="n"/>
      <c r="DM65" s="1420" t="n"/>
      <c r="DN65" s="1420" t="n"/>
      <c r="DO65" s="1420" t="n"/>
      <c r="DP65" s="1420" t="n"/>
    </row>
    <row r="66">
      <c r="A66" s="384" t="n"/>
      <c r="B66" s="384" t="n"/>
      <c r="C66" s="384" t="n"/>
      <c r="D66" s="384" t="n"/>
      <c r="E66" s="384" t="n"/>
      <c r="F66" s="384" t="n"/>
      <c r="G66" s="384" t="n"/>
      <c r="H66" s="384" t="n"/>
      <c r="I66" s="384" t="n"/>
      <c r="J66" s="384" t="n"/>
      <c r="K66" s="384" t="n"/>
      <c r="L66" s="384" t="n"/>
      <c r="M66" s="384" t="n"/>
      <c r="N66" s="384" t="n"/>
      <c r="O66" s="384" t="n"/>
      <c r="P66" s="384" t="n"/>
      <c r="Q66" s="384" t="n"/>
      <c r="R66" s="384" t="n"/>
      <c r="S66" s="384" t="n"/>
      <c r="T66" s="384" t="n"/>
      <c r="U66" s="384" t="n"/>
      <c r="V66" s="1421" t="inlineStr">
        <is>
          <t>工作量法折旧</t>
        </is>
      </c>
      <c r="W66" s="384" t="inlineStr">
        <is>
          <t>A02801010105</t>
        </is>
      </c>
      <c r="X66" s="32">
        <f>IF(_epmOfflineCondition_,"A02801010105",EPMOlapMemberO(W66,"[C_ACCOUNT].[PARENTH1].[A02801010105]","A02801010105 - 工作量法折旧","","000"))</f>
        <v/>
      </c>
      <c r="Y66" s="1420">
        <f>SUM(AG66:AN66)</f>
        <v/>
      </c>
      <c r="Z66" s="1420">
        <f>SUM(AO66:AV66)</f>
        <v/>
      </c>
      <c r="AA66" s="1420">
        <f>SUM(BU66:CB66)</f>
        <v/>
      </c>
      <c r="AB66" s="1420">
        <f>Y66-AA66</f>
        <v/>
      </c>
      <c r="AC66" s="1420">
        <f>IFERROR(AB66/AA66,0)</f>
        <v/>
      </c>
      <c r="AD66" s="1420">
        <f>SUM(CC66:CJ66)</f>
        <v/>
      </c>
      <c r="AE66" s="1420">
        <f>Z66-AD66</f>
        <v/>
      </c>
      <c r="AF66" s="1420">
        <f>IFERROR(AE66/AD66,0)</f>
        <v/>
      </c>
      <c r="AG66" s="1420">
        <f>AO66-AW66</f>
        <v/>
      </c>
      <c r="AH66" s="1420">
        <f>AP66-AX66</f>
        <v/>
      </c>
      <c r="AI66" s="1420">
        <f>AQ66-AY66</f>
        <v/>
      </c>
      <c r="AJ66" s="1420">
        <f>AR66-AZ66</f>
        <v/>
      </c>
      <c r="AK66" s="1420">
        <f>AS66-BA66</f>
        <v/>
      </c>
      <c r="AL66" s="1420">
        <f>AT66-BB66</f>
        <v/>
      </c>
      <c r="AM66" s="1420">
        <f>AU66-BC66</f>
        <v/>
      </c>
      <c r="AN66" s="1420">
        <f>AV66-BD66</f>
        <v/>
      </c>
      <c r="AO66" s="1422" t="n"/>
      <c r="AP66" s="1422" t="n"/>
      <c r="AQ66" s="1422" t="n"/>
      <c r="AR66" s="1422" t="n"/>
      <c r="AS66" s="1422" t="n"/>
      <c r="AT66" s="1422" t="n"/>
      <c r="AU66" s="1422" t="n"/>
      <c r="AV66" s="1422" t="n"/>
      <c r="AW66" s="1422" t="n"/>
      <c r="AX66" s="1422" t="n"/>
      <c r="AY66" s="1422" t="n"/>
      <c r="AZ66" s="1422" t="n"/>
      <c r="BA66" s="1422" t="n"/>
      <c r="BB66" s="1422" t="n"/>
      <c r="BC66" s="1422" t="n"/>
      <c r="BD66" s="1422" t="n"/>
      <c r="BE66" s="1422" t="n"/>
      <c r="BF66" s="1422" t="n"/>
      <c r="BG66" s="1422" t="n"/>
      <c r="BH66" s="1422" t="n"/>
      <c r="BI66" s="1422" t="n"/>
      <c r="BJ66" s="1422" t="n"/>
      <c r="BK66" s="1422" t="n"/>
      <c r="BL66" s="1422" t="n"/>
      <c r="BM66" s="1422" t="n"/>
      <c r="BN66" s="1422" t="n"/>
      <c r="BO66" s="1422" t="n"/>
      <c r="BP66" s="1422" t="n"/>
      <c r="BQ66" s="1422" t="n"/>
      <c r="BR66" s="1422" t="n"/>
      <c r="BS66" s="1422" t="n"/>
      <c r="BT66" s="1422" t="n"/>
      <c r="BU66" s="1420">
        <f>BE66-BM66</f>
        <v/>
      </c>
      <c r="BV66" s="1420">
        <f>BF66-BN66</f>
        <v/>
      </c>
      <c r="BW66" s="1420">
        <f>BG66-BO66</f>
        <v/>
      </c>
      <c r="BX66" s="1420">
        <f>BH66-BP66</f>
        <v/>
      </c>
      <c r="BY66" s="1420">
        <f>BI66-BQ66</f>
        <v/>
      </c>
      <c r="BZ66" s="1420">
        <f>BJ66-BR66</f>
        <v/>
      </c>
      <c r="CA66" s="1420">
        <f>BK66-BS66</f>
        <v/>
      </c>
      <c r="CB66" s="1420">
        <f>BL66-BT66</f>
        <v/>
      </c>
      <c r="CC66" s="1420" t="n"/>
      <c r="CD66" s="1420" t="n"/>
      <c r="CE66" s="1420" t="n"/>
      <c r="CF66" s="1420" t="n"/>
      <c r="CG66" s="1420" t="n"/>
      <c r="CH66" s="1420" t="n"/>
      <c r="CI66" s="1420" t="n"/>
      <c r="CJ66" s="1420" t="n"/>
      <c r="CK66" s="1420" t="n"/>
      <c r="CL66" s="1420" t="n"/>
      <c r="CM66" s="1420" t="n"/>
      <c r="CN66" s="1420" t="n"/>
      <c r="CO66" s="1420" t="n"/>
      <c r="CP66" s="1420" t="n"/>
      <c r="CQ66" s="1420" t="n"/>
      <c r="CR66" s="1420" t="n"/>
      <c r="CS66" s="1420" t="n"/>
      <c r="CT66" s="1420" t="n"/>
      <c r="CU66" s="1420" t="n"/>
      <c r="CV66" s="1420" t="n"/>
      <c r="CW66" s="1420" t="n"/>
      <c r="CX66" s="1420" t="n"/>
      <c r="CY66" s="1420" t="n"/>
      <c r="CZ66" s="1420" t="n"/>
      <c r="DA66" s="1420" t="n"/>
      <c r="DB66" s="1420" t="n"/>
      <c r="DC66" s="1420" t="n"/>
      <c r="DD66" s="1420" t="n"/>
      <c r="DE66" s="1420" t="n"/>
      <c r="DF66" s="1420" t="n"/>
      <c r="DG66" s="1420" t="n"/>
      <c r="DH66" s="1420" t="n"/>
      <c r="DI66" s="1420" t="n"/>
      <c r="DJ66" s="1420" t="n"/>
      <c r="DK66" s="1420" t="n"/>
      <c r="DL66" s="1420" t="n"/>
      <c r="DM66" s="1420" t="n"/>
      <c r="DN66" s="1420" t="n"/>
      <c r="DO66" s="1420" t="n"/>
      <c r="DP66" s="1420" t="n"/>
    </row>
    <row r="67">
      <c r="A67" s="384" t="n"/>
      <c r="B67" s="384" t="n"/>
      <c r="C67" s="384" t="n"/>
      <c r="D67" s="384" t="n"/>
      <c r="E67" s="384" t="n"/>
      <c r="F67" s="384" t="n"/>
      <c r="G67" s="384" t="n"/>
      <c r="H67" s="384" t="n"/>
      <c r="I67" s="384" t="n"/>
      <c r="J67" s="384" t="n"/>
      <c r="K67" s="384" t="n"/>
      <c r="L67" s="384" t="n"/>
      <c r="M67" s="384" t="n"/>
      <c r="N67" s="384" t="n"/>
      <c r="O67" s="384" t="n"/>
      <c r="P67" s="384" t="n"/>
      <c r="Q67" s="384" t="n"/>
      <c r="R67" s="384" t="n"/>
      <c r="S67" s="384" t="n"/>
      <c r="T67" s="384" t="n"/>
      <c r="U67" s="384" t="n"/>
      <c r="V67" s="1419" t="inlineStr">
        <is>
          <t>固定成本</t>
        </is>
      </c>
      <c r="W67" s="384" t="inlineStr">
        <is>
          <t>A028010102</t>
        </is>
      </c>
      <c r="X67" s="32">
        <f>IF(_epmOfflineCondition_,"A028010102",EPMOlapMemberO(W67,"[C_ACCOUNT].[PARENTH1].[A028010102]","A028010102 - 固定成本","","000"))</f>
        <v/>
      </c>
      <c r="Y67" s="1420">
        <f>SUM(Y68:Y71)</f>
        <v/>
      </c>
      <c r="Z67" s="1420">
        <f>SUM(Z68:Z71)</f>
        <v/>
      </c>
      <c r="AA67" s="1420">
        <f>SUM(AA68:AA71)</f>
        <v/>
      </c>
      <c r="AB67" s="1420">
        <f>SUM(AB68:AB71)</f>
        <v/>
      </c>
      <c r="AC67" s="1420">
        <f>SUM(AC68:AC71)</f>
        <v/>
      </c>
      <c r="AD67" s="1420">
        <f>SUM(AD68:AD71)</f>
        <v/>
      </c>
      <c r="AE67" s="1420">
        <f>SUM(AE68:AE71)</f>
        <v/>
      </c>
      <c r="AF67" s="1420">
        <f>SUM(AF68:AF71)</f>
        <v/>
      </c>
      <c r="AG67" s="1420">
        <f>SUM(AG68:AG71)</f>
        <v/>
      </c>
      <c r="AH67" s="1420">
        <f>SUM(AH68:AH71)</f>
        <v/>
      </c>
      <c r="AI67" s="1420">
        <f>SUM(AI68:AI71)</f>
        <v/>
      </c>
      <c r="AJ67" s="1420">
        <f>SUM(AJ68:AJ71)</f>
        <v/>
      </c>
      <c r="AK67" s="1420">
        <f>SUM(AK68:AK71)</f>
        <v/>
      </c>
      <c r="AL67" s="1420">
        <f>SUM(AL68:AL71)</f>
        <v/>
      </c>
      <c r="AM67" s="1420">
        <f>SUM(AM68:AM71)</f>
        <v/>
      </c>
      <c r="AN67" s="1420">
        <f>SUM(AN68:AN71)</f>
        <v/>
      </c>
      <c r="AO67" s="1420">
        <f>SUM(AO68:AO71)</f>
        <v/>
      </c>
      <c r="AP67" s="1420">
        <f>SUM(AP68:AP71)</f>
        <v/>
      </c>
      <c r="AQ67" s="1420">
        <f>SUM(AQ68:AQ71)</f>
        <v/>
      </c>
      <c r="AR67" s="1420">
        <f>SUM(AR68:AR71)</f>
        <v/>
      </c>
      <c r="AS67" s="1420">
        <f>SUM(AS68:AS71)</f>
        <v/>
      </c>
      <c r="AT67" s="1420">
        <f>SUM(AT68:AT71)</f>
        <v/>
      </c>
      <c r="AU67" s="1420">
        <f>SUM(AU68:AU71)</f>
        <v/>
      </c>
      <c r="AV67" s="1420">
        <f>SUM(AV68:AV71)</f>
        <v/>
      </c>
      <c r="AW67" s="1420">
        <f>SUM(AW68:AW71)</f>
        <v/>
      </c>
      <c r="AX67" s="1420">
        <f>SUM(AX68:AX71)</f>
        <v/>
      </c>
      <c r="AY67" s="1420">
        <f>SUM(AY68:AY71)</f>
        <v/>
      </c>
      <c r="AZ67" s="1420">
        <f>SUM(AZ68:AZ71)</f>
        <v/>
      </c>
      <c r="BA67" s="1420">
        <f>SUM(BA68:BA71)</f>
        <v/>
      </c>
      <c r="BB67" s="1420">
        <f>SUM(BB68:BB71)</f>
        <v/>
      </c>
      <c r="BC67" s="1420">
        <f>SUM(BC68:BC71)</f>
        <v/>
      </c>
      <c r="BD67" s="1420">
        <f>SUM(BD68:BD71)</f>
        <v/>
      </c>
      <c r="BE67" s="1420">
        <f>SUM(BE68:BE71)</f>
        <v/>
      </c>
      <c r="BF67" s="1420">
        <f>SUM(BF68:BF71)</f>
        <v/>
      </c>
      <c r="BG67" s="1420">
        <f>SUM(BG68:BG71)</f>
        <v/>
      </c>
      <c r="BH67" s="1420">
        <f>SUM(BH68:BH71)</f>
        <v/>
      </c>
      <c r="BI67" s="1420">
        <f>SUM(BI68:BI71)</f>
        <v/>
      </c>
      <c r="BJ67" s="1420">
        <f>SUM(BJ68:BJ71)</f>
        <v/>
      </c>
      <c r="BK67" s="1420">
        <f>SUM(BK68:BK71)</f>
        <v/>
      </c>
      <c r="BL67" s="1420">
        <f>SUM(BL68:BL71)</f>
        <v/>
      </c>
      <c r="BM67" s="1420">
        <f>SUM(BM68:BM71)</f>
        <v/>
      </c>
      <c r="BN67" s="1420">
        <f>SUM(BN68:BN71)</f>
        <v/>
      </c>
      <c r="BO67" s="1420">
        <f>SUM(BO68:BO71)</f>
        <v/>
      </c>
      <c r="BP67" s="1420">
        <f>SUM(BP68:BP71)</f>
        <v/>
      </c>
      <c r="BQ67" s="1420">
        <f>SUM(BQ68:BQ71)</f>
        <v/>
      </c>
      <c r="BR67" s="1420">
        <f>SUM(BR68:BR71)</f>
        <v/>
      </c>
      <c r="BS67" s="1420">
        <f>SUM(BS68:BS71)</f>
        <v/>
      </c>
      <c r="BT67" s="1420">
        <f>SUM(BT68:BT71)</f>
        <v/>
      </c>
      <c r="BU67" s="1420">
        <f>BE67-BM67</f>
        <v/>
      </c>
      <c r="BV67" s="1420">
        <f>BF67-BN67</f>
        <v/>
      </c>
      <c r="BW67" s="1420">
        <f>BG67-BO67</f>
        <v/>
      </c>
      <c r="BX67" s="1420">
        <f>BH67-BP67</f>
        <v/>
      </c>
      <c r="BY67" s="1420">
        <f>BI67-BQ67</f>
        <v/>
      </c>
      <c r="BZ67" s="1420">
        <f>BJ67-BR67</f>
        <v/>
      </c>
      <c r="CA67" s="1420">
        <f>BK67-BS67</f>
        <v/>
      </c>
      <c r="CB67" s="1420">
        <f>BL67-BT67</f>
        <v/>
      </c>
      <c r="CC67" s="1420">
        <f>SUM(CC68:CC71)</f>
        <v/>
      </c>
      <c r="CD67" s="1420">
        <f>SUM(CD68:CD71)</f>
        <v/>
      </c>
      <c r="CE67" s="1420">
        <f>SUM(CE68:CE71)</f>
        <v/>
      </c>
      <c r="CF67" s="1420">
        <f>SUM(CF68:CF71)</f>
        <v/>
      </c>
      <c r="CG67" s="1420">
        <f>SUM(CG68:CG71)</f>
        <v/>
      </c>
      <c r="CH67" s="1420">
        <f>SUM(CH68:CH71)</f>
        <v/>
      </c>
      <c r="CI67" s="1420">
        <f>SUM(CI68:CI71)</f>
        <v/>
      </c>
      <c r="CJ67" s="1420">
        <f>SUM(CJ68:CJ71)</f>
        <v/>
      </c>
      <c r="CK67" s="1420">
        <f>SUM(CK68:CK71)</f>
        <v/>
      </c>
      <c r="CL67" s="1420">
        <f>SUM(CL68:CL71)</f>
        <v/>
      </c>
      <c r="CM67" s="1420">
        <f>SUM(CM68:CM71)</f>
        <v/>
      </c>
      <c r="CN67" s="1420">
        <f>SUM(CN68:CN71)</f>
        <v/>
      </c>
      <c r="CO67" s="1420">
        <f>SUM(CO68:CO71)</f>
        <v/>
      </c>
      <c r="CP67" s="1420">
        <f>SUM(CP68:CP71)</f>
        <v/>
      </c>
      <c r="CQ67" s="1420">
        <f>SUM(CQ68:CQ71)</f>
        <v/>
      </c>
      <c r="CR67" s="1420">
        <f>SUM(CR68:CR71)</f>
        <v/>
      </c>
      <c r="CS67" s="1420">
        <f>SUM(CS68:CS71)</f>
        <v/>
      </c>
      <c r="CT67" s="1420">
        <f>SUM(CT68:CT71)</f>
        <v/>
      </c>
      <c r="CU67" s="1420">
        <f>SUM(CU68:CU71)</f>
        <v/>
      </c>
      <c r="CV67" s="1420">
        <f>SUM(CV68:CV71)</f>
        <v/>
      </c>
      <c r="CW67" s="1420">
        <f>SUM(CW68:CW71)</f>
        <v/>
      </c>
      <c r="CX67" s="1420">
        <f>SUM(CX68:CX71)</f>
        <v/>
      </c>
      <c r="CY67" s="1420">
        <f>SUM(CY68:CY71)</f>
        <v/>
      </c>
      <c r="CZ67" s="1420">
        <f>SUM(CZ68:CZ71)</f>
        <v/>
      </c>
      <c r="DA67" s="1420">
        <f>SUM(DA68:DA71)</f>
        <v/>
      </c>
      <c r="DB67" s="1420">
        <f>SUM(DB68:DB71)</f>
        <v/>
      </c>
      <c r="DC67" s="1420">
        <f>SUM(DC68:DC71)</f>
        <v/>
      </c>
      <c r="DD67" s="1420">
        <f>SUM(DD68:DD71)</f>
        <v/>
      </c>
      <c r="DE67" s="1420">
        <f>SUM(DE68:DE71)</f>
        <v/>
      </c>
      <c r="DF67" s="1420">
        <f>SUM(DF68:DF71)</f>
        <v/>
      </c>
      <c r="DG67" s="1420">
        <f>SUM(DG68:DG71)</f>
        <v/>
      </c>
      <c r="DH67" s="1420">
        <f>SUM(DH68:DH71)</f>
        <v/>
      </c>
      <c r="DI67" s="1420">
        <f>SUM(DI68:DI71)</f>
        <v/>
      </c>
      <c r="DJ67" s="1420">
        <f>SUM(DJ68:DJ71)</f>
        <v/>
      </c>
      <c r="DK67" s="1420">
        <f>SUM(DK68:DK71)</f>
        <v/>
      </c>
      <c r="DL67" s="1420">
        <f>SUM(DL68:DL71)</f>
        <v/>
      </c>
      <c r="DM67" s="1420">
        <f>SUM(DM68:DM71)</f>
        <v/>
      </c>
      <c r="DN67" s="1420">
        <f>SUM(DN68:DN71)</f>
        <v/>
      </c>
      <c r="DO67" s="1420">
        <f>SUM(DO68:DO71)</f>
        <v/>
      </c>
      <c r="DP67" s="1420">
        <f>SUM(DP68:DP71)</f>
        <v/>
      </c>
    </row>
    <row r="68">
      <c r="A68" s="384" t="n"/>
      <c r="B68" s="384" t="n"/>
      <c r="C68" s="384" t="n"/>
      <c r="D68" s="384" t="n"/>
      <c r="E68" s="384" t="n"/>
      <c r="F68" s="384" t="n"/>
      <c r="G68" s="384" t="n"/>
      <c r="H68" s="384" t="n"/>
      <c r="I68" s="384" t="n"/>
      <c r="J68" s="384" t="n"/>
      <c r="K68" s="384" t="n"/>
      <c r="L68" s="384" t="n"/>
      <c r="M68" s="384" t="n"/>
      <c r="N68" s="384" t="n"/>
      <c r="O68" s="384" t="n"/>
      <c r="P68" s="384" t="n"/>
      <c r="Q68" s="384" t="n"/>
      <c r="R68" s="384" t="n"/>
      <c r="S68" s="384" t="n"/>
      <c r="T68" s="384" t="n"/>
      <c r="U68" s="384" t="n"/>
      <c r="V68" s="1421" t="inlineStr">
        <is>
          <t>职工新酬</t>
        </is>
      </c>
      <c r="W68" s="384" t="inlineStr">
        <is>
          <t>A02801010201</t>
        </is>
      </c>
      <c r="X68" s="32">
        <f>IF(_epmOfflineCondition_,"A02801010201",EPMOlapMemberO(W68,"[C_ACCOUNT].[PARENTH1].[A02801010201]","A02801010201 - 职工新酬","","000"))</f>
        <v/>
      </c>
      <c r="Y68" s="1420">
        <f>SUM(AG68:AN68)</f>
        <v/>
      </c>
      <c r="Z68" s="1420">
        <f>SUM(AO68:AV68)</f>
        <v/>
      </c>
      <c r="AA68" s="1420">
        <f>SUM(BU68:CB68)</f>
        <v/>
      </c>
      <c r="AB68" s="1420">
        <f>Y68-AA68</f>
        <v/>
      </c>
      <c r="AC68" s="1420">
        <f>IFERROR(AB68/AA68,0)</f>
        <v/>
      </c>
      <c r="AD68" s="1420">
        <f>SUM(CC68:CJ68)</f>
        <v/>
      </c>
      <c r="AE68" s="1420">
        <f>Z68-AD68</f>
        <v/>
      </c>
      <c r="AF68" s="1420">
        <f>IFERROR(AE68/AD68,0)</f>
        <v/>
      </c>
      <c r="AG68" s="1420">
        <f>AO68-AW68</f>
        <v/>
      </c>
      <c r="AH68" s="1420">
        <f>AP68-AX68</f>
        <v/>
      </c>
      <c r="AI68" s="1420">
        <f>AQ68-AY68</f>
        <v/>
      </c>
      <c r="AJ68" s="1420">
        <f>AR68-AZ68</f>
        <v/>
      </c>
      <c r="AK68" s="1420">
        <f>AS68-BA68</f>
        <v/>
      </c>
      <c r="AL68" s="1420">
        <f>AT68-BB68</f>
        <v/>
      </c>
      <c r="AM68" s="1420">
        <f>AU68-BC68</f>
        <v/>
      </c>
      <c r="AN68" s="1420">
        <f>AV68-BD68</f>
        <v/>
      </c>
      <c r="AO68" s="1422" t="n"/>
      <c r="AP68" s="1422" t="inlineStr"/>
      <c r="AQ68" s="1422" t="n"/>
      <c r="AR68" s="1422" t="n"/>
      <c r="AS68" s="1422" t="n"/>
      <c r="AT68" s="1422" t="n"/>
      <c r="AU68" s="1422" t="n"/>
      <c r="AV68" s="1422" t="n"/>
      <c r="AW68" s="1422" t="n"/>
      <c r="AX68" s="1422" t="inlineStr"/>
      <c r="AY68" s="1422" t="n"/>
      <c r="AZ68" s="1422" t="n"/>
      <c r="BA68" s="1422" t="n"/>
      <c r="BB68" s="1422" t="n"/>
      <c r="BC68" s="1422" t="n"/>
      <c r="BD68" s="1422" t="n"/>
      <c r="BE68" s="1422" t="n"/>
      <c r="BF68" s="1422" t="inlineStr"/>
      <c r="BG68" s="1422" t="n"/>
      <c r="BH68" s="1422" t="n"/>
      <c r="BI68" s="1422" t="n"/>
      <c r="BJ68" s="1422" t="n"/>
      <c r="BK68" s="1422" t="n"/>
      <c r="BL68" s="1422" t="n"/>
      <c r="BM68" s="1422" t="n"/>
      <c r="BN68" s="1422" t="inlineStr"/>
      <c r="BO68" s="1422" t="n"/>
      <c r="BP68" s="1422" t="n"/>
      <c r="BQ68" s="1422" t="n"/>
      <c r="BR68" s="1422" t="n"/>
      <c r="BS68" s="1422" t="n"/>
      <c r="BT68" s="1422" t="n"/>
      <c r="BU68" s="1420">
        <f>BE68-BM68</f>
        <v/>
      </c>
      <c r="BV68" s="1420">
        <f>BF68-BN68</f>
        <v/>
      </c>
      <c r="BW68" s="1420">
        <f>BG68-BO68</f>
        <v/>
      </c>
      <c r="BX68" s="1420">
        <f>BH68-BP68</f>
        <v/>
      </c>
      <c r="BY68" s="1420">
        <f>BI68-BQ68</f>
        <v/>
      </c>
      <c r="BZ68" s="1420">
        <f>BJ68-BR68</f>
        <v/>
      </c>
      <c r="CA68" s="1420">
        <f>BK68-BS68</f>
        <v/>
      </c>
      <c r="CB68" s="1420">
        <f>BL68-BT68</f>
        <v/>
      </c>
      <c r="CC68" s="1420" t="n"/>
      <c r="CD68" s="1420" t="n"/>
      <c r="CE68" s="1420" t="n"/>
      <c r="CF68" s="1420" t="n"/>
      <c r="CG68" s="1420" t="n"/>
      <c r="CH68" s="1420" t="n"/>
      <c r="CI68" s="1420" t="n"/>
      <c r="CJ68" s="1420" t="n"/>
      <c r="CK68" s="1420" t="n"/>
      <c r="CL68" s="1420" t="n"/>
      <c r="CM68" s="1420" t="n"/>
      <c r="CN68" s="1420" t="n"/>
      <c r="CO68" s="1420" t="n"/>
      <c r="CP68" s="1420" t="n"/>
      <c r="CQ68" s="1420" t="n"/>
      <c r="CR68" s="1420" t="n"/>
      <c r="CS68" s="1420" t="n"/>
      <c r="CT68" s="1420" t="n"/>
      <c r="CU68" s="1420" t="n"/>
      <c r="CV68" s="1420" t="n"/>
      <c r="CW68" s="1420" t="n"/>
      <c r="CX68" s="1420" t="n"/>
      <c r="CY68" s="1420" t="n"/>
      <c r="CZ68" s="1420" t="n"/>
      <c r="DA68" s="1420" t="n"/>
      <c r="DB68" s="1420" t="n"/>
      <c r="DC68" s="1420" t="n"/>
      <c r="DD68" s="1420" t="n"/>
      <c r="DE68" s="1420" t="n"/>
      <c r="DF68" s="1420" t="n"/>
      <c r="DG68" s="1420" t="n"/>
      <c r="DH68" s="1420" t="n"/>
      <c r="DI68" s="1420" t="n"/>
      <c r="DJ68" s="1420" t="inlineStr"/>
      <c r="DK68" s="1420" t="n"/>
      <c r="DL68" s="1420" t="n"/>
      <c r="DM68" s="1420" t="n"/>
      <c r="DN68" s="1420" t="n"/>
      <c r="DO68" s="1420" t="n"/>
      <c r="DP68" s="1420" t="n"/>
    </row>
    <row r="69">
      <c r="A69" s="384" t="n"/>
      <c r="B69" s="384" t="n"/>
      <c r="C69" s="384" t="n"/>
      <c r="D69" s="384" t="n"/>
      <c r="E69" s="384" t="n"/>
      <c r="F69" s="384" t="n"/>
      <c r="G69" s="384" t="n"/>
      <c r="H69" s="384" t="n"/>
      <c r="I69" s="384" t="n"/>
      <c r="J69" s="384" t="n"/>
      <c r="K69" s="384" t="n"/>
      <c r="L69" s="384" t="n"/>
      <c r="M69" s="384" t="n"/>
      <c r="N69" s="384" t="n"/>
      <c r="O69" s="384" t="n"/>
      <c r="P69" s="384" t="n"/>
      <c r="Q69" s="384" t="n"/>
      <c r="R69" s="384" t="n"/>
      <c r="S69" s="384" t="n"/>
      <c r="T69" s="384" t="n"/>
      <c r="U69" s="384" t="n"/>
      <c r="V69" s="1421" t="inlineStr">
        <is>
          <t>平均年限法折旧</t>
        </is>
      </c>
      <c r="W69" s="384" t="inlineStr">
        <is>
          <t>A02801010202</t>
        </is>
      </c>
      <c r="X69" s="32">
        <f>IF(_epmOfflineCondition_,"A02801010202",EPMOlapMemberO(W69,"[C_ACCOUNT].[PARENTH1].[A02801010202]","A02801010202 - 平均年限法折旧","","000"))</f>
        <v/>
      </c>
      <c r="Y69" s="1420">
        <f>SUM(AG69:AN69)</f>
        <v/>
      </c>
      <c r="Z69" s="1420">
        <f>SUM(AO69:AV69)</f>
        <v/>
      </c>
      <c r="AA69" s="1420">
        <f>SUM(BU69:CB69)</f>
        <v/>
      </c>
      <c r="AB69" s="1420">
        <f>Y69-AA69</f>
        <v/>
      </c>
      <c r="AC69" s="1420">
        <f>IFERROR(AB69/AA69,0)</f>
        <v/>
      </c>
      <c r="AD69" s="1420">
        <f>SUM(CC69:CJ69)</f>
        <v/>
      </c>
      <c r="AE69" s="1420">
        <f>Z69-AD69</f>
        <v/>
      </c>
      <c r="AF69" s="1420">
        <f>IFERROR(AE69/AD69,0)</f>
        <v/>
      </c>
      <c r="AG69" s="1420">
        <f>AO69-AW69</f>
        <v/>
      </c>
      <c r="AH69" s="1420">
        <f>AP69-AX69</f>
        <v/>
      </c>
      <c r="AI69" s="1420">
        <f>AQ69-AY69</f>
        <v/>
      </c>
      <c r="AJ69" s="1420">
        <f>AR69-AZ69</f>
        <v/>
      </c>
      <c r="AK69" s="1420">
        <f>AS69-BA69</f>
        <v/>
      </c>
      <c r="AL69" s="1420">
        <f>AT69-BB69</f>
        <v/>
      </c>
      <c r="AM69" s="1420">
        <f>AU69-BC69</f>
        <v/>
      </c>
      <c r="AN69" s="1420">
        <f>AV69-BD69</f>
        <v/>
      </c>
      <c r="AO69" s="1422" t="n"/>
      <c r="AP69" s="1422" t="inlineStr"/>
      <c r="AQ69" s="1422" t="n"/>
      <c r="AR69" s="1422" t="n"/>
      <c r="AS69" s="1422" t="n"/>
      <c r="AT69" s="1422" t="n"/>
      <c r="AU69" s="1422" t="n"/>
      <c r="AV69" s="1422" t="n"/>
      <c r="AW69" s="1422" t="n"/>
      <c r="AX69" s="1422" t="inlineStr"/>
      <c r="AY69" s="1422" t="n"/>
      <c r="AZ69" s="1422" t="n"/>
      <c r="BA69" s="1422" t="n"/>
      <c r="BB69" s="1422" t="n"/>
      <c r="BC69" s="1422" t="n"/>
      <c r="BD69" s="1422" t="n"/>
      <c r="BE69" s="1422" t="n"/>
      <c r="BF69" s="1422" t="inlineStr"/>
      <c r="BG69" s="1422" t="n"/>
      <c r="BH69" s="1422" t="n"/>
      <c r="BI69" s="1422" t="n"/>
      <c r="BJ69" s="1422" t="n"/>
      <c r="BK69" s="1422" t="n"/>
      <c r="BL69" s="1422" t="n"/>
      <c r="BM69" s="1422" t="n"/>
      <c r="BN69" s="1422" t="inlineStr"/>
      <c r="BO69" s="1422" t="n"/>
      <c r="BP69" s="1422" t="n"/>
      <c r="BQ69" s="1422" t="n"/>
      <c r="BR69" s="1422" t="n"/>
      <c r="BS69" s="1422" t="n"/>
      <c r="BT69" s="1422" t="n"/>
      <c r="BU69" s="1420">
        <f>BE69-BM69</f>
        <v/>
      </c>
      <c r="BV69" s="1420">
        <f>BF69-BN69</f>
        <v/>
      </c>
      <c r="BW69" s="1420">
        <f>BG69-BO69</f>
        <v/>
      </c>
      <c r="BX69" s="1420">
        <f>BH69-BP69</f>
        <v/>
      </c>
      <c r="BY69" s="1420">
        <f>BI69-BQ69</f>
        <v/>
      </c>
      <c r="BZ69" s="1420">
        <f>BJ69-BR69</f>
        <v/>
      </c>
      <c r="CA69" s="1420">
        <f>BK69-BS69</f>
        <v/>
      </c>
      <c r="CB69" s="1420">
        <f>BL69-BT69</f>
        <v/>
      </c>
      <c r="CC69" s="1420" t="n"/>
      <c r="CD69" s="1420" t="n"/>
      <c r="CE69" s="1420" t="n"/>
      <c r="CF69" s="1420" t="n"/>
      <c r="CG69" s="1420" t="n"/>
      <c r="CH69" s="1420" t="n"/>
      <c r="CI69" s="1420" t="n"/>
      <c r="CJ69" s="1420" t="n"/>
      <c r="CK69" s="1420" t="n"/>
      <c r="CL69" s="1420" t="n"/>
      <c r="CM69" s="1420" t="n"/>
      <c r="CN69" s="1420" t="n"/>
      <c r="CO69" s="1420" t="n"/>
      <c r="CP69" s="1420" t="n"/>
      <c r="CQ69" s="1420" t="n"/>
      <c r="CR69" s="1420" t="n"/>
      <c r="CS69" s="1420" t="n"/>
      <c r="CT69" s="1420" t="n"/>
      <c r="CU69" s="1420" t="n"/>
      <c r="CV69" s="1420" t="n"/>
      <c r="CW69" s="1420" t="n"/>
      <c r="CX69" s="1420" t="n"/>
      <c r="CY69" s="1420" t="n"/>
      <c r="CZ69" s="1420" t="n"/>
      <c r="DA69" s="1420" t="n"/>
      <c r="DB69" s="1420" t="n"/>
      <c r="DC69" s="1420" t="n"/>
      <c r="DD69" s="1420" t="n"/>
      <c r="DE69" s="1420" t="n"/>
      <c r="DF69" s="1420" t="n"/>
      <c r="DG69" s="1420" t="n"/>
      <c r="DH69" s="1420" t="n"/>
      <c r="DI69" s="1420" t="n"/>
      <c r="DJ69" s="1420" t="inlineStr"/>
      <c r="DK69" s="1420" t="n"/>
      <c r="DL69" s="1420" t="n"/>
      <c r="DM69" s="1420" t="n"/>
      <c r="DN69" s="1420" t="n"/>
      <c r="DO69" s="1420" t="n"/>
      <c r="DP69" s="1420" t="n"/>
    </row>
    <row r="70">
      <c r="A70" s="384" t="n"/>
      <c r="B70" s="384" t="n"/>
      <c r="C70" s="384" t="n"/>
      <c r="D70" s="384" t="n"/>
      <c r="E70" s="384" t="n"/>
      <c r="F70" s="384" t="n"/>
      <c r="G70" s="384" t="n"/>
      <c r="H70" s="384" t="n"/>
      <c r="I70" s="384" t="n"/>
      <c r="J70" s="384" t="n"/>
      <c r="K70" s="384" t="n"/>
      <c r="L70" s="384" t="n"/>
      <c r="M70" s="384" t="n"/>
      <c r="N70" s="384" t="n"/>
      <c r="O70" s="384" t="n"/>
      <c r="P70" s="384" t="n"/>
      <c r="Q70" s="384" t="n"/>
      <c r="R70" s="384" t="n"/>
      <c r="S70" s="384" t="n"/>
      <c r="T70" s="384" t="n"/>
      <c r="U70" s="384" t="n"/>
      <c r="V70" s="1421" t="inlineStr">
        <is>
          <t>修理费</t>
        </is>
      </c>
      <c r="W70" s="384" t="inlineStr">
        <is>
          <t>A031</t>
        </is>
      </c>
      <c r="X70" s="32">
        <f>IF(_epmOfflineCondition_,"A031",EPMOlapMemberO(W70,"[C_ACCOUNT].[PARENTH1].[A031]","A031 - 计划检修费表-合计","","000"))</f>
        <v/>
      </c>
      <c r="Y70" s="1420">
        <f>SUM(AG70:AN70)</f>
        <v/>
      </c>
      <c r="Z70" s="1420">
        <f>SUM(AO70:AV70)</f>
        <v/>
      </c>
      <c r="AA70" s="1420">
        <f>SUM(BU70:CB70)</f>
        <v/>
      </c>
      <c r="AB70" s="1420">
        <f>Y70-AA70</f>
        <v/>
      </c>
      <c r="AC70" s="1420">
        <f>IFERROR(AB70/AA70,0)</f>
        <v/>
      </c>
      <c r="AD70" s="1420">
        <f>SUM(CC70:CJ70)</f>
        <v/>
      </c>
      <c r="AE70" s="1420">
        <f>Z70-AD70</f>
        <v/>
      </c>
      <c r="AF70" s="1420">
        <f>IFERROR(AE70/AD70,0)</f>
        <v/>
      </c>
      <c r="AG70" s="1420">
        <f>AO70-AW70</f>
        <v/>
      </c>
      <c r="AH70" s="1420">
        <f>AP70-AX70</f>
        <v/>
      </c>
      <c r="AI70" s="1420">
        <f>AQ70-AY70</f>
        <v/>
      </c>
      <c r="AJ70" s="1420">
        <f>AR70-AZ70</f>
        <v/>
      </c>
      <c r="AK70" s="1420">
        <f>AS70-BA70</f>
        <v/>
      </c>
      <c r="AL70" s="1420">
        <f>AT70-BB70</f>
        <v/>
      </c>
      <c r="AM70" s="1420">
        <f>AU70-BC70</f>
        <v/>
      </c>
      <c r="AN70" s="1420">
        <f>AV70-BD70</f>
        <v/>
      </c>
      <c r="AO70" s="1423" t="n"/>
      <c r="AP70" s="1423" t="inlineStr"/>
      <c r="AQ70" s="1423" t="n"/>
      <c r="AR70" s="1423" t="n"/>
      <c r="AS70" s="1423" t="n"/>
      <c r="AT70" s="1423" t="n"/>
      <c r="AU70" s="1423" t="n"/>
      <c r="AV70" s="1423" t="n"/>
      <c r="AW70" s="1422" t="n"/>
      <c r="AX70" s="1422" t="inlineStr"/>
      <c r="AY70" s="1422" t="n"/>
      <c r="AZ70" s="1422" t="n"/>
      <c r="BA70" s="1422" t="n"/>
      <c r="BB70" s="1422" t="n"/>
      <c r="BC70" s="1422" t="n"/>
      <c r="BD70" s="1422" t="n"/>
      <c r="BE70" s="1422" t="n"/>
      <c r="BF70" s="1422" t="inlineStr"/>
      <c r="BG70" s="1422" t="n"/>
      <c r="BH70" s="1422" t="n"/>
      <c r="BI70" s="1422" t="n"/>
      <c r="BJ70" s="1422" t="n"/>
      <c r="BK70" s="1422" t="n"/>
      <c r="BL70" s="1422" t="n"/>
      <c r="BM70" s="1422" t="n"/>
      <c r="BN70" s="1422" t="n"/>
      <c r="BO70" s="1422" t="n"/>
      <c r="BP70" s="1422" t="n"/>
      <c r="BQ70" s="1422" t="n"/>
      <c r="BR70" s="1422" t="n"/>
      <c r="BS70" s="1422" t="n"/>
      <c r="BT70" s="1422" t="n"/>
      <c r="BU70" s="1420">
        <f>BE70-BM70</f>
        <v/>
      </c>
      <c r="BV70" s="1420">
        <f>BF70-BN70</f>
        <v/>
      </c>
      <c r="BW70" s="1420">
        <f>BG70-BO70</f>
        <v/>
      </c>
      <c r="BX70" s="1420">
        <f>BH70-BP70</f>
        <v/>
      </c>
      <c r="BY70" s="1420">
        <f>BI70-BQ70</f>
        <v/>
      </c>
      <c r="BZ70" s="1420">
        <f>BJ70-BR70</f>
        <v/>
      </c>
      <c r="CA70" s="1420">
        <f>BK70-BS70</f>
        <v/>
      </c>
      <c r="CB70" s="1420">
        <f>BL70-BT70</f>
        <v/>
      </c>
      <c r="CC70" s="1420" t="n"/>
      <c r="CD70" s="1420" t="n"/>
      <c r="CE70" s="1420" t="n"/>
      <c r="CF70" s="1420" t="n"/>
      <c r="CG70" s="1420" t="n"/>
      <c r="CH70" s="1420" t="n"/>
      <c r="CI70" s="1420" t="n"/>
      <c r="CJ70" s="1420" t="n"/>
      <c r="CK70" s="1420" t="n"/>
      <c r="CL70" s="1420">
        <f>IF(_epmOfflineCondition_,0,EPMRetrieveData(,$D$17,CL46,CL47,CL48,CL49,CL50,CL51,CL52,CL53,CL54,$C$6,$C$11))</f>
        <v/>
      </c>
      <c r="CM70" s="1420">
        <f>IF(_epmOfflineCondition_,0,EPMRetrieveData(,$D$17,CM46,CM47,CM48,CM49,CM50,CM51,CM52,CM53,CM54,$C$6,$C$11))</f>
        <v/>
      </c>
      <c r="CN70" s="1420">
        <f>IF(_epmOfflineCondition_,0,EPMRetrieveData(,$D$17,CN46,CN47,CN48,CN49,CN50,CN51,CN52,CN53,CN54,$C$6,$C$11))</f>
        <v/>
      </c>
      <c r="CO70" s="1420">
        <f>IF(_epmOfflineCondition_,0,EPMRetrieveData(,$D$17,CO46,CO47,CO48,CO49,CO50,CO51,CO52,CO53,CO54,$C$6,$C$11))</f>
        <v/>
      </c>
      <c r="CP70" s="1420">
        <f>IF(_epmOfflineCondition_,0,EPMRetrieveData(,$D$17,CP46,CP47,CP48,CP49,CP50,CP51,CP52,CP53,CP54,$C$6,$C$11))</f>
        <v/>
      </c>
      <c r="CQ70" s="1420">
        <f>IF(_epmOfflineCondition_,0,EPMRetrieveData(,$D$17,CQ46,CQ47,CQ48,CQ49,CQ50,CQ51,CQ52,CQ53,CQ54,$C$6,$C$11))</f>
        <v/>
      </c>
      <c r="CR70" s="1420">
        <f>IF(_epmOfflineCondition_,0,EPMRetrieveData(,$D$17,CR46,CR47,CR48,CR49,CR50,CR51,CR52,CR53,CR54,$C$6,$C$11))</f>
        <v/>
      </c>
      <c r="CS70" s="1420" t="n"/>
      <c r="CT70" s="1420">
        <f>IF(_epmOfflineCondition_,0,EPMRetrieveData(,$D$17,CT46,CT47,CT48,CT49,CT50,CT51,CT52,CT53,CT54,$C$6,$C$11))</f>
        <v/>
      </c>
      <c r="CU70" s="1420">
        <f>IF(_epmOfflineCondition_,0,EPMRetrieveData(,$D$17,CU46,CU47,CU48,CU49,CU50,CU51,CU52,CU53,CU54,$C$6,$C$11))</f>
        <v/>
      </c>
      <c r="CV70" s="1420">
        <f>IF(_epmOfflineCondition_,0,EPMRetrieveData(,$D$17,CV46,CV47,CV48,CV49,CV50,CV51,CV52,CV53,CV54,$C$6,$C$11))</f>
        <v/>
      </c>
      <c r="CW70" s="1420">
        <f>IF(_epmOfflineCondition_,0,EPMRetrieveData(,$D$17,CW46,CW47,CW48,CW49,CW50,CW51,CW52,CW53,CW54,$C$6,$C$11))</f>
        <v/>
      </c>
      <c r="CX70" s="1420">
        <f>IF(_epmOfflineCondition_,0,EPMRetrieveData(,$D$17,CX46,CX47,CX48,CX49,CX50,CX51,CX52,CX53,CX54,$C$6,$C$11))</f>
        <v/>
      </c>
      <c r="CY70" s="1420">
        <f>IF(_epmOfflineCondition_,0,EPMRetrieveData(,$D$17,CY46,CY47,CY48,CY49,CY50,CY51,CY52,CY53,CY54,$C$6,$C$11))</f>
        <v/>
      </c>
      <c r="CZ70" s="1420">
        <f>IF(_epmOfflineCondition_,0,EPMRetrieveData(,$D$17,CZ46,CZ47,CZ48,CZ49,CZ50,CZ51,CZ52,CZ53,CZ54,$C$6,$C$11))</f>
        <v/>
      </c>
      <c r="DA70" s="1420" t="n"/>
      <c r="DB70" s="1420">
        <f>IF(_epmOfflineCondition_,0,EPMRetrieveData(,$D$17,DB46,DB47,DB48,DB49,DB50,DB51,DB52,DB53,DB54,$C$6,$C$11))</f>
        <v/>
      </c>
      <c r="DC70" s="1420">
        <f>IF(_epmOfflineCondition_,0,EPMRetrieveData(,$D$17,DC46,DC47,DC48,DC49,DC50,DC51,DC52,DC53,DC54,$C$6,$C$11))</f>
        <v/>
      </c>
      <c r="DD70" s="1420">
        <f>IF(_epmOfflineCondition_,0,EPMRetrieveData(,$D$17,DD46,DD47,DD48,DD49,DD50,DD51,DD52,DD53,DD54,$C$6,$C$11))</f>
        <v/>
      </c>
      <c r="DE70" s="1420">
        <f>IF(_epmOfflineCondition_,0,EPMRetrieveData(,$D$17,DE46,DE47,DE48,DE49,DE50,DE51,DE52,DE53,DE54,$C$6,$C$11))</f>
        <v/>
      </c>
      <c r="DF70" s="1420">
        <f>IF(_epmOfflineCondition_,0,EPMRetrieveData(,$D$17,DF46,DF47,DF48,DF49,DF50,DF51,DF52,DF53,DF54,$C$6,$C$11))</f>
        <v/>
      </c>
      <c r="DG70" s="1420">
        <f>IF(_epmOfflineCondition_,0,EPMRetrieveData(,$D$17,DG46,DG47,DG48,DG49,DG50,DG51,DG52,DG53,DG54,$C$6,$C$11))</f>
        <v/>
      </c>
      <c r="DH70" s="1420">
        <f>IF(_epmOfflineCondition_,0,EPMRetrieveData(,$D$17,DH46,DH47,DH48,DH49,DH50,DH51,DH52,DH53,DH54,$C$6,$C$11))</f>
        <v/>
      </c>
      <c r="DI70" s="1420" t="n"/>
      <c r="DJ70" s="1420">
        <f>IF(_epmOfflineCondition_,1205000,EPMRetrieveData(,$D$17,DJ46,DJ47,DJ48,DJ49,DJ50,DJ51,DJ52,DJ53,DJ54,$C$6,$C$11))</f>
        <v/>
      </c>
      <c r="DK70" s="1420">
        <f>IF(_epmOfflineCondition_,0,EPMRetrieveData(,$D$17,DK46,DK47,DK48,DK49,DK50,DK51,DK52,DK53,DK54,$C$6,$C$11))</f>
        <v/>
      </c>
      <c r="DL70" s="1420">
        <f>IF(_epmOfflineCondition_,0,EPMRetrieveData(,$D$17,DL46,DL47,DL48,DL49,DL50,DL51,DL52,DL53,DL54,$C$6,$C$11))</f>
        <v/>
      </c>
      <c r="DM70" s="1420">
        <f>IF(_epmOfflineCondition_,0,EPMRetrieveData(,$D$17,DM46,DM47,DM48,DM49,DM50,DM51,DM52,DM53,DM54,$C$6,$C$11))</f>
        <v/>
      </c>
      <c r="DN70" s="1420">
        <f>IF(_epmOfflineCondition_,0,EPMRetrieveData(,$D$17,DN46,DN47,DN48,DN49,DN50,DN51,DN52,DN53,DN54,$C$6,$C$11))</f>
        <v/>
      </c>
      <c r="DO70" s="1420">
        <f>IF(_epmOfflineCondition_,0,EPMRetrieveData(,$D$17,DO46,DO47,DO48,DO49,DO50,DO51,DO52,DO53,DO54,$C$6,$C$11))</f>
        <v/>
      </c>
      <c r="DP70" s="1420">
        <f>IF(_epmOfflineCondition_,0,EPMRetrieveData(,$D$17,DP46,DP47,DP48,DP49,DP50,DP51,DP52,DP53,DP54,$C$6,$C$11))</f>
        <v/>
      </c>
    </row>
    <row r="71">
      <c r="A71" s="384" t="n"/>
      <c r="B71" s="384" t="n"/>
      <c r="C71" s="384" t="n"/>
      <c r="D71" s="384" t="n"/>
      <c r="E71" s="384" t="n"/>
      <c r="F71" s="384" t="n"/>
      <c r="G71" s="384" t="n"/>
      <c r="H71" s="384" t="n"/>
      <c r="I71" s="384" t="n"/>
      <c r="J71" s="384" t="n"/>
      <c r="K71" s="384" t="n"/>
      <c r="L71" s="384" t="n"/>
      <c r="M71" s="384" t="n"/>
      <c r="N71" s="384" t="n"/>
      <c r="O71" s="384" t="n"/>
      <c r="P71" s="384" t="n"/>
      <c r="Q71" s="384" t="n"/>
      <c r="R71" s="384" t="n"/>
      <c r="S71" s="384" t="n"/>
      <c r="T71" s="384" t="n"/>
      <c r="U71" s="384" t="n"/>
      <c r="V71" s="1421" t="inlineStr">
        <is>
          <t>其他费用</t>
        </is>
      </c>
      <c r="W71" s="384" t="inlineStr">
        <is>
          <t>A030</t>
        </is>
      </c>
      <c r="X71" s="32">
        <f>IF(_epmOfflineCondition_,"A030",EPMOlapMemberO(W71,"[C_ACCOUNT].[PARENTH1].[A030]","A030 - 发电企业其他费用表-合计","","000"))</f>
        <v/>
      </c>
      <c r="Y71" s="1420">
        <f>SUM(AG71:AN71)</f>
        <v/>
      </c>
      <c r="Z71" s="1420">
        <f>SUM(AO71:AV71)</f>
        <v/>
      </c>
      <c r="AA71" s="1420">
        <f>SUM(BU71:CB71)</f>
        <v/>
      </c>
      <c r="AB71" s="1420">
        <f>Y71-AA71</f>
        <v/>
      </c>
      <c r="AC71" s="1420">
        <f>IFERROR(AB71/AA71,0)</f>
        <v/>
      </c>
      <c r="AD71" s="1420">
        <f>SUM(CC71:CJ71)</f>
        <v/>
      </c>
      <c r="AE71" s="1420">
        <f>Z71-AD71</f>
        <v/>
      </c>
      <c r="AF71" s="1420">
        <f>IFERROR(AE71/AD71,0)</f>
        <v/>
      </c>
      <c r="AG71" s="1420">
        <f>AO71-AW71</f>
        <v/>
      </c>
      <c r="AH71" s="1420">
        <f>AP71-AX71</f>
        <v/>
      </c>
      <c r="AI71" s="1420">
        <f>AQ71-AY71</f>
        <v/>
      </c>
      <c r="AJ71" s="1420">
        <f>AR71-AZ71</f>
        <v/>
      </c>
      <c r="AK71" s="1420">
        <f>AS71-BA71</f>
        <v/>
      </c>
      <c r="AL71" s="1420">
        <f>AT71-BB71</f>
        <v/>
      </c>
      <c r="AM71" s="1420">
        <f>AU71-BC71</f>
        <v/>
      </c>
      <c r="AN71" s="1420">
        <f>AV71-BD71</f>
        <v/>
      </c>
      <c r="AO71" s="1423" t="n"/>
      <c r="AP71" s="1423" t="inlineStr"/>
      <c r="AQ71" s="1423" t="n"/>
      <c r="AR71" s="1423" t="n"/>
      <c r="AS71" s="1423" t="n"/>
      <c r="AT71" s="1423" t="n"/>
      <c r="AU71" s="1423" t="n"/>
      <c r="AV71" s="1423" t="n"/>
      <c r="AW71" s="1422" t="n"/>
      <c r="AX71" s="1422" t="inlineStr"/>
      <c r="AY71" s="1422" t="n"/>
      <c r="AZ71" s="1422" t="n"/>
      <c r="BA71" s="1422" t="n"/>
      <c r="BB71" s="1422" t="n"/>
      <c r="BC71" s="1422" t="n"/>
      <c r="BD71" s="1422" t="n"/>
      <c r="BE71" s="1422" t="n"/>
      <c r="BF71" s="1422" t="inlineStr"/>
      <c r="BG71" s="1422" t="n"/>
      <c r="BH71" s="1422" t="n"/>
      <c r="BI71" s="1422" t="n"/>
      <c r="BJ71" s="1422" t="n"/>
      <c r="BK71" s="1422" t="n"/>
      <c r="BL71" s="1422" t="n"/>
      <c r="BM71" s="1422" t="n"/>
      <c r="BN71" s="1422" t="inlineStr"/>
      <c r="BO71" s="1422" t="n"/>
      <c r="BP71" s="1422" t="n"/>
      <c r="BQ71" s="1422" t="n"/>
      <c r="BR71" s="1422" t="n"/>
      <c r="BS71" s="1422" t="n"/>
      <c r="BT71" s="1422" t="n"/>
      <c r="BU71" s="1420">
        <f>BE71-BM71</f>
        <v/>
      </c>
      <c r="BV71" s="1420">
        <f>BF71-BN71</f>
        <v/>
      </c>
      <c r="BW71" s="1420">
        <f>BG71-BO71</f>
        <v/>
      </c>
      <c r="BX71" s="1420">
        <f>BH71-BP71</f>
        <v/>
      </c>
      <c r="BY71" s="1420">
        <f>BI71-BQ71</f>
        <v/>
      </c>
      <c r="BZ71" s="1420">
        <f>BJ71-BR71</f>
        <v/>
      </c>
      <c r="CA71" s="1420">
        <f>BK71-BS71</f>
        <v/>
      </c>
      <c r="CB71" s="1420">
        <f>BL71-BT71</f>
        <v/>
      </c>
      <c r="CC71" s="1420" t="n"/>
      <c r="CD71" s="1420" t="n"/>
      <c r="CE71" s="1420" t="n"/>
      <c r="CF71" s="1420" t="n"/>
      <c r="CG71" s="1420" t="n"/>
      <c r="CH71" s="1420" t="n"/>
      <c r="CI71" s="1420" t="n"/>
      <c r="CJ71" s="1420" t="n"/>
      <c r="CK71" s="1420" t="n"/>
      <c r="CL71" s="1420" t="n"/>
      <c r="CM71" s="1420" t="n"/>
      <c r="CN71" s="1420" t="n"/>
      <c r="CO71" s="1420" t="n"/>
      <c r="CP71" s="1420" t="n"/>
      <c r="CQ71" s="1420" t="n"/>
      <c r="CR71" s="1420" t="n"/>
      <c r="CS71" s="1420" t="n"/>
      <c r="CT71" s="1420" t="n"/>
      <c r="CU71" s="1420" t="n"/>
      <c r="CV71" s="1420" t="n"/>
      <c r="CW71" s="1420" t="n"/>
      <c r="CX71" s="1420" t="n"/>
      <c r="CY71" s="1420" t="n"/>
      <c r="CZ71" s="1420" t="n"/>
      <c r="DA71" s="1420" t="n"/>
      <c r="DB71" s="1420" t="n"/>
      <c r="DC71" s="1420" t="n"/>
      <c r="DD71" s="1420" t="n"/>
      <c r="DE71" s="1420" t="n"/>
      <c r="DF71" s="1420" t="n"/>
      <c r="DG71" s="1420" t="n"/>
      <c r="DH71" s="1420" t="n"/>
      <c r="DI71" s="1420" t="n"/>
      <c r="DJ71" s="1420" t="inlineStr"/>
      <c r="DK71" s="1420" t="n"/>
      <c r="DL71" s="1420" t="n"/>
      <c r="DM71" s="1420" t="n"/>
      <c r="DN71" s="1420" t="n"/>
      <c r="DO71" s="1420" t="n"/>
      <c r="DP71" s="1420" t="n"/>
    </row>
    <row r="72" hidden="1" outlineLevel="1" s="1181">
      <c r="A72" s="384" t="n"/>
      <c r="B72" s="384" t="n"/>
      <c r="C72" s="384" t="n"/>
      <c r="D72" s="384" t="n"/>
      <c r="E72" s="384" t="n"/>
      <c r="F72" s="384" t="n"/>
      <c r="G72" s="384" t="n"/>
      <c r="H72" s="384" t="n"/>
      <c r="I72" s="384" t="n"/>
      <c r="J72" s="384" t="n"/>
      <c r="K72" s="384" t="n"/>
      <c r="L72" s="384" t="n"/>
      <c r="M72" s="384" t="n"/>
      <c r="N72" s="384" t="n"/>
      <c r="O72" s="384" t="n"/>
      <c r="P72" s="384" t="n"/>
      <c r="Q72" s="384" t="n"/>
      <c r="R72" s="384" t="n"/>
      <c r="S72" s="384" t="n"/>
      <c r="T72" s="384" t="n"/>
      <c r="U72" s="384" t="n"/>
      <c r="V72" s="1421" t="inlineStr">
        <is>
          <t>修理费</t>
        </is>
      </c>
      <c r="W72" s="384" t="inlineStr">
        <is>
          <t>A02801010203</t>
        </is>
      </c>
      <c r="X72" s="32">
        <f>IF(_epmOfflineCondition_,"A02801010203",EPMOlapMemberO(W72,"[C_ACCOUNT].[PARENTH1].[A02801010203]","A02801010203 - 修理费","","000"))</f>
        <v/>
      </c>
      <c r="Y72" s="1420">
        <f>Y70</f>
        <v/>
      </c>
      <c r="Z72" s="1420">
        <f>Z70</f>
        <v/>
      </c>
      <c r="AA72" s="1420">
        <f>AA70</f>
        <v/>
      </c>
      <c r="AB72" s="1420">
        <f>AB70</f>
        <v/>
      </c>
      <c r="AC72" s="1420">
        <f>AC70</f>
        <v/>
      </c>
      <c r="AD72" s="1420">
        <f>AD70</f>
        <v/>
      </c>
      <c r="AE72" s="1420">
        <f>AE70</f>
        <v/>
      </c>
      <c r="AF72" s="1420">
        <f>AF70</f>
        <v/>
      </c>
      <c r="AG72" s="1420">
        <f>AG70</f>
        <v/>
      </c>
      <c r="AH72" s="1420">
        <f>AH70</f>
        <v/>
      </c>
      <c r="AI72" s="1420">
        <f>AI70</f>
        <v/>
      </c>
      <c r="AJ72" s="1420">
        <f>AJ70</f>
        <v/>
      </c>
      <c r="AK72" s="1420">
        <f>AK70</f>
        <v/>
      </c>
      <c r="AL72" s="1420">
        <f>AL70</f>
        <v/>
      </c>
      <c r="AM72" s="1420">
        <f>AM70</f>
        <v/>
      </c>
      <c r="AN72" s="1420">
        <f>AN70</f>
        <v/>
      </c>
      <c r="AO72" s="1420">
        <f>AO70</f>
        <v/>
      </c>
      <c r="AP72" s="1420">
        <f>AP70</f>
        <v/>
      </c>
      <c r="AQ72" s="1420">
        <f>AQ70</f>
        <v/>
      </c>
      <c r="AR72" s="1420">
        <f>AR70</f>
        <v/>
      </c>
      <c r="AS72" s="1420">
        <f>AS70</f>
        <v/>
      </c>
      <c r="AT72" s="1420">
        <f>AT70</f>
        <v/>
      </c>
      <c r="AU72" s="1420">
        <f>AU70</f>
        <v/>
      </c>
      <c r="AV72" s="1420">
        <f>AV70</f>
        <v/>
      </c>
      <c r="AW72" s="1420">
        <f>AW70</f>
        <v/>
      </c>
      <c r="AX72" s="1420">
        <f>AX70</f>
        <v/>
      </c>
      <c r="AY72" s="1420">
        <f>AY70</f>
        <v/>
      </c>
      <c r="AZ72" s="1420">
        <f>AZ70</f>
        <v/>
      </c>
      <c r="BA72" s="1420">
        <f>BA70</f>
        <v/>
      </c>
      <c r="BB72" s="1420">
        <f>BB70</f>
        <v/>
      </c>
      <c r="BC72" s="1420">
        <f>BC70</f>
        <v/>
      </c>
      <c r="BD72" s="1420">
        <f>BD70</f>
        <v/>
      </c>
      <c r="BE72" s="1420">
        <f>BE70</f>
        <v/>
      </c>
      <c r="BF72" s="1420">
        <f>BF70</f>
        <v/>
      </c>
      <c r="BG72" s="1420">
        <f>BG70</f>
        <v/>
      </c>
      <c r="BH72" s="1420">
        <f>BH70</f>
        <v/>
      </c>
      <c r="BI72" s="1420">
        <f>BI70</f>
        <v/>
      </c>
      <c r="BJ72" s="1420">
        <f>BJ70</f>
        <v/>
      </c>
      <c r="BK72" s="1420">
        <f>BK70</f>
        <v/>
      </c>
      <c r="BL72" s="1420">
        <f>BL70</f>
        <v/>
      </c>
      <c r="BM72" s="1420">
        <f>BM70</f>
        <v/>
      </c>
      <c r="BN72" s="1420">
        <f>BN70</f>
        <v/>
      </c>
      <c r="BO72" s="1420">
        <f>BO70</f>
        <v/>
      </c>
      <c r="BP72" s="1420">
        <f>BP70</f>
        <v/>
      </c>
      <c r="BQ72" s="1420">
        <f>BQ70</f>
        <v/>
      </c>
      <c r="BR72" s="1420">
        <f>BR70</f>
        <v/>
      </c>
      <c r="BS72" s="1420">
        <f>BS70</f>
        <v/>
      </c>
      <c r="BT72" s="1420">
        <f>BT70</f>
        <v/>
      </c>
      <c r="BU72" s="1420">
        <f>BE72-BM72</f>
        <v/>
      </c>
      <c r="BV72" s="1420">
        <f>BF72-BN72</f>
        <v/>
      </c>
      <c r="BW72" s="1420">
        <f>BG72-BO72</f>
        <v/>
      </c>
      <c r="BX72" s="1420">
        <f>BH72-BP72</f>
        <v/>
      </c>
      <c r="BY72" s="1420">
        <f>BI72-BQ72</f>
        <v/>
      </c>
      <c r="BZ72" s="1420">
        <f>BJ72-BR72</f>
        <v/>
      </c>
      <c r="CA72" s="1420">
        <f>BK72-BS72</f>
        <v/>
      </c>
      <c r="CB72" s="1420">
        <f>BL72-BT72</f>
        <v/>
      </c>
      <c r="CC72" s="1420">
        <f>CC70</f>
        <v/>
      </c>
      <c r="CD72" s="1420">
        <f>CD70</f>
        <v/>
      </c>
      <c r="CE72" s="1420">
        <f>CE70</f>
        <v/>
      </c>
      <c r="CF72" s="1420">
        <f>CF70</f>
        <v/>
      </c>
      <c r="CG72" s="1420">
        <f>CG70</f>
        <v/>
      </c>
      <c r="CH72" s="1420">
        <f>CH70</f>
        <v/>
      </c>
      <c r="CI72" s="1420">
        <f>CI70</f>
        <v/>
      </c>
      <c r="CJ72" s="1420">
        <f>CJ70</f>
        <v/>
      </c>
      <c r="CK72" s="1420">
        <f>CK70</f>
        <v/>
      </c>
      <c r="CL72" s="1420">
        <f>CL70</f>
        <v/>
      </c>
      <c r="CM72" s="1420">
        <f>CM70</f>
        <v/>
      </c>
      <c r="CN72" s="1420">
        <f>CN70</f>
        <v/>
      </c>
      <c r="CO72" s="1420">
        <f>CO70</f>
        <v/>
      </c>
      <c r="CP72" s="1420">
        <f>CP70</f>
        <v/>
      </c>
      <c r="CQ72" s="1420">
        <f>CQ70</f>
        <v/>
      </c>
      <c r="CR72" s="1420">
        <f>CR70</f>
        <v/>
      </c>
      <c r="CS72" s="1420">
        <f>CS70</f>
        <v/>
      </c>
      <c r="CT72" s="1420">
        <f>CT70</f>
        <v/>
      </c>
      <c r="CU72" s="1420">
        <f>CU70</f>
        <v/>
      </c>
      <c r="CV72" s="1420">
        <f>CV70</f>
        <v/>
      </c>
      <c r="CW72" s="1420">
        <f>CW70</f>
        <v/>
      </c>
      <c r="CX72" s="1420">
        <f>CX70</f>
        <v/>
      </c>
      <c r="CY72" s="1420">
        <f>CY70</f>
        <v/>
      </c>
      <c r="CZ72" s="1420">
        <f>CZ70</f>
        <v/>
      </c>
      <c r="DA72" s="1420">
        <f>DA70</f>
        <v/>
      </c>
      <c r="DB72" s="1420">
        <f>DB70</f>
        <v/>
      </c>
      <c r="DC72" s="1420">
        <f>DC70</f>
        <v/>
      </c>
      <c r="DD72" s="1420">
        <f>DD70</f>
        <v/>
      </c>
      <c r="DE72" s="1420">
        <f>DE70</f>
        <v/>
      </c>
      <c r="DF72" s="1420">
        <f>DF70</f>
        <v/>
      </c>
      <c r="DG72" s="1420">
        <f>DG70</f>
        <v/>
      </c>
      <c r="DH72" s="1420">
        <f>DH70</f>
        <v/>
      </c>
      <c r="DI72" s="1420">
        <f>DI70</f>
        <v/>
      </c>
      <c r="DJ72" s="1420">
        <f>DJ70</f>
        <v/>
      </c>
      <c r="DK72" s="1420">
        <f>DK70</f>
        <v/>
      </c>
      <c r="DL72" s="1420">
        <f>DL70</f>
        <v/>
      </c>
      <c r="DM72" s="1420">
        <f>DM70</f>
        <v/>
      </c>
      <c r="DN72" s="1420">
        <f>DN70</f>
        <v/>
      </c>
      <c r="DO72" s="1420">
        <f>DO70</f>
        <v/>
      </c>
      <c r="DP72" s="1420">
        <f>DP70</f>
        <v/>
      </c>
    </row>
    <row r="73" hidden="1" outlineLevel="1" s="1181">
      <c r="A73" s="384" t="n"/>
      <c r="B73" s="384" t="n"/>
      <c r="C73" s="384" t="n"/>
      <c r="D73" s="384" t="n"/>
      <c r="E73" s="384" t="n"/>
      <c r="F73" s="384" t="n"/>
      <c r="G73" s="384" t="n"/>
      <c r="H73" s="384" t="n"/>
      <c r="I73" s="384" t="n"/>
      <c r="J73" s="384" t="n"/>
      <c r="K73" s="384" t="n"/>
      <c r="L73" s="384" t="n"/>
      <c r="M73" s="384" t="n"/>
      <c r="N73" s="384" t="n"/>
      <c r="O73" s="384" t="n"/>
      <c r="P73" s="384" t="n"/>
      <c r="Q73" s="384" t="n"/>
      <c r="R73" s="384" t="n"/>
      <c r="S73" s="384" t="n"/>
      <c r="T73" s="384" t="n"/>
      <c r="U73" s="384" t="n"/>
      <c r="V73" s="1421" t="inlineStr">
        <is>
          <t>其他费用</t>
        </is>
      </c>
      <c r="W73" s="384" t="inlineStr">
        <is>
          <t>A02801010204</t>
        </is>
      </c>
      <c r="X73" s="32">
        <f>IF(_epmOfflineCondition_,"A02801010204",EPMOlapMemberO(W73,"[C_ACCOUNT].[PARENTH1].[A02801010204]","A02801010204 - 其他费用","","000"))</f>
        <v/>
      </c>
      <c r="Y73" s="1420">
        <f>Y71</f>
        <v/>
      </c>
      <c r="Z73" s="1420">
        <f>Z71</f>
        <v/>
      </c>
      <c r="AA73" s="1420">
        <f>AA71</f>
        <v/>
      </c>
      <c r="AB73" s="1420">
        <f>AB71</f>
        <v/>
      </c>
      <c r="AC73" s="1420">
        <f>AC71</f>
        <v/>
      </c>
      <c r="AD73" s="1420">
        <f>AD71</f>
        <v/>
      </c>
      <c r="AE73" s="1420">
        <f>AE71</f>
        <v/>
      </c>
      <c r="AF73" s="1420">
        <f>AF71</f>
        <v/>
      </c>
      <c r="AG73" s="1420">
        <f>AG71</f>
        <v/>
      </c>
      <c r="AH73" s="1420">
        <f>AH71</f>
        <v/>
      </c>
      <c r="AI73" s="1420">
        <f>AI71</f>
        <v/>
      </c>
      <c r="AJ73" s="1420">
        <f>AJ71</f>
        <v/>
      </c>
      <c r="AK73" s="1420">
        <f>AK71</f>
        <v/>
      </c>
      <c r="AL73" s="1420">
        <f>AL71</f>
        <v/>
      </c>
      <c r="AM73" s="1420">
        <f>AM71</f>
        <v/>
      </c>
      <c r="AN73" s="1420">
        <f>AN71</f>
        <v/>
      </c>
      <c r="AO73" s="1420">
        <f>AO71</f>
        <v/>
      </c>
      <c r="AP73" s="1420">
        <f>AP71</f>
        <v/>
      </c>
      <c r="AQ73" s="1420">
        <f>AQ71</f>
        <v/>
      </c>
      <c r="AR73" s="1420">
        <f>AR71</f>
        <v/>
      </c>
      <c r="AS73" s="1420">
        <f>AS71</f>
        <v/>
      </c>
      <c r="AT73" s="1420">
        <f>AT71</f>
        <v/>
      </c>
      <c r="AU73" s="1420">
        <f>AU71</f>
        <v/>
      </c>
      <c r="AV73" s="1420">
        <f>AV71</f>
        <v/>
      </c>
      <c r="AW73" s="1420">
        <f>AW71</f>
        <v/>
      </c>
      <c r="AX73" s="1420">
        <f>AX71</f>
        <v/>
      </c>
      <c r="AY73" s="1420">
        <f>AY71</f>
        <v/>
      </c>
      <c r="AZ73" s="1420">
        <f>AZ71</f>
        <v/>
      </c>
      <c r="BA73" s="1420">
        <f>BA71</f>
        <v/>
      </c>
      <c r="BB73" s="1420">
        <f>BB71</f>
        <v/>
      </c>
      <c r="BC73" s="1420">
        <f>BC71</f>
        <v/>
      </c>
      <c r="BD73" s="1420">
        <f>BD71</f>
        <v/>
      </c>
      <c r="BE73" s="1420">
        <f>BE71</f>
        <v/>
      </c>
      <c r="BF73" s="1420">
        <f>BF71</f>
        <v/>
      </c>
      <c r="BG73" s="1420">
        <f>BG71</f>
        <v/>
      </c>
      <c r="BH73" s="1420">
        <f>BH71</f>
        <v/>
      </c>
      <c r="BI73" s="1420">
        <f>BI71</f>
        <v/>
      </c>
      <c r="BJ73" s="1420">
        <f>BJ71</f>
        <v/>
      </c>
      <c r="BK73" s="1420">
        <f>BK71</f>
        <v/>
      </c>
      <c r="BL73" s="1420">
        <f>BL71</f>
        <v/>
      </c>
      <c r="BM73" s="1420">
        <f>BM71</f>
        <v/>
      </c>
      <c r="BN73" s="1420">
        <f>BN71</f>
        <v/>
      </c>
      <c r="BO73" s="1420">
        <f>BO71</f>
        <v/>
      </c>
      <c r="BP73" s="1420">
        <f>BP71</f>
        <v/>
      </c>
      <c r="BQ73" s="1420">
        <f>BQ71</f>
        <v/>
      </c>
      <c r="BR73" s="1420">
        <f>BR71</f>
        <v/>
      </c>
      <c r="BS73" s="1420">
        <f>BS71</f>
        <v/>
      </c>
      <c r="BT73" s="1420">
        <f>BT71</f>
        <v/>
      </c>
      <c r="BU73" s="1420">
        <f>BE73-BM73</f>
        <v/>
      </c>
      <c r="BV73" s="1420">
        <f>BF73-BN73</f>
        <v/>
      </c>
      <c r="BW73" s="1420">
        <f>BG73-BO73</f>
        <v/>
      </c>
      <c r="BX73" s="1420">
        <f>BH73-BP73</f>
        <v/>
      </c>
      <c r="BY73" s="1420">
        <f>BI73-BQ73</f>
        <v/>
      </c>
      <c r="BZ73" s="1420">
        <f>BJ73-BR73</f>
        <v/>
      </c>
      <c r="CA73" s="1420">
        <f>BK73-BS73</f>
        <v/>
      </c>
      <c r="CB73" s="1420">
        <f>BL73-BT73</f>
        <v/>
      </c>
      <c r="CC73" s="1420">
        <f>CC71</f>
        <v/>
      </c>
      <c r="CD73" s="1420">
        <f>CD71</f>
        <v/>
      </c>
      <c r="CE73" s="1420">
        <f>CE71</f>
        <v/>
      </c>
      <c r="CF73" s="1420">
        <f>CF71</f>
        <v/>
      </c>
      <c r="CG73" s="1420">
        <f>CG71</f>
        <v/>
      </c>
      <c r="CH73" s="1420">
        <f>CH71</f>
        <v/>
      </c>
      <c r="CI73" s="1420">
        <f>CI71</f>
        <v/>
      </c>
      <c r="CJ73" s="1420">
        <f>CJ71</f>
        <v/>
      </c>
      <c r="CK73" s="1420">
        <f>CK71</f>
        <v/>
      </c>
      <c r="CL73" s="1420">
        <f>CL71</f>
        <v/>
      </c>
      <c r="CM73" s="1420">
        <f>CM71</f>
        <v/>
      </c>
      <c r="CN73" s="1420">
        <f>CN71</f>
        <v/>
      </c>
      <c r="CO73" s="1420">
        <f>CO71</f>
        <v/>
      </c>
      <c r="CP73" s="1420">
        <f>CP71</f>
        <v/>
      </c>
      <c r="CQ73" s="1420">
        <f>CQ71</f>
        <v/>
      </c>
      <c r="CR73" s="1420">
        <f>CR71</f>
        <v/>
      </c>
      <c r="CS73" s="1420">
        <f>CS71</f>
        <v/>
      </c>
      <c r="CT73" s="1420">
        <f>CT71</f>
        <v/>
      </c>
      <c r="CU73" s="1420">
        <f>CU71</f>
        <v/>
      </c>
      <c r="CV73" s="1420">
        <f>CV71</f>
        <v/>
      </c>
      <c r="CW73" s="1420">
        <f>CW71</f>
        <v/>
      </c>
      <c r="CX73" s="1420">
        <f>CX71</f>
        <v/>
      </c>
      <c r="CY73" s="1420">
        <f>CY71</f>
        <v/>
      </c>
      <c r="CZ73" s="1420">
        <f>CZ71</f>
        <v/>
      </c>
      <c r="DA73" s="1420">
        <f>DA71</f>
        <v/>
      </c>
      <c r="DB73" s="1420">
        <f>DB71</f>
        <v/>
      </c>
      <c r="DC73" s="1420">
        <f>DC71</f>
        <v/>
      </c>
      <c r="DD73" s="1420">
        <f>DD71</f>
        <v/>
      </c>
      <c r="DE73" s="1420">
        <f>DE71</f>
        <v/>
      </c>
      <c r="DF73" s="1420">
        <f>DF71</f>
        <v/>
      </c>
      <c r="DG73" s="1420">
        <f>DG71</f>
        <v/>
      </c>
      <c r="DH73" s="1420">
        <f>DH71</f>
        <v/>
      </c>
      <c r="DI73" s="1420">
        <f>DI71</f>
        <v/>
      </c>
      <c r="DJ73" s="1420">
        <f>DJ71</f>
        <v/>
      </c>
      <c r="DK73" s="1420">
        <f>DK71</f>
        <v/>
      </c>
      <c r="DL73" s="1420">
        <f>DL71</f>
        <v/>
      </c>
      <c r="DM73" s="1420">
        <f>DM71</f>
        <v/>
      </c>
      <c r="DN73" s="1420">
        <f>DN71</f>
        <v/>
      </c>
      <c r="DO73" s="1420">
        <f>DO71</f>
        <v/>
      </c>
      <c r="DP73" s="1420">
        <f>DP71</f>
        <v/>
      </c>
    </row>
    <row r="74" collapsed="1" s="1181">
      <c r="A74" s="384" t="n"/>
      <c r="B74" s="384" t="n"/>
      <c r="C74" s="384" t="n"/>
      <c r="D74" s="384" t="n"/>
      <c r="E74" s="384" t="n"/>
      <c r="F74" s="384" t="n"/>
      <c r="G74" s="384" t="n"/>
      <c r="H74" s="384" t="n"/>
      <c r="I74" s="384" t="n"/>
      <c r="J74" s="384" t="n"/>
      <c r="K74" s="384" t="n"/>
      <c r="L74" s="384" t="n"/>
      <c r="M74" s="384" t="n"/>
      <c r="N74" s="384" t="n"/>
      <c r="O74" s="384" t="n"/>
      <c r="P74" s="384" t="n"/>
      <c r="Q74" s="384" t="n"/>
      <c r="R74" s="384" t="n"/>
      <c r="S74" s="384" t="n"/>
      <c r="T74" s="384" t="n"/>
      <c r="U74" s="384" t="n"/>
      <c r="V74" s="1424" t="inlineStr">
        <is>
          <t>二、期间费用</t>
        </is>
      </c>
      <c r="W74" s="384" t="inlineStr">
        <is>
          <t>A0280102</t>
        </is>
      </c>
      <c r="X74" s="32">
        <f>IF(_epmOfflineCondition_,"A0280102",EPMOlapMemberO(W74,"[C_ACCOUNT].[PARENTH1].[A0280102]","A0280102 -   二、期间费用","","000"))</f>
        <v/>
      </c>
      <c r="Y74" s="1420">
        <f>SUM(Y75:Y78)</f>
        <v/>
      </c>
      <c r="Z74" s="1420">
        <f>SUM(Z75:Z78)</f>
        <v/>
      </c>
      <c r="AA74" s="1420">
        <f>SUM(AA75:AA78)</f>
        <v/>
      </c>
      <c r="AB74" s="1420">
        <f>SUM(AB75:AB78)</f>
        <v/>
      </c>
      <c r="AC74" s="1420">
        <f>IFERROR(AB74/AA74,0)</f>
        <v/>
      </c>
      <c r="AD74" s="1420">
        <f>SUM(AD75:AD78)</f>
        <v/>
      </c>
      <c r="AE74" s="1420">
        <f>SUM(AE75:AE78)</f>
        <v/>
      </c>
      <c r="AF74" s="1420">
        <f>IFERROR(AE74/AD74,0)</f>
        <v/>
      </c>
      <c r="AG74" s="1420">
        <f>SUM(AG75:AG78)</f>
        <v/>
      </c>
      <c r="AH74" s="1420">
        <f>SUM(AH75:AH78)</f>
        <v/>
      </c>
      <c r="AI74" s="1420">
        <f>SUM(AI75:AI78)</f>
        <v/>
      </c>
      <c r="AJ74" s="1420">
        <f>SUM(AJ75:AJ78)</f>
        <v/>
      </c>
      <c r="AK74" s="1420">
        <f>SUM(AK75:AK78)</f>
        <v/>
      </c>
      <c r="AL74" s="1420">
        <f>SUM(AL75:AL78)</f>
        <v/>
      </c>
      <c r="AM74" s="1420">
        <f>SUM(AM75:AM78)</f>
        <v/>
      </c>
      <c r="AN74" s="1420">
        <f>SUM(AN75:AN78)</f>
        <v/>
      </c>
      <c r="AO74" s="1420">
        <f>SUM(AO75:AO78)</f>
        <v/>
      </c>
      <c r="AP74" s="1420">
        <f>SUM(AP75:AP78)</f>
        <v/>
      </c>
      <c r="AQ74" s="1420">
        <f>SUM(AQ75:AQ78)</f>
        <v/>
      </c>
      <c r="AR74" s="1420">
        <f>SUM(AR75:AR78)</f>
        <v/>
      </c>
      <c r="AS74" s="1420">
        <f>SUM(AS75:AS78)</f>
        <v/>
      </c>
      <c r="AT74" s="1420">
        <f>SUM(AT75:AT78)</f>
        <v/>
      </c>
      <c r="AU74" s="1420">
        <f>SUM(AU75:AU78)</f>
        <v/>
      </c>
      <c r="AV74" s="1420">
        <f>SUM(AV75:AV78)</f>
        <v/>
      </c>
      <c r="AW74" s="1420">
        <f>SUM(AW75:AW78)</f>
        <v/>
      </c>
      <c r="AX74" s="1420">
        <f>SUM(AX75:AX78)</f>
        <v/>
      </c>
      <c r="AY74" s="1420">
        <f>SUM(AY75:AY78)</f>
        <v/>
      </c>
      <c r="AZ74" s="1420">
        <f>SUM(AZ75:AZ78)</f>
        <v/>
      </c>
      <c r="BA74" s="1420">
        <f>SUM(BA75:BA78)</f>
        <v/>
      </c>
      <c r="BB74" s="1420">
        <f>SUM(BB75:BB78)</f>
        <v/>
      </c>
      <c r="BC74" s="1420">
        <f>SUM(BC75:BC78)</f>
        <v/>
      </c>
      <c r="BD74" s="1420">
        <f>SUM(BD75:BD78)</f>
        <v/>
      </c>
      <c r="BE74" s="1420">
        <f>SUM(BE75:BE78)</f>
        <v/>
      </c>
      <c r="BF74" s="1420">
        <f>SUM(BF75:BF78)</f>
        <v/>
      </c>
      <c r="BG74" s="1420">
        <f>SUM(BG75:BG78)</f>
        <v/>
      </c>
      <c r="BH74" s="1420">
        <f>SUM(BH75:BH78)</f>
        <v/>
      </c>
      <c r="BI74" s="1420">
        <f>SUM(BI75:BI78)</f>
        <v/>
      </c>
      <c r="BJ74" s="1420">
        <f>SUM(BJ75:BJ78)</f>
        <v/>
      </c>
      <c r="BK74" s="1420">
        <f>SUM(BK75:BK78)</f>
        <v/>
      </c>
      <c r="BL74" s="1420">
        <f>SUM(BL75:BL78)</f>
        <v/>
      </c>
      <c r="BM74" s="1420">
        <f>SUM(BM75:BM78)</f>
        <v/>
      </c>
      <c r="BN74" s="1420">
        <f>SUM(BN75:BN78)</f>
        <v/>
      </c>
      <c r="BO74" s="1420">
        <f>SUM(BO75:BO78)</f>
        <v/>
      </c>
      <c r="BP74" s="1420">
        <f>SUM(BP75:BP78)</f>
        <v/>
      </c>
      <c r="BQ74" s="1420">
        <f>SUM(BQ75:BQ78)</f>
        <v/>
      </c>
      <c r="BR74" s="1420">
        <f>SUM(BR75:BR78)</f>
        <v/>
      </c>
      <c r="BS74" s="1420">
        <f>SUM(BS75:BS78)</f>
        <v/>
      </c>
      <c r="BT74" s="1420">
        <f>SUM(BT75:BT78)</f>
        <v/>
      </c>
      <c r="BU74" s="1420">
        <f>BE74-BM74</f>
        <v/>
      </c>
      <c r="BV74" s="1420">
        <f>BF74-BN74</f>
        <v/>
      </c>
      <c r="BW74" s="1420">
        <f>BG74-BO74</f>
        <v/>
      </c>
      <c r="BX74" s="1420">
        <f>BH74-BP74</f>
        <v/>
      </c>
      <c r="BY74" s="1420">
        <f>BI74-BQ74</f>
        <v/>
      </c>
      <c r="BZ74" s="1420">
        <f>BJ74-BR74</f>
        <v/>
      </c>
      <c r="CA74" s="1420">
        <f>BK74-BS74</f>
        <v/>
      </c>
      <c r="CB74" s="1420">
        <f>BL74-BT74</f>
        <v/>
      </c>
      <c r="CC74" s="1420">
        <f>SUM(CC75:CC78)</f>
        <v/>
      </c>
      <c r="CD74" s="1420">
        <f>SUM(CD75:CD78)</f>
        <v/>
      </c>
      <c r="CE74" s="1420">
        <f>SUM(CE75:CE78)</f>
        <v/>
      </c>
      <c r="CF74" s="1420">
        <f>SUM(CF75:CF78)</f>
        <v/>
      </c>
      <c r="CG74" s="1420">
        <f>SUM(CG75:CG78)</f>
        <v/>
      </c>
      <c r="CH74" s="1420">
        <f>SUM(CH75:CH78)</f>
        <v/>
      </c>
      <c r="CI74" s="1420">
        <f>SUM(CI75:CI78)</f>
        <v/>
      </c>
      <c r="CJ74" s="1420">
        <f>SUM(CJ75:CJ78)</f>
        <v/>
      </c>
      <c r="CK74" s="1420" t="n"/>
      <c r="CL74" s="1420" t="n"/>
      <c r="CM74" s="1420" t="n"/>
      <c r="CN74" s="1420" t="n"/>
      <c r="CO74" s="1420" t="n"/>
      <c r="CP74" s="1420" t="n"/>
      <c r="CQ74" s="1420" t="n"/>
      <c r="CR74" s="1420" t="n"/>
      <c r="CS74" s="1420" t="n"/>
      <c r="CT74" s="1420" t="n"/>
      <c r="CU74" s="1420" t="n"/>
      <c r="CV74" s="1420" t="n"/>
      <c r="CW74" s="1420" t="n"/>
      <c r="CX74" s="1420" t="n"/>
      <c r="CY74" s="1420" t="n"/>
      <c r="CZ74" s="1420" t="n"/>
      <c r="DA74" s="1420" t="n"/>
      <c r="DB74" s="1420" t="n"/>
      <c r="DC74" s="1420" t="n"/>
      <c r="DD74" s="1420" t="n"/>
      <c r="DE74" s="1420" t="n"/>
      <c r="DF74" s="1420" t="n"/>
      <c r="DG74" s="1420" t="n"/>
      <c r="DH74" s="1420" t="n"/>
      <c r="DI74" s="1420" t="n"/>
      <c r="DJ74" s="1420" t="n"/>
      <c r="DK74" s="1420" t="n"/>
      <c r="DL74" s="1420" t="n"/>
      <c r="DM74" s="1420" t="n"/>
      <c r="DN74" s="1420" t="n"/>
      <c r="DO74" s="1420" t="n"/>
      <c r="DP74" s="1420" t="n"/>
    </row>
    <row r="75">
      <c r="A75" s="384" t="n"/>
      <c r="B75" s="384" t="n"/>
      <c r="C75" s="384" t="n"/>
      <c r="D75" s="384" t="n"/>
      <c r="E75" s="384" t="n"/>
      <c r="F75" s="384" t="n"/>
      <c r="G75" s="384" t="n"/>
      <c r="H75" s="384" t="n"/>
      <c r="I75" s="384" t="n"/>
      <c r="J75" s="384" t="n"/>
      <c r="K75" s="384" t="n"/>
      <c r="L75" s="384" t="n"/>
      <c r="M75" s="384" t="n"/>
      <c r="N75" s="384" t="n"/>
      <c r="O75" s="384" t="n"/>
      <c r="P75" s="384" t="n"/>
      <c r="Q75" s="384" t="n"/>
      <c r="R75" s="384" t="n"/>
      <c r="S75" s="384" t="n"/>
      <c r="T75" s="384" t="n"/>
      <c r="U75" s="384" t="n"/>
      <c r="V75" s="1425" t="inlineStr">
        <is>
          <t>销售费用</t>
        </is>
      </c>
      <c r="W75" s="384" t="inlineStr">
        <is>
          <t>A028010201</t>
        </is>
      </c>
      <c r="X75" s="32">
        <f>IF(_epmOfflineCondition_,"A028010201",EPMOlapMemberO(W75,"[C_ACCOUNT].[PARENTH1].[A028010201]","A028010201 -   销售费用","","000"))</f>
        <v/>
      </c>
      <c r="Y75" s="1420">
        <f>SUM(AG75:AN75)</f>
        <v/>
      </c>
      <c r="Z75" s="1420">
        <f>SUM(AO75:AV75)</f>
        <v/>
      </c>
      <c r="AA75" s="1420">
        <f>SUM(BU75:CB75)</f>
        <v/>
      </c>
      <c r="AB75" s="1420">
        <f>Y75-AA75</f>
        <v/>
      </c>
      <c r="AC75" s="1420">
        <f>IFERROR(AB75/AA75,0)</f>
        <v/>
      </c>
      <c r="AD75" s="1420">
        <f>SUM(CC75:CJ75)</f>
        <v/>
      </c>
      <c r="AE75" s="1420">
        <f>Z75-AD75</f>
        <v/>
      </c>
      <c r="AF75" s="1420">
        <f>IFERROR(AE75/AD75,0)</f>
        <v/>
      </c>
      <c r="AG75" s="1420">
        <f>AO75-AW75</f>
        <v/>
      </c>
      <c r="AH75" s="1420">
        <f>AP75-AX75</f>
        <v/>
      </c>
      <c r="AI75" s="1420">
        <f>AQ75-AY75</f>
        <v/>
      </c>
      <c r="AJ75" s="1420">
        <f>AR75-AZ75</f>
        <v/>
      </c>
      <c r="AK75" s="1420">
        <f>AS75-BA75</f>
        <v/>
      </c>
      <c r="AL75" s="1420">
        <f>AT75-BB75</f>
        <v/>
      </c>
      <c r="AM75" s="1420">
        <f>AU75-BC75</f>
        <v/>
      </c>
      <c r="AN75" s="1420">
        <f>AV75-BD75</f>
        <v/>
      </c>
      <c r="AO75" s="1422" t="n"/>
      <c r="AP75" s="1422" t="n"/>
      <c r="AQ75" s="1422" t="n"/>
      <c r="AR75" s="1422" t="n"/>
      <c r="AS75" s="1422" t="n"/>
      <c r="AT75" s="1422" t="n"/>
      <c r="AU75" s="1422" t="n"/>
      <c r="AV75" s="1422" t="n"/>
      <c r="AW75" s="1422" t="n"/>
      <c r="AX75" s="1422" t="n"/>
      <c r="AY75" s="1422" t="n"/>
      <c r="AZ75" s="1422" t="n"/>
      <c r="BA75" s="1422" t="n"/>
      <c r="BB75" s="1422" t="n"/>
      <c r="BC75" s="1422" t="n"/>
      <c r="BD75" s="1422" t="n"/>
      <c r="BE75" s="1422" t="n"/>
      <c r="BF75" s="1422" t="n"/>
      <c r="BG75" s="1422" t="n"/>
      <c r="BH75" s="1422" t="n"/>
      <c r="BI75" s="1422" t="n"/>
      <c r="BJ75" s="1422" t="n"/>
      <c r="BK75" s="1422" t="n"/>
      <c r="BL75" s="1422" t="n"/>
      <c r="BM75" s="1422" t="n"/>
      <c r="BN75" s="1422" t="n"/>
      <c r="BO75" s="1422" t="n"/>
      <c r="BP75" s="1422" t="n"/>
      <c r="BQ75" s="1422" t="n"/>
      <c r="BR75" s="1422" t="n"/>
      <c r="BS75" s="1422" t="n"/>
      <c r="BT75" s="1422" t="n"/>
      <c r="BU75" s="1420">
        <f>BE75-BM75</f>
        <v/>
      </c>
      <c r="BV75" s="1420">
        <f>BF75-BN75</f>
        <v/>
      </c>
      <c r="BW75" s="1420">
        <f>BG75-BO75</f>
        <v/>
      </c>
      <c r="BX75" s="1420">
        <f>BH75-BP75</f>
        <v/>
      </c>
      <c r="BY75" s="1420">
        <f>BI75-BQ75</f>
        <v/>
      </c>
      <c r="BZ75" s="1420">
        <f>BJ75-BR75</f>
        <v/>
      </c>
      <c r="CA75" s="1420">
        <f>BK75-BS75</f>
        <v/>
      </c>
      <c r="CB75" s="1420">
        <f>BL75-BT75</f>
        <v/>
      </c>
      <c r="CC75" s="1420" t="n"/>
      <c r="CD75" s="1420" t="n"/>
      <c r="CE75" s="1420" t="n"/>
      <c r="CF75" s="1420" t="n"/>
      <c r="CG75" s="1420" t="n"/>
      <c r="CH75" s="1420" t="n"/>
      <c r="CI75" s="1420" t="n"/>
      <c r="CJ75" s="1420" t="n"/>
      <c r="CK75" s="1420" t="n"/>
      <c r="CL75" s="1420" t="n"/>
      <c r="CM75" s="1420" t="n"/>
      <c r="CN75" s="1420" t="n"/>
      <c r="CO75" s="1420" t="n"/>
      <c r="CP75" s="1420" t="n"/>
      <c r="CQ75" s="1420" t="n"/>
      <c r="CR75" s="1420" t="n"/>
      <c r="CS75" s="1420" t="n"/>
      <c r="CT75" s="1420" t="n"/>
      <c r="CU75" s="1420" t="n"/>
      <c r="CV75" s="1420" t="n"/>
      <c r="CW75" s="1420" t="n"/>
      <c r="CX75" s="1420" t="n"/>
      <c r="CY75" s="1420" t="n"/>
      <c r="CZ75" s="1420" t="n"/>
      <c r="DA75" s="1420" t="n"/>
      <c r="DB75" s="1420" t="n"/>
      <c r="DC75" s="1420" t="n"/>
      <c r="DD75" s="1420" t="n"/>
      <c r="DE75" s="1420" t="n"/>
      <c r="DF75" s="1420" t="n"/>
      <c r="DG75" s="1420" t="n"/>
      <c r="DH75" s="1420" t="n"/>
      <c r="DI75" s="1420" t="n"/>
      <c r="DJ75" s="1420" t="n"/>
      <c r="DK75" s="1420" t="n"/>
      <c r="DL75" s="1420" t="n"/>
      <c r="DM75" s="1420" t="n"/>
      <c r="DN75" s="1420" t="n"/>
      <c r="DO75" s="1420" t="n"/>
      <c r="DP75" s="1420" t="n"/>
    </row>
    <row r="76">
      <c r="A76" s="384" t="n"/>
      <c r="B76" s="384" t="n"/>
      <c r="C76" s="384" t="n"/>
      <c r="D76" s="384" t="n"/>
      <c r="E76" s="384" t="n"/>
      <c r="F76" s="384" t="n"/>
      <c r="G76" s="384" t="n"/>
      <c r="H76" s="384" t="n"/>
      <c r="I76" s="384" t="n"/>
      <c r="J76" s="384" t="n"/>
      <c r="K76" s="384" t="n"/>
      <c r="L76" s="384" t="n"/>
      <c r="M76" s="384" t="n"/>
      <c r="N76" s="384" t="n"/>
      <c r="O76" s="384" t="n"/>
      <c r="P76" s="384" t="n"/>
      <c r="Q76" s="384" t="n"/>
      <c r="R76" s="384" t="n"/>
      <c r="S76" s="384" t="n"/>
      <c r="T76" s="384" t="n"/>
      <c r="U76" s="384" t="n"/>
      <c r="V76" s="1425" t="inlineStr">
        <is>
          <t>管理费用</t>
        </is>
      </c>
      <c r="W76" s="384" t="inlineStr">
        <is>
          <t>A028010202</t>
        </is>
      </c>
      <c r="X76" s="32">
        <f>IF(_epmOfflineCondition_,"A028010202",EPMOlapMemberO(W76,"[C_ACCOUNT].[PARENTH1].[A028010202]","A028010202 -   管理费用","","000"))</f>
        <v/>
      </c>
      <c r="Y76" s="1420">
        <f>SUM(AG76:AN76)</f>
        <v/>
      </c>
      <c r="Z76" s="1420">
        <f>SUM(AO76:AV76)</f>
        <v/>
      </c>
      <c r="AA76" s="1420">
        <f>SUM(BU76:CB76)</f>
        <v/>
      </c>
      <c r="AB76" s="1420">
        <f>Y76-AA76</f>
        <v/>
      </c>
      <c r="AC76" s="1420">
        <f>IFERROR(AB76/AA76,0)</f>
        <v/>
      </c>
      <c r="AD76" s="1420">
        <f>SUM(CC76:CJ76)</f>
        <v/>
      </c>
      <c r="AE76" s="1420">
        <f>Z76-AD76</f>
        <v/>
      </c>
      <c r="AF76" s="1420">
        <f>IFERROR(AE76/AD76,0)</f>
        <v/>
      </c>
      <c r="AG76" s="1420">
        <f>AO76-AW76</f>
        <v/>
      </c>
      <c r="AH76" s="1420">
        <f>AP76-AX76</f>
        <v/>
      </c>
      <c r="AI76" s="1420">
        <f>AQ76-AY76</f>
        <v/>
      </c>
      <c r="AJ76" s="1420">
        <f>AR76-AZ76</f>
        <v/>
      </c>
      <c r="AK76" s="1420">
        <f>AS76-BA76</f>
        <v/>
      </c>
      <c r="AL76" s="1420">
        <f>AT76-BB76</f>
        <v/>
      </c>
      <c r="AM76" s="1420">
        <f>AU76-BC76</f>
        <v/>
      </c>
      <c r="AN76" s="1420">
        <f>AV76-BD76</f>
        <v/>
      </c>
      <c r="AO76" s="1422" t="n"/>
      <c r="AP76" s="1422" t="n"/>
      <c r="AQ76" s="1422" t="n"/>
      <c r="AR76" s="1422" t="n"/>
      <c r="AS76" s="1422" t="n"/>
      <c r="AT76" s="1422" t="n"/>
      <c r="AU76" s="1422" t="n"/>
      <c r="AV76" s="1422" t="n"/>
      <c r="AW76" s="1422" t="n"/>
      <c r="AX76" s="1422" t="n"/>
      <c r="AY76" s="1422" t="n"/>
      <c r="AZ76" s="1422" t="n"/>
      <c r="BA76" s="1422" t="n"/>
      <c r="BB76" s="1422" t="n"/>
      <c r="BC76" s="1422" t="n"/>
      <c r="BD76" s="1422" t="n"/>
      <c r="BE76" s="1422" t="n"/>
      <c r="BF76" s="1422" t="n"/>
      <c r="BG76" s="1422" t="n"/>
      <c r="BH76" s="1422" t="n"/>
      <c r="BI76" s="1422" t="n"/>
      <c r="BJ76" s="1422" t="n"/>
      <c r="BK76" s="1422" t="n"/>
      <c r="BL76" s="1422" t="n"/>
      <c r="BM76" s="1422" t="n"/>
      <c r="BN76" s="1422" t="n"/>
      <c r="BO76" s="1422" t="n"/>
      <c r="BP76" s="1422" t="n"/>
      <c r="BQ76" s="1422" t="n"/>
      <c r="BR76" s="1422" t="n"/>
      <c r="BS76" s="1422" t="n"/>
      <c r="BT76" s="1422" t="n"/>
      <c r="BU76" s="1420">
        <f>BE76-BM76</f>
        <v/>
      </c>
      <c r="BV76" s="1420">
        <f>BF76-BN76</f>
        <v/>
      </c>
      <c r="BW76" s="1420">
        <f>BG76-BO76</f>
        <v/>
      </c>
      <c r="BX76" s="1420">
        <f>BH76-BP76</f>
        <v/>
      </c>
      <c r="BY76" s="1420">
        <f>BI76-BQ76</f>
        <v/>
      </c>
      <c r="BZ76" s="1420">
        <f>BJ76-BR76</f>
        <v/>
      </c>
      <c r="CA76" s="1420">
        <f>BK76-BS76</f>
        <v/>
      </c>
      <c r="CB76" s="1420">
        <f>BL76-BT76</f>
        <v/>
      </c>
      <c r="CC76" s="1420" t="n"/>
      <c r="CD76" s="1420" t="n"/>
      <c r="CE76" s="1420" t="n"/>
      <c r="CF76" s="1420" t="n"/>
      <c r="CG76" s="1420" t="n"/>
      <c r="CH76" s="1420" t="n"/>
      <c r="CI76" s="1420" t="n"/>
      <c r="CJ76" s="1420" t="n"/>
      <c r="CK76" s="1420" t="n"/>
      <c r="CL76" s="1420" t="n"/>
      <c r="CM76" s="1420" t="n"/>
      <c r="CN76" s="1420" t="n"/>
      <c r="CO76" s="1420" t="n"/>
      <c r="CP76" s="1420" t="n"/>
      <c r="CQ76" s="1420" t="n"/>
      <c r="CR76" s="1420" t="n"/>
      <c r="CS76" s="1420" t="n"/>
      <c r="CT76" s="1420" t="n"/>
      <c r="CU76" s="1420" t="n"/>
      <c r="CV76" s="1420" t="n"/>
      <c r="CW76" s="1420" t="n"/>
      <c r="CX76" s="1420" t="n"/>
      <c r="CY76" s="1420" t="n"/>
      <c r="CZ76" s="1420" t="n"/>
      <c r="DA76" s="1420" t="n"/>
      <c r="DB76" s="1420" t="n"/>
      <c r="DC76" s="1420" t="n"/>
      <c r="DD76" s="1420" t="n"/>
      <c r="DE76" s="1420" t="n"/>
      <c r="DF76" s="1420" t="n"/>
      <c r="DG76" s="1420" t="n"/>
      <c r="DH76" s="1420" t="n"/>
      <c r="DI76" s="1420" t="n"/>
      <c r="DJ76" s="1420" t="n"/>
      <c r="DK76" s="1420" t="n"/>
      <c r="DL76" s="1420" t="n"/>
      <c r="DM76" s="1420" t="n"/>
      <c r="DN76" s="1420" t="n"/>
      <c r="DO76" s="1420" t="n"/>
      <c r="DP76" s="1420" t="n"/>
    </row>
    <row r="77">
      <c r="A77" s="384" t="n"/>
      <c r="B77" s="384" t="n"/>
      <c r="C77" s="384" t="n"/>
      <c r="D77" s="384" t="n"/>
      <c r="E77" s="384" t="n"/>
      <c r="F77" s="384" t="n"/>
      <c r="G77" s="384" t="n"/>
      <c r="H77" s="384" t="n"/>
      <c r="I77" s="384" t="n"/>
      <c r="J77" s="384" t="n"/>
      <c r="K77" s="384" t="n"/>
      <c r="L77" s="384" t="n"/>
      <c r="M77" s="384" t="n"/>
      <c r="N77" s="384" t="n"/>
      <c r="O77" s="384" t="n"/>
      <c r="P77" s="384" t="n"/>
      <c r="Q77" s="384" t="n"/>
      <c r="R77" s="384" t="n"/>
      <c r="S77" s="384" t="n"/>
      <c r="T77" s="384" t="n"/>
      <c r="U77" s="384" t="n"/>
      <c r="V77" s="1425" t="inlineStr">
        <is>
          <t>研发费用</t>
        </is>
      </c>
      <c r="W77" s="384" t="inlineStr">
        <is>
          <t>A028010203</t>
        </is>
      </c>
      <c r="X77" s="32">
        <f>IF(_epmOfflineCondition_,"A028010203",EPMOlapMemberO(W77,"[C_ACCOUNT].[PARENTH1].[A028010203]","A028010203 -   研发费用","","000"))</f>
        <v/>
      </c>
      <c r="Y77" s="1420">
        <f>SUM(AG77:AN77)</f>
        <v/>
      </c>
      <c r="Z77" s="1420">
        <f>SUM(AO77:AV77)</f>
        <v/>
      </c>
      <c r="AA77" s="1420">
        <f>SUM(BU77:CB77)</f>
        <v/>
      </c>
      <c r="AB77" s="1420">
        <f>Y77-AA77</f>
        <v/>
      </c>
      <c r="AC77" s="1420">
        <f>IFERROR(AB77/AA77,0)</f>
        <v/>
      </c>
      <c r="AD77" s="1420">
        <f>SUM(CC77:CJ77)</f>
        <v/>
      </c>
      <c r="AE77" s="1420">
        <f>Z77-AD77</f>
        <v/>
      </c>
      <c r="AF77" s="1420">
        <f>IFERROR(AE77/AD77,0)</f>
        <v/>
      </c>
      <c r="AG77" s="1420">
        <f>AO77-AW77</f>
        <v/>
      </c>
      <c r="AH77" s="1420">
        <f>AP77-AX77</f>
        <v/>
      </c>
      <c r="AI77" s="1420">
        <f>AQ77-AY77</f>
        <v/>
      </c>
      <c r="AJ77" s="1420">
        <f>AR77-AZ77</f>
        <v/>
      </c>
      <c r="AK77" s="1420">
        <f>AS77-BA77</f>
        <v/>
      </c>
      <c r="AL77" s="1420">
        <f>AT77-BB77</f>
        <v/>
      </c>
      <c r="AM77" s="1420">
        <f>AU77-BC77</f>
        <v/>
      </c>
      <c r="AN77" s="1420">
        <f>AV77-BD77</f>
        <v/>
      </c>
      <c r="AO77" s="1422" t="n"/>
      <c r="AP77" s="1422" t="n"/>
      <c r="AQ77" s="1422" t="n"/>
      <c r="AR77" s="1422" t="n"/>
      <c r="AS77" s="1422" t="n"/>
      <c r="AT77" s="1422" t="n"/>
      <c r="AU77" s="1422" t="n"/>
      <c r="AV77" s="1422" t="n"/>
      <c r="AW77" s="1422" t="n"/>
      <c r="AX77" s="1422" t="n"/>
      <c r="AY77" s="1422" t="n"/>
      <c r="AZ77" s="1422" t="n"/>
      <c r="BA77" s="1422" t="n"/>
      <c r="BB77" s="1422" t="n"/>
      <c r="BC77" s="1422" t="n"/>
      <c r="BD77" s="1422" t="n"/>
      <c r="BE77" s="1422" t="n"/>
      <c r="BF77" s="1422" t="n"/>
      <c r="BG77" s="1422" t="n"/>
      <c r="BH77" s="1422" t="n"/>
      <c r="BI77" s="1422" t="n"/>
      <c r="BJ77" s="1422" t="n"/>
      <c r="BK77" s="1422" t="n"/>
      <c r="BL77" s="1422" t="n"/>
      <c r="BM77" s="1422" t="n"/>
      <c r="BN77" s="1422" t="n"/>
      <c r="BO77" s="1422" t="n"/>
      <c r="BP77" s="1422" t="n"/>
      <c r="BQ77" s="1422" t="n"/>
      <c r="BR77" s="1422" t="n"/>
      <c r="BS77" s="1422" t="n"/>
      <c r="BT77" s="1422" t="n"/>
      <c r="BU77" s="1420">
        <f>BE77-BM77</f>
        <v/>
      </c>
      <c r="BV77" s="1420">
        <f>BF77-BN77</f>
        <v/>
      </c>
      <c r="BW77" s="1420">
        <f>BG77-BO77</f>
        <v/>
      </c>
      <c r="BX77" s="1420">
        <f>BH77-BP77</f>
        <v/>
      </c>
      <c r="BY77" s="1420">
        <f>BI77-BQ77</f>
        <v/>
      </c>
      <c r="BZ77" s="1420">
        <f>BJ77-BR77</f>
        <v/>
      </c>
      <c r="CA77" s="1420">
        <f>BK77-BS77</f>
        <v/>
      </c>
      <c r="CB77" s="1420">
        <f>BL77-BT77</f>
        <v/>
      </c>
      <c r="CC77" s="1420" t="n"/>
      <c r="CD77" s="1420" t="n"/>
      <c r="CE77" s="1420" t="n"/>
      <c r="CF77" s="1420" t="n"/>
      <c r="CG77" s="1420" t="n"/>
      <c r="CH77" s="1420" t="n"/>
      <c r="CI77" s="1420" t="n"/>
      <c r="CJ77" s="1420" t="n"/>
      <c r="CK77" s="1420" t="n"/>
      <c r="CL77" s="1420" t="n"/>
      <c r="CM77" s="1420" t="n"/>
      <c r="CN77" s="1420" t="n"/>
      <c r="CO77" s="1420" t="n"/>
      <c r="CP77" s="1420" t="n"/>
      <c r="CQ77" s="1420" t="n"/>
      <c r="CR77" s="1420" t="n"/>
      <c r="CS77" s="1420" t="n"/>
      <c r="CT77" s="1420" t="n"/>
      <c r="CU77" s="1420" t="n"/>
      <c r="CV77" s="1420" t="n"/>
      <c r="CW77" s="1420" t="n"/>
      <c r="CX77" s="1420" t="n"/>
      <c r="CY77" s="1420" t="n"/>
      <c r="CZ77" s="1420" t="n"/>
      <c r="DA77" s="1420" t="n"/>
      <c r="DB77" s="1420" t="n"/>
      <c r="DC77" s="1420" t="n"/>
      <c r="DD77" s="1420" t="n"/>
      <c r="DE77" s="1420" t="n"/>
      <c r="DF77" s="1420" t="n"/>
      <c r="DG77" s="1420" t="n"/>
      <c r="DH77" s="1420" t="n"/>
      <c r="DI77" s="1420" t="n"/>
      <c r="DJ77" s="1420" t="n"/>
      <c r="DK77" s="1420" t="n"/>
      <c r="DL77" s="1420" t="n"/>
      <c r="DM77" s="1420" t="n"/>
      <c r="DN77" s="1420" t="n"/>
      <c r="DO77" s="1420" t="n"/>
      <c r="DP77" s="1420" t="n"/>
    </row>
    <row r="78">
      <c r="A78" s="384" t="n"/>
      <c r="B78" s="384" t="n"/>
      <c r="C78" s="384" t="n"/>
      <c r="D78" s="384" t="n"/>
      <c r="E78" s="384" t="n"/>
      <c r="F78" s="384" t="n"/>
      <c r="G78" s="384" t="n"/>
      <c r="H78" s="384" t="n"/>
      <c r="I78" s="384" t="n"/>
      <c r="J78" s="384" t="n"/>
      <c r="K78" s="384" t="n"/>
      <c r="L78" s="384" t="n"/>
      <c r="M78" s="384" t="n"/>
      <c r="N78" s="384" t="n"/>
      <c r="O78" s="384" t="n"/>
      <c r="P78" s="384" t="n"/>
      <c r="Q78" s="384" t="n"/>
      <c r="R78" s="384" t="n"/>
      <c r="S78" s="384" t="n"/>
      <c r="T78" s="384" t="n"/>
      <c r="U78" s="384" t="n"/>
      <c r="V78" s="1425" t="inlineStr">
        <is>
          <t>财务费用</t>
        </is>
      </c>
      <c r="W78" s="384" t="inlineStr">
        <is>
          <t>A028010204</t>
        </is>
      </c>
      <c r="X78" s="32">
        <f>IF(_epmOfflineCondition_,"A028010204",EPMOlapMemberO(W78,"[C_ACCOUNT].[PARENTH1].[A028010204]","A028010204 -   财务费用","","000"))</f>
        <v/>
      </c>
      <c r="Y78" s="1420">
        <f>SUM(AG78:AN78)</f>
        <v/>
      </c>
      <c r="Z78" s="1420">
        <f>SUM(AO78:AV78)</f>
        <v/>
      </c>
      <c r="AA78" s="1420">
        <f>SUM(BU78:CB78)</f>
        <v/>
      </c>
      <c r="AB78" s="1420">
        <f>Y78-AA78</f>
        <v/>
      </c>
      <c r="AC78" s="1420">
        <f>IFERROR(AB78/AA78,0)</f>
        <v/>
      </c>
      <c r="AD78" s="1420">
        <f>SUM(CC78:CJ78)</f>
        <v/>
      </c>
      <c r="AE78" s="1420">
        <f>Z78-AD78</f>
        <v/>
      </c>
      <c r="AF78" s="1420">
        <f>IFERROR(AE78/AD78,0)</f>
        <v/>
      </c>
      <c r="AG78" s="1420">
        <f>AO78-AW78</f>
        <v/>
      </c>
      <c r="AH78" s="1420">
        <f>AP78-AX78</f>
        <v/>
      </c>
      <c r="AI78" s="1420">
        <f>AQ78-AY78</f>
        <v/>
      </c>
      <c r="AJ78" s="1420">
        <f>AR78-AZ78</f>
        <v/>
      </c>
      <c r="AK78" s="1420">
        <f>AS78-BA78</f>
        <v/>
      </c>
      <c r="AL78" s="1420">
        <f>AT78-BB78</f>
        <v/>
      </c>
      <c r="AM78" s="1420">
        <f>AU78-BC78</f>
        <v/>
      </c>
      <c r="AN78" s="1420">
        <f>AV78-BD78</f>
        <v/>
      </c>
      <c r="AO78" s="1422" t="n"/>
      <c r="AP78" s="1422" t="inlineStr"/>
      <c r="AQ78" s="1422" t="n"/>
      <c r="AR78" s="1422" t="n"/>
      <c r="AS78" s="1422" t="n"/>
      <c r="AT78" s="1422" t="n"/>
      <c r="AU78" s="1422" t="n"/>
      <c r="AV78" s="1422" t="n"/>
      <c r="AW78" s="1422" t="n"/>
      <c r="AX78" s="1422" t="inlineStr"/>
      <c r="AY78" s="1422" t="n"/>
      <c r="AZ78" s="1422" t="n"/>
      <c r="BA78" s="1422" t="n"/>
      <c r="BB78" s="1422" t="n"/>
      <c r="BC78" s="1422" t="n"/>
      <c r="BD78" s="1422" t="n"/>
      <c r="BE78" s="1422" t="n"/>
      <c r="BF78" s="1422" t="inlineStr"/>
      <c r="BG78" s="1422" t="n"/>
      <c r="BH78" s="1422" t="n"/>
      <c r="BI78" s="1422" t="n"/>
      <c r="BJ78" s="1422" t="n"/>
      <c r="BK78" s="1422" t="n"/>
      <c r="BL78" s="1422" t="n"/>
      <c r="BM78" s="1422" t="n"/>
      <c r="BN78" s="1422" t="inlineStr"/>
      <c r="BO78" s="1422" t="n"/>
      <c r="BP78" s="1422" t="n"/>
      <c r="BQ78" s="1422" t="n"/>
      <c r="BR78" s="1422" t="n"/>
      <c r="BS78" s="1422" t="n"/>
      <c r="BT78" s="1422" t="n"/>
      <c r="BU78" s="1420">
        <f>BE78-BM78</f>
        <v/>
      </c>
      <c r="BV78" s="1420">
        <f>BF78-BN78</f>
        <v/>
      </c>
      <c r="BW78" s="1420">
        <f>BG78-BO78</f>
        <v/>
      </c>
      <c r="BX78" s="1420">
        <f>BH78-BP78</f>
        <v/>
      </c>
      <c r="BY78" s="1420">
        <f>BI78-BQ78</f>
        <v/>
      </c>
      <c r="BZ78" s="1420">
        <f>BJ78-BR78</f>
        <v/>
      </c>
      <c r="CA78" s="1420">
        <f>BK78-BS78</f>
        <v/>
      </c>
      <c r="CB78" s="1420">
        <f>BL78-BT78</f>
        <v/>
      </c>
      <c r="CC78" s="1420" t="n"/>
      <c r="CD78" s="1420" t="n"/>
      <c r="CE78" s="1420" t="n"/>
      <c r="CF78" s="1420" t="n"/>
      <c r="CG78" s="1420" t="n"/>
      <c r="CH78" s="1420" t="n"/>
      <c r="CI78" s="1420" t="n"/>
      <c r="CJ78" s="1420" t="n"/>
      <c r="CK78" s="1420" t="n"/>
      <c r="CL78" s="1420" t="n"/>
      <c r="CM78" s="1420" t="n"/>
      <c r="CN78" s="1420" t="n"/>
      <c r="CO78" s="1420" t="n"/>
      <c r="CP78" s="1420" t="n"/>
      <c r="CQ78" s="1420" t="n"/>
      <c r="CR78" s="1420" t="n"/>
      <c r="CS78" s="1420" t="n"/>
      <c r="CT78" s="1420" t="n"/>
      <c r="CU78" s="1420" t="n"/>
      <c r="CV78" s="1420" t="n"/>
      <c r="CW78" s="1420" t="n"/>
      <c r="CX78" s="1420" t="n"/>
      <c r="CY78" s="1420" t="n"/>
      <c r="CZ78" s="1420" t="n"/>
      <c r="DA78" s="1420" t="n"/>
      <c r="DB78" s="1420" t="n"/>
      <c r="DC78" s="1420" t="n"/>
      <c r="DD78" s="1420" t="n"/>
      <c r="DE78" s="1420" t="n"/>
      <c r="DF78" s="1420" t="n"/>
      <c r="DG78" s="1420" t="n"/>
      <c r="DH78" s="1420" t="n"/>
      <c r="DI78" s="1420" t="n"/>
      <c r="DJ78" s="1420" t="n"/>
      <c r="DK78" s="1420" t="n"/>
      <c r="DL78" s="1420" t="n"/>
      <c r="DM78" s="1420" t="n"/>
      <c r="DN78" s="1420" t="n"/>
      <c r="DO78" s="1420" t="n"/>
      <c r="DP78" s="1420" t="n"/>
    </row>
    <row r="79">
      <c r="A79" s="384" t="n"/>
      <c r="B79" s="384" t="n"/>
      <c r="C79" s="384" t="n"/>
      <c r="D79" s="384" t="n"/>
      <c r="E79" s="384" t="n"/>
      <c r="F79" s="384" t="n"/>
      <c r="G79" s="384" t="n"/>
      <c r="H79" s="384" t="n"/>
      <c r="I79" s="384" t="n"/>
      <c r="J79" s="384" t="n"/>
      <c r="K79" s="384" t="n"/>
      <c r="L79" s="384" t="n"/>
      <c r="M79" s="384" t="n"/>
      <c r="N79" s="384" t="n"/>
      <c r="O79" s="384" t="n"/>
      <c r="P79" s="384" t="n"/>
      <c r="Q79" s="384" t="n"/>
      <c r="R79" s="384" t="n"/>
      <c r="S79" s="384" t="n"/>
      <c r="T79" s="384" t="n"/>
      <c r="U79" s="384" t="n"/>
      <c r="V79" s="1424" t="inlineStr">
        <is>
          <t>三、资产减值损失</t>
        </is>
      </c>
      <c r="W79" s="384" t="inlineStr">
        <is>
          <t>A0280103</t>
        </is>
      </c>
      <c r="X79" s="32">
        <f>IF(_epmOfflineCondition_,"A0280103",EPMOlapMemberO(W79,"[C_ACCOUNT].[PARENTH1].[A0280103]","A0280103 -   三、资产减值损失","","000"))</f>
        <v/>
      </c>
      <c r="Y79" s="1420">
        <f>SUM(AG79:AN79)</f>
        <v/>
      </c>
      <c r="Z79" s="1420">
        <f>SUM(AO79:AV79)</f>
        <v/>
      </c>
      <c r="AA79" s="1420">
        <f>SUM(BU79:CB79)</f>
        <v/>
      </c>
      <c r="AB79" s="1420">
        <f>Y79-AA79</f>
        <v/>
      </c>
      <c r="AC79" s="1420">
        <f>IFERROR(AB79/AA79,0)</f>
        <v/>
      </c>
      <c r="AD79" s="1420">
        <f>SUM(CC79:CJ79)</f>
        <v/>
      </c>
      <c r="AE79" s="1420">
        <f>Z79-AD79</f>
        <v/>
      </c>
      <c r="AF79" s="1420">
        <f>IFERROR(AE79/AD79,0)</f>
        <v/>
      </c>
      <c r="AG79" s="1420">
        <f>AO79-AW79</f>
        <v/>
      </c>
      <c r="AH79" s="1420">
        <f>AP79-AX79</f>
        <v/>
      </c>
      <c r="AI79" s="1420">
        <f>AQ79-AY79</f>
        <v/>
      </c>
      <c r="AJ79" s="1420">
        <f>AR79-AZ79</f>
        <v/>
      </c>
      <c r="AK79" s="1420">
        <f>AS79-BA79</f>
        <v/>
      </c>
      <c r="AL79" s="1420">
        <f>AT79-BB79</f>
        <v/>
      </c>
      <c r="AM79" s="1420">
        <f>AU79-BC79</f>
        <v/>
      </c>
      <c r="AN79" s="1420">
        <f>AW79-BM79</f>
        <v/>
      </c>
      <c r="AO79" s="1422" t="n"/>
      <c r="AP79" s="1422" t="n"/>
      <c r="AQ79" s="1422" t="n"/>
      <c r="AR79" s="1422" t="n"/>
      <c r="AS79" s="1422" t="n"/>
      <c r="AT79" s="1422" t="n"/>
      <c r="AU79" s="1422" t="n"/>
      <c r="AV79" s="1422" t="n"/>
      <c r="AW79" s="1422" t="n"/>
      <c r="AX79" s="1422" t="n"/>
      <c r="AY79" s="1422" t="n"/>
      <c r="AZ79" s="1422" t="n"/>
      <c r="BA79" s="1422" t="n"/>
      <c r="BB79" s="1422" t="n"/>
      <c r="BC79" s="1422" t="n"/>
      <c r="BD79" s="1422" t="n"/>
      <c r="BE79" s="1422" t="n"/>
      <c r="BF79" s="1422" t="n"/>
      <c r="BG79" s="1422" t="n"/>
      <c r="BH79" s="1422" t="n"/>
      <c r="BI79" s="1422" t="n"/>
      <c r="BJ79" s="1422" t="n"/>
      <c r="BK79" s="1422" t="n"/>
      <c r="BL79" s="1422" t="n"/>
      <c r="BM79" s="1422" t="n"/>
      <c r="BN79" s="1422" t="n"/>
      <c r="BO79" s="1422" t="n"/>
      <c r="BP79" s="1422" t="n"/>
      <c r="BQ79" s="1422" t="n"/>
      <c r="BR79" s="1422" t="n"/>
      <c r="BS79" s="1422" t="n"/>
      <c r="BT79" s="1422" t="n"/>
      <c r="BU79" s="1420">
        <f>BE79-BM79</f>
        <v/>
      </c>
      <c r="BV79" s="1420">
        <f>BF79-BN79</f>
        <v/>
      </c>
      <c r="BW79" s="1420">
        <f>BG79-BO79</f>
        <v/>
      </c>
      <c r="BX79" s="1420">
        <f>BH79-BP79</f>
        <v/>
      </c>
      <c r="BY79" s="1420">
        <f>BI79-BQ79</f>
        <v/>
      </c>
      <c r="BZ79" s="1420">
        <f>BJ79-BR79</f>
        <v/>
      </c>
      <c r="CA79" s="1420">
        <f>BK79-BS79</f>
        <v/>
      </c>
      <c r="CB79" s="1420">
        <f>BL79-BT79</f>
        <v/>
      </c>
      <c r="CC79" s="1420" t="n"/>
      <c r="CD79" s="1420" t="n"/>
      <c r="CE79" s="1420" t="n"/>
      <c r="CF79" s="1420" t="n"/>
      <c r="CG79" s="1420" t="n"/>
      <c r="CH79" s="1420" t="n"/>
      <c r="CI79" s="1420" t="n"/>
      <c r="CJ79" s="1420" t="n"/>
      <c r="CK79" s="1420" t="n"/>
      <c r="CL79" s="1420" t="n"/>
      <c r="CM79" s="1420" t="n"/>
      <c r="CN79" s="1420" t="n"/>
      <c r="CO79" s="1420" t="n"/>
      <c r="CP79" s="1420" t="n"/>
      <c r="CQ79" s="1420" t="n"/>
      <c r="CR79" s="1420" t="n"/>
      <c r="CS79" s="1420" t="n"/>
      <c r="CT79" s="1420" t="n"/>
      <c r="CU79" s="1420" t="n"/>
      <c r="CV79" s="1420" t="n"/>
      <c r="CW79" s="1420" t="n"/>
      <c r="CX79" s="1420" t="n"/>
      <c r="CY79" s="1420" t="n"/>
      <c r="CZ79" s="1420" t="n"/>
      <c r="DA79" s="1420" t="n"/>
      <c r="DB79" s="1420" t="n"/>
      <c r="DC79" s="1420" t="n"/>
      <c r="DD79" s="1420" t="n"/>
      <c r="DE79" s="1420" t="n"/>
      <c r="DF79" s="1420" t="n"/>
      <c r="DG79" s="1420" t="n"/>
      <c r="DH79" s="1420" t="n"/>
      <c r="DI79" s="1420" t="n"/>
      <c r="DJ79" s="1420" t="n"/>
      <c r="DK79" s="1420" t="n"/>
      <c r="DL79" s="1420" t="n"/>
      <c r="DM79" s="1420" t="n"/>
      <c r="DN79" s="1420" t="n"/>
      <c r="DO79" s="1420" t="n"/>
      <c r="DP79" s="1420" t="n"/>
    </row>
    <row r="80">
      <c r="A80" s="384" t="n"/>
      <c r="B80" s="384" t="n"/>
      <c r="C80" s="384" t="n"/>
      <c r="D80" s="384" t="n"/>
      <c r="E80" s="384" t="n"/>
      <c r="F80" s="384" t="n"/>
      <c r="G80" s="384" t="n"/>
      <c r="H80" s="384" t="n"/>
      <c r="I80" s="384" t="n"/>
      <c r="J80" s="384" t="n"/>
      <c r="K80" s="384" t="n"/>
      <c r="L80" s="384" t="n"/>
      <c r="M80" s="384" t="n"/>
      <c r="N80" s="384" t="n"/>
      <c r="O80" s="384" t="n"/>
      <c r="P80" s="384" t="n"/>
      <c r="Q80" s="384" t="n"/>
      <c r="R80" s="384" t="n"/>
      <c r="S80" s="384" t="n"/>
      <c r="T80" s="384" t="n"/>
      <c r="U80" s="384" t="n"/>
      <c r="V80" s="1424" t="inlineStr">
        <is>
          <t>四、营业税金及附加</t>
        </is>
      </c>
      <c r="W80" s="384" t="inlineStr">
        <is>
          <t>A0280104</t>
        </is>
      </c>
      <c r="X80" s="32">
        <f>IF(_epmOfflineCondition_,"A0280104",EPMOlapMemberO(W80,"[C_ACCOUNT].[PARENTH1].[A0280104]","A0280104 -   四、营业税金及附加","","000"))</f>
        <v/>
      </c>
      <c r="Y80" s="1420">
        <f>SUM(AG80:AN80)</f>
        <v/>
      </c>
      <c r="Z80" s="1420">
        <f>SUM(AO80:AV80)</f>
        <v/>
      </c>
      <c r="AA80" s="1420">
        <f>SUM(BU80:CB80)</f>
        <v/>
      </c>
      <c r="AB80" s="1420">
        <f>Y80-AA80</f>
        <v/>
      </c>
      <c r="AC80" s="1420">
        <f>IFERROR(AB80/AA80,0)</f>
        <v/>
      </c>
      <c r="AD80" s="1420">
        <f>SUM(CC80:CJ80)</f>
        <v/>
      </c>
      <c r="AE80" s="1420">
        <f>Z80-AD80</f>
        <v/>
      </c>
      <c r="AF80" s="1420">
        <f>IFERROR(AE80/AD80,0)</f>
        <v/>
      </c>
      <c r="AG80" s="1420">
        <f>AO80-AW80</f>
        <v/>
      </c>
      <c r="AH80" s="1420">
        <f>AP80-AX80</f>
        <v/>
      </c>
      <c r="AI80" s="1420">
        <f>AQ80-AY80</f>
        <v/>
      </c>
      <c r="AJ80" s="1420">
        <f>AR80-AZ80</f>
        <v/>
      </c>
      <c r="AK80" s="1420">
        <f>AS80-BA80</f>
        <v/>
      </c>
      <c r="AL80" s="1420">
        <f>AT80-BB80</f>
        <v/>
      </c>
      <c r="AM80" s="1420">
        <f>AU80-BC80</f>
        <v/>
      </c>
      <c r="AN80" s="1420">
        <f>AV80-BD80</f>
        <v/>
      </c>
      <c r="AO80" s="1422" t="n"/>
      <c r="AP80" s="1422" t="inlineStr"/>
      <c r="AQ80" s="1422" t="n"/>
      <c r="AR80" s="1422" t="n"/>
      <c r="AS80" s="1422" t="n"/>
      <c r="AT80" s="1422" t="n"/>
      <c r="AU80" s="1422" t="n"/>
      <c r="AV80" s="1422" t="n"/>
      <c r="AW80" s="1422" t="n"/>
      <c r="AX80" s="1422" t="inlineStr"/>
      <c r="AY80" s="1422" t="n"/>
      <c r="AZ80" s="1422" t="n"/>
      <c r="BA80" s="1422" t="n"/>
      <c r="BB80" s="1422" t="n"/>
      <c r="BC80" s="1422" t="n"/>
      <c r="BD80" s="1422" t="n"/>
      <c r="BE80" s="1422" t="n"/>
      <c r="BF80" s="1422" t="inlineStr"/>
      <c r="BG80" s="1422" t="n"/>
      <c r="BH80" s="1422" t="n"/>
      <c r="BI80" s="1422" t="n"/>
      <c r="BJ80" s="1422" t="n"/>
      <c r="BK80" s="1422" t="n"/>
      <c r="BL80" s="1422" t="n"/>
      <c r="BM80" s="1422" t="n"/>
      <c r="BN80" s="1422" t="inlineStr"/>
      <c r="BO80" s="1422" t="n"/>
      <c r="BP80" s="1422" t="n"/>
      <c r="BQ80" s="1422" t="n"/>
      <c r="BR80" s="1422" t="n"/>
      <c r="BS80" s="1422" t="n"/>
      <c r="BT80" s="1422" t="n"/>
      <c r="BU80" s="1420">
        <f>BE80-BM80</f>
        <v/>
      </c>
      <c r="BV80" s="1420">
        <f>BF80-BN80</f>
        <v/>
      </c>
      <c r="BW80" s="1420">
        <f>BG80-BO80</f>
        <v/>
      </c>
      <c r="BX80" s="1420">
        <f>BH80-BP80</f>
        <v/>
      </c>
      <c r="BY80" s="1420">
        <f>BI80-BQ80</f>
        <v/>
      </c>
      <c r="BZ80" s="1420">
        <f>BJ80-BR80</f>
        <v/>
      </c>
      <c r="CA80" s="1420">
        <f>BK80-BS80</f>
        <v/>
      </c>
      <c r="CB80" s="1420">
        <f>BL80-BT80</f>
        <v/>
      </c>
      <c r="CC80" s="1420" t="n"/>
      <c r="CD80" s="1420" t="inlineStr"/>
      <c r="CE80" s="1420" t="n"/>
      <c r="CF80" s="1420" t="n"/>
      <c r="CG80" s="1420" t="n"/>
      <c r="CH80" s="1420" t="n"/>
      <c r="CI80" s="1420" t="n"/>
      <c r="CJ80" s="1420" t="n"/>
      <c r="CK80" s="1420" t="n"/>
      <c r="CL80" s="1420" t="n"/>
      <c r="CM80" s="1420" t="n"/>
      <c r="CN80" s="1420" t="n"/>
      <c r="CO80" s="1420" t="n"/>
      <c r="CP80" s="1420" t="n"/>
      <c r="CQ80" s="1420" t="n"/>
      <c r="CR80" s="1420" t="n"/>
      <c r="CS80" s="1420" t="n"/>
      <c r="CT80" s="1420" t="n"/>
      <c r="CU80" s="1420" t="n"/>
      <c r="CV80" s="1420" t="n"/>
      <c r="CW80" s="1420" t="n"/>
      <c r="CX80" s="1420" t="n"/>
      <c r="CY80" s="1420" t="n"/>
      <c r="CZ80" s="1420" t="n"/>
      <c r="DA80" s="1420" t="n"/>
      <c r="DB80" s="1420" t="n"/>
      <c r="DC80" s="1420" t="n"/>
      <c r="DD80" s="1420" t="n"/>
      <c r="DE80" s="1420" t="n"/>
      <c r="DF80" s="1420" t="n"/>
      <c r="DG80" s="1420" t="n"/>
      <c r="DH80" s="1420" t="n"/>
      <c r="DI80" s="1420" t="n"/>
      <c r="DJ80" s="1420" t="n"/>
      <c r="DK80" s="1420" t="n"/>
      <c r="DL80" s="1420" t="n"/>
      <c r="DM80" s="1420" t="n"/>
      <c r="DN80" s="1420" t="n"/>
      <c r="DO80" s="1420" t="n"/>
      <c r="DP80" s="1420" t="n"/>
    </row>
    <row r="81">
      <c r="A81" s="384" t="n"/>
      <c r="B81" s="384" t="n"/>
      <c r="C81" s="384" t="n"/>
      <c r="D81" s="384" t="n"/>
      <c r="E81" s="384" t="n"/>
      <c r="F81" s="384" t="n"/>
      <c r="G81" s="384" t="n"/>
      <c r="H81" s="384" t="n"/>
      <c r="I81" s="384" t="n"/>
      <c r="J81" s="384" t="n"/>
      <c r="K81" s="384" t="n"/>
      <c r="L81" s="384" t="n"/>
      <c r="M81" s="384" t="n"/>
      <c r="N81" s="384" t="n"/>
      <c r="O81" s="384" t="n"/>
      <c r="P81" s="384" t="n"/>
      <c r="Q81" s="384" t="n"/>
      <c r="R81" s="384" t="n"/>
      <c r="S81" s="384" t="n"/>
      <c r="T81" s="384" t="n"/>
      <c r="U81" s="384" t="n"/>
      <c r="V81" s="1426" t="inlineStr">
        <is>
          <t>成本费用合计</t>
        </is>
      </c>
      <c r="W81" s="384" t="inlineStr">
        <is>
          <t>A02801</t>
        </is>
      </c>
      <c r="X81" s="32">
        <f>IF(_epmOfflineCondition_,"A02801",EPMOlapMemberO(W81,"[C_ACCOUNT].[PARENTH1].[A02801]","A02801 -   成本费用合计","","000"))</f>
        <v/>
      </c>
      <c r="Y81" s="1420">
        <f>Y55+Y74+Y79+Y80</f>
        <v/>
      </c>
      <c r="Z81" s="1420">
        <f>Z55+Z74+Z79+Z80</f>
        <v/>
      </c>
      <c r="AA81" s="1420">
        <f>AA55+AA74+AA79+AA80</f>
        <v/>
      </c>
      <c r="AB81" s="1420">
        <f>AB55+AB74+AB79+AB80</f>
        <v/>
      </c>
      <c r="AC81" s="1420">
        <f>IFERROR(AB81/AA81,0)</f>
        <v/>
      </c>
      <c r="AD81" s="1420">
        <f>AD55+AD74+AD79+AD80</f>
        <v/>
      </c>
      <c r="AE81" s="1420">
        <f>AE55+AE74+AE79+AE80</f>
        <v/>
      </c>
      <c r="AF81" s="1420">
        <f>IFERROR(AE81/AD81,0)</f>
        <v/>
      </c>
      <c r="AG81" s="1420">
        <f>AG55+AG74+AG79+AG80</f>
        <v/>
      </c>
      <c r="AH81" s="1420">
        <f>AH55+AH74+AH79+AH80</f>
        <v/>
      </c>
      <c r="AI81" s="1420">
        <f>AI55+AI74+AI79+AI80</f>
        <v/>
      </c>
      <c r="AJ81" s="1420">
        <f>AJ55+AJ74+AJ79+AJ80</f>
        <v/>
      </c>
      <c r="AK81" s="1420">
        <f>AK55+AK74+AK79+AK80</f>
        <v/>
      </c>
      <c r="AL81" s="1420">
        <f>AL55+AL74+AL79+AL80</f>
        <v/>
      </c>
      <c r="AM81" s="1420">
        <f>AM55+AM74+AM79+AM80</f>
        <v/>
      </c>
      <c r="AN81" s="1420">
        <f>AN55+AN74+AN79+AN80</f>
        <v/>
      </c>
      <c r="AO81" s="1420">
        <f>AO55+AO74+AO79+AO80</f>
        <v/>
      </c>
      <c r="AP81" s="1420">
        <f>AP55+AP74+AP79+AP80</f>
        <v/>
      </c>
      <c r="AQ81" s="1420">
        <f>AQ55+AQ74+AQ79+AQ80</f>
        <v/>
      </c>
      <c r="AR81" s="1420">
        <f>AR55+AR74+AR79+AR80</f>
        <v/>
      </c>
      <c r="AS81" s="1420">
        <f>AS55+AS74+AS79+AS80</f>
        <v/>
      </c>
      <c r="AT81" s="1420">
        <f>AT55+AT74+AT79+AT80</f>
        <v/>
      </c>
      <c r="AU81" s="1420">
        <f>AU55+AU74+AU79+AU80</f>
        <v/>
      </c>
      <c r="AV81" s="1420">
        <f>AV55+AV74+AV79+AV80</f>
        <v/>
      </c>
      <c r="AW81" s="1420">
        <f>AW55+AW74+AW79+AW80</f>
        <v/>
      </c>
      <c r="AX81" s="1420">
        <f>AX55+AX74+AX79+AX80</f>
        <v/>
      </c>
      <c r="AY81" s="1420">
        <f>AY55+AY74+AY79+AY80</f>
        <v/>
      </c>
      <c r="AZ81" s="1420">
        <f>AZ55+AZ74+AZ79+AZ80</f>
        <v/>
      </c>
      <c r="BA81" s="1420">
        <f>BA55+BA74+BA79+BA80</f>
        <v/>
      </c>
      <c r="BB81" s="1420">
        <f>BB55+BB74+BB79+BB80</f>
        <v/>
      </c>
      <c r="BC81" s="1420">
        <f>BC55+BC74+BC79+BC80</f>
        <v/>
      </c>
      <c r="BD81" s="1420">
        <f>BD55+BD74+BD79+BD80</f>
        <v/>
      </c>
      <c r="BE81" s="1420">
        <f>BE55+BE74+BE79+BE80</f>
        <v/>
      </c>
      <c r="BF81" s="1420">
        <f>BF55+BF74+BF79+BF80</f>
        <v/>
      </c>
      <c r="BG81" s="1420">
        <f>BG55+BG74+BG79+BG80</f>
        <v/>
      </c>
      <c r="BH81" s="1420">
        <f>BH55+BH74+BH79+BH80</f>
        <v/>
      </c>
      <c r="BI81" s="1420">
        <f>BI55+BI74+BI79+BI80</f>
        <v/>
      </c>
      <c r="BJ81" s="1420">
        <f>BJ55+BJ74+BJ79+BJ80</f>
        <v/>
      </c>
      <c r="BK81" s="1420">
        <f>BK55+BK74+BK79+BK80</f>
        <v/>
      </c>
      <c r="BL81" s="1420">
        <f>BL55+BL74+BL79+BL80</f>
        <v/>
      </c>
      <c r="BM81" s="1420">
        <f>BM55+BM74+BM79+BM80</f>
        <v/>
      </c>
      <c r="BN81" s="1420">
        <f>BN55+BN74+BN79+BN80</f>
        <v/>
      </c>
      <c r="BO81" s="1420">
        <f>BO55+BO74+BO79+BO80</f>
        <v/>
      </c>
      <c r="BP81" s="1420">
        <f>BP55+BP74+BP79+BP80</f>
        <v/>
      </c>
      <c r="BQ81" s="1420">
        <f>BQ55+BQ74+BQ79+BQ80</f>
        <v/>
      </c>
      <c r="BR81" s="1420">
        <f>BR55+BR74+BR79+BR80</f>
        <v/>
      </c>
      <c r="BS81" s="1420">
        <f>BS55+BS74+BS79+BS80</f>
        <v/>
      </c>
      <c r="BT81" s="1420">
        <f>BT55+BT74+BT79+BT80</f>
        <v/>
      </c>
      <c r="BU81" s="1420">
        <f>BE81-BM81</f>
        <v/>
      </c>
      <c r="BV81" s="1420">
        <f>BF81-BN81</f>
        <v/>
      </c>
      <c r="BW81" s="1420">
        <f>BG81-BO81</f>
        <v/>
      </c>
      <c r="BX81" s="1420">
        <f>BH81-BP81</f>
        <v/>
      </c>
      <c r="BY81" s="1420">
        <f>BI81-BQ81</f>
        <v/>
      </c>
      <c r="BZ81" s="1420">
        <f>BJ81-BR81</f>
        <v/>
      </c>
      <c r="CA81" s="1420">
        <f>BK81-BS81</f>
        <v/>
      </c>
      <c r="CB81" s="1420">
        <f>BL81-BT81</f>
        <v/>
      </c>
      <c r="CC81" s="1420">
        <f>CC55+CC74+CC79+CC80</f>
        <v/>
      </c>
      <c r="CD81" s="1420">
        <f>CD55+CD74+CD79+CD80</f>
        <v/>
      </c>
      <c r="CE81" s="1420">
        <f>CE55+CE74+CE79+CE80</f>
        <v/>
      </c>
      <c r="CF81" s="1420">
        <f>CF55+CF74+CF79+CF80</f>
        <v/>
      </c>
      <c r="CG81" s="1420">
        <f>CG55+CG74+CG79+CG80</f>
        <v/>
      </c>
      <c r="CH81" s="1420">
        <f>CH55+CH74+CH79+CH80</f>
        <v/>
      </c>
      <c r="CI81" s="1420">
        <f>CI55+CI74+CI79+CI80</f>
        <v/>
      </c>
      <c r="CJ81" s="1420">
        <f>CJ55+CJ74+CJ79+CJ80</f>
        <v/>
      </c>
      <c r="CK81" s="1420" t="n"/>
      <c r="CL81" s="1420" t="n"/>
      <c r="CM81" s="1420" t="n"/>
      <c r="CN81" s="1420" t="n"/>
      <c r="CO81" s="1420" t="n"/>
      <c r="CP81" s="1420" t="n"/>
      <c r="CQ81" s="1420" t="n"/>
      <c r="CR81" s="1420" t="n"/>
      <c r="CS81" s="1420" t="n"/>
      <c r="CT81" s="1420" t="n"/>
      <c r="CU81" s="1420" t="n"/>
      <c r="CV81" s="1420" t="n"/>
      <c r="CW81" s="1420" t="n"/>
      <c r="CX81" s="1420" t="n"/>
      <c r="CY81" s="1420" t="n"/>
      <c r="CZ81" s="1420" t="n"/>
      <c r="DA81" s="1420" t="n"/>
      <c r="DB81" s="1420" t="n"/>
      <c r="DC81" s="1420" t="n"/>
      <c r="DD81" s="1420" t="n"/>
      <c r="DE81" s="1420" t="n"/>
      <c r="DF81" s="1420" t="n"/>
      <c r="DG81" s="1420" t="n"/>
      <c r="DH81" s="1420" t="n"/>
      <c r="DI81" s="1420" t="n"/>
      <c r="DJ81" s="1420" t="inlineStr"/>
      <c r="DK81" s="1420" t="n"/>
      <c r="DL81" s="1420" t="n"/>
      <c r="DM81" s="1420" t="n"/>
      <c r="DN81" s="1420" t="n"/>
      <c r="DO81" s="1420" t="n"/>
      <c r="DP81" s="1420" t="n"/>
    </row>
    <row r="82">
      <c r="A82" s="384" t="n"/>
      <c r="B82" s="384" t="n"/>
      <c r="C82" s="384" t="n"/>
      <c r="D82" s="384" t="n"/>
      <c r="E82" s="384" t="n"/>
      <c r="F82" s="384" t="n"/>
      <c r="G82" s="384" t="n"/>
      <c r="H82" s="384" t="n"/>
      <c r="I82" s="384" t="n"/>
      <c r="J82" s="384" t="n"/>
      <c r="K82" s="384" t="n"/>
      <c r="L82" s="384" t="n"/>
      <c r="M82" s="384" t="n"/>
      <c r="N82" s="384" t="n"/>
      <c r="O82" s="384" t="n"/>
      <c r="P82" s="384" t="n"/>
      <c r="Q82" s="384" t="n"/>
      <c r="R82" s="384" t="n"/>
      <c r="S82" s="384" t="n"/>
      <c r="T82" s="384" t="n"/>
      <c r="U82" s="384" t="n"/>
      <c r="V82" s="1424" t="inlineStr">
        <is>
          <t>五、产品产量（销售量）</t>
        </is>
      </c>
      <c r="W82" s="384" t="inlineStr">
        <is>
          <t>A02803</t>
        </is>
      </c>
      <c r="X82" s="32">
        <f>IF(_epmOfflineCondition_,"A02803",EPMOlapMemberO(W82,"[C_ACCOUNT].[PARENTH1].[A02803]","A02803 -   五、产品产量（销售量）","","000"))</f>
        <v/>
      </c>
      <c r="Y82" s="1420">
        <f>SUM(AG82:AN82)</f>
        <v/>
      </c>
      <c r="Z82" s="1420">
        <f>SUM(AO82:AV82)</f>
        <v/>
      </c>
      <c r="AA82" s="1420">
        <f>SUM(BU82:CB82)</f>
        <v/>
      </c>
      <c r="AB82" s="1420">
        <f>Y82-AA82</f>
        <v/>
      </c>
      <c r="AC82" s="1420">
        <f>IFERROR(AB82/AA82,0)</f>
        <v/>
      </c>
      <c r="AD82" s="1420">
        <f>SUM(CC82:CJ82)</f>
        <v/>
      </c>
      <c r="AE82" s="1420">
        <f>Z82-AD82</f>
        <v/>
      </c>
      <c r="AF82" s="1420">
        <f>IFERROR(AE82/AD82,0)</f>
        <v/>
      </c>
      <c r="AG82" s="1420">
        <f>AO82-AW82</f>
        <v/>
      </c>
      <c r="AH82" s="1420">
        <f>AP82-AX82</f>
        <v/>
      </c>
      <c r="AI82" s="1420">
        <f>AQ82-AY82</f>
        <v/>
      </c>
      <c r="AJ82" s="1420">
        <f>AR82-AZ82</f>
        <v/>
      </c>
      <c r="AK82" s="1420">
        <f>AS82-BA82</f>
        <v/>
      </c>
      <c r="AL82" s="1420">
        <f>AH107+AI107-AJ107-AK107</f>
        <v/>
      </c>
      <c r="AM82" s="1420">
        <f>AU82-BC82</f>
        <v/>
      </c>
      <c r="AN82" s="1420">
        <f>AV82-BD82</f>
        <v/>
      </c>
      <c r="AO82" s="1420">
        <f>AO106</f>
        <v/>
      </c>
      <c r="AP82" s="1420">
        <f>AP106</f>
        <v/>
      </c>
      <c r="AQ82" s="1420">
        <f>AQ106</f>
        <v/>
      </c>
      <c r="AR82" s="1420">
        <f>AR106</f>
        <v/>
      </c>
      <c r="AS82" s="1420">
        <f>AS106</f>
        <v/>
      </c>
      <c r="AT82" s="1420">
        <f>AH107+AI107</f>
        <v/>
      </c>
      <c r="AU82" s="1420">
        <f>AU106</f>
        <v/>
      </c>
      <c r="AV82" s="1420">
        <f>AV106</f>
        <v/>
      </c>
      <c r="AW82" s="1420">
        <f>AW106</f>
        <v/>
      </c>
      <c r="AX82" s="1420">
        <f>AX106</f>
        <v/>
      </c>
      <c r="AY82" s="1420">
        <f>AY106</f>
        <v/>
      </c>
      <c r="AZ82" s="1420">
        <f>AZ106</f>
        <v/>
      </c>
      <c r="BA82" s="1420">
        <f>BA106</f>
        <v/>
      </c>
      <c r="BB82" s="1420">
        <f>AJ107+AK107</f>
        <v/>
      </c>
      <c r="BC82" s="1420">
        <f>BC106</f>
        <v/>
      </c>
      <c r="BD82" s="1420">
        <f>BD106</f>
        <v/>
      </c>
      <c r="BE82" s="1420">
        <f>BE106</f>
        <v/>
      </c>
      <c r="BF82" s="1420">
        <f>BF106</f>
        <v/>
      </c>
      <c r="BG82" s="1420">
        <f>BG106</f>
        <v/>
      </c>
      <c r="BH82" s="1420">
        <f>BH106</f>
        <v/>
      </c>
      <c r="BI82" s="1420">
        <f>BI106</f>
        <v/>
      </c>
      <c r="BJ82" s="1420">
        <f>AR107+AS107</f>
        <v/>
      </c>
      <c r="BK82" s="1420">
        <f>BK106</f>
        <v/>
      </c>
      <c r="BL82" s="1420">
        <f>BL106</f>
        <v/>
      </c>
      <c r="BM82" s="1420">
        <f>BM106</f>
        <v/>
      </c>
      <c r="BN82" s="1420">
        <f>BN106</f>
        <v/>
      </c>
      <c r="BO82" s="1420">
        <f>BO106</f>
        <v/>
      </c>
      <c r="BP82" s="1420">
        <f>BP106</f>
        <v/>
      </c>
      <c r="BQ82" s="1420">
        <f>BQ106</f>
        <v/>
      </c>
      <c r="BR82" s="1420">
        <f>AL107+AM107</f>
        <v/>
      </c>
      <c r="BS82" s="1420">
        <f>BS106</f>
        <v/>
      </c>
      <c r="BT82" s="1420">
        <f>BT106</f>
        <v/>
      </c>
      <c r="BU82" s="1420">
        <f>BE82-BM82</f>
        <v/>
      </c>
      <c r="BV82" s="1420">
        <f>BF82-BN82</f>
        <v/>
      </c>
      <c r="BW82" s="1420">
        <f>BG82-BO82</f>
        <v/>
      </c>
      <c r="BX82" s="1420">
        <f>BH82-BP82</f>
        <v/>
      </c>
      <c r="BY82" s="1420">
        <f>BI82-BQ82</f>
        <v/>
      </c>
      <c r="BZ82" s="1420">
        <f>BJ82-BR82</f>
        <v/>
      </c>
      <c r="CA82" s="1420">
        <f>BK82-BS82</f>
        <v/>
      </c>
      <c r="CB82" s="1420">
        <f>BL82-BT82</f>
        <v/>
      </c>
      <c r="CC82" s="1420">
        <f>BM82-BU82</f>
        <v/>
      </c>
      <c r="CD82" s="1420">
        <f>BN82-BV82</f>
        <v/>
      </c>
      <c r="CE82" s="1420">
        <f>BO82-BW82</f>
        <v/>
      </c>
      <c r="CF82" s="1420">
        <f>BP82-BX82</f>
        <v/>
      </c>
      <c r="CG82" s="1420">
        <f>BQ82-BY82</f>
        <v/>
      </c>
      <c r="CH82" s="1420">
        <f>AF107+AG107</f>
        <v/>
      </c>
      <c r="CI82" s="1420">
        <f>BS82-CA82</f>
        <v/>
      </c>
      <c r="CJ82" s="1420">
        <f>BT82-CB82</f>
        <v/>
      </c>
      <c r="CK82" s="1420" t="n"/>
      <c r="CL82" s="1420" t="n"/>
      <c r="CM82" s="1420" t="n"/>
      <c r="CN82" s="1420" t="n"/>
      <c r="CO82" s="1420" t="n"/>
      <c r="CP82" s="1420" t="n"/>
      <c r="CQ82" s="1420" t="n"/>
      <c r="CR82" s="1420" t="n"/>
      <c r="CS82" s="1420" t="n"/>
      <c r="CT82" s="1420" t="n"/>
      <c r="CU82" s="1420" t="n"/>
      <c r="CV82" s="1420" t="n"/>
      <c r="CW82" s="1420" t="n"/>
      <c r="CX82" s="1420" t="n"/>
      <c r="CY82" s="1420" t="n"/>
      <c r="CZ82" s="1420" t="n"/>
      <c r="DA82" s="1420" t="n"/>
      <c r="DB82" s="1420" t="n"/>
      <c r="DC82" s="1420" t="n"/>
      <c r="DD82" s="1420" t="n"/>
      <c r="DE82" s="1420" t="n"/>
      <c r="DF82" s="1420" t="n"/>
      <c r="DG82" s="1420" t="n"/>
      <c r="DH82" s="1420" t="n"/>
      <c r="DI82" s="1420" t="n"/>
      <c r="DJ82" s="1420" t="n"/>
      <c r="DK82" s="1420" t="n"/>
      <c r="DL82" s="1420" t="n"/>
      <c r="DM82" s="1420" t="n"/>
      <c r="DN82" s="1420" t="n"/>
      <c r="DO82" s="1420" t="n"/>
      <c r="DP82" s="1420" t="n"/>
    </row>
    <row r="83">
      <c r="A83" s="384" t="n"/>
      <c r="B83" s="384" t="n"/>
      <c r="C83" s="384" t="n"/>
      <c r="D83" s="384" t="n"/>
      <c r="E83" s="384" t="n"/>
      <c r="F83" s="384" t="n"/>
      <c r="G83" s="384" t="n"/>
      <c r="H83" s="384" t="n"/>
      <c r="I83" s="384" t="n"/>
      <c r="J83" s="384" t="n"/>
      <c r="K83" s="384" t="n"/>
      <c r="L83" s="384" t="n"/>
      <c r="M83" s="384" t="n"/>
      <c r="N83" s="384" t="n"/>
      <c r="O83" s="384" t="n"/>
      <c r="P83" s="384" t="n"/>
      <c r="Q83" s="384" t="n"/>
      <c r="R83" s="384" t="n"/>
      <c r="S83" s="384" t="n"/>
      <c r="T83" s="384" t="n"/>
      <c r="U83" s="384" t="n"/>
      <c r="V83" s="1424" t="inlineStr">
        <is>
          <t>六、单位产品成本</t>
        </is>
      </c>
      <c r="W83" s="384" t="inlineStr">
        <is>
          <t>A02804</t>
        </is>
      </c>
      <c r="X83" s="32">
        <f>IF(_epmOfflineCondition_,"A02804",EPMOlapMemberO(W83,"[C_ACCOUNT].[PARENTH1].[A02804]","A02804 -   六、单位产品成本","","000"))</f>
        <v/>
      </c>
      <c r="Y83" s="1420">
        <f>"——"</f>
        <v/>
      </c>
      <c r="Z83" s="1420">
        <f>"——"</f>
        <v/>
      </c>
      <c r="AA83" s="1420">
        <f>"——"</f>
        <v/>
      </c>
      <c r="AB83" s="1420">
        <f>"——"</f>
        <v/>
      </c>
      <c r="AC83" s="1420">
        <f>"——"</f>
        <v/>
      </c>
      <c r="AD83" s="1420">
        <f>"——"</f>
        <v/>
      </c>
      <c r="AE83" s="1420">
        <f>"——"</f>
        <v/>
      </c>
      <c r="AF83" s="1420">
        <f>"——"</f>
        <v/>
      </c>
      <c r="AG83" s="1420">
        <f>IFERROR(AG55/AG82,0)</f>
        <v/>
      </c>
      <c r="AH83" s="1420">
        <f>IFERROR(AH55/AH82,0)</f>
        <v/>
      </c>
      <c r="AI83" s="1420">
        <f>IFERROR(AI55/AI82,0)</f>
        <v/>
      </c>
      <c r="AJ83" s="1420">
        <f>IFERROR(AJ55/AJ82,0)</f>
        <v/>
      </c>
      <c r="AK83" s="1420">
        <f>IFERROR(AK55/AK82,0)</f>
        <v/>
      </c>
      <c r="AL83" s="1420">
        <f>IFERROR(AL55/AL82,0)</f>
        <v/>
      </c>
      <c r="AM83" s="1420">
        <f>IFERROR(AM55/AM82,0)</f>
        <v/>
      </c>
      <c r="AN83" s="1420">
        <f>IFERROR(AN55/AN82,0)</f>
        <v/>
      </c>
      <c r="AO83" s="1420">
        <f>IFERROR(AO55/AO82,0)</f>
        <v/>
      </c>
      <c r="AP83" s="1420">
        <f>IFERROR(AP55/AP82,0)</f>
        <v/>
      </c>
      <c r="AQ83" s="1420">
        <f>IFERROR(AQ55/AQ82,0)</f>
        <v/>
      </c>
      <c r="AR83" s="1420">
        <f>IFERROR(AR55/AR82,0)</f>
        <v/>
      </c>
      <c r="AS83" s="1420">
        <f>IFERROR(AS55/AS82,0)</f>
        <v/>
      </c>
      <c r="AT83" s="1420">
        <f>IFERROR(AT55/AT82,0)</f>
        <v/>
      </c>
      <c r="AU83" s="1420">
        <f>IFERROR(AU55/AU82,0)</f>
        <v/>
      </c>
      <c r="AV83" s="1420">
        <f>IFERROR(AV55/AV82,0)</f>
        <v/>
      </c>
      <c r="AW83" s="1420">
        <f>IFERROR(AW55/AW82,0)</f>
        <v/>
      </c>
      <c r="AX83" s="1420">
        <f>IFERROR(AX55/AX82,0)</f>
        <v/>
      </c>
      <c r="AY83" s="1420">
        <f>IFERROR(AY55/AY82,0)</f>
        <v/>
      </c>
      <c r="AZ83" s="1420">
        <f>IFERROR(AZ55/AZ82,0)</f>
        <v/>
      </c>
      <c r="BA83" s="1420">
        <f>IFERROR(BA55/BA82,0)</f>
        <v/>
      </c>
      <c r="BB83" s="1420">
        <f>IFERROR(BB55/BB82,0)</f>
        <v/>
      </c>
      <c r="BC83" s="1420">
        <f>IFERROR(BC55/BC82,0)</f>
        <v/>
      </c>
      <c r="BD83" s="1420">
        <f>IFERROR(BD55/BD82,0)</f>
        <v/>
      </c>
      <c r="BE83" s="1420">
        <f>IFERROR(BE55/BE82,0)</f>
        <v/>
      </c>
      <c r="BF83" s="1420">
        <f>IFERROR(BF55/BF82,0)</f>
        <v/>
      </c>
      <c r="BG83" s="1420">
        <f>IFERROR(BG55/BG82,0)</f>
        <v/>
      </c>
      <c r="BH83" s="1420">
        <f>IFERROR(BH55/BH82,0)</f>
        <v/>
      </c>
      <c r="BI83" s="1420">
        <f>IFERROR(BI55/BI82,0)</f>
        <v/>
      </c>
      <c r="BJ83" s="1420">
        <f>IFERROR(BJ55/BJ82,0)</f>
        <v/>
      </c>
      <c r="BK83" s="1420">
        <f>IFERROR(BK55/BK82,0)</f>
        <v/>
      </c>
      <c r="BL83" s="1420">
        <f>IFERROR(BL55/BL82,0)</f>
        <v/>
      </c>
      <c r="BM83" s="1420">
        <f>IFERROR(BM55/BM82,0)</f>
        <v/>
      </c>
      <c r="BN83" s="1420">
        <f>IFERROR(BN55/BN82,0)</f>
        <v/>
      </c>
      <c r="BO83" s="1420">
        <f>IFERROR(BO55/BO82,0)</f>
        <v/>
      </c>
      <c r="BP83" s="1420">
        <f>IFERROR(BP55/BP82,0)</f>
        <v/>
      </c>
      <c r="BQ83" s="1420">
        <f>IFERROR(BQ55/BQ82,0)</f>
        <v/>
      </c>
      <c r="BR83" s="1420">
        <f>IFERROR(BR55/BR82,0)</f>
        <v/>
      </c>
      <c r="BS83" s="1420">
        <f>IFERROR(BS55/BS82,0)</f>
        <v/>
      </c>
      <c r="BT83" s="1420">
        <f>IFERROR(BT55/BT82,0)</f>
        <v/>
      </c>
      <c r="BU83" s="1420">
        <f>IFERROR(BU55/BU82,0)</f>
        <v/>
      </c>
      <c r="BV83" s="1420">
        <f>IFERROR(BV55/BV82,0)</f>
        <v/>
      </c>
      <c r="BW83" s="1420">
        <f>IFERROR(BW55/BW82,0)</f>
        <v/>
      </c>
      <c r="BX83" s="1420">
        <f>IFERROR(BX55/BX82,0)</f>
        <v/>
      </c>
      <c r="BY83" s="1420">
        <f>IFERROR(BY55/BY82,0)</f>
        <v/>
      </c>
      <c r="BZ83" s="1420">
        <f>IFERROR(BZ55/BZ82,0)</f>
        <v/>
      </c>
      <c r="CA83" s="1420">
        <f>IFERROR(CA55/CA82,0)</f>
        <v/>
      </c>
      <c r="CB83" s="1420">
        <f>IFERROR(CB55/CB82,0)</f>
        <v/>
      </c>
      <c r="CC83" s="1420">
        <f>IFERROR(CC55/CC82,0)</f>
        <v/>
      </c>
      <c r="CD83" s="1420">
        <f>IFERROR(CD55/CD82,0)</f>
        <v/>
      </c>
      <c r="CE83" s="1420">
        <f>IFERROR(CE55/CE82,0)</f>
        <v/>
      </c>
      <c r="CF83" s="1420">
        <f>IFERROR(CF55/CF82,0)</f>
        <v/>
      </c>
      <c r="CG83" s="1420">
        <f>IFERROR(CG55/CG82,0)</f>
        <v/>
      </c>
      <c r="CH83" s="1420">
        <f>IFERROR(CH55/CH82,0)</f>
        <v/>
      </c>
      <c r="CI83" s="1420">
        <f>IFERROR(CI55/CI82,0)</f>
        <v/>
      </c>
      <c r="CJ83" s="1420">
        <f>IFERROR(CJ55/CJ82,0)</f>
        <v/>
      </c>
      <c r="CK83" s="1420">
        <f>"——"</f>
        <v/>
      </c>
      <c r="CL83" s="1420">
        <f>"——"</f>
        <v/>
      </c>
      <c r="CM83" s="1420">
        <f>"——"</f>
        <v/>
      </c>
      <c r="CN83" s="1420">
        <f>"——"</f>
        <v/>
      </c>
      <c r="CO83" s="1420">
        <f>"——"</f>
        <v/>
      </c>
      <c r="CP83" s="1420">
        <f>"——"</f>
        <v/>
      </c>
      <c r="CQ83" s="1420">
        <f>"——"</f>
        <v/>
      </c>
      <c r="CR83" s="1420">
        <f>"——"</f>
        <v/>
      </c>
      <c r="CS83" s="1420">
        <f>"——"</f>
        <v/>
      </c>
      <c r="CT83" s="1420">
        <f>"——"</f>
        <v/>
      </c>
      <c r="CU83" s="1420">
        <f>"——"</f>
        <v/>
      </c>
      <c r="CV83" s="1420">
        <f>"——"</f>
        <v/>
      </c>
      <c r="CW83" s="1420">
        <f>"——"</f>
        <v/>
      </c>
      <c r="CX83" s="1420">
        <f>"——"</f>
        <v/>
      </c>
      <c r="CY83" s="1420">
        <f>"——"</f>
        <v/>
      </c>
      <c r="CZ83" s="1420">
        <f>"——"</f>
        <v/>
      </c>
      <c r="DA83" s="1420">
        <f>"——"</f>
        <v/>
      </c>
      <c r="DB83" s="1420">
        <f>"——"</f>
        <v/>
      </c>
      <c r="DC83" s="1420">
        <f>"——"</f>
        <v/>
      </c>
      <c r="DD83" s="1420">
        <f>"——"</f>
        <v/>
      </c>
      <c r="DE83" s="1420">
        <f>"——"</f>
        <v/>
      </c>
      <c r="DF83" s="1420">
        <f>"——"</f>
        <v/>
      </c>
      <c r="DG83" s="1420">
        <f>"——"</f>
        <v/>
      </c>
      <c r="DH83" s="1420">
        <f>"——"</f>
        <v/>
      </c>
      <c r="DI83" s="1420">
        <f>"——"</f>
        <v/>
      </c>
      <c r="DJ83" s="1420">
        <f>"——"</f>
        <v/>
      </c>
      <c r="DK83" s="1420">
        <f>"——"</f>
        <v/>
      </c>
      <c r="DL83" s="1420">
        <f>"——"</f>
        <v/>
      </c>
      <c r="DM83" s="1420">
        <f>"——"</f>
        <v/>
      </c>
      <c r="DN83" s="1420">
        <f>"——"</f>
        <v/>
      </c>
      <c r="DO83" s="1420">
        <f>"——"</f>
        <v/>
      </c>
      <c r="DP83" s="1420">
        <f>"——"</f>
        <v/>
      </c>
    </row>
    <row r="84">
      <c r="A84" s="384" t="n"/>
      <c r="B84" s="384" t="n"/>
      <c r="C84" s="384" t="n"/>
      <c r="D84" s="384" t="n"/>
      <c r="E84" s="384" t="n"/>
      <c r="F84" s="384" t="n"/>
      <c r="G84" s="384" t="n"/>
      <c r="H84" s="384" t="n"/>
      <c r="I84" s="384" t="n"/>
      <c r="J84" s="384" t="n"/>
      <c r="K84" s="384" t="n"/>
      <c r="L84" s="384" t="n"/>
      <c r="M84" s="384" t="n"/>
      <c r="N84" s="384" t="n"/>
      <c r="O84" s="384" t="n"/>
      <c r="P84" s="384" t="n"/>
      <c r="Q84" s="384" t="n"/>
      <c r="R84" s="384" t="n"/>
      <c r="S84" s="384" t="n"/>
      <c r="T84" s="384" t="n"/>
      <c r="U84" s="384" t="n"/>
      <c r="V84" s="1424" t="inlineStr">
        <is>
          <t>七、单位燃料成本</t>
        </is>
      </c>
      <c r="W84" s="384" t="inlineStr">
        <is>
          <t>A02805</t>
        </is>
      </c>
      <c r="X84" s="32">
        <f>IF(_epmOfflineCondition_,"A02805",EPMOlapMemberO(W84,"[C_ACCOUNT].[PARENTH1].[A02805]","A02805 -   七、单位燃料成本","","000"))</f>
        <v/>
      </c>
      <c r="Y84" s="1420">
        <f>"——"</f>
        <v/>
      </c>
      <c r="Z84" s="1420">
        <f>"——"</f>
        <v/>
      </c>
      <c r="AA84" s="1420">
        <f>"——"</f>
        <v/>
      </c>
      <c r="AB84" s="1420">
        <f>"——"</f>
        <v/>
      </c>
      <c r="AC84" s="1420">
        <f>"——"</f>
        <v/>
      </c>
      <c r="AD84" s="1420">
        <f>"——"</f>
        <v/>
      </c>
      <c r="AE84" s="1420">
        <f>"——"</f>
        <v/>
      </c>
      <c r="AF84" s="1420">
        <f>"——"</f>
        <v/>
      </c>
      <c r="AG84" s="1420">
        <f>IFERROR(AG57/AG82,0)</f>
        <v/>
      </c>
      <c r="AH84" s="1420">
        <f>IFERROR(AH57/AH82,0)</f>
        <v/>
      </c>
      <c r="AI84" s="1420">
        <f>IFERROR(AI57/AI82,0)</f>
        <v/>
      </c>
      <c r="AJ84" s="1420">
        <f>IFERROR(AJ57/AJ82,0)</f>
        <v/>
      </c>
      <c r="AK84" s="1420">
        <f>IFERROR(AK57/AK82,0)</f>
        <v/>
      </c>
      <c r="AL84" s="1420">
        <f>IFERROR(AL57/AL82,0)</f>
        <v/>
      </c>
      <c r="AM84" s="1420">
        <f>IFERROR(AM57/AM82,0)</f>
        <v/>
      </c>
      <c r="AN84" s="1420">
        <f>IFERROR(AN57/AN82,0)</f>
        <v/>
      </c>
      <c r="AO84" s="1420">
        <f>IFERROR(AO57/AO82,0)</f>
        <v/>
      </c>
      <c r="AP84" s="1420">
        <f>IFERROR(AP57/AP82,0)</f>
        <v/>
      </c>
      <c r="AQ84" s="1420">
        <f>IFERROR(AQ57/AQ82,0)</f>
        <v/>
      </c>
      <c r="AR84" s="1420">
        <f>IFERROR(AR57/AR82,0)</f>
        <v/>
      </c>
      <c r="AS84" s="1420">
        <f>IFERROR(AS57/AS82,0)</f>
        <v/>
      </c>
      <c r="AT84" s="1420">
        <f>IFERROR(AT57/AT82,0)</f>
        <v/>
      </c>
      <c r="AU84" s="1420">
        <f>IFERROR(AU57/AU82,0)</f>
        <v/>
      </c>
      <c r="AV84" s="1420">
        <f>IFERROR(AV57/AV82,0)</f>
        <v/>
      </c>
      <c r="AW84" s="1420">
        <f>IFERROR(AW57/AW82,0)</f>
        <v/>
      </c>
      <c r="AX84" s="1420">
        <f>IFERROR(AX57/AX82,0)</f>
        <v/>
      </c>
      <c r="AY84" s="1420">
        <f>IFERROR(AY57/AY82,0)</f>
        <v/>
      </c>
      <c r="AZ84" s="1420">
        <f>IFERROR(AZ57/AZ82,0)</f>
        <v/>
      </c>
      <c r="BA84" s="1420">
        <f>IFERROR(BA57/BA82,0)</f>
        <v/>
      </c>
      <c r="BB84" s="1420">
        <f>IFERROR(BB57/BB82,0)</f>
        <v/>
      </c>
      <c r="BC84" s="1420">
        <f>IFERROR(BC57/BC82,0)</f>
        <v/>
      </c>
      <c r="BD84" s="1420">
        <f>IFERROR(BD57/BD82,0)</f>
        <v/>
      </c>
      <c r="BE84" s="1420">
        <f>IFERROR(BE57/BE82,0)</f>
        <v/>
      </c>
      <c r="BF84" s="1420">
        <f>IFERROR(BF57/BF82,0)</f>
        <v/>
      </c>
      <c r="BG84" s="1420">
        <f>IFERROR(BG57/BG82,0)</f>
        <v/>
      </c>
      <c r="BH84" s="1420">
        <f>IFERROR(BH57/BH82,0)</f>
        <v/>
      </c>
      <c r="BI84" s="1420">
        <f>IFERROR(BI57/BI82,0)</f>
        <v/>
      </c>
      <c r="BJ84" s="1420">
        <f>IFERROR(BJ57/BJ82,0)</f>
        <v/>
      </c>
      <c r="BK84" s="1420">
        <f>IFERROR(BK57/BK82,0)</f>
        <v/>
      </c>
      <c r="BL84" s="1420">
        <f>IFERROR(BL57/BL82,0)</f>
        <v/>
      </c>
      <c r="BM84" s="1420">
        <f>IFERROR(BM57/BM82,0)</f>
        <v/>
      </c>
      <c r="BN84" s="1420">
        <f>IFERROR(BN57/BN82,0)</f>
        <v/>
      </c>
      <c r="BO84" s="1420">
        <f>IFERROR(BO57/BO82,0)</f>
        <v/>
      </c>
      <c r="BP84" s="1420">
        <f>IFERROR(BP57/BP82,0)</f>
        <v/>
      </c>
      <c r="BQ84" s="1420">
        <f>IFERROR(BQ57/BQ82,0)</f>
        <v/>
      </c>
      <c r="BR84" s="1420">
        <f>IFERROR(BR57/BR82,0)</f>
        <v/>
      </c>
      <c r="BS84" s="1420">
        <f>IFERROR(BS57/BS82,0)</f>
        <v/>
      </c>
      <c r="BT84" s="1420">
        <f>IFERROR(BT57/BT82,0)</f>
        <v/>
      </c>
      <c r="BU84" s="1420">
        <f>IFERROR(BU57/BU82,0)</f>
        <v/>
      </c>
      <c r="BV84" s="1420">
        <f>IFERROR(BV57/BV82,0)</f>
        <v/>
      </c>
      <c r="BW84" s="1420">
        <f>IFERROR(BW57/BW82,0)</f>
        <v/>
      </c>
      <c r="BX84" s="1420">
        <f>IFERROR(BX57/BX82,0)</f>
        <v/>
      </c>
      <c r="BY84" s="1420">
        <f>IFERROR(BY57/BY82,0)</f>
        <v/>
      </c>
      <c r="BZ84" s="1420">
        <f>IFERROR(BZ57/BZ82,0)</f>
        <v/>
      </c>
      <c r="CA84" s="1420">
        <f>IFERROR(CA57/CA82,0)</f>
        <v/>
      </c>
      <c r="CB84" s="1420">
        <f>IFERROR(CB57/CB82,0)</f>
        <v/>
      </c>
      <c r="CC84" s="1420">
        <f>IFERROR(CC57/CC82,0)</f>
        <v/>
      </c>
      <c r="CD84" s="1420">
        <f>IFERROR(CD57/CD82,0)</f>
        <v/>
      </c>
      <c r="CE84" s="1420">
        <f>IFERROR(CE57/CE82,0)</f>
        <v/>
      </c>
      <c r="CF84" s="1420">
        <f>IFERROR(CF57/CF82,0)</f>
        <v/>
      </c>
      <c r="CG84" s="1420">
        <f>IFERROR(CG57/CG82,0)</f>
        <v/>
      </c>
      <c r="CH84" s="1420">
        <f>IFERROR(CH57/CH82,0)</f>
        <v/>
      </c>
      <c r="CI84" s="1420">
        <f>IFERROR(CI57/CI82,0)</f>
        <v/>
      </c>
      <c r="CJ84" s="1420">
        <f>IFERROR(CJ57/CJ82,0)</f>
        <v/>
      </c>
      <c r="CK84" s="1420">
        <f>"——"</f>
        <v/>
      </c>
      <c r="CL84" s="1420">
        <f>"——"</f>
        <v/>
      </c>
      <c r="CM84" s="1420">
        <f>"——"</f>
        <v/>
      </c>
      <c r="CN84" s="1420">
        <f>"——"</f>
        <v/>
      </c>
      <c r="CO84" s="1420">
        <f>"——"</f>
        <v/>
      </c>
      <c r="CP84" s="1420">
        <f>"——"</f>
        <v/>
      </c>
      <c r="CQ84" s="1420">
        <f>"——"</f>
        <v/>
      </c>
      <c r="CR84" s="1420">
        <f>"——"</f>
        <v/>
      </c>
      <c r="CS84" s="1420">
        <f>"——"</f>
        <v/>
      </c>
      <c r="CT84" s="1420">
        <f>"——"</f>
        <v/>
      </c>
      <c r="CU84" s="1420">
        <f>"——"</f>
        <v/>
      </c>
      <c r="CV84" s="1420">
        <f>"——"</f>
        <v/>
      </c>
      <c r="CW84" s="1420">
        <f>"——"</f>
        <v/>
      </c>
      <c r="CX84" s="1420">
        <f>"——"</f>
        <v/>
      </c>
      <c r="CY84" s="1420">
        <f>"——"</f>
        <v/>
      </c>
      <c r="CZ84" s="1420">
        <f>"——"</f>
        <v/>
      </c>
      <c r="DA84" s="1420">
        <f>"——"</f>
        <v/>
      </c>
      <c r="DB84" s="1420">
        <f>"——"</f>
        <v/>
      </c>
      <c r="DC84" s="1420">
        <f>"——"</f>
        <v/>
      </c>
      <c r="DD84" s="1420">
        <f>"——"</f>
        <v/>
      </c>
      <c r="DE84" s="1420">
        <f>"——"</f>
        <v/>
      </c>
      <c r="DF84" s="1420">
        <f>"——"</f>
        <v/>
      </c>
      <c r="DG84" s="1420">
        <f>"——"</f>
        <v/>
      </c>
      <c r="DH84" s="1420">
        <f>"——"</f>
        <v/>
      </c>
      <c r="DI84" s="1420">
        <f>"——"</f>
        <v/>
      </c>
      <c r="DJ84" s="1420">
        <f>"——"</f>
        <v/>
      </c>
      <c r="DK84" s="1420">
        <f>"——"</f>
        <v/>
      </c>
      <c r="DL84" s="1420">
        <f>"——"</f>
        <v/>
      </c>
      <c r="DM84" s="1420">
        <f>"——"</f>
        <v/>
      </c>
      <c r="DN84" s="1420">
        <f>"——"</f>
        <v/>
      </c>
      <c r="DO84" s="1420">
        <f>"——"</f>
        <v/>
      </c>
      <c r="DP84" s="1420">
        <f>"——"</f>
        <v/>
      </c>
    </row>
    <row r="85">
      <c r="A85" s="384" t="n"/>
      <c r="B85" s="384" t="n"/>
      <c r="C85" s="384" t="n"/>
      <c r="D85" s="384" t="n"/>
      <c r="E85" s="384" t="n"/>
      <c r="F85" s="384" t="n"/>
      <c r="G85" s="384" t="n"/>
      <c r="H85" s="384" t="n"/>
      <c r="I85" s="384" t="n"/>
      <c r="J85" s="384" t="n"/>
      <c r="K85" s="384" t="n"/>
      <c r="L85" s="384" t="n"/>
      <c r="M85" s="384" t="n"/>
      <c r="N85" s="384" t="n"/>
      <c r="O85" s="384" t="n"/>
      <c r="P85" s="384" t="n"/>
      <c r="Q85" s="384" t="n"/>
      <c r="R85" s="384" t="n"/>
      <c r="S85" s="384" t="n"/>
      <c r="T85" s="384" t="n"/>
      <c r="U85" s="384" t="n"/>
      <c r="V85" s="1424" t="inlineStr">
        <is>
          <t>八、单位变动成本</t>
        </is>
      </c>
      <c r="W85" s="384" t="inlineStr">
        <is>
          <t>A02806</t>
        </is>
      </c>
      <c r="X85" s="32">
        <f>IF(_epmOfflineCondition_,"A02806",EPMOlapMemberO(W85,"[C_ACCOUNT].[PARENTH1].[A02806]","A02806 -   八、单位变动成本","","000"))</f>
        <v/>
      </c>
      <c r="Y85" s="1420">
        <f>"——"</f>
        <v/>
      </c>
      <c r="Z85" s="1420">
        <f>"——"</f>
        <v/>
      </c>
      <c r="AA85" s="1420">
        <f>"——"</f>
        <v/>
      </c>
      <c r="AB85" s="1420">
        <f>"——"</f>
        <v/>
      </c>
      <c r="AC85" s="1420">
        <f>"——"</f>
        <v/>
      </c>
      <c r="AD85" s="1420">
        <f>"——"</f>
        <v/>
      </c>
      <c r="AE85" s="1420">
        <f>"——"</f>
        <v/>
      </c>
      <c r="AF85" s="1420">
        <f>"——"</f>
        <v/>
      </c>
      <c r="AG85" s="1420">
        <f>IFERROR(AG56/AG82,0)</f>
        <v/>
      </c>
      <c r="AH85" s="1420">
        <f>IFERROR(AH56/AH82,0)</f>
        <v/>
      </c>
      <c r="AI85" s="1420">
        <f>IFERROR(AI56/AI82,0)</f>
        <v/>
      </c>
      <c r="AJ85" s="1420">
        <f>IFERROR(AJ56/AJ82,0)</f>
        <v/>
      </c>
      <c r="AK85" s="1420">
        <f>IFERROR(AK56/AK82,0)</f>
        <v/>
      </c>
      <c r="AL85" s="1420">
        <f>IFERROR(AL56/AL82,0)</f>
        <v/>
      </c>
      <c r="AM85" s="1420">
        <f>IFERROR(AM56/AM82,0)</f>
        <v/>
      </c>
      <c r="AN85" s="1420">
        <f>IFERROR(AN56/AN82,0)</f>
        <v/>
      </c>
      <c r="AO85" s="1420">
        <f>IFERROR(AO56/AO82,0)</f>
        <v/>
      </c>
      <c r="AP85" s="1420">
        <f>IFERROR(AP56/AP82,0)</f>
        <v/>
      </c>
      <c r="AQ85" s="1420">
        <f>IFERROR(AQ56/AQ82,0)</f>
        <v/>
      </c>
      <c r="AR85" s="1420">
        <f>IFERROR(AR56/AR82,0)</f>
        <v/>
      </c>
      <c r="AS85" s="1420">
        <f>IFERROR(AS56/AS82,0)</f>
        <v/>
      </c>
      <c r="AT85" s="1420">
        <f>IFERROR(AT56/AT82,0)</f>
        <v/>
      </c>
      <c r="AU85" s="1420">
        <f>IFERROR(AU56/AU82,0)</f>
        <v/>
      </c>
      <c r="AV85" s="1420">
        <f>IFERROR(AV56/AV82,0)</f>
        <v/>
      </c>
      <c r="AW85" s="1420">
        <f>IFERROR(AW56/AW82,0)</f>
        <v/>
      </c>
      <c r="AX85" s="1420">
        <f>IFERROR(AX56/AX82,0)</f>
        <v/>
      </c>
      <c r="AY85" s="1420">
        <f>IFERROR(AY56/AY82,0)</f>
        <v/>
      </c>
      <c r="AZ85" s="1420">
        <f>IFERROR(AZ56/AZ82,0)</f>
        <v/>
      </c>
      <c r="BA85" s="1420">
        <f>IFERROR(BA56/BA82,0)</f>
        <v/>
      </c>
      <c r="BB85" s="1420">
        <f>IFERROR(BB56/BB82,0)</f>
        <v/>
      </c>
      <c r="BC85" s="1420">
        <f>IFERROR(BC56/BC82,0)</f>
        <v/>
      </c>
      <c r="BD85" s="1420">
        <f>IFERROR(BD56/BD82,0)</f>
        <v/>
      </c>
      <c r="BE85" s="1420">
        <f>IFERROR(BE56/BE82,0)</f>
        <v/>
      </c>
      <c r="BF85" s="1420">
        <f>IFERROR(BF56/BF82,0)</f>
        <v/>
      </c>
      <c r="BG85" s="1420">
        <f>IFERROR(BG56/BG82,0)</f>
        <v/>
      </c>
      <c r="BH85" s="1420">
        <f>IFERROR(BH56/BH82,0)</f>
        <v/>
      </c>
      <c r="BI85" s="1420">
        <f>IFERROR(BI56/BI82,0)</f>
        <v/>
      </c>
      <c r="BJ85" s="1420">
        <f>IFERROR(BJ56/BJ82,0)</f>
        <v/>
      </c>
      <c r="BK85" s="1420">
        <f>IFERROR(BK56/BK82,0)</f>
        <v/>
      </c>
      <c r="BL85" s="1420">
        <f>IFERROR(BL56/BL82,0)</f>
        <v/>
      </c>
      <c r="BM85" s="1420">
        <f>IFERROR(BM56/BM82,0)</f>
        <v/>
      </c>
      <c r="BN85" s="1420">
        <f>IFERROR(BN56/BN82,0)</f>
        <v/>
      </c>
      <c r="BO85" s="1420">
        <f>IFERROR(BO56/BO82,0)</f>
        <v/>
      </c>
      <c r="BP85" s="1420">
        <f>IFERROR(BP56/BP82,0)</f>
        <v/>
      </c>
      <c r="BQ85" s="1420">
        <f>IFERROR(BQ56/BQ82,0)</f>
        <v/>
      </c>
      <c r="BR85" s="1420">
        <f>IFERROR(BR56/BR82,0)</f>
        <v/>
      </c>
      <c r="BS85" s="1420">
        <f>IFERROR(BS56/BS82,0)</f>
        <v/>
      </c>
      <c r="BT85" s="1420">
        <f>IFERROR(BT56/BT82,0)</f>
        <v/>
      </c>
      <c r="BU85" s="1420">
        <f>IFERROR(BU56/BU82,0)</f>
        <v/>
      </c>
      <c r="BV85" s="1420">
        <f>IFERROR(BV56/BV82,0)</f>
        <v/>
      </c>
      <c r="BW85" s="1420">
        <f>IFERROR(BW56/BW82,0)</f>
        <v/>
      </c>
      <c r="BX85" s="1420">
        <f>IFERROR(BX56/BX82,0)</f>
        <v/>
      </c>
      <c r="BY85" s="1420">
        <f>IFERROR(BY56/BY82,0)</f>
        <v/>
      </c>
      <c r="BZ85" s="1420">
        <f>IFERROR(BZ56/BZ82,0)</f>
        <v/>
      </c>
      <c r="CA85" s="1420">
        <f>IFERROR(CA56/CA82,0)</f>
        <v/>
      </c>
      <c r="CB85" s="1420">
        <f>IFERROR(CB56/CB82,0)</f>
        <v/>
      </c>
      <c r="CC85" s="1420">
        <f>IFERROR(CC56/CC82,0)</f>
        <v/>
      </c>
      <c r="CD85" s="1420">
        <f>IFERROR(CD56/CD82,0)</f>
        <v/>
      </c>
      <c r="CE85" s="1420">
        <f>IFERROR(CE56/CE82,0)</f>
        <v/>
      </c>
      <c r="CF85" s="1420">
        <f>IFERROR(CF56/CF82,0)</f>
        <v/>
      </c>
      <c r="CG85" s="1420">
        <f>IFERROR(CG56/CG82,0)</f>
        <v/>
      </c>
      <c r="CH85" s="1420">
        <f>IFERROR(CH56/CH82,0)</f>
        <v/>
      </c>
      <c r="CI85" s="1420">
        <f>IFERROR(CI56/CI82,0)</f>
        <v/>
      </c>
      <c r="CJ85" s="1420">
        <f>IFERROR(CJ56/CJ82,0)</f>
        <v/>
      </c>
      <c r="CK85" s="1420">
        <f>"——"</f>
        <v/>
      </c>
      <c r="CL85" s="1420">
        <f>"——"</f>
        <v/>
      </c>
      <c r="CM85" s="1420">
        <f>"——"</f>
        <v/>
      </c>
      <c r="CN85" s="1420">
        <f>"——"</f>
        <v/>
      </c>
      <c r="CO85" s="1420">
        <f>"——"</f>
        <v/>
      </c>
      <c r="CP85" s="1420">
        <f>"——"</f>
        <v/>
      </c>
      <c r="CQ85" s="1420">
        <f>"——"</f>
        <v/>
      </c>
      <c r="CR85" s="1420">
        <f>"——"</f>
        <v/>
      </c>
      <c r="CS85" s="1420">
        <f>"——"</f>
        <v/>
      </c>
      <c r="CT85" s="1420">
        <f>"——"</f>
        <v/>
      </c>
      <c r="CU85" s="1420">
        <f>"——"</f>
        <v/>
      </c>
      <c r="CV85" s="1420">
        <f>"——"</f>
        <v/>
      </c>
      <c r="CW85" s="1420">
        <f>"——"</f>
        <v/>
      </c>
      <c r="CX85" s="1420">
        <f>"——"</f>
        <v/>
      </c>
      <c r="CY85" s="1420">
        <f>"——"</f>
        <v/>
      </c>
      <c r="CZ85" s="1420">
        <f>"——"</f>
        <v/>
      </c>
      <c r="DA85" s="1420">
        <f>"——"</f>
        <v/>
      </c>
      <c r="DB85" s="1420">
        <f>"——"</f>
        <v/>
      </c>
      <c r="DC85" s="1420">
        <f>"——"</f>
        <v/>
      </c>
      <c r="DD85" s="1420">
        <f>"——"</f>
        <v/>
      </c>
      <c r="DE85" s="1420">
        <f>"——"</f>
        <v/>
      </c>
      <c r="DF85" s="1420">
        <f>"——"</f>
        <v/>
      </c>
      <c r="DG85" s="1420">
        <f>"——"</f>
        <v/>
      </c>
      <c r="DH85" s="1420">
        <f>"——"</f>
        <v/>
      </c>
      <c r="DI85" s="1420">
        <f>"——"</f>
        <v/>
      </c>
      <c r="DJ85" s="1420">
        <f>"——"</f>
        <v/>
      </c>
      <c r="DK85" s="1420">
        <f>"——"</f>
        <v/>
      </c>
      <c r="DL85" s="1420">
        <f>"——"</f>
        <v/>
      </c>
      <c r="DM85" s="1420">
        <f>"——"</f>
        <v/>
      </c>
      <c r="DN85" s="1420">
        <f>"——"</f>
        <v/>
      </c>
      <c r="DO85" s="1420">
        <f>"——"</f>
        <v/>
      </c>
      <c r="DP85" s="1420">
        <f>"——"</f>
        <v/>
      </c>
    </row>
    <row r="86">
      <c r="A86" s="384" t="n"/>
      <c r="B86" s="384" t="n"/>
      <c r="C86" s="384" t="n"/>
      <c r="D86" s="384" t="n"/>
      <c r="E86" s="384" t="n"/>
      <c r="F86" s="384" t="n"/>
      <c r="G86" s="384" t="n"/>
      <c r="H86" s="384" t="n"/>
      <c r="I86" s="384" t="n"/>
      <c r="J86" s="384" t="n"/>
      <c r="K86" s="384" t="n"/>
      <c r="L86" s="384" t="n"/>
      <c r="M86" s="384" t="n"/>
      <c r="N86" s="384" t="n"/>
      <c r="O86" s="384" t="n"/>
      <c r="P86" s="384" t="n"/>
      <c r="Q86" s="384" t="n"/>
      <c r="R86" s="384" t="n"/>
      <c r="S86" s="384" t="n"/>
      <c r="T86" s="384" t="n"/>
      <c r="U86" s="384" t="n"/>
      <c r="V86" s="1424" t="inlineStr">
        <is>
          <t>九、单位固定成本</t>
        </is>
      </c>
      <c r="W86" s="384" t="inlineStr">
        <is>
          <t>A02807</t>
        </is>
      </c>
      <c r="X86" s="32">
        <f>IF(_epmOfflineCondition_,"A02807",EPMOlapMemberO(W86,"[C_ACCOUNT].[PARENTH1].[A02807]","A02807 -   九、单位固定成本","","000"))</f>
        <v/>
      </c>
      <c r="Y86" s="1420">
        <f>"——"</f>
        <v/>
      </c>
      <c r="Z86" s="1420">
        <f>"——"</f>
        <v/>
      </c>
      <c r="AA86" s="1420">
        <f>"——"</f>
        <v/>
      </c>
      <c r="AB86" s="1420">
        <f>"——"</f>
        <v/>
      </c>
      <c r="AC86" s="1420">
        <f>"——"</f>
        <v/>
      </c>
      <c r="AD86" s="1420">
        <f>"——"</f>
        <v/>
      </c>
      <c r="AE86" s="1420">
        <f>"——"</f>
        <v/>
      </c>
      <c r="AF86" s="1420">
        <f>"——"</f>
        <v/>
      </c>
      <c r="AG86" s="1420">
        <f>IFERROR(AG67/AG82,0)</f>
        <v/>
      </c>
      <c r="AH86" s="1420">
        <f>IFERROR(AH67/AH82,0)</f>
        <v/>
      </c>
      <c r="AI86" s="1420">
        <f>IFERROR(AI67/AI82,0)</f>
        <v/>
      </c>
      <c r="AJ86" s="1420">
        <f>IFERROR(AJ67/AJ82,0)</f>
        <v/>
      </c>
      <c r="AK86" s="1420">
        <f>IFERROR(AK67/AK82,0)</f>
        <v/>
      </c>
      <c r="AL86" s="1420">
        <f>IFERROR(AL67/AL82,0)</f>
        <v/>
      </c>
      <c r="AM86" s="1420">
        <f>IFERROR(AM67/AM82,0)</f>
        <v/>
      </c>
      <c r="AN86" s="1420">
        <f>IFERROR(AN67/AN82,0)</f>
        <v/>
      </c>
      <c r="AO86" s="1420">
        <f>IFERROR(AO67/AO82,0)</f>
        <v/>
      </c>
      <c r="AP86" s="1420">
        <f>IFERROR(AP67/AP82,0)</f>
        <v/>
      </c>
      <c r="AQ86" s="1420">
        <f>IFERROR(AQ67/AQ82,0)</f>
        <v/>
      </c>
      <c r="AR86" s="1420">
        <f>IFERROR(AR67/AR82,0)</f>
        <v/>
      </c>
      <c r="AS86" s="1420">
        <f>IFERROR(AS67/AS82,0)</f>
        <v/>
      </c>
      <c r="AT86" s="1420">
        <f>IFERROR(AT67/AT82,0)</f>
        <v/>
      </c>
      <c r="AU86" s="1420">
        <f>IFERROR(AU67/AU82,0)</f>
        <v/>
      </c>
      <c r="AV86" s="1420">
        <f>IFERROR(AV67/AV82,0)</f>
        <v/>
      </c>
      <c r="AW86" s="1420">
        <f>IFERROR(AW67/AW82,0)</f>
        <v/>
      </c>
      <c r="AX86" s="1420">
        <f>IFERROR(AX67/AX82,0)</f>
        <v/>
      </c>
      <c r="AY86" s="1420">
        <f>IFERROR(AY67/AY82,0)</f>
        <v/>
      </c>
      <c r="AZ86" s="1420">
        <f>IFERROR(AZ67/AZ82,0)</f>
        <v/>
      </c>
      <c r="BA86" s="1420">
        <f>IFERROR(BA67/BA82,0)</f>
        <v/>
      </c>
      <c r="BB86" s="1420">
        <f>IFERROR(BB67/BB82,0)</f>
        <v/>
      </c>
      <c r="BC86" s="1420">
        <f>IFERROR(BC67/BC82,0)</f>
        <v/>
      </c>
      <c r="BD86" s="1420">
        <f>IFERROR(BD67/BD82,0)</f>
        <v/>
      </c>
      <c r="BE86" s="1420">
        <f>IFERROR(BE67/BE82,0)</f>
        <v/>
      </c>
      <c r="BF86" s="1420">
        <f>IFERROR(BF67/BF82,0)</f>
        <v/>
      </c>
      <c r="BG86" s="1420">
        <f>IFERROR(BG67/BG82,0)</f>
        <v/>
      </c>
      <c r="BH86" s="1420">
        <f>IFERROR(BH67/BH82,0)</f>
        <v/>
      </c>
      <c r="BI86" s="1420">
        <f>IFERROR(BI67/BI82,0)</f>
        <v/>
      </c>
      <c r="BJ86" s="1420">
        <f>IFERROR(BJ67/BJ82,0)</f>
        <v/>
      </c>
      <c r="BK86" s="1420">
        <f>IFERROR(BK67/BK82,0)</f>
        <v/>
      </c>
      <c r="BL86" s="1420">
        <f>IFERROR(BL67/BL82,0)</f>
        <v/>
      </c>
      <c r="BM86" s="1420">
        <f>IFERROR(BM67/BM82,0)</f>
        <v/>
      </c>
      <c r="BN86" s="1420">
        <f>IFERROR(BN67/BN82,0)</f>
        <v/>
      </c>
      <c r="BO86" s="1420">
        <f>IFERROR(BO67/BO82,0)</f>
        <v/>
      </c>
      <c r="BP86" s="1420">
        <f>IFERROR(BP67/BP82,0)</f>
        <v/>
      </c>
      <c r="BQ86" s="1420">
        <f>IFERROR(BQ67/BQ82,0)</f>
        <v/>
      </c>
      <c r="BR86" s="1420">
        <f>IFERROR(BR67/BR82,0)</f>
        <v/>
      </c>
      <c r="BS86" s="1420">
        <f>IFERROR(BS67/BS82,0)</f>
        <v/>
      </c>
      <c r="BT86" s="1420">
        <f>IFERROR(BT67/BT82,0)</f>
        <v/>
      </c>
      <c r="BU86" s="1420">
        <f>IFERROR(BU67/BU82,0)</f>
        <v/>
      </c>
      <c r="BV86" s="1420">
        <f>IFERROR(BV67/BV82,0)</f>
        <v/>
      </c>
      <c r="BW86" s="1420">
        <f>IFERROR(BW67/BW82,0)</f>
        <v/>
      </c>
      <c r="BX86" s="1420">
        <f>IFERROR(BX67/BX82,0)</f>
        <v/>
      </c>
      <c r="BY86" s="1420">
        <f>IFERROR(BY67/BY82,0)</f>
        <v/>
      </c>
      <c r="BZ86" s="1420">
        <f>IFERROR(BZ67/BZ82,0)</f>
        <v/>
      </c>
      <c r="CA86" s="1420">
        <f>IFERROR(CA67/CA82,0)</f>
        <v/>
      </c>
      <c r="CB86" s="1420">
        <f>IFERROR(CB67/CB82,0)</f>
        <v/>
      </c>
      <c r="CC86" s="1420">
        <f>IFERROR(CC67/CC82,0)</f>
        <v/>
      </c>
      <c r="CD86" s="1420">
        <f>IFERROR(CD67/CD82,0)</f>
        <v/>
      </c>
      <c r="CE86" s="1420">
        <f>IFERROR(CE67/CE82,0)</f>
        <v/>
      </c>
      <c r="CF86" s="1420">
        <f>IFERROR(CF67/CF82,0)</f>
        <v/>
      </c>
      <c r="CG86" s="1420">
        <f>IFERROR(CG67/CG82,0)</f>
        <v/>
      </c>
      <c r="CH86" s="1420">
        <f>IFERROR(CH67/CH82,0)</f>
        <v/>
      </c>
      <c r="CI86" s="1420">
        <f>IFERROR(CI67/CI82,0)</f>
        <v/>
      </c>
      <c r="CJ86" s="1420">
        <f>IFERROR(CJ67/CJ82,0)</f>
        <v/>
      </c>
      <c r="CK86" s="1420">
        <f>"——"</f>
        <v/>
      </c>
      <c r="CL86" s="1420">
        <f>"——"</f>
        <v/>
      </c>
      <c r="CM86" s="1420">
        <f>"——"</f>
        <v/>
      </c>
      <c r="CN86" s="1420">
        <f>"——"</f>
        <v/>
      </c>
      <c r="CO86" s="1420">
        <f>"——"</f>
        <v/>
      </c>
      <c r="CP86" s="1420">
        <f>"——"</f>
        <v/>
      </c>
      <c r="CQ86" s="1420">
        <f>"——"</f>
        <v/>
      </c>
      <c r="CR86" s="1420">
        <f>"——"</f>
        <v/>
      </c>
      <c r="CS86" s="1420">
        <f>"——"</f>
        <v/>
      </c>
      <c r="CT86" s="1420">
        <f>"——"</f>
        <v/>
      </c>
      <c r="CU86" s="1420">
        <f>"——"</f>
        <v/>
      </c>
      <c r="CV86" s="1420">
        <f>"——"</f>
        <v/>
      </c>
      <c r="CW86" s="1420">
        <f>"——"</f>
        <v/>
      </c>
      <c r="CX86" s="1420">
        <f>"——"</f>
        <v/>
      </c>
      <c r="CY86" s="1420">
        <f>"——"</f>
        <v/>
      </c>
      <c r="CZ86" s="1420">
        <f>"——"</f>
        <v/>
      </c>
      <c r="DA86" s="1420">
        <f>"——"</f>
        <v/>
      </c>
      <c r="DB86" s="1420">
        <f>"——"</f>
        <v/>
      </c>
      <c r="DC86" s="1420">
        <f>"——"</f>
        <v/>
      </c>
      <c r="DD86" s="1420">
        <f>"——"</f>
        <v/>
      </c>
      <c r="DE86" s="1420">
        <f>"——"</f>
        <v/>
      </c>
      <c r="DF86" s="1420">
        <f>"——"</f>
        <v/>
      </c>
      <c r="DG86" s="1420">
        <f>"——"</f>
        <v/>
      </c>
      <c r="DH86" s="1420">
        <f>"——"</f>
        <v/>
      </c>
      <c r="DI86" s="1420">
        <f>"——"</f>
        <v/>
      </c>
      <c r="DJ86" s="1420">
        <f>"——"</f>
        <v/>
      </c>
      <c r="DK86" s="1420">
        <f>"——"</f>
        <v/>
      </c>
      <c r="DL86" s="1420">
        <f>"——"</f>
        <v/>
      </c>
      <c r="DM86" s="1420">
        <f>"——"</f>
        <v/>
      </c>
      <c r="DN86" s="1420">
        <f>"——"</f>
        <v/>
      </c>
      <c r="DO86" s="1420">
        <f>"——"</f>
        <v/>
      </c>
      <c r="DP86" s="1420">
        <f>"——"</f>
        <v/>
      </c>
    </row>
    <row r="87">
      <c r="A87" s="384" t="n"/>
      <c r="B87" s="384" t="n"/>
      <c r="C87" s="384" t="n"/>
      <c r="D87" s="384" t="n"/>
      <c r="E87" s="384" t="n"/>
      <c r="F87" s="384" t="n"/>
      <c r="G87" s="384" t="n"/>
      <c r="H87" s="384" t="n"/>
      <c r="I87" s="384" t="n"/>
      <c r="J87" s="384" t="n"/>
      <c r="K87" s="384" t="n"/>
      <c r="L87" s="384" t="n"/>
      <c r="M87" s="384" t="n"/>
      <c r="N87" s="384" t="n"/>
      <c r="O87" s="384" t="n"/>
      <c r="P87" s="384" t="n"/>
      <c r="Q87" s="384" t="n"/>
      <c r="R87" s="384" t="n"/>
      <c r="S87" s="384" t="n"/>
      <c r="T87" s="384" t="n"/>
      <c r="U87" s="384" t="n"/>
      <c r="V87" s="1424" t="inlineStr">
        <is>
          <t>十、单位管理费用</t>
        </is>
      </c>
      <c r="W87" s="384" t="inlineStr">
        <is>
          <t>A02808</t>
        </is>
      </c>
      <c r="X87" s="32">
        <f>IF(_epmOfflineCondition_,"A02808",EPMOlapMemberO(W87,"[C_ACCOUNT].[PARENTH1].[A02808]","A02808 -   十、单位管理费用","","000"))</f>
        <v/>
      </c>
      <c r="Y87" s="1420">
        <f>"——"</f>
        <v/>
      </c>
      <c r="Z87" s="1420">
        <f>"——"</f>
        <v/>
      </c>
      <c r="AA87" s="1420">
        <f>"——"</f>
        <v/>
      </c>
      <c r="AB87" s="1420">
        <f>"——"</f>
        <v/>
      </c>
      <c r="AC87" s="1420">
        <f>"——"</f>
        <v/>
      </c>
      <c r="AD87" s="1420">
        <f>"——"</f>
        <v/>
      </c>
      <c r="AE87" s="1420">
        <f>"——"</f>
        <v/>
      </c>
      <c r="AF87" s="1420">
        <f>"——"</f>
        <v/>
      </c>
      <c r="AG87" s="1420">
        <f>IFERROR(AG76/AG82,0)</f>
        <v/>
      </c>
      <c r="AH87" s="1420">
        <f>IFERROR(AH76/AH82,0)</f>
        <v/>
      </c>
      <c r="AI87" s="1420">
        <f>IFERROR(AI76/AI82,0)</f>
        <v/>
      </c>
      <c r="AJ87" s="1420">
        <f>IFERROR(AJ76/AJ82,0)</f>
        <v/>
      </c>
      <c r="AK87" s="1420">
        <f>IFERROR(AK76/AK82,0)</f>
        <v/>
      </c>
      <c r="AL87" s="1420">
        <f>IFERROR(AL76/AL82,0)</f>
        <v/>
      </c>
      <c r="AM87" s="1420">
        <f>IFERROR(AM76/AM82,0)</f>
        <v/>
      </c>
      <c r="AN87" s="1420">
        <f>IFERROR(AN76/AN82,0)</f>
        <v/>
      </c>
      <c r="AO87" s="1420">
        <f>IFERROR(AO76/AO82,0)</f>
        <v/>
      </c>
      <c r="AP87" s="1420">
        <f>IFERROR(AP76/AP82,0)</f>
        <v/>
      </c>
      <c r="AQ87" s="1420">
        <f>IFERROR(AQ76/AQ82,0)</f>
        <v/>
      </c>
      <c r="AR87" s="1420">
        <f>IFERROR(AR76/AR82,0)</f>
        <v/>
      </c>
      <c r="AS87" s="1420">
        <f>IFERROR(AS76/AS82,0)</f>
        <v/>
      </c>
      <c r="AT87" s="1420">
        <f>IFERROR(AT76/AT82,0)</f>
        <v/>
      </c>
      <c r="AU87" s="1420">
        <f>IFERROR(AU76/AU82,0)</f>
        <v/>
      </c>
      <c r="AV87" s="1420">
        <f>IFERROR(AV76/AV82,0)</f>
        <v/>
      </c>
      <c r="AW87" s="1420">
        <f>IFERROR(AW76/AW82,0)</f>
        <v/>
      </c>
      <c r="AX87" s="1420">
        <f>IFERROR(AX76/AX82,0)</f>
        <v/>
      </c>
      <c r="AY87" s="1420">
        <f>IFERROR(AY76/AY82,0)</f>
        <v/>
      </c>
      <c r="AZ87" s="1420">
        <f>IFERROR(AZ76/AZ82,0)</f>
        <v/>
      </c>
      <c r="BA87" s="1420">
        <f>IFERROR(BA76/BA82,0)</f>
        <v/>
      </c>
      <c r="BB87" s="1420">
        <f>IFERROR(BB76/BB82,0)</f>
        <v/>
      </c>
      <c r="BC87" s="1420">
        <f>IFERROR(BC76/BC82,0)</f>
        <v/>
      </c>
      <c r="BD87" s="1420">
        <f>IFERROR(BD76/BD82,0)</f>
        <v/>
      </c>
      <c r="BE87" s="1420">
        <f>IFERROR(BE76/BE82,0)</f>
        <v/>
      </c>
      <c r="BF87" s="1420">
        <f>IFERROR(BF76/BF82,0)</f>
        <v/>
      </c>
      <c r="BG87" s="1420">
        <f>IFERROR(BG76/BG82,0)</f>
        <v/>
      </c>
      <c r="BH87" s="1420">
        <f>IFERROR(BH76/BH82,0)</f>
        <v/>
      </c>
      <c r="BI87" s="1420">
        <f>IFERROR(BI76/BI82,0)</f>
        <v/>
      </c>
      <c r="BJ87" s="1420">
        <f>IFERROR(BJ76/BJ82,0)</f>
        <v/>
      </c>
      <c r="BK87" s="1420">
        <f>IFERROR(BK76/BK82,0)</f>
        <v/>
      </c>
      <c r="BL87" s="1420">
        <f>IFERROR(BL76/BL82,0)</f>
        <v/>
      </c>
      <c r="BM87" s="1420">
        <f>IFERROR(BM76/BM82,0)</f>
        <v/>
      </c>
      <c r="BN87" s="1420">
        <f>IFERROR(BN76/BN82,0)</f>
        <v/>
      </c>
      <c r="BO87" s="1420">
        <f>IFERROR(BO76/BO82,0)</f>
        <v/>
      </c>
      <c r="BP87" s="1420">
        <f>IFERROR(BP76/BP82,0)</f>
        <v/>
      </c>
      <c r="BQ87" s="1420">
        <f>IFERROR(BQ76/BQ82,0)</f>
        <v/>
      </c>
      <c r="BR87" s="1420">
        <f>IFERROR(BR76/BR82,0)</f>
        <v/>
      </c>
      <c r="BS87" s="1420">
        <f>IFERROR(BS76/BS82,0)</f>
        <v/>
      </c>
      <c r="BT87" s="1420">
        <f>IFERROR(BT76/BT82,0)</f>
        <v/>
      </c>
      <c r="BU87" s="1420">
        <f>IFERROR(BU76/BU82,0)</f>
        <v/>
      </c>
      <c r="BV87" s="1420">
        <f>IFERROR(BV76/BV82,0)</f>
        <v/>
      </c>
      <c r="BW87" s="1420">
        <f>IFERROR(BW76/BW82,0)</f>
        <v/>
      </c>
      <c r="BX87" s="1420">
        <f>IFERROR(BX76/BX82,0)</f>
        <v/>
      </c>
      <c r="BY87" s="1420">
        <f>IFERROR(BY76/BY82,0)</f>
        <v/>
      </c>
      <c r="BZ87" s="1420">
        <f>IFERROR(BZ76/BZ82,0)</f>
        <v/>
      </c>
      <c r="CA87" s="1420">
        <f>IFERROR(CA76/CA82,0)</f>
        <v/>
      </c>
      <c r="CB87" s="1420">
        <f>IFERROR(CB76/CB82,0)</f>
        <v/>
      </c>
      <c r="CC87" s="1420">
        <f>IFERROR(CC76/CC82,0)</f>
        <v/>
      </c>
      <c r="CD87" s="1420">
        <f>IFERROR(CD76/CD82,0)</f>
        <v/>
      </c>
      <c r="CE87" s="1420">
        <f>IFERROR(CE76/CE82,0)</f>
        <v/>
      </c>
      <c r="CF87" s="1420">
        <f>IFERROR(CF76/CF82,0)</f>
        <v/>
      </c>
      <c r="CG87" s="1420">
        <f>IFERROR(CG76/CG82,0)</f>
        <v/>
      </c>
      <c r="CH87" s="1420">
        <f>IFERROR(CH76/CH82,0)</f>
        <v/>
      </c>
      <c r="CI87" s="1420">
        <f>IFERROR(CI76/CI82,0)</f>
        <v/>
      </c>
      <c r="CJ87" s="1420">
        <f>IFERROR(CJ76/CJ82,0)</f>
        <v/>
      </c>
      <c r="CK87" s="1420">
        <f>"——"</f>
        <v/>
      </c>
      <c r="CL87" s="1420">
        <f>"——"</f>
        <v/>
      </c>
      <c r="CM87" s="1420">
        <f>"——"</f>
        <v/>
      </c>
      <c r="CN87" s="1420">
        <f>"——"</f>
        <v/>
      </c>
      <c r="CO87" s="1420">
        <f>"——"</f>
        <v/>
      </c>
      <c r="CP87" s="1420">
        <f>"——"</f>
        <v/>
      </c>
      <c r="CQ87" s="1420">
        <f>"——"</f>
        <v/>
      </c>
      <c r="CR87" s="1420">
        <f>"——"</f>
        <v/>
      </c>
      <c r="CS87" s="1420">
        <f>"——"</f>
        <v/>
      </c>
      <c r="CT87" s="1420">
        <f>"——"</f>
        <v/>
      </c>
      <c r="CU87" s="1420">
        <f>"——"</f>
        <v/>
      </c>
      <c r="CV87" s="1420">
        <f>"——"</f>
        <v/>
      </c>
      <c r="CW87" s="1420">
        <f>"——"</f>
        <v/>
      </c>
      <c r="CX87" s="1420">
        <f>"——"</f>
        <v/>
      </c>
      <c r="CY87" s="1420">
        <f>"——"</f>
        <v/>
      </c>
      <c r="CZ87" s="1420">
        <f>"——"</f>
        <v/>
      </c>
      <c r="DA87" s="1420">
        <f>"——"</f>
        <v/>
      </c>
      <c r="DB87" s="1420">
        <f>"——"</f>
        <v/>
      </c>
      <c r="DC87" s="1420">
        <f>"——"</f>
        <v/>
      </c>
      <c r="DD87" s="1420">
        <f>"——"</f>
        <v/>
      </c>
      <c r="DE87" s="1420">
        <f>"——"</f>
        <v/>
      </c>
      <c r="DF87" s="1420">
        <f>"——"</f>
        <v/>
      </c>
      <c r="DG87" s="1420">
        <f>"——"</f>
        <v/>
      </c>
      <c r="DH87" s="1420">
        <f>"——"</f>
        <v/>
      </c>
      <c r="DI87" s="1420">
        <f>"——"</f>
        <v/>
      </c>
      <c r="DJ87" s="1420">
        <f>"——"</f>
        <v/>
      </c>
      <c r="DK87" s="1420">
        <f>"——"</f>
        <v/>
      </c>
      <c r="DL87" s="1420">
        <f>"——"</f>
        <v/>
      </c>
      <c r="DM87" s="1420">
        <f>"——"</f>
        <v/>
      </c>
      <c r="DN87" s="1420">
        <f>"——"</f>
        <v/>
      </c>
      <c r="DO87" s="1420">
        <f>"——"</f>
        <v/>
      </c>
      <c r="DP87" s="1420">
        <f>"——"</f>
        <v/>
      </c>
    </row>
    <row r="88">
      <c r="A88" s="384" t="n"/>
      <c r="B88" s="384" t="n"/>
      <c r="C88" s="384" t="n"/>
      <c r="D88" s="384" t="n"/>
      <c r="E88" s="384" t="n"/>
      <c r="F88" s="384" t="n"/>
      <c r="G88" s="384" t="n"/>
      <c r="H88" s="384" t="n"/>
      <c r="I88" s="384" t="n"/>
      <c r="J88" s="384" t="n"/>
      <c r="K88" s="384" t="n"/>
      <c r="L88" s="384" t="n"/>
      <c r="M88" s="384" t="n"/>
      <c r="N88" s="384" t="n"/>
      <c r="O88" s="384" t="n"/>
      <c r="P88" s="384" t="n"/>
      <c r="Q88" s="384" t="n"/>
      <c r="R88" s="384" t="n"/>
      <c r="S88" s="384" t="n"/>
      <c r="T88" s="384" t="n"/>
      <c r="U88" s="384" t="n"/>
      <c r="V88" s="1424" t="inlineStr">
        <is>
          <t>十一、单位财务费用</t>
        </is>
      </c>
      <c r="W88" s="384" t="inlineStr">
        <is>
          <t>A02809</t>
        </is>
      </c>
      <c r="X88" s="32">
        <f>IF(_epmOfflineCondition_,"A02809",EPMOlapMemberO(W88,"[C_ACCOUNT].[PARENTH1].[A02809]","A02809 -   十一、单位财务费用","","000"))</f>
        <v/>
      </c>
      <c r="Y88" s="1420">
        <f>"——"</f>
        <v/>
      </c>
      <c r="Z88" s="1420">
        <f>"——"</f>
        <v/>
      </c>
      <c r="AA88" s="1420">
        <f>"——"</f>
        <v/>
      </c>
      <c r="AB88" s="1420">
        <f>"——"</f>
        <v/>
      </c>
      <c r="AC88" s="1420">
        <f>"——"</f>
        <v/>
      </c>
      <c r="AD88" s="1420">
        <f>"——"</f>
        <v/>
      </c>
      <c r="AE88" s="1420">
        <f>"——"</f>
        <v/>
      </c>
      <c r="AF88" s="1420">
        <f>"——"</f>
        <v/>
      </c>
      <c r="AG88" s="1420">
        <f>IFERROR(AG78/AG82,0)</f>
        <v/>
      </c>
      <c r="AH88" s="1420">
        <f>IFERROR(AH78/AH82,0)</f>
        <v/>
      </c>
      <c r="AI88" s="1420">
        <f>IFERROR(AI78/AI82,0)</f>
        <v/>
      </c>
      <c r="AJ88" s="1420">
        <f>IFERROR(AJ78/AJ82,0)</f>
        <v/>
      </c>
      <c r="AK88" s="1420">
        <f>IFERROR(AK78/AK82,0)</f>
        <v/>
      </c>
      <c r="AL88" s="1420">
        <f>IFERROR(AL78/AL82,0)</f>
        <v/>
      </c>
      <c r="AM88" s="1420">
        <f>IFERROR(AM78/AM82,0)</f>
        <v/>
      </c>
      <c r="AN88" s="1420">
        <f>IFERROR(AN78/AN82,0)</f>
        <v/>
      </c>
      <c r="AO88" s="1420">
        <f>IFERROR(AO78/AO82,0)</f>
        <v/>
      </c>
      <c r="AP88" s="1420">
        <f>IFERROR(AP78/AP82,0)</f>
        <v/>
      </c>
      <c r="AQ88" s="1420">
        <f>IFERROR(AQ78/AQ82,0)</f>
        <v/>
      </c>
      <c r="AR88" s="1420">
        <f>IFERROR(AR78/AR82,0)</f>
        <v/>
      </c>
      <c r="AS88" s="1420">
        <f>IFERROR(AS78/AS82,0)</f>
        <v/>
      </c>
      <c r="AT88" s="1420">
        <f>IFERROR(AT78/AT82,0)</f>
        <v/>
      </c>
      <c r="AU88" s="1420">
        <f>IFERROR(AU78/AU82,0)</f>
        <v/>
      </c>
      <c r="AV88" s="1420">
        <f>IFERROR(AV78/AV82,0)</f>
        <v/>
      </c>
      <c r="AW88" s="1420">
        <f>IFERROR(AW78/AW82,0)</f>
        <v/>
      </c>
      <c r="AX88" s="1420">
        <f>IFERROR(AX78/AX82,0)</f>
        <v/>
      </c>
      <c r="AY88" s="1420">
        <f>IFERROR(AY78/AY82,0)</f>
        <v/>
      </c>
      <c r="AZ88" s="1420">
        <f>IFERROR(AZ78/AZ82,0)</f>
        <v/>
      </c>
      <c r="BA88" s="1420">
        <f>IFERROR(BA78/BA82,0)</f>
        <v/>
      </c>
      <c r="BB88" s="1420">
        <f>IFERROR(BB78/BB82,0)</f>
        <v/>
      </c>
      <c r="BC88" s="1420">
        <f>IFERROR(BC78/BC82,0)</f>
        <v/>
      </c>
      <c r="BD88" s="1420">
        <f>IFERROR(BD78/BD82,0)</f>
        <v/>
      </c>
      <c r="BE88" s="1420">
        <f>IFERROR(BE78/BE82,0)</f>
        <v/>
      </c>
      <c r="BF88" s="1420">
        <f>IFERROR(BF78/BF82,0)</f>
        <v/>
      </c>
      <c r="BG88" s="1420">
        <f>IFERROR(BG78/BG82,0)</f>
        <v/>
      </c>
      <c r="BH88" s="1420">
        <f>IFERROR(BH78/BH82,0)</f>
        <v/>
      </c>
      <c r="BI88" s="1420">
        <f>IFERROR(BI78/BI82,0)</f>
        <v/>
      </c>
      <c r="BJ88" s="1420">
        <f>IFERROR(BJ78/BJ82,0)</f>
        <v/>
      </c>
      <c r="BK88" s="1420">
        <f>IFERROR(BK78/BK82,0)</f>
        <v/>
      </c>
      <c r="BL88" s="1420">
        <f>IFERROR(BL78/BL82,0)</f>
        <v/>
      </c>
      <c r="BM88" s="1420">
        <f>IFERROR(BM78/BM82,0)</f>
        <v/>
      </c>
      <c r="BN88" s="1420">
        <f>IFERROR(BN78/BN82,0)</f>
        <v/>
      </c>
      <c r="BO88" s="1420">
        <f>IFERROR(BO78/BO82,0)</f>
        <v/>
      </c>
      <c r="BP88" s="1420">
        <f>IFERROR(BP78/BP82,0)</f>
        <v/>
      </c>
      <c r="BQ88" s="1420">
        <f>IFERROR(BQ78/BQ82,0)</f>
        <v/>
      </c>
      <c r="BR88" s="1420">
        <f>IFERROR(BR78/BR82,0)</f>
        <v/>
      </c>
      <c r="BS88" s="1420">
        <f>IFERROR(BS78/BS82,0)</f>
        <v/>
      </c>
      <c r="BT88" s="1420">
        <f>IFERROR(BT78/BT82,0)</f>
        <v/>
      </c>
      <c r="BU88" s="1420">
        <f>IFERROR(BU78/BU82,0)</f>
        <v/>
      </c>
      <c r="BV88" s="1420">
        <f>IFERROR(BV78/BV82,0)</f>
        <v/>
      </c>
      <c r="BW88" s="1420">
        <f>IFERROR(BW78/BW82,0)</f>
        <v/>
      </c>
      <c r="BX88" s="1420">
        <f>IFERROR(BX78/BX82,0)</f>
        <v/>
      </c>
      <c r="BY88" s="1420">
        <f>IFERROR(BY78/BY82,0)</f>
        <v/>
      </c>
      <c r="BZ88" s="1420">
        <f>IFERROR(BZ78/BZ82,0)</f>
        <v/>
      </c>
      <c r="CA88" s="1420">
        <f>IFERROR(CA78/CA82,0)</f>
        <v/>
      </c>
      <c r="CB88" s="1420">
        <f>IFERROR(CB78/CB82,0)</f>
        <v/>
      </c>
      <c r="CC88" s="1420">
        <f>IFERROR(CC78/CC82,0)</f>
        <v/>
      </c>
      <c r="CD88" s="1420">
        <f>IFERROR(CD78/CD82,0)</f>
        <v/>
      </c>
      <c r="CE88" s="1420">
        <f>IFERROR(CE78/CE82,0)</f>
        <v/>
      </c>
      <c r="CF88" s="1420">
        <f>IFERROR(CF78/CF82,0)</f>
        <v/>
      </c>
      <c r="CG88" s="1420">
        <f>IFERROR(CG78/CG82,0)</f>
        <v/>
      </c>
      <c r="CH88" s="1420">
        <f>IFERROR(CH78/CH82,0)</f>
        <v/>
      </c>
      <c r="CI88" s="1420">
        <f>IFERROR(CI78/CI82,0)</f>
        <v/>
      </c>
      <c r="CJ88" s="1420">
        <f>IFERROR(CJ78/CJ82,0)</f>
        <v/>
      </c>
      <c r="CK88" s="1420">
        <f>"——"</f>
        <v/>
      </c>
      <c r="CL88" s="1420">
        <f>"——"</f>
        <v/>
      </c>
      <c r="CM88" s="1420">
        <f>"——"</f>
        <v/>
      </c>
      <c r="CN88" s="1420">
        <f>"——"</f>
        <v/>
      </c>
      <c r="CO88" s="1420">
        <f>"——"</f>
        <v/>
      </c>
      <c r="CP88" s="1420">
        <f>"——"</f>
        <v/>
      </c>
      <c r="CQ88" s="1420">
        <f>"——"</f>
        <v/>
      </c>
      <c r="CR88" s="1420">
        <f>"——"</f>
        <v/>
      </c>
      <c r="CS88" s="1420">
        <f>"——"</f>
        <v/>
      </c>
      <c r="CT88" s="1420">
        <f>"——"</f>
        <v/>
      </c>
      <c r="CU88" s="1420">
        <f>"——"</f>
        <v/>
      </c>
      <c r="CV88" s="1420">
        <f>"——"</f>
        <v/>
      </c>
      <c r="CW88" s="1420">
        <f>"——"</f>
        <v/>
      </c>
      <c r="CX88" s="1420">
        <f>"——"</f>
        <v/>
      </c>
      <c r="CY88" s="1420">
        <f>"——"</f>
        <v/>
      </c>
      <c r="CZ88" s="1420">
        <f>"——"</f>
        <v/>
      </c>
      <c r="DA88" s="1420">
        <f>"——"</f>
        <v/>
      </c>
      <c r="DB88" s="1420">
        <f>"——"</f>
        <v/>
      </c>
      <c r="DC88" s="1420">
        <f>"——"</f>
        <v/>
      </c>
      <c r="DD88" s="1420">
        <f>"——"</f>
        <v/>
      </c>
      <c r="DE88" s="1420">
        <f>"——"</f>
        <v/>
      </c>
      <c r="DF88" s="1420">
        <f>"——"</f>
        <v/>
      </c>
      <c r="DG88" s="1420">
        <f>"——"</f>
        <v/>
      </c>
      <c r="DH88" s="1420">
        <f>"——"</f>
        <v/>
      </c>
      <c r="DI88" s="1420">
        <f>"——"</f>
        <v/>
      </c>
      <c r="DJ88" s="1420">
        <f>"——"</f>
        <v/>
      </c>
      <c r="DK88" s="1420">
        <f>"——"</f>
        <v/>
      </c>
      <c r="DL88" s="1420">
        <f>"——"</f>
        <v/>
      </c>
      <c r="DM88" s="1420">
        <f>"——"</f>
        <v/>
      </c>
      <c r="DN88" s="1420">
        <f>"——"</f>
        <v/>
      </c>
      <c r="DO88" s="1420">
        <f>"——"</f>
        <v/>
      </c>
      <c r="DP88" s="1420">
        <f>"——"</f>
        <v/>
      </c>
    </row>
    <row r="89">
      <c r="A89" s="384" t="n"/>
      <c r="B89" s="384" t="n"/>
      <c r="C89" s="384" t="n"/>
      <c r="D89" s="384" t="n"/>
      <c r="E89" s="384" t="n"/>
      <c r="F89" s="384" t="n"/>
      <c r="G89" s="384" t="n"/>
      <c r="H89" s="384" t="n"/>
      <c r="I89" s="384" t="n"/>
      <c r="J89" s="384" t="n"/>
      <c r="K89" s="384" t="n"/>
      <c r="L89" s="384" t="n"/>
      <c r="M89" s="384" t="n"/>
      <c r="N89" s="384" t="n"/>
      <c r="O89" s="384" t="n"/>
      <c r="P89" s="384" t="n"/>
      <c r="Q89" s="384" t="n"/>
      <c r="R89" s="384" t="n"/>
      <c r="S89" s="384" t="n"/>
      <c r="T89" s="384" t="n"/>
      <c r="U89" s="384" t="n"/>
      <c r="V89" s="1424" t="inlineStr">
        <is>
          <t>十二、单位税金及附加</t>
        </is>
      </c>
      <c r="W89" s="384" t="inlineStr">
        <is>
          <t>A02810</t>
        </is>
      </c>
      <c r="X89" s="32">
        <f>IF(_epmOfflineCondition_,"A02810",EPMOlapMemberO(W89,"[C_ACCOUNT].[PARENTH1].[A02810]","A02810 -   十二、单位税金及附加","","000"))</f>
        <v/>
      </c>
      <c r="Y89" s="1420">
        <f>"——"</f>
        <v/>
      </c>
      <c r="Z89" s="1420">
        <f>"——"</f>
        <v/>
      </c>
      <c r="AA89" s="1420">
        <f>"——"</f>
        <v/>
      </c>
      <c r="AB89" s="1420">
        <f>"——"</f>
        <v/>
      </c>
      <c r="AC89" s="1420">
        <f>"——"</f>
        <v/>
      </c>
      <c r="AD89" s="1420">
        <f>"——"</f>
        <v/>
      </c>
      <c r="AE89" s="1420">
        <f>"——"</f>
        <v/>
      </c>
      <c r="AF89" s="1420">
        <f>"——"</f>
        <v/>
      </c>
      <c r="AG89" s="1420">
        <f>IFERROR(AG80/AG82,0)</f>
        <v/>
      </c>
      <c r="AH89" s="1420">
        <f>IFERROR(AH80/AH82,0)</f>
        <v/>
      </c>
      <c r="AI89" s="1420">
        <f>IFERROR(AI80/AI82,0)</f>
        <v/>
      </c>
      <c r="AJ89" s="1420">
        <f>IFERROR(AJ80/AJ82,0)</f>
        <v/>
      </c>
      <c r="AK89" s="1420">
        <f>IFERROR(AK80/AK82,0)</f>
        <v/>
      </c>
      <c r="AL89" s="1420">
        <f>IFERROR(AL80/AL82,0)</f>
        <v/>
      </c>
      <c r="AM89" s="1420">
        <f>IFERROR(AM80/AM82,0)</f>
        <v/>
      </c>
      <c r="AN89" s="1420">
        <f>IFERROR(AN80/AN82,0)</f>
        <v/>
      </c>
      <c r="AO89" s="1420">
        <f>IFERROR(AO80/AO82,0)</f>
        <v/>
      </c>
      <c r="AP89" s="1420">
        <f>IFERROR(AP80/AP82,0)</f>
        <v/>
      </c>
      <c r="AQ89" s="1420">
        <f>IFERROR(AQ80/AQ82,0)</f>
        <v/>
      </c>
      <c r="AR89" s="1420">
        <f>IFERROR(AR80/AR82,0)</f>
        <v/>
      </c>
      <c r="AS89" s="1420">
        <f>IFERROR(AS80/AS82,0)</f>
        <v/>
      </c>
      <c r="AT89" s="1420">
        <f>IFERROR(AT80/AT82,0)</f>
        <v/>
      </c>
      <c r="AU89" s="1420">
        <f>IFERROR(AU80/AU82,0)</f>
        <v/>
      </c>
      <c r="AV89" s="1420">
        <f>IFERROR(AV80/AV82,0)</f>
        <v/>
      </c>
      <c r="AW89" s="1420">
        <f>IFERROR(AW80/AW82,0)</f>
        <v/>
      </c>
      <c r="AX89" s="1420">
        <f>IFERROR(AX80/AX82,0)</f>
        <v/>
      </c>
      <c r="AY89" s="1420">
        <f>IFERROR(AY80/AY82,0)</f>
        <v/>
      </c>
      <c r="AZ89" s="1420">
        <f>IFERROR(AZ80/AZ82,0)</f>
        <v/>
      </c>
      <c r="BA89" s="1420">
        <f>IFERROR(BA80/BA82,0)</f>
        <v/>
      </c>
      <c r="BB89" s="1420">
        <f>IFERROR(BB80/BB82,0)</f>
        <v/>
      </c>
      <c r="BC89" s="1420">
        <f>IFERROR(BC80/BC82,0)</f>
        <v/>
      </c>
      <c r="BD89" s="1420">
        <f>IFERROR(BD80/BD82,0)</f>
        <v/>
      </c>
      <c r="BE89" s="1420">
        <f>IFERROR(BE80/BE82,0)</f>
        <v/>
      </c>
      <c r="BF89" s="1420">
        <f>IFERROR(BF80/BF82,0)</f>
        <v/>
      </c>
      <c r="BG89" s="1420">
        <f>IFERROR(BG80/BG82,0)</f>
        <v/>
      </c>
      <c r="BH89" s="1420">
        <f>IFERROR(BH80/BH82,0)</f>
        <v/>
      </c>
      <c r="BI89" s="1420">
        <f>IFERROR(BI80/BI82,0)</f>
        <v/>
      </c>
      <c r="BJ89" s="1420">
        <f>IFERROR(BJ80/BJ82,0)</f>
        <v/>
      </c>
      <c r="BK89" s="1420">
        <f>IFERROR(BK80/BK82,0)</f>
        <v/>
      </c>
      <c r="BL89" s="1420">
        <f>IFERROR(BL80/BL82,0)</f>
        <v/>
      </c>
      <c r="BM89" s="1420">
        <f>IFERROR(BM80/BM82,0)</f>
        <v/>
      </c>
      <c r="BN89" s="1420">
        <f>IFERROR(BN80/BN82,0)</f>
        <v/>
      </c>
      <c r="BO89" s="1420">
        <f>IFERROR(BO80/BO82,0)</f>
        <v/>
      </c>
      <c r="BP89" s="1420">
        <f>IFERROR(BP80/BP82,0)</f>
        <v/>
      </c>
      <c r="BQ89" s="1420">
        <f>IFERROR(BQ80/BQ82,0)</f>
        <v/>
      </c>
      <c r="BR89" s="1420">
        <f>IFERROR(BR80/BR82,0)</f>
        <v/>
      </c>
      <c r="BS89" s="1420">
        <f>IFERROR(BS80/BS82,0)</f>
        <v/>
      </c>
      <c r="BT89" s="1420">
        <f>IFERROR(BT80/BT82,0)</f>
        <v/>
      </c>
      <c r="BU89" s="1420">
        <f>IFERROR(BU80/BU82,0)</f>
        <v/>
      </c>
      <c r="BV89" s="1420">
        <f>IFERROR(BV80/BV82,0)</f>
        <v/>
      </c>
      <c r="BW89" s="1420">
        <f>IFERROR(BW80/BW82,0)</f>
        <v/>
      </c>
      <c r="BX89" s="1420">
        <f>IFERROR(BX80/BX82,0)</f>
        <v/>
      </c>
      <c r="BY89" s="1420">
        <f>IFERROR(BY80/BY82,0)</f>
        <v/>
      </c>
      <c r="BZ89" s="1420">
        <f>IFERROR(BZ80/BZ82,0)</f>
        <v/>
      </c>
      <c r="CA89" s="1420">
        <f>IFERROR(CA80/CA82,0)</f>
        <v/>
      </c>
      <c r="CB89" s="1420">
        <f>IFERROR(CB80/CB82,0)</f>
        <v/>
      </c>
      <c r="CC89" s="1420">
        <f>IFERROR(CC80/CC82,0)</f>
        <v/>
      </c>
      <c r="CD89" s="1420">
        <f>IFERROR(CD80/CD82,0)</f>
        <v/>
      </c>
      <c r="CE89" s="1420">
        <f>IFERROR(CE80/CE82,0)</f>
        <v/>
      </c>
      <c r="CF89" s="1420">
        <f>IFERROR(CF80/CF82,0)</f>
        <v/>
      </c>
      <c r="CG89" s="1420">
        <f>IFERROR(CG80/CG82,0)</f>
        <v/>
      </c>
      <c r="CH89" s="1420">
        <f>IFERROR(CH80/CH82,0)</f>
        <v/>
      </c>
      <c r="CI89" s="1420">
        <f>IFERROR(CI80/CI82,0)</f>
        <v/>
      </c>
      <c r="CJ89" s="1420">
        <f>IFERROR(CJ80/CJ82,0)</f>
        <v/>
      </c>
      <c r="CK89" s="1420">
        <f>"——"</f>
        <v/>
      </c>
      <c r="CL89" s="1420">
        <f>"——"</f>
        <v/>
      </c>
      <c r="CM89" s="1420">
        <f>"——"</f>
        <v/>
      </c>
      <c r="CN89" s="1420">
        <f>"——"</f>
        <v/>
      </c>
      <c r="CO89" s="1420">
        <f>"——"</f>
        <v/>
      </c>
      <c r="CP89" s="1420">
        <f>"——"</f>
        <v/>
      </c>
      <c r="CQ89" s="1420">
        <f>"——"</f>
        <v/>
      </c>
      <c r="CR89" s="1420">
        <f>"——"</f>
        <v/>
      </c>
      <c r="CS89" s="1420">
        <f>"——"</f>
        <v/>
      </c>
      <c r="CT89" s="1420">
        <f>"——"</f>
        <v/>
      </c>
      <c r="CU89" s="1420">
        <f>"——"</f>
        <v/>
      </c>
      <c r="CV89" s="1420">
        <f>"——"</f>
        <v/>
      </c>
      <c r="CW89" s="1420">
        <f>"——"</f>
        <v/>
      </c>
      <c r="CX89" s="1420">
        <f>"——"</f>
        <v/>
      </c>
      <c r="CY89" s="1420">
        <f>"——"</f>
        <v/>
      </c>
      <c r="CZ89" s="1420">
        <f>"——"</f>
        <v/>
      </c>
      <c r="DA89" s="1420">
        <f>"——"</f>
        <v/>
      </c>
      <c r="DB89" s="1420">
        <f>"——"</f>
        <v/>
      </c>
      <c r="DC89" s="1420">
        <f>"——"</f>
        <v/>
      </c>
      <c r="DD89" s="1420">
        <f>"——"</f>
        <v/>
      </c>
      <c r="DE89" s="1420">
        <f>"——"</f>
        <v/>
      </c>
      <c r="DF89" s="1420">
        <f>"——"</f>
        <v/>
      </c>
      <c r="DG89" s="1420">
        <f>"——"</f>
        <v/>
      </c>
      <c r="DH89" s="1420">
        <f>"——"</f>
        <v/>
      </c>
      <c r="DI89" s="1420">
        <f>"——"</f>
        <v/>
      </c>
      <c r="DJ89" s="1420">
        <f>"——"</f>
        <v/>
      </c>
      <c r="DK89" s="1420">
        <f>"——"</f>
        <v/>
      </c>
      <c r="DL89" s="1420">
        <f>"——"</f>
        <v/>
      </c>
      <c r="DM89" s="1420">
        <f>"——"</f>
        <v/>
      </c>
      <c r="DN89" s="1420">
        <f>"——"</f>
        <v/>
      </c>
      <c r="DO89" s="1420">
        <f>"——"</f>
        <v/>
      </c>
      <c r="DP89" s="1420">
        <f>"——"</f>
        <v/>
      </c>
    </row>
    <row r="90">
      <c r="A90" s="384" t="n"/>
      <c r="B90" s="384" t="n"/>
      <c r="C90" s="384" t="n"/>
      <c r="D90" s="384" t="n"/>
      <c r="E90" s="384" t="n"/>
      <c r="F90" s="384" t="n"/>
      <c r="G90" s="384" t="n"/>
      <c r="H90" s="384" t="n"/>
      <c r="I90" s="384" t="n"/>
      <c r="J90" s="384" t="n"/>
      <c r="K90" s="384" t="n"/>
      <c r="L90" s="384" t="n"/>
      <c r="M90" s="384" t="n"/>
      <c r="N90" s="384" t="n"/>
      <c r="O90" s="384" t="n"/>
      <c r="P90" s="384" t="n"/>
      <c r="Q90" s="384" t="n"/>
      <c r="R90" s="384" t="n"/>
      <c r="S90" s="384" t="n"/>
      <c r="T90" s="384" t="n"/>
      <c r="U90" s="384" t="n"/>
      <c r="V90" s="1424" t="inlineStr">
        <is>
          <t>十三、单位总成本</t>
        </is>
      </c>
      <c r="W90" s="384" t="inlineStr">
        <is>
          <t>A02811</t>
        </is>
      </c>
      <c r="X90" s="32">
        <f>IF(_epmOfflineCondition_,"A02811",EPMOlapMemberO(W90,"[C_ACCOUNT].[PARENTH1].[A02811]","A02811 -   十三、单位总成本","","000"))</f>
        <v/>
      </c>
      <c r="Y90" s="1420">
        <f>"——"</f>
        <v/>
      </c>
      <c r="Z90" s="1420">
        <f>"——"</f>
        <v/>
      </c>
      <c r="AA90" s="1420">
        <f>"——"</f>
        <v/>
      </c>
      <c r="AB90" s="1420">
        <f>"——"</f>
        <v/>
      </c>
      <c r="AC90" s="1420">
        <f>"——"</f>
        <v/>
      </c>
      <c r="AD90" s="1420">
        <f>"——"</f>
        <v/>
      </c>
      <c r="AE90" s="1420">
        <f>"——"</f>
        <v/>
      </c>
      <c r="AF90" s="1420">
        <f>"——"</f>
        <v/>
      </c>
      <c r="AG90" s="1420">
        <f>IFERROR(AG81/AG82,0)</f>
        <v/>
      </c>
      <c r="AH90" s="1420">
        <f>IFERROR(AH81/AH82,0)</f>
        <v/>
      </c>
      <c r="AI90" s="1420">
        <f>IFERROR(AI81/AI82,0)</f>
        <v/>
      </c>
      <c r="AJ90" s="1420">
        <f>IFERROR(AJ81/AJ82,0)</f>
        <v/>
      </c>
      <c r="AK90" s="1420">
        <f>IFERROR(AK81/AK82,0)</f>
        <v/>
      </c>
      <c r="AL90" s="1420">
        <f>IFERROR(AL81/AL82,0)</f>
        <v/>
      </c>
      <c r="AM90" s="1420">
        <f>IFERROR(AM81/AM82,0)</f>
        <v/>
      </c>
      <c r="AN90" s="1420">
        <f>IFERROR(AN81/AN82,0)</f>
        <v/>
      </c>
      <c r="AO90" s="1420">
        <f>IFERROR(AO81/AO82,0)</f>
        <v/>
      </c>
      <c r="AP90" s="1420">
        <f>IFERROR(AP81/AP82,0)</f>
        <v/>
      </c>
      <c r="AQ90" s="1420">
        <f>IFERROR(AQ81/AQ82,0)</f>
        <v/>
      </c>
      <c r="AR90" s="1420">
        <f>IFERROR(AR81/AR82,0)</f>
        <v/>
      </c>
      <c r="AS90" s="1420">
        <f>IFERROR(AS81/AS82,0)</f>
        <v/>
      </c>
      <c r="AT90" s="1420">
        <f>IFERROR(AT81/AT82,0)</f>
        <v/>
      </c>
      <c r="AU90" s="1420">
        <f>IFERROR(AU81/AU82,0)</f>
        <v/>
      </c>
      <c r="AV90" s="1420">
        <f>IFERROR(AV81/AV82,0)</f>
        <v/>
      </c>
      <c r="AW90" s="1420">
        <f>IFERROR(AW81/AW82,0)</f>
        <v/>
      </c>
      <c r="AX90" s="1420">
        <f>IFERROR(AX81/AX82,0)</f>
        <v/>
      </c>
      <c r="AY90" s="1420">
        <f>IFERROR(AY81/AY82,0)</f>
        <v/>
      </c>
      <c r="AZ90" s="1420">
        <f>IFERROR(AZ81/AZ82,0)</f>
        <v/>
      </c>
      <c r="BA90" s="1420">
        <f>IFERROR(BA81/BA82,0)</f>
        <v/>
      </c>
      <c r="BB90" s="1420">
        <f>IFERROR(BB81/BB82,0)</f>
        <v/>
      </c>
      <c r="BC90" s="1420">
        <f>IFERROR(BC81/BC82,0)</f>
        <v/>
      </c>
      <c r="BD90" s="1420">
        <f>IFERROR(BD81/BD82,0)</f>
        <v/>
      </c>
      <c r="BE90" s="1420">
        <f>IFERROR(BE81/BE82,0)</f>
        <v/>
      </c>
      <c r="BF90" s="1420">
        <f>IFERROR(BF81/BF82,0)</f>
        <v/>
      </c>
      <c r="BG90" s="1420">
        <f>IFERROR(BG81/BG82,0)</f>
        <v/>
      </c>
      <c r="BH90" s="1420">
        <f>IFERROR(BH81/BH82,0)</f>
        <v/>
      </c>
      <c r="BI90" s="1420">
        <f>IFERROR(BI81/BI82,0)</f>
        <v/>
      </c>
      <c r="BJ90" s="1420">
        <f>IFERROR(BJ81/BJ82,0)</f>
        <v/>
      </c>
      <c r="BK90" s="1420">
        <f>IFERROR(BK81/BK82,0)</f>
        <v/>
      </c>
      <c r="BL90" s="1420">
        <f>IFERROR(BL81/BL82,0)</f>
        <v/>
      </c>
      <c r="BM90" s="1420">
        <f>IFERROR(BM81/BM82,0)</f>
        <v/>
      </c>
      <c r="BN90" s="1420">
        <f>IFERROR(BN81/BN82,0)</f>
        <v/>
      </c>
      <c r="BO90" s="1420">
        <f>IFERROR(BO81/BO82,0)</f>
        <v/>
      </c>
      <c r="BP90" s="1420">
        <f>IFERROR(BP81/BP82,0)</f>
        <v/>
      </c>
      <c r="BQ90" s="1420">
        <f>IFERROR(BQ81/BQ82,0)</f>
        <v/>
      </c>
      <c r="BR90" s="1420">
        <f>IFERROR(BR81/BR82,0)</f>
        <v/>
      </c>
      <c r="BS90" s="1420">
        <f>IFERROR(BS81/BS82,0)</f>
        <v/>
      </c>
      <c r="BT90" s="1420">
        <f>IFERROR(BT81/BT82,0)</f>
        <v/>
      </c>
      <c r="BU90" s="1420">
        <f>IFERROR(BU81/BU82,0)</f>
        <v/>
      </c>
      <c r="BV90" s="1420">
        <f>IFERROR(BV81/BV82,0)</f>
        <v/>
      </c>
      <c r="BW90" s="1420">
        <f>IFERROR(BW81/BW82,0)</f>
        <v/>
      </c>
      <c r="BX90" s="1420">
        <f>IFERROR(BX81/BX82,0)</f>
        <v/>
      </c>
      <c r="BY90" s="1420">
        <f>IFERROR(BY81/BY82,0)</f>
        <v/>
      </c>
      <c r="BZ90" s="1420">
        <f>IFERROR(BZ81/BZ82,0)</f>
        <v/>
      </c>
      <c r="CA90" s="1420">
        <f>IFERROR(CA81/CA82,0)</f>
        <v/>
      </c>
      <c r="CB90" s="1420">
        <f>IFERROR(CB81/CB82,0)</f>
        <v/>
      </c>
      <c r="CC90" s="1420">
        <f>IFERROR(CC81/CC82,0)</f>
        <v/>
      </c>
      <c r="CD90" s="1420">
        <f>IFERROR(CD81/CD82,0)</f>
        <v/>
      </c>
      <c r="CE90" s="1420">
        <f>IFERROR(CE81/CE82,0)</f>
        <v/>
      </c>
      <c r="CF90" s="1420">
        <f>IFERROR(CF81/CF82,0)</f>
        <v/>
      </c>
      <c r="CG90" s="1420">
        <f>IFERROR(CG81/CG82,0)</f>
        <v/>
      </c>
      <c r="CH90" s="1420">
        <f>IFERROR(CH81/CH82,0)</f>
        <v/>
      </c>
      <c r="CI90" s="1420">
        <f>IFERROR(CI81/CI82,0)</f>
        <v/>
      </c>
      <c r="CJ90" s="1420">
        <f>IFERROR(CJ81/CJ82,0)</f>
        <v/>
      </c>
      <c r="CK90" s="1420">
        <f>"——"</f>
        <v/>
      </c>
      <c r="CL90" s="1420">
        <f>"——"</f>
        <v/>
      </c>
      <c r="CM90" s="1420">
        <f>"——"</f>
        <v/>
      </c>
      <c r="CN90" s="1420">
        <f>"——"</f>
        <v/>
      </c>
      <c r="CO90" s="1420">
        <f>"——"</f>
        <v/>
      </c>
      <c r="CP90" s="1420">
        <f>"——"</f>
        <v/>
      </c>
      <c r="CQ90" s="1420">
        <f>"——"</f>
        <v/>
      </c>
      <c r="CR90" s="1420">
        <f>"——"</f>
        <v/>
      </c>
      <c r="CS90" s="1420">
        <f>"——"</f>
        <v/>
      </c>
      <c r="CT90" s="1420">
        <f>"——"</f>
        <v/>
      </c>
      <c r="CU90" s="1420">
        <f>"——"</f>
        <v/>
      </c>
      <c r="CV90" s="1420">
        <f>"——"</f>
        <v/>
      </c>
      <c r="CW90" s="1420">
        <f>"——"</f>
        <v/>
      </c>
      <c r="CX90" s="1420">
        <f>"——"</f>
        <v/>
      </c>
      <c r="CY90" s="1420">
        <f>"——"</f>
        <v/>
      </c>
      <c r="CZ90" s="1420">
        <f>"——"</f>
        <v/>
      </c>
      <c r="DA90" s="1420">
        <f>"——"</f>
        <v/>
      </c>
      <c r="DB90" s="1420">
        <f>"——"</f>
        <v/>
      </c>
      <c r="DC90" s="1420">
        <f>"——"</f>
        <v/>
      </c>
      <c r="DD90" s="1420">
        <f>"——"</f>
        <v/>
      </c>
      <c r="DE90" s="1420">
        <f>"——"</f>
        <v/>
      </c>
      <c r="DF90" s="1420">
        <f>"——"</f>
        <v/>
      </c>
      <c r="DG90" s="1420">
        <f>"——"</f>
        <v/>
      </c>
      <c r="DH90" s="1420">
        <f>"——"</f>
        <v/>
      </c>
      <c r="DI90" s="1420">
        <f>"——"</f>
        <v/>
      </c>
      <c r="DJ90" s="1420">
        <f>"——"</f>
        <v/>
      </c>
      <c r="DK90" s="1420">
        <f>"——"</f>
        <v/>
      </c>
      <c r="DL90" s="1420">
        <f>"——"</f>
        <v/>
      </c>
      <c r="DM90" s="1420">
        <f>"——"</f>
        <v/>
      </c>
      <c r="DN90" s="1420">
        <f>"——"</f>
        <v/>
      </c>
      <c r="DO90" s="1420">
        <f>"——"</f>
        <v/>
      </c>
      <c r="DP90" s="1420">
        <f>"——"</f>
        <v/>
      </c>
    </row>
    <row r="91" ht="17.55" customHeight="1" s="1181">
      <c r="A91" s="384" t="n"/>
      <c r="B91" s="384" t="n"/>
      <c r="C91" s="384" t="n"/>
      <c r="D91" s="384" t="n"/>
      <c r="E91" s="384" t="n"/>
      <c r="F91" s="384" t="n"/>
      <c r="G91" s="384" t="n"/>
      <c r="H91" s="384" t="n"/>
      <c r="I91" s="384" t="n"/>
      <c r="J91" s="384" t="n"/>
      <c r="K91" s="384" t="n"/>
      <c r="L91" s="384" t="n"/>
      <c r="M91" s="384" t="n"/>
      <c r="N91" s="384" t="n"/>
      <c r="O91" s="384" t="n"/>
      <c r="P91" s="384" t="n"/>
      <c r="Q91" s="384" t="n"/>
      <c r="R91" s="384" t="n"/>
      <c r="S91" s="384" t="n"/>
      <c r="T91" s="384" t="n"/>
      <c r="U91" s="384" t="n"/>
      <c r="V91" s="1427" t="inlineStr">
        <is>
          <t>十四、单位利润</t>
        </is>
      </c>
      <c r="W91" s="1334" t="inlineStr">
        <is>
          <t>A02812</t>
        </is>
      </c>
      <c r="X91" s="32">
        <f>IF(_epmOfflineCondition_,"A02812",EPMOlapMemberO(W91,"[C_ACCOUNT].[PARENTH1].[A02812]","A02812 -   十四、单位利润","","000"))</f>
        <v/>
      </c>
      <c r="Y91" s="1428">
        <f>"——"</f>
        <v/>
      </c>
      <c r="Z91" s="1428">
        <f>"——"</f>
        <v/>
      </c>
      <c r="AA91" s="1428">
        <f>"——"</f>
        <v/>
      </c>
      <c r="AB91" s="1428">
        <f>"——"</f>
        <v/>
      </c>
      <c r="AC91" s="1428">
        <f>"——"</f>
        <v/>
      </c>
      <c r="AD91" s="1428">
        <f>"——"</f>
        <v/>
      </c>
      <c r="AE91" s="1428">
        <f>"——"</f>
        <v/>
      </c>
      <c r="AF91" s="1428">
        <f>"——"</f>
        <v/>
      </c>
      <c r="AG91" s="1428">
        <f>IFERROR(AG92/AG93-AG90,0)</f>
        <v/>
      </c>
      <c r="AH91" s="1428">
        <f>IFERROR(AH92/AH93-AH90,0)</f>
        <v/>
      </c>
      <c r="AI91" s="1428">
        <f>IFERROR(AI92/AI93-AI90,0)</f>
        <v/>
      </c>
      <c r="AJ91" s="1428">
        <f>IFERROR(AJ92/AJ93-AJ90,0)</f>
        <v/>
      </c>
      <c r="AK91" s="1428">
        <f>IFERROR(AK92/AK93-AK90,0)</f>
        <v/>
      </c>
      <c r="AL91" s="1428">
        <f>IFERROR((AE107-AB107)/(AH107-AJ107+AI107-AK107)-AL90,0)</f>
        <v/>
      </c>
      <c r="AM91" s="1428">
        <f>IFERROR(AM92/AM93-AM90,0)</f>
        <v/>
      </c>
      <c r="AN91" s="1428">
        <f>IFERROR(AN92/AN93-AN90,0)</f>
        <v/>
      </c>
      <c r="AO91" s="1428">
        <f>IFERROR(AO92/AO93-AO90,0)</f>
        <v/>
      </c>
      <c r="AP91" s="1428">
        <f>IFERROR(AP92/AP93-AP90,0)</f>
        <v/>
      </c>
      <c r="AQ91" s="1428">
        <f>IFERROR(AQ92/AQ93-AQ90,0)</f>
        <v/>
      </c>
      <c r="AR91" s="1428">
        <f>IFERROR(AR92/AR93-AR90,0)</f>
        <v/>
      </c>
      <c r="AS91" s="1428">
        <f>IFERROR(AS92/AS93-AS90,0)</f>
        <v/>
      </c>
      <c r="AT91" s="1420">
        <f>IFERROR(AE107/(AI107+AH107)-AT90,0)</f>
        <v/>
      </c>
      <c r="AU91" s="1428">
        <f>IFERROR(AU92/AU93-AU90,0)</f>
        <v/>
      </c>
      <c r="AV91" s="1428">
        <f>IFERROR(AV92/AV93-AV90,0)</f>
        <v/>
      </c>
      <c r="AW91" s="1428">
        <f>IFERROR(AW92/AW93-AW90,0)</f>
        <v/>
      </c>
      <c r="AX91" s="1428">
        <f>IFERROR(AX92/AX93-AX90,0)</f>
        <v/>
      </c>
      <c r="AY91" s="1428">
        <f>IFERROR(AY92/AY93-AY90,0)</f>
        <v/>
      </c>
      <c r="AZ91" s="1428">
        <f>IFERROR(AZ92/AZ93-AZ90,0)</f>
        <v/>
      </c>
      <c r="BA91" s="1428">
        <f>IFERROR(BA92/BA93-BA90,0)</f>
        <v/>
      </c>
      <c r="BB91" s="1428">
        <f>IFERROR(AB107/(AJ107+AK107)-BB90,0)</f>
        <v/>
      </c>
      <c r="BC91" s="1428">
        <f>IFERROR(BC92/BC93-BC90,0)</f>
        <v/>
      </c>
      <c r="BD91" s="1428">
        <f>IFERROR(BD92/BD93-BD90,0)</f>
        <v/>
      </c>
      <c r="BE91" s="1428">
        <f>IFERROR(BE92/BE93-BE90,0)</f>
        <v/>
      </c>
      <c r="BF91" s="1428">
        <f>IFERROR(BF92/BF93-BF90,0)</f>
        <v/>
      </c>
      <c r="BG91" s="1428">
        <f>IFERROR(BG92/BG93-BG90,0)</f>
        <v/>
      </c>
      <c r="BH91" s="1428">
        <f>IFERROR(BH92/BH93-BH90,0)</f>
        <v/>
      </c>
      <c r="BI91" s="1428">
        <f>IFERROR(BI92/BI93-BI90,0)</f>
        <v/>
      </c>
      <c r="BJ91" s="1428">
        <f>IFERROR(AJ107/(AR107+AS107)-BJ90,0)</f>
        <v/>
      </c>
      <c r="BK91" s="1428">
        <f>IFERROR(BK92/BK93-BK90,0)</f>
        <v/>
      </c>
      <c r="BL91" s="1428">
        <f>IFERROR(BL92/BL93-BL90,0)</f>
        <v/>
      </c>
      <c r="BM91" s="1428">
        <f>IFERROR(BM92/BM93-BM90,0)</f>
        <v/>
      </c>
      <c r="BN91" s="1428">
        <f>IFERROR(BN92/BN93-BN90,0)</f>
        <v/>
      </c>
      <c r="BO91" s="1428">
        <f>IFERROR(BO92/BO93-BO90,0)</f>
        <v/>
      </c>
      <c r="BP91" s="1428">
        <f>IFERROR(BP92/BP93-BP90,0)</f>
        <v/>
      </c>
      <c r="BQ91" s="1428">
        <f>IFERROR(BQ92/BQ93-BQ90,0)</f>
        <v/>
      </c>
      <c r="BR91" s="1428">
        <f>IFERROR(AC107/(AL107+AM107)-BR90,0)</f>
        <v/>
      </c>
      <c r="BS91" s="1428">
        <f>IFERROR(BS92/BS93-BS90,0)</f>
        <v/>
      </c>
      <c r="BT91" s="1428">
        <f>IFERROR(BT92/BT93-BT90,0)</f>
        <v/>
      </c>
      <c r="BU91" s="1428">
        <f>IFERROR(BU92/BU93-BU90,0)</f>
        <v/>
      </c>
      <c r="BV91" s="1428">
        <f>IFERROR(BV92/BV93-BV90,0)</f>
        <v/>
      </c>
      <c r="BW91" s="1428">
        <f>IFERROR(BW92/BW93-BW90,0)</f>
        <v/>
      </c>
      <c r="BX91" s="1428">
        <f>IFERROR(BX92/BX93-BX90,0)</f>
        <v/>
      </c>
      <c r="BY91" s="1428">
        <f>IFERROR(BY92/BY93-BY90,0)</f>
        <v/>
      </c>
      <c r="BZ91" s="1428">
        <f>IFERROR(BZ94/(AJ107-AL107+AK107-AM107),0)</f>
        <v/>
      </c>
      <c r="CA91" s="1428">
        <f>IFERROR(CA92/CA93-CA90,0)</f>
        <v/>
      </c>
      <c r="CB91" s="1428">
        <f>IFERROR(CB92/CB93-CB90,0)</f>
        <v/>
      </c>
      <c r="CC91" s="1428">
        <f>IFERROR(CC92/CC93-CC90,0)</f>
        <v/>
      </c>
      <c r="CD91" s="1428">
        <f>IFERROR(CD92/CD93-CD90,0)</f>
        <v/>
      </c>
      <c r="CE91" s="1428">
        <f>IFERROR(CE92/CE93-CE90,0)</f>
        <v/>
      </c>
      <c r="CF91" s="1428">
        <f>IFERROR(CF92/CF93-CF90,0)</f>
        <v/>
      </c>
      <c r="CG91" s="1428">
        <f>IFERROR(CG92/CG93-CG90,0)</f>
        <v/>
      </c>
      <c r="CH91" s="1428">
        <f>IFERROR(CH94/(AF107+AG107),0)</f>
        <v/>
      </c>
      <c r="CI91" s="1428">
        <f>IFERROR(CI92/CI93-CI90,0)</f>
        <v/>
      </c>
      <c r="CJ91" s="1428">
        <f>IFERROR(CJ92/CJ93-CJ90,0)</f>
        <v/>
      </c>
      <c r="CK91" s="1428">
        <f>"——"</f>
        <v/>
      </c>
      <c r="CL91" s="1428">
        <f>"——"</f>
        <v/>
      </c>
      <c r="CM91" s="1428">
        <f>"——"</f>
        <v/>
      </c>
      <c r="CN91" s="1428">
        <f>"——"</f>
        <v/>
      </c>
      <c r="CO91" s="1428">
        <f>"——"</f>
        <v/>
      </c>
      <c r="CP91" s="1428">
        <f>"——"</f>
        <v/>
      </c>
      <c r="CQ91" s="1428">
        <f>"——"</f>
        <v/>
      </c>
      <c r="CR91" s="1428">
        <f>"——"</f>
        <v/>
      </c>
      <c r="CS91" s="1428">
        <f>"——"</f>
        <v/>
      </c>
      <c r="CT91" s="1428">
        <f>"——"</f>
        <v/>
      </c>
      <c r="CU91" s="1428">
        <f>"——"</f>
        <v/>
      </c>
      <c r="CV91" s="1428">
        <f>"——"</f>
        <v/>
      </c>
      <c r="CW91" s="1428">
        <f>"——"</f>
        <v/>
      </c>
      <c r="CX91" s="1428">
        <f>"——"</f>
        <v/>
      </c>
      <c r="CY91" s="1428">
        <f>"——"</f>
        <v/>
      </c>
      <c r="CZ91" s="1428">
        <f>"——"</f>
        <v/>
      </c>
      <c r="DA91" s="1428">
        <f>"——"</f>
        <v/>
      </c>
      <c r="DB91" s="1428">
        <f>"——"</f>
        <v/>
      </c>
      <c r="DC91" s="1428">
        <f>"——"</f>
        <v/>
      </c>
      <c r="DD91" s="1428">
        <f>"——"</f>
        <v/>
      </c>
      <c r="DE91" s="1428">
        <f>"——"</f>
        <v/>
      </c>
      <c r="DF91" s="1428">
        <f>"——"</f>
        <v/>
      </c>
      <c r="DG91" s="1428">
        <f>"——"</f>
        <v/>
      </c>
      <c r="DH91" s="1428">
        <f>"——"</f>
        <v/>
      </c>
      <c r="DI91" s="1428">
        <f>"——"</f>
        <v/>
      </c>
      <c r="DJ91" s="1428">
        <f>"——"</f>
        <v/>
      </c>
      <c r="DK91" s="1428">
        <f>"——"</f>
        <v/>
      </c>
      <c r="DL91" s="1428">
        <f>"——"</f>
        <v/>
      </c>
      <c r="DM91" s="1428">
        <f>"——"</f>
        <v/>
      </c>
      <c r="DN91" s="1428">
        <f>"——"</f>
        <v/>
      </c>
      <c r="DO91" s="1428">
        <f>"——"</f>
        <v/>
      </c>
      <c r="DP91" s="1428">
        <f>"——"</f>
        <v/>
      </c>
    </row>
    <row r="92" hidden="1" outlineLevel="1" s="1181">
      <c r="A92" s="384" t="n"/>
      <c r="B92" s="384" t="n"/>
      <c r="C92" s="384" t="n"/>
      <c r="D92" s="384" t="n"/>
      <c r="E92" s="384" t="n"/>
      <c r="F92" s="384" t="n"/>
      <c r="G92" s="384" t="n"/>
      <c r="H92" s="384" t="n"/>
      <c r="I92" s="384" t="n"/>
      <c r="J92" s="384" t="n"/>
      <c r="K92" s="384" t="n"/>
      <c r="L92" s="384" t="n"/>
      <c r="M92" s="384" t="n"/>
      <c r="N92" s="384" t="n"/>
      <c r="O92" s="384" t="n"/>
      <c r="P92" s="384" t="n"/>
      <c r="Q92" s="384" t="n"/>
      <c r="R92" s="384" t="n"/>
      <c r="S92" s="384" t="n"/>
      <c r="T92" s="384" t="n"/>
      <c r="U92" s="384" t="n"/>
      <c r="V92" s="384" t="n"/>
      <c r="W92" s="384" t="inlineStr">
        <is>
          <t>A0270101</t>
        </is>
      </c>
      <c r="X92" s="32">
        <f>IF(_epmOfflineCondition_,"A0270101",EPMOlapMemberO(W92,"[C_ACCOUNT].[PARENTH1].[A0270101]","A0270101 -  售电收入","","000"))</f>
        <v/>
      </c>
      <c r="Y92" s="387" t="n"/>
      <c r="Z92" s="387" t="n"/>
      <c r="AA92" s="387" t="n"/>
      <c r="AB92" s="387" t="n"/>
      <c r="AC92" s="387" t="n"/>
      <c r="AD92" s="387" t="n"/>
      <c r="AE92" s="387" t="n"/>
      <c r="AF92" s="387" t="n"/>
      <c r="AG92" s="1279">
        <f>AO92-AW92</f>
        <v/>
      </c>
      <c r="AH92" s="1279">
        <f>AP92-AX92</f>
        <v/>
      </c>
      <c r="AI92" s="1279">
        <f>AQ92-AY92</f>
        <v/>
      </c>
      <c r="AJ92" s="1279">
        <f>AR92-AZ92</f>
        <v/>
      </c>
      <c r="AK92" s="1279">
        <f>AS92-BA92</f>
        <v/>
      </c>
      <c r="AL92" s="1279">
        <f>AT92-BB92</f>
        <v/>
      </c>
      <c r="AM92" s="1279">
        <f>AU92-BC92</f>
        <v/>
      </c>
      <c r="AN92" s="1279">
        <f>AW92-BM92</f>
        <v/>
      </c>
      <c r="AO92" s="387" t="n"/>
      <c r="AP92" s="387" t="inlineStr"/>
      <c r="AQ92" s="387" t="n"/>
      <c r="AR92" s="387" t="n"/>
      <c r="AS92" s="387" t="n"/>
      <c r="AT92" s="387" t="n"/>
      <c r="AU92" s="387" t="n"/>
      <c r="AV92" s="387" t="n"/>
      <c r="AW92" s="387" t="n"/>
      <c r="AX92" s="387" t="inlineStr"/>
      <c r="AY92" s="387" t="n"/>
      <c r="AZ92" s="387" t="n"/>
      <c r="BA92" s="387" t="n"/>
      <c r="BB92" s="387" t="n"/>
      <c r="BC92" s="387" t="n"/>
      <c r="BD92" s="387" t="n"/>
      <c r="BE92" s="387" t="n"/>
      <c r="BF92" s="387" t="inlineStr"/>
      <c r="BG92" s="387" t="n"/>
      <c r="BH92" s="387" t="n"/>
      <c r="BI92" s="387" t="n"/>
      <c r="BJ92" s="387" t="n"/>
      <c r="BK92" s="387" t="n"/>
      <c r="BL92" s="387" t="n"/>
      <c r="BM92" s="387" t="n"/>
      <c r="BN92" s="387" t="inlineStr"/>
      <c r="BO92" s="387" t="n"/>
      <c r="BP92" s="387" t="n"/>
      <c r="BQ92" s="387" t="n"/>
      <c r="BR92" s="387" t="n"/>
      <c r="BS92" s="387" t="n"/>
      <c r="BT92" s="387" t="n"/>
      <c r="BU92" s="387" t="n"/>
      <c r="BV92" s="387" t="n"/>
      <c r="BW92" s="387" t="n"/>
      <c r="BX92" s="387" t="n"/>
      <c r="BY92" s="387" t="n"/>
      <c r="BZ92" s="387" t="n"/>
      <c r="CA92" s="387" t="n"/>
      <c r="CB92" s="387" t="n"/>
      <c r="CC92" s="387" t="n"/>
      <c r="CD92" s="387" t="inlineStr"/>
      <c r="CE92" s="387" t="n"/>
      <c r="CF92" s="387" t="n"/>
      <c r="CG92" s="387" t="n"/>
      <c r="CH92" s="387" t="n"/>
      <c r="CI92" s="387" t="n"/>
      <c r="CJ92" s="387" t="n"/>
      <c r="CK92" s="387" t="n"/>
      <c r="CL92" s="387" t="n"/>
      <c r="CM92" s="387" t="n"/>
      <c r="CN92" s="387" t="n"/>
      <c r="CO92" s="387" t="n"/>
      <c r="CP92" s="387" t="n"/>
      <c r="CQ92" s="387" t="n"/>
      <c r="CR92" s="387" t="n"/>
      <c r="CS92" s="387" t="n"/>
      <c r="CT92" s="387" t="n"/>
      <c r="CU92" s="387" t="n"/>
      <c r="CV92" s="387" t="n"/>
      <c r="CW92" s="387" t="n"/>
      <c r="CX92" s="387" t="n"/>
      <c r="CY92" s="387" t="n"/>
      <c r="CZ92" s="387" t="n"/>
      <c r="DA92" s="387" t="n"/>
      <c r="DB92" s="387" t="n"/>
      <c r="DC92" s="387" t="n"/>
      <c r="DD92" s="387" t="n"/>
      <c r="DE92" s="387" t="n"/>
      <c r="DF92" s="387" t="n"/>
      <c r="DG92" s="387" t="n"/>
      <c r="DH92" s="387" t="n"/>
      <c r="DI92" s="387" t="n"/>
      <c r="DJ92" s="387" t="inlineStr"/>
      <c r="DK92" s="387" t="n"/>
      <c r="DL92" s="387" t="n"/>
      <c r="DM92" s="387" t="n"/>
      <c r="DN92" s="387" t="n"/>
      <c r="DO92" s="387" t="n"/>
      <c r="DP92" s="387" t="n"/>
    </row>
    <row r="93" hidden="1" outlineLevel="1" s="1181">
      <c r="A93" s="384" t="n"/>
      <c r="B93" s="384" t="n"/>
      <c r="C93" s="384" t="n"/>
      <c r="D93" s="384" t="n"/>
      <c r="E93" s="384" t="n"/>
      <c r="F93" s="384" t="n"/>
      <c r="G93" s="384" t="n"/>
      <c r="H93" s="384" t="n"/>
      <c r="I93" s="384" t="n"/>
      <c r="J93" s="384" t="n"/>
      <c r="K93" s="384" t="n"/>
      <c r="L93" s="384" t="n"/>
      <c r="M93" s="384" t="n"/>
      <c r="N93" s="384" t="n"/>
      <c r="O93" s="384" t="n"/>
      <c r="P93" s="384" t="n"/>
      <c r="Q93" s="384" t="n"/>
      <c r="R93" s="384" t="n"/>
      <c r="S93" s="384" t="n"/>
      <c r="T93" s="384" t="n"/>
      <c r="U93" s="384" t="n"/>
      <c r="V93" s="384" t="n"/>
      <c r="W93" s="384" t="inlineStr">
        <is>
          <t>A0270201</t>
        </is>
      </c>
      <c r="X93" s="32">
        <f>IF(_epmOfflineCondition_,"A0270201",EPMOlapMemberO(W93,"[C_ACCOUNT].[PARENTH1].[A0270201]","A0270201 -  售电量","","000"))</f>
        <v/>
      </c>
      <c r="Y93" s="387" t="n"/>
      <c r="Z93" s="387" t="n"/>
      <c r="AA93" s="387" t="n"/>
      <c r="AB93" s="387" t="n"/>
      <c r="AC93" s="387" t="n"/>
      <c r="AD93" s="387" t="n"/>
      <c r="AE93" s="387" t="n"/>
      <c r="AF93" s="387" t="n"/>
      <c r="AG93" s="1279">
        <f>AO93-AW93</f>
        <v/>
      </c>
      <c r="AH93" s="1279">
        <f>AP93-AX93</f>
        <v/>
      </c>
      <c r="AI93" s="1279">
        <f>AQ93-AY93</f>
        <v/>
      </c>
      <c r="AJ93" s="1279">
        <f>AR93-AZ93</f>
        <v/>
      </c>
      <c r="AK93" s="1279">
        <f>AS93-BA93</f>
        <v/>
      </c>
      <c r="AL93" s="1279">
        <f>AT93-BB93</f>
        <v/>
      </c>
      <c r="AM93" s="1279">
        <f>AU93-BC93</f>
        <v/>
      </c>
      <c r="AN93" s="1279">
        <f>AW93-BM93</f>
        <v/>
      </c>
      <c r="AO93" s="387" t="n"/>
      <c r="AP93" s="387" t="inlineStr"/>
      <c r="AQ93" s="387" t="n"/>
      <c r="AR93" s="387" t="n"/>
      <c r="AS93" s="387" t="n"/>
      <c r="AT93" s="387" t="n"/>
      <c r="AU93" s="387" t="n"/>
      <c r="AV93" s="387" t="n"/>
      <c r="AW93" s="387" t="n"/>
      <c r="AX93" s="387" t="inlineStr"/>
      <c r="AY93" s="387" t="n"/>
      <c r="AZ93" s="387" t="n"/>
      <c r="BA93" s="387" t="n"/>
      <c r="BB93" s="387" t="n"/>
      <c r="BC93" s="387" t="n"/>
      <c r="BD93" s="387" t="n"/>
      <c r="BE93" s="387" t="n"/>
      <c r="BF93" s="387" t="inlineStr"/>
      <c r="BG93" s="387" t="n"/>
      <c r="BH93" s="387" t="n"/>
      <c r="BI93" s="387" t="n"/>
      <c r="BJ93" s="387" t="n"/>
      <c r="BK93" s="387" t="n"/>
      <c r="BL93" s="387" t="n"/>
      <c r="BM93" s="387" t="n"/>
      <c r="BN93" s="387" t="inlineStr"/>
      <c r="BO93" s="387" t="n"/>
      <c r="BP93" s="387" t="n"/>
      <c r="BQ93" s="387" t="n"/>
      <c r="BR93" s="387" t="n"/>
      <c r="BS93" s="387" t="n"/>
      <c r="BT93" s="387" t="n"/>
      <c r="BU93" s="387" t="n"/>
      <c r="BV93" s="387" t="n"/>
      <c r="BW93" s="387" t="n"/>
      <c r="BX93" s="387" t="n"/>
      <c r="BY93" s="387" t="n"/>
      <c r="BZ93" s="387" t="n"/>
      <c r="CA93" s="387" t="n"/>
      <c r="CB93" s="387" t="n"/>
      <c r="CC93" s="387" t="n"/>
      <c r="CD93" s="387" t="inlineStr"/>
      <c r="CE93" s="387" t="n"/>
      <c r="CF93" s="387" t="n"/>
      <c r="CG93" s="387" t="n"/>
      <c r="CH93" s="387" t="n"/>
      <c r="CI93" s="387" t="n"/>
      <c r="CJ93" s="387" t="n"/>
      <c r="CK93" s="387" t="n"/>
      <c r="CL93" s="387" t="n"/>
      <c r="CM93" s="387" t="n"/>
      <c r="CN93" s="387" t="n"/>
      <c r="CO93" s="387" t="n"/>
      <c r="CP93" s="387" t="n"/>
      <c r="CQ93" s="387" t="n"/>
      <c r="CR93" s="387" t="n"/>
      <c r="CS93" s="387" t="n"/>
      <c r="CT93" s="387" t="n"/>
      <c r="CU93" s="387" t="n"/>
      <c r="CV93" s="387" t="n"/>
      <c r="CW93" s="387" t="n"/>
      <c r="CX93" s="387" t="n"/>
      <c r="CY93" s="387" t="n"/>
      <c r="CZ93" s="387" t="n"/>
      <c r="DA93" s="387" t="n"/>
      <c r="DB93" s="387" t="n"/>
      <c r="DC93" s="387" t="n"/>
      <c r="DD93" s="387" t="n"/>
      <c r="DE93" s="387" t="n"/>
      <c r="DF93" s="387" t="n"/>
      <c r="DG93" s="387" t="n"/>
      <c r="DH93" s="387" t="n"/>
      <c r="DI93" s="387" t="n"/>
      <c r="DJ93" s="387" t="inlineStr"/>
      <c r="DK93" s="387" t="n"/>
      <c r="DL93" s="387" t="n"/>
      <c r="DM93" s="387" t="n"/>
      <c r="DN93" s="387" t="n"/>
      <c r="DO93" s="387" t="n"/>
      <c r="DP93" s="387" t="n"/>
    </row>
    <row r="94" hidden="1" outlineLevel="1" s="1181">
      <c r="A94" s="384" t="n"/>
      <c r="B94" s="384" t="n"/>
      <c r="C94" s="384" t="n"/>
      <c r="D94" s="384" t="n"/>
      <c r="E94" s="384" t="n"/>
      <c r="F94" s="384" t="n"/>
      <c r="G94" s="384" t="n"/>
      <c r="H94" s="384" t="n"/>
      <c r="I94" s="384" t="n"/>
      <c r="J94" s="384" t="n"/>
      <c r="K94" s="384" t="n"/>
      <c r="L94" s="384" t="n"/>
      <c r="M94" s="384" t="n"/>
      <c r="N94" s="384" t="n"/>
      <c r="O94" s="384" t="n"/>
      <c r="P94" s="384" t="n"/>
      <c r="Q94" s="384" t="n"/>
      <c r="R94" s="384" t="n"/>
      <c r="S94" s="384" t="n"/>
      <c r="T94" s="384" t="n"/>
      <c r="U94" s="384" t="n"/>
      <c r="V94" s="384" t="n"/>
      <c r="W94" s="384" t="inlineStr">
        <is>
          <t>A0270102</t>
        </is>
      </c>
      <c r="X94" s="32">
        <f>IF(_epmOfflineCondition_,"A0270102",EPMOlapMemberO(W94,"[C_ACCOUNT].[PARENTH1].[A0270102]","A0270102 -  售热收入","","000"))</f>
        <v/>
      </c>
      <c r="Y94" s="387" t="n"/>
      <c r="Z94" s="387" t="n"/>
      <c r="AA94" s="387" t="n"/>
      <c r="AB94" s="387" t="n"/>
      <c r="AC94" s="387" t="n"/>
      <c r="AD94" s="387" t="n"/>
      <c r="AE94" s="387" t="n"/>
      <c r="AF94" s="387" t="n"/>
      <c r="AG94" s="1279">
        <f>AO94-AW94</f>
        <v/>
      </c>
      <c r="AH94" s="1279">
        <f>AP94-AX94</f>
        <v/>
      </c>
      <c r="AI94" s="1279">
        <f>AQ94-AY94</f>
        <v/>
      </c>
      <c r="AJ94" s="1279">
        <f>AR94-AZ94</f>
        <v/>
      </c>
      <c r="AK94" s="1279">
        <f>AS94-BA94</f>
        <v/>
      </c>
      <c r="AL94" s="1279">
        <f>AT94-BB94</f>
        <v/>
      </c>
      <c r="AM94" s="1279">
        <f>AU94-BC94</f>
        <v/>
      </c>
      <c r="AN94" s="1279">
        <f>AW94-BM94</f>
        <v/>
      </c>
      <c r="AO94" s="387" t="n"/>
      <c r="AP94" s="387" t="n"/>
      <c r="AQ94" s="387" t="n"/>
      <c r="AR94" s="387" t="n"/>
      <c r="AS94" s="387" t="n"/>
      <c r="AT94" s="387" t="n"/>
      <c r="AU94" s="387" t="n"/>
      <c r="AV94" s="387" t="n"/>
      <c r="AW94" s="387" t="n"/>
      <c r="AX94" s="387" t="n"/>
      <c r="AY94" s="387" t="n"/>
      <c r="AZ94" s="387" t="n"/>
      <c r="BA94" s="387" t="n"/>
      <c r="BB94" s="387" t="n"/>
      <c r="BC94" s="387" t="n"/>
      <c r="BD94" s="387" t="n"/>
      <c r="BE94" s="387" t="n"/>
      <c r="BF94" s="387" t="n"/>
      <c r="BG94" s="387" t="n"/>
      <c r="BH94" s="387" t="n"/>
      <c r="BI94" s="387" t="n"/>
      <c r="BJ94" s="387" t="n"/>
      <c r="BK94" s="387" t="n"/>
      <c r="BL94" s="387" t="n"/>
      <c r="BM94" s="387" t="n"/>
      <c r="BN94" s="387" t="n"/>
      <c r="BO94" s="387" t="n"/>
      <c r="BP94" s="387" t="n"/>
      <c r="BQ94" s="387" t="n"/>
      <c r="BR94" s="387" t="n"/>
      <c r="BS94" s="387" t="n"/>
      <c r="BT94" s="387" t="n"/>
      <c r="BU94" s="387" t="n"/>
      <c r="BV94" s="387" t="n"/>
      <c r="BW94" s="387" t="n"/>
      <c r="BX94" s="387" t="n"/>
      <c r="BY94" s="387" t="n"/>
      <c r="BZ94" s="387" t="n"/>
      <c r="CA94" s="387" t="n"/>
      <c r="CB94" s="387" t="n"/>
      <c r="CC94" s="387" t="n"/>
      <c r="CD94" s="387" t="n"/>
      <c r="CE94" s="387" t="n"/>
      <c r="CF94" s="387" t="n"/>
      <c r="CG94" s="387" t="n"/>
      <c r="CH94" s="387" t="n"/>
      <c r="CI94" s="387" t="n"/>
      <c r="CJ94" s="387" t="n"/>
      <c r="CK94" s="387" t="n"/>
      <c r="CL94" s="387" t="n"/>
      <c r="CM94" s="387" t="n"/>
      <c r="CN94" s="387" t="n"/>
      <c r="CO94" s="387" t="n"/>
      <c r="CP94" s="387" t="n"/>
      <c r="CQ94" s="387" t="n"/>
      <c r="CR94" s="387" t="n"/>
      <c r="CS94" s="387" t="n"/>
      <c r="CT94" s="387" t="n"/>
      <c r="CU94" s="387" t="n"/>
      <c r="CV94" s="387" t="n"/>
      <c r="CW94" s="387" t="n"/>
      <c r="CX94" s="387" t="n"/>
      <c r="CY94" s="387" t="n"/>
      <c r="CZ94" s="387" t="n"/>
      <c r="DA94" s="387" t="n"/>
      <c r="DB94" s="387" t="n"/>
      <c r="DC94" s="387" t="n"/>
      <c r="DD94" s="387" t="n"/>
      <c r="DE94" s="387" t="n"/>
      <c r="DF94" s="387" t="n"/>
      <c r="DG94" s="387" t="n"/>
      <c r="DH94" s="387" t="n"/>
      <c r="DI94" s="387" t="n"/>
      <c r="DJ94" s="387" t="n"/>
      <c r="DK94" s="387" t="n"/>
      <c r="DL94" s="387" t="n"/>
      <c r="DM94" s="387" t="n"/>
      <c r="DN94" s="387" t="n"/>
      <c r="DO94" s="387" t="n"/>
      <c r="DP94" s="387" t="n"/>
    </row>
    <row r="95" hidden="1" outlineLevel="1" s="1181">
      <c r="A95" s="384" t="n"/>
      <c r="B95" s="384" t="n"/>
      <c r="C95" s="384" t="n"/>
      <c r="D95" s="384" t="n"/>
      <c r="E95" s="384" t="n"/>
      <c r="F95" s="384" t="n"/>
      <c r="G95" s="384" t="n"/>
      <c r="H95" s="384" t="n"/>
      <c r="I95" s="384" t="n"/>
      <c r="J95" s="384" t="n"/>
      <c r="K95" s="384" t="n"/>
      <c r="L95" s="384" t="n"/>
      <c r="M95" s="384" t="n"/>
      <c r="N95" s="384" t="n"/>
      <c r="O95" s="384" t="n"/>
      <c r="P95" s="384" t="n"/>
      <c r="Q95" s="384" t="n"/>
      <c r="R95" s="384" t="n"/>
      <c r="S95" s="384" t="n"/>
      <c r="T95" s="384" t="n"/>
      <c r="U95" s="384" t="n"/>
      <c r="V95" s="384" t="n"/>
      <c r="W95" s="384" t="inlineStr">
        <is>
          <t>A0270203</t>
        </is>
      </c>
      <c r="X95" s="32">
        <f>IF(_epmOfflineCondition_,"A0270203",EPMOlapMemberO(W95,"[C_ACCOUNT].[PARENTH1].[A0270203]","A0270203 -  售热售汽量","","000"))</f>
        <v/>
      </c>
      <c r="Y95" s="387" t="n"/>
      <c r="Z95" s="387" t="n"/>
      <c r="AA95" s="387" t="n"/>
      <c r="AB95" s="387" t="n"/>
      <c r="AC95" s="387" t="n"/>
      <c r="AD95" s="387" t="n"/>
      <c r="AE95" s="387" t="n"/>
      <c r="AF95" s="387" t="n"/>
      <c r="AG95" s="1279">
        <f>AO95-AW95</f>
        <v/>
      </c>
      <c r="AH95" s="1279">
        <f>AP95-AX95</f>
        <v/>
      </c>
      <c r="AI95" s="1279">
        <f>AQ95-AY95</f>
        <v/>
      </c>
      <c r="AJ95" s="1279">
        <f>AR95-AZ95</f>
        <v/>
      </c>
      <c r="AK95" s="1279">
        <f>AS95-BA95</f>
        <v/>
      </c>
      <c r="AL95" s="1279">
        <f>AT95-BB95</f>
        <v/>
      </c>
      <c r="AM95" s="1279">
        <f>AU95-BC95</f>
        <v/>
      </c>
      <c r="AN95" s="1279">
        <f>AW95-BM95</f>
        <v/>
      </c>
      <c r="AO95" s="387" t="n"/>
      <c r="AP95" s="387" t="n"/>
      <c r="AQ95" s="387" t="n"/>
      <c r="AR95" s="387" t="n"/>
      <c r="AS95" s="387" t="n"/>
      <c r="AT95" s="387" t="n"/>
      <c r="AU95" s="387" t="n"/>
      <c r="AV95" s="387" t="n"/>
      <c r="AW95" s="387" t="n"/>
      <c r="AX95" s="387" t="n"/>
      <c r="AY95" s="387" t="n"/>
      <c r="AZ95" s="387" t="n"/>
      <c r="BA95" s="387" t="n"/>
      <c r="BB95" s="387" t="n"/>
      <c r="BC95" s="387" t="n"/>
      <c r="BD95" s="387" t="n"/>
      <c r="BE95" s="387" t="n"/>
      <c r="BF95" s="387" t="n"/>
      <c r="BG95" s="387" t="n"/>
      <c r="BH95" s="387" t="n"/>
      <c r="BI95" s="387" t="n"/>
      <c r="BJ95" s="387" t="n"/>
      <c r="BK95" s="387" t="n"/>
      <c r="BL95" s="387" t="n"/>
      <c r="BM95" s="387" t="n"/>
      <c r="BN95" s="387" t="n"/>
      <c r="BO95" s="387" t="n"/>
      <c r="BP95" s="387" t="n"/>
      <c r="BQ95" s="387" t="n"/>
      <c r="BR95" s="387" t="n"/>
      <c r="BS95" s="387" t="n"/>
      <c r="BT95" s="387" t="n"/>
      <c r="BU95" s="387" t="n"/>
      <c r="BV95" s="387" t="n"/>
      <c r="BW95" s="387" t="n"/>
      <c r="BX95" s="387" t="n"/>
      <c r="BY95" s="387" t="n"/>
      <c r="BZ95" s="387" t="n"/>
      <c r="CA95" s="387" t="n"/>
      <c r="CB95" s="387" t="n"/>
      <c r="CC95" s="387" t="n"/>
      <c r="CD95" s="387" t="n"/>
      <c r="CE95" s="387" t="n"/>
      <c r="CF95" s="387" t="n"/>
      <c r="CG95" s="387" t="n"/>
      <c r="CH95" s="387" t="n"/>
      <c r="CI95" s="387" t="n"/>
      <c r="CJ95" s="387" t="n"/>
      <c r="CK95" s="387" t="n"/>
      <c r="CL95" s="387" t="n"/>
      <c r="CM95" s="387" t="n"/>
      <c r="CN95" s="387" t="n"/>
      <c r="CO95" s="387" t="n"/>
      <c r="CP95" s="387" t="n"/>
      <c r="CQ95" s="387" t="n"/>
      <c r="CR95" s="387" t="n"/>
      <c r="CS95" s="387" t="n"/>
      <c r="CT95" s="387" t="n"/>
      <c r="CU95" s="387" t="n"/>
      <c r="CV95" s="387" t="n"/>
      <c r="CW95" s="387" t="n"/>
      <c r="CX95" s="387" t="n"/>
      <c r="CY95" s="387" t="n"/>
      <c r="CZ95" s="387" t="n"/>
      <c r="DA95" s="387" t="n"/>
      <c r="DB95" s="387" t="n"/>
      <c r="DC95" s="387" t="n"/>
      <c r="DD95" s="387" t="n"/>
      <c r="DE95" s="387" t="n"/>
      <c r="DF95" s="387" t="n"/>
      <c r="DG95" s="387" t="n"/>
      <c r="DH95" s="387" t="n"/>
      <c r="DI95" s="387" t="n"/>
      <c r="DJ95" s="387" t="n"/>
      <c r="DK95" s="387" t="n"/>
      <c r="DL95" s="387" t="n"/>
      <c r="DM95" s="387" t="n"/>
      <c r="DN95" s="387" t="n"/>
      <c r="DO95" s="387" t="n"/>
      <c r="DP95" s="387" t="n"/>
    </row>
    <row r="96" hidden="1" outlineLevel="1" s="1181">
      <c r="A96" s="384" t="n"/>
      <c r="B96" s="384" t="n"/>
      <c r="C96" s="384" t="n"/>
      <c r="D96" s="384" t="n"/>
      <c r="E96" s="384" t="n"/>
      <c r="F96" s="384" t="n"/>
      <c r="G96" s="384" t="n"/>
      <c r="H96" s="384" t="n"/>
      <c r="I96" s="384" t="n"/>
      <c r="J96" s="384" t="n"/>
      <c r="K96" s="384" t="n"/>
      <c r="L96" s="384" t="n"/>
      <c r="M96" s="384" t="n"/>
      <c r="N96" s="384" t="n"/>
      <c r="O96" s="384" t="n"/>
      <c r="P96" s="384" t="n"/>
      <c r="Q96" s="384" t="n"/>
      <c r="R96" s="384" t="n"/>
      <c r="S96" s="384" t="n"/>
      <c r="T96" s="384" t="n"/>
      <c r="U96" s="384" t="n"/>
      <c r="V96" s="384" t="n"/>
      <c r="W96" s="384" t="n"/>
      <c r="X96" s="383" t="n"/>
      <c r="Y96" s="384" t="n"/>
      <c r="Z96" s="384" t="n"/>
      <c r="AA96" s="384" t="n"/>
      <c r="AB96" s="384" t="n"/>
      <c r="AC96" s="384" t="n"/>
      <c r="AD96" s="384" t="n"/>
      <c r="AE96" s="384" t="n"/>
      <c r="AF96" s="384" t="n"/>
      <c r="AG96" s="384" t="n"/>
      <c r="AH96" s="394" t="n"/>
      <c r="AI96" s="395" t="n"/>
      <c r="AJ96" s="395" t="n"/>
      <c r="AK96" s="395" t="n"/>
      <c r="AL96" s="395" t="n"/>
      <c r="AM96" s="407" t="n"/>
      <c r="AN96" s="407" t="n"/>
      <c r="AO96" s="384" t="n"/>
      <c r="AP96" s="384" t="n"/>
      <c r="AQ96" s="384" t="n"/>
      <c r="AR96" s="384" t="n"/>
      <c r="AS96" s="384" t="n"/>
      <c r="AT96" s="384" t="n"/>
      <c r="AU96" s="384" t="n"/>
      <c r="AV96" s="384" t="n"/>
      <c r="AW96" s="384" t="n"/>
      <c r="AX96" s="384" t="n"/>
      <c r="AY96" s="384" t="n"/>
      <c r="AZ96" s="384" t="n"/>
      <c r="BA96" s="384" t="n"/>
      <c r="BB96" s="384" t="n"/>
      <c r="BC96" s="384" t="n"/>
      <c r="BD96" s="384" t="n"/>
      <c r="BE96" s="384" t="n"/>
      <c r="BF96" s="384" t="n"/>
      <c r="BG96" s="384" t="n"/>
      <c r="BH96" s="384" t="n"/>
      <c r="BI96" s="384" t="n"/>
      <c r="BJ96" s="384" t="n"/>
      <c r="BK96" s="384" t="n"/>
      <c r="BL96" s="384" t="n"/>
      <c r="BM96" s="384" t="n"/>
      <c r="BN96" s="384" t="n"/>
      <c r="BO96" s="384" t="n"/>
      <c r="BP96" s="384" t="n"/>
      <c r="BQ96" s="384" t="n"/>
      <c r="BR96" s="384" t="n"/>
      <c r="BS96" s="384" t="n"/>
      <c r="BT96" s="384" t="n"/>
      <c r="BU96" s="384" t="n"/>
      <c r="BV96" s="384" t="n"/>
      <c r="BW96" s="384" t="n"/>
      <c r="BX96" s="384" t="n"/>
      <c r="BY96" s="384" t="n"/>
      <c r="BZ96" s="384" t="n"/>
      <c r="CA96" s="384" t="n"/>
      <c r="CB96" s="384" t="n"/>
      <c r="CC96" s="384" t="n"/>
      <c r="CD96" s="384" t="n"/>
      <c r="CE96" s="384" t="n"/>
      <c r="CF96" s="384" t="n"/>
      <c r="CG96" s="384" t="n"/>
      <c r="CH96" s="384" t="n"/>
      <c r="CI96" s="384" t="n"/>
      <c r="CJ96" s="384" t="n"/>
      <c r="CK96" s="384" t="n"/>
      <c r="CL96" s="384" t="n"/>
      <c r="CM96" s="384" t="n"/>
      <c r="CN96" s="384" t="n"/>
      <c r="CO96" s="384" t="n"/>
      <c r="CP96" s="384" t="n"/>
      <c r="CQ96" s="384" t="n"/>
      <c r="CR96" s="384" t="n"/>
      <c r="CS96" s="384" t="n"/>
      <c r="CT96" s="384" t="n"/>
      <c r="CU96" s="384" t="n"/>
      <c r="CV96" s="384" t="n"/>
      <c r="CW96" s="384" t="n"/>
      <c r="CX96" s="384" t="n"/>
      <c r="CY96" s="384" t="n"/>
      <c r="CZ96" s="384" t="n"/>
      <c r="DA96" s="384" t="n"/>
      <c r="DB96" s="384" t="n"/>
      <c r="DC96" s="384" t="n"/>
      <c r="DD96" s="384" t="n"/>
      <c r="DE96" s="384" t="n"/>
      <c r="DF96" s="384" t="n"/>
      <c r="DG96" s="384" t="n"/>
      <c r="DH96" s="384" t="n"/>
      <c r="DI96" s="384" t="n"/>
      <c r="DJ96" s="384" t="n"/>
      <c r="DK96" s="384" t="n"/>
      <c r="DL96" s="384" t="n"/>
      <c r="DM96" s="384" t="n"/>
      <c r="DN96" s="384" t="n"/>
      <c r="DO96" s="384" t="n"/>
      <c r="DP96" s="384" t="n"/>
    </row>
    <row r="97" hidden="1" outlineLevel="1" s="1181">
      <c r="A97" s="384" t="n"/>
      <c r="B97" s="384" t="n"/>
      <c r="C97" s="384" t="n"/>
      <c r="D97" s="384" t="n"/>
      <c r="E97" s="384" t="n"/>
      <c r="F97" s="384" t="n"/>
      <c r="G97" s="384" t="n"/>
      <c r="H97" s="384" t="n"/>
      <c r="I97" s="384" t="n"/>
      <c r="J97" s="384" t="n"/>
      <c r="K97" s="384" t="n"/>
      <c r="L97" s="384" t="n"/>
      <c r="M97" s="384" t="n"/>
      <c r="N97" s="384" t="n"/>
      <c r="O97" s="384" t="n"/>
      <c r="P97" s="384" t="n"/>
      <c r="Q97" s="384" t="n"/>
      <c r="R97" s="384" t="n"/>
      <c r="S97" s="384" t="n"/>
      <c r="T97" s="384" t="n"/>
      <c r="U97" s="384" t="n"/>
      <c r="V97" s="384" t="n"/>
      <c r="W97" s="384" t="n"/>
      <c r="X97" s="384" t="n"/>
      <c r="Y97" s="384" t="n"/>
      <c r="Z97" s="384" t="n"/>
      <c r="AA97" s="384" t="n"/>
      <c r="AB97" s="390" t="n"/>
      <c r="AC97" s="390" t="n"/>
      <c r="AD97" s="390" t="n"/>
      <c r="AE97" s="390" t="n"/>
      <c r="AF97" s="390" t="n"/>
      <c r="AG97" s="390" t="n"/>
      <c r="AH97" s="396" t="inlineStr">
        <is>
          <t>取：收入明细表（发电企业）-售电收入</t>
        </is>
      </c>
      <c r="AI97" s="1270" t="n"/>
      <c r="AJ97" s="1270" t="n"/>
      <c r="AK97" s="1270" t="n"/>
      <c r="AL97" s="1270" t="n"/>
      <c r="AM97" s="1271" t="n"/>
      <c r="AN97" s="725" t="n"/>
      <c r="AO97" s="384" t="n"/>
      <c r="AP97" s="384" t="n"/>
      <c r="AQ97" s="384" t="n"/>
      <c r="AR97" s="384" t="n"/>
      <c r="AS97" s="384" t="n"/>
      <c r="AT97" s="384" t="n"/>
      <c r="AU97" s="384" t="n"/>
      <c r="AV97" s="384" t="n"/>
      <c r="AW97" s="384" t="n"/>
      <c r="AX97" s="384" t="n"/>
      <c r="AY97" s="384" t="n"/>
      <c r="AZ97" s="384" t="n"/>
      <c r="BA97" s="384" t="n"/>
      <c r="BB97" s="384" t="n"/>
      <c r="BC97" s="384" t="n"/>
      <c r="BD97" s="384" t="n"/>
      <c r="BE97" s="384" t="n"/>
      <c r="BF97" s="384" t="n"/>
      <c r="BG97" s="384" t="n"/>
      <c r="BH97" s="384" t="n"/>
      <c r="BI97" s="384" t="n"/>
      <c r="BJ97" s="384" t="n"/>
      <c r="BK97" s="384" t="n"/>
      <c r="BL97" s="384" t="n"/>
      <c r="BM97" s="384" t="n"/>
      <c r="BN97" s="384" t="n"/>
      <c r="BO97" s="384" t="n"/>
      <c r="BP97" s="384" t="n"/>
      <c r="BQ97" s="384" t="n"/>
      <c r="BR97" s="384" t="n"/>
      <c r="BS97" s="384" t="n"/>
      <c r="BT97" s="384" t="n"/>
      <c r="BU97" s="384" t="n"/>
      <c r="BV97" s="384" t="n"/>
      <c r="BW97" s="384" t="n"/>
      <c r="BX97" s="384" t="n"/>
      <c r="BY97" s="384" t="n"/>
      <c r="BZ97" s="384" t="n"/>
      <c r="CA97" s="384" t="n"/>
      <c r="CB97" s="384" t="n"/>
      <c r="CC97" s="384" t="n"/>
      <c r="CD97" s="384" t="n"/>
      <c r="CE97" s="384" t="n"/>
      <c r="CF97" s="384" t="n"/>
      <c r="CG97" s="384" t="n"/>
      <c r="CH97" s="384" t="n"/>
      <c r="CI97" s="384" t="n"/>
      <c r="CJ97" s="384" t="n"/>
      <c r="CK97" s="384" t="n"/>
      <c r="CL97" s="384" t="n"/>
      <c r="CM97" s="384" t="n"/>
      <c r="CN97" s="384" t="n"/>
      <c r="CO97" s="384" t="n"/>
      <c r="CP97" s="384" t="n"/>
      <c r="CQ97" s="384" t="n"/>
      <c r="CR97" s="384" t="n"/>
      <c r="CS97" s="384" t="n"/>
      <c r="CT97" s="384" t="n"/>
      <c r="CU97" s="384" t="n"/>
      <c r="CV97" s="384" t="n"/>
      <c r="CW97" s="384" t="n"/>
      <c r="CX97" s="384" t="n"/>
      <c r="CY97" s="384" t="n"/>
      <c r="CZ97" s="384" t="n"/>
      <c r="DA97" s="384" t="n"/>
      <c r="DB97" s="384" t="n"/>
      <c r="DC97" s="384" t="n"/>
      <c r="DD97" s="384" t="n"/>
      <c r="DE97" s="384" t="n"/>
      <c r="DF97" s="384" t="n"/>
      <c r="DG97" s="384" t="n"/>
      <c r="DH97" s="384" t="n"/>
      <c r="DI97" s="384" t="n"/>
      <c r="DJ97" s="384" t="n"/>
      <c r="DK97" s="384" t="n"/>
      <c r="DL97" s="384" t="n"/>
      <c r="DM97" s="384" t="n"/>
      <c r="DN97" s="384" t="n"/>
      <c r="DO97" s="384" t="n"/>
      <c r="DP97" s="384" t="n"/>
    </row>
    <row r="98" hidden="1" outlineLevel="1" s="1181">
      <c r="A98" s="384" t="n"/>
      <c r="B98" s="384" t="n"/>
      <c r="C98" s="384" t="n"/>
      <c r="D98" s="384" t="n"/>
      <c r="E98" s="384" t="n"/>
      <c r="F98" s="384" t="n"/>
      <c r="G98" s="384" t="n"/>
      <c r="H98" s="384" t="n"/>
      <c r="I98" s="384" t="n"/>
      <c r="J98" s="384" t="n"/>
      <c r="K98" s="384" t="n"/>
      <c r="L98" s="384" t="n"/>
      <c r="M98" s="384" t="n"/>
      <c r="N98" s="384" t="n"/>
      <c r="O98" s="384" t="n"/>
      <c r="P98" s="384" t="n"/>
      <c r="Q98" s="384" t="n"/>
      <c r="R98" s="384" t="n"/>
      <c r="S98" s="384" t="n"/>
      <c r="T98" s="384" t="n"/>
      <c r="U98" s="384" t="n"/>
      <c r="V98" s="384" t="n"/>
      <c r="W98" s="384" t="n"/>
      <c r="X98" s="384" t="n"/>
      <c r="Y98" s="388" t="inlineStr">
        <is>
          <t>A03432</t>
        </is>
      </c>
      <c r="Z98" s="388" t="inlineStr">
        <is>
          <t>A03432</t>
        </is>
      </c>
      <c r="AA98" s="388" t="inlineStr">
        <is>
          <t>A03432</t>
        </is>
      </c>
      <c r="AB98" s="389" t="inlineStr">
        <is>
          <t>A0270102</t>
        </is>
      </c>
      <c r="AC98" s="389" t="inlineStr">
        <is>
          <t>A0270102</t>
        </is>
      </c>
      <c r="AD98" s="389" t="inlineStr">
        <is>
          <t>A0270102</t>
        </is>
      </c>
      <c r="AE98" s="389" t="inlineStr">
        <is>
          <t>A0270102</t>
        </is>
      </c>
      <c r="AF98" s="393" t="inlineStr">
        <is>
          <t>A027020301</t>
        </is>
      </c>
      <c r="AG98" s="393" t="inlineStr">
        <is>
          <t>A027020303</t>
        </is>
      </c>
      <c r="AH98" s="398" t="inlineStr">
        <is>
          <t>A027020301</t>
        </is>
      </c>
      <c r="AI98" s="393" t="inlineStr">
        <is>
          <t>A027020303</t>
        </is>
      </c>
      <c r="AJ98" s="393" t="inlineStr">
        <is>
          <t>A027020301</t>
        </is>
      </c>
      <c r="AK98" s="393" t="inlineStr">
        <is>
          <t>A027020303</t>
        </is>
      </c>
      <c r="AL98" s="393" t="inlineStr">
        <is>
          <t>A027020301</t>
        </is>
      </c>
      <c r="AM98" s="410" t="inlineStr">
        <is>
          <t>A027020303</t>
        </is>
      </c>
      <c r="AN98" s="410" t="inlineStr">
        <is>
          <t>A027020303</t>
        </is>
      </c>
      <c r="AO98" s="842" t="inlineStr">
        <is>
          <t>A0343201</t>
        </is>
      </c>
      <c r="AP98" s="842" t="inlineStr">
        <is>
          <t>A0343202</t>
        </is>
      </c>
      <c r="AQ98" s="842" t="inlineStr">
        <is>
          <t>A0343203</t>
        </is>
      </c>
      <c r="AR98" s="842" t="inlineStr">
        <is>
          <t>A0343204</t>
        </is>
      </c>
      <c r="AS98" s="842" t="inlineStr">
        <is>
          <t>A0343205</t>
        </is>
      </c>
      <c r="AT98" s="842" t="inlineStr">
        <is>
          <t>A0343206</t>
        </is>
      </c>
      <c r="AU98" s="388" t="inlineStr">
        <is>
          <t>A03432</t>
        </is>
      </c>
      <c r="AV98" s="388" t="inlineStr">
        <is>
          <t>A03432</t>
        </is>
      </c>
      <c r="AW98" s="842" t="inlineStr">
        <is>
          <t>A0343201</t>
        </is>
      </c>
      <c r="AX98" s="842" t="inlineStr">
        <is>
          <t>A0343202</t>
        </is>
      </c>
      <c r="AY98" s="842" t="inlineStr">
        <is>
          <t>A0343203</t>
        </is>
      </c>
      <c r="AZ98" s="842" t="inlineStr">
        <is>
          <t>A0343204</t>
        </is>
      </c>
      <c r="BA98" s="842" t="inlineStr">
        <is>
          <t>A0343205</t>
        </is>
      </c>
      <c r="BB98" s="842" t="inlineStr">
        <is>
          <t>A0343206</t>
        </is>
      </c>
      <c r="BC98" s="388" t="inlineStr">
        <is>
          <t>A03432</t>
        </is>
      </c>
      <c r="BD98" s="388" t="inlineStr">
        <is>
          <t>A03432</t>
        </is>
      </c>
      <c r="BE98" s="842" t="inlineStr">
        <is>
          <t>A0343201</t>
        </is>
      </c>
      <c r="BF98" s="842" t="inlineStr">
        <is>
          <t>A0343202</t>
        </is>
      </c>
      <c r="BG98" s="842" t="inlineStr">
        <is>
          <t>A0343203</t>
        </is>
      </c>
      <c r="BH98" s="842" t="inlineStr">
        <is>
          <t>A0343204</t>
        </is>
      </c>
      <c r="BI98" s="842" t="inlineStr">
        <is>
          <t>A0343205</t>
        </is>
      </c>
      <c r="BJ98" s="842" t="inlineStr">
        <is>
          <t>A0343206</t>
        </is>
      </c>
      <c r="BK98" s="388" t="inlineStr">
        <is>
          <t>A03432</t>
        </is>
      </c>
      <c r="BL98" s="388" t="inlineStr">
        <is>
          <t>A03432</t>
        </is>
      </c>
      <c r="BM98" s="842" t="inlineStr">
        <is>
          <t>A0343201</t>
        </is>
      </c>
      <c r="BN98" s="842" t="inlineStr">
        <is>
          <t>A0343202</t>
        </is>
      </c>
      <c r="BO98" s="842" t="inlineStr">
        <is>
          <t>A0343203</t>
        </is>
      </c>
      <c r="BP98" s="842" t="inlineStr">
        <is>
          <t>A0343204</t>
        </is>
      </c>
      <c r="BQ98" s="842" t="inlineStr">
        <is>
          <t>A0343205</t>
        </is>
      </c>
      <c r="BR98" s="842" t="inlineStr">
        <is>
          <t>A0343206</t>
        </is>
      </c>
      <c r="BS98" s="388" t="inlineStr">
        <is>
          <t>A03432</t>
        </is>
      </c>
      <c r="BT98" s="388" t="inlineStr">
        <is>
          <t>A03432</t>
        </is>
      </c>
      <c r="BU98" s="388" t="inlineStr">
        <is>
          <t>A03432</t>
        </is>
      </c>
      <c r="BV98" s="388" t="inlineStr">
        <is>
          <t>A03432</t>
        </is>
      </c>
      <c r="BW98" s="388" t="inlineStr">
        <is>
          <t>A03432</t>
        </is>
      </c>
      <c r="BX98" s="388" t="inlineStr">
        <is>
          <t>A03432</t>
        </is>
      </c>
      <c r="BY98" s="388" t="inlineStr">
        <is>
          <t>A03432</t>
        </is>
      </c>
      <c r="BZ98" s="388" t="inlineStr">
        <is>
          <t>A03432</t>
        </is>
      </c>
      <c r="CA98" s="388" t="inlineStr">
        <is>
          <t>A03432</t>
        </is>
      </c>
      <c r="CB98" s="388" t="inlineStr">
        <is>
          <t>A03432</t>
        </is>
      </c>
      <c r="CC98" s="388" t="inlineStr">
        <is>
          <t>A03432</t>
        </is>
      </c>
      <c r="CD98" s="388" t="inlineStr">
        <is>
          <t>A03432</t>
        </is>
      </c>
      <c r="CE98" s="388" t="inlineStr">
        <is>
          <t>A03432</t>
        </is>
      </c>
      <c r="CF98" s="388" t="inlineStr">
        <is>
          <t>A03432</t>
        </is>
      </c>
      <c r="CG98" s="388" t="inlineStr">
        <is>
          <t>A03432</t>
        </is>
      </c>
      <c r="CH98" s="388" t="inlineStr">
        <is>
          <t>A03432</t>
        </is>
      </c>
      <c r="CI98" s="388" t="inlineStr">
        <is>
          <t>A03432</t>
        </is>
      </c>
      <c r="CJ98" s="388" t="inlineStr">
        <is>
          <t>A03432</t>
        </is>
      </c>
      <c r="CK98" s="388" t="inlineStr">
        <is>
          <t>A03432</t>
        </is>
      </c>
      <c r="CL98" s="388" t="inlineStr">
        <is>
          <t>A03432</t>
        </is>
      </c>
      <c r="CM98" s="388" t="inlineStr">
        <is>
          <t>A03432</t>
        </is>
      </c>
      <c r="CN98" s="388" t="inlineStr">
        <is>
          <t>A03432</t>
        </is>
      </c>
      <c r="CO98" s="388" t="inlineStr">
        <is>
          <t>A03432</t>
        </is>
      </c>
      <c r="CP98" s="388" t="inlineStr">
        <is>
          <t>A03432</t>
        </is>
      </c>
      <c r="CQ98" s="388" t="inlineStr">
        <is>
          <t>A03432</t>
        </is>
      </c>
      <c r="CR98" s="388" t="inlineStr">
        <is>
          <t>A03432</t>
        </is>
      </c>
      <c r="CS98" s="388" t="inlineStr">
        <is>
          <t>A03432</t>
        </is>
      </c>
      <c r="CT98" s="388" t="inlineStr">
        <is>
          <t>A03432</t>
        </is>
      </c>
      <c r="CU98" s="388" t="inlineStr">
        <is>
          <t>A03432</t>
        </is>
      </c>
      <c r="CV98" s="388" t="inlineStr">
        <is>
          <t>A03432</t>
        </is>
      </c>
      <c r="CW98" s="388" t="inlineStr">
        <is>
          <t>A03432</t>
        </is>
      </c>
      <c r="CX98" s="388" t="inlineStr">
        <is>
          <t>A03432</t>
        </is>
      </c>
      <c r="CY98" s="388" t="inlineStr">
        <is>
          <t>A03432</t>
        </is>
      </c>
      <c r="CZ98" s="388" t="inlineStr">
        <is>
          <t>A03432</t>
        </is>
      </c>
      <c r="DA98" s="388" t="inlineStr">
        <is>
          <t>A03432</t>
        </is>
      </c>
      <c r="DB98" s="388" t="inlineStr">
        <is>
          <t>A03432</t>
        </is>
      </c>
      <c r="DC98" s="388" t="inlineStr">
        <is>
          <t>A03432</t>
        </is>
      </c>
      <c r="DD98" s="388" t="inlineStr">
        <is>
          <t>A03432</t>
        </is>
      </c>
      <c r="DE98" s="388" t="inlineStr">
        <is>
          <t>A03432</t>
        </is>
      </c>
      <c r="DF98" s="388" t="inlineStr">
        <is>
          <t>A03432</t>
        </is>
      </c>
      <c r="DG98" s="388" t="inlineStr">
        <is>
          <t>A03432</t>
        </is>
      </c>
      <c r="DH98" s="388" t="inlineStr">
        <is>
          <t>A03432</t>
        </is>
      </c>
      <c r="DI98" s="388" t="inlineStr">
        <is>
          <t>A03432</t>
        </is>
      </c>
      <c r="DJ98" s="388" t="inlineStr">
        <is>
          <t>A03432</t>
        </is>
      </c>
      <c r="DK98" s="388" t="inlineStr">
        <is>
          <t>A03432</t>
        </is>
      </c>
      <c r="DL98" s="388" t="inlineStr">
        <is>
          <t>A03432</t>
        </is>
      </c>
      <c r="DM98" s="388" t="inlineStr">
        <is>
          <t>A03432</t>
        </is>
      </c>
      <c r="DN98" s="388" t="inlineStr">
        <is>
          <t>A03432</t>
        </is>
      </c>
      <c r="DO98" s="388" t="inlineStr">
        <is>
          <t>A03432</t>
        </is>
      </c>
      <c r="DP98" s="388" t="inlineStr">
        <is>
          <t>A03432</t>
        </is>
      </c>
    </row>
    <row r="99" hidden="1" outlineLevel="1" s="1181">
      <c r="A99" s="384" t="n"/>
      <c r="B99" s="384" t="n"/>
      <c r="C99" s="384" t="n"/>
      <c r="D99" s="384" t="n"/>
      <c r="E99" s="384" t="n"/>
      <c r="F99" s="384" t="n"/>
      <c r="G99" s="384" t="n"/>
      <c r="H99" s="384" t="n"/>
      <c r="I99" s="384" t="n"/>
      <c r="J99" s="384" t="n"/>
      <c r="K99" s="384" t="n"/>
      <c r="L99" s="384" t="n"/>
      <c r="M99" s="384">
        <f>IF(_epmOfflineCondition_,"DALL - 合并后",EPMOlapMemberO("[C_AUDITTRAIL].[PARENTH1].[DALL]","","DALL - 合并后","","001"))</f>
        <v/>
      </c>
      <c r="N99" s="384" t="n"/>
      <c r="O99" s="384" t="n"/>
      <c r="P99" s="384" t="n"/>
      <c r="Q99" s="384" t="n"/>
      <c r="R99" s="384" t="n"/>
      <c r="S99" s="384" t="n"/>
      <c r="T99" s="384" t="n"/>
      <c r="U99" s="384" t="n"/>
      <c r="V99" s="384" t="n"/>
      <c r="W99" s="384" t="n"/>
      <c r="X99" s="384" t="n"/>
      <c r="Y99" s="842" t="n"/>
      <c r="Z99" s="842" t="n"/>
      <c r="AA99" s="842" t="n"/>
      <c r="AB99" s="353" t="n"/>
      <c r="AC99" s="353" t="n"/>
      <c r="AD99" s="353" t="n"/>
      <c r="AE99" s="353" t="n"/>
      <c r="AF99" s="353" t="n"/>
      <c r="AG99" s="353" t="n"/>
      <c r="AH99" s="399" t="n"/>
      <c r="AI99" s="353" t="n"/>
      <c r="AJ99" s="353" t="n"/>
      <c r="AK99" s="353" t="n"/>
      <c r="AL99" s="353" t="n"/>
      <c r="AM99" s="411" t="n"/>
      <c r="AN99" s="411" t="n"/>
      <c r="AO99" s="842" t="n"/>
      <c r="AP99" s="842" t="n"/>
      <c r="AQ99" s="842" t="n"/>
      <c r="AR99" s="842" t="n"/>
      <c r="AS99" s="842" t="n"/>
      <c r="AT99" s="842" t="n"/>
      <c r="AU99" s="842" t="n"/>
      <c r="AV99" s="842" t="n"/>
      <c r="AW99" s="842" t="n"/>
      <c r="AX99" s="842" t="n"/>
      <c r="AY99" s="842" t="n"/>
      <c r="AZ99" s="842" t="n"/>
      <c r="BA99" s="842" t="n"/>
      <c r="BB99" s="842" t="n"/>
      <c r="BC99" s="842" t="n"/>
      <c r="BD99" s="842" t="n"/>
      <c r="BE99" s="842" t="n"/>
      <c r="BF99" s="842" t="n"/>
      <c r="BG99" s="842" t="n"/>
      <c r="BH99" s="842" t="n"/>
      <c r="BI99" s="842" t="n"/>
      <c r="BJ99" s="842" t="n"/>
      <c r="BK99" s="842" t="n"/>
      <c r="BL99" s="842" t="n"/>
      <c r="BM99" s="842" t="n"/>
      <c r="BN99" s="842" t="n"/>
      <c r="BO99" s="842" t="n"/>
      <c r="BP99" s="842" t="n"/>
      <c r="BQ99" s="842" t="n"/>
      <c r="BR99" s="842" t="n"/>
      <c r="BS99" s="842" t="n"/>
      <c r="BT99" s="842" t="n"/>
      <c r="BU99" s="842" t="n"/>
      <c r="BV99" s="842" t="n"/>
      <c r="BW99" s="842" t="n"/>
      <c r="BX99" s="842" t="n"/>
      <c r="BY99" s="842" t="n"/>
      <c r="BZ99" s="842" t="n"/>
      <c r="CA99" s="842" t="n"/>
      <c r="CB99" s="842" t="n"/>
      <c r="CC99" s="842" t="n"/>
      <c r="CD99" s="842" t="n"/>
      <c r="CE99" s="842" t="n"/>
      <c r="CF99" s="842" t="n"/>
      <c r="CG99" s="842" t="n"/>
      <c r="CH99" s="842" t="n"/>
      <c r="CI99" s="842" t="n"/>
      <c r="CJ99" s="842" t="n"/>
      <c r="CK99" s="842" t="n"/>
      <c r="CL99" s="842" t="n"/>
      <c r="CM99" s="842" t="n"/>
      <c r="CN99" s="842" t="n"/>
      <c r="CO99" s="842" t="n"/>
      <c r="CP99" s="842" t="n"/>
      <c r="CQ99" s="842" t="n"/>
      <c r="CR99" s="842" t="n"/>
      <c r="CS99" s="842" t="n"/>
      <c r="CT99" s="842" t="n"/>
      <c r="CU99" s="842" t="n"/>
      <c r="CV99" s="842" t="n"/>
      <c r="CW99" s="842" t="n"/>
      <c r="CX99" s="842" t="n"/>
      <c r="CY99" s="842" t="n"/>
      <c r="CZ99" s="842" t="n"/>
      <c r="DA99" s="842" t="n"/>
      <c r="DB99" s="842" t="n"/>
      <c r="DC99" s="842" t="n"/>
      <c r="DD99" s="842" t="n"/>
      <c r="DE99" s="842" t="n"/>
      <c r="DF99" s="842" t="n"/>
      <c r="DG99" s="842" t="n"/>
      <c r="DH99" s="842" t="n"/>
      <c r="DI99" s="842" t="n"/>
      <c r="DJ99" s="842" t="n"/>
      <c r="DK99" s="842" t="n"/>
      <c r="DL99" s="842" t="n"/>
      <c r="DM99" s="842" t="n"/>
      <c r="DN99" s="842" t="n"/>
      <c r="DO99" s="842" t="n"/>
      <c r="DP99" s="842" t="n"/>
    </row>
    <row r="100" hidden="1" outlineLevel="1" s="1181">
      <c r="A100" s="384" t="n"/>
      <c r="B100" s="384" t="n"/>
      <c r="C100" s="384" t="n"/>
      <c r="D100" s="384" t="n"/>
      <c r="E100" s="384" t="n"/>
      <c r="F100" s="384" t="n"/>
      <c r="G100" s="384" t="n"/>
      <c r="H100" s="384" t="n"/>
      <c r="I100" s="384" t="n"/>
      <c r="J100" s="384" t="n"/>
      <c r="K100" s="384" t="n"/>
      <c r="L100" s="384" t="n"/>
      <c r="M100" s="384" t="n"/>
      <c r="N100" s="384" t="n"/>
      <c r="O100" s="384" t="n"/>
      <c r="P100" s="384" t="n"/>
      <c r="Q100" s="384" t="n"/>
      <c r="R100" s="384" t="n"/>
      <c r="S100" s="384" t="n"/>
      <c r="T100" s="384" t="n"/>
      <c r="U100" s="384" t="n"/>
      <c r="V100" s="384" t="n"/>
      <c r="W100" s="384" t="n"/>
      <c r="X100" s="384" t="n"/>
      <c r="Y100" s="842">
        <f>$C$5</f>
        <v/>
      </c>
      <c r="Z100" s="842">
        <f>$C$5</f>
        <v/>
      </c>
      <c r="AA100" s="842">
        <f>$C$5</f>
        <v/>
      </c>
      <c r="AB100" s="353">
        <f>$C$5</f>
        <v/>
      </c>
      <c r="AC100" s="353">
        <f>$C$5</f>
        <v/>
      </c>
      <c r="AD100" s="353">
        <f>$I$5</f>
        <v/>
      </c>
      <c r="AE100" s="353">
        <f>$C$5</f>
        <v/>
      </c>
      <c r="AF100" s="353">
        <f>$I$5</f>
        <v/>
      </c>
      <c r="AG100" s="353">
        <f>$I$5</f>
        <v/>
      </c>
      <c r="AH100" s="399">
        <f>$C$5</f>
        <v/>
      </c>
      <c r="AI100" s="353">
        <f>$C$5</f>
        <v/>
      </c>
      <c r="AJ100" s="353">
        <f>$C$5</f>
        <v/>
      </c>
      <c r="AK100" s="353">
        <f>$C$5</f>
        <v/>
      </c>
      <c r="AL100" s="353">
        <f>$C$5</f>
        <v/>
      </c>
      <c r="AM100" s="411">
        <f>$C$5</f>
        <v/>
      </c>
      <c r="AN100" s="411">
        <f>$C$5</f>
        <v/>
      </c>
      <c r="AO100" s="842">
        <f>$C$5</f>
        <v/>
      </c>
      <c r="AP100" s="842">
        <f>$C$5</f>
        <v/>
      </c>
      <c r="AQ100" s="842">
        <f>$C$5</f>
        <v/>
      </c>
      <c r="AR100" s="842">
        <f>$C$5</f>
        <v/>
      </c>
      <c r="AS100" s="842">
        <f>$C$5</f>
        <v/>
      </c>
      <c r="AT100" s="842">
        <f>$C$5</f>
        <v/>
      </c>
      <c r="AU100" s="842">
        <f>$C$5</f>
        <v/>
      </c>
      <c r="AV100" s="842">
        <f>$C$5</f>
        <v/>
      </c>
      <c r="AW100" s="842">
        <f>$G$5</f>
        <v/>
      </c>
      <c r="AX100" s="842">
        <f>$G$5</f>
        <v/>
      </c>
      <c r="AY100" s="842">
        <f>$G$5</f>
        <v/>
      </c>
      <c r="AZ100" s="842">
        <f>$G$5</f>
        <v/>
      </c>
      <c r="BA100" s="842">
        <f>$G$5</f>
        <v/>
      </c>
      <c r="BB100" s="842">
        <f>$G$5</f>
        <v/>
      </c>
      <c r="BC100" s="842">
        <f>$G$5</f>
        <v/>
      </c>
      <c r="BD100" s="842">
        <f>$G$5</f>
        <v/>
      </c>
      <c r="BE100" s="842">
        <f>$G$5</f>
        <v/>
      </c>
      <c r="BF100" s="842">
        <f>$G$5</f>
        <v/>
      </c>
      <c r="BG100" s="842">
        <f>$G$5</f>
        <v/>
      </c>
      <c r="BH100" s="842">
        <f>$G$5</f>
        <v/>
      </c>
      <c r="BI100" s="842">
        <f>$G$5</f>
        <v/>
      </c>
      <c r="BJ100" s="842">
        <f>$G$5</f>
        <v/>
      </c>
      <c r="BK100" s="842">
        <f>$G$5</f>
        <v/>
      </c>
      <c r="BL100" s="842">
        <f>$G$5</f>
        <v/>
      </c>
      <c r="BM100" s="842">
        <f>$H$5</f>
        <v/>
      </c>
      <c r="BN100" s="842">
        <f>$H$5</f>
        <v/>
      </c>
      <c r="BO100" s="842">
        <f>$H$5</f>
        <v/>
      </c>
      <c r="BP100" s="842">
        <f>$H$5</f>
        <v/>
      </c>
      <c r="BQ100" s="842">
        <f>$H$5</f>
        <v/>
      </c>
      <c r="BR100" s="842">
        <f>$H$5</f>
        <v/>
      </c>
      <c r="BS100" s="842">
        <f>$H$5</f>
        <v/>
      </c>
      <c r="BT100" s="842">
        <f>$H$5</f>
        <v/>
      </c>
      <c r="BU100" s="842">
        <f>$C$5</f>
        <v/>
      </c>
      <c r="BV100" s="842">
        <f>$C$5</f>
        <v/>
      </c>
      <c r="BW100" s="842">
        <f>$C$5</f>
        <v/>
      </c>
      <c r="BX100" s="842">
        <f>$C$5</f>
        <v/>
      </c>
      <c r="BY100" s="842">
        <f>$C$5</f>
        <v/>
      </c>
      <c r="BZ100" s="842">
        <f>$C$5</f>
        <v/>
      </c>
      <c r="CA100" s="842">
        <f>$C$5</f>
        <v/>
      </c>
      <c r="CB100" s="842">
        <f>$C$5</f>
        <v/>
      </c>
      <c r="CC100" s="842">
        <f>$C$5</f>
        <v/>
      </c>
      <c r="CD100" s="842">
        <f>$C$5</f>
        <v/>
      </c>
      <c r="CE100" s="842">
        <f>$C$5</f>
        <v/>
      </c>
      <c r="CF100" s="842">
        <f>$C$5</f>
        <v/>
      </c>
      <c r="CG100" s="842">
        <f>$C$5</f>
        <v/>
      </c>
      <c r="CH100" s="842">
        <f>$C$5</f>
        <v/>
      </c>
      <c r="CI100" s="842">
        <f>$C$5</f>
        <v/>
      </c>
      <c r="CJ100" s="842">
        <f>$C$5</f>
        <v/>
      </c>
      <c r="CK100" s="842">
        <f>$C$5</f>
        <v/>
      </c>
      <c r="CL100" s="842">
        <f>$C$5</f>
        <v/>
      </c>
      <c r="CM100" s="842">
        <f>$C$5</f>
        <v/>
      </c>
      <c r="CN100" s="842">
        <f>$C$5</f>
        <v/>
      </c>
      <c r="CO100" s="842">
        <f>$C$5</f>
        <v/>
      </c>
      <c r="CP100" s="842">
        <f>$C$5</f>
        <v/>
      </c>
      <c r="CQ100" s="842">
        <f>$C$5</f>
        <v/>
      </c>
      <c r="CR100" s="842">
        <f>$C$5</f>
        <v/>
      </c>
      <c r="CS100" s="842">
        <f>$C$5</f>
        <v/>
      </c>
      <c r="CT100" s="842">
        <f>$C$5</f>
        <v/>
      </c>
      <c r="CU100" s="842">
        <f>$C$5</f>
        <v/>
      </c>
      <c r="CV100" s="842">
        <f>$C$5</f>
        <v/>
      </c>
      <c r="CW100" s="842">
        <f>$C$5</f>
        <v/>
      </c>
      <c r="CX100" s="842">
        <f>$C$5</f>
        <v/>
      </c>
      <c r="CY100" s="842">
        <f>$C$5</f>
        <v/>
      </c>
      <c r="CZ100" s="842">
        <f>$C$5</f>
        <v/>
      </c>
      <c r="DA100" s="842">
        <f>$C$5</f>
        <v/>
      </c>
      <c r="DB100" s="842">
        <f>$C$5</f>
        <v/>
      </c>
      <c r="DC100" s="842">
        <f>$C$5</f>
        <v/>
      </c>
      <c r="DD100" s="842">
        <f>$C$5</f>
        <v/>
      </c>
      <c r="DE100" s="842">
        <f>$C$5</f>
        <v/>
      </c>
      <c r="DF100" s="842">
        <f>$C$5</f>
        <v/>
      </c>
      <c r="DG100" s="842">
        <f>$C$5</f>
        <v/>
      </c>
      <c r="DH100" s="842">
        <f>$C$5</f>
        <v/>
      </c>
      <c r="DI100" s="842">
        <f>$C$5</f>
        <v/>
      </c>
      <c r="DJ100" s="842">
        <f>$C$5</f>
        <v/>
      </c>
      <c r="DK100" s="842">
        <f>$C$5</f>
        <v/>
      </c>
      <c r="DL100" s="842">
        <f>$C$5</f>
        <v/>
      </c>
      <c r="DM100" s="842">
        <f>$C$5</f>
        <v/>
      </c>
      <c r="DN100" s="842">
        <f>$C$5</f>
        <v/>
      </c>
      <c r="DO100" s="842">
        <f>$C$5</f>
        <v/>
      </c>
      <c r="DP100" s="842">
        <f>$C$5</f>
        <v/>
      </c>
    </row>
    <row r="101" hidden="1" outlineLevel="1" s="1181">
      <c r="A101" s="384" t="n"/>
      <c r="B101" s="384" t="n"/>
      <c r="C101" s="384" t="n"/>
      <c r="D101" s="384" t="n"/>
      <c r="E101" s="384" t="n"/>
      <c r="F101" s="384" t="n"/>
      <c r="G101" s="384" t="n"/>
      <c r="H101" s="384" t="n"/>
      <c r="I101" s="384" t="n"/>
      <c r="J101" s="384" t="n"/>
      <c r="K101" s="384" t="n"/>
      <c r="L101" s="384" t="n"/>
      <c r="M101" s="384" t="n"/>
      <c r="N101" s="384" t="n"/>
      <c r="O101" s="384" t="n"/>
      <c r="P101" s="384" t="n"/>
      <c r="Q101" s="384" t="n"/>
      <c r="R101" s="384" t="n"/>
      <c r="S101" s="384" t="n"/>
      <c r="T101" s="384" t="n"/>
      <c r="U101" s="384" t="n"/>
      <c r="V101" s="384" t="n"/>
      <c r="W101" s="384" t="n"/>
      <c r="X101" s="384" t="n"/>
      <c r="Y101" s="384" t="n"/>
      <c r="Z101" s="384" t="n"/>
      <c r="AA101" s="384" t="n"/>
      <c r="AB101" s="390" t="n"/>
      <c r="AC101" s="390" t="n"/>
      <c r="AD101" s="390" t="n"/>
      <c r="AE101" s="390" t="n"/>
      <c r="AF101" s="390" t="n"/>
      <c r="AG101" s="390" t="n"/>
      <c r="AH101" s="401" t="n"/>
      <c r="AI101" s="390" t="n"/>
      <c r="AJ101" s="390" t="n"/>
      <c r="AK101" s="390" t="n"/>
      <c r="AL101" s="390" t="n"/>
      <c r="AM101" s="413" t="n"/>
      <c r="AN101" s="413" t="n"/>
      <c r="AO101" s="384" t="n"/>
      <c r="AP101" s="384" t="n"/>
      <c r="AQ101" s="384" t="n"/>
      <c r="AR101" s="384" t="n"/>
      <c r="AS101" s="384" t="n"/>
      <c r="AT101" s="384" t="n"/>
      <c r="AU101" s="384" t="n"/>
      <c r="AV101" s="384" t="n"/>
      <c r="AW101" s="384" t="n"/>
      <c r="AX101" s="384" t="n"/>
      <c r="AY101" s="384" t="n"/>
      <c r="AZ101" s="384" t="n"/>
      <c r="BA101" s="384" t="n"/>
      <c r="BB101" s="384" t="n"/>
      <c r="BC101" s="384" t="n"/>
      <c r="BD101" s="384" t="n"/>
      <c r="BE101" s="384" t="n"/>
      <c r="BF101" s="384" t="n"/>
      <c r="BG101" s="384" t="n"/>
      <c r="BH101" s="384" t="n"/>
      <c r="BI101" s="384" t="n"/>
      <c r="BJ101" s="384" t="n"/>
      <c r="BK101" s="384" t="n"/>
      <c r="BL101" s="384" t="n"/>
      <c r="BM101" s="384" t="n"/>
      <c r="BN101" s="384" t="n"/>
      <c r="BO101" s="384" t="n"/>
      <c r="BP101" s="384" t="n"/>
      <c r="BQ101" s="384" t="n"/>
      <c r="BR101" s="384" t="n"/>
      <c r="BS101" s="384" t="n"/>
      <c r="BT101" s="384" t="n"/>
      <c r="BU101" s="384" t="n"/>
      <c r="BV101" s="384" t="n"/>
      <c r="BW101" s="384" t="n"/>
      <c r="BX101" s="384" t="n"/>
      <c r="BY101" s="384" t="n"/>
      <c r="BZ101" s="384" t="n"/>
      <c r="CA101" s="384" t="n"/>
      <c r="CB101" s="384" t="n"/>
      <c r="CC101" s="384" t="n"/>
      <c r="CD101" s="384" t="n"/>
      <c r="CE101" s="384" t="n"/>
      <c r="CF101" s="384" t="n"/>
      <c r="CG101" s="384" t="n"/>
      <c r="CH101" s="384" t="n"/>
      <c r="CI101" s="384" t="n"/>
      <c r="CJ101" s="384" t="n"/>
      <c r="CK101" s="384" t="n"/>
      <c r="CL101" s="384" t="n"/>
      <c r="CM101" s="384" t="n"/>
      <c r="CN101" s="384" t="n"/>
      <c r="CO101" s="384" t="n"/>
      <c r="CP101" s="384" t="n"/>
      <c r="CQ101" s="384" t="n"/>
      <c r="CR101" s="384" t="n"/>
      <c r="CS101" s="384" t="n"/>
      <c r="CT101" s="384" t="n"/>
      <c r="CU101" s="384" t="n"/>
      <c r="CV101" s="384" t="n"/>
      <c r="CW101" s="384" t="n"/>
      <c r="CX101" s="384" t="n"/>
      <c r="CY101" s="384" t="n"/>
      <c r="CZ101" s="384" t="n"/>
      <c r="DA101" s="384" t="n"/>
      <c r="DB101" s="384" t="n"/>
      <c r="DC101" s="384" t="n"/>
      <c r="DD101" s="384" t="n"/>
      <c r="DE101" s="384" t="n"/>
      <c r="DF101" s="384" t="n"/>
      <c r="DG101" s="384" t="n"/>
      <c r="DH101" s="384" t="n"/>
      <c r="DI101" s="384" t="n"/>
      <c r="DJ101" s="384" t="n"/>
      <c r="DK101" s="384" t="n"/>
      <c r="DL101" s="384" t="n"/>
      <c r="DM101" s="384" t="n"/>
      <c r="DN101" s="384" t="n"/>
      <c r="DO101" s="384" t="n"/>
      <c r="DP101" s="384" t="n"/>
    </row>
    <row r="102" hidden="1" outlineLevel="1" s="1181">
      <c r="A102" s="384" t="n"/>
      <c r="B102" s="384" t="n"/>
      <c r="C102" s="384" t="n"/>
      <c r="D102" s="384" t="n"/>
      <c r="E102" s="384" t="n"/>
      <c r="F102" s="384" t="n"/>
      <c r="G102" s="384" t="n"/>
      <c r="H102" s="384" t="n"/>
      <c r="I102" s="384" t="n"/>
      <c r="J102" s="384" t="n"/>
      <c r="K102" s="384" t="n"/>
      <c r="L102" s="384" t="n"/>
      <c r="M102" s="384" t="n"/>
      <c r="N102" s="384" t="n"/>
      <c r="O102" s="384" t="n"/>
      <c r="P102" s="384" t="n"/>
      <c r="Q102" s="384" t="n"/>
      <c r="R102" s="384" t="n"/>
      <c r="S102" s="384" t="n"/>
      <c r="T102" s="384" t="n"/>
      <c r="U102" s="384" t="n"/>
      <c r="V102" s="384" t="n"/>
      <c r="W102" s="384" t="n"/>
      <c r="X102" s="384" t="n"/>
      <c r="Y102" s="384">
        <f>IF(_epmOfflineCondition_,"C1001",EPMOlapMemberO(Y$25,"[C_CATEGORY].[PARENTH1].[C1001]","实际数/决算数","","001"))</f>
        <v/>
      </c>
      <c r="Z102" s="384">
        <f>IF(_epmOfflineCondition_,"C1001",EPMOlapMemberO(Z$25,"[C_CATEGORY].[PARENTH1].[C1001]","实际数/决算数","","001"))</f>
        <v/>
      </c>
      <c r="AA102" s="384">
        <f>IF(_epmOfflineCondition_,"C1001",EPMOlapMemberO(AA$25,"[C_CATEGORY].[PARENTH1].[C1001]","实际数/决算数","","001"))</f>
        <v/>
      </c>
      <c r="AB102" s="390">
        <f>IF(_epmOfflineCondition_,"C1001",EPMOlapMemberO(AB$25,"[C_CATEGORY].[PARENTH1].[C1001]","实际数/决算数","","001"))</f>
        <v/>
      </c>
      <c r="AC102" s="390">
        <f>IF(_epmOfflineCondition_,"C1001",EPMOlapMemberO(AC$25,"[C_CATEGORY].[PARENTH1].[C1001]","实际数/决算数","","001"))</f>
        <v/>
      </c>
      <c r="AD102" s="390">
        <f>IF(_epmOfflineCondition_,"C1001",EPMOlapMemberO(AD$25,"[C_CATEGORY].[PARENTH1].[C1001]","实际数/决算数","","001"))</f>
        <v/>
      </c>
      <c r="AE102" s="390">
        <f>IF(_epmOfflineCondition_,"C1001",EPMOlapMemberO(AE$25,"[C_CATEGORY].[PARENTH1].[C1001]","实际数/决算数","","001"))</f>
        <v/>
      </c>
      <c r="AF102" s="390">
        <f>IF(_epmOfflineCondition_,"C1001",EPMOlapMemberO(AF$25,"[C_CATEGORY].[PARENTH1].[C1001]","实际数/决算数","","001"))</f>
        <v/>
      </c>
      <c r="AG102" s="390">
        <f>IF(_epmOfflineCondition_,"C1001",EPMOlapMemberO(AG$25,"[C_CATEGORY].[PARENTH1].[C1001]","实际数/决算数","","001"))</f>
        <v/>
      </c>
      <c r="AH102" s="401">
        <f>IF(_epmOfflineCondition_,"C1001",EPMOlapMemberO(AH$25,"[C_CATEGORY].[PARENTH1].[C1001]","实际数/决算数","","001"))</f>
        <v/>
      </c>
      <c r="AI102" s="390">
        <f>IF(_epmOfflineCondition_,"C1001",EPMOlapMemberO(AI$25,"[C_CATEGORY].[PARENTH1].[C1001]","实际数/决算数","","001"))</f>
        <v/>
      </c>
      <c r="AJ102" s="390">
        <f>IF(_epmOfflineCondition_,"C1001",EPMOlapMemberO(AJ$25,"[C_CATEGORY].[PARENTH1].[C1001]","实际数/决算数","","001"))</f>
        <v/>
      </c>
      <c r="AK102" s="390">
        <f>IF(_epmOfflineCondition_,"C1001",EPMOlapMemberO(AK$25,"[C_CATEGORY].[PARENTH1].[C1001]","实际数/决算数","","001"))</f>
        <v/>
      </c>
      <c r="AL102" s="390">
        <f>IF(_epmOfflineCondition_,"C1001",EPMOlapMemberO(AL$25,"[C_CATEGORY].[PARENTH1].[C1001]","实际数/决算数","","001"))</f>
        <v/>
      </c>
      <c r="AM102" s="413">
        <f>IF(_epmOfflineCondition_,"C1001",EPMOlapMemberO(AM$25,"[C_CATEGORY].[PARENTH1].[C1001]","实际数/决算数","","001"))</f>
        <v/>
      </c>
      <c r="AN102" s="413">
        <f>IF(_epmOfflineCondition_,"C1001",EPMOlapMemberO(AN$25,"[C_CATEGORY].[PARENTH1].[C1001]","实际数/决算数","","001"))</f>
        <v/>
      </c>
      <c r="AO102" s="384">
        <f>IF(_epmOfflineCondition_,"C1001",EPMOlapMemberO(AO$25,"[C_CATEGORY].[PARENTH1].[C1001]","实际数/决算数","","001"))</f>
        <v/>
      </c>
      <c r="AP102" s="384">
        <f>IF(_epmOfflineCondition_,"C1001",EPMOlapMemberO(AP$25,"[C_CATEGORY].[PARENTH1].[C1001]","实际数/决算数","","001"))</f>
        <v/>
      </c>
      <c r="AQ102" s="384">
        <f>IF(_epmOfflineCondition_,"C1001",EPMOlapMemberO(AQ$25,"[C_CATEGORY].[PARENTH1].[C1001]","实际数/决算数","","001"))</f>
        <v/>
      </c>
      <c r="AR102" s="384">
        <f>IF(_epmOfflineCondition_,"C1001",EPMOlapMemberO(AR$25,"[C_CATEGORY].[PARENTH1].[C1001]","实际数/决算数","","001"))</f>
        <v/>
      </c>
      <c r="AS102" s="384">
        <f>IF(_epmOfflineCondition_,"C1001",EPMOlapMemberO(AS$25,"[C_CATEGORY].[PARENTH1].[C1001]","实际数/决算数","","001"))</f>
        <v/>
      </c>
      <c r="AT102" s="384">
        <f>IF(_epmOfflineCondition_,"C1001",EPMOlapMemberO(AT$25,"[C_CATEGORY].[PARENTH1].[C1001]","实际数/决算数","","001"))</f>
        <v/>
      </c>
      <c r="AU102" s="384">
        <f>IF(_epmOfflineCondition_,"C1001",EPMOlapMemberO(AU$25,"[C_CATEGORY].[PARENTH1].[C1001]","实际数/决算数","","001"))</f>
        <v/>
      </c>
      <c r="AV102" s="384">
        <f>IF(_epmOfflineCondition_,"C1001",EPMOlapMemberO(AV$25,"[C_CATEGORY].[PARENTH1].[C1001]","实际数/决算数","","001"))</f>
        <v/>
      </c>
      <c r="AW102" s="384">
        <f>IF(_epmOfflineCondition_,"C1001",EPMOlapMemberO(AW$25,"[C_CATEGORY].[PARENTH1].[C1001]","实际数/决算数","","001"))</f>
        <v/>
      </c>
      <c r="AX102" s="384">
        <f>IF(_epmOfflineCondition_,"C1001",EPMOlapMemberO(AX$25,"[C_CATEGORY].[PARENTH1].[C1001]","实际数/决算数","","001"))</f>
        <v/>
      </c>
      <c r="AY102" s="384">
        <f>IF(_epmOfflineCondition_,"C1001",EPMOlapMemberO(AY$25,"[C_CATEGORY].[PARENTH1].[C1001]","实际数/决算数","","001"))</f>
        <v/>
      </c>
      <c r="AZ102" s="384">
        <f>IF(_epmOfflineCondition_,"C1001",EPMOlapMemberO(AZ$25,"[C_CATEGORY].[PARENTH1].[C1001]","实际数/决算数","","001"))</f>
        <v/>
      </c>
      <c r="BA102" s="384">
        <f>IF(_epmOfflineCondition_,"C1001",EPMOlapMemberO(BA$25,"[C_CATEGORY].[PARENTH1].[C1001]","实际数/决算数","","001"))</f>
        <v/>
      </c>
      <c r="BB102" s="384">
        <f>IF(_epmOfflineCondition_,"C1001",EPMOlapMemberO(BB$25,"[C_CATEGORY].[PARENTH1].[C1001]","实际数/决算数","","001"))</f>
        <v/>
      </c>
      <c r="BC102" s="384">
        <f>IF(_epmOfflineCondition_,"C1001",EPMOlapMemberO(BC$25,"[C_CATEGORY].[PARENTH1].[C1001]","实际数/决算数","","001"))</f>
        <v/>
      </c>
      <c r="BD102" s="384">
        <f>IF(_epmOfflineCondition_,"C1001",EPMOlapMemberO(BD$25,"[C_CATEGORY].[PARENTH1].[C1001]","实际数/决算数","","001"))</f>
        <v/>
      </c>
      <c r="BE102" s="384">
        <f>IF(_epmOfflineCondition_,"C1001",EPMOlapMemberO(BE$25,"[C_CATEGORY].[PARENTH1].[C1001]","实际数/决算数","","001"))</f>
        <v/>
      </c>
      <c r="BF102" s="384">
        <f>IF(_epmOfflineCondition_,"C1001",EPMOlapMemberO(BF$25,"[C_CATEGORY].[PARENTH1].[C1001]","实际数/决算数","","001"))</f>
        <v/>
      </c>
      <c r="BG102" s="384">
        <f>IF(_epmOfflineCondition_,"C1001",EPMOlapMemberO(BG$25,"[C_CATEGORY].[PARENTH1].[C1001]","实际数/决算数","","001"))</f>
        <v/>
      </c>
      <c r="BH102" s="384">
        <f>IF(_epmOfflineCondition_,"C1001",EPMOlapMemberO(BH$25,"[C_CATEGORY].[PARENTH1].[C1001]","实际数/决算数","","001"))</f>
        <v/>
      </c>
      <c r="BI102" s="384">
        <f>IF(_epmOfflineCondition_,"C1001",EPMOlapMemberO(BI$25,"[C_CATEGORY].[PARENTH1].[C1001]","实际数/决算数","","001"))</f>
        <v/>
      </c>
      <c r="BJ102" s="384">
        <f>IF(_epmOfflineCondition_,"C1001",EPMOlapMemberO(BJ$25,"[C_CATEGORY].[PARENTH1].[C1001]","实际数/决算数","","001"))</f>
        <v/>
      </c>
      <c r="BK102" s="384">
        <f>IF(_epmOfflineCondition_,"C1001",EPMOlapMemberO(BK$25,"[C_CATEGORY].[PARENTH1].[C1001]","实际数/决算数","","001"))</f>
        <v/>
      </c>
      <c r="BL102" s="384">
        <f>IF(_epmOfflineCondition_,"C1001",EPMOlapMemberO(BL$25,"[C_CATEGORY].[PARENTH1].[C1001]","实际数/决算数","","001"))</f>
        <v/>
      </c>
      <c r="BM102" s="384">
        <f>IF(_epmOfflineCondition_,"C1001",EPMOlapMemberO(BM$25,"[C_CATEGORY].[PARENTH1].[C1001]","实际数/决算数","","001"))</f>
        <v/>
      </c>
      <c r="BN102" s="384">
        <f>IF(_epmOfflineCondition_,"C1001",EPMOlapMemberO(BN$25,"[C_CATEGORY].[PARENTH1].[C1001]","实际数/决算数","","001"))</f>
        <v/>
      </c>
      <c r="BO102" s="384">
        <f>IF(_epmOfflineCondition_,"C1001",EPMOlapMemberO(BO$25,"[C_CATEGORY].[PARENTH1].[C1001]","实际数/决算数","","001"))</f>
        <v/>
      </c>
      <c r="BP102" s="384">
        <f>IF(_epmOfflineCondition_,"C1001",EPMOlapMemberO(BP$25,"[C_CATEGORY].[PARENTH1].[C1001]","实际数/决算数","","001"))</f>
        <v/>
      </c>
      <c r="BQ102" s="384">
        <f>IF(_epmOfflineCondition_,"C1001",EPMOlapMemberO(BQ$25,"[C_CATEGORY].[PARENTH1].[C1001]","实际数/决算数","","001"))</f>
        <v/>
      </c>
      <c r="BR102" s="384">
        <f>IF(_epmOfflineCondition_,"C1001",EPMOlapMemberO(BR$25,"[C_CATEGORY].[PARENTH1].[C1001]","实际数/决算数","","001"))</f>
        <v/>
      </c>
      <c r="BS102" s="384">
        <f>IF(_epmOfflineCondition_,"C1001",EPMOlapMemberO(BS$25,"[C_CATEGORY].[PARENTH1].[C1001]","实际数/决算数","","001"))</f>
        <v/>
      </c>
      <c r="BT102" s="384">
        <f>IF(_epmOfflineCondition_,"C1001",EPMOlapMemberO(BT$25,"[C_CATEGORY].[PARENTH1].[C1001]","实际数/决算数","","001"))</f>
        <v/>
      </c>
      <c r="BU102" s="384">
        <f>IF(_epmOfflineCondition_,"C1001",EPMOlapMemberO(BU$25,"[C_CATEGORY].[PARENTH1].[C1001]","实际数/决算数","","001"))</f>
        <v/>
      </c>
      <c r="BV102" s="384">
        <f>IF(_epmOfflineCondition_,"C1001",EPMOlapMemberO(BV$25,"[C_CATEGORY].[PARENTH1].[C1001]","实际数/决算数","","001"))</f>
        <v/>
      </c>
      <c r="BW102" s="384">
        <f>IF(_epmOfflineCondition_,"C1001",EPMOlapMemberO(BW$25,"[C_CATEGORY].[PARENTH1].[C1001]","实际数/决算数","","001"))</f>
        <v/>
      </c>
      <c r="BX102" s="384">
        <f>IF(_epmOfflineCondition_,"C1001",EPMOlapMemberO(BX$25,"[C_CATEGORY].[PARENTH1].[C1001]","实际数/决算数","","001"))</f>
        <v/>
      </c>
      <c r="BY102" s="384">
        <f>IF(_epmOfflineCondition_,"C1001",EPMOlapMemberO(BY$25,"[C_CATEGORY].[PARENTH1].[C1001]","实际数/决算数","","001"))</f>
        <v/>
      </c>
      <c r="BZ102" s="384">
        <f>IF(_epmOfflineCondition_,"C1001",EPMOlapMemberO(BZ$25,"[C_CATEGORY].[PARENTH1].[C1001]","实际数/决算数","","001"))</f>
        <v/>
      </c>
      <c r="CA102" s="384">
        <f>IF(_epmOfflineCondition_,"C1001",EPMOlapMemberO(CA$25,"[C_CATEGORY].[PARENTH1].[C1001]","实际数/决算数","","001"))</f>
        <v/>
      </c>
      <c r="CB102" s="384">
        <f>IF(_epmOfflineCondition_,"C1001",EPMOlapMemberO(CB$25,"[C_CATEGORY].[PARENTH1].[C1001]","实际数/决算数","","001"))</f>
        <v/>
      </c>
      <c r="CC102" s="384">
        <f>IF(_epmOfflineCondition_,"C1001",EPMOlapMemberO(CC$25,"[C_CATEGORY].[PARENTH1].[C1001]","实际数/决算数","","001"))</f>
        <v/>
      </c>
      <c r="CD102" s="384">
        <f>IF(_epmOfflineCondition_,"C1001",EPMOlapMemberO(CD$25,"[C_CATEGORY].[PARENTH1].[C1001]","实际数/决算数","","001"))</f>
        <v/>
      </c>
      <c r="CE102" s="384">
        <f>IF(_epmOfflineCondition_,"C1001",EPMOlapMemberO(CE$25,"[C_CATEGORY].[PARENTH1].[C1001]","实际数/决算数","","001"))</f>
        <v/>
      </c>
      <c r="CF102" s="384">
        <f>IF(_epmOfflineCondition_,"C1001",EPMOlapMemberO(CF$25,"[C_CATEGORY].[PARENTH1].[C1001]","实际数/决算数","","001"))</f>
        <v/>
      </c>
      <c r="CG102" s="384">
        <f>IF(_epmOfflineCondition_,"C1001",EPMOlapMemberO(CG$25,"[C_CATEGORY].[PARENTH1].[C1001]","实际数/决算数","","001"))</f>
        <v/>
      </c>
      <c r="CH102" s="384">
        <f>IF(_epmOfflineCondition_,"C1001",EPMOlapMemberO(CH$25,"[C_CATEGORY].[PARENTH1].[C1001]","实际数/决算数","","001"))</f>
        <v/>
      </c>
      <c r="CI102" s="384">
        <f>IF(_epmOfflineCondition_,"C1001",EPMOlapMemberO(CI$25,"[C_CATEGORY].[PARENTH1].[C1001]","实际数/决算数","","001"))</f>
        <v/>
      </c>
      <c r="CJ102" s="384">
        <f>IF(_epmOfflineCondition_,"C1001",EPMOlapMemberO(CJ$25,"[C_CATEGORY].[PARENTH1].[C1001]","实际数/决算数","","001"))</f>
        <v/>
      </c>
      <c r="CK102" s="384">
        <f>IF(_epmOfflineCondition_,"C3002",EPMOlapMemberO(CK$25,"[C_CATEGORY].[PARENTH1].[C3002]","月度预算（原""预算数（终稿）"")","","001"))</f>
        <v/>
      </c>
      <c r="CL102" s="384">
        <f>IF(_epmOfflineCondition_,"C3002",EPMOlapMemberO(CL$25,"[C_CATEGORY].[PARENTH1].[C3002]","月度预算（原""预算数（终稿）"")","","001"))</f>
        <v/>
      </c>
      <c r="CM102" s="384">
        <f>IF(_epmOfflineCondition_,"C3002",EPMOlapMemberO(CM$25,"[C_CATEGORY].[PARENTH1].[C3002]","月度预算（原""预算数（终稿）"")","","001"))</f>
        <v/>
      </c>
      <c r="CN102" s="384">
        <f>IF(_epmOfflineCondition_,"C3002",EPMOlapMemberO(CN$25,"[C_CATEGORY].[PARENTH1].[C3002]","月度预算（原""预算数（终稿）"")","","001"))</f>
        <v/>
      </c>
      <c r="CO102" s="384">
        <f>IF(_epmOfflineCondition_,"C3002",EPMOlapMemberO(CO$25,"[C_CATEGORY].[PARENTH1].[C3002]","月度预算（原""预算数（终稿）"")","","001"))</f>
        <v/>
      </c>
      <c r="CP102" s="384">
        <f>IF(_epmOfflineCondition_,"C3002",EPMOlapMemberO(CP$25,"[C_CATEGORY].[PARENTH1].[C3002]","月度预算（原""预算数（终稿）"")","","001"))</f>
        <v/>
      </c>
      <c r="CQ102" s="384">
        <f>IF(_epmOfflineCondition_,"C3002",EPMOlapMemberO(CQ$25,"[C_CATEGORY].[PARENTH1].[C3002]","月度预算（原""预算数（终稿）"")","","001"))</f>
        <v/>
      </c>
      <c r="CR102" s="384">
        <f>IF(_epmOfflineCondition_,"C3002",EPMOlapMemberO(CR$25,"[C_CATEGORY].[PARENTH1].[C3002]","月度预算（原""预算数（终稿）"")","","001"))</f>
        <v/>
      </c>
      <c r="CS102" s="384">
        <f>IF(_epmOfflineCondition_,"C3003",EPMOlapMemberO(CS$25,"[C_CATEGORY].[PARENTH1].[C3003]","进度预算（原""预算数（分解版）"")","","001"))</f>
        <v/>
      </c>
      <c r="CT102" s="384">
        <f>IF(_epmOfflineCondition_,"C3003",EPMOlapMemberO(CT$25,"[C_CATEGORY].[PARENTH1].[C3003]","进度预算（原""预算数（分解版）"")","","001"))</f>
        <v/>
      </c>
      <c r="CU102" s="384">
        <f>IF(_epmOfflineCondition_,"C3003",EPMOlapMemberO(CU$25,"[C_CATEGORY].[PARENTH1].[C3003]","进度预算（原""预算数（分解版）"")","","001"))</f>
        <v/>
      </c>
      <c r="CV102" s="384">
        <f>IF(_epmOfflineCondition_,"C3003",EPMOlapMemberO(CV$25,"[C_CATEGORY].[PARENTH1].[C3003]","进度预算（原""预算数（分解版）"")","","001"))</f>
        <v/>
      </c>
      <c r="CW102" s="384">
        <f>IF(_epmOfflineCondition_,"C3003",EPMOlapMemberO(CW$25,"[C_CATEGORY].[PARENTH1].[C3003]","进度预算（原""预算数（分解版）"")","","001"))</f>
        <v/>
      </c>
      <c r="CX102" s="384">
        <f>IF(_epmOfflineCondition_,"C3003",EPMOlapMemberO(CX$25,"[C_CATEGORY].[PARENTH1].[C3003]","进度预算（原""预算数（分解版）"")","","001"))</f>
        <v/>
      </c>
      <c r="CY102" s="384">
        <f>IF(_epmOfflineCondition_,"C3003",EPMOlapMemberO(CY$25,"[C_CATEGORY].[PARENTH1].[C3003]","进度预算（原""预算数（分解版）"")","","001"))</f>
        <v/>
      </c>
      <c r="CZ102" s="384">
        <f>IF(_epmOfflineCondition_,"C3003",EPMOlapMemberO(CZ$25,"[C_CATEGORY].[PARENTH1].[C3003]","进度预算（原""预算数（分解版）"")","","001"))</f>
        <v/>
      </c>
      <c r="DA102" s="384">
        <f>IF(_epmOfflineCondition_,"C3003",EPMOlapMemberO(DA$25,"[C_CATEGORY].[PARENTH1].[C3003]","进度预算（原""预算数（分解版）"")","","001"))</f>
        <v/>
      </c>
      <c r="DB102" s="384">
        <f>IF(_epmOfflineCondition_,"C3003",EPMOlapMemberO(DB$25,"[C_CATEGORY].[PARENTH1].[C3003]","进度预算（原""预算数（分解版）"")","","001"))</f>
        <v/>
      </c>
      <c r="DC102" s="384">
        <f>IF(_epmOfflineCondition_,"C3003",EPMOlapMemberO(DC$25,"[C_CATEGORY].[PARENTH1].[C3003]","进度预算（原""预算数（分解版）"")","","001"))</f>
        <v/>
      </c>
      <c r="DD102" s="384">
        <f>IF(_epmOfflineCondition_,"C3003",EPMOlapMemberO(DD$25,"[C_CATEGORY].[PARENTH1].[C3003]","进度预算（原""预算数（分解版）"")","","001"))</f>
        <v/>
      </c>
      <c r="DE102" s="384">
        <f>IF(_epmOfflineCondition_,"C3003",EPMOlapMemberO(DE$25,"[C_CATEGORY].[PARENTH1].[C3003]","进度预算（原""预算数（分解版）"")","","001"))</f>
        <v/>
      </c>
      <c r="DF102" s="384">
        <f>IF(_epmOfflineCondition_,"C3003",EPMOlapMemberO(DF$25,"[C_CATEGORY].[PARENTH1].[C3003]","进度预算（原""预算数（分解版）"")","","001"))</f>
        <v/>
      </c>
      <c r="DG102" s="384">
        <f>IF(_epmOfflineCondition_,"C3003",EPMOlapMemberO(DG$25,"[C_CATEGORY].[PARENTH1].[C3003]","进度预算（原""预算数（分解版）"")","","001"))</f>
        <v/>
      </c>
      <c r="DH102" s="384">
        <f>IF(_epmOfflineCondition_,"C3003",EPMOlapMemberO(DH$25,"[C_CATEGORY].[PARENTH1].[C3003]","进度预算（原""预算数（分解版）"")","","001"))</f>
        <v/>
      </c>
      <c r="DI102" s="384">
        <f>IF(_epmOfflineCondition_,"C3004",EPMOlapMemberO(DI$25,"[C_CATEGORY].[PARENTH1].[C3004]","年度预算","","001"))</f>
        <v/>
      </c>
      <c r="DJ102" s="384">
        <f>IF(_epmOfflineCondition_,"C3004",EPMOlapMemberO(DJ$25,"[C_CATEGORY].[PARENTH1].[C3004]","年度预算","","001"))</f>
        <v/>
      </c>
      <c r="DK102" s="384">
        <f>IF(_epmOfflineCondition_,"C3004",EPMOlapMemberO(DK$25,"[C_CATEGORY].[PARENTH1].[C3004]","年度预算","","001"))</f>
        <v/>
      </c>
      <c r="DL102" s="384">
        <f>IF(_epmOfflineCondition_,"C3004",EPMOlapMemberO(DL$25,"[C_CATEGORY].[PARENTH1].[C3004]","年度预算","","001"))</f>
        <v/>
      </c>
      <c r="DM102" s="384">
        <f>IF(_epmOfflineCondition_,"C3004",EPMOlapMemberO(DM$25,"[C_CATEGORY].[PARENTH1].[C3004]","年度预算","","001"))</f>
        <v/>
      </c>
      <c r="DN102" s="384">
        <f>IF(_epmOfflineCondition_,"C3004",EPMOlapMemberO(DN$25,"[C_CATEGORY].[PARENTH1].[C3004]","年度预算","","001"))</f>
        <v/>
      </c>
      <c r="DO102" s="384">
        <f>IF(_epmOfflineCondition_,"C3004",EPMOlapMemberO(DO$25,"[C_CATEGORY].[PARENTH1].[C3004]","年度预算","","001"))</f>
        <v/>
      </c>
      <c r="DP102" s="384">
        <f>IF(_epmOfflineCondition_,"C3004",EPMOlapMemberO(DP$25,"[C_CATEGORY].[PARENTH1].[C3004]","年度预算","","001"))</f>
        <v/>
      </c>
    </row>
    <row r="103" hidden="1" outlineLevel="1" s="1181">
      <c r="A103" s="384" t="n"/>
      <c r="B103" s="384" t="n"/>
      <c r="C103" s="384" t="n"/>
      <c r="D103" s="384" t="n"/>
      <c r="E103" s="384" t="n"/>
      <c r="F103" s="384" t="n"/>
      <c r="G103" s="384" t="n"/>
      <c r="H103" s="384" t="n"/>
      <c r="I103" s="384" t="n"/>
      <c r="J103" s="384" t="n"/>
      <c r="K103" s="384" t="n"/>
      <c r="L103" s="384" t="n"/>
      <c r="M103" s="384" t="n"/>
      <c r="N103" s="384" t="n"/>
      <c r="O103" s="384" t="n"/>
      <c r="P103" s="384" t="n"/>
      <c r="Q103" s="384" t="n"/>
      <c r="R103" s="384" t="n"/>
      <c r="S103" s="384" t="n"/>
      <c r="T103" s="384" t="n"/>
      <c r="U103" s="384" t="n"/>
      <c r="V103" s="384" t="n"/>
      <c r="W103" s="384" t="n"/>
      <c r="X103" s="384" t="n"/>
      <c r="Y103" s="384">
        <f>IF(_epmOfflineCondition_,"",EPMOlapMemberO("[Blank Member]","","","","001"))</f>
        <v/>
      </c>
      <c r="Z103" s="384">
        <f>IF(_epmOfflineCondition_,"",EPMOlapMemberO("[Blank Member]","","","","001"))</f>
        <v/>
      </c>
      <c r="AA103" s="384">
        <f>IF(_epmOfflineCondition_,"",EPMOlapMemberO("[Blank Member]","","","","001"))</f>
        <v/>
      </c>
      <c r="AB103" s="390">
        <f>IF(_epmOfflineCondition_,"A0270102",EPMOlapMemberO(AB98,"[C_ACCOUNT].[PARENTH1].[A0270102]","A0270102 -  售热收入","","001"))</f>
        <v/>
      </c>
      <c r="AC103" s="390">
        <f>IF(_epmOfflineCondition_,"A0270102",EPMOlapMemberO(AC98,"[C_ACCOUNT].[PARENTH1].[A0270102]","A0270102 -  售热收入","","001"))</f>
        <v/>
      </c>
      <c r="AD103" s="390">
        <f>IF(_epmOfflineCondition_,"A0270102",EPMOlapMemberO(AD98,"[C_ACCOUNT].[PARENTH1].[A0270102]","A0270102 -  售热收入","","001"))</f>
        <v/>
      </c>
      <c r="AE103" s="390">
        <f>IF(_epmOfflineCondition_,"A0270102",EPMOlapMemberO(AE98,"[C_ACCOUNT].[PARENTH1].[A0270102]","A0270102 -  售热收入","","001"))</f>
        <v/>
      </c>
      <c r="AF103" s="390">
        <f>IF(_epmOfflineCondition_,"A027020301",EPMOlapMemberO(AF98,"[C_ACCOUNT].[PARENTH1].[A027020301]","A027020301 - 售热量","","001"))</f>
        <v/>
      </c>
      <c r="AG103" s="390">
        <f>IF(_epmOfflineCondition_,"A027020303",EPMOlapMemberO(AG98,"[C_ACCOUNT].[PARENTH1].[A027020303]","A027020303 - 售汽当量","","001"))</f>
        <v/>
      </c>
      <c r="AH103" s="401">
        <f>IF(_epmOfflineCondition_,"A027020301",EPMOlapMemberO(AH98,"[C_ACCOUNT].[PARENTH1].[A027020301]","A027020301 - 售热量","","001"))</f>
        <v/>
      </c>
      <c r="AI103" s="390">
        <f>IF(_epmOfflineCondition_,"A027020303",EPMOlapMemberO(AI98,"[C_ACCOUNT].[PARENTH1].[A027020303]","A027020303 - 售汽当量","","001"))</f>
        <v/>
      </c>
      <c r="AJ103" s="390">
        <f>IF(_epmOfflineCondition_,"A027020301",EPMOlapMemberO(AJ98,"[C_ACCOUNT].[PARENTH1].[A027020301]","A027020301 - 售热量","","001"))</f>
        <v/>
      </c>
      <c r="AK103" s="390">
        <f>IF(_epmOfflineCondition_,"A027020303",EPMOlapMemberO(AK98,"[C_ACCOUNT].[PARENTH1].[A027020303]","A027020303 - 售汽当量","","001"))</f>
        <v/>
      </c>
      <c r="AL103" s="390">
        <f>IF(_epmOfflineCondition_,"A027020301",EPMOlapMemberO(AL98,"[C_ACCOUNT].[PARENTH1].[A027020301]","A027020301 - 售热量","","001"))</f>
        <v/>
      </c>
      <c r="AM103" s="413">
        <f>IF(_epmOfflineCondition_,"A027020303",EPMOlapMemberO(AM98,"[C_ACCOUNT].[PARENTH1].[A027020303]","A027020303 - 售汽当量","","001"))</f>
        <v/>
      </c>
      <c r="AN103" s="413">
        <f>IF(_epmOfflineCondition_,"A027020303",EPMOlapMemberO(AN98,"[C_ACCOUNT].[PARENTH1].[A027020303]","A027020303 - 售汽当量","","001"))</f>
        <v/>
      </c>
      <c r="AO103" s="384">
        <f>IF(_epmOfflineCondition_,"A0343201",EPMOlapMemberO(AO98,"[C_ACCOUNT].[PARENTH1].[A0343201]","A0343201 -    其中：火电","","001"))</f>
        <v/>
      </c>
      <c r="AP103" s="384">
        <f>IF(_epmOfflineCondition_,"A0343202",EPMOlapMemberO(AP98,"[C_ACCOUNT].[PARENTH1].[A0343202]","A0343202 -          风电","","001"))</f>
        <v/>
      </c>
      <c r="AQ103" s="384">
        <f>IF(_epmOfflineCondition_,"A0343203",EPMOlapMemberO(AQ98,"[C_ACCOUNT].[PARENTH1].[A0343203]","A0343203 -          光伏","","001"))</f>
        <v/>
      </c>
      <c r="AR103" s="384">
        <f>IF(_epmOfflineCondition_,"A0343204",EPMOlapMemberO(AR98,"[C_ACCOUNT].[PARENTH1].[A0343204]","A0343204 -          燃气","","001"))</f>
        <v/>
      </c>
      <c r="AS103" s="384">
        <f>IF(_epmOfflineCondition_,"A0343205",EPMOlapMemberO(AS98,"[C_ACCOUNT].[PARENTH1].[A0343205]","A0343205 -          水电","","001"))</f>
        <v/>
      </c>
      <c r="AT103" s="384">
        <f>IF(_epmOfflineCondition_,"A0343206",EPMOlapMemberO(AT98,"[C_ACCOUNT].[PARENTH1].[A0343206]","A0343206 -          其他","","001"))</f>
        <v/>
      </c>
      <c r="AU103" s="384">
        <f>IF(_epmOfflineCondition_,"",EPMOlapMemberO("[Blank Member]","","","","001"))</f>
        <v/>
      </c>
      <c r="AV103" s="384">
        <f>IF(_epmOfflineCondition_,"",EPMOlapMemberO("[Blank Member]","","","","001"))</f>
        <v/>
      </c>
      <c r="AW103" s="384">
        <f>IF(_epmOfflineCondition_,"A0343201",EPMOlapMemberO(AW98,"[C_ACCOUNT].[PARENTH1].[A0343201]","A0343201 -    其中：火电","","001"))</f>
        <v/>
      </c>
      <c r="AX103" s="384">
        <f>IF(_epmOfflineCondition_,"A0343202",EPMOlapMemberO(AX98,"[C_ACCOUNT].[PARENTH1].[A0343202]","A0343202 -          风电","","001"))</f>
        <v/>
      </c>
      <c r="AY103" s="384">
        <f>IF(_epmOfflineCondition_,"A0343203",EPMOlapMemberO(AY98,"[C_ACCOUNT].[PARENTH1].[A0343203]","A0343203 -          光伏","","001"))</f>
        <v/>
      </c>
      <c r="AZ103" s="384">
        <f>IF(_epmOfflineCondition_,"A0343204",EPMOlapMemberO(AZ98,"[C_ACCOUNT].[PARENTH1].[A0343204]","A0343204 -          燃气","","001"))</f>
        <v/>
      </c>
      <c r="BA103" s="384">
        <f>IF(_epmOfflineCondition_,"A0343205",EPMOlapMemberO(BA98,"[C_ACCOUNT].[PARENTH1].[A0343205]","A0343205 -          水电","","001"))</f>
        <v/>
      </c>
      <c r="BB103" s="384">
        <f>IF(_epmOfflineCondition_,"A0343206",EPMOlapMemberO(BB98,"[C_ACCOUNT].[PARENTH1].[A0343206]","A0343206 -          其他","","001"))</f>
        <v/>
      </c>
      <c r="BC103" s="384">
        <f>IF(_epmOfflineCondition_,"",EPMOlapMemberO("[Blank Member]","","","","001"))</f>
        <v/>
      </c>
      <c r="BD103" s="384">
        <f>IF(_epmOfflineCondition_,"",EPMOlapMemberO("[Blank Member]","","","","001"))</f>
        <v/>
      </c>
      <c r="BE103" s="384">
        <f>IF(_epmOfflineCondition_,"A0343201",EPMOlapMemberO(BE98,"[C_ACCOUNT].[PARENTH1].[A0343201]","A0343201 -    其中：火电","","001"))</f>
        <v/>
      </c>
      <c r="BF103" s="384">
        <f>IF(_epmOfflineCondition_,"A0343202",EPMOlapMemberO(BF98,"[C_ACCOUNT].[PARENTH1].[A0343202]","A0343202 -          风电","","001"))</f>
        <v/>
      </c>
      <c r="BG103" s="384">
        <f>IF(_epmOfflineCondition_,"A0343203",EPMOlapMemberO(BG98,"[C_ACCOUNT].[PARENTH1].[A0343203]","A0343203 -          光伏","","001"))</f>
        <v/>
      </c>
      <c r="BH103" s="384">
        <f>IF(_epmOfflineCondition_,"A0343204",EPMOlapMemberO(BH98,"[C_ACCOUNT].[PARENTH1].[A0343204]","A0343204 -          燃气","","001"))</f>
        <v/>
      </c>
      <c r="BI103" s="384">
        <f>IF(_epmOfflineCondition_,"A0343205",EPMOlapMemberO(BI98,"[C_ACCOUNT].[PARENTH1].[A0343205]","A0343205 -          水电","","001"))</f>
        <v/>
      </c>
      <c r="BJ103" s="384">
        <f>IF(_epmOfflineCondition_,"A0343206",EPMOlapMemberO(BJ98,"[C_ACCOUNT].[PARENTH1].[A0343206]","A0343206 -          其他","","001"))</f>
        <v/>
      </c>
      <c r="BK103" s="384">
        <f>IF(_epmOfflineCondition_,"",EPMOlapMemberO("[Blank Member]","","","","001"))</f>
        <v/>
      </c>
      <c r="BL103" s="384">
        <f>IF(_epmOfflineCondition_,"",EPMOlapMemberO("[Blank Member]","","","","001"))</f>
        <v/>
      </c>
      <c r="BM103" s="384">
        <f>IF(_epmOfflineCondition_,"A0343201",EPMOlapMemberO(BM98,"[C_ACCOUNT].[PARENTH1].[A0343201]","A0343201 -    其中：火电","","001"))</f>
        <v/>
      </c>
      <c r="BN103" s="384">
        <f>IF(_epmOfflineCondition_,"A0343202",EPMOlapMemberO(BN98,"[C_ACCOUNT].[PARENTH1].[A0343202]","A0343202 -          风电","","001"))</f>
        <v/>
      </c>
      <c r="BO103" s="384">
        <f>IF(_epmOfflineCondition_,"A0343203",EPMOlapMemberO(BO98,"[C_ACCOUNT].[PARENTH1].[A0343203]","A0343203 -          光伏","","001"))</f>
        <v/>
      </c>
      <c r="BP103" s="384">
        <f>IF(_epmOfflineCondition_,"A0343204",EPMOlapMemberO(BP98,"[C_ACCOUNT].[PARENTH1].[A0343204]","A0343204 -          燃气","","001"))</f>
        <v/>
      </c>
      <c r="BQ103" s="384">
        <f>IF(_epmOfflineCondition_,"A0343205",EPMOlapMemberO(BQ98,"[C_ACCOUNT].[PARENTH1].[A0343205]","A0343205 -          水电","","001"))</f>
        <v/>
      </c>
      <c r="BR103" s="384">
        <f>IF(_epmOfflineCondition_,"A0343206",EPMOlapMemberO(BR98,"[C_ACCOUNT].[PARENTH1].[A0343206]","A0343206 -          其他","","001"))</f>
        <v/>
      </c>
      <c r="BS103" s="384">
        <f>IF(_epmOfflineCondition_,"",EPMOlapMemberO("[Blank Member]","","","","001"))</f>
        <v/>
      </c>
      <c r="BT103" s="384">
        <f>IF(_epmOfflineCondition_,"",EPMOlapMemberO("[Blank Member]","","","","001"))</f>
        <v/>
      </c>
      <c r="BU103" s="384">
        <f>IF(_epmOfflineCondition_,"",EPMOlapMemberO("[Blank Member]","","","","001"))</f>
        <v/>
      </c>
      <c r="BV103" s="384">
        <f>IF(_epmOfflineCondition_,"",EPMOlapMemberO("[Blank Member]","","","","001"))</f>
        <v/>
      </c>
      <c r="BW103" s="384">
        <f>IF(_epmOfflineCondition_,"",EPMOlapMemberO("[Blank Member]","","","","001"))</f>
        <v/>
      </c>
      <c r="BX103" s="384">
        <f>IF(_epmOfflineCondition_,"",EPMOlapMemberO("[Blank Member]","","","","001"))</f>
        <v/>
      </c>
      <c r="BY103" s="384">
        <f>IF(_epmOfflineCondition_,"",EPMOlapMemberO("[Blank Member]","","","","001"))</f>
        <v/>
      </c>
      <c r="BZ103" s="384">
        <f>IF(_epmOfflineCondition_,"",EPMOlapMemberO("[Blank Member]","","","","001"))</f>
        <v/>
      </c>
      <c r="CA103" s="384">
        <f>IF(_epmOfflineCondition_,"",EPMOlapMemberO("[Blank Member]","","","","001"))</f>
        <v/>
      </c>
      <c r="CB103" s="384">
        <f>IF(_epmOfflineCondition_,"",EPMOlapMemberO("[Blank Member]","","","","001"))</f>
        <v/>
      </c>
      <c r="CC103" s="384">
        <f>IF(_epmOfflineCondition_,"",EPMOlapMemberO("[Blank Member]","","","","001"))</f>
        <v/>
      </c>
      <c r="CD103" s="384">
        <f>IF(_epmOfflineCondition_,"",EPMOlapMemberO("[Blank Member]","","","","001"))</f>
        <v/>
      </c>
      <c r="CE103" s="384">
        <f>IF(_epmOfflineCondition_,"",EPMOlapMemberO("[Blank Member]","","","","001"))</f>
        <v/>
      </c>
      <c r="CF103" s="384">
        <f>IF(_epmOfflineCondition_,"",EPMOlapMemberO("[Blank Member]","","","","001"))</f>
        <v/>
      </c>
      <c r="CG103" s="384">
        <f>IF(_epmOfflineCondition_,"",EPMOlapMemberO("[Blank Member]","","","","001"))</f>
        <v/>
      </c>
      <c r="CH103" s="384">
        <f>IF(_epmOfflineCondition_,"",EPMOlapMemberO("[Blank Member]","","","","001"))</f>
        <v/>
      </c>
      <c r="CI103" s="384">
        <f>IF(_epmOfflineCondition_,"",EPMOlapMemberO("[Blank Member]","","","","001"))</f>
        <v/>
      </c>
      <c r="CJ103" s="384">
        <f>IF(_epmOfflineCondition_,"",EPMOlapMemberO("[Blank Member]","","","","001"))</f>
        <v/>
      </c>
      <c r="CK103" s="384">
        <f>IF(_epmOfflineCondition_,"",EPMOlapMemberO("[Blank Member]","","","","001"))</f>
        <v/>
      </c>
      <c r="CL103" s="384">
        <f>IF(_epmOfflineCondition_,"",EPMOlapMemberO("[Blank Member]","","","","001"))</f>
        <v/>
      </c>
      <c r="CM103" s="384">
        <f>IF(_epmOfflineCondition_,"",EPMOlapMemberO("[Blank Member]","","","","001"))</f>
        <v/>
      </c>
      <c r="CN103" s="384">
        <f>IF(_epmOfflineCondition_,"",EPMOlapMemberO("[Blank Member]","","","","001"))</f>
        <v/>
      </c>
      <c r="CO103" s="384">
        <f>IF(_epmOfflineCondition_,"",EPMOlapMemberO("[Blank Member]","","","","001"))</f>
        <v/>
      </c>
      <c r="CP103" s="384">
        <f>IF(_epmOfflineCondition_,"",EPMOlapMemberO("[Blank Member]","","","","001"))</f>
        <v/>
      </c>
      <c r="CQ103" s="384">
        <f>IF(_epmOfflineCondition_,"",EPMOlapMemberO("[Blank Member]","","","","001"))</f>
        <v/>
      </c>
      <c r="CR103" s="384">
        <f>IF(_epmOfflineCondition_,"",EPMOlapMemberO("[Blank Member]","","","","001"))</f>
        <v/>
      </c>
      <c r="CS103" s="384">
        <f>IF(_epmOfflineCondition_,"",EPMOlapMemberO("[Blank Member]","","","","001"))</f>
        <v/>
      </c>
      <c r="CT103" s="384">
        <f>IF(_epmOfflineCondition_,"",EPMOlapMemberO("[Blank Member]","","","","001"))</f>
        <v/>
      </c>
      <c r="CU103" s="384">
        <f>IF(_epmOfflineCondition_,"",EPMOlapMemberO("[Blank Member]","","","","001"))</f>
        <v/>
      </c>
      <c r="CV103" s="384">
        <f>IF(_epmOfflineCondition_,"",EPMOlapMemberO("[Blank Member]","","","","001"))</f>
        <v/>
      </c>
      <c r="CW103" s="384">
        <f>IF(_epmOfflineCondition_,"",EPMOlapMemberO("[Blank Member]","","","","001"))</f>
        <v/>
      </c>
      <c r="CX103" s="384">
        <f>IF(_epmOfflineCondition_,"",EPMOlapMemberO("[Blank Member]","","","","001"))</f>
        <v/>
      </c>
      <c r="CY103" s="384">
        <f>IF(_epmOfflineCondition_,"",EPMOlapMemberO("[Blank Member]","","","","001"))</f>
        <v/>
      </c>
      <c r="CZ103" s="384">
        <f>IF(_epmOfflineCondition_,"",EPMOlapMemberO("[Blank Member]","","","","001"))</f>
        <v/>
      </c>
      <c r="DA103" s="384">
        <f>IF(_epmOfflineCondition_,"",EPMOlapMemberO("[Blank Member]","","","","001"))</f>
        <v/>
      </c>
      <c r="DB103" s="384">
        <f>IF(_epmOfflineCondition_,"",EPMOlapMemberO("[Blank Member]","","","","001"))</f>
        <v/>
      </c>
      <c r="DC103" s="384">
        <f>IF(_epmOfflineCondition_,"",EPMOlapMemberO("[Blank Member]","","","","001"))</f>
        <v/>
      </c>
      <c r="DD103" s="384">
        <f>IF(_epmOfflineCondition_,"",EPMOlapMemberO("[Blank Member]","","","","001"))</f>
        <v/>
      </c>
      <c r="DE103" s="384">
        <f>IF(_epmOfflineCondition_,"",EPMOlapMemberO("[Blank Member]","","","","001"))</f>
        <v/>
      </c>
      <c r="DF103" s="384">
        <f>IF(_epmOfflineCondition_,"",EPMOlapMemberO("[Blank Member]","","","","001"))</f>
        <v/>
      </c>
      <c r="DG103" s="384">
        <f>IF(_epmOfflineCondition_,"",EPMOlapMemberO("[Blank Member]","","","","001"))</f>
        <v/>
      </c>
      <c r="DH103" s="384">
        <f>IF(_epmOfflineCondition_,"",EPMOlapMemberO("[Blank Member]","","","","001"))</f>
        <v/>
      </c>
      <c r="DI103" s="384">
        <f>IF(_epmOfflineCondition_,"",EPMOlapMemberO("[Blank Member]","","","","001"))</f>
        <v/>
      </c>
      <c r="DJ103" s="384">
        <f>IF(_epmOfflineCondition_,"",EPMOlapMemberO("[Blank Member]","","","","001"))</f>
        <v/>
      </c>
      <c r="DK103" s="384">
        <f>IF(_epmOfflineCondition_,"",EPMOlapMemberO("[Blank Member]","","","","001"))</f>
        <v/>
      </c>
      <c r="DL103" s="384">
        <f>IF(_epmOfflineCondition_,"",EPMOlapMemberO("[Blank Member]","","","","001"))</f>
        <v/>
      </c>
      <c r="DM103" s="384">
        <f>IF(_epmOfflineCondition_,"",EPMOlapMemberO("[Blank Member]","","","","001"))</f>
        <v/>
      </c>
      <c r="DN103" s="384">
        <f>IF(_epmOfflineCondition_,"",EPMOlapMemberO("[Blank Member]","","","","001"))</f>
        <v/>
      </c>
      <c r="DO103" s="384">
        <f>IF(_epmOfflineCondition_,"",EPMOlapMemberO("[Blank Member]","","","","001"))</f>
        <v/>
      </c>
      <c r="DP103" s="384">
        <f>IF(_epmOfflineCondition_,"",EPMOlapMemberO("[Blank Member]","","","","001"))</f>
        <v/>
      </c>
    </row>
    <row r="104" hidden="1" outlineLevel="1" s="1181">
      <c r="A104" s="384" t="n"/>
      <c r="B104" s="384" t="n"/>
      <c r="C104" s="384" t="n"/>
      <c r="D104" s="384" t="n"/>
      <c r="E104" s="384" t="n"/>
      <c r="F104" s="384" t="n"/>
      <c r="G104" s="384" t="n"/>
      <c r="H104" s="384" t="n"/>
      <c r="I104" s="384" t="n"/>
      <c r="J104" s="384" t="n"/>
      <c r="K104" s="384" t="n"/>
      <c r="L104" s="384" t="n"/>
      <c r="M104" s="384" t="n"/>
      <c r="N104" s="384" t="n"/>
      <c r="O104" s="384" t="n"/>
      <c r="P104" s="384" t="n"/>
      <c r="Q104" s="384" t="n"/>
      <c r="R104" s="384" t="n"/>
      <c r="S104" s="384" t="n"/>
      <c r="T104" s="384" t="n"/>
      <c r="U104" s="384" t="n"/>
      <c r="V104" s="384" t="n"/>
      <c r="W104" s="384" t="n"/>
      <c r="X104" s="384" t="n"/>
      <c r="Y104" s="384">
        <f>IF(_epmOfflineCondition_,"",EPMOlapMemberO("[Blank Member]","","","","001"))</f>
        <v/>
      </c>
      <c r="Z104" s="384">
        <f>IF(_epmOfflineCondition_,"",EPMOlapMemberO("[Blank Member]","","","","001"))</f>
        <v/>
      </c>
      <c r="AA104" s="384">
        <f>IF(_epmOfflineCondition_,"",EPMOlapMemberO("[Blank Member]","","","","001"))</f>
        <v/>
      </c>
      <c r="AB104" s="390">
        <f>IF(_epmOfflineCondition_,"LC",EPMOlapMemberO(AB$28,"[C_RPTCURRENCY].[].[LC]","LC - 本位币","","001"))</f>
        <v/>
      </c>
      <c r="AC104" s="390">
        <f>IF(_epmOfflineCondition_,"LC",EPMOlapMemberO(AC$28,"[C_RPTCURRENCY].[].[LC]","LC - 本位币","","001"))</f>
        <v/>
      </c>
      <c r="AD104" s="390">
        <f>IF(_epmOfflineCondition_,"LC",EPMOlapMemberO(AD$28,"[C_RPTCURRENCY].[].[LC]","LC - 本位币","","001"))</f>
        <v/>
      </c>
      <c r="AE104" s="390">
        <f>IF(_epmOfflineCondition_,"LC",EPMOlapMemberO(AE$28,"[C_RPTCURRENCY].[].[LC]","LC - 本位币","","001"))</f>
        <v/>
      </c>
      <c r="AF104" s="390">
        <f>IF(_epmOfflineCondition_,"LC",EPMOlapMemberO(AF$28,"[C_RPTCURRENCY].[].[LC]","LC - 本位币","","001"))</f>
        <v/>
      </c>
      <c r="AG104" s="390">
        <f>IF(_epmOfflineCondition_,"LC",EPMOlapMemberO(AG$28,"[C_RPTCURRENCY].[].[LC]","LC - 本位币","","001"))</f>
        <v/>
      </c>
      <c r="AH104" s="401">
        <f>IF(_epmOfflineCondition_,"LC",EPMOlapMemberO(AH$28,"[C_RPTCURRENCY].[].[LC]","LC - 本位币","","001"))</f>
        <v/>
      </c>
      <c r="AI104" s="390">
        <f>IF(_epmOfflineCondition_,"LC",EPMOlapMemberO(AI$28,"[C_RPTCURRENCY].[].[LC]","LC - 本位币","","001"))</f>
        <v/>
      </c>
      <c r="AJ104" s="390">
        <f>IF(_epmOfflineCondition_,"LC",EPMOlapMemberO(AJ$28,"[C_RPTCURRENCY].[].[LC]","LC - 本位币","","001"))</f>
        <v/>
      </c>
      <c r="AK104" s="390">
        <f>IF(_epmOfflineCondition_,"LC",EPMOlapMemberO(AK$28,"[C_RPTCURRENCY].[].[LC]","LC - 本位币","","001"))</f>
        <v/>
      </c>
      <c r="AL104" s="390">
        <f>IF(_epmOfflineCondition_,"LC",EPMOlapMemberO(AL$28,"[C_RPTCURRENCY].[].[LC]","LC - 本位币","","001"))</f>
        <v/>
      </c>
      <c r="AM104" s="413">
        <f>IF(_epmOfflineCondition_,"LC",EPMOlapMemberO(AM$28,"[C_RPTCURRENCY].[].[LC]","LC - 本位币","","001"))</f>
        <v/>
      </c>
      <c r="AN104" s="413">
        <f>IF(_epmOfflineCondition_,"LC",EPMOlapMemberO(AN$28,"[C_RPTCURRENCY].[].[LC]","LC - 本位币","","001"))</f>
        <v/>
      </c>
      <c r="AO104" s="384">
        <f>IF(_epmOfflineCondition_,"LC",EPMOlapMemberO(AO$28,"[C_RPTCURRENCY].[].[LC]","LC - 本位币","","001"))</f>
        <v/>
      </c>
      <c r="AP104" s="384">
        <f>IF(_epmOfflineCondition_,"LC",EPMOlapMemberO(AP$28,"[C_RPTCURRENCY].[].[LC]","LC - 本位币","","001"))</f>
        <v/>
      </c>
      <c r="AQ104" s="384">
        <f>IF(_epmOfflineCondition_,"LC",EPMOlapMemberO(AQ$28,"[C_RPTCURRENCY].[].[LC]","LC - 本位币","","001"))</f>
        <v/>
      </c>
      <c r="AR104" s="384">
        <f>IF(_epmOfflineCondition_,"LC",EPMOlapMemberO(AR$28,"[C_RPTCURRENCY].[].[LC]","LC - 本位币","","001"))</f>
        <v/>
      </c>
      <c r="AS104" s="384">
        <f>IF(_epmOfflineCondition_,"LC",EPMOlapMemberO(AS$28,"[C_RPTCURRENCY].[].[LC]","LC - 本位币","","001"))</f>
        <v/>
      </c>
      <c r="AT104" s="384">
        <f>IF(_epmOfflineCondition_,"LC",EPMOlapMemberO(AT$28,"[C_RPTCURRENCY].[].[LC]","LC - 本位币","","001"))</f>
        <v/>
      </c>
      <c r="AU104" s="384">
        <f>IF(_epmOfflineCondition_,"",EPMOlapMemberO("[Blank Member]","","","","001"))</f>
        <v/>
      </c>
      <c r="AV104" s="384">
        <f>IF(_epmOfflineCondition_,"",EPMOlapMemberO("[Blank Member]","","","","001"))</f>
        <v/>
      </c>
      <c r="AW104" s="384">
        <f>IF(_epmOfflineCondition_,"LC",EPMOlapMemberO(AW$28,"[C_RPTCURRENCY].[].[LC]","LC - 本位币","","001"))</f>
        <v/>
      </c>
      <c r="AX104" s="384">
        <f>IF(_epmOfflineCondition_,"LC",EPMOlapMemberO(AX$28,"[C_RPTCURRENCY].[].[LC]","LC - 本位币","","001"))</f>
        <v/>
      </c>
      <c r="AY104" s="384">
        <f>IF(_epmOfflineCondition_,"LC",EPMOlapMemberO(AY$28,"[C_RPTCURRENCY].[].[LC]","LC - 本位币","","001"))</f>
        <v/>
      </c>
      <c r="AZ104" s="384">
        <f>IF(_epmOfflineCondition_,"LC",EPMOlapMemberO(AZ$28,"[C_RPTCURRENCY].[].[LC]","LC - 本位币","","001"))</f>
        <v/>
      </c>
      <c r="BA104" s="384">
        <f>IF(_epmOfflineCondition_,"LC",EPMOlapMemberO(BA$28,"[C_RPTCURRENCY].[].[LC]","LC - 本位币","","001"))</f>
        <v/>
      </c>
      <c r="BB104" s="384">
        <f>IF(_epmOfflineCondition_,"LC",EPMOlapMemberO(BB$28,"[C_RPTCURRENCY].[].[LC]","LC - 本位币","","001"))</f>
        <v/>
      </c>
      <c r="BC104" s="384">
        <f>IF(_epmOfflineCondition_,"",EPMOlapMemberO("[Blank Member]","","","","001"))</f>
        <v/>
      </c>
      <c r="BD104" s="384">
        <f>IF(_epmOfflineCondition_,"",EPMOlapMemberO("[Blank Member]","","","","001"))</f>
        <v/>
      </c>
      <c r="BE104" s="384">
        <f>IF(_epmOfflineCondition_,"LC",EPMOlapMemberO(BE$28,"[C_RPTCURRENCY].[].[LC]","LC - 本位币","","001"))</f>
        <v/>
      </c>
      <c r="BF104" s="384">
        <f>IF(_epmOfflineCondition_,"LC",EPMOlapMemberO(BF$28,"[C_RPTCURRENCY].[].[LC]","LC - 本位币","","001"))</f>
        <v/>
      </c>
      <c r="BG104" s="384">
        <f>IF(_epmOfflineCondition_,"LC",EPMOlapMemberO(BG$28,"[C_RPTCURRENCY].[].[LC]","LC - 本位币","","001"))</f>
        <v/>
      </c>
      <c r="BH104" s="384">
        <f>IF(_epmOfflineCondition_,"LC",EPMOlapMemberO(BH$28,"[C_RPTCURRENCY].[].[LC]","LC - 本位币","","001"))</f>
        <v/>
      </c>
      <c r="BI104" s="384">
        <f>IF(_epmOfflineCondition_,"LC",EPMOlapMemberO(BI$28,"[C_RPTCURRENCY].[].[LC]","LC - 本位币","","001"))</f>
        <v/>
      </c>
      <c r="BJ104" s="384">
        <f>IF(_epmOfflineCondition_,"LC",EPMOlapMemberO(BJ$28,"[C_RPTCURRENCY].[].[LC]","LC - 本位币","","001"))</f>
        <v/>
      </c>
      <c r="BK104" s="384">
        <f>IF(_epmOfflineCondition_,"",EPMOlapMemberO("[Blank Member]","","","","001"))</f>
        <v/>
      </c>
      <c r="BL104" s="384">
        <f>IF(_epmOfflineCondition_,"",EPMOlapMemberO("[Blank Member]","","","","001"))</f>
        <v/>
      </c>
      <c r="BM104" s="384">
        <f>IF(_epmOfflineCondition_,"LC",EPMOlapMemberO(BM$28,"[C_RPTCURRENCY].[].[LC]","LC - 本位币","","001"))</f>
        <v/>
      </c>
      <c r="BN104" s="384">
        <f>IF(_epmOfflineCondition_,"LC",EPMOlapMemberO(BN$28,"[C_RPTCURRENCY].[].[LC]","LC - 本位币","","001"))</f>
        <v/>
      </c>
      <c r="BO104" s="384">
        <f>IF(_epmOfflineCondition_,"LC",EPMOlapMemberO(BO$28,"[C_RPTCURRENCY].[].[LC]","LC - 本位币","","001"))</f>
        <v/>
      </c>
      <c r="BP104" s="384">
        <f>IF(_epmOfflineCondition_,"LC",EPMOlapMemberO(BP$28,"[C_RPTCURRENCY].[].[LC]","LC - 本位币","","001"))</f>
        <v/>
      </c>
      <c r="BQ104" s="384">
        <f>IF(_epmOfflineCondition_,"LC",EPMOlapMemberO(BQ$28,"[C_RPTCURRENCY].[].[LC]","LC - 本位币","","001"))</f>
        <v/>
      </c>
      <c r="BR104" s="384">
        <f>IF(_epmOfflineCondition_,"LC",EPMOlapMemberO(BR$28,"[C_RPTCURRENCY].[].[LC]","LC - 本位币","","001"))</f>
        <v/>
      </c>
      <c r="BS104" s="384">
        <f>IF(_epmOfflineCondition_,"",EPMOlapMemberO("[Blank Member]","","","","001"))</f>
        <v/>
      </c>
      <c r="BT104" s="384">
        <f>IF(_epmOfflineCondition_,"",EPMOlapMemberO("[Blank Member]","","","","001"))</f>
        <v/>
      </c>
      <c r="BU104" s="384">
        <f>IF(_epmOfflineCondition_,"",EPMOlapMemberO("[Blank Member]","","","","001"))</f>
        <v/>
      </c>
      <c r="BV104" s="384">
        <f>IF(_epmOfflineCondition_,"",EPMOlapMemberO("[Blank Member]","","","","001"))</f>
        <v/>
      </c>
      <c r="BW104" s="384">
        <f>IF(_epmOfflineCondition_,"",EPMOlapMemberO("[Blank Member]","","","","001"))</f>
        <v/>
      </c>
      <c r="BX104" s="384">
        <f>IF(_epmOfflineCondition_,"",EPMOlapMemberO("[Blank Member]","","","","001"))</f>
        <v/>
      </c>
      <c r="BY104" s="384">
        <f>IF(_epmOfflineCondition_,"",EPMOlapMemberO("[Blank Member]","","","","001"))</f>
        <v/>
      </c>
      <c r="BZ104" s="384">
        <f>IF(_epmOfflineCondition_,"",EPMOlapMemberO("[Blank Member]","","","","001"))</f>
        <v/>
      </c>
      <c r="CA104" s="384">
        <f>IF(_epmOfflineCondition_,"",EPMOlapMemberO("[Blank Member]","","","","001"))</f>
        <v/>
      </c>
      <c r="CB104" s="384">
        <f>IF(_epmOfflineCondition_,"",EPMOlapMemberO("[Blank Member]","","","","001"))</f>
        <v/>
      </c>
      <c r="CC104" s="384">
        <f>IF(_epmOfflineCondition_,"",EPMOlapMemberO("[Blank Member]","","","","001"))</f>
        <v/>
      </c>
      <c r="CD104" s="384">
        <f>IF(_epmOfflineCondition_,"",EPMOlapMemberO("[Blank Member]","","","","001"))</f>
        <v/>
      </c>
      <c r="CE104" s="384">
        <f>IF(_epmOfflineCondition_,"",EPMOlapMemberO("[Blank Member]","","","","001"))</f>
        <v/>
      </c>
      <c r="CF104" s="384">
        <f>IF(_epmOfflineCondition_,"",EPMOlapMemberO("[Blank Member]","","","","001"))</f>
        <v/>
      </c>
      <c r="CG104" s="384">
        <f>IF(_epmOfflineCondition_,"",EPMOlapMemberO("[Blank Member]","","","","001"))</f>
        <v/>
      </c>
      <c r="CH104" s="384">
        <f>IF(_epmOfflineCondition_,"",EPMOlapMemberO("[Blank Member]","","","","001"))</f>
        <v/>
      </c>
      <c r="CI104" s="384">
        <f>IF(_epmOfflineCondition_,"",EPMOlapMemberO("[Blank Member]","","","","001"))</f>
        <v/>
      </c>
      <c r="CJ104" s="384">
        <f>IF(_epmOfflineCondition_,"",EPMOlapMemberO("[Blank Member]","","","","001"))</f>
        <v/>
      </c>
      <c r="CK104" s="384">
        <f>IF(_epmOfflineCondition_,"",EPMOlapMemberO("[Blank Member]","","","","001"))</f>
        <v/>
      </c>
      <c r="CL104" s="384">
        <f>IF(_epmOfflineCondition_,"",EPMOlapMemberO("[Blank Member]","","","","001"))</f>
        <v/>
      </c>
      <c r="CM104" s="384">
        <f>IF(_epmOfflineCondition_,"",EPMOlapMemberO("[Blank Member]","","","","001"))</f>
        <v/>
      </c>
      <c r="CN104" s="384">
        <f>IF(_epmOfflineCondition_,"",EPMOlapMemberO("[Blank Member]","","","","001"))</f>
        <v/>
      </c>
      <c r="CO104" s="384">
        <f>IF(_epmOfflineCondition_,"",EPMOlapMemberO("[Blank Member]","","","","001"))</f>
        <v/>
      </c>
      <c r="CP104" s="384">
        <f>IF(_epmOfflineCondition_,"",EPMOlapMemberO("[Blank Member]","","","","001"))</f>
        <v/>
      </c>
      <c r="CQ104" s="384">
        <f>IF(_epmOfflineCondition_,"",EPMOlapMemberO("[Blank Member]","","","","001"))</f>
        <v/>
      </c>
      <c r="CR104" s="384">
        <f>IF(_epmOfflineCondition_,"",EPMOlapMemberO("[Blank Member]","","","","001"))</f>
        <v/>
      </c>
      <c r="CS104" s="384">
        <f>IF(_epmOfflineCondition_,"",EPMOlapMemberO("[Blank Member]","","","","001"))</f>
        <v/>
      </c>
      <c r="CT104" s="384">
        <f>IF(_epmOfflineCondition_,"",EPMOlapMemberO("[Blank Member]","","","","001"))</f>
        <v/>
      </c>
      <c r="CU104" s="384">
        <f>IF(_epmOfflineCondition_,"",EPMOlapMemberO("[Blank Member]","","","","001"))</f>
        <v/>
      </c>
      <c r="CV104" s="384">
        <f>IF(_epmOfflineCondition_,"",EPMOlapMemberO("[Blank Member]","","","","001"))</f>
        <v/>
      </c>
      <c r="CW104" s="384">
        <f>IF(_epmOfflineCondition_,"",EPMOlapMemberO("[Blank Member]","","","","001"))</f>
        <v/>
      </c>
      <c r="CX104" s="384">
        <f>IF(_epmOfflineCondition_,"",EPMOlapMemberO("[Blank Member]","","","","001"))</f>
        <v/>
      </c>
      <c r="CY104" s="384">
        <f>IF(_epmOfflineCondition_,"",EPMOlapMemberO("[Blank Member]","","","","001"))</f>
        <v/>
      </c>
      <c r="CZ104" s="384">
        <f>IF(_epmOfflineCondition_,"",EPMOlapMemberO("[Blank Member]","","","","001"))</f>
        <v/>
      </c>
      <c r="DA104" s="384">
        <f>IF(_epmOfflineCondition_,"",EPMOlapMemberO("[Blank Member]","","","","001"))</f>
        <v/>
      </c>
      <c r="DB104" s="384">
        <f>IF(_epmOfflineCondition_,"",EPMOlapMemberO("[Blank Member]","","","","001"))</f>
        <v/>
      </c>
      <c r="DC104" s="384">
        <f>IF(_epmOfflineCondition_,"",EPMOlapMemberO("[Blank Member]","","","","001"))</f>
        <v/>
      </c>
      <c r="DD104" s="384">
        <f>IF(_epmOfflineCondition_,"",EPMOlapMemberO("[Blank Member]","","","","001"))</f>
        <v/>
      </c>
      <c r="DE104" s="384">
        <f>IF(_epmOfflineCondition_,"",EPMOlapMemberO("[Blank Member]","","","","001"))</f>
        <v/>
      </c>
      <c r="DF104" s="384">
        <f>IF(_epmOfflineCondition_,"",EPMOlapMemberO("[Blank Member]","","","","001"))</f>
        <v/>
      </c>
      <c r="DG104" s="384">
        <f>IF(_epmOfflineCondition_,"",EPMOlapMemberO("[Blank Member]","","","","001"))</f>
        <v/>
      </c>
      <c r="DH104" s="384">
        <f>IF(_epmOfflineCondition_,"",EPMOlapMemberO("[Blank Member]","","","","001"))</f>
        <v/>
      </c>
      <c r="DI104" s="384">
        <f>IF(_epmOfflineCondition_,"",EPMOlapMemberO("[Blank Member]","","","","001"))</f>
        <v/>
      </c>
      <c r="DJ104" s="384">
        <f>IF(_epmOfflineCondition_,"",EPMOlapMemberO("[Blank Member]","","","","001"))</f>
        <v/>
      </c>
      <c r="DK104" s="384">
        <f>IF(_epmOfflineCondition_,"",EPMOlapMemberO("[Blank Member]","","","","001"))</f>
        <v/>
      </c>
      <c r="DL104" s="384">
        <f>IF(_epmOfflineCondition_,"",EPMOlapMemberO("[Blank Member]","","","","001"))</f>
        <v/>
      </c>
      <c r="DM104" s="384">
        <f>IF(_epmOfflineCondition_,"",EPMOlapMemberO("[Blank Member]","","","","001"))</f>
        <v/>
      </c>
      <c r="DN104" s="384">
        <f>IF(_epmOfflineCondition_,"",EPMOlapMemberO("[Blank Member]","","","","001"))</f>
        <v/>
      </c>
      <c r="DO104" s="384">
        <f>IF(_epmOfflineCondition_,"",EPMOlapMemberO("[Blank Member]","","","","001"))</f>
        <v/>
      </c>
      <c r="DP104" s="384">
        <f>IF(_epmOfflineCondition_,"",EPMOlapMemberO("[Blank Member]","","","","001"))</f>
        <v/>
      </c>
    </row>
    <row r="105" hidden="1" outlineLevel="1" s="1181">
      <c r="A105" s="384" t="n"/>
      <c r="B105" s="384" t="n"/>
      <c r="C105" s="384" t="n"/>
      <c r="D105" s="384" t="n"/>
      <c r="E105" s="384" t="n"/>
      <c r="F105" s="384" t="n"/>
      <c r="G105" s="384" t="n"/>
      <c r="H105" s="384" t="n"/>
      <c r="I105" s="384" t="n"/>
      <c r="J105" s="384" t="n"/>
      <c r="K105" s="384" t="n"/>
      <c r="L105" s="384" t="n"/>
      <c r="M105" s="384" t="n"/>
      <c r="N105" s="384" t="n"/>
      <c r="O105" s="384" t="n"/>
      <c r="P105" s="384" t="n"/>
      <c r="Q105" s="384" t="n"/>
      <c r="R105" s="384" t="n"/>
      <c r="S105" s="384" t="n"/>
      <c r="T105" s="384" t="n"/>
      <c r="U105" s="384" t="n"/>
      <c r="V105" s="384" t="n"/>
      <c r="W105" s="384" t="n"/>
      <c r="X105" s="384" t="n"/>
      <c r="Y105" s="384">
        <f>IF(_epmOfflineCondition_,"",EPMOlapMemberO("[Blank Member]","","","","001"))</f>
        <v/>
      </c>
      <c r="Z105" s="384">
        <f>IF(_epmOfflineCondition_,"",EPMOlapMemberO("[Blank Member]","","","","001"))</f>
        <v/>
      </c>
      <c r="AA105" s="384">
        <f>IF(_epmOfflineCondition_,"",EPMOlapMemberO("[Blank Member]","","","","001"))</f>
        <v/>
      </c>
      <c r="AB105" s="390">
        <f>IF(_epmOfflineCondition_,"2025.02",EPMOlapMemberO($AW$100,"[C_TIME].[PARENTH1].[2025.02]","2025.02 - 2025.02","","001"))</f>
        <v/>
      </c>
      <c r="AC105" s="390">
        <f>IF(_epmOfflineCondition_,"2025.01",EPMOlapMemberO($BM$100,"[C_TIME].[PARENTH1].[2025.01]","2025.01 - 2025.01","","001"))</f>
        <v/>
      </c>
      <c r="AD105" s="390">
        <f>IF(_epmOfflineCondition_,"2024.03",EPMOlapMemberO(AD100,"[C_TIME].[PARENTH1].[2024.03]","2024.03 - 2024.03","","001"))</f>
        <v/>
      </c>
      <c r="AE105" s="390">
        <f>IF(_epmOfflineCondition_,"2025.03",EPMOlapMemberO(AE100,"[C_TIME].[PARENTH1].[2025.03]","2025.03 - 2025.03","","001"))</f>
        <v/>
      </c>
      <c r="AF105" s="390">
        <f>IF(_epmOfflineCondition_,"2024.03",EPMOlapMemberO(AF100,"[C_TIME].[PARENTH1].[2024.03]","2024.03 - 2024.03","","001"))</f>
        <v/>
      </c>
      <c r="AG105" s="390">
        <f>IF(_epmOfflineCondition_,"2024.03",EPMOlapMemberO(AG100,"[C_TIME].[PARENTH1].[2024.03]","2024.03 - 2024.03","","001"))</f>
        <v/>
      </c>
      <c r="AH105" s="401">
        <f>IF(_epmOfflineCondition_,"2025.03",EPMOlapMemberO($AH$100,"[C_TIME].[PARENTH1].[2025.03]","2025.03 - 2025.03","","001"))</f>
        <v/>
      </c>
      <c r="AI105" s="402">
        <f>IF(_epmOfflineCondition_,"2025.03",EPMOlapMemberO($AH$100,"[C_TIME].[PARENTH1].[2025.03]","2025.03 - 2025.03","","001"))</f>
        <v/>
      </c>
      <c r="AJ105" s="390">
        <f>IF(_epmOfflineCondition_,"2025.02",EPMOlapMemberO($AW$100,"[C_TIME].[PARENTH1].[2025.02]","2025.02 - 2025.02","","001"))</f>
        <v/>
      </c>
      <c r="AK105" s="390">
        <f>IF(_epmOfflineCondition_,"2025.02",EPMOlapMemberO($AW$100,"[C_TIME].[PARENTH1].[2025.02]","2025.02 - 2025.02","","001"))</f>
        <v/>
      </c>
      <c r="AL105" s="390">
        <f>IF(_epmOfflineCondition_,"2025.01",EPMOlapMemberO($BM$100,"[C_TIME].[PARENTH1].[2025.01]","2025.01 - 2025.01","","001"))</f>
        <v/>
      </c>
      <c r="AM105" s="390">
        <f>IF(_epmOfflineCondition_,"2025.01",EPMOlapMemberO($BM$100,"[C_TIME].[PARENTH1].[2025.01]","2025.01 - 2025.01","","001"))</f>
        <v/>
      </c>
      <c r="AN105" s="390">
        <f>IF(_epmOfflineCondition_,"2025.01",EPMOlapMemberO($BM$100,"[C_TIME].[PARENTH1].[2025.01]","2025.01 - 2025.01","","001"))</f>
        <v/>
      </c>
      <c r="AO105" s="384">
        <f>IF(_epmOfflineCondition_,"2025.03",EPMOlapMemberO(AO100,"[C_TIME].[PARENTH1].[2025.03]","2025.03 - 2025.03","","001"))</f>
        <v/>
      </c>
      <c r="AP105" s="384">
        <f>IF(_epmOfflineCondition_,"2025.03",EPMOlapMemberO(AP100,"[C_TIME].[PARENTH1].[2025.03]","2025.03 - 2025.03","","001"))</f>
        <v/>
      </c>
      <c r="AQ105" s="384">
        <f>IF(_epmOfflineCondition_,"2025.03",EPMOlapMemberO(AQ100,"[C_TIME].[PARENTH1].[2025.03]","2025.03 - 2025.03","","001"))</f>
        <v/>
      </c>
      <c r="AR105" s="384">
        <f>IF(_epmOfflineCondition_,"2025.03",EPMOlapMemberO(AR100,"[C_TIME].[PARENTH1].[2025.03]","2025.03 - 2025.03","","001"))</f>
        <v/>
      </c>
      <c r="AS105" s="384">
        <f>IF(_epmOfflineCondition_,"2025.03",EPMOlapMemberO(AS100,"[C_TIME].[PARENTH1].[2025.03]","2025.03 - 2025.03","","001"))</f>
        <v/>
      </c>
      <c r="AT105" s="384">
        <f>IF(_epmOfflineCondition_,"2025.03",EPMOlapMemberO(AT100,"[C_TIME].[PARENTH1].[2025.03]","2025.03 - 2025.03","","001"))</f>
        <v/>
      </c>
      <c r="AU105" s="384">
        <f>IF(_epmOfflineCondition_,"",EPMOlapMemberO("[Blank Member]","","","","001"))</f>
        <v/>
      </c>
      <c r="AV105" s="384">
        <f>IF(_epmOfflineCondition_,"",EPMOlapMemberO("[Blank Member]","","","","001"))</f>
        <v/>
      </c>
      <c r="AW105" s="384">
        <f>IF(_epmOfflineCondition_,"2025.02",EPMOlapMemberO(AW100,"[C_TIME].[PARENTH1].[2025.02]","2025.02 - 2025.02","","001"))</f>
        <v/>
      </c>
      <c r="AX105" s="384">
        <f>IF(_epmOfflineCondition_,"2025.02",EPMOlapMemberO(AX100,"[C_TIME].[PARENTH1].[2025.02]","2025.02 - 2025.02","","001"))</f>
        <v/>
      </c>
      <c r="AY105" s="384">
        <f>IF(_epmOfflineCondition_,"2025.02",EPMOlapMemberO(AY100,"[C_TIME].[PARENTH1].[2025.02]","2025.02 - 2025.02","","001"))</f>
        <v/>
      </c>
      <c r="AZ105" s="384">
        <f>IF(_epmOfflineCondition_,"2025.02",EPMOlapMemberO(AZ100,"[C_TIME].[PARENTH1].[2025.02]","2025.02 - 2025.02","","001"))</f>
        <v/>
      </c>
      <c r="BA105" s="384">
        <f>IF(_epmOfflineCondition_,"2025.02",EPMOlapMemberO(BA100,"[C_TIME].[PARENTH1].[2025.02]","2025.02 - 2025.02","","001"))</f>
        <v/>
      </c>
      <c r="BB105" s="384">
        <f>IF(_epmOfflineCondition_,"2025.02",EPMOlapMemberO(BB100,"[C_TIME].[PARENTH1].[2025.02]","2025.02 - 2025.02","","001"))</f>
        <v/>
      </c>
      <c r="BC105" s="384">
        <f>IF(_epmOfflineCondition_,"",EPMOlapMemberO("[Blank Member]","","","","001"))</f>
        <v/>
      </c>
      <c r="BD105" s="384">
        <f>IF(_epmOfflineCondition_,"",EPMOlapMemberO("[Blank Member]","","","","001"))</f>
        <v/>
      </c>
      <c r="BE105" s="384">
        <f>IF(_epmOfflineCondition_,"2025.02",EPMOlapMemberO(BE100,"[C_TIME].[PARENTH1].[2025.02]","2025.02 - 2025.02","","001"))</f>
        <v/>
      </c>
      <c r="BF105" s="384">
        <f>IF(_epmOfflineCondition_,"2025.02",EPMOlapMemberO(BF100,"[C_TIME].[PARENTH1].[2025.02]","2025.02 - 2025.02","","001"))</f>
        <v/>
      </c>
      <c r="BG105" s="384">
        <f>IF(_epmOfflineCondition_,"2025.02",EPMOlapMemberO(BG100,"[C_TIME].[PARENTH1].[2025.02]","2025.02 - 2025.02","","001"))</f>
        <v/>
      </c>
      <c r="BH105" s="384">
        <f>IF(_epmOfflineCondition_,"2025.02",EPMOlapMemberO(BH100,"[C_TIME].[PARENTH1].[2025.02]","2025.02 - 2025.02","","001"))</f>
        <v/>
      </c>
      <c r="BI105" s="384">
        <f>IF(_epmOfflineCondition_,"2025.02",EPMOlapMemberO(BI100,"[C_TIME].[PARENTH1].[2025.02]","2025.02 - 2025.02","","001"))</f>
        <v/>
      </c>
      <c r="BJ105" s="384">
        <f>IF(_epmOfflineCondition_,"2025.02",EPMOlapMemberO(BJ100,"[C_TIME].[PARENTH1].[2025.02]","2025.02 - 2025.02","","001"))</f>
        <v/>
      </c>
      <c r="BK105" s="384">
        <f>IF(_epmOfflineCondition_,"",EPMOlapMemberO("[Blank Member]","","","","001"))</f>
        <v/>
      </c>
      <c r="BL105" s="384">
        <f>IF(_epmOfflineCondition_,"",EPMOlapMemberO("[Blank Member]","","","","001"))</f>
        <v/>
      </c>
      <c r="BM105" s="384">
        <f>IF(_epmOfflineCondition_,"2025.01",EPMOlapMemberO(BM100,"[C_TIME].[PARENTH1].[2025.01]","2025.01 - 2025.01","","001"))</f>
        <v/>
      </c>
      <c r="BN105" s="384">
        <f>IF(_epmOfflineCondition_,"2025.01",EPMOlapMemberO(BN100,"[C_TIME].[PARENTH1].[2025.01]","2025.01 - 2025.01","","001"))</f>
        <v/>
      </c>
      <c r="BO105" s="384">
        <f>IF(_epmOfflineCondition_,"2025.01",EPMOlapMemberO(BO100,"[C_TIME].[PARENTH1].[2025.01]","2025.01 - 2025.01","","001"))</f>
        <v/>
      </c>
      <c r="BP105" s="384">
        <f>IF(_epmOfflineCondition_,"2025.01",EPMOlapMemberO(BP100,"[C_TIME].[PARENTH1].[2025.01]","2025.01 - 2025.01","","001"))</f>
        <v/>
      </c>
      <c r="BQ105" s="384">
        <f>IF(_epmOfflineCondition_,"2025.01",EPMOlapMemberO(BQ100,"[C_TIME].[PARENTH1].[2025.01]","2025.01 - 2025.01","","001"))</f>
        <v/>
      </c>
      <c r="BR105" s="384">
        <f>IF(_epmOfflineCondition_,"2025.01",EPMOlapMemberO(BR100,"[C_TIME].[PARENTH1].[2025.01]","2025.01 - 2025.01","","001"))</f>
        <v/>
      </c>
      <c r="BS105" s="384">
        <f>IF(_epmOfflineCondition_,"",EPMOlapMemberO("[Blank Member]","","","","001"))</f>
        <v/>
      </c>
      <c r="BT105" s="384">
        <f>IF(_epmOfflineCondition_,"",EPMOlapMemberO("[Blank Member]","","","","001"))</f>
        <v/>
      </c>
      <c r="BU105" s="384">
        <f>IF(_epmOfflineCondition_,"",EPMOlapMemberO("[Blank Member]","","","","001"))</f>
        <v/>
      </c>
      <c r="BV105" s="384">
        <f>IF(_epmOfflineCondition_,"",EPMOlapMemberO("[Blank Member]","","","","001"))</f>
        <v/>
      </c>
      <c r="BW105" s="384">
        <f>IF(_epmOfflineCondition_,"",EPMOlapMemberO("[Blank Member]","","","","001"))</f>
        <v/>
      </c>
      <c r="BX105" s="384">
        <f>IF(_epmOfflineCondition_,"",EPMOlapMemberO("[Blank Member]","","","","001"))</f>
        <v/>
      </c>
      <c r="BY105" s="384">
        <f>IF(_epmOfflineCondition_,"",EPMOlapMemberO("[Blank Member]","","","","001"))</f>
        <v/>
      </c>
      <c r="BZ105" s="384">
        <f>IF(_epmOfflineCondition_,"",EPMOlapMemberO("[Blank Member]","","","","001"))</f>
        <v/>
      </c>
      <c r="CA105" s="384">
        <f>IF(_epmOfflineCondition_,"",EPMOlapMemberO("[Blank Member]","","","","001"))</f>
        <v/>
      </c>
      <c r="CB105" s="384">
        <f>IF(_epmOfflineCondition_,"",EPMOlapMemberO("[Blank Member]","","","","001"))</f>
        <v/>
      </c>
      <c r="CC105" s="384">
        <f>IF(_epmOfflineCondition_,"",EPMOlapMemberO("[Blank Member]","","","","001"))</f>
        <v/>
      </c>
      <c r="CD105" s="384">
        <f>IF(_epmOfflineCondition_,"",EPMOlapMemberO("[Blank Member]","","","","001"))</f>
        <v/>
      </c>
      <c r="CE105" s="384">
        <f>IF(_epmOfflineCondition_,"",EPMOlapMemberO("[Blank Member]","","","","001"))</f>
        <v/>
      </c>
      <c r="CF105" s="384">
        <f>IF(_epmOfflineCondition_,"",EPMOlapMemberO("[Blank Member]","","","","001"))</f>
        <v/>
      </c>
      <c r="CG105" s="384">
        <f>IF(_epmOfflineCondition_,"",EPMOlapMemberO("[Blank Member]","","","","001"))</f>
        <v/>
      </c>
      <c r="CH105" s="384">
        <f>IF(_epmOfflineCondition_,"",EPMOlapMemberO("[Blank Member]","","","","001"))</f>
        <v/>
      </c>
      <c r="CI105" s="384">
        <f>IF(_epmOfflineCondition_,"",EPMOlapMemberO("[Blank Member]","","","","001"))</f>
        <v/>
      </c>
      <c r="CJ105" s="384">
        <f>IF(_epmOfflineCondition_,"",EPMOlapMemberO("[Blank Member]","","","","001"))</f>
        <v/>
      </c>
      <c r="CK105" s="384">
        <f>IF(_epmOfflineCondition_,"",EPMOlapMemberO("[Blank Member]","","","","001"))</f>
        <v/>
      </c>
      <c r="CL105" s="384">
        <f>IF(_epmOfflineCondition_,"",EPMOlapMemberO("[Blank Member]","","","","001"))</f>
        <v/>
      </c>
      <c r="CM105" s="384">
        <f>IF(_epmOfflineCondition_,"",EPMOlapMemberO("[Blank Member]","","","","001"))</f>
        <v/>
      </c>
      <c r="CN105" s="384">
        <f>IF(_epmOfflineCondition_,"",EPMOlapMemberO("[Blank Member]","","","","001"))</f>
        <v/>
      </c>
      <c r="CO105" s="384">
        <f>IF(_epmOfflineCondition_,"",EPMOlapMemberO("[Blank Member]","","","","001"))</f>
        <v/>
      </c>
      <c r="CP105" s="384">
        <f>IF(_epmOfflineCondition_,"",EPMOlapMemberO("[Blank Member]","","","","001"))</f>
        <v/>
      </c>
      <c r="CQ105" s="384">
        <f>IF(_epmOfflineCondition_,"",EPMOlapMemberO("[Blank Member]","","","","001"))</f>
        <v/>
      </c>
      <c r="CR105" s="384">
        <f>IF(_epmOfflineCondition_,"",EPMOlapMemberO("[Blank Member]","","","","001"))</f>
        <v/>
      </c>
      <c r="CS105" s="384">
        <f>IF(_epmOfflineCondition_,"",EPMOlapMemberO("[Blank Member]","","","","001"))</f>
        <v/>
      </c>
      <c r="CT105" s="384">
        <f>IF(_epmOfflineCondition_,"",EPMOlapMemberO("[Blank Member]","","","","001"))</f>
        <v/>
      </c>
      <c r="CU105" s="384">
        <f>IF(_epmOfflineCondition_,"",EPMOlapMemberO("[Blank Member]","","","","001"))</f>
        <v/>
      </c>
      <c r="CV105" s="384">
        <f>IF(_epmOfflineCondition_,"",EPMOlapMemberO("[Blank Member]","","","","001"))</f>
        <v/>
      </c>
      <c r="CW105" s="384">
        <f>IF(_epmOfflineCondition_,"",EPMOlapMemberO("[Blank Member]","","","","001"))</f>
        <v/>
      </c>
      <c r="CX105" s="384">
        <f>IF(_epmOfflineCondition_,"",EPMOlapMemberO("[Blank Member]","","","","001"))</f>
        <v/>
      </c>
      <c r="CY105" s="384">
        <f>IF(_epmOfflineCondition_,"",EPMOlapMemberO("[Blank Member]","","","","001"))</f>
        <v/>
      </c>
      <c r="CZ105" s="384">
        <f>IF(_epmOfflineCondition_,"",EPMOlapMemberO("[Blank Member]","","","","001"))</f>
        <v/>
      </c>
      <c r="DA105" s="384">
        <f>IF(_epmOfflineCondition_,"",EPMOlapMemberO("[Blank Member]","","","","001"))</f>
        <v/>
      </c>
      <c r="DB105" s="384">
        <f>IF(_epmOfflineCondition_,"",EPMOlapMemberO("[Blank Member]","","","","001"))</f>
        <v/>
      </c>
      <c r="DC105" s="384">
        <f>IF(_epmOfflineCondition_,"",EPMOlapMemberO("[Blank Member]","","","","001"))</f>
        <v/>
      </c>
      <c r="DD105" s="384">
        <f>IF(_epmOfflineCondition_,"",EPMOlapMemberO("[Blank Member]","","","","001"))</f>
        <v/>
      </c>
      <c r="DE105" s="384">
        <f>IF(_epmOfflineCondition_,"",EPMOlapMemberO("[Blank Member]","","","","001"))</f>
        <v/>
      </c>
      <c r="DF105" s="384">
        <f>IF(_epmOfflineCondition_,"",EPMOlapMemberO("[Blank Member]","","","","001"))</f>
        <v/>
      </c>
      <c r="DG105" s="384">
        <f>IF(_epmOfflineCondition_,"",EPMOlapMemberO("[Blank Member]","","","","001"))</f>
        <v/>
      </c>
      <c r="DH105" s="384">
        <f>IF(_epmOfflineCondition_,"",EPMOlapMemberO("[Blank Member]","","","","001"))</f>
        <v/>
      </c>
      <c r="DI105" s="384">
        <f>IF(_epmOfflineCondition_,"",EPMOlapMemberO("[Blank Member]","","","","001"))</f>
        <v/>
      </c>
      <c r="DJ105" s="384">
        <f>IF(_epmOfflineCondition_,"",EPMOlapMemberO("[Blank Member]","","","","001"))</f>
        <v/>
      </c>
      <c r="DK105" s="384">
        <f>IF(_epmOfflineCondition_,"",EPMOlapMemberO("[Blank Member]","","","","001"))</f>
        <v/>
      </c>
      <c r="DL105" s="384">
        <f>IF(_epmOfflineCondition_,"",EPMOlapMemberO("[Blank Member]","","","","001"))</f>
        <v/>
      </c>
      <c r="DM105" s="384">
        <f>IF(_epmOfflineCondition_,"",EPMOlapMemberO("[Blank Member]","","","","001"))</f>
        <v/>
      </c>
      <c r="DN105" s="384">
        <f>IF(_epmOfflineCondition_,"",EPMOlapMemberO("[Blank Member]","","","","001"))</f>
        <v/>
      </c>
      <c r="DO105" s="384">
        <f>IF(_epmOfflineCondition_,"",EPMOlapMemberO("[Blank Member]","","","","001"))</f>
        <v/>
      </c>
      <c r="DP105" s="384">
        <f>IF(_epmOfflineCondition_,"",EPMOlapMemberO("[Blank Member]","","","","001"))</f>
        <v/>
      </c>
    </row>
    <row r="106" hidden="1" outlineLevel="1" s="1181">
      <c r="A106" s="384" t="n"/>
      <c r="B106" s="384" t="n"/>
      <c r="C106" s="384" t="n"/>
      <c r="D106" s="384" t="n"/>
      <c r="E106" s="384" t="n"/>
      <c r="F106" s="384" t="n"/>
      <c r="G106" s="384" t="n"/>
      <c r="H106" s="384" t="n"/>
      <c r="I106" s="384" t="n"/>
      <c r="J106" s="384" t="n"/>
      <c r="K106" s="384" t="n"/>
      <c r="L106" s="384" t="n"/>
      <c r="M106" s="384" t="n"/>
      <c r="N106" s="384" t="n"/>
      <c r="O106" s="384" t="n"/>
      <c r="P106" s="384" t="n"/>
      <c r="Q106" s="384" t="n"/>
      <c r="R106" s="384" t="n"/>
      <c r="S106" s="384" t="n"/>
      <c r="T106" s="384" t="n"/>
      <c r="U106" s="384" t="n"/>
      <c r="V106" s="384" t="n"/>
      <c r="W106" s="384" t="inlineStr">
        <is>
          <t>ZM09902</t>
        </is>
      </c>
      <c r="X106" s="383">
        <f>IF(_epmOfflineCondition_,"ZM09902",EPMOlapMemberO(W106,"[C_MISK].[PARENTH1].[ZM09902]","ZM09902 - 本年累计","","001"))</f>
        <v/>
      </c>
      <c r="Y106" s="391" t="n"/>
      <c r="Z106" s="391" t="n"/>
      <c r="AA106" s="391" t="n"/>
      <c r="AB106" s="392" t="n"/>
      <c r="AC106" s="392" t="n"/>
      <c r="AD106" s="392" t="n"/>
      <c r="AE106" s="392" t="n"/>
      <c r="AF106" s="392" t="n"/>
      <c r="AG106" s="392" t="n"/>
      <c r="AH106" s="403" t="n"/>
      <c r="AI106" s="392" t="n"/>
      <c r="AJ106" s="392" t="n"/>
      <c r="AK106" s="392" t="n"/>
      <c r="AL106" s="392" t="n"/>
      <c r="AM106" s="414" t="n"/>
      <c r="AN106" s="414" t="n"/>
      <c r="AO106" s="403" t="n"/>
      <c r="AP106" s="392" t="inlineStr"/>
      <c r="AQ106" s="392" t="n"/>
      <c r="AR106" s="392" t="n"/>
      <c r="AS106" s="392" t="n"/>
      <c r="AT106" s="392" t="n"/>
      <c r="AU106" s="392" t="n"/>
      <c r="AV106" s="392" t="n"/>
      <c r="AW106" s="392" t="n"/>
      <c r="AX106" s="392" t="inlineStr"/>
      <c r="AY106" s="392" t="n"/>
      <c r="AZ106" s="392" t="n"/>
      <c r="BA106" s="392" t="n"/>
      <c r="BB106" s="392" t="n"/>
      <c r="BC106" s="392" t="n"/>
      <c r="BD106" s="392" t="n"/>
      <c r="BE106" s="392" t="n"/>
      <c r="BF106" s="392" t="inlineStr"/>
      <c r="BG106" s="392" t="n"/>
      <c r="BH106" s="392" t="n"/>
      <c r="BI106" s="392" t="n"/>
      <c r="BJ106" s="392" t="n"/>
      <c r="BK106" s="392" t="n"/>
      <c r="BL106" s="392" t="n"/>
      <c r="BM106" s="392" t="n"/>
      <c r="BN106" s="392" t="inlineStr"/>
      <c r="BO106" s="392" t="n"/>
      <c r="BP106" s="392" t="n"/>
      <c r="BQ106" s="392" t="n"/>
      <c r="BR106" s="392" t="n"/>
      <c r="BS106" s="155" t="n"/>
      <c r="BT106" s="155" t="n"/>
      <c r="BU106" s="155" t="n"/>
      <c r="BV106" s="155" t="n"/>
      <c r="BW106" s="155" t="n"/>
      <c r="BX106" s="155" t="n"/>
      <c r="BY106" s="155" t="n"/>
      <c r="BZ106" s="155" t="n"/>
      <c r="CA106" s="155" t="n"/>
      <c r="CB106" s="155" t="n"/>
      <c r="CC106" s="155" t="n"/>
      <c r="CD106" s="155" t="n"/>
      <c r="CE106" s="155" t="n"/>
      <c r="CF106" s="155" t="n"/>
      <c r="CG106" s="155" t="n"/>
      <c r="CH106" s="155" t="n"/>
      <c r="CI106" s="155" t="n"/>
      <c r="CJ106" s="155" t="n"/>
      <c r="CK106" s="155" t="n"/>
      <c r="CL106" s="155" t="n"/>
      <c r="CM106" s="155" t="n"/>
      <c r="CN106" s="155" t="n"/>
      <c r="CO106" s="155" t="n"/>
      <c r="CP106" s="155" t="n"/>
      <c r="CQ106" s="155" t="n"/>
      <c r="CR106" s="155" t="n"/>
      <c r="CS106" s="155" t="n"/>
      <c r="CT106" s="155" t="n"/>
      <c r="CU106" s="155" t="n"/>
      <c r="CV106" s="155" t="n"/>
      <c r="CW106" s="155" t="n"/>
      <c r="CX106" s="155" t="n"/>
      <c r="CY106" s="155" t="n"/>
      <c r="CZ106" s="155" t="n"/>
      <c r="DA106" s="155" t="n"/>
      <c r="DB106" s="155" t="n"/>
      <c r="DC106" s="155" t="n"/>
      <c r="DD106" s="155" t="n"/>
      <c r="DE106" s="155" t="n"/>
      <c r="DF106" s="155" t="n"/>
      <c r="DG106" s="155" t="n"/>
      <c r="DH106" s="155" t="n"/>
      <c r="DI106" s="155" t="n"/>
      <c r="DJ106" s="155" t="n"/>
      <c r="DK106" s="155" t="n"/>
      <c r="DL106" s="155" t="n"/>
      <c r="DM106" s="155" t="n"/>
      <c r="DN106" s="155" t="n"/>
      <c r="DO106" s="155" t="n"/>
      <c r="DP106" s="155" t="n"/>
    </row>
    <row r="107" hidden="1" outlineLevel="1" s="1181">
      <c r="A107" s="384" t="n"/>
      <c r="B107" s="384" t="n"/>
      <c r="C107" s="384" t="n"/>
      <c r="D107" s="384" t="n"/>
      <c r="E107" s="384" t="n"/>
      <c r="F107" s="384" t="n"/>
      <c r="G107" s="384" t="n"/>
      <c r="H107" s="384" t="n"/>
      <c r="I107" s="384" t="n"/>
      <c r="J107" s="384" t="n"/>
      <c r="K107" s="384" t="n"/>
      <c r="L107" s="384" t="n"/>
      <c r="M107" s="384" t="n"/>
      <c r="N107" s="384" t="n"/>
      <c r="O107" s="384" t="n"/>
      <c r="P107" s="384" t="n"/>
      <c r="Q107" s="384" t="n"/>
      <c r="R107" s="384" t="n"/>
      <c r="S107" s="384" t="n"/>
      <c r="T107" s="384" t="n"/>
      <c r="U107" s="384" t="n"/>
      <c r="V107" s="384" t="n"/>
      <c r="W107" s="384" t="inlineStr">
        <is>
          <t>ZM030</t>
        </is>
      </c>
      <c r="X107" s="384">
        <f>IF(_epmOfflineCondition_,"ZM030",EPMOlapMemberO(W107,"[C_MISK].[PARENTH1].[ZM030]","ZM030 - 发电企业电力板块","","001"))</f>
        <v/>
      </c>
      <c r="Y107" s="155" t="n"/>
      <c r="Z107" s="155" t="n"/>
      <c r="AA107" s="155" t="n"/>
      <c r="AB107" s="387" t="n"/>
      <c r="AC107" s="387" t="n"/>
      <c r="AD107" s="387" t="n"/>
      <c r="AE107" s="387" t="n"/>
      <c r="AF107" s="387" t="n"/>
      <c r="AG107" s="387" t="n"/>
      <c r="AH107" s="404" t="n"/>
      <c r="AI107" s="387" t="n"/>
      <c r="AJ107" s="387" t="n"/>
      <c r="AK107" s="387" t="n"/>
      <c r="AL107" s="387" t="n"/>
      <c r="AM107" s="415" t="n"/>
      <c r="AN107" s="415" t="n"/>
      <c r="AO107" s="404" t="n"/>
      <c r="AP107" s="387" t="n"/>
      <c r="AQ107" s="387" t="n"/>
      <c r="AR107" s="387" t="n"/>
      <c r="AS107" s="387" t="n"/>
      <c r="AT107" s="387" t="n"/>
      <c r="AU107" s="155" t="n"/>
      <c r="AV107" s="155" t="n"/>
      <c r="AW107" s="155" t="n"/>
      <c r="AX107" s="155" t="n"/>
      <c r="AY107" s="155" t="n"/>
      <c r="AZ107" s="155" t="n"/>
      <c r="BA107" s="155" t="n"/>
      <c r="BB107" s="155" t="n"/>
      <c r="BC107" s="155" t="n"/>
      <c r="BD107" s="155" t="n"/>
      <c r="BE107" s="155" t="n"/>
      <c r="BF107" s="155" t="n"/>
      <c r="BG107" s="155" t="n"/>
      <c r="BH107" s="155" t="n"/>
      <c r="BI107" s="155" t="n"/>
      <c r="BJ107" s="155" t="n"/>
      <c r="BK107" s="155" t="n"/>
      <c r="BL107" s="155" t="n"/>
      <c r="BM107" s="155" t="n"/>
      <c r="BN107" s="155" t="n"/>
      <c r="BO107" s="155" t="n"/>
      <c r="BP107" s="155" t="n"/>
      <c r="BQ107" s="155" t="n"/>
      <c r="BR107" s="155" t="n"/>
      <c r="BS107" s="155" t="n"/>
      <c r="BT107" s="155" t="n"/>
      <c r="BU107" s="155" t="n"/>
      <c r="BV107" s="155" t="n"/>
      <c r="BW107" s="155" t="n"/>
      <c r="BX107" s="155" t="n"/>
      <c r="BY107" s="155" t="n"/>
      <c r="BZ107" s="155" t="n"/>
      <c r="CA107" s="155" t="n"/>
      <c r="CB107" s="155" t="n"/>
      <c r="CC107" s="155" t="n"/>
      <c r="CD107" s="155" t="n"/>
      <c r="CE107" s="155" t="n"/>
      <c r="CF107" s="155" t="n"/>
      <c r="CG107" s="155" t="n"/>
      <c r="CH107" s="155" t="n"/>
      <c r="CI107" s="155" t="n"/>
      <c r="CJ107" s="155" t="n"/>
      <c r="CK107" s="155" t="n"/>
      <c r="CL107" s="155" t="n"/>
      <c r="CM107" s="155" t="n"/>
      <c r="CN107" s="155" t="n"/>
      <c r="CO107" s="155" t="n"/>
      <c r="CP107" s="155" t="n"/>
      <c r="CQ107" s="155" t="n"/>
      <c r="CR107" s="155" t="n"/>
      <c r="CS107" s="155" t="n"/>
      <c r="CT107" s="155" t="n"/>
      <c r="CU107" s="155" t="n"/>
      <c r="CV107" s="155" t="n"/>
      <c r="CW107" s="155" t="n"/>
      <c r="CX107" s="155" t="n"/>
      <c r="CY107" s="155" t="n"/>
      <c r="CZ107" s="155" t="n"/>
      <c r="DA107" s="155" t="n"/>
      <c r="DB107" s="155" t="n"/>
      <c r="DC107" s="155" t="n"/>
      <c r="DD107" s="155" t="n"/>
      <c r="DE107" s="155" t="n"/>
      <c r="DF107" s="155" t="n"/>
      <c r="DG107" s="155" t="n"/>
      <c r="DH107" s="155" t="n"/>
      <c r="DI107" s="155" t="n"/>
      <c r="DJ107" s="155" t="n"/>
      <c r="DK107" s="155" t="n"/>
      <c r="DL107" s="155" t="n"/>
      <c r="DM107" s="155" t="n"/>
      <c r="DN107" s="155" t="n"/>
      <c r="DO107" s="155" t="n"/>
      <c r="DP107" s="155" t="n"/>
    </row>
    <row r="108" hidden="1" outlineLevel="1" ht="17.55" customHeight="1" s="1181">
      <c r="A108" s="384" t="n"/>
      <c r="B108" s="384" t="n"/>
      <c r="C108" s="384" t="n"/>
      <c r="D108" s="384" t="n"/>
      <c r="E108" s="384" t="n"/>
      <c r="F108" s="384" t="n"/>
      <c r="G108" s="384" t="n"/>
      <c r="H108" s="384" t="n"/>
      <c r="I108" s="384" t="n"/>
      <c r="J108" s="384" t="n"/>
      <c r="K108" s="384" t="n"/>
      <c r="L108" s="384" t="n"/>
      <c r="M108" s="384" t="n"/>
      <c r="N108" s="384" t="n"/>
      <c r="O108" s="384" t="n"/>
      <c r="P108" s="384" t="n"/>
      <c r="Q108" s="384" t="n"/>
      <c r="R108" s="384" t="n"/>
      <c r="S108" s="384" t="n"/>
      <c r="T108" s="384" t="n"/>
      <c r="U108" s="384" t="n"/>
      <c r="V108" s="384" t="n"/>
      <c r="W108" s="384" t="inlineStr">
        <is>
          <t>ZM0300101</t>
        </is>
      </c>
      <c r="X108" s="385">
        <f>IF(_epmOfflineCondition_,"ZM0300101",EPMOlapMemberO(W108,"[C_MISK].[PARENTH1].[ZM0300101]","ZM0300101 - 火力发电","","001"))</f>
        <v/>
      </c>
      <c r="Y108" s="155" t="n"/>
      <c r="Z108" s="155" t="n"/>
      <c r="AA108" s="155" t="n"/>
      <c r="AB108" s="387" t="n"/>
      <c r="AC108" s="387" t="n"/>
      <c r="AD108" s="387" t="n"/>
      <c r="AE108" s="387" t="n"/>
      <c r="AF108" s="387" t="n"/>
      <c r="AG108" s="387" t="n"/>
      <c r="AH108" s="405" t="n"/>
      <c r="AI108" s="406" t="n"/>
      <c r="AJ108" s="406" t="n"/>
      <c r="AK108" s="406" t="n"/>
      <c r="AL108" s="406" t="n"/>
      <c r="AM108" s="416" t="n"/>
      <c r="AN108" s="416" t="n"/>
      <c r="AO108" s="404" t="n"/>
      <c r="AP108" s="387" t="n"/>
      <c r="AQ108" s="387" t="n"/>
      <c r="AR108" s="387" t="n"/>
      <c r="AS108" s="387" t="n"/>
      <c r="AT108" s="387" t="n"/>
      <c r="AU108" s="155" t="n"/>
      <c r="AV108" s="155" t="n"/>
      <c r="AW108" s="155" t="n"/>
      <c r="AX108" s="155" t="n"/>
      <c r="AY108" s="155" t="n"/>
      <c r="AZ108" s="155" t="n"/>
      <c r="BA108" s="155" t="n"/>
      <c r="BB108" s="155" t="n"/>
      <c r="BC108" s="155" t="n"/>
      <c r="BD108" s="155" t="n"/>
      <c r="BE108" s="155" t="n"/>
      <c r="BF108" s="155" t="n"/>
      <c r="BG108" s="155" t="n"/>
      <c r="BH108" s="155" t="n"/>
      <c r="BI108" s="155" t="n"/>
      <c r="BJ108" s="155" t="n"/>
      <c r="BK108" s="155" t="n"/>
      <c r="BL108" s="155" t="n"/>
      <c r="BM108" s="155" t="n"/>
      <c r="BN108" s="155" t="n"/>
      <c r="BO108" s="155" t="n"/>
      <c r="BP108" s="155" t="n"/>
      <c r="BQ108" s="155" t="n"/>
      <c r="BR108" s="155" t="n"/>
      <c r="BS108" s="155" t="n"/>
      <c r="BT108" s="155" t="n"/>
      <c r="BU108" s="155" t="n"/>
      <c r="BV108" s="155" t="n"/>
      <c r="BW108" s="155" t="n"/>
      <c r="BX108" s="155" t="n"/>
      <c r="BY108" s="155" t="n"/>
      <c r="BZ108" s="155" t="n"/>
      <c r="CA108" s="155" t="n"/>
      <c r="CB108" s="155" t="n"/>
      <c r="CC108" s="155" t="n"/>
      <c r="CD108" s="155" t="n"/>
      <c r="CE108" s="155" t="n"/>
      <c r="CF108" s="155" t="n"/>
      <c r="CG108" s="155" t="n"/>
      <c r="CH108" s="155" t="n"/>
      <c r="CI108" s="155" t="n"/>
      <c r="CJ108" s="155" t="n"/>
      <c r="CK108" s="155" t="n"/>
      <c r="CL108" s="155" t="n"/>
      <c r="CM108" s="155" t="n"/>
      <c r="CN108" s="155" t="n"/>
      <c r="CO108" s="155" t="n"/>
      <c r="CP108" s="155" t="n"/>
      <c r="CQ108" s="155" t="n"/>
      <c r="CR108" s="155" t="n"/>
      <c r="CS108" s="155" t="n"/>
      <c r="CT108" s="155" t="n"/>
      <c r="CU108" s="155" t="n"/>
      <c r="CV108" s="155" t="n"/>
      <c r="CW108" s="155" t="n"/>
      <c r="CX108" s="155" t="n"/>
      <c r="CY108" s="155" t="n"/>
      <c r="CZ108" s="155" t="n"/>
      <c r="DA108" s="155" t="n"/>
      <c r="DB108" s="155" t="n"/>
      <c r="DC108" s="155" t="n"/>
      <c r="DD108" s="155" t="n"/>
      <c r="DE108" s="155" t="n"/>
      <c r="DF108" s="155" t="n"/>
      <c r="DG108" s="155" t="n"/>
      <c r="DH108" s="155" t="n"/>
      <c r="DI108" s="155" t="n"/>
      <c r="DJ108" s="155" t="n"/>
      <c r="DK108" s="155" t="n"/>
      <c r="DL108" s="155" t="n"/>
      <c r="DM108" s="155" t="n"/>
      <c r="DN108" s="155" t="n"/>
      <c r="DO108" s="155" t="n"/>
      <c r="DP108" s="155" t="n"/>
    </row>
    <row r="109" collapsed="1" s="1181">
      <c r="A109" s="384" t="n"/>
      <c r="B109" s="384" t="n"/>
      <c r="C109" s="384" t="n"/>
      <c r="D109" s="384" t="n"/>
      <c r="E109" s="384" t="n"/>
      <c r="F109" s="384" t="n"/>
      <c r="G109" s="384" t="n"/>
      <c r="H109" s="384" t="n"/>
      <c r="I109" s="384" t="n"/>
      <c r="J109" s="384" t="n"/>
      <c r="K109" s="384" t="n"/>
      <c r="L109" s="384" t="n"/>
      <c r="M109" s="384" t="n"/>
      <c r="N109" s="384" t="n"/>
      <c r="O109" s="384" t="n"/>
      <c r="P109" s="384" t="n"/>
      <c r="Q109" s="384" t="n"/>
      <c r="R109" s="384" t="n"/>
      <c r="S109" s="384" t="n"/>
      <c r="T109" s="384" t="n"/>
      <c r="U109" s="384" t="n"/>
      <c r="V109" s="384" t="n"/>
      <c r="W109" s="384" t="n"/>
      <c r="X109" s="384" t="n"/>
      <c r="Y109" s="384" t="n"/>
      <c r="Z109" s="384" t="n"/>
      <c r="AA109" s="384" t="n"/>
      <c r="AB109" s="384" t="n"/>
      <c r="AC109" s="384" t="n"/>
      <c r="AD109" s="384" t="n"/>
      <c r="AE109" s="384" t="n"/>
      <c r="AF109" s="384" t="n"/>
      <c r="AG109" s="384" t="n"/>
      <c r="AH109" s="384" t="n"/>
      <c r="AI109" s="384" t="n"/>
      <c r="AJ109" s="384" t="n"/>
      <c r="AK109" s="384" t="n"/>
      <c r="AL109" s="384" t="n"/>
      <c r="AM109" s="384" t="n"/>
      <c r="AN109" s="384" t="n"/>
      <c r="AO109" s="384" t="n"/>
      <c r="AP109" s="384" t="n"/>
      <c r="AQ109" s="384" t="n"/>
      <c r="AR109" s="384" t="n"/>
      <c r="AS109" s="384" t="n"/>
      <c r="AT109" s="384" t="n"/>
      <c r="AU109" s="384" t="n"/>
      <c r="AV109" s="384" t="n"/>
      <c r="AW109" s="384" t="n"/>
      <c r="AX109" s="384" t="n"/>
      <c r="AY109" s="384" t="n"/>
      <c r="AZ109" s="384" t="n"/>
      <c r="BA109" s="384" t="n"/>
      <c r="BB109" s="384" t="n"/>
      <c r="BC109" s="384" t="n"/>
      <c r="BD109" s="384" t="n"/>
      <c r="BE109" s="384" t="n"/>
      <c r="BF109" s="384" t="n"/>
      <c r="BG109" s="384" t="n"/>
      <c r="BH109" s="384" t="n"/>
      <c r="BI109" s="384" t="n"/>
      <c r="BJ109" s="384" t="n"/>
      <c r="BK109" s="384" t="n"/>
      <c r="BL109" s="384" t="n"/>
      <c r="BM109" s="384" t="n"/>
      <c r="BN109" s="384" t="n"/>
      <c r="BO109" s="384" t="n"/>
      <c r="BP109" s="384" t="n"/>
      <c r="BQ109" s="384" t="n"/>
      <c r="BR109" s="384" t="n"/>
      <c r="BS109" s="384" t="n"/>
      <c r="BT109" s="384" t="n"/>
      <c r="BU109" s="384" t="n"/>
      <c r="BV109" s="384" t="n"/>
      <c r="BW109" s="384" t="n"/>
      <c r="BX109" s="384" t="n"/>
      <c r="BY109" s="384" t="n"/>
      <c r="BZ109" s="384" t="n"/>
      <c r="CA109" s="384" t="n"/>
      <c r="CB109" s="384" t="n"/>
      <c r="CC109" s="384" t="n"/>
      <c r="CD109" s="384" t="n"/>
      <c r="CE109" s="384" t="n"/>
      <c r="CF109" s="384" t="n"/>
      <c r="CG109" s="384" t="n"/>
      <c r="CH109" s="384" t="n"/>
      <c r="CI109" s="384" t="n"/>
      <c r="CJ109" s="384" t="n"/>
      <c r="CK109" s="384" t="n"/>
      <c r="CL109" s="384" t="n"/>
      <c r="CM109" s="384" t="n"/>
      <c r="CN109" s="384" t="n"/>
      <c r="CO109" s="384" t="n"/>
      <c r="CP109" s="384" t="n"/>
      <c r="CQ109" s="384" t="n"/>
      <c r="CR109" s="384" t="n"/>
      <c r="CS109" s="384" t="n"/>
      <c r="CT109" s="384" t="n"/>
      <c r="CU109" s="384" t="n"/>
      <c r="CV109" s="384" t="n"/>
      <c r="CW109" s="384" t="n"/>
      <c r="CX109" s="384" t="n"/>
      <c r="CY109" s="384" t="n"/>
      <c r="CZ109" s="384" t="n"/>
      <c r="DA109" s="384" t="n"/>
      <c r="DB109" s="384" t="n"/>
      <c r="DC109" s="384" t="n"/>
      <c r="DD109" s="384" t="n"/>
      <c r="DE109" s="384" t="n"/>
      <c r="DF109" s="384" t="n"/>
      <c r="DG109" s="384" t="n"/>
      <c r="DH109" s="384" t="n"/>
      <c r="DI109" s="384" t="n"/>
      <c r="DJ109" s="384" t="n"/>
      <c r="DK109" s="384" t="n"/>
      <c r="DL109" s="384" t="n"/>
      <c r="DM109" s="384" t="n"/>
      <c r="DN109" s="384" t="n"/>
      <c r="DO109" s="384" t="n"/>
      <c r="DP109" s="384" t="n"/>
    </row>
    <row r="110">
      <c r="A110" s="384" t="n"/>
      <c r="B110" s="384" t="n"/>
      <c r="C110" s="384" t="n"/>
      <c r="D110" s="384" t="n"/>
      <c r="E110" s="384" t="n"/>
      <c r="F110" s="384" t="n"/>
      <c r="G110" s="384" t="n"/>
      <c r="H110" s="384" t="n"/>
      <c r="I110" s="384" t="n"/>
      <c r="J110" s="384" t="n"/>
      <c r="K110" s="384" t="n"/>
      <c r="L110" s="384" t="n"/>
      <c r="M110" s="384" t="n"/>
      <c r="N110" s="384" t="n"/>
      <c r="O110" s="384" t="n"/>
      <c r="P110" s="384" t="n"/>
      <c r="Q110" s="384" t="n"/>
      <c r="R110" s="384" t="n"/>
      <c r="S110" s="384" t="n"/>
      <c r="T110" s="384" t="n"/>
      <c r="U110" s="384" t="n"/>
      <c r="V110" s="384" t="n"/>
      <c r="W110" s="384" t="n"/>
      <c r="X110" s="384" t="n"/>
      <c r="Y110" s="384" t="n"/>
      <c r="Z110" s="384" t="n"/>
      <c r="AA110" s="384" t="n"/>
      <c r="AB110" s="384" t="n"/>
      <c r="AC110" s="384" t="n"/>
      <c r="AD110" s="384" t="n"/>
      <c r="AE110" s="384" t="n"/>
      <c r="AF110" s="384" t="n"/>
      <c r="AG110" s="384" t="n"/>
      <c r="AH110" s="384" t="n"/>
      <c r="AI110" s="384" t="n"/>
      <c r="AJ110" s="384" t="n"/>
      <c r="AK110" s="384" t="n"/>
      <c r="AL110" s="384" t="n"/>
      <c r="AM110" s="384" t="n"/>
      <c r="AN110" s="384" t="n"/>
      <c r="AO110" s="384" t="n"/>
      <c r="AP110" s="384" t="n"/>
      <c r="AQ110" s="384" t="n"/>
      <c r="AR110" s="384" t="n"/>
      <c r="AS110" s="384" t="n"/>
      <c r="AT110" s="384" t="n"/>
      <c r="AU110" s="384" t="n"/>
      <c r="AV110" s="384" t="n"/>
      <c r="AW110" s="384" t="n"/>
      <c r="AX110" s="384" t="n"/>
      <c r="AY110" s="384" t="n"/>
      <c r="AZ110" s="384" t="n"/>
      <c r="BA110" s="384" t="n"/>
      <c r="BB110" s="384" t="n"/>
      <c r="BC110" s="384" t="n"/>
      <c r="BD110" s="384" t="n"/>
      <c r="BE110" s="384" t="n"/>
      <c r="BF110" s="384" t="n"/>
      <c r="BG110" s="384" t="n"/>
      <c r="BH110" s="384" t="n"/>
      <c r="BI110" s="384" t="n"/>
      <c r="BJ110" s="384" t="n"/>
      <c r="BK110" s="384" t="n"/>
      <c r="BL110" s="384" t="n"/>
      <c r="BM110" s="384" t="n"/>
      <c r="BN110" s="384" t="n"/>
      <c r="BO110" s="384" t="n"/>
      <c r="BP110" s="384" t="n"/>
      <c r="BQ110" s="384" t="n"/>
      <c r="BR110" s="384" t="n"/>
      <c r="BS110" s="384" t="n"/>
      <c r="BT110" s="384" t="n"/>
      <c r="BU110" s="384" t="n"/>
      <c r="BV110" s="384" t="n"/>
      <c r="BW110" s="384" t="n"/>
      <c r="BX110" s="384" t="n"/>
      <c r="BY110" s="384" t="n"/>
      <c r="BZ110" s="384" t="n"/>
      <c r="CA110" s="384" t="n"/>
      <c r="CB110" s="384" t="n"/>
      <c r="CC110" s="384" t="n"/>
      <c r="CD110" s="384" t="n"/>
      <c r="CE110" s="384" t="n"/>
      <c r="CF110" s="384" t="n"/>
      <c r="CG110" s="384" t="n"/>
      <c r="CH110" s="384" t="n"/>
      <c r="CI110" s="384" t="n"/>
      <c r="CJ110" s="384" t="n"/>
      <c r="CK110" s="384" t="n"/>
      <c r="CL110" s="384" t="n"/>
      <c r="CM110" s="384" t="n"/>
      <c r="CN110" s="384" t="n"/>
      <c r="CO110" s="384" t="n"/>
      <c r="CP110" s="384" t="n"/>
      <c r="CQ110" s="384" t="n"/>
      <c r="CR110" s="384" t="n"/>
      <c r="CS110" s="384" t="n"/>
      <c r="CT110" s="384" t="n"/>
      <c r="CU110" s="384" t="n"/>
      <c r="CV110" s="384" t="n"/>
      <c r="CW110" s="384" t="n"/>
      <c r="CX110" s="384" t="n"/>
      <c r="CY110" s="384" t="n"/>
      <c r="CZ110" s="384" t="n"/>
      <c r="DA110" s="384" t="n"/>
      <c r="DB110" s="384" t="n"/>
      <c r="DC110" s="384" t="n"/>
      <c r="DD110" s="384" t="n"/>
      <c r="DE110" s="384" t="n"/>
      <c r="DF110" s="384" t="n"/>
      <c r="DG110" s="384" t="n"/>
      <c r="DH110" s="384" t="n"/>
      <c r="DI110" s="384" t="n"/>
      <c r="DJ110" s="384" t="n"/>
      <c r="DK110" s="384" t="n"/>
      <c r="DL110" s="384" t="n"/>
      <c r="DM110" s="384" t="n"/>
      <c r="DN110" s="384" t="n"/>
      <c r="DO110" s="384" t="n"/>
      <c r="DP110" s="384" t="n"/>
    </row>
    <row r="111">
      <c r="A111" s="384" t="n"/>
      <c r="B111" s="384" t="n"/>
      <c r="C111" s="384" t="n"/>
      <c r="D111" s="384" t="n"/>
      <c r="E111" s="384" t="n"/>
      <c r="F111" s="384" t="n"/>
      <c r="G111" s="384" t="n"/>
      <c r="H111" s="384" t="n"/>
      <c r="I111" s="384" t="n"/>
      <c r="J111" s="384" t="n"/>
      <c r="K111" s="384" t="n"/>
      <c r="L111" s="384" t="n"/>
      <c r="M111" s="384" t="n"/>
      <c r="N111" s="384" t="n"/>
      <c r="O111" s="384" t="n"/>
      <c r="P111" s="384" t="n"/>
      <c r="Q111" s="384" t="n"/>
      <c r="R111" s="384" t="n"/>
      <c r="S111" s="384" t="n"/>
      <c r="T111" s="384" t="n"/>
      <c r="U111" s="384" t="n"/>
      <c r="V111" s="384" t="n"/>
      <c r="W111" s="384" t="n"/>
      <c r="X111" s="32" t="n"/>
      <c r="Y111" s="384" t="n"/>
      <c r="Z111" s="384" t="n"/>
      <c r="AA111" s="384" t="n"/>
      <c r="AB111" s="384" t="n"/>
      <c r="AC111" s="384" t="n"/>
      <c r="AD111" s="384" t="n"/>
      <c r="AE111" s="384" t="n"/>
      <c r="AF111" s="384" t="n"/>
      <c r="AG111" s="384" t="n"/>
      <c r="AH111" s="384" t="n"/>
      <c r="AI111" s="384" t="n"/>
      <c r="AJ111" s="384" t="n"/>
      <c r="AK111" s="384" t="n"/>
      <c r="AL111" s="384" t="n"/>
      <c r="AM111" s="384" t="n"/>
      <c r="AN111" s="384" t="n"/>
      <c r="AO111" s="384" t="n"/>
      <c r="AP111" s="384" t="n"/>
      <c r="AQ111" s="384" t="n"/>
      <c r="AR111" s="384" t="n"/>
      <c r="AS111" s="384" t="n"/>
      <c r="AT111" s="384" t="n"/>
      <c r="AU111" s="384" t="n"/>
      <c r="AV111" s="384" t="n"/>
      <c r="AW111" s="384" t="n"/>
      <c r="AX111" s="384" t="n"/>
      <c r="AY111" s="384" t="n"/>
      <c r="AZ111" s="384" t="n"/>
      <c r="BA111" s="384" t="n"/>
      <c r="BB111" s="384" t="n"/>
      <c r="BC111" s="384" t="n"/>
      <c r="BD111" s="384" t="n"/>
      <c r="BE111" s="384" t="n"/>
      <c r="BF111" s="384" t="n"/>
      <c r="BG111" s="384" t="n"/>
      <c r="BH111" s="384" t="n"/>
      <c r="BI111" s="384" t="n"/>
      <c r="BJ111" s="384" t="n"/>
      <c r="BK111" s="384" t="n"/>
      <c r="BL111" s="384" t="n"/>
      <c r="BM111" s="384" t="n"/>
      <c r="BN111" s="384" t="n"/>
      <c r="BO111" s="384" t="n"/>
      <c r="BP111" s="384" t="n"/>
      <c r="BQ111" s="384" t="n"/>
      <c r="BR111" s="384" t="n"/>
      <c r="BS111" s="384" t="n"/>
      <c r="BT111" s="384" t="n"/>
      <c r="BU111" s="384" t="n"/>
      <c r="BV111" s="384" t="n"/>
      <c r="BW111" s="384" t="n"/>
      <c r="BX111" s="384" t="n"/>
      <c r="BY111" s="384" t="n"/>
      <c r="BZ111" s="384" t="n"/>
      <c r="CA111" s="384" t="n"/>
      <c r="CB111" s="384" t="n"/>
      <c r="CC111" s="384" t="n"/>
      <c r="CD111" s="384" t="n"/>
      <c r="CE111" s="384" t="n"/>
      <c r="CF111" s="384" t="n"/>
      <c r="CG111" s="384" t="n"/>
      <c r="CH111" s="384" t="n"/>
      <c r="CI111" s="384" t="n"/>
      <c r="CJ111" s="384" t="n"/>
      <c r="CK111" s="384" t="n"/>
      <c r="CL111" s="384" t="n"/>
      <c r="CM111" s="384" t="n"/>
      <c r="CN111" s="384" t="n"/>
      <c r="CO111" s="384" t="n"/>
      <c r="CP111" s="384" t="n"/>
      <c r="CQ111" s="384" t="n"/>
      <c r="CR111" s="384" t="n"/>
      <c r="CS111" s="384" t="n"/>
      <c r="CT111" s="384" t="n"/>
      <c r="CU111" s="384" t="n"/>
      <c r="CV111" s="384" t="n"/>
      <c r="CW111" s="384" t="n"/>
      <c r="CX111" s="384" t="n"/>
      <c r="CY111" s="384" t="n"/>
      <c r="CZ111" s="384" t="n"/>
      <c r="DA111" s="384" t="n"/>
      <c r="DB111" s="384" t="n"/>
      <c r="DC111" s="384" t="n"/>
      <c r="DD111" s="384" t="n"/>
      <c r="DE111" s="384" t="n"/>
      <c r="DF111" s="384" t="n"/>
      <c r="DG111" s="384" t="n"/>
      <c r="DH111" s="384" t="n"/>
      <c r="DI111" s="384" t="n"/>
      <c r="DJ111" s="384" t="n"/>
      <c r="DK111" s="384" t="n"/>
      <c r="DL111" s="384" t="n"/>
      <c r="DM111" s="384" t="n"/>
      <c r="DN111" s="384" t="n"/>
      <c r="DO111" s="384" t="n"/>
      <c r="DP111" s="384" t="n"/>
    </row>
    <row r="112">
      <c r="A112" s="384" t="n"/>
      <c r="B112" s="384" t="n"/>
      <c r="C112" s="384" t="n"/>
      <c r="D112" s="384" t="n"/>
      <c r="E112" s="384" t="n"/>
      <c r="F112" s="384" t="n"/>
      <c r="G112" s="384" t="n"/>
      <c r="H112" s="384" t="n"/>
      <c r="I112" s="384" t="n"/>
      <c r="J112" s="384" t="n"/>
      <c r="K112" s="384" t="n"/>
      <c r="L112" s="384" t="n"/>
      <c r="M112" s="384" t="n"/>
      <c r="N112" s="384" t="n"/>
      <c r="O112" s="384" t="n"/>
      <c r="P112" s="384" t="n"/>
      <c r="Q112" s="384" t="n"/>
      <c r="R112" s="384" t="n"/>
      <c r="S112" s="384" t="n"/>
      <c r="T112" s="384" t="n"/>
      <c r="U112" s="384" t="n"/>
      <c r="V112" s="384" t="n"/>
      <c r="W112" s="384" t="n"/>
      <c r="X112" s="32" t="n"/>
      <c r="Y112" s="384" t="n"/>
      <c r="Z112" s="384" t="n"/>
      <c r="AA112" s="384" t="n"/>
      <c r="AB112" s="384" t="n"/>
      <c r="AC112" s="384" t="n"/>
      <c r="AD112" s="384" t="n"/>
      <c r="AE112" s="384" t="n"/>
      <c r="AF112" s="384" t="n"/>
      <c r="AG112" s="384" t="n"/>
      <c r="AH112" s="384" t="n"/>
      <c r="AI112" s="384" t="n"/>
      <c r="AJ112" s="384" t="n"/>
      <c r="AK112" s="384" t="n"/>
      <c r="AL112" s="384" t="n"/>
      <c r="AM112" s="384" t="n"/>
      <c r="AN112" s="384" t="n"/>
      <c r="AO112" s="384" t="n"/>
      <c r="AP112" s="384" t="n"/>
      <c r="AQ112" s="384" t="n"/>
      <c r="AR112" s="384" t="n"/>
      <c r="AS112" s="384" t="n"/>
      <c r="AT112" s="384" t="n"/>
      <c r="AU112" s="384" t="n"/>
      <c r="AV112" s="384" t="n"/>
      <c r="AW112" s="384" t="n"/>
      <c r="AX112" s="384" t="n"/>
      <c r="AY112" s="384" t="n"/>
      <c r="AZ112" s="384" t="n"/>
      <c r="BA112" s="384" t="n"/>
      <c r="BB112" s="384" t="n"/>
      <c r="BC112" s="384" t="n"/>
      <c r="BD112" s="384" t="n"/>
      <c r="BE112" s="384" t="n"/>
      <c r="BF112" s="384" t="n"/>
      <c r="BG112" s="384" t="n"/>
      <c r="BH112" s="384" t="n"/>
      <c r="BI112" s="384" t="n"/>
      <c r="BJ112" s="384" t="n"/>
      <c r="BK112" s="384" t="n"/>
      <c r="BL112" s="384" t="n"/>
      <c r="BM112" s="384" t="n"/>
      <c r="BN112" s="384" t="n"/>
      <c r="BO112" s="384" t="n"/>
      <c r="BP112" s="384" t="n"/>
      <c r="BQ112" s="384" t="n"/>
      <c r="BR112" s="384" t="n"/>
      <c r="BS112" s="384" t="n"/>
      <c r="BT112" s="384" t="n"/>
      <c r="BU112" s="384" t="n"/>
      <c r="BV112" s="384" t="n"/>
      <c r="BW112" s="384" t="n"/>
      <c r="BX112" s="384" t="n"/>
      <c r="BY112" s="384" t="n"/>
      <c r="BZ112" s="384" t="n"/>
      <c r="CA112" s="384" t="n"/>
      <c r="CB112" s="384" t="n"/>
      <c r="CC112" s="384" t="n"/>
      <c r="CD112" s="384" t="n"/>
      <c r="CE112" s="384" t="n"/>
      <c r="CF112" s="384" t="n"/>
      <c r="CG112" s="384" t="n"/>
      <c r="CH112" s="384" t="n"/>
      <c r="CI112" s="384" t="n"/>
      <c r="CJ112" s="384" t="n"/>
      <c r="CK112" s="384" t="n"/>
      <c r="CL112" s="384" t="n"/>
      <c r="CM112" s="384" t="n"/>
      <c r="CN112" s="384" t="n"/>
      <c r="CO112" s="384" t="n"/>
      <c r="CP112" s="384" t="n"/>
      <c r="CQ112" s="384" t="n"/>
      <c r="CR112" s="384" t="n"/>
      <c r="CS112" s="384" t="n"/>
      <c r="CT112" s="384" t="n"/>
      <c r="CU112" s="384" t="n"/>
      <c r="CV112" s="384" t="n"/>
      <c r="CW112" s="384" t="n"/>
      <c r="CX112" s="384" t="n"/>
      <c r="CY112" s="384" t="n"/>
      <c r="CZ112" s="384" t="n"/>
      <c r="DA112" s="384" t="n"/>
      <c r="DB112" s="384" t="n"/>
      <c r="DC112" s="384" t="n"/>
      <c r="DD112" s="384" t="n"/>
      <c r="DE112" s="384" t="n"/>
      <c r="DF112" s="384" t="n"/>
      <c r="DG112" s="384" t="n"/>
      <c r="DH112" s="384" t="n"/>
      <c r="DI112" s="384" t="n"/>
      <c r="DJ112" s="384" t="n"/>
      <c r="DK112" s="384" t="n"/>
      <c r="DL112" s="384" t="n"/>
      <c r="DM112" s="384" t="n"/>
      <c r="DN112" s="384" t="n"/>
      <c r="DO112" s="384" t="n"/>
      <c r="DP112" s="384" t="n"/>
    </row>
    <row r="113">
      <c r="A113" s="384" t="n"/>
      <c r="B113" s="384" t="n"/>
      <c r="C113" s="384" t="n"/>
      <c r="D113" s="384" t="n"/>
      <c r="E113" s="384" t="n"/>
      <c r="F113" s="384" t="n"/>
      <c r="G113" s="384" t="n"/>
      <c r="H113" s="384" t="n"/>
      <c r="I113" s="384" t="n"/>
      <c r="J113" s="384" t="n"/>
      <c r="K113" s="384" t="n"/>
      <c r="L113" s="384" t="n"/>
      <c r="M113" s="384" t="n"/>
      <c r="N113" s="384" t="n"/>
      <c r="O113" s="384" t="n"/>
      <c r="P113" s="384" t="n"/>
      <c r="Q113" s="384" t="n"/>
      <c r="R113" s="384" t="n"/>
      <c r="S113" s="384" t="n"/>
      <c r="T113" s="384" t="n"/>
      <c r="U113" s="384" t="n"/>
      <c r="V113" s="384" t="n"/>
      <c r="W113" s="384" t="n"/>
      <c r="X113" s="32" t="n"/>
      <c r="Y113" s="384" t="n"/>
      <c r="Z113" s="384" t="n"/>
      <c r="AA113" s="384" t="n"/>
      <c r="AB113" s="384" t="n"/>
      <c r="AC113" s="384" t="n"/>
      <c r="AD113" s="384" t="n"/>
      <c r="AE113" s="384" t="n"/>
      <c r="AF113" s="384" t="n"/>
      <c r="AG113" s="384" t="n"/>
      <c r="AH113" s="384" t="n"/>
      <c r="AI113" s="384" t="n"/>
      <c r="AJ113" s="384" t="n"/>
      <c r="AK113" s="384" t="n"/>
      <c r="AL113" s="384" t="n"/>
      <c r="AM113" s="384" t="n"/>
      <c r="AN113" s="384" t="n"/>
      <c r="AO113" s="384" t="n"/>
      <c r="AP113" s="384" t="n"/>
      <c r="AQ113" s="384" t="n"/>
      <c r="AR113" s="384" t="n"/>
      <c r="AS113" s="384" t="n"/>
      <c r="AT113" s="384" t="n"/>
      <c r="AU113" s="384" t="n"/>
      <c r="AV113" s="384" t="n"/>
      <c r="AW113" s="384" t="n"/>
      <c r="AX113" s="384" t="n"/>
      <c r="AY113" s="384" t="n"/>
      <c r="AZ113" s="384" t="n"/>
      <c r="BA113" s="384" t="n"/>
      <c r="BB113" s="384" t="n"/>
      <c r="BC113" s="384" t="n"/>
      <c r="BD113" s="384" t="n"/>
      <c r="BE113" s="384" t="n"/>
      <c r="BF113" s="384" t="n"/>
      <c r="BG113" s="384" t="n"/>
      <c r="BH113" s="384" t="n"/>
      <c r="BI113" s="384" t="n"/>
      <c r="BJ113" s="384" t="n"/>
      <c r="BK113" s="384" t="n"/>
      <c r="BL113" s="384" t="n"/>
      <c r="BM113" s="384" t="n"/>
      <c r="BN113" s="384" t="n"/>
      <c r="BO113" s="384" t="n"/>
      <c r="BP113" s="384" t="n"/>
      <c r="BQ113" s="384" t="n"/>
      <c r="BR113" s="384" t="n"/>
      <c r="BS113" s="384" t="n"/>
      <c r="BT113" s="384" t="n"/>
      <c r="BU113" s="384" t="n"/>
      <c r="BV113" s="384" t="n"/>
      <c r="BW113" s="384" t="n"/>
      <c r="BX113" s="384" t="n"/>
      <c r="BY113" s="384" t="n"/>
      <c r="BZ113" s="384" t="n"/>
      <c r="CA113" s="384" t="n"/>
      <c r="CB113" s="384" t="n"/>
      <c r="CC113" s="384" t="n"/>
      <c r="CD113" s="384" t="n"/>
      <c r="CE113" s="384" t="n"/>
      <c r="CF113" s="384" t="n"/>
      <c r="CG113" s="384" t="n"/>
      <c r="CH113" s="384" t="n"/>
      <c r="CI113" s="384" t="n"/>
      <c r="CJ113" s="384" t="n"/>
      <c r="CK113" s="384" t="n"/>
      <c r="CL113" s="384" t="n"/>
      <c r="CM113" s="384" t="n"/>
      <c r="CN113" s="384" t="n"/>
      <c r="CO113" s="384" t="n"/>
      <c r="CP113" s="384" t="n"/>
      <c r="CQ113" s="384" t="n"/>
      <c r="CR113" s="384" t="n"/>
      <c r="CS113" s="384" t="n"/>
      <c r="CT113" s="384" t="n"/>
      <c r="CU113" s="384" t="n"/>
      <c r="CV113" s="384" t="n"/>
      <c r="CW113" s="384" t="n"/>
      <c r="CX113" s="384" t="n"/>
      <c r="CY113" s="384" t="n"/>
      <c r="CZ113" s="384" t="n"/>
      <c r="DA113" s="384" t="n"/>
      <c r="DB113" s="384" t="n"/>
      <c r="DC113" s="384" t="n"/>
      <c r="DD113" s="384" t="n"/>
      <c r="DE113" s="384" t="n"/>
      <c r="DF113" s="384" t="n"/>
      <c r="DG113" s="384" t="n"/>
      <c r="DH113" s="384" t="n"/>
      <c r="DI113" s="384" t="n"/>
      <c r="DJ113" s="384" t="n"/>
      <c r="DK113" s="384" t="n"/>
      <c r="DL113" s="384" t="n"/>
      <c r="DM113" s="384" t="n"/>
      <c r="DN113" s="384" t="n"/>
      <c r="DO113" s="384" t="n"/>
      <c r="DP113" s="384" t="n"/>
    </row>
  </sheetData>
  <sheetProtection selectLockedCells="0" selectUnlockedCells="0" algorithmName="SHA-512" sheet="1" objects="0" insertRows="1" insertHyperlinks="1" autoFilter="1" scenarios="1" formatColumns="1" deleteColumns="1" insertColumns="1" pivotTables="1" deleteRows="1" formatCells="1" saltValue="yQPHF7BfdNsTqZEmE4z9Dw==" formatRows="1" sort="1" spinCount="100000" hashValue="QBDKreF8Mm/0dLG1SHFSa4zhP3pbKfGP67yHLx+do9HqbLEUTBHsvs5P2bvwSGPG2V//9+26VGQRro1YZfKEiQ=="/>
  <mergeCells count="18">
    <mergeCell ref="Y43:AF43"/>
    <mergeCell ref="Y44:Z44"/>
    <mergeCell ref="AA44:AC44"/>
    <mergeCell ref="AD44:AF44"/>
    <mergeCell ref="AH97:AM97"/>
    <mergeCell ref="V43:V45"/>
    <mergeCell ref="AB40:AF41"/>
    <mergeCell ref="AG43:AN44"/>
    <mergeCell ref="AO43:AV44"/>
    <mergeCell ref="AW43:BD44"/>
    <mergeCell ref="BE43:BL44"/>
    <mergeCell ref="BM43:BT44"/>
    <mergeCell ref="BU43:CB44"/>
    <mergeCell ref="CC43:CJ44"/>
    <mergeCell ref="CK43:CR44"/>
    <mergeCell ref="CS43:CZ44"/>
    <mergeCell ref="DA43:DH44"/>
    <mergeCell ref="DI43:DP44"/>
  </mergeCells>
  <dataValidations count="1">
    <dataValidation sqref="AA41" showErrorMessage="1" showInputMessage="1" allowBlank="1" type="list">
      <formula1>$G$18:$G$20</formula1>
    </dataValidation>
  </dataValidations>
  <pageMargins left="0.7" right="0.7" top="0.75" bottom="0.75" header="0.3" footer="0.3"/>
  <pageSetup orientation="portrait" paperSize="9"/>
  <drawing xmlns:r="http://schemas.openxmlformats.org/officeDocument/2006/relationships" r:id="rId1"/>
  <legacyDrawing xmlns:r="http://schemas.openxmlformats.org/officeDocument/2006/relationships" r:id="anysvml"/>
</worksheet>
</file>

<file path=xl/worksheets/sheet38.xml><?xml version="1.0" encoding="utf-8"?>
<worksheet xmlns="http://schemas.openxmlformats.org/spreadsheetml/2006/main">
  <sheetPr codeName="Sheet42">
    <outlinePr summaryBelow="1" summaryRight="1"/>
    <pageSetUpPr/>
  </sheetPr>
  <dimension ref="A1:BQ133"/>
  <sheetViews>
    <sheetView topLeftCell="W34" zoomScale="90" zoomScaleNormal="90" workbookViewId="0">
      <pane xSplit="2" ySplit="12" topLeftCell="Y46" activePane="bottomRight" state="frozen"/>
      <selection activeCell="A1" sqref="A1"/>
      <selection pane="topRight" activeCell="A1" sqref="A1"/>
      <selection pane="bottomLeft" activeCell="A1" sqref="A1"/>
      <selection pane="bottomRight" activeCell="Q93" sqref="Q93"/>
    </sheetView>
  </sheetViews>
  <sheetFormatPr baseColWidth="8" defaultColWidth="8.625" defaultRowHeight="16.8"/>
  <cols>
    <col hidden="1" width="8" customWidth="1" style="1181" min="1" max="1"/>
    <col hidden="1" width="15.375" customWidth="1" style="1181" min="2" max="2"/>
    <col hidden="1" width="14.25" customWidth="1" style="1181" min="3" max="3"/>
    <col hidden="1" width="12.25" customWidth="1" style="1181" min="4" max="4"/>
    <col hidden="1" width="7.5" customWidth="1" style="1181" min="5" max="5"/>
    <col hidden="1" width="7.75" customWidth="1" style="1181" min="6" max="7"/>
    <col hidden="1" width="8.375" customWidth="1" style="1181" min="8" max="8"/>
    <col hidden="1" width="7.75" customWidth="1" style="1181" min="9" max="9"/>
    <col hidden="1" width="14.625" customWidth="1" style="1181" min="10" max="10"/>
    <col hidden="1" width="7.75" customWidth="1" style="1181" min="11" max="17"/>
    <col hidden="1" width="24.375" customWidth="1" style="1181" min="18" max="18"/>
    <col hidden="1" width="16.5" customWidth="1" style="32" min="19" max="19"/>
    <col hidden="1" width="2.375" customWidth="1" style="1181" min="20" max="20"/>
    <col hidden="1" width="13.75" customWidth="1" style="1181" min="21" max="21"/>
    <col hidden="1" width="18.5" customWidth="1" style="1181" min="22" max="22"/>
    <col width="1.5" customWidth="1" style="1181" min="23" max="23"/>
    <col width="28.625" customWidth="1" style="38" min="24" max="24"/>
    <col width="21.5" customWidth="1" style="1181" min="25" max="64"/>
  </cols>
  <sheetData>
    <row r="1" hidden="1" customFormat="1" s="13">
      <c r="A1" s="172" t="inlineStr">
        <is>
          <t>维度清单</t>
        </is>
      </c>
      <c r="B1" s="462" t="n"/>
      <c r="C1" s="173" t="n"/>
      <c r="D1" s="173" t="n"/>
      <c r="E1" s="716" t="n"/>
      <c r="F1" s="13" t="n"/>
      <c r="G1" s="13" t="n"/>
      <c r="H1" s="13" t="n"/>
      <c r="I1" s="13" t="n"/>
      <c r="J1" s="13" t="n"/>
      <c r="K1" s="13" t="n"/>
      <c r="L1" s="13" t="n"/>
      <c r="M1" s="13" t="n"/>
      <c r="N1" s="13" t="n"/>
      <c r="O1" s="13" t="n"/>
      <c r="P1" s="13" t="n"/>
      <c r="Q1" s="13" t="n"/>
      <c r="R1" s="13" t="n"/>
      <c r="S1" s="1103" t="n"/>
      <c r="T1" s="13" t="n"/>
      <c r="U1" s="13" t="n"/>
      <c r="V1" s="13" t="n"/>
      <c r="W1" s="13" t="n"/>
      <c r="X1" s="171" t="n"/>
      <c r="Y1" s="13" t="n"/>
      <c r="Z1" s="13" t="n"/>
      <c r="AA1" s="13" t="n"/>
      <c r="AB1" s="13" t="n"/>
      <c r="AC1" s="13" t="n"/>
      <c r="AD1" s="220" t="n"/>
      <c r="AE1" s="13" t="n"/>
      <c r="AF1" s="13" t="n"/>
      <c r="AG1" s="13" t="n"/>
      <c r="AH1" s="13" t="n"/>
      <c r="AI1" s="13" t="n"/>
      <c r="AJ1" s="13" t="n"/>
      <c r="AK1" s="13" t="n"/>
      <c r="AL1" s="13" t="n"/>
      <c r="AM1" s="13" t="n"/>
      <c r="AN1" s="13" t="n"/>
      <c r="AO1" s="13" t="n"/>
      <c r="AP1" s="13" t="n"/>
      <c r="AQ1" s="13" t="n"/>
      <c r="AR1" s="13" t="n"/>
      <c r="AS1" s="13" t="n"/>
      <c r="AT1" s="13" t="n"/>
      <c r="AU1" s="13" t="n"/>
      <c r="AV1" s="13" t="n"/>
      <c r="AW1" s="13" t="n"/>
      <c r="AX1" s="13" t="n"/>
      <c r="AY1" s="13" t="n"/>
      <c r="AZ1" s="13" t="n"/>
      <c r="BA1" s="13" t="n"/>
      <c r="BB1" s="13" t="n"/>
      <c r="BC1" s="13" t="n"/>
      <c r="BD1" s="13" t="n"/>
      <c r="BE1" s="13" t="n"/>
      <c r="BF1" s="13" t="n"/>
      <c r="BG1" s="13" t="n"/>
      <c r="BH1" s="13" t="n"/>
      <c r="BI1" s="13" t="n"/>
      <c r="BJ1" s="13" t="n"/>
      <c r="BK1" s="13" t="n"/>
      <c r="BL1" s="13" t="n"/>
      <c r="BM1" s="13" t="n"/>
      <c r="BN1" s="13" t="n"/>
      <c r="BO1" s="13" t="n"/>
      <c r="BP1" s="13" t="n"/>
      <c r="BQ1" s="13" t="n"/>
    </row>
    <row r="2" hidden="1" customFormat="1" s="13">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103" t="n"/>
      <c r="T2" s="13" t="n"/>
      <c r="U2" s="13" t="n"/>
      <c r="V2" s="13" t="n"/>
      <c r="W2" s="13" t="n"/>
      <c r="X2" s="171" t="n"/>
      <c r="Y2" s="13" t="n"/>
      <c r="Z2" s="13" t="n"/>
      <c r="AA2" s="13" t="n"/>
      <c r="AB2" s="13" t="n"/>
      <c r="AC2" s="13" t="n"/>
      <c r="AD2" s="220" t="n"/>
      <c r="AE2" s="13" t="n"/>
      <c r="AF2" s="13" t="n"/>
      <c r="AG2" s="13" t="n"/>
      <c r="AH2" s="13" t="n"/>
      <c r="AI2" s="13" t="n"/>
      <c r="AJ2" s="13" t="n"/>
      <c r="AK2" s="13" t="n"/>
      <c r="AL2" s="13" t="n"/>
      <c r="AM2" s="13" t="n"/>
      <c r="AN2" s="13" t="n"/>
      <c r="AO2" s="13" t="n"/>
      <c r="AP2" s="13" t="n"/>
      <c r="AQ2" s="13" t="n"/>
      <c r="AR2" s="13" t="n"/>
      <c r="AS2" s="13" t="n"/>
      <c r="AT2" s="13" t="n"/>
      <c r="AU2" s="13" t="n"/>
      <c r="AV2" s="13" t="n"/>
      <c r="AW2" s="13" t="n"/>
      <c r="AX2" s="13" t="n"/>
      <c r="AY2" s="13" t="n"/>
      <c r="AZ2" s="13" t="n"/>
      <c r="BA2" s="13" t="n"/>
      <c r="BB2" s="13" t="n"/>
      <c r="BC2" s="13" t="n"/>
      <c r="BD2" s="13" t="n"/>
      <c r="BE2" s="13" t="n"/>
      <c r="BF2" s="13" t="n"/>
      <c r="BG2" s="13" t="n"/>
      <c r="BH2" s="13" t="n"/>
      <c r="BI2" s="13" t="n"/>
      <c r="BJ2" s="13" t="n"/>
      <c r="BK2" s="13" t="n"/>
      <c r="BL2" s="13" t="n"/>
      <c r="BM2" s="13" t="n"/>
      <c r="BN2" s="13" t="n"/>
      <c r="BO2" s="13" t="n"/>
      <c r="BP2" s="13" t="n"/>
      <c r="BQ2" s="13" t="n"/>
    </row>
    <row r="3" hidden="1" customFormat="1" s="13">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103" t="n"/>
      <c r="T3" s="13" t="n"/>
      <c r="U3" s="13" t="n"/>
      <c r="V3" s="13" t="n"/>
      <c r="W3" s="13" t="n"/>
      <c r="X3" s="171" t="n"/>
      <c r="Y3" s="13" t="n"/>
      <c r="Z3" s="13" t="n"/>
      <c r="AA3" s="13" t="n"/>
      <c r="AB3" s="13" t="n"/>
      <c r="AC3" s="13" t="n"/>
      <c r="AD3" s="220" t="n"/>
      <c r="AE3" s="13" t="n"/>
      <c r="AF3" s="13" t="n"/>
      <c r="AG3" s="13" t="n"/>
      <c r="AH3" s="13" t="n"/>
      <c r="AI3" s="13" t="n"/>
      <c r="AJ3" s="13" t="n"/>
      <c r="AK3" s="13" t="n"/>
      <c r="AL3" s="13" t="n"/>
      <c r="AM3" s="13" t="n"/>
      <c r="AN3" s="13" t="n"/>
      <c r="AO3" s="13" t="n"/>
      <c r="AP3" s="13" t="n"/>
      <c r="AQ3" s="13" t="n"/>
      <c r="AR3" s="13" t="n"/>
      <c r="AS3" s="13" t="n"/>
      <c r="AT3" s="13" t="n"/>
      <c r="AU3" s="13" t="n"/>
      <c r="AV3" s="13" t="n"/>
      <c r="AW3" s="13" t="n"/>
      <c r="AX3" s="13" t="n"/>
      <c r="AY3" s="13" t="n"/>
      <c r="AZ3" s="13" t="n"/>
      <c r="BA3" s="13" t="n"/>
      <c r="BB3" s="13" t="n"/>
      <c r="BC3" s="13" t="n"/>
      <c r="BD3" s="13" t="n"/>
      <c r="BE3" s="13" t="n"/>
      <c r="BF3" s="13" t="n"/>
      <c r="BG3" s="13" t="n"/>
      <c r="BH3" s="13" t="n"/>
      <c r="BI3" s="13" t="n"/>
      <c r="BJ3" s="13" t="n"/>
      <c r="BK3" s="13" t="n"/>
      <c r="BL3" s="13" t="n"/>
      <c r="BM3" s="13" t="n"/>
      <c r="BN3" s="13" t="n"/>
      <c r="BO3" s="13" t="n"/>
      <c r="BP3" s="13" t="n"/>
      <c r="BQ3" s="13" t="n"/>
    </row>
    <row r="4" hidden="1" customFormat="1" s="13">
      <c r="A4" s="175" t="inlineStr">
        <is>
          <t>C</t>
        </is>
      </c>
      <c r="B4" s="176">
        <f>IF(_epmOfflineCondition_,"C_CATEGORY",EPMDimensionType(,A4))</f>
        <v/>
      </c>
      <c r="C4" s="176">
        <f>IF(_epmOfflineCondition_,"C1001",IF(B4="","",EPMContextMember(,B4)))</f>
        <v/>
      </c>
      <c r="D4" s="176">
        <f>IF(_epmOfflineCondition_,"实际数/决算数",EPMMemberDesc(C4))</f>
        <v/>
      </c>
      <c r="E4" s="176" t="n"/>
      <c r="F4" s="13" t="n"/>
      <c r="G4" s="13" t="n"/>
      <c r="H4" s="184" t="inlineStr">
        <is>
          <t>预算年</t>
        </is>
      </c>
      <c r="I4" s="184">
        <f>"V_"&amp;$I$3</f>
        <v/>
      </c>
      <c r="J4" s="184">
        <f>$I$3&amp;".TOTAL"</f>
        <v/>
      </c>
      <c r="K4" s="13" t="n"/>
      <c r="L4" s="13" t="n"/>
      <c r="M4" s="13" t="n"/>
      <c r="N4" s="13" t="n"/>
      <c r="O4" s="13" t="n"/>
      <c r="P4" s="13" t="n"/>
      <c r="Q4" s="13" t="n"/>
      <c r="R4" s="13" t="n"/>
      <c r="S4" s="1103" t="n"/>
      <c r="T4" s="13" t="n"/>
      <c r="U4" s="13" t="n"/>
      <c r="V4" s="13" t="n"/>
      <c r="W4" s="13" t="n"/>
      <c r="X4" s="171" t="n"/>
      <c r="Y4" s="13" t="n"/>
      <c r="Z4" s="13" t="n"/>
      <c r="AA4" s="13" t="n"/>
      <c r="AB4" s="13" t="n"/>
      <c r="AC4" s="13" t="n"/>
      <c r="AD4" s="220" t="n"/>
      <c r="AE4" s="13" t="n"/>
      <c r="AF4" s="13" t="n"/>
      <c r="AG4" s="13" t="n"/>
      <c r="AH4" s="13" t="n"/>
      <c r="AI4" s="13" t="n"/>
      <c r="AJ4" s="13" t="n"/>
      <c r="AK4" s="13" t="n"/>
      <c r="AL4" s="13" t="n"/>
      <c r="AM4" s="13" t="n"/>
      <c r="AN4" s="13" t="n"/>
      <c r="AO4" s="13" t="n"/>
      <c r="AP4" s="13" t="n"/>
      <c r="AQ4" s="13" t="n"/>
      <c r="AR4" s="13" t="n"/>
      <c r="AS4" s="13" t="n"/>
      <c r="AT4" s="13" t="n"/>
      <c r="AU4" s="13" t="n"/>
      <c r="AV4" s="13" t="n"/>
      <c r="AW4" s="13" t="n"/>
      <c r="AX4" s="13" t="n"/>
      <c r="AY4" s="13" t="n"/>
      <c r="AZ4" s="13" t="n"/>
      <c r="BA4" s="13" t="n"/>
      <c r="BB4" s="13" t="n"/>
      <c r="BC4" s="13" t="n"/>
      <c r="BD4" s="13" t="n"/>
      <c r="BE4" s="13" t="n"/>
      <c r="BF4" s="13" t="n"/>
      <c r="BG4" s="13" t="n"/>
      <c r="BH4" s="13" t="n"/>
      <c r="BI4" s="13" t="n"/>
      <c r="BJ4" s="13" t="n"/>
      <c r="BK4" s="13" t="n"/>
      <c r="BL4" s="13" t="n"/>
      <c r="BM4" s="13" t="n"/>
      <c r="BN4" s="13" t="n"/>
      <c r="BO4" s="13" t="n"/>
      <c r="BP4" s="13" t="n"/>
      <c r="BQ4" s="13" t="n"/>
    </row>
    <row r="5" hidden="1" customFormat="1" s="13">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13" t="n"/>
      <c r="V5" s="13" t="n"/>
      <c r="W5" s="13" t="n"/>
      <c r="X5" s="171" t="n"/>
      <c r="Y5" s="13" t="n"/>
      <c r="Z5" s="13" t="n"/>
      <c r="AA5" s="13" t="n"/>
      <c r="AB5" s="13" t="n"/>
      <c r="AC5" s="13" t="n"/>
      <c r="AD5" s="220" t="n"/>
      <c r="AE5" s="13" t="n"/>
      <c r="AF5" s="13" t="n"/>
      <c r="AG5" s="13" t="n"/>
      <c r="AH5" s="13" t="n"/>
      <c r="AI5" s="13" t="n"/>
      <c r="AJ5" s="13" t="n"/>
      <c r="AK5" s="13" t="n"/>
      <c r="AL5" s="13" t="n"/>
      <c r="AM5" s="13" t="n"/>
      <c r="AN5" s="13" t="n"/>
      <c r="AO5" s="13" t="n"/>
      <c r="AP5" s="13" t="n"/>
      <c r="AQ5" s="13" t="n"/>
      <c r="AR5" s="13" t="n"/>
      <c r="AS5" s="13" t="n"/>
      <c r="AT5" s="13" t="n"/>
      <c r="AU5" s="13" t="n"/>
      <c r="AV5" s="13" t="n"/>
      <c r="AW5" s="13" t="n"/>
      <c r="AX5" s="13" t="n"/>
      <c r="AY5" s="13" t="n"/>
      <c r="AZ5" s="13" t="n"/>
      <c r="BA5" s="13" t="n"/>
      <c r="BB5" s="13" t="n"/>
      <c r="BC5" s="13" t="n"/>
      <c r="BD5" s="13" t="n"/>
      <c r="BE5" s="13" t="n"/>
      <c r="BF5" s="13" t="n"/>
      <c r="BG5" s="13" t="n"/>
      <c r="BH5" s="13" t="n"/>
      <c r="BI5" s="13" t="n"/>
      <c r="BJ5" s="13" t="n"/>
      <c r="BK5" s="13" t="n"/>
      <c r="BL5" s="13" t="n"/>
      <c r="BM5" s="13" t="n"/>
      <c r="BN5" s="13" t="n"/>
      <c r="BO5" s="13" t="n"/>
      <c r="BP5" s="13" t="n"/>
      <c r="BQ5" s="13" t="n"/>
    </row>
    <row r="6" hidden="1" customFormat="1" s="13">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103" t="n"/>
      <c r="T6" s="13" t="n"/>
      <c r="U6" s="13" t="n"/>
      <c r="V6" s="13" t="n"/>
      <c r="W6" s="13" t="n"/>
      <c r="X6" s="171" t="n"/>
      <c r="Y6" s="13" t="n"/>
      <c r="Z6" s="13" t="n"/>
      <c r="AA6" s="13" t="n"/>
      <c r="AB6" s="13" t="n"/>
      <c r="AC6" s="13" t="n"/>
      <c r="AD6" s="220" t="n"/>
      <c r="AE6" s="13" t="n"/>
      <c r="AF6" s="13" t="n"/>
      <c r="AG6" s="13" t="n"/>
      <c r="AH6" s="13" t="n"/>
      <c r="AI6" s="13" t="n"/>
      <c r="AJ6" s="13" t="n"/>
      <c r="AK6" s="13" t="n"/>
      <c r="AL6" s="13" t="n"/>
      <c r="AM6" s="13" t="n"/>
      <c r="AN6" s="13" t="n"/>
      <c r="AO6" s="13" t="n"/>
      <c r="AP6" s="13" t="n"/>
      <c r="AQ6" s="13" t="n"/>
      <c r="AR6" s="13" t="n"/>
      <c r="AS6" s="13" t="n"/>
      <c r="AT6" s="13" t="n"/>
      <c r="AU6" s="13" t="n"/>
      <c r="AV6" s="13" t="n"/>
      <c r="AW6" s="13" t="n"/>
      <c r="AX6" s="13" t="n"/>
      <c r="AY6" s="13" t="n"/>
      <c r="AZ6" s="13" t="n"/>
      <c r="BA6" s="13" t="n"/>
      <c r="BB6" s="13" t="n"/>
      <c r="BC6" s="13" t="n"/>
      <c r="BD6" s="13" t="n"/>
      <c r="BE6" s="13" t="n"/>
      <c r="BF6" s="13" t="n"/>
      <c r="BG6" s="13" t="n"/>
      <c r="BH6" s="13" t="n"/>
      <c r="BI6" s="13" t="n"/>
      <c r="BJ6" s="13" t="n"/>
      <c r="BK6" s="13" t="n"/>
      <c r="BL6" s="13" t="n"/>
      <c r="BM6" s="13" t="n"/>
      <c r="BN6" s="13" t="n"/>
      <c r="BO6" s="13" t="n"/>
      <c r="BP6" s="13" t="n"/>
      <c r="BQ6" s="13" t="n"/>
    </row>
    <row r="7" hidden="1" customFormat="1" s="13">
      <c r="A7" s="175" t="inlineStr">
        <is>
          <t>R</t>
        </is>
      </c>
      <c r="B7" s="176">
        <f>IF(_epmOfflineCondition_,"C_RPTCURRENCY",EPMDimensionType(,A7))</f>
        <v/>
      </c>
      <c r="C7" s="176">
        <f>IF(_epmOfflineCondition_,"LC",IF(B7="","",EPMContextMember(,B7)))</f>
        <v/>
      </c>
      <c r="D7" s="176">
        <f>IF(_epmOfflineCondition_,"本位币",EPMMemberDesc(C7))</f>
        <v/>
      </c>
      <c r="E7" s="176" t="n"/>
      <c r="F7" s="13" t="n"/>
      <c r="G7" s="13" t="n"/>
      <c r="H7" s="13" t="n"/>
      <c r="I7" s="13" t="n"/>
      <c r="J7" s="13" t="n"/>
      <c r="K7" s="13" t="n"/>
      <c r="L7" s="13" t="n"/>
      <c r="M7" s="13" t="n"/>
      <c r="N7" s="13" t="n"/>
      <c r="O7" s="13" t="n"/>
      <c r="P7" s="13" t="n"/>
      <c r="Q7" s="13" t="n"/>
      <c r="R7" s="13" t="n"/>
      <c r="S7" s="1103" t="n"/>
      <c r="T7" s="13" t="n"/>
      <c r="U7" s="13" t="n"/>
      <c r="V7" s="13" t="n"/>
      <c r="W7" s="13" t="n"/>
      <c r="X7" s="171" t="n"/>
      <c r="Y7" s="13" t="n"/>
      <c r="Z7" s="13" t="n"/>
      <c r="AA7" s="13" t="n"/>
      <c r="AB7" s="13" t="n"/>
      <c r="AC7" s="13" t="n"/>
      <c r="AD7" s="220" t="n"/>
      <c r="AE7" s="13" t="n"/>
      <c r="AF7" s="13" t="n"/>
      <c r="AG7" s="13" t="n"/>
      <c r="AH7" s="13" t="n"/>
      <c r="AI7" s="13" t="n"/>
      <c r="AJ7" s="13" t="n"/>
      <c r="AK7" s="13" t="n"/>
      <c r="AL7" s="13" t="n"/>
      <c r="AM7" s="13" t="n"/>
      <c r="AN7" s="13" t="n"/>
      <c r="AO7" s="13" t="n"/>
      <c r="AP7" s="13" t="n"/>
      <c r="AQ7" s="13" t="n"/>
      <c r="AR7" s="13" t="n"/>
      <c r="AS7" s="13" t="n"/>
      <c r="AT7" s="13" t="n"/>
      <c r="AU7" s="13" t="n"/>
      <c r="AV7" s="13" t="n"/>
      <c r="AW7" s="13" t="n"/>
      <c r="AX7" s="13" t="n"/>
      <c r="AY7" s="13" t="n"/>
      <c r="AZ7" s="13" t="n"/>
      <c r="BA7" s="13" t="n"/>
      <c r="BB7" s="13" t="n"/>
      <c r="BC7" s="13" t="n"/>
      <c r="BD7" s="13" t="n"/>
      <c r="BE7" s="13" t="n"/>
      <c r="BF7" s="13" t="n"/>
      <c r="BG7" s="13" t="n"/>
      <c r="BH7" s="13" t="n"/>
      <c r="BI7" s="13" t="n"/>
      <c r="BJ7" s="13" t="n"/>
      <c r="BK7" s="13" t="n"/>
      <c r="BL7" s="13" t="n"/>
      <c r="BM7" s="13" t="n"/>
      <c r="BN7" s="13" t="n"/>
      <c r="BO7" s="13" t="n"/>
      <c r="BP7" s="13" t="n"/>
      <c r="BQ7" s="13" t="n"/>
    </row>
    <row r="8" hidden="1" customFormat="1" s="13">
      <c r="A8" s="175" t="inlineStr">
        <is>
          <t>D</t>
        </is>
      </c>
      <c r="B8" s="176">
        <f>IF(_epmOfflineCondition_,"C_AUDITTRAIL",EPMDimensionType(,A8))</f>
        <v/>
      </c>
      <c r="C8" s="176">
        <f>IF(_epmOfflineCondition_,"DTOTAL",IF(B8="","",EPMContextMember(,B8)))</f>
        <v/>
      </c>
      <c r="D8" s="176">
        <f>IF(_epmOfflineCondition_,"全部审计线索",EPMMemberDesc(C8))</f>
        <v/>
      </c>
      <c r="E8" s="176" t="n"/>
      <c r="F8" s="13" t="n"/>
      <c r="G8" s="13" t="n"/>
      <c r="H8" s="184" t="inlineStr">
        <is>
          <t>本月</t>
        </is>
      </c>
      <c r="I8" s="184">
        <f>IF(_epmOfflineCondition_,"03",RIGHT("0"&amp;EPMMemberProperty(,EPMContextMember(,"C_TIME"),"MONTHNUM"),2))</f>
        <v/>
      </c>
      <c r="J8" s="13" t="n"/>
      <c r="K8" s="13" t="n"/>
      <c r="L8" s="13" t="n"/>
      <c r="M8" s="13" t="n"/>
      <c r="N8" s="13" t="n"/>
      <c r="O8" s="13" t="n"/>
      <c r="P8" s="13" t="n"/>
      <c r="Q8" s="13" t="n"/>
      <c r="R8" s="13" t="n"/>
      <c r="S8" s="1103" t="n"/>
      <c r="T8" s="13" t="n"/>
      <c r="U8" s="13" t="n"/>
      <c r="V8" s="13" t="n"/>
      <c r="W8" s="13" t="n"/>
      <c r="X8" s="171" t="n"/>
      <c r="Y8" s="13" t="n"/>
      <c r="Z8" s="13" t="n"/>
      <c r="AA8" s="13" t="n"/>
      <c r="AB8" s="13" t="n"/>
      <c r="AC8" s="13" t="n"/>
      <c r="AD8" s="220" t="n"/>
      <c r="AE8" s="13" t="n"/>
      <c r="AF8" s="13" t="n"/>
      <c r="AG8" s="13" t="n"/>
      <c r="AH8" s="13" t="n"/>
      <c r="AI8" s="13" t="n"/>
      <c r="AJ8" s="13" t="n"/>
      <c r="AK8" s="13" t="n"/>
      <c r="AL8" s="13" t="n"/>
      <c r="AM8" s="13" t="n"/>
      <c r="AN8" s="13" t="n"/>
      <c r="AO8" s="13" t="n"/>
      <c r="AP8" s="13" t="n"/>
      <c r="AQ8" s="13" t="n"/>
      <c r="AR8" s="13" t="n"/>
      <c r="AS8" s="13" t="n"/>
      <c r="AT8" s="13" t="n"/>
      <c r="AU8" s="13" t="n"/>
      <c r="AV8" s="13" t="n"/>
      <c r="AW8" s="13" t="n"/>
      <c r="AX8" s="13" t="n"/>
      <c r="AY8" s="13" t="n"/>
      <c r="AZ8" s="13" t="n"/>
      <c r="BA8" s="13" t="n"/>
      <c r="BB8" s="13" t="n"/>
      <c r="BC8" s="13" t="n"/>
      <c r="BD8" s="13" t="n"/>
      <c r="BE8" s="13" t="n"/>
      <c r="BF8" s="13" t="n"/>
      <c r="BG8" s="13" t="n"/>
      <c r="BH8" s="13" t="n"/>
      <c r="BI8" s="13" t="n"/>
      <c r="BJ8" s="13" t="n"/>
      <c r="BK8" s="13" t="n"/>
      <c r="BL8" s="13" t="n"/>
      <c r="BM8" s="13" t="n"/>
      <c r="BN8" s="13" t="n"/>
      <c r="BO8" s="13" t="n"/>
      <c r="BP8" s="13" t="n"/>
      <c r="BQ8" s="13" t="n"/>
    </row>
    <row r="9" hidden="1" customFormat="1" s="13">
      <c r="A9" s="175" t="inlineStr">
        <is>
          <t>S</t>
        </is>
      </c>
      <c r="B9" s="176">
        <f>IF(_epmOfflineCondition_,"C_FLOW",EPMDimensionType(,A9))</f>
        <v/>
      </c>
      <c r="C9" s="176">
        <f>IF(_epmOfflineCondition_,"FTOTAL",IF(B9="","",EPMContextMember(,B9)))</f>
        <v/>
      </c>
      <c r="D9" s="176">
        <f>IF(_epmOfflineCondition_,"全部变动",EPMMemberDesc(C9))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13" t="n"/>
      <c r="V9" s="13" t="n"/>
      <c r="W9" s="13" t="n"/>
      <c r="X9" s="171" t="n"/>
      <c r="Y9" s="13" t="n"/>
      <c r="Z9" s="13" t="n"/>
      <c r="AA9" s="13" t="n"/>
      <c r="AB9" s="13" t="n"/>
      <c r="AC9" s="13" t="n"/>
      <c r="AD9" s="220" t="n"/>
      <c r="AE9" s="13" t="n"/>
      <c r="AF9" s="13" t="n"/>
      <c r="AG9" s="13" t="n"/>
      <c r="AH9" s="13" t="n"/>
      <c r="AI9" s="13" t="n"/>
      <c r="AJ9" s="13" t="n"/>
      <c r="AK9" s="13" t="n"/>
      <c r="AL9" s="13" t="n"/>
      <c r="AM9" s="13" t="n"/>
      <c r="AN9" s="13" t="n"/>
      <c r="AO9" s="13" t="n"/>
      <c r="AP9" s="13" t="n"/>
      <c r="AQ9" s="13" t="n"/>
      <c r="AR9" s="13" t="n"/>
      <c r="AS9" s="13" t="n"/>
      <c r="AT9" s="13" t="n"/>
      <c r="AU9" s="13" t="n"/>
      <c r="AV9" s="13" t="n"/>
      <c r="AW9" s="13" t="n"/>
      <c r="AX9" s="13" t="n"/>
      <c r="AY9" s="13" t="n"/>
      <c r="AZ9" s="13" t="n"/>
      <c r="BA9" s="13" t="n"/>
      <c r="BB9" s="13" t="n"/>
      <c r="BC9" s="13" t="n"/>
      <c r="BD9" s="13" t="n"/>
      <c r="BE9" s="13" t="n"/>
      <c r="BF9" s="13" t="n"/>
      <c r="BG9" s="13" t="n"/>
      <c r="BH9" s="13" t="n"/>
      <c r="BI9" s="13" t="n"/>
      <c r="BJ9" s="13" t="n"/>
      <c r="BK9" s="13" t="n"/>
      <c r="BL9" s="13" t="n"/>
      <c r="BM9" s="13" t="n"/>
      <c r="BN9" s="13" t="n"/>
      <c r="BO9" s="13" t="n"/>
      <c r="BP9" s="13" t="n"/>
      <c r="BQ9" s="13" t="n"/>
    </row>
    <row r="10" hidden="1" customFormat="1" s="13">
      <c r="A10" s="175" t="inlineStr">
        <is>
          <t>I</t>
        </is>
      </c>
      <c r="B10" s="176">
        <f>IF(_epmOfflineCondition_,"C_INTERCO",EPMDimensionType(,A10))</f>
        <v/>
      </c>
      <c r="C10" s="176">
        <f>IF(_epmOfflineCondition_,"I_ALL",IF(B10="","",EPMContextMember(,B10)))</f>
        <v/>
      </c>
      <c r="D10" s="176">
        <f>IF(_epmOfflineCondition_,"全部贸易伙伴",EPMMemberDesc(C10))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13" t="n"/>
      <c r="V10" s="13" t="n"/>
      <c r="W10" s="13" t="n"/>
      <c r="X10" s="171" t="n"/>
      <c r="Y10" s="13" t="n"/>
      <c r="Z10" s="13" t="n"/>
      <c r="AA10" s="13" t="n"/>
      <c r="AB10" s="13" t="n"/>
      <c r="AC10" s="13" t="n"/>
      <c r="AD10" s="220" t="n"/>
      <c r="AE10" s="13" t="n"/>
      <c r="AF10" s="13" t="n"/>
      <c r="AG10" s="13" t="n"/>
      <c r="AH10" s="13" t="n"/>
      <c r="AI10" s="13" t="n"/>
      <c r="AJ10" s="13" t="n"/>
      <c r="AK10" s="13" t="n"/>
      <c r="AL10" s="13" t="n"/>
      <c r="AM10" s="13" t="n"/>
      <c r="AN10" s="13" t="n"/>
      <c r="AO10" s="13" t="n"/>
      <c r="AP10" s="13" t="n"/>
      <c r="AQ10" s="13" t="n"/>
      <c r="AR10" s="13" t="n"/>
      <c r="AS10" s="13" t="n"/>
      <c r="AT10" s="13" t="n"/>
      <c r="AU10" s="13" t="n"/>
      <c r="AV10" s="13" t="n"/>
      <c r="AW10" s="13" t="n"/>
      <c r="AX10" s="13" t="n"/>
      <c r="AY10" s="13" t="n"/>
      <c r="AZ10" s="13" t="n"/>
      <c r="BA10" s="13" t="n"/>
      <c r="BB10" s="13" t="n"/>
      <c r="BC10" s="13" t="n"/>
      <c r="BD10" s="13" t="n"/>
      <c r="BE10" s="13" t="n"/>
      <c r="BF10" s="13" t="n"/>
      <c r="BG10" s="13" t="n"/>
      <c r="BH10" s="13" t="n"/>
      <c r="BI10" s="13" t="n"/>
      <c r="BJ10" s="13" t="n"/>
      <c r="BK10" s="13" t="n"/>
      <c r="BL10" s="13" t="n"/>
      <c r="BM10" s="13" t="n"/>
      <c r="BN10" s="13" t="n"/>
      <c r="BO10" s="13" t="n"/>
      <c r="BP10" s="13" t="n"/>
      <c r="BQ10" s="13" t="n"/>
    </row>
    <row r="11" hidden="1" customFormat="1" s="13">
      <c r="A11" s="175" t="inlineStr">
        <is>
          <t>G</t>
        </is>
      </c>
      <c r="B11" s="176">
        <f>IF(_epmOfflineCondition_,"C_SCOPE",EPMDimensionType(,A11))</f>
        <v/>
      </c>
      <c r="C11" s="176">
        <f>IF(_epmOfflineCondition_,"G_DUMMY",IF(B11="","",EPMContextMember(,B11)))</f>
        <v/>
      </c>
      <c r="D11" s="176">
        <f>IF(_epmOfflineCondition_,"合并范围无关",EPMMemberDesc(C11))</f>
        <v/>
      </c>
      <c r="E11" s="27">
        <f>IF(OR(RIGHT(C11,1)="P",RIGHT(C11,1)="S"),LEFT(C11,LEN(C11)-1),C11)</f>
        <v/>
      </c>
      <c r="F11" s="185" t="inlineStr">
        <is>
          <t>判断属性</t>
        </is>
      </c>
      <c r="G11" s="13" t="n"/>
      <c r="H11" s="184" t="inlineStr">
        <is>
          <t xml:space="preserve">本年月 </t>
        </is>
      </c>
      <c r="I11" s="184">
        <f>I3&amp;"."&amp;I8</f>
        <v/>
      </c>
      <c r="J11" s="13" t="n"/>
      <c r="K11" s="13" t="n"/>
      <c r="L11" s="13" t="n"/>
      <c r="M11" s="13" t="n"/>
      <c r="N11" s="13" t="n"/>
      <c r="O11" s="13" t="n"/>
      <c r="P11" s="13" t="n"/>
      <c r="Q11" s="13" t="n"/>
      <c r="R11" s="13" t="n"/>
      <c r="S11" s="1103" t="n"/>
      <c r="T11" s="13" t="n"/>
      <c r="U11" s="13" t="n"/>
      <c r="V11" s="13" t="n"/>
      <c r="W11" s="13" t="n"/>
      <c r="X11" s="171" t="n"/>
      <c r="Y11" s="13" t="n"/>
      <c r="Z11" s="13" t="n"/>
      <c r="AA11" s="13" t="n"/>
      <c r="AB11" s="13" t="n"/>
      <c r="AC11" s="13" t="n"/>
      <c r="AD11" s="220" t="n"/>
      <c r="AE11" s="13" t="n"/>
      <c r="AF11" s="13" t="n"/>
      <c r="AG11" s="13" t="n"/>
      <c r="AH11" s="13" t="n"/>
      <c r="AI11" s="13" t="n"/>
      <c r="AJ11" s="13" t="n"/>
      <c r="AK11" s="13" t="n"/>
      <c r="AL11" s="13" t="n"/>
      <c r="AM11" s="13" t="n"/>
      <c r="AN11" s="13" t="n"/>
      <c r="AO11" s="13" t="n"/>
      <c r="AP11" s="13" t="n"/>
      <c r="AQ11" s="13" t="n"/>
      <c r="AR11" s="13" t="n"/>
      <c r="AS11" s="13" t="n"/>
      <c r="AT11" s="13" t="n"/>
      <c r="AU11" s="13" t="n"/>
      <c r="AV11" s="13" t="n"/>
      <c r="AW11" s="13" t="n"/>
      <c r="AX11" s="13" t="n"/>
      <c r="AY11" s="13" t="n"/>
      <c r="AZ11" s="13" t="n"/>
      <c r="BA11" s="13" t="n"/>
      <c r="BB11" s="13" t="n"/>
      <c r="BC11" s="13" t="n"/>
      <c r="BD11" s="13" t="n"/>
      <c r="BE11" s="13" t="n"/>
      <c r="BF11" s="13" t="n"/>
      <c r="BG11" s="13" t="n"/>
      <c r="BH11" s="13" t="n"/>
      <c r="BI11" s="13" t="n"/>
      <c r="BJ11" s="13" t="n"/>
      <c r="BK11" s="13" t="n"/>
      <c r="BL11" s="13" t="n"/>
      <c r="BM11" s="13" t="n"/>
      <c r="BN11" s="13" t="n"/>
      <c r="BO11" s="13" t="n"/>
      <c r="BP11" s="13" t="n"/>
      <c r="BQ11" s="13" t="n"/>
    </row>
    <row r="12" hidden="1" customFormat="1" s="13">
      <c r="A12" s="175" t="inlineStr">
        <is>
          <t>U8</t>
        </is>
      </c>
      <c r="B12" s="176">
        <f>IF(_epmOfflineCondition_,"C_PROJECT",EPMDimensionType(,A12))</f>
        <v/>
      </c>
      <c r="C12" s="176">
        <f>IF(_epmOfflineCondition_,"ZP_ALL",IF(B12="","",EPMContextMember(,B12)))</f>
        <v/>
      </c>
      <c r="D12" s="176">
        <f>IF(_epmOfflineCondition_,"项目合计",EPMMemberDesc(C12))</f>
        <v/>
      </c>
      <c r="E12" s="176" t="n"/>
      <c r="F12" s="185">
        <f>E11</f>
        <v/>
      </c>
      <c r="G12" s="13" t="n"/>
      <c r="H12" s="184" t="inlineStr">
        <is>
          <t>上年月</t>
        </is>
      </c>
      <c r="I12" s="184">
        <f>IF(I8="01",I10&amp;"."&amp;I9,I3&amp;"."&amp;I9)</f>
        <v/>
      </c>
      <c r="J12" s="13" t="n"/>
      <c r="K12" s="13" t="n"/>
      <c r="L12" s="13" t="n"/>
      <c r="M12" s="13" t="n"/>
      <c r="N12" s="13" t="n"/>
      <c r="O12" s="13" t="n"/>
      <c r="P12" s="13" t="n"/>
      <c r="Q12" s="13" t="n"/>
      <c r="R12" s="13" t="n"/>
      <c r="S12" s="1103" t="n"/>
      <c r="T12" s="13" t="n"/>
      <c r="U12" s="13" t="n"/>
      <c r="V12" s="13" t="n"/>
      <c r="W12" s="13" t="n"/>
      <c r="X12" s="171" t="n"/>
      <c r="Y12" s="13" t="n"/>
      <c r="Z12" s="13" t="n"/>
      <c r="AA12" s="13" t="n"/>
      <c r="AB12" s="13" t="n"/>
      <c r="AC12" s="13" t="n"/>
      <c r="AD12" s="220" t="n"/>
      <c r="AE12" s="13" t="n"/>
      <c r="AF12" s="13" t="n"/>
      <c r="AG12" s="13" t="n"/>
      <c r="AH12" s="13" t="n"/>
      <c r="AI12" s="13" t="n"/>
      <c r="AJ12" s="13" t="n"/>
      <c r="AK12" s="13" t="n"/>
      <c r="AL12" s="13" t="n"/>
      <c r="AM12" s="13" t="n"/>
      <c r="AN12" s="13" t="n"/>
      <c r="AO12" s="13" t="n"/>
      <c r="AP12" s="13" t="n"/>
      <c r="AQ12" s="13" t="n"/>
      <c r="AR12" s="13" t="n"/>
      <c r="AS12" s="13" t="n"/>
      <c r="AT12" s="13" t="n"/>
      <c r="AU12" s="13" t="n"/>
      <c r="AV12" s="13" t="n"/>
      <c r="AW12" s="13" t="n"/>
      <c r="AX12" s="13" t="n"/>
      <c r="AY12" s="13" t="n"/>
      <c r="AZ12" s="13" t="n"/>
      <c r="BA12" s="13" t="n"/>
      <c r="BB12" s="13" t="n"/>
      <c r="BC12" s="13" t="n"/>
      <c r="BD12" s="13" t="n"/>
      <c r="BE12" s="13" t="n"/>
      <c r="BF12" s="13" t="n"/>
      <c r="BG12" s="13" t="n"/>
      <c r="BH12" s="13" t="n"/>
      <c r="BI12" s="13" t="n"/>
      <c r="BJ12" s="13" t="n"/>
      <c r="BK12" s="13" t="n"/>
      <c r="BL12" s="13" t="n"/>
      <c r="BM12" s="13" t="n"/>
      <c r="BN12" s="13" t="n"/>
      <c r="BO12" s="13" t="n"/>
      <c r="BP12" s="13" t="n"/>
      <c r="BQ12" s="13" t="n"/>
    </row>
    <row r="13" hidden="1" customFormat="1" s="13">
      <c r="A13" s="175" t="inlineStr">
        <is>
          <t>U9</t>
        </is>
      </c>
      <c r="B13" s="176">
        <f>IF(_epmOfflineCondition_,"C_ITEM",EPMDimensionType(,A13))</f>
        <v/>
      </c>
      <c r="C13" s="176">
        <f>IF(_epmOfflineCondition_,"ZI_ALL",IF(B13="","",EPMContextMember(,B13)))</f>
        <v/>
      </c>
      <c r="D13" s="176">
        <f>IF(_epmOfflineCondition_,"全部ITEM",EPMMemberDesc(C13))</f>
        <v/>
      </c>
      <c r="E13" s="186" t="n"/>
      <c r="F13" s="185">
        <f>IF(_epmOfflineCondition_,"E_DUMMY",EPMMemberProperty(,F12,"GENTITY"))</f>
        <v/>
      </c>
      <c r="G13" s="13" t="n"/>
      <c r="H13" s="184" t="inlineStr">
        <is>
          <t xml:space="preserve">上年同期 </t>
        </is>
      </c>
      <c r="I13" s="184">
        <f>I10&amp;"."&amp;I8</f>
        <v/>
      </c>
      <c r="J13" s="13" t="n"/>
      <c r="K13" s="13" t="n"/>
      <c r="L13" s="13" t="n"/>
      <c r="M13" s="13" t="n"/>
      <c r="N13" s="13" t="n"/>
      <c r="O13" s="13" t="n"/>
      <c r="P13" s="13" t="n"/>
      <c r="Q13" s="13" t="n"/>
      <c r="R13" s="13" t="n"/>
      <c r="S13" s="1103" t="n"/>
      <c r="T13" s="13" t="n"/>
      <c r="U13" s="13" t="n"/>
      <c r="V13" s="13" t="n"/>
      <c r="W13" s="13" t="n"/>
      <c r="X13" s="171" t="n"/>
      <c r="Y13" s="13" t="n"/>
      <c r="Z13" s="13" t="n"/>
      <c r="AA13" s="13" t="n"/>
      <c r="AB13" s="13" t="n"/>
      <c r="AC13" s="13" t="n"/>
      <c r="AD13" s="220" t="n"/>
      <c r="AE13" s="13" t="n"/>
      <c r="AF13" s="13" t="n"/>
      <c r="AG13" s="13" t="n"/>
      <c r="AH13" s="13" t="n"/>
      <c r="AI13" s="13" t="n"/>
      <c r="AJ13" s="13" t="n"/>
      <c r="AK13" s="13" t="n"/>
      <c r="AL13" s="13" t="n"/>
      <c r="AM13" s="13" t="n"/>
      <c r="AN13" s="13" t="n"/>
      <c r="AO13" s="13" t="n"/>
      <c r="AP13" s="13" t="n"/>
      <c r="AQ13" s="13" t="n"/>
      <c r="AR13" s="13" t="n"/>
      <c r="AS13" s="13" t="n"/>
      <c r="AT13" s="13" t="n"/>
      <c r="AU13" s="13" t="n"/>
      <c r="AV13" s="13" t="n"/>
      <c r="AW13" s="13" t="n"/>
      <c r="AX13" s="13" t="n"/>
      <c r="AY13" s="13" t="n"/>
      <c r="AZ13" s="13" t="n"/>
      <c r="BA13" s="13" t="n"/>
      <c r="BB13" s="13" t="n"/>
      <c r="BC13" s="13" t="n"/>
      <c r="BD13" s="13" t="n"/>
      <c r="BE13" s="13" t="n"/>
      <c r="BF13" s="13" t="n"/>
      <c r="BG13" s="13" t="n"/>
      <c r="BH13" s="13" t="n"/>
      <c r="BI13" s="13" t="n"/>
      <c r="BJ13" s="13" t="n"/>
      <c r="BK13" s="13" t="n"/>
      <c r="BL13" s="13" t="n"/>
      <c r="BM13" s="13" t="n"/>
      <c r="BN13" s="13" t="n"/>
      <c r="BO13" s="13" t="n"/>
      <c r="BP13" s="13" t="n"/>
      <c r="BQ13" s="13" t="n"/>
    </row>
    <row r="14" hidden="1" customFormat="1" s="13">
      <c r="A14" s="175" t="inlineStr">
        <is>
          <t>U10</t>
        </is>
      </c>
      <c r="B14" s="176">
        <f>IF(_epmOfflineCondition_,"C_MISK",EPMDimensionType(,A14))</f>
        <v/>
      </c>
      <c r="C14" s="176">
        <f>IF(_epmOfflineCondition_,"ZM_ALL",IF(B14="","",EPMContextMember(,B14)))</f>
        <v/>
      </c>
      <c r="D14" s="176">
        <f>IF(_epmOfflineCondition_,"ALL",EPMMemberDesc(C14))</f>
        <v/>
      </c>
      <c r="E14" s="186" t="n"/>
      <c r="F14" s="185">
        <f>IF(F12="G_DUMMY",C6,F13)</f>
        <v/>
      </c>
      <c r="G14" s="13" t="n"/>
      <c r="H14" s="13" t="n"/>
      <c r="I14" s="13" t="n"/>
      <c r="J14" s="13" t="n"/>
      <c r="K14" s="13" t="n"/>
      <c r="L14" s="13" t="n"/>
      <c r="M14" s="13" t="n"/>
      <c r="N14" s="13" t="n"/>
      <c r="O14" s="13" t="n"/>
      <c r="P14" s="13" t="n"/>
      <c r="Q14" s="13" t="n"/>
      <c r="R14" s="13" t="n"/>
      <c r="S14" s="1103" t="n"/>
      <c r="T14" s="13" t="n"/>
      <c r="U14" s="13" t="n"/>
      <c r="V14" s="13" t="n"/>
      <c r="W14" s="13" t="n"/>
      <c r="X14" s="171" t="n"/>
      <c r="Y14" s="13" t="n"/>
      <c r="Z14" s="13" t="n"/>
      <c r="AA14" s="13" t="n"/>
      <c r="AB14" s="13" t="n"/>
      <c r="AC14" s="13" t="n"/>
      <c r="AD14" s="220" t="n"/>
      <c r="AE14" s="13" t="n"/>
      <c r="AF14" s="13" t="n"/>
      <c r="AG14" s="13" t="n"/>
      <c r="AH14" s="13" t="n"/>
      <c r="AI14" s="13" t="n"/>
      <c r="AJ14" s="13" t="n"/>
      <c r="AK14" s="13" t="n"/>
      <c r="AL14" s="13" t="n"/>
      <c r="AM14" s="13" t="n"/>
      <c r="AN14" s="13" t="n"/>
      <c r="AO14" s="13" t="n"/>
      <c r="AP14" s="13" t="n"/>
      <c r="AQ14" s="13" t="n"/>
      <c r="AR14" s="13" t="n"/>
      <c r="AS14" s="13" t="n"/>
      <c r="AT14" s="13" t="n"/>
      <c r="AU14" s="13" t="n"/>
      <c r="AV14" s="13" t="n"/>
      <c r="AW14" s="13" t="n"/>
      <c r="AX14" s="13" t="n"/>
      <c r="AY14" s="13" t="n"/>
      <c r="AZ14" s="13" t="n"/>
      <c r="BA14" s="13" t="n"/>
      <c r="BB14" s="13" t="n"/>
      <c r="BC14" s="13" t="n"/>
      <c r="BD14" s="13" t="n"/>
      <c r="BE14" s="13" t="n"/>
      <c r="BF14" s="13" t="n"/>
      <c r="BG14" s="13" t="n"/>
      <c r="BH14" s="13" t="n"/>
      <c r="BI14" s="13" t="n"/>
      <c r="BJ14" s="13" t="n"/>
      <c r="BK14" s="13" t="n"/>
      <c r="BL14" s="13" t="n"/>
      <c r="BM14" s="13" t="n"/>
      <c r="BN14" s="13" t="n"/>
      <c r="BO14" s="13" t="n"/>
      <c r="BP14" s="13" t="n"/>
      <c r="BQ14" s="13" t="n"/>
    </row>
    <row r="15" hidden="1" customFormat="1" s="13">
      <c r="A15" s="13" t="n"/>
      <c r="B15" s="1103" t="n"/>
      <c r="C15" s="1103" t="n"/>
      <c r="D15" s="1103" t="n"/>
      <c r="E15" s="13" t="n"/>
      <c r="F15" s="13" t="n"/>
      <c r="G15" s="13" t="n"/>
      <c r="H15" s="13" t="n"/>
      <c r="I15" s="13" t="n"/>
      <c r="J15" s="13" t="n"/>
      <c r="K15" s="13" t="n"/>
      <c r="L15" s="13" t="n"/>
      <c r="M15" s="13" t="n"/>
      <c r="N15" s="13" t="n"/>
      <c r="O15" s="13" t="n"/>
      <c r="P15" s="13" t="n"/>
      <c r="Q15" s="13" t="n"/>
      <c r="R15" s="13" t="n"/>
      <c r="S15" s="1103" t="n"/>
      <c r="T15" s="13" t="n"/>
      <c r="U15" s="13" t="n"/>
      <c r="V15" s="13" t="n"/>
      <c r="W15" s="13" t="n"/>
      <c r="X15" s="171" t="n"/>
      <c r="Y15" s="13" t="n"/>
      <c r="Z15" s="13" t="n"/>
      <c r="AA15" s="13" t="n"/>
      <c r="AB15" s="13" t="n"/>
      <c r="AC15" s="13" t="n"/>
      <c r="AD15" s="220" t="n"/>
      <c r="AE15" s="13" t="n"/>
      <c r="AF15" s="13" t="n"/>
      <c r="AG15" s="13" t="n"/>
      <c r="AH15" s="13" t="n"/>
      <c r="AI15" s="13" t="n"/>
      <c r="AJ15" s="13" t="n"/>
      <c r="AK15" s="13" t="n"/>
      <c r="AL15" s="13" t="n"/>
      <c r="AM15" s="13" t="n"/>
      <c r="AN15" s="13" t="n"/>
      <c r="AO15" s="13" t="n"/>
      <c r="AP15" s="13" t="n"/>
      <c r="AQ15" s="13" t="n"/>
      <c r="AR15" s="13" t="n"/>
      <c r="AS15" s="13" t="n"/>
      <c r="AT15" s="13" t="n"/>
      <c r="AU15" s="13" t="n"/>
      <c r="AV15" s="13" t="n"/>
      <c r="AW15" s="13" t="n"/>
      <c r="AX15" s="13" t="n"/>
      <c r="AY15" s="13" t="n"/>
      <c r="AZ15" s="13" t="n"/>
      <c r="BA15" s="13" t="n"/>
      <c r="BB15" s="13" t="n"/>
      <c r="BC15" s="13" t="n"/>
      <c r="BD15" s="13" t="n"/>
      <c r="BE15" s="13" t="n"/>
      <c r="BF15" s="13" t="n"/>
      <c r="BG15" s="13" t="n"/>
      <c r="BH15" s="13" t="n"/>
      <c r="BI15" s="13" t="n"/>
      <c r="BJ15" s="13" t="n"/>
      <c r="BK15" s="13" t="n"/>
      <c r="BL15" s="13" t="n"/>
      <c r="BM15" s="13" t="n"/>
      <c r="BN15" s="13" t="n"/>
      <c r="BO15" s="13" t="n"/>
      <c r="BP15" s="13" t="n"/>
      <c r="BQ15" s="13" t="n"/>
    </row>
    <row r="16" hidden="1" customFormat="1" s="13">
      <c r="A16" s="13" t="n"/>
      <c r="B16" s="13" t="n"/>
      <c r="C16" s="13" t="n"/>
      <c r="D16" s="174" t="inlineStr">
        <is>
          <t>页轴</t>
        </is>
      </c>
      <c r="E16" s="1183" t="n"/>
      <c r="F16" s="13" t="n"/>
      <c r="G16" s="13" t="n"/>
      <c r="H16" s="13" t="n"/>
      <c r="I16" s="13" t="n"/>
      <c r="J16" s="13" t="n"/>
      <c r="K16" s="13" t="n"/>
      <c r="L16" s="13" t="n"/>
      <c r="M16" s="13" t="n"/>
      <c r="N16" s="13" t="n"/>
      <c r="O16" s="13" t="n"/>
      <c r="P16" s="13" t="n"/>
      <c r="Q16" s="13" t="n"/>
      <c r="R16" s="13" t="n"/>
      <c r="S16" s="1103" t="n"/>
      <c r="T16" s="13" t="n"/>
      <c r="U16" s="13" t="n"/>
      <c r="V16" s="13" t="n"/>
      <c r="W16" s="13" t="n"/>
      <c r="X16" s="171" t="n"/>
      <c r="Y16" s="13" t="n"/>
      <c r="Z16" s="13" t="n"/>
      <c r="AA16" s="13" t="n"/>
      <c r="AB16" s="13" t="n"/>
      <c r="AC16" s="13" t="n"/>
      <c r="AD16" s="220" t="n"/>
      <c r="AE16" s="13" t="n"/>
      <c r="AF16" s="13" t="n"/>
      <c r="AG16" s="13" t="n"/>
      <c r="AH16" s="13" t="n"/>
      <c r="AI16" s="13" t="n"/>
      <c r="AJ16" s="13" t="n"/>
      <c r="AK16" s="13" t="n"/>
      <c r="AL16" s="13" t="n"/>
      <c r="AM16" s="13" t="n"/>
      <c r="AN16" s="13" t="n"/>
      <c r="AO16" s="13" t="n"/>
      <c r="AP16" s="13" t="n"/>
      <c r="AQ16" s="13" t="n"/>
      <c r="AR16" s="13" t="n"/>
      <c r="AS16" s="13" t="n"/>
      <c r="AT16" s="13" t="n"/>
      <c r="AU16" s="13" t="n"/>
      <c r="AV16" s="13" t="n"/>
      <c r="AW16" s="13" t="n"/>
      <c r="AX16" s="13" t="n"/>
      <c r="AY16" s="13" t="n"/>
      <c r="AZ16" s="13" t="n"/>
      <c r="BA16" s="13" t="n"/>
      <c r="BB16" s="13" t="n"/>
      <c r="BC16" s="13" t="n"/>
      <c r="BD16" s="13" t="n"/>
      <c r="BE16" s="13" t="n"/>
      <c r="BF16" s="13" t="n"/>
      <c r="BG16" s="13" t="n"/>
      <c r="BH16" s="13" t="n"/>
      <c r="BI16" s="13" t="n"/>
      <c r="BJ16" s="13" t="n"/>
      <c r="BK16" s="13" t="n"/>
      <c r="BL16" s="13" t="n"/>
      <c r="BM16" s="13" t="n"/>
      <c r="BN16" s="13" t="n"/>
      <c r="BO16" s="13" t="n"/>
      <c r="BP16" s="13" t="n"/>
      <c r="BQ16" s="13" t="n"/>
    </row>
    <row r="17" hidden="1" customFormat="1" s="13">
      <c r="A17" s="174" t="inlineStr">
        <is>
          <t>维度类型</t>
        </is>
      </c>
      <c r="B17" s="174" t="inlineStr">
        <is>
          <t>维度</t>
        </is>
      </c>
      <c r="C17" s="178" t="inlineStr">
        <is>
          <t>页轴替换</t>
        </is>
      </c>
      <c r="D17" s="174" t="inlineStr">
        <is>
          <t>报表001</t>
        </is>
      </c>
      <c r="E17" s="174" t="inlineStr">
        <is>
          <t>报表002</t>
        </is>
      </c>
      <c r="F17" s="13" t="n"/>
      <c r="G17" s="13" t="n"/>
      <c r="H17" s="13" t="n"/>
      <c r="I17" s="13" t="n"/>
      <c r="J17" s="13" t="n"/>
      <c r="K17" s="13" t="n"/>
      <c r="L17" s="13" t="n"/>
      <c r="M17" s="13" t="n"/>
      <c r="N17" s="13" t="n"/>
      <c r="O17" s="13" t="n"/>
      <c r="P17" s="13" t="n"/>
      <c r="Q17" s="13" t="n"/>
      <c r="R17" s="13" t="n"/>
      <c r="S17" s="1103" t="n"/>
      <c r="T17" s="13" t="n"/>
      <c r="U17" s="13" t="n"/>
      <c r="V17" s="13" t="n"/>
      <c r="W17" s="13" t="n"/>
      <c r="X17" s="171" t="n"/>
      <c r="Y17" s="13" t="n"/>
      <c r="Z17" s="13" t="n"/>
      <c r="AA17" s="13" t="n"/>
      <c r="AB17" s="13" t="n"/>
      <c r="AC17" s="13" t="n"/>
      <c r="AD17" s="220" t="n"/>
      <c r="AE17" s="13" t="n"/>
      <c r="AF17" s="13" t="n"/>
      <c r="AG17" s="13" t="n"/>
      <c r="AH17" s="13" t="n"/>
      <c r="AI17" s="13" t="n"/>
      <c r="AJ17" s="13" t="n"/>
      <c r="AK17" s="13" t="n"/>
      <c r="AL17" s="13" t="n"/>
      <c r="AM17" s="13" t="n"/>
      <c r="AN17" s="13" t="n"/>
      <c r="AO17" s="13" t="n"/>
      <c r="AP17" s="13" t="n"/>
      <c r="AQ17" s="13" t="n"/>
      <c r="AR17" s="13" t="n"/>
      <c r="AS17" s="13" t="n"/>
      <c r="AT17" s="13" t="n"/>
      <c r="AU17" s="13" t="n"/>
      <c r="AV17" s="13" t="n"/>
      <c r="AW17" s="13" t="n"/>
      <c r="AX17" s="13" t="n"/>
      <c r="AY17" s="13" t="n"/>
      <c r="AZ17" s="13" t="n"/>
      <c r="BA17" s="13" t="n"/>
      <c r="BB17" s="13" t="n"/>
      <c r="BC17" s="13" t="n"/>
      <c r="BD17" s="13" t="n"/>
      <c r="BE17" s="13" t="n"/>
      <c r="BF17" s="13" t="n"/>
      <c r="BG17" s="13" t="n"/>
      <c r="BH17" s="13" t="n"/>
      <c r="BI17" s="13" t="n"/>
      <c r="BJ17" s="13" t="n"/>
      <c r="BK17" s="13" t="n"/>
      <c r="BL17" s="13" t="n"/>
      <c r="BM17" s="13" t="n"/>
      <c r="BN17" s="13" t="n"/>
      <c r="BO17" s="13" t="n"/>
      <c r="BP17" s="13" t="n"/>
      <c r="BQ17" s="13" t="n"/>
    </row>
    <row r="18" hidden="1" customFormat="1" s="13">
      <c r="A18" s="175" t="inlineStr">
        <is>
          <t>A</t>
        </is>
      </c>
      <c r="B18" s="176">
        <f>IF(_epmOfflineCondition_,"C_ACCOUNT",EPMDimensionType(,A18))</f>
        <v/>
      </c>
      <c r="C18" s="182" t="inlineStr">
        <is>
          <t>A_NOUSED</t>
        </is>
      </c>
      <c r="D18" s="180" t="n"/>
      <c r="E18" s="180" t="n"/>
      <c r="F18" s="13" t="n"/>
      <c r="G18" s="13" t="n"/>
      <c r="H18" s="13" t="n"/>
      <c r="I18" s="180" t="inlineStr">
        <is>
          <t>选择的值</t>
        </is>
      </c>
      <c r="J18" s="180">
        <f>VLOOKUP(AA37,I19:J21,2,FALSE)</f>
        <v/>
      </c>
      <c r="K18" s="13" t="n"/>
      <c r="L18" s="13" t="n"/>
      <c r="M18" s="13" t="n"/>
      <c r="N18" s="13" t="n"/>
      <c r="O18" s="13" t="n"/>
      <c r="P18" s="13" t="n"/>
      <c r="Q18" s="13" t="n"/>
      <c r="R18" s="13" t="n"/>
      <c r="S18" s="1103" t="n"/>
      <c r="T18" s="13" t="n"/>
      <c r="U18" s="13" t="n"/>
      <c r="V18" s="13" t="n"/>
      <c r="W18" s="13" t="n"/>
      <c r="X18" s="171" t="n"/>
      <c r="Y18" s="13" t="n"/>
      <c r="Z18" s="13" t="n"/>
      <c r="AA18" s="13" t="n"/>
      <c r="AB18" s="13" t="n"/>
      <c r="AC18" s="13" t="n"/>
      <c r="AD18" s="220" t="n"/>
      <c r="AE18" s="13" t="n"/>
      <c r="AF18" s="13" t="n"/>
      <c r="AG18" s="13" t="n"/>
      <c r="AH18" s="13" t="n"/>
      <c r="AI18" s="13" t="n"/>
      <c r="AJ18" s="13" t="n"/>
      <c r="AK18" s="13" t="n"/>
      <c r="AL18" s="13" t="n"/>
      <c r="AM18" s="13" t="n"/>
      <c r="AN18" s="13" t="n"/>
      <c r="AO18" s="13" t="n"/>
      <c r="AP18" s="13" t="n"/>
      <c r="AQ18" s="13" t="n"/>
      <c r="AR18" s="13" t="n"/>
      <c r="AS18" s="13" t="n"/>
      <c r="AT18" s="13" t="n"/>
      <c r="AU18" s="13" t="n"/>
      <c r="AV18" s="13" t="n"/>
      <c r="AW18" s="13" t="n"/>
      <c r="AX18" s="13" t="n"/>
      <c r="AY18" s="13" t="n"/>
      <c r="AZ18" s="13" t="n"/>
      <c r="BA18" s="13" t="n"/>
      <c r="BB18" s="13" t="n"/>
      <c r="BC18" s="13" t="n"/>
      <c r="BD18" s="13" t="n"/>
      <c r="BE18" s="13" t="n"/>
      <c r="BF18" s="13" t="n"/>
      <c r="BG18" s="13" t="n"/>
      <c r="BH18" s="13" t="n"/>
      <c r="BI18" s="13" t="n"/>
      <c r="BJ18" s="13" t="n"/>
      <c r="BK18" s="13" t="n"/>
      <c r="BL18" s="13" t="n"/>
      <c r="BM18" s="13" t="n"/>
      <c r="BN18" s="13" t="n"/>
      <c r="BO18" s="13" t="n"/>
      <c r="BP18" s="13" t="n"/>
      <c r="BQ18" s="13" t="n"/>
    </row>
    <row r="19" hidden="1" customFormat="1" s="13">
      <c r="A19" s="175" t="inlineStr">
        <is>
          <t>C</t>
        </is>
      </c>
      <c r="B19" s="176">
        <f>IF(_epmOfflineCondition_,"C_CATEGORY",EPMDimensionType(,A19))</f>
        <v/>
      </c>
      <c r="C19" s="182" t="inlineStr">
        <is>
          <t>C_DUMMY</t>
        </is>
      </c>
      <c r="D19" s="180" t="n"/>
      <c r="E19" s="180" t="n"/>
      <c r="F19" s="13" t="n"/>
      <c r="G19" s="13" t="n"/>
      <c r="H19" s="13" t="n"/>
      <c r="I19" s="180" t="inlineStr">
        <is>
          <t>单体录入</t>
        </is>
      </c>
      <c r="J19" s="180" t="inlineStr">
        <is>
          <t>D1110</t>
        </is>
      </c>
      <c r="K19" s="13" t="n"/>
      <c r="L19" s="13" t="n"/>
      <c r="M19" s="13" t="n"/>
      <c r="N19" s="13" t="n"/>
      <c r="O19" s="13" t="n"/>
      <c r="P19" s="13" t="n"/>
      <c r="Q19" s="13" t="n"/>
      <c r="R19" s="13" t="n"/>
      <c r="S19" s="1103" t="n"/>
      <c r="T19" s="13" t="n"/>
      <c r="U19" s="13" t="n"/>
      <c r="V19" s="13" t="n"/>
      <c r="W19" s="13" t="n"/>
      <c r="X19" s="171" t="n"/>
      <c r="Y19" s="13" t="n"/>
      <c r="Z19" s="13" t="n"/>
      <c r="AA19" s="13" t="n"/>
      <c r="AB19" s="13" t="n"/>
      <c r="AC19" s="13" t="n"/>
      <c r="AD19" s="220" t="n"/>
      <c r="AE19" s="13" t="n"/>
      <c r="AF19" s="13" t="n"/>
      <c r="AG19" s="13" t="n"/>
      <c r="AH19" s="13" t="n"/>
      <c r="AI19" s="13" t="n"/>
      <c r="AJ19" s="13" t="n"/>
      <c r="AK19" s="13" t="n"/>
      <c r="AL19" s="13" t="n"/>
      <c r="AM19" s="13" t="n"/>
      <c r="AN19" s="13" t="n"/>
      <c r="AO19" s="13" t="n"/>
      <c r="AP19" s="13" t="n"/>
      <c r="AQ19" s="13" t="n"/>
      <c r="AR19" s="13" t="n"/>
      <c r="AS19" s="13" t="n"/>
      <c r="AT19" s="13" t="n"/>
      <c r="AU19" s="13" t="n"/>
      <c r="AV19" s="13" t="n"/>
      <c r="AW19" s="13" t="n"/>
      <c r="AX19" s="13" t="n"/>
      <c r="AY19" s="13" t="n"/>
      <c r="AZ19" s="13" t="n"/>
      <c r="BA19" s="13" t="n"/>
      <c r="BB19" s="13" t="n"/>
      <c r="BC19" s="13" t="n"/>
      <c r="BD19" s="13" t="n"/>
      <c r="BE19" s="13" t="n"/>
      <c r="BF19" s="13" t="n"/>
      <c r="BG19" s="13" t="n"/>
      <c r="BH19" s="13" t="n"/>
      <c r="BI19" s="13" t="n"/>
      <c r="BJ19" s="13" t="n"/>
      <c r="BK19" s="13" t="n"/>
      <c r="BL19" s="13" t="n"/>
      <c r="BM19" s="13" t="n"/>
      <c r="BN19" s="13" t="n"/>
      <c r="BO19" s="13" t="n"/>
      <c r="BP19" s="13" t="n"/>
      <c r="BQ19" s="13" t="n"/>
    </row>
    <row r="20" hidden="1" customFormat="1" s="13">
      <c r="A20" s="175" t="inlineStr">
        <is>
          <t>T</t>
        </is>
      </c>
      <c r="B20" s="176">
        <f>IF(_epmOfflineCondition_,"C_TIME",EPMDimensionType(,A20))</f>
        <v/>
      </c>
      <c r="C20" s="672" t="inlineStr">
        <is>
          <t>T_DUMMY</t>
        </is>
      </c>
      <c r="D20" s="180" t="n"/>
      <c r="E20" s="180" t="n"/>
      <c r="F20" s="384" t="n"/>
      <c r="G20" s="384" t="n"/>
      <c r="H20" s="13" t="n"/>
      <c r="I20" s="180" t="inlineStr">
        <is>
          <t>合并调整</t>
        </is>
      </c>
      <c r="J20" s="180" t="inlineStr">
        <is>
          <t>DELIM_IPT_IC_BP_99</t>
        </is>
      </c>
      <c r="K20" s="13" t="n"/>
      <c r="L20" s="13" t="n"/>
      <c r="M20" s="13" t="n"/>
      <c r="N20" s="13" t="n"/>
      <c r="O20" s="13" t="n"/>
      <c r="P20" s="13" t="n"/>
      <c r="Q20" s="13" t="n"/>
      <c r="R20" s="13" t="n"/>
      <c r="S20" s="1103" t="n"/>
      <c r="T20" s="13" t="n"/>
      <c r="U20" s="13" t="n"/>
      <c r="V20" s="13" t="n"/>
      <c r="W20" s="13" t="n"/>
      <c r="X20" s="171" t="n"/>
      <c r="Y20" s="384" t="n"/>
      <c r="Z20" s="384" t="n"/>
      <c r="AA20" s="13" t="n"/>
      <c r="AB20" s="13" t="n"/>
      <c r="AC20" s="13" t="n"/>
      <c r="AD20" s="220" t="n"/>
      <c r="AE20" s="13" t="n"/>
      <c r="AF20" s="13" t="n"/>
      <c r="AG20" s="13" t="n"/>
      <c r="AH20" s="13" t="n"/>
      <c r="AI20" s="13" t="n"/>
      <c r="AJ20" s="13" t="n"/>
      <c r="AK20" s="13" t="n"/>
      <c r="AL20" s="13" t="n"/>
      <c r="AM20" s="13" t="n"/>
      <c r="AN20" s="13" t="n"/>
      <c r="AO20" s="13" t="n"/>
      <c r="AP20" s="13" t="n"/>
      <c r="AQ20" s="13" t="n"/>
      <c r="AR20" s="13" t="n"/>
      <c r="AS20" s="13" t="n"/>
      <c r="AT20" s="13" t="n"/>
      <c r="AU20" s="13" t="n"/>
      <c r="AV20" s="13" t="n"/>
      <c r="AW20" s="13" t="n"/>
      <c r="AX20" s="13" t="n"/>
      <c r="AY20" s="13" t="n"/>
      <c r="AZ20" s="13" t="n"/>
      <c r="BA20" s="13" t="n"/>
      <c r="BB20" s="13" t="n"/>
      <c r="BC20" s="13" t="n"/>
      <c r="BD20" s="13" t="n"/>
      <c r="BE20" s="13" t="n"/>
      <c r="BF20" s="13" t="n"/>
      <c r="BG20" s="13" t="n"/>
      <c r="BH20" s="13" t="n"/>
      <c r="BI20" s="13" t="n"/>
      <c r="BJ20" s="13" t="n"/>
      <c r="BK20" s="13" t="n"/>
      <c r="BL20" s="13" t="n"/>
      <c r="BM20" s="13" t="n"/>
      <c r="BN20" s="13" t="n"/>
      <c r="BO20" s="13" t="n"/>
      <c r="BP20" s="13" t="n"/>
      <c r="BQ20" s="13" t="n"/>
    </row>
    <row r="21" hidden="1" customFormat="1" s="13">
      <c r="A21" s="175" t="inlineStr">
        <is>
          <t>E</t>
        </is>
      </c>
      <c r="B21" s="176">
        <f>IF(_epmOfflineCondition_,"C_ENTITY",EPMDimensionType(,A21))</f>
        <v/>
      </c>
      <c r="C21" s="672">
        <f>IF(_epmOfflineCondition_,"E100787",IF(B21="","",EPMContextMember(,B21)))</f>
        <v/>
      </c>
      <c r="D21" s="182">
        <f>IF(_epmOfflineCondition_,"E100787",EPMOlapMemberO(C21,"[C_ENTITY].[PARENTH1].[E100787]","E100787 - 内蒙古京能苏尼特风力发电有限公司（内蒙古分公司）","","000"))</f>
        <v/>
      </c>
      <c r="E21" s="180" t="n"/>
      <c r="F21" s="384" t="n"/>
      <c r="G21" s="384" t="n"/>
      <c r="H21" s="13" t="n"/>
      <c r="I21" s="180" t="inlineStr">
        <is>
          <t>合并查询</t>
        </is>
      </c>
      <c r="J21" s="180" t="inlineStr">
        <is>
          <t>DTOTAL</t>
        </is>
      </c>
      <c r="K21" s="13" t="n"/>
      <c r="L21" s="13" t="n"/>
      <c r="M21" s="13" t="n"/>
      <c r="N21" s="13" t="n"/>
      <c r="O21" s="13" t="n"/>
      <c r="P21" s="13" t="n"/>
      <c r="Q21" s="13" t="n"/>
      <c r="R21" s="13" t="n"/>
      <c r="S21" s="1103" t="n"/>
      <c r="T21" s="13" t="n"/>
      <c r="U21" s="13" t="n"/>
      <c r="V21" s="13" t="n"/>
      <c r="W21" s="13" t="n"/>
      <c r="X21" s="171" t="n"/>
      <c r="Y21" s="384" t="n"/>
      <c r="Z21" s="384" t="n"/>
      <c r="AA21" s="13" t="n"/>
      <c r="AB21" s="13" t="n"/>
      <c r="AC21" s="13" t="n"/>
      <c r="AD21" s="220" t="n"/>
      <c r="AE21" s="13" t="n"/>
      <c r="AF21" s="13" t="n"/>
      <c r="AG21" s="13" t="n"/>
      <c r="AH21" s="13" t="n"/>
      <c r="AI21" s="13" t="n"/>
      <c r="AJ21" s="13" t="n"/>
      <c r="AK21" s="13" t="n"/>
      <c r="AL21" s="13" t="n"/>
      <c r="AM21" s="13" t="n"/>
      <c r="AN21" s="13" t="n"/>
      <c r="AO21" s="13" t="n"/>
      <c r="AP21" s="13" t="n"/>
      <c r="AQ21" s="13" t="n"/>
      <c r="AR21" s="13" t="n"/>
      <c r="AS21" s="13" t="n"/>
      <c r="AT21" s="13" t="n"/>
      <c r="AU21" s="13" t="n"/>
      <c r="AV21" s="13" t="n"/>
      <c r="AW21" s="13" t="n"/>
      <c r="AX21" s="13" t="n"/>
      <c r="AY21" s="13" t="n"/>
      <c r="AZ21" s="13" t="n"/>
      <c r="BA21" s="13" t="n"/>
      <c r="BB21" s="13" t="n"/>
      <c r="BC21" s="13" t="n"/>
      <c r="BD21" s="13" t="n"/>
      <c r="BE21" s="13" t="n"/>
      <c r="BF21" s="13" t="n"/>
      <c r="BG21" s="13" t="n"/>
      <c r="BH21" s="13" t="n"/>
      <c r="BI21" s="13" t="n"/>
      <c r="BJ21" s="13" t="n"/>
      <c r="BK21" s="13" t="n"/>
      <c r="BL21" s="13" t="n"/>
      <c r="BM21" s="13" t="n"/>
      <c r="BN21" s="13" t="n"/>
      <c r="BO21" s="13" t="n"/>
      <c r="BP21" s="13" t="n"/>
      <c r="BQ21" s="13" t="n"/>
    </row>
    <row r="22" hidden="1" customFormat="1" s="13">
      <c r="A22" s="175" t="inlineStr">
        <is>
          <t>R</t>
        </is>
      </c>
      <c r="B22" s="176">
        <f>IF(_epmOfflineCondition_,"C_RPTCURRENCY",EPMDimensionType(,A22))</f>
        <v/>
      </c>
      <c r="C22" s="672" t="inlineStr">
        <is>
          <t>LC</t>
        </is>
      </c>
      <c r="D22" s="182">
        <f>IF(_epmOfflineCondition_,"LC",EPMOlapMemberO(C22,"[C_RPTCURRENCY].[].[LC]","LC - 本位币","","000"))</f>
        <v/>
      </c>
      <c r="E22" s="180" t="n"/>
      <c r="F22" s="384" t="n"/>
      <c r="G22" s="384" t="n"/>
      <c r="H22" s="13" t="n"/>
      <c r="I22" s="13" t="n"/>
      <c r="J22" s="13" t="n"/>
      <c r="K22" s="13" t="n"/>
      <c r="L22" s="13" t="n"/>
      <c r="M22" s="13" t="n"/>
      <c r="N22" s="13" t="n"/>
      <c r="O22" s="13" t="n"/>
      <c r="P22" s="13" t="n"/>
      <c r="Q22" s="13" t="n"/>
      <c r="R22" s="13" t="n"/>
      <c r="S22" s="1103" t="n"/>
      <c r="T22" s="13" t="n"/>
      <c r="U22" s="13" t="n"/>
      <c r="V22" s="13" t="n"/>
      <c r="W22" s="13" t="n"/>
      <c r="X22" s="171" t="n"/>
      <c r="Y22" s="384" t="n"/>
      <c r="Z22" s="384" t="n"/>
      <c r="AA22" s="13" t="n"/>
      <c r="AB22" s="13" t="n"/>
      <c r="AC22" s="13" t="n"/>
      <c r="AD22" s="220" t="n"/>
      <c r="AE22" s="13" t="n"/>
      <c r="AF22" s="13" t="n"/>
      <c r="AG22" s="13" t="n"/>
      <c r="AH22" s="13" t="n"/>
      <c r="AI22" s="13" t="n"/>
      <c r="AJ22" s="13" t="n"/>
      <c r="AK22" s="13" t="n"/>
      <c r="AL22" s="13" t="n"/>
      <c r="AM22" s="13" t="n"/>
      <c r="AN22" s="13" t="n"/>
      <c r="AO22" s="13" t="n"/>
      <c r="AP22" s="13" t="n"/>
      <c r="AQ22" s="13" t="n"/>
      <c r="AR22" s="13" t="n"/>
      <c r="AS22" s="13" t="n"/>
      <c r="AT22" s="13" t="n"/>
      <c r="AU22" s="13" t="n"/>
      <c r="AV22" s="13" t="n"/>
      <c r="AW22" s="13" t="n"/>
      <c r="AX22" s="13" t="n"/>
      <c r="AY22" s="13" t="n"/>
      <c r="AZ22" s="13" t="n"/>
      <c r="BA22" s="13" t="n"/>
      <c r="BB22" s="13" t="n"/>
      <c r="BC22" s="13" t="n"/>
      <c r="BD22" s="13" t="n"/>
      <c r="BE22" s="13" t="n"/>
      <c r="BF22" s="13" t="n"/>
      <c r="BG22" s="13" t="n"/>
      <c r="BH22" s="13" t="n"/>
      <c r="BI22" s="13" t="n"/>
      <c r="BJ22" s="13" t="n"/>
      <c r="BK22" s="13" t="n"/>
      <c r="BL22" s="13" t="n"/>
      <c r="BM22" s="13" t="n"/>
      <c r="BN22" s="13" t="n"/>
      <c r="BO22" s="13" t="n"/>
      <c r="BP22" s="13" t="n"/>
      <c r="BQ22" s="13" t="n"/>
    </row>
    <row r="23" hidden="1" customFormat="1" s="13">
      <c r="A23" s="175" t="inlineStr">
        <is>
          <t>D</t>
        </is>
      </c>
      <c r="B23" s="176">
        <f>IF(_epmOfflineCondition_,"C_AUDITTRAIL",EPMDimensionType(,A23))</f>
        <v/>
      </c>
      <c r="C23" s="672">
        <f>J18</f>
        <v/>
      </c>
      <c r="D23" s="182">
        <f>IF(_epmOfflineCondition_,"D1110",EPMOlapMemberO(C23,"[C_AUDITTRAIL].[PARENTH1].[D1110]","D1110 - 平台表单手工输入","","000"))</f>
        <v/>
      </c>
      <c r="E23" s="180" t="n"/>
      <c r="F23" s="384" t="n"/>
      <c r="G23" s="384" t="n"/>
      <c r="H23" s="13" t="n"/>
      <c r="I23" s="13" t="n"/>
      <c r="J23" s="13" t="n"/>
      <c r="K23" s="13" t="n"/>
      <c r="L23" s="13" t="n"/>
      <c r="M23" s="13" t="n"/>
      <c r="N23" s="13" t="n"/>
      <c r="O23" s="13" t="n"/>
      <c r="P23" s="13" t="n"/>
      <c r="Q23" s="13" t="n"/>
      <c r="R23" s="13" t="n"/>
      <c r="S23" s="1103" t="n"/>
      <c r="T23" s="13" t="n"/>
      <c r="U23" s="35" t="n"/>
      <c r="V23" s="35" t="n"/>
      <c r="W23" s="13" t="n"/>
      <c r="X23" s="171" t="n"/>
      <c r="Y23" s="384" t="n"/>
      <c r="Z23" s="384" t="n"/>
      <c r="AA23" s="13" t="n"/>
      <c r="AB23" s="13" t="n"/>
      <c r="AC23" s="13" t="n"/>
      <c r="AD23" s="220" t="n"/>
      <c r="AE23" s="13" t="n"/>
      <c r="AF23" s="13" t="n"/>
      <c r="AG23" s="13" t="n"/>
      <c r="AH23" s="13" t="n"/>
      <c r="AI23" s="13" t="n"/>
      <c r="AJ23" s="13" t="n"/>
      <c r="AK23" s="13" t="n"/>
      <c r="AL23" s="13" t="n"/>
      <c r="AM23" s="13" t="n"/>
      <c r="AN23" s="13" t="n"/>
      <c r="AO23" s="13" t="n"/>
      <c r="AP23" s="13" t="n"/>
      <c r="AQ23" s="13" t="n"/>
      <c r="AR23" s="13" t="n"/>
      <c r="AS23" s="13" t="n"/>
      <c r="AT23" s="13" t="n"/>
      <c r="AU23" s="13" t="n"/>
      <c r="AV23" s="13" t="n"/>
      <c r="AW23" s="13" t="n"/>
      <c r="AX23" s="13" t="n"/>
      <c r="AY23" s="13" t="n"/>
      <c r="AZ23" s="13" t="n"/>
      <c r="BA23" s="13" t="n"/>
      <c r="BB23" s="13" t="n"/>
      <c r="BC23" s="13" t="n"/>
      <c r="BD23" s="13" t="n"/>
      <c r="BE23" s="13" t="n"/>
      <c r="BF23" s="13" t="n"/>
      <c r="BG23" s="13" t="n"/>
      <c r="BH23" s="13" t="n"/>
      <c r="BI23" s="13" t="n"/>
      <c r="BJ23" s="13" t="n"/>
      <c r="BK23" s="13" t="n"/>
      <c r="BL23" s="13" t="n"/>
      <c r="BM23" s="13" t="n"/>
      <c r="BN23" s="13" t="n"/>
      <c r="BO23" s="13" t="n"/>
      <c r="BP23" s="13" t="n"/>
      <c r="BQ23" s="13" t="n"/>
    </row>
    <row r="24" hidden="1" customFormat="1" s="13">
      <c r="A24" s="175" t="inlineStr">
        <is>
          <t>S</t>
        </is>
      </c>
      <c r="B24" s="176">
        <f>IF(_epmOfflineCondition_,"C_FLOW",EPMDimensionType(,A24))</f>
        <v/>
      </c>
      <c r="C24" s="672">
        <f>IF(_epmOfflineCondition_,"FTOTAL",IF(B24="","",EPMContextMember(,B24)))</f>
        <v/>
      </c>
      <c r="D24" s="180" t="n"/>
      <c r="E24" s="180" t="n"/>
      <c r="F24" s="384" t="n"/>
      <c r="G24" s="384" t="n"/>
      <c r="H24" s="13" t="n"/>
      <c r="I24" s="13" t="n"/>
      <c r="J24" s="13" t="n"/>
      <c r="K24" s="13" t="n"/>
      <c r="L24" s="13" t="n"/>
      <c r="M24" s="13" t="n"/>
      <c r="N24" s="13" t="n"/>
      <c r="O24" s="13" t="n"/>
      <c r="P24" s="13" t="n"/>
      <c r="Q24" s="13" t="n"/>
      <c r="R24" s="13" t="n"/>
      <c r="S24" s="1103" t="n"/>
      <c r="T24" s="13" t="n"/>
      <c r="U24" s="35" t="n"/>
      <c r="V24" s="35" t="n"/>
      <c r="W24" s="13" t="n"/>
      <c r="X24" s="171" t="n"/>
      <c r="Y24" s="384" t="n"/>
      <c r="Z24" s="384" t="n"/>
      <c r="AA24" s="13" t="n"/>
      <c r="AB24" s="13" t="n"/>
      <c r="AC24" s="13" t="n"/>
      <c r="AD24" s="220" t="n"/>
      <c r="AE24" s="13" t="n"/>
      <c r="AF24" s="13" t="n"/>
      <c r="AG24" s="13" t="n"/>
      <c r="AH24" s="13" t="n"/>
      <c r="AI24" s="13" t="n"/>
      <c r="AJ24" s="13" t="n"/>
      <c r="AK24" s="13" t="n"/>
      <c r="AL24" s="13" t="n"/>
      <c r="AM24" s="13" t="n"/>
      <c r="AN24" s="13" t="n"/>
      <c r="AO24" s="13" t="n"/>
      <c r="AP24" s="13" t="n"/>
      <c r="AQ24" s="13" t="n"/>
      <c r="AR24" s="13" t="n"/>
      <c r="AS24" s="13" t="n"/>
      <c r="AT24" s="13" t="n"/>
      <c r="AU24" s="13" t="n"/>
      <c r="AV24" s="13" t="n"/>
      <c r="AW24" s="13" t="n"/>
      <c r="AX24" s="13" t="n"/>
      <c r="AY24" s="13" t="n"/>
      <c r="AZ24" s="13" t="n"/>
      <c r="BA24" s="13" t="n"/>
      <c r="BB24" s="13" t="n"/>
      <c r="BC24" s="13" t="n"/>
      <c r="BD24" s="13" t="n"/>
      <c r="BE24" s="13" t="n"/>
      <c r="BF24" s="13" t="n"/>
      <c r="BG24" s="13" t="n"/>
      <c r="BH24" s="13" t="n"/>
      <c r="BI24" s="13" t="n"/>
      <c r="BJ24" s="13" t="n"/>
      <c r="BK24" s="13" t="n"/>
      <c r="BL24" s="13" t="n"/>
      <c r="BM24" s="13" t="n"/>
      <c r="BN24" s="13" t="n"/>
      <c r="BO24" s="13" t="n"/>
      <c r="BP24" s="13" t="n"/>
      <c r="BQ24" s="13" t="n"/>
    </row>
    <row r="25" hidden="1" customFormat="1" s="13">
      <c r="A25" s="175" t="inlineStr">
        <is>
          <t>I</t>
        </is>
      </c>
      <c r="B25" s="176">
        <f>IF(_epmOfflineCondition_,"C_INTERCO",EPMDimensionType(,A25))</f>
        <v/>
      </c>
      <c r="C25" s="672" t="inlineStr">
        <is>
          <t>I_DUMMY</t>
        </is>
      </c>
      <c r="D25" s="182">
        <f>IF(_epmOfflineCondition_,"I_DUMMY",EPMOlapMemberO(C25,"[C_INTERCO].[PARENTH1].[I_DUMMY]","I_DUMMY - 贸易伙伴无关","","000"))</f>
        <v/>
      </c>
      <c r="E25" s="180" t="n"/>
      <c r="F25" s="384" t="n"/>
      <c r="G25" s="384" t="n"/>
      <c r="H25" s="13" t="n"/>
      <c r="I25" s="13" t="n"/>
      <c r="J25" s="13" t="n"/>
      <c r="K25" s="13" t="n"/>
      <c r="L25" s="13" t="n"/>
      <c r="M25" s="13" t="n"/>
      <c r="N25" s="13" t="n"/>
      <c r="O25" s="13" t="n"/>
      <c r="P25" s="13" t="n"/>
      <c r="Q25" s="13" t="n"/>
      <c r="R25" s="13" t="n"/>
      <c r="S25" s="1103" t="n"/>
      <c r="T25" s="13" t="n"/>
      <c r="U25" s="35" t="n"/>
      <c r="V25" s="35" t="n"/>
      <c r="W25" s="13" t="n"/>
      <c r="X25" s="171" t="n"/>
      <c r="Y25" s="178" t="inlineStr">
        <is>
          <t>C1001</t>
        </is>
      </c>
      <c r="Z25" s="178" t="inlineStr">
        <is>
          <t>C1001</t>
        </is>
      </c>
      <c r="AA25" s="178" t="inlineStr">
        <is>
          <t>C1001</t>
        </is>
      </c>
      <c r="AB25" s="178" t="inlineStr">
        <is>
          <t>C1001</t>
        </is>
      </c>
      <c r="AC25" s="178" t="inlineStr">
        <is>
          <t>C1001</t>
        </is>
      </c>
      <c r="AD25" s="178" t="inlineStr">
        <is>
          <t>C1001</t>
        </is>
      </c>
      <c r="AE25" s="178" t="inlineStr">
        <is>
          <t>C1001</t>
        </is>
      </c>
      <c r="AF25" s="178" t="inlineStr">
        <is>
          <t>C1001</t>
        </is>
      </c>
      <c r="AG25" s="178" t="inlineStr">
        <is>
          <t>C1001</t>
        </is>
      </c>
      <c r="AH25" s="178" t="inlineStr">
        <is>
          <t>C1001</t>
        </is>
      </c>
      <c r="AI25" s="178" t="inlineStr">
        <is>
          <t>C1001</t>
        </is>
      </c>
      <c r="AJ25" s="178" t="inlineStr">
        <is>
          <t>C1001</t>
        </is>
      </c>
      <c r="AK25" s="178" t="inlineStr">
        <is>
          <t>C1001</t>
        </is>
      </c>
      <c r="AL25" s="178" t="inlineStr">
        <is>
          <t>C1001</t>
        </is>
      </c>
      <c r="AM25" s="178" t="inlineStr">
        <is>
          <t>C1001</t>
        </is>
      </c>
      <c r="AN25" s="178" t="inlineStr">
        <is>
          <t>C1001</t>
        </is>
      </c>
      <c r="AO25" s="13" t="n"/>
      <c r="AP25" s="13" t="n"/>
      <c r="AQ25" s="13" t="n"/>
      <c r="AR25" s="13" t="n"/>
      <c r="AS25" s="13" t="n"/>
      <c r="AT25" s="13" t="n"/>
      <c r="AU25" s="13" t="n"/>
      <c r="AV25" s="13" t="n"/>
      <c r="AW25" s="13" t="n"/>
      <c r="AX25" s="13" t="n"/>
      <c r="AY25" s="13" t="n"/>
      <c r="AZ25" s="13" t="n"/>
      <c r="BA25" s="13" t="n"/>
      <c r="BB25" s="13" t="n"/>
      <c r="BC25" s="13" t="n"/>
      <c r="BD25" s="13" t="n"/>
      <c r="BE25" s="13" t="n"/>
      <c r="BF25" s="13" t="n"/>
      <c r="BG25" s="13" t="n"/>
      <c r="BH25" s="13" t="n"/>
      <c r="BI25" s="13" t="n"/>
      <c r="BJ25" s="13" t="n"/>
      <c r="BK25" s="13" t="n"/>
      <c r="BL25" s="13" t="n"/>
      <c r="BM25" s="13" t="n"/>
      <c r="BN25" s="13" t="n"/>
      <c r="BO25" s="13" t="n"/>
      <c r="BP25" s="13" t="n"/>
      <c r="BQ25" s="13" t="n"/>
    </row>
    <row r="26" hidden="1" customFormat="1" s="13">
      <c r="A26" s="175" t="inlineStr">
        <is>
          <t>G</t>
        </is>
      </c>
      <c r="B26" s="176">
        <f>IF(_epmOfflineCondition_,"C_SCOPE",EPMDimensionType(,A26))</f>
        <v/>
      </c>
      <c r="C26" s="182">
        <f>E11</f>
        <v/>
      </c>
      <c r="D26" s="182">
        <f>IF(_epmOfflineCondition_,"G_DUMMY",EPMOlapMemberO(C26,"[C_SCOPE].[PARENTH1].[G_DUMMY]","G_DUMMY - 合并范围无关","","000"))</f>
        <v/>
      </c>
      <c r="E26" s="180" t="n"/>
      <c r="F26" s="384" t="n"/>
      <c r="G26" s="384" t="n"/>
      <c r="H26" s="13" t="n"/>
      <c r="I26" s="13" t="n"/>
      <c r="J26" s="13" t="n"/>
      <c r="K26" s="13" t="n"/>
      <c r="L26" s="13" t="n"/>
      <c r="M26" s="13" t="n"/>
      <c r="N26" s="13" t="n"/>
      <c r="O26" s="13" t="n"/>
      <c r="P26" s="13" t="n"/>
      <c r="Q26" s="13" t="n"/>
      <c r="R26" s="13" t="n"/>
      <c r="S26" s="1103" t="n"/>
      <c r="T26" s="13" t="n"/>
      <c r="U26" s="35" t="n"/>
      <c r="V26" s="35" t="n"/>
      <c r="W26" s="13" t="n"/>
      <c r="X26" s="171" t="n"/>
      <c r="Y26" s="178">
        <f>$I$11</f>
        <v/>
      </c>
      <c r="Z26" s="178">
        <f>$I$11</f>
        <v/>
      </c>
      <c r="AA26" s="178">
        <f>$I$11</f>
        <v/>
      </c>
      <c r="AB26" s="178">
        <f>$I$11</f>
        <v/>
      </c>
      <c r="AC26" s="178">
        <f>$I$11</f>
        <v/>
      </c>
      <c r="AD26" s="178">
        <f>$I$11</f>
        <v/>
      </c>
      <c r="AE26" s="178">
        <f>$I$11</f>
        <v/>
      </c>
      <c r="AF26" s="178">
        <f>$I$11</f>
        <v/>
      </c>
      <c r="AG26" s="178">
        <f>$I$11</f>
        <v/>
      </c>
      <c r="AH26" s="178">
        <f>$I$11</f>
        <v/>
      </c>
      <c r="AI26" s="178">
        <f>$I$11</f>
        <v/>
      </c>
      <c r="AJ26" s="178">
        <f>$I$11</f>
        <v/>
      </c>
      <c r="AK26" s="178">
        <f>$I$11</f>
        <v/>
      </c>
      <c r="AL26" s="178">
        <f>$I$11</f>
        <v/>
      </c>
      <c r="AM26" s="178">
        <f>$I$11</f>
        <v/>
      </c>
      <c r="AN26" s="178">
        <f>$I$11</f>
        <v/>
      </c>
      <c r="AO26" s="13" t="n"/>
      <c r="AP26" s="13" t="n"/>
      <c r="AQ26" s="13" t="n"/>
      <c r="AR26" s="13" t="n"/>
      <c r="AS26" s="13" t="n"/>
      <c r="AT26" s="13" t="n"/>
      <c r="AU26" s="13" t="n"/>
      <c r="AV26" s="13" t="n"/>
      <c r="AW26" s="13" t="n"/>
      <c r="AX26" s="13" t="n"/>
      <c r="AY26" s="13" t="n"/>
      <c r="AZ26" s="13" t="n"/>
      <c r="BA26" s="13" t="n"/>
      <c r="BB26" s="13" t="n"/>
      <c r="BC26" s="13" t="n"/>
      <c r="BD26" s="13" t="n"/>
      <c r="BE26" s="13" t="n"/>
      <c r="BF26" s="13" t="n"/>
      <c r="BG26" s="13" t="n"/>
      <c r="BH26" s="13" t="n"/>
      <c r="BI26" s="13" t="n"/>
      <c r="BJ26" s="13" t="n"/>
      <c r="BK26" s="13" t="n"/>
      <c r="BL26" s="13" t="n"/>
      <c r="BM26" s="13" t="n"/>
      <c r="BN26" s="13" t="n"/>
      <c r="BO26" s="13" t="n"/>
      <c r="BP26" s="13" t="n"/>
      <c r="BQ26" s="13" t="n"/>
    </row>
    <row r="27" hidden="1" customFormat="1" s="13">
      <c r="A27" s="175" t="inlineStr">
        <is>
          <t>U8</t>
        </is>
      </c>
      <c r="B27" s="176">
        <f>IF(_epmOfflineCondition_,"C_PROJECT",EPMDimensionType(,A27))</f>
        <v/>
      </c>
      <c r="C27" s="180" t="inlineStr">
        <is>
          <t>ZP_DUMMY</t>
        </is>
      </c>
      <c r="D27" s="182">
        <f>IF(_epmOfflineCondition_,"ZP_DUMMY",EPMOlapMemberO(C27,"[C_PROJECT].[PARENTH1].[ZP_DUMMY]","ZP_DUMMY - 项目无关","","000"))</f>
        <v/>
      </c>
      <c r="E27" s="180" t="n"/>
      <c r="F27" s="384" t="n"/>
      <c r="G27" s="384" t="n"/>
      <c r="H27" s="13" t="n"/>
      <c r="I27" s="13" t="n"/>
      <c r="J27" s="13" t="n"/>
      <c r="K27" s="13" t="n"/>
      <c r="L27" s="13" t="n"/>
      <c r="M27" s="13" t="n"/>
      <c r="N27" s="13" t="n"/>
      <c r="O27" s="13" t="n"/>
      <c r="P27" s="13" t="n"/>
      <c r="Q27" s="13" t="n"/>
      <c r="R27" s="13" t="n"/>
      <c r="S27" s="1103" t="n"/>
      <c r="T27" s="13" t="n"/>
      <c r="U27" s="35" t="n"/>
      <c r="V27" s="35" t="n"/>
      <c r="W27" s="13" t="n"/>
      <c r="X27" s="13" t="n"/>
      <c r="Y27" s="200" t="inlineStr">
        <is>
          <t>YTD</t>
        </is>
      </c>
      <c r="Z27" s="200" t="inlineStr">
        <is>
          <t>YTD</t>
        </is>
      </c>
      <c r="AA27" s="200" t="inlineStr">
        <is>
          <t>YTD</t>
        </is>
      </c>
      <c r="AB27" s="200" t="inlineStr">
        <is>
          <t>YTD</t>
        </is>
      </c>
      <c r="AC27" s="200" t="inlineStr">
        <is>
          <t>YTD</t>
        </is>
      </c>
      <c r="AD27" s="200" t="inlineStr">
        <is>
          <t>YTD</t>
        </is>
      </c>
      <c r="AE27" s="200" t="inlineStr">
        <is>
          <t>YTD</t>
        </is>
      </c>
      <c r="AF27" s="200" t="inlineStr">
        <is>
          <t>YTD</t>
        </is>
      </c>
      <c r="AG27" s="200" t="inlineStr">
        <is>
          <t>Periodic</t>
        </is>
      </c>
      <c r="AH27" s="200" t="inlineStr">
        <is>
          <t>Periodic</t>
        </is>
      </c>
      <c r="AI27" s="200" t="inlineStr">
        <is>
          <t>Periodic</t>
        </is>
      </c>
      <c r="AJ27" s="200" t="inlineStr">
        <is>
          <t>Periodic</t>
        </is>
      </c>
      <c r="AK27" s="200" t="inlineStr">
        <is>
          <t>Periodic</t>
        </is>
      </c>
      <c r="AL27" s="200" t="inlineStr">
        <is>
          <t>Periodic</t>
        </is>
      </c>
      <c r="AM27" s="200" t="inlineStr">
        <is>
          <t>Periodic</t>
        </is>
      </c>
      <c r="AN27" s="200" t="inlineStr">
        <is>
          <t>Periodic</t>
        </is>
      </c>
      <c r="AO27" s="13" t="n"/>
      <c r="AP27" s="13" t="n"/>
      <c r="AQ27" s="13" t="n"/>
      <c r="AR27" s="13" t="n"/>
      <c r="AS27" s="13" t="n"/>
      <c r="AT27" s="13" t="n"/>
      <c r="AU27" s="13" t="n"/>
      <c r="AV27" s="13" t="n"/>
      <c r="AW27" s="13" t="n"/>
      <c r="AX27" s="13" t="n"/>
      <c r="AY27" s="13" t="n"/>
      <c r="AZ27" s="13" t="n"/>
      <c r="BA27" s="13" t="n"/>
      <c r="BB27" s="13" t="n"/>
      <c r="BC27" s="13" t="n"/>
      <c r="BD27" s="13" t="n"/>
      <c r="BE27" s="13" t="n"/>
      <c r="BF27" s="13" t="n"/>
      <c r="BG27" s="13" t="n"/>
      <c r="BH27" s="13" t="n"/>
      <c r="BI27" s="13" t="n"/>
      <c r="BJ27" s="13" t="n"/>
      <c r="BK27" s="13" t="n"/>
      <c r="BL27" s="13" t="n"/>
      <c r="BM27" s="13" t="n"/>
      <c r="BN27" s="13" t="n"/>
      <c r="BO27" s="13" t="n"/>
      <c r="BP27" s="13" t="n"/>
      <c r="BQ27" s="13" t="n"/>
    </row>
    <row r="28" hidden="1" customFormat="1" s="13">
      <c r="A28" s="175" t="inlineStr">
        <is>
          <t>U9</t>
        </is>
      </c>
      <c r="B28" s="176">
        <f>IF(_epmOfflineCondition_,"C_ITEM",EPMDimensionType(,A28))</f>
        <v/>
      </c>
      <c r="C28" s="180" t="inlineStr">
        <is>
          <t>ZI_DUMMY</t>
        </is>
      </c>
      <c r="D28" s="182">
        <f>IF(_epmOfflineCondition_,"ZI_DUMMY",EPMOlapMemberO(C28,"[C_ITEM].[PARENTH1].[ZI_DUMMY]","ZI_DUMMY - 与子项无关","","000"))</f>
        <v/>
      </c>
      <c r="E28" s="180" t="n"/>
      <c r="F28" s="384" t="n"/>
      <c r="G28" s="384" t="n"/>
      <c r="H28" s="13" t="n"/>
      <c r="I28" s="13" t="n"/>
      <c r="J28" s="13" t="n"/>
      <c r="K28" s="13" t="n"/>
      <c r="L28" s="13" t="n"/>
      <c r="M28" s="13" t="n"/>
      <c r="N28" s="13" t="n"/>
      <c r="O28" s="13" t="n"/>
      <c r="P28" s="13" t="n"/>
      <c r="Q28" s="13" t="n"/>
      <c r="R28" s="13" t="n"/>
      <c r="S28" s="13" t="n"/>
      <c r="T28" s="13" t="n"/>
      <c r="U28" s="35" t="n"/>
      <c r="V28" s="35" t="n"/>
      <c r="W28" s="13" t="n"/>
      <c r="X28" s="171" t="n"/>
      <c r="Y28" s="200" t="inlineStr">
        <is>
          <t>F20</t>
        </is>
      </c>
      <c r="Z28" s="200" t="inlineStr">
        <is>
          <t>F20</t>
        </is>
      </c>
      <c r="AA28" s="200" t="inlineStr">
        <is>
          <t>F20</t>
        </is>
      </c>
      <c r="AB28" s="200" t="inlineStr">
        <is>
          <t>F20</t>
        </is>
      </c>
      <c r="AC28" s="200" t="inlineStr">
        <is>
          <t>F20</t>
        </is>
      </c>
      <c r="AD28" s="200" t="inlineStr">
        <is>
          <t>F20</t>
        </is>
      </c>
      <c r="AE28" s="200" t="inlineStr">
        <is>
          <t>F20</t>
        </is>
      </c>
      <c r="AF28" s="200" t="inlineStr">
        <is>
          <t>F20</t>
        </is>
      </c>
      <c r="AG28" s="200" t="inlineStr">
        <is>
          <t>F20</t>
        </is>
      </c>
      <c r="AH28" s="200" t="inlineStr">
        <is>
          <t>F20</t>
        </is>
      </c>
      <c r="AI28" s="200" t="inlineStr">
        <is>
          <t>F20</t>
        </is>
      </c>
      <c r="AJ28" s="200" t="inlineStr">
        <is>
          <t>F20</t>
        </is>
      </c>
      <c r="AK28" s="200" t="inlineStr">
        <is>
          <t>F20</t>
        </is>
      </c>
      <c r="AL28" s="200" t="inlineStr">
        <is>
          <t>F20</t>
        </is>
      </c>
      <c r="AM28" s="200" t="inlineStr">
        <is>
          <t>F20</t>
        </is>
      </c>
      <c r="AN28" s="200" t="inlineStr">
        <is>
          <t>F20</t>
        </is>
      </c>
      <c r="AO28" s="13" t="n"/>
      <c r="AP28" s="13" t="n"/>
      <c r="AQ28" s="13" t="n"/>
      <c r="AR28" s="13" t="n"/>
      <c r="AS28" s="13" t="n"/>
      <c r="AT28" s="13" t="n"/>
      <c r="AU28" s="13" t="n"/>
      <c r="AV28" s="13" t="n"/>
      <c r="AW28" s="13" t="n"/>
      <c r="AX28" s="13" t="n"/>
      <c r="AY28" s="13" t="n"/>
      <c r="AZ28" s="13" t="n"/>
      <c r="BA28" s="13" t="n"/>
      <c r="BB28" s="13" t="n"/>
      <c r="BC28" s="13" t="n"/>
      <c r="BD28" s="13" t="n"/>
      <c r="BE28" s="13" t="n"/>
      <c r="BF28" s="13" t="n"/>
      <c r="BG28" s="13" t="n"/>
      <c r="BH28" s="13" t="n"/>
      <c r="BI28" s="13" t="n"/>
      <c r="BJ28" s="13" t="n"/>
      <c r="BK28" s="13" t="n"/>
      <c r="BL28" s="13" t="n"/>
      <c r="BM28" s="13" t="n"/>
      <c r="BN28" s="13" t="n"/>
      <c r="BO28" s="13" t="n"/>
      <c r="BP28" s="13" t="n"/>
      <c r="BQ28" s="13" t="n"/>
    </row>
    <row r="29" hidden="1" customFormat="1" s="13">
      <c r="A29" s="175" t="inlineStr">
        <is>
          <t>U10</t>
        </is>
      </c>
      <c r="B29" s="176">
        <f>IF(_epmOfflineCondition_,"C_MISK",EPMDimensionType(,A29))</f>
        <v/>
      </c>
      <c r="C29" s="672" t="inlineStr">
        <is>
          <t>ZM_DUMMY</t>
        </is>
      </c>
      <c r="D29" s="13" t="n"/>
      <c r="E29" s="180" t="n"/>
      <c r="F29" s="384" t="n"/>
      <c r="G29" s="384" t="n"/>
      <c r="H29" s="13" t="n"/>
      <c r="I29" s="13" t="n"/>
      <c r="J29" s="13" t="n"/>
      <c r="K29" s="13" t="n"/>
      <c r="L29" s="13" t="n"/>
      <c r="M29" s="13" t="n"/>
      <c r="N29" s="13" t="n"/>
      <c r="O29" s="13" t="n"/>
      <c r="P29" s="13" t="n"/>
      <c r="Q29" s="13" t="n"/>
      <c r="R29" s="13" t="n"/>
      <c r="S29" s="1103" t="n"/>
      <c r="T29" s="13" t="n"/>
      <c r="U29" s="35" t="n"/>
      <c r="V29" s="35" t="n"/>
      <c r="W29" s="13" t="n"/>
      <c r="X29" s="171" t="n"/>
      <c r="Y29" s="178" t="inlineStr">
        <is>
          <t>ZM030</t>
        </is>
      </c>
      <c r="Z29" s="178" t="inlineStr">
        <is>
          <t>ZM0300101</t>
        </is>
      </c>
      <c r="AA29" s="178" t="inlineStr">
        <is>
          <t>ZM0300102</t>
        </is>
      </c>
      <c r="AB29" s="178" t="inlineStr">
        <is>
          <t>ZM0300103</t>
        </is>
      </c>
      <c r="AC29" s="178" t="inlineStr">
        <is>
          <t>ZM0300104</t>
        </is>
      </c>
      <c r="AD29" s="178" t="inlineStr">
        <is>
          <t>ZM0300105</t>
        </is>
      </c>
      <c r="AE29" s="178" t="inlineStr">
        <is>
          <t>ZM0300201</t>
        </is>
      </c>
      <c r="AF29" s="178" t="inlineStr">
        <is>
          <t>ZM0300202</t>
        </is>
      </c>
      <c r="AG29" s="178" t="inlineStr">
        <is>
          <t>ZM030</t>
        </is>
      </c>
      <c r="AH29" s="178" t="inlineStr">
        <is>
          <t>ZM0300101</t>
        </is>
      </c>
      <c r="AI29" s="178" t="inlineStr">
        <is>
          <t>ZM0300102</t>
        </is>
      </c>
      <c r="AJ29" s="178" t="inlineStr">
        <is>
          <t>ZM0300103</t>
        </is>
      </c>
      <c r="AK29" s="178" t="inlineStr">
        <is>
          <t>ZM0300104</t>
        </is>
      </c>
      <c r="AL29" s="178" t="inlineStr">
        <is>
          <t>ZM0300105</t>
        </is>
      </c>
      <c r="AM29" s="178" t="inlineStr">
        <is>
          <t>ZM0300201</t>
        </is>
      </c>
      <c r="AN29" s="178" t="inlineStr">
        <is>
          <t>ZM0300202</t>
        </is>
      </c>
      <c r="AO29" s="13" t="n"/>
      <c r="AP29" s="13" t="n"/>
      <c r="AQ29" s="13" t="n"/>
      <c r="AR29" s="13" t="n"/>
      <c r="AS29" s="13" t="n"/>
      <c r="AT29" s="13" t="n"/>
      <c r="AU29" s="13" t="n"/>
      <c r="AV29" s="13" t="n"/>
      <c r="AW29" s="13" t="n"/>
      <c r="AX29" s="13" t="n"/>
      <c r="AY29" s="13" t="n"/>
      <c r="AZ29" s="13" t="n"/>
      <c r="BA29" s="13" t="n"/>
      <c r="BB29" s="13" t="n"/>
      <c r="BC29" s="13" t="n"/>
      <c r="BD29" s="13" t="n"/>
      <c r="BE29" s="13" t="n"/>
      <c r="BF29" s="13" t="n"/>
      <c r="BG29" s="13" t="n"/>
      <c r="BH29" s="13" t="n"/>
      <c r="BI29" s="13" t="n"/>
      <c r="BJ29" s="13" t="n"/>
      <c r="BK29" s="13" t="n"/>
      <c r="BL29" s="13" t="n"/>
      <c r="BM29" s="13" t="n"/>
      <c r="BN29" s="13" t="n"/>
      <c r="BO29" s="13" t="n"/>
      <c r="BP29" s="13" t="n"/>
      <c r="BQ29" s="13" t="n"/>
    </row>
    <row r="30" hidden="1" customFormat="1" s="13">
      <c r="A30" s="175" t="n"/>
      <c r="B30" s="175">
        <f>IF(_epmOfflineCondition_,"",EPMDimensionType(,A30))</f>
        <v/>
      </c>
      <c r="C30" s="182" t="inlineStr">
        <is>
          <t>PERIODIC</t>
        </is>
      </c>
      <c r="D30" s="390" t="n"/>
      <c r="E30" s="180" t="n"/>
      <c r="F30" s="384" t="n"/>
      <c r="G30" s="384" t="n"/>
      <c r="H30" s="13" t="n"/>
      <c r="I30" s="13" t="n"/>
      <c r="J30" s="13" t="n"/>
      <c r="K30" s="13" t="n"/>
      <c r="L30" s="13" t="n"/>
      <c r="M30" s="13" t="n"/>
      <c r="N30" s="13" t="n"/>
      <c r="O30" s="13" t="n"/>
      <c r="P30" s="13" t="n"/>
      <c r="Q30" s="13" t="n"/>
      <c r="R30" s="13" t="n"/>
      <c r="S30" s="13" t="n"/>
      <c r="T30" s="13" t="n"/>
      <c r="U30" s="35" t="n"/>
      <c r="V30" s="35" t="n"/>
      <c r="W30" s="13" t="n"/>
      <c r="X30" s="171" t="n"/>
      <c r="Y30" s="13" t="n"/>
      <c r="Z30" s="13" t="n"/>
      <c r="AA30" s="13" t="n"/>
      <c r="AB30" s="13" t="n"/>
      <c r="AC30" s="13" t="n"/>
      <c r="AD30" s="220" t="n"/>
      <c r="AE30" s="13" t="n"/>
      <c r="AF30" s="13" t="n"/>
      <c r="AG30" s="13" t="n"/>
      <c r="AH30" s="13" t="n"/>
      <c r="AI30" s="13" t="n"/>
      <c r="AJ30" s="13" t="n"/>
      <c r="AK30" s="13" t="n"/>
      <c r="AL30" s="13" t="n"/>
      <c r="AM30" s="13" t="n"/>
      <c r="AN30" s="13" t="n"/>
      <c r="AO30" s="13" t="n"/>
      <c r="AP30" s="13" t="n"/>
      <c r="AQ30" s="13" t="n"/>
      <c r="AR30" s="13" t="n"/>
      <c r="AS30" s="13" t="n"/>
      <c r="AT30" s="13" t="n"/>
      <c r="AU30" s="13" t="n"/>
      <c r="AV30" s="13" t="n"/>
      <c r="AW30" s="13" t="n"/>
      <c r="AX30" s="13" t="n"/>
      <c r="AY30" s="13" t="n"/>
      <c r="AZ30" s="13" t="n"/>
      <c r="BA30" s="13" t="n"/>
      <c r="BB30" s="13" t="n"/>
      <c r="BC30" s="13" t="n"/>
      <c r="BD30" s="13" t="n"/>
      <c r="BE30" s="13" t="n"/>
      <c r="BF30" s="13" t="n"/>
      <c r="BG30" s="13" t="n"/>
      <c r="BH30" s="13" t="n"/>
      <c r="BI30" s="13" t="n"/>
      <c r="BJ30" s="13" t="n"/>
      <c r="BK30" s="13" t="n"/>
      <c r="BL30" s="13" t="n"/>
      <c r="BM30" s="13" t="n"/>
      <c r="BN30" s="13" t="n"/>
      <c r="BO30" s="13" t="n"/>
      <c r="BP30" s="13" t="n"/>
      <c r="BQ30" s="13" t="n"/>
    </row>
    <row r="31" hidden="1" customFormat="1" s="13">
      <c r="A31" s="13" t="n"/>
      <c r="B31" s="1103" t="n"/>
      <c r="C31" s="1103" t="n"/>
      <c r="D31" s="1103" t="n"/>
      <c r="E31" s="13" t="n"/>
      <c r="F31" s="13" t="n"/>
      <c r="G31" s="13" t="n"/>
      <c r="H31" s="13" t="n"/>
      <c r="I31" s="13" t="n"/>
      <c r="J31" s="13" t="n"/>
      <c r="K31" s="13" t="n"/>
      <c r="L31" s="13" t="n"/>
      <c r="M31" s="13" t="n"/>
      <c r="N31" s="13" t="n"/>
      <c r="O31" s="13" t="n"/>
      <c r="P31" s="13" t="n"/>
      <c r="Q31" s="13" t="n"/>
      <c r="R31" s="13" t="n"/>
      <c r="S31" s="13" t="n"/>
      <c r="T31" s="13" t="n"/>
      <c r="U31" s="35" t="n"/>
      <c r="V31" s="35" t="n"/>
      <c r="W31" s="13" t="n"/>
      <c r="X31" s="171" t="n"/>
      <c r="Y31" s="384" t="n"/>
      <c r="Z31" s="384" t="n"/>
      <c r="AA31" s="13" t="n"/>
      <c r="AB31" s="13" t="n"/>
      <c r="AC31" s="13" t="n"/>
      <c r="AD31" s="220" t="n"/>
      <c r="AE31" s="13" t="n"/>
      <c r="AF31" s="13" t="n"/>
      <c r="AG31" s="13" t="n"/>
      <c r="AH31" s="13" t="n"/>
      <c r="AI31" s="13" t="n"/>
      <c r="AJ31" s="13" t="n"/>
      <c r="AK31" s="13" t="n"/>
      <c r="AL31" s="13" t="n"/>
      <c r="AM31" s="13" t="n"/>
      <c r="AN31" s="13" t="n"/>
      <c r="AO31" s="13" t="n"/>
      <c r="AP31" s="13" t="n"/>
      <c r="AQ31" s="13" t="n"/>
      <c r="AR31" s="13" t="n"/>
      <c r="AS31" s="13" t="n"/>
      <c r="AT31" s="13" t="n"/>
      <c r="AU31" s="13" t="n"/>
      <c r="AV31" s="13" t="n"/>
      <c r="AW31" s="13" t="n"/>
      <c r="AX31" s="13" t="n"/>
      <c r="AY31" s="13" t="n"/>
      <c r="AZ31" s="13" t="n"/>
      <c r="BA31" s="13" t="n"/>
      <c r="BB31" s="13" t="n"/>
      <c r="BC31" s="13" t="n"/>
      <c r="BD31" s="13" t="n"/>
      <c r="BE31" s="13" t="n"/>
      <c r="BF31" s="13" t="n"/>
      <c r="BG31" s="13" t="n"/>
      <c r="BH31" s="13" t="n"/>
      <c r="BI31" s="13" t="n"/>
      <c r="BJ31" s="13" t="n"/>
      <c r="BK31" s="13" t="n"/>
      <c r="BL31" s="13" t="n"/>
      <c r="BM31" s="13" t="n"/>
      <c r="BN31" s="13" t="n"/>
      <c r="BO31" s="13" t="n"/>
      <c r="BP31" s="13" t="n"/>
      <c r="BQ31" s="13" t="n"/>
    </row>
    <row r="32" hidden="1" customFormat="1" s="13">
      <c r="A32" s="13" t="n"/>
      <c r="B32" s="1103" t="n"/>
      <c r="C32" s="1103" t="n"/>
      <c r="D32" s="1103" t="n"/>
      <c r="E32" s="13" t="n"/>
      <c r="F32" s="13" t="n"/>
      <c r="G32" s="13" t="n"/>
      <c r="H32" s="13" t="n"/>
      <c r="I32" s="13" t="n"/>
      <c r="J32" s="13" t="n"/>
      <c r="K32" s="13" t="n"/>
      <c r="L32" s="13" t="n"/>
      <c r="M32" s="13" t="n"/>
      <c r="N32" s="13" t="n"/>
      <c r="O32" s="13" t="n"/>
      <c r="P32" s="13" t="n"/>
      <c r="Q32" s="13" t="n"/>
      <c r="R32" s="13" t="n"/>
      <c r="S32" s="13" t="n"/>
      <c r="T32" s="13" t="n"/>
      <c r="U32" s="13" t="n"/>
      <c r="V32" s="13" t="n"/>
      <c r="W32" s="13" t="n"/>
      <c r="X32" s="171" t="n"/>
      <c r="Y32" s="13" t="n"/>
      <c r="Z32" s="13" t="n"/>
      <c r="AA32" s="13" t="n"/>
      <c r="AB32" s="13" t="n"/>
      <c r="AC32" s="13" t="n"/>
      <c r="AD32" s="220" t="n"/>
      <c r="AE32" s="13" t="n"/>
      <c r="AF32" s="13" t="n"/>
      <c r="AG32" s="13" t="n"/>
      <c r="AH32" s="13" t="n"/>
      <c r="AI32" s="13" t="n"/>
      <c r="AJ32" s="13" t="n"/>
      <c r="AK32" s="13" t="n"/>
      <c r="AL32" s="13" t="n"/>
      <c r="AM32" s="13" t="n"/>
      <c r="AN32" s="13" t="n"/>
      <c r="AO32" s="13" t="n"/>
      <c r="AP32" s="13" t="n"/>
      <c r="AQ32" s="13" t="n"/>
      <c r="AR32" s="13" t="n"/>
      <c r="AS32" s="13" t="n"/>
      <c r="AT32" s="13" t="n"/>
      <c r="AU32" s="13" t="n"/>
      <c r="AV32" s="13" t="n"/>
      <c r="AW32" s="13" t="n"/>
      <c r="AX32" s="13" t="n"/>
      <c r="AY32" s="13" t="n"/>
      <c r="AZ32" s="13" t="n"/>
      <c r="BA32" s="13" t="n"/>
      <c r="BB32" s="13" t="n"/>
      <c r="BC32" s="13" t="n"/>
      <c r="BD32" s="13" t="n"/>
      <c r="BE32" s="13" t="n"/>
      <c r="BF32" s="13" t="n"/>
      <c r="BG32" s="13" t="n"/>
      <c r="BH32" s="13" t="n"/>
      <c r="BI32" s="13" t="n"/>
      <c r="BJ32" s="13" t="n"/>
      <c r="BK32" s="13" t="n"/>
      <c r="BL32" s="13" t="n"/>
      <c r="BM32" s="13" t="n"/>
      <c r="BN32" s="13" t="n"/>
      <c r="BO32" s="13" t="n"/>
      <c r="BP32" s="13" t="n"/>
      <c r="BQ32" s="13" t="n"/>
    </row>
    <row r="33" hidden="1" customFormat="1" s="13">
      <c r="A33" s="13" t="n"/>
      <c r="B33" s="1103" t="n"/>
      <c r="C33" s="1103" t="n"/>
      <c r="D33" s="1103" t="n"/>
      <c r="E33" s="13" t="n"/>
      <c r="F33" s="13" t="n"/>
      <c r="G33" s="13" t="n"/>
      <c r="H33" s="13" t="n"/>
      <c r="I33" s="13" t="n"/>
      <c r="J33" s="13" t="n"/>
      <c r="K33" s="13" t="n"/>
      <c r="L33" s="13" t="n"/>
      <c r="M33" s="13" t="n"/>
      <c r="N33" s="13" t="n"/>
      <c r="O33" s="13" t="n"/>
      <c r="P33" s="13" t="n"/>
      <c r="Q33" s="13" t="n"/>
      <c r="R33" s="13" t="n"/>
      <c r="S33" s="13" t="n"/>
      <c r="T33" s="13" t="n"/>
      <c r="U33" s="13" t="n"/>
      <c r="V33" s="13" t="n"/>
      <c r="W33" s="13" t="n"/>
      <c r="X33" s="171" t="n"/>
      <c r="Y33" s="13" t="n"/>
      <c r="Z33" s="13" t="n"/>
      <c r="AA33" s="13" t="n"/>
      <c r="AB33" s="13" t="n"/>
      <c r="AC33" s="13" t="n"/>
      <c r="AD33" s="220" t="n"/>
      <c r="AE33" s="13" t="n"/>
      <c r="AF33" s="13" t="n"/>
      <c r="AG33" s="13" t="n"/>
      <c r="AH33" s="13" t="n"/>
      <c r="AI33" s="13" t="n"/>
      <c r="AJ33" s="13" t="n"/>
      <c r="AK33" s="13" t="n"/>
      <c r="AL33" s="13" t="n"/>
      <c r="AM33" s="13" t="n"/>
      <c r="AN33" s="13" t="n"/>
      <c r="AO33" s="13" t="n"/>
      <c r="AP33" s="13" t="n"/>
      <c r="AQ33" s="13" t="n"/>
      <c r="AR33" s="13" t="n"/>
      <c r="AS33" s="13" t="n"/>
      <c r="AT33" s="13" t="n"/>
      <c r="AU33" s="13" t="n"/>
      <c r="AV33" s="13" t="n"/>
      <c r="AW33" s="13" t="n"/>
      <c r="AX33" s="13" t="n"/>
      <c r="AY33" s="13" t="n"/>
      <c r="AZ33" s="13" t="n"/>
      <c r="BA33" s="13" t="n"/>
      <c r="BB33" s="13" t="n"/>
      <c r="BC33" s="13" t="n"/>
      <c r="BD33" s="13" t="n"/>
      <c r="BE33" s="13" t="n"/>
      <c r="BF33" s="13" t="n"/>
      <c r="BG33" s="13" t="n"/>
      <c r="BH33" s="13" t="n"/>
      <c r="BI33" s="13" t="n"/>
      <c r="BJ33" s="13" t="n"/>
      <c r="BK33" s="13" t="n"/>
      <c r="BL33" s="13" t="n"/>
      <c r="BM33" s="13" t="n"/>
      <c r="BN33" s="13" t="n"/>
      <c r="BO33" s="13" t="n"/>
      <c r="BP33" s="13" t="n"/>
      <c r="BQ33" s="13" t="n"/>
    </row>
    <row r="34" ht="10.5" customFormat="1" customHeight="1" s="13">
      <c r="A34" s="13" t="n"/>
      <c r="B34" s="1103" t="n"/>
      <c r="C34" s="1103" t="n"/>
      <c r="D34" s="1103" t="n"/>
      <c r="E34" s="13" t="n"/>
      <c r="F34" s="13" t="n"/>
      <c r="G34" s="13" t="n"/>
      <c r="H34" s="13" t="n"/>
      <c r="I34" s="13" t="n"/>
      <c r="J34" s="13" t="n"/>
      <c r="K34" s="13" t="n"/>
      <c r="L34" s="13" t="n"/>
      <c r="M34" s="13" t="n"/>
      <c r="N34" s="13" t="n"/>
      <c r="O34" s="13" t="n"/>
      <c r="P34" s="13" t="n"/>
      <c r="Q34" s="13" t="n"/>
      <c r="R34" s="13" t="n"/>
      <c r="S34" s="13" t="n"/>
      <c r="T34" s="13" t="n"/>
      <c r="U34" s="13" t="n"/>
      <c r="V34" s="13" t="n"/>
      <c r="W34" s="13" t="n"/>
      <c r="X34" s="171" t="n"/>
      <c r="Y34" s="13" t="n"/>
      <c r="Z34" s="13" t="n"/>
      <c r="AA34" s="13" t="n"/>
      <c r="AB34" s="13" t="n"/>
      <c r="AC34" s="13" t="n"/>
      <c r="AD34" s="220" t="n"/>
      <c r="AE34" s="13" t="n"/>
      <c r="AF34" s="13" t="n"/>
      <c r="AG34" s="13" t="n"/>
      <c r="AH34" s="13" t="n"/>
      <c r="AI34" s="13" t="n"/>
      <c r="AJ34" s="13" t="n"/>
      <c r="AK34" s="13" t="n"/>
      <c r="AL34" s="13" t="n"/>
      <c r="AM34" s="13" t="n"/>
      <c r="AN34" s="13" t="n"/>
      <c r="AO34" s="13" t="n"/>
      <c r="AP34" s="13" t="n"/>
      <c r="AQ34" s="13" t="n"/>
      <c r="AR34" s="13" t="n"/>
      <c r="AS34" s="13" t="n"/>
      <c r="AT34" s="13" t="n"/>
      <c r="AU34" s="13" t="n"/>
      <c r="AV34" s="13" t="n"/>
      <c r="AW34" s="13" t="n"/>
      <c r="AX34" s="13" t="n"/>
      <c r="AY34" s="13" t="n"/>
      <c r="AZ34" s="13" t="n"/>
      <c r="BA34" s="13" t="n"/>
      <c r="BB34" s="13" t="n"/>
      <c r="BC34" s="13" t="n"/>
      <c r="BD34" s="13" t="n"/>
      <c r="BE34" s="13" t="n"/>
      <c r="BF34" s="13" t="n"/>
      <c r="BG34" s="13" t="n"/>
      <c r="BH34" s="13" t="n"/>
      <c r="BI34" s="13" t="n"/>
      <c r="BJ34" s="13" t="n"/>
      <c r="BK34" s="13" t="n"/>
      <c r="BL34" s="13" t="n"/>
      <c r="BM34" s="13" t="n"/>
      <c r="BN34" s="13" t="n"/>
      <c r="BO34" s="13" t="n"/>
      <c r="BP34" s="13" t="n"/>
      <c r="BQ34" s="13" t="n"/>
    </row>
    <row r="35" ht="32.25" customHeight="1" s="1181">
      <c r="A35" s="384" t="n"/>
      <c r="B35" s="384" t="n"/>
      <c r="C35" s="384" t="n"/>
      <c r="D35" s="384" t="n"/>
      <c r="E35" s="384" t="n"/>
      <c r="F35" s="384" t="n"/>
      <c r="G35" s="384" t="n"/>
      <c r="H35" s="384" t="n"/>
      <c r="I35" s="384" t="n"/>
      <c r="J35" s="384" t="n"/>
      <c r="K35" s="384" t="n"/>
      <c r="L35" s="384" t="n"/>
      <c r="M35" s="384" t="n"/>
      <c r="N35" s="384" t="n"/>
      <c r="O35" s="384" t="n"/>
      <c r="P35" s="384" t="n"/>
      <c r="Q35" s="384" t="n"/>
      <c r="R35" s="384" t="n"/>
      <c r="S35" s="32" t="n"/>
      <c r="T35" s="384" t="n"/>
      <c r="U35" s="384" t="n"/>
      <c r="V35" s="384" t="n"/>
      <c r="W35" s="384" t="n"/>
      <c r="X35" s="38" t="n"/>
      <c r="Y35" s="38" t="n"/>
      <c r="Z35" s="384" t="n"/>
      <c r="AA35" s="384" t="n"/>
      <c r="AB35" s="201" t="inlineStr">
        <is>
          <t>其他费用表（发电企业）</t>
        </is>
      </c>
      <c r="AC35" s="384" t="n"/>
      <c r="AD35" s="384" t="n"/>
      <c r="AE35" s="384" t="n"/>
      <c r="AF35" s="384" t="n"/>
      <c r="AG35" s="384" t="n"/>
      <c r="AH35" s="384" t="n"/>
      <c r="AI35" s="384" t="n"/>
      <c r="AJ35" s="384" t="n"/>
      <c r="AK35" s="384" t="n"/>
      <c r="AL35" s="384" t="n"/>
      <c r="AM35" s="384" t="n"/>
      <c r="AN35" s="384" t="n"/>
      <c r="AO35" s="384" t="n"/>
      <c r="AP35" s="384" t="n"/>
      <c r="AQ35" s="384" t="n"/>
      <c r="AR35" s="384" t="n"/>
      <c r="AS35" s="384" t="n"/>
      <c r="AT35" s="384" t="n"/>
      <c r="AU35" s="384" t="n"/>
      <c r="AV35" s="384" t="n"/>
      <c r="AW35" s="384" t="n"/>
      <c r="AX35" s="384" t="n"/>
      <c r="AY35" s="384" t="n"/>
      <c r="AZ35" s="384" t="n"/>
      <c r="BA35" s="384" t="n"/>
      <c r="BB35" s="384" t="n"/>
      <c r="BC35" s="384" t="n"/>
      <c r="BD35" s="384" t="n"/>
      <c r="BE35" s="384" t="n"/>
      <c r="BF35" s="384" t="n"/>
      <c r="BG35" s="384" t="n"/>
      <c r="BH35" s="384" t="n"/>
      <c r="BI35" s="384" t="n"/>
      <c r="BJ35" s="384" t="n"/>
      <c r="BK35" s="384" t="n"/>
      <c r="BL35" s="384" t="n"/>
      <c r="BM35" s="384" t="n"/>
      <c r="BN35" s="384" t="n"/>
      <c r="BO35" s="384" t="n"/>
      <c r="BP35" s="384" t="n"/>
      <c r="BQ35" s="384" t="n"/>
    </row>
    <row r="36" customFormat="1" s="716">
      <c r="A36" s="716" t="n"/>
      <c r="B36" s="716" t="n"/>
      <c r="C36" s="716" t="n"/>
      <c r="D36" s="716" t="n"/>
      <c r="E36" s="716" t="n"/>
      <c r="F36" s="716" t="n"/>
      <c r="G36" s="716" t="n"/>
      <c r="H36" s="716" t="n"/>
      <c r="I36" s="716" t="n"/>
      <c r="J36" s="716" t="n"/>
      <c r="K36" s="716" t="n"/>
      <c r="L36" s="716" t="n"/>
      <c r="M36" s="716" t="n"/>
      <c r="N36" s="716" t="n"/>
      <c r="O36" s="716" t="n"/>
      <c r="P36" s="716" t="n"/>
      <c r="Q36" s="716" t="n"/>
      <c r="R36" s="716" t="n"/>
      <c r="S36" s="462" t="n"/>
      <c r="T36" s="716" t="n"/>
      <c r="U36" s="716" t="n"/>
      <c r="V36" s="716" t="n"/>
      <c r="W36" s="716" t="n"/>
      <c r="X36" s="190">
        <f>IF(_epmOfflineCondition_,"编制单位：内蒙古京能苏尼特风力发电有限公司（内蒙古分公司）","编制单位："&amp;EPMMemberDesc($D$6))</f>
        <v/>
      </c>
      <c r="Y36" s="716" t="n"/>
      <c r="Z36" s="202" t="inlineStr">
        <is>
          <t>🔺外币单位请直接填写折算后的人民币数。</t>
        </is>
      </c>
      <c r="AA36" s="203" t="n"/>
      <c r="AB36" s="716" t="n"/>
      <c r="AC36" s="716" t="n"/>
      <c r="AD36" s="716" t="n"/>
      <c r="AE36" s="716" t="n"/>
      <c r="AF36" s="716" t="n"/>
      <c r="AG36" s="716" t="n"/>
      <c r="AH36" s="716" t="n"/>
      <c r="AI36" s="716" t="n"/>
      <c r="AJ36" s="716" t="n"/>
      <c r="AK36" s="716" t="n"/>
      <c r="AL36" s="716" t="n"/>
      <c r="AM36" s="716" t="n"/>
      <c r="AN36" s="716" t="n"/>
      <c r="AO36" s="716" t="n"/>
      <c r="AP36" s="716" t="n"/>
      <c r="AQ36" s="716" t="n"/>
      <c r="AR36" s="716" t="n"/>
      <c r="AS36" s="716" t="n"/>
      <c r="AT36" s="716" t="n"/>
      <c r="AU36" s="716" t="n"/>
      <c r="AV36" s="716" t="n"/>
      <c r="AW36" s="716" t="n"/>
      <c r="AX36" s="716" t="n"/>
      <c r="AY36" s="716" t="n"/>
      <c r="AZ36" s="716" t="n"/>
      <c r="BA36" s="716" t="n"/>
      <c r="BB36" s="716" t="n"/>
      <c r="BC36" s="716" t="n"/>
      <c r="BD36" s="716" t="n"/>
      <c r="BE36" s="716" t="n"/>
      <c r="BF36" s="716" t="n"/>
      <c r="BG36" s="716" t="n"/>
      <c r="BH36" s="716" t="n"/>
      <c r="BI36" s="716" t="n"/>
      <c r="BJ36" s="716" t="n"/>
      <c r="BK36" s="716" t="n"/>
      <c r="BL36" s="716" t="n"/>
      <c r="BM36" s="716" t="n"/>
      <c r="BN36" s="716" t="n"/>
      <c r="BO36" s="716" t="n"/>
      <c r="BP36" s="716" t="n"/>
      <c r="BQ36" s="716" t="n"/>
    </row>
    <row r="37" ht="15.2" customFormat="1" customHeight="1" s="716">
      <c r="A37" s="716" t="n"/>
      <c r="B37" s="716" t="n"/>
      <c r="C37" s="716" t="n"/>
      <c r="D37" s="716" t="n"/>
      <c r="E37" s="716" t="n"/>
      <c r="F37" s="716" t="n"/>
      <c r="G37" s="716" t="n"/>
      <c r="H37" s="716" t="n"/>
      <c r="I37" s="716" t="n"/>
      <c r="J37" s="716" t="n"/>
      <c r="K37" s="716" t="n"/>
      <c r="L37" s="716" t="n"/>
      <c r="M37" s="716" t="n"/>
      <c r="N37" s="716" t="n"/>
      <c r="O37" s="716" t="n"/>
      <c r="P37" s="716" t="n"/>
      <c r="Q37" s="716" t="n"/>
      <c r="R37" s="716" t="n"/>
      <c r="S37" s="462" t="n"/>
      <c r="T37" s="716" t="n"/>
      <c r="U37" s="716" t="n"/>
      <c r="V37" s="716" t="n"/>
      <c r="W37" s="716" t="n"/>
      <c r="X37" s="190">
        <f>"编制月份："&amp;$I$3&amp;"年"&amp;$I$8&amp;"月"</f>
        <v/>
      </c>
      <c r="Y37" s="716" t="n"/>
      <c r="Z37" s="204" t="inlineStr">
        <is>
          <t>审计线索：</t>
        </is>
      </c>
      <c r="AA37" s="182" t="inlineStr">
        <is>
          <t>单体录入</t>
        </is>
      </c>
      <c r="AB37" s="716" t="n"/>
      <c r="AC37" s="716" t="n"/>
      <c r="AD37" s="716" t="n"/>
      <c r="AE37" s="716" t="n"/>
      <c r="AF37" s="223" t="inlineStr">
        <is>
          <t>金额单位：元</t>
        </is>
      </c>
      <c r="AG37" s="716" t="n"/>
      <c r="AH37" s="716" t="n"/>
      <c r="AI37" s="716" t="n"/>
      <c r="AJ37" s="716" t="n"/>
      <c r="AK37" s="716" t="n"/>
      <c r="AL37" s="716" t="n"/>
      <c r="AM37" s="716" t="n"/>
      <c r="AN37" s="716" t="n"/>
      <c r="AO37" s="716" t="n"/>
      <c r="AP37" s="716" t="n"/>
      <c r="AQ37" s="716" t="n"/>
      <c r="AR37" s="716" t="n"/>
      <c r="AS37" s="716" t="n"/>
      <c r="AT37" s="716" t="n"/>
      <c r="AU37" s="716" t="n"/>
      <c r="AV37" s="716" t="n"/>
      <c r="AW37" s="716" t="n"/>
      <c r="AX37" s="716" t="n"/>
      <c r="AY37" s="716" t="n"/>
      <c r="AZ37" s="716" t="n"/>
      <c r="BA37" s="716" t="n"/>
      <c r="BB37" s="716" t="n"/>
      <c r="BC37" s="716" t="n"/>
      <c r="BD37" s="716" t="n"/>
      <c r="BE37" s="716" t="n"/>
      <c r="BF37" s="716" t="n"/>
      <c r="BG37" s="716" t="n"/>
      <c r="BH37" s="716" t="n"/>
      <c r="BI37" s="716" t="n"/>
      <c r="BJ37" s="716" t="n"/>
      <c r="BK37" s="716" t="n"/>
      <c r="BL37" s="716" t="n"/>
      <c r="BM37" s="716" t="n"/>
      <c r="BN37" s="716" t="n"/>
      <c r="BO37" s="716" t="n"/>
      <c r="BP37" s="716" t="n"/>
      <c r="BQ37" s="716" t="n"/>
    </row>
    <row r="38" ht="10.5" customFormat="1" customHeight="1" s="716">
      <c r="A38" s="716" t="n"/>
      <c r="B38" s="716" t="n"/>
      <c r="C38" s="716" t="n"/>
      <c r="D38" s="716" t="n"/>
      <c r="E38" s="716" t="n"/>
      <c r="F38" s="716" t="n"/>
      <c r="G38" s="716" t="n"/>
      <c r="H38" s="716" t="n"/>
      <c r="I38" s="716" t="n"/>
      <c r="J38" s="716" t="n"/>
      <c r="K38" s="716" t="n"/>
      <c r="L38" s="716" t="n"/>
      <c r="M38" s="716" t="n"/>
      <c r="N38" s="716" t="n"/>
      <c r="O38" s="716" t="n"/>
      <c r="P38" s="716" t="n"/>
      <c r="Q38" s="716" t="n"/>
      <c r="R38" s="716" t="n"/>
      <c r="S38" s="462" t="n"/>
      <c r="T38" s="716" t="n"/>
      <c r="U38" s="716" t="n"/>
      <c r="V38" s="716" t="n"/>
      <c r="W38" s="716" t="n"/>
      <c r="X38" s="190" t="n"/>
      <c r="Y38" s="716" t="n"/>
      <c r="Z38" s="716" t="n"/>
      <c r="AA38" s="203" t="n"/>
      <c r="AB38" s="716" t="n"/>
      <c r="AC38" s="716" t="n"/>
      <c r="AD38" s="716" t="n"/>
      <c r="AE38" s="716" t="n"/>
      <c r="AF38" s="716" t="n"/>
      <c r="AG38" s="716" t="n"/>
      <c r="AH38" s="716" t="n"/>
      <c r="AI38" s="716" t="n"/>
      <c r="AJ38" s="716" t="n"/>
      <c r="AK38" s="716" t="n"/>
      <c r="AL38" s="716" t="n"/>
      <c r="AM38" s="716" t="n"/>
      <c r="AN38" s="716" t="n"/>
      <c r="AO38" s="716" t="n"/>
      <c r="AP38" s="716" t="n"/>
      <c r="AQ38" s="716" t="n"/>
      <c r="AR38" s="716" t="n"/>
      <c r="AS38" s="716" t="n"/>
      <c r="AT38" s="716" t="n"/>
      <c r="AU38" s="716" t="n"/>
      <c r="AV38" s="716" t="n"/>
      <c r="AW38" s="716" t="n"/>
      <c r="AX38" s="716" t="n"/>
      <c r="AY38" s="716" t="n"/>
      <c r="AZ38" s="716" t="n"/>
      <c r="BA38" s="716" t="n"/>
      <c r="BB38" s="716" t="n"/>
      <c r="BC38" s="716" t="n"/>
      <c r="BD38" s="716" t="n"/>
      <c r="BE38" s="716" t="n"/>
      <c r="BF38" s="716" t="n"/>
      <c r="BG38" s="716" t="n"/>
      <c r="BH38" s="716" t="n"/>
      <c r="BI38" s="716" t="n"/>
      <c r="BJ38" s="716" t="n"/>
      <c r="BK38" s="716" t="n"/>
      <c r="BL38" s="716" t="n"/>
      <c r="BM38" s="716" t="n"/>
      <c r="BN38" s="716" t="n"/>
      <c r="BO38" s="716" t="n"/>
      <c r="BP38" s="716" t="n"/>
      <c r="BQ38" s="716" t="n"/>
    </row>
    <row r="39" ht="16.5" customFormat="1" customHeight="1" s="716">
      <c r="A39" s="716" t="n"/>
      <c r="B39" s="716" t="n"/>
      <c r="C39" s="716" t="n"/>
      <c r="D39" s="716" t="n"/>
      <c r="E39" s="716" t="n"/>
      <c r="F39" s="716" t="n"/>
      <c r="G39" s="716" t="n"/>
      <c r="H39" s="716" t="n"/>
      <c r="I39" s="716" t="n"/>
      <c r="J39" s="716" t="n"/>
      <c r="K39" s="716" t="n"/>
      <c r="L39" s="716" t="n"/>
      <c r="M39" s="716" t="n"/>
      <c r="N39" s="384" t="n"/>
      <c r="O39" s="384" t="n"/>
      <c r="P39" s="384" t="n"/>
      <c r="Q39" s="384" t="n"/>
      <c r="R39" s="32" t="n"/>
      <c r="S39" s="384" t="n"/>
      <c r="T39" s="384" t="n"/>
      <c r="U39" s="384" t="n"/>
      <c r="V39" s="384" t="n"/>
      <c r="W39" s="716" t="n"/>
      <c r="X39" s="314" t="inlineStr">
        <is>
          <t>指标</t>
        </is>
      </c>
      <c r="Y39" s="1429" t="inlineStr">
        <is>
          <t>本年累计数</t>
        </is>
      </c>
      <c r="Z39" s="1182" t="n"/>
      <c r="AA39" s="1182" t="n"/>
      <c r="AB39" s="1182" t="n"/>
      <c r="AC39" s="1182" t="n"/>
      <c r="AD39" s="1182" t="n"/>
      <c r="AE39" s="1182" t="n"/>
      <c r="AF39" s="1183" t="n"/>
      <c r="AG39" s="1429" t="inlineStr">
        <is>
          <t>本月发生数</t>
        </is>
      </c>
      <c r="AH39" s="1182" t="n"/>
      <c r="AI39" s="1182" t="n"/>
      <c r="AJ39" s="1182" t="n"/>
      <c r="AK39" s="1182" t="n"/>
      <c r="AL39" s="1182" t="n"/>
      <c r="AM39" s="1182" t="n"/>
      <c r="AN39" s="1183" t="n"/>
      <c r="AO39" s="1429" t="inlineStr">
        <is>
          <t>本月预算数</t>
        </is>
      </c>
      <c r="AP39" s="1182" t="n"/>
      <c r="AQ39" s="1182" t="n"/>
      <c r="AR39" s="1182" t="n"/>
      <c r="AS39" s="1182" t="n"/>
      <c r="AT39" s="1182" t="n"/>
      <c r="AU39" s="1182" t="n"/>
      <c r="AV39" s="1183" t="n"/>
      <c r="AW39" s="1429" t="inlineStr">
        <is>
          <t>进度预算数</t>
        </is>
      </c>
      <c r="AX39" s="1182" t="n"/>
      <c r="AY39" s="1182" t="n"/>
      <c r="AZ39" s="1182" t="n"/>
      <c r="BA39" s="1182" t="n"/>
      <c r="BB39" s="1182" t="n"/>
      <c r="BC39" s="1182" t="n"/>
      <c r="BD39" s="1183" t="n"/>
      <c r="BE39" s="1429" t="inlineStr">
        <is>
          <t>年度预算数</t>
        </is>
      </c>
      <c r="BF39" s="1182" t="n"/>
      <c r="BG39" s="1182" t="n"/>
      <c r="BH39" s="1182" t="n"/>
      <c r="BI39" s="1182" t="n"/>
      <c r="BJ39" s="1182" t="n"/>
      <c r="BK39" s="1182" t="n"/>
      <c r="BL39" s="1183" t="n"/>
      <c r="BM39" s="716" t="n"/>
      <c r="BN39" s="716" t="n"/>
      <c r="BO39" s="716" t="n"/>
      <c r="BP39" s="716" t="n"/>
      <c r="BQ39" s="716" t="n"/>
    </row>
    <row r="40" ht="16.5" customFormat="1" customHeight="1" s="716">
      <c r="A40" s="716" t="n"/>
      <c r="B40" s="716" t="n"/>
      <c r="C40" s="716" t="n"/>
      <c r="D40" s="716" t="n"/>
      <c r="E40" s="716" t="n"/>
      <c r="F40" s="716" t="n"/>
      <c r="G40" s="716" t="n"/>
      <c r="H40" s="716" t="n"/>
      <c r="I40" s="716" t="n"/>
      <c r="J40" s="716" t="n"/>
      <c r="K40" s="716" t="n"/>
      <c r="L40" s="716" t="n"/>
      <c r="M40" s="716" t="n"/>
      <c r="N40" s="384" t="n"/>
      <c r="O40" s="384" t="n"/>
      <c r="P40" s="384" t="n"/>
      <c r="Q40" s="384" t="n"/>
      <c r="R40" s="32" t="n"/>
      <c r="S40" s="384" t="n"/>
      <c r="T40" s="384" t="n"/>
      <c r="U40" s="384" t="n"/>
      <c r="V40" s="384" t="n"/>
      <c r="W40" s="716" t="n"/>
      <c r="X40" s="1210" t="n"/>
      <c r="Y40" s="102" t="inlineStr">
        <is>
          <t>合计</t>
        </is>
      </c>
      <c r="Z40" s="103" t="inlineStr">
        <is>
          <t>火力发电</t>
        </is>
      </c>
      <c r="AA40" s="103" t="inlineStr">
        <is>
          <t>风力发电</t>
        </is>
      </c>
      <c r="AB40" s="103" t="inlineStr">
        <is>
          <t>光伏发电</t>
        </is>
      </c>
      <c r="AC40" s="103" t="inlineStr">
        <is>
          <t>燃气发电</t>
        </is>
      </c>
      <c r="AD40" s="103" t="inlineStr">
        <is>
          <t>水力发电</t>
        </is>
      </c>
      <c r="AE40" s="103" t="inlineStr">
        <is>
          <t>售热</t>
        </is>
      </c>
      <c r="AF40" s="102" t="inlineStr">
        <is>
          <t>售电服务</t>
        </is>
      </c>
      <c r="AG40" s="102" t="inlineStr">
        <is>
          <t>合计</t>
        </is>
      </c>
      <c r="AH40" s="103" t="inlineStr">
        <is>
          <t>火力发电</t>
        </is>
      </c>
      <c r="AI40" s="103" t="inlineStr">
        <is>
          <t>风力发电</t>
        </is>
      </c>
      <c r="AJ40" s="103" t="inlineStr">
        <is>
          <t>光伏发电</t>
        </is>
      </c>
      <c r="AK40" s="103" t="inlineStr">
        <is>
          <t>燃气发电</t>
        </is>
      </c>
      <c r="AL40" s="103" t="inlineStr">
        <is>
          <t>水力发电</t>
        </is>
      </c>
      <c r="AM40" s="103" t="inlineStr">
        <is>
          <t>售热</t>
        </is>
      </c>
      <c r="AN40" s="102" t="inlineStr">
        <is>
          <t>售电服务</t>
        </is>
      </c>
      <c r="AO40" s="102" t="inlineStr">
        <is>
          <t>合计</t>
        </is>
      </c>
      <c r="AP40" s="103" t="inlineStr">
        <is>
          <t>火力发电</t>
        </is>
      </c>
      <c r="AQ40" s="103" t="inlineStr">
        <is>
          <t>风力发电</t>
        </is>
      </c>
      <c r="AR40" s="103" t="inlineStr">
        <is>
          <t>光伏发电</t>
        </is>
      </c>
      <c r="AS40" s="102" t="inlineStr">
        <is>
          <t>燃气发电</t>
        </is>
      </c>
      <c r="AT40" s="102" t="inlineStr">
        <is>
          <t>水力发电</t>
        </is>
      </c>
      <c r="AU40" s="102" t="inlineStr">
        <is>
          <t>售热</t>
        </is>
      </c>
      <c r="AV40" s="102" t="inlineStr">
        <is>
          <t>售电服务</t>
        </is>
      </c>
      <c r="AW40" s="102" t="inlineStr">
        <is>
          <t>合计</t>
        </is>
      </c>
      <c r="AX40" s="103" t="inlineStr">
        <is>
          <t>火力发电</t>
        </is>
      </c>
      <c r="AY40" s="103" t="inlineStr">
        <is>
          <t>风力发电</t>
        </is>
      </c>
      <c r="AZ40" s="103" t="inlineStr">
        <is>
          <t>光伏发电</t>
        </is>
      </c>
      <c r="BA40" s="102" t="inlineStr">
        <is>
          <t>燃气发电</t>
        </is>
      </c>
      <c r="BB40" s="102" t="inlineStr">
        <is>
          <t>水力发电</t>
        </is>
      </c>
      <c r="BC40" s="102" t="inlineStr">
        <is>
          <t>售热</t>
        </is>
      </c>
      <c r="BD40" s="102" t="inlineStr">
        <is>
          <t>售电服务</t>
        </is>
      </c>
      <c r="BE40" s="102" t="inlineStr">
        <is>
          <t>合计</t>
        </is>
      </c>
      <c r="BF40" s="103" t="inlineStr">
        <is>
          <t>火力发电</t>
        </is>
      </c>
      <c r="BG40" s="103" t="inlineStr">
        <is>
          <t>风力发电</t>
        </is>
      </c>
      <c r="BH40" s="103" t="inlineStr">
        <is>
          <t>光伏发电</t>
        </is>
      </c>
      <c r="BI40" s="102" t="inlineStr">
        <is>
          <t>燃气发电</t>
        </is>
      </c>
      <c r="BJ40" s="102" t="inlineStr">
        <is>
          <t>水力发电</t>
        </is>
      </c>
      <c r="BK40" s="102" t="inlineStr">
        <is>
          <t>售热</t>
        </is>
      </c>
      <c r="BL40" s="102" t="inlineStr">
        <is>
          <t>售电服务</t>
        </is>
      </c>
      <c r="BM40" s="716" t="n"/>
      <c r="BN40" s="716" t="n"/>
      <c r="BO40" s="716" t="n"/>
      <c r="BP40" s="716" t="n"/>
      <c r="BQ40" s="716" t="n"/>
    </row>
    <row r="41" hidden="1" customFormat="1" s="716">
      <c r="A41" s="716" t="n"/>
      <c r="B41" s="716" t="n"/>
      <c r="C41" s="716" t="n"/>
      <c r="D41" s="716" t="n"/>
      <c r="E41" s="716" t="n"/>
      <c r="F41" s="716" t="n"/>
      <c r="G41" s="716" t="n"/>
      <c r="H41" s="716" t="n"/>
      <c r="I41" s="716" t="n"/>
      <c r="J41" s="716" t="n"/>
      <c r="K41" s="716" t="n"/>
      <c r="L41" s="716" t="n"/>
      <c r="M41" s="716" t="n"/>
      <c r="N41" s="384" t="n"/>
      <c r="O41" s="384" t="n"/>
      <c r="P41" s="384" t="n"/>
      <c r="Q41" s="384" t="n"/>
      <c r="R41" s="32" t="n"/>
      <c r="S41" s="384" t="n"/>
      <c r="T41" s="384" t="n"/>
      <c r="U41" s="384" t="n"/>
      <c r="V41" s="384" t="n"/>
      <c r="W41" s="716" t="n"/>
      <c r="X41" s="330" t="inlineStr">
        <is>
          <t>measures</t>
        </is>
      </c>
      <c r="Y41" s="62">
        <f>IF(_epmOfflineCondition_,"YTD",EPMOlapMemberO(Y$27,"[MEASURES].[].[YTD]","YTD - Year To Date","","000"))</f>
        <v/>
      </c>
      <c r="Z41" s="62">
        <f>IF(_epmOfflineCondition_,"YTD",EPMOlapMemberO(Z$27,"[MEASURES].[].[YTD]","YTD - Year To Date","","000"))</f>
        <v/>
      </c>
      <c r="AA41" s="62">
        <f>IF(_epmOfflineCondition_,"YTD",EPMOlapMemberO(AA$27,"[MEASURES].[].[YTD]","YTD - Year To Date","","000"))</f>
        <v/>
      </c>
      <c r="AB41" s="62">
        <f>IF(_epmOfflineCondition_,"YTD",EPMOlapMemberO(AB$27,"[MEASURES].[].[YTD]","YTD - Year To Date","","000"))</f>
        <v/>
      </c>
      <c r="AC41" s="62">
        <f>IF(_epmOfflineCondition_,"YTD",EPMOlapMemberO(AC$27,"[MEASURES].[].[YTD]","YTD - Year To Date","","000"))</f>
        <v/>
      </c>
      <c r="AD41" s="62">
        <f>IF(_epmOfflineCondition_,"YTD",EPMOlapMemberO(AD$27,"[MEASURES].[].[YTD]","YTD - Year To Date","","000"))</f>
        <v/>
      </c>
      <c r="AE41" s="62">
        <f>IF(_epmOfflineCondition_,"YTD",EPMOlapMemberO(AE$27,"[MEASURES].[].[YTD]","YTD - Year To Date","","000"))</f>
        <v/>
      </c>
      <c r="AF41" s="62">
        <f>IF(_epmOfflineCondition_,"YTD",EPMOlapMemberO(AF$27,"[MEASURES].[].[YTD]","YTD - Year To Date","","000"))</f>
        <v/>
      </c>
      <c r="AG41" s="62">
        <f>IF(_epmOfflineCondition_,"Periodic",EPMOlapMemberO(AG$27,"[MEASURES].[].[PERIODIC]","PERIODIC - Periodic","","000"))</f>
        <v/>
      </c>
      <c r="AH41" s="62">
        <f>IF(_epmOfflineCondition_,"Periodic",EPMOlapMemberO(AH$27,"[MEASURES].[].[PERIODIC]","PERIODIC - Periodic","","000"))</f>
        <v/>
      </c>
      <c r="AI41" s="62">
        <f>IF(_epmOfflineCondition_,"Periodic",EPMOlapMemberO(AI$27,"[MEASURES].[].[PERIODIC]","PERIODIC - Periodic","","000"))</f>
        <v/>
      </c>
      <c r="AJ41" s="62">
        <f>IF(_epmOfflineCondition_,"Periodic",EPMOlapMemberO(AJ$27,"[MEASURES].[].[PERIODIC]","PERIODIC - Periodic","","000"))</f>
        <v/>
      </c>
      <c r="AK41" s="62">
        <f>IF(_epmOfflineCondition_,"Periodic",EPMOlapMemberO(AK$27,"[MEASURES].[].[PERIODIC]","PERIODIC - Periodic","","000"))</f>
        <v/>
      </c>
      <c r="AL41" s="62">
        <f>IF(_epmOfflineCondition_,"Periodic",EPMOlapMemberO(AL$27,"[MEASURES].[].[PERIODIC]","PERIODIC - Periodic","","000"))</f>
        <v/>
      </c>
      <c r="AM41" s="62">
        <f>IF(_epmOfflineCondition_,"Periodic",EPMOlapMemberO(AM$27,"[MEASURES].[].[PERIODIC]","PERIODIC - Periodic","","000"))</f>
        <v/>
      </c>
      <c r="AN41" s="62">
        <f>IF(_epmOfflineCondition_,"Periodic",EPMOlapMemberO(AN$27,"[MEASURES].[].[PERIODIC]","PERIODIC - Periodic","","000"))</f>
        <v/>
      </c>
      <c r="AO41" s="716" t="n"/>
      <c r="AP41" s="716" t="n"/>
      <c r="AQ41" s="716" t="n"/>
      <c r="AR41" s="716" t="n"/>
      <c r="AS41" s="716" t="n"/>
      <c r="AT41" s="716" t="n"/>
      <c r="AU41" s="716" t="n"/>
      <c r="AV41" s="716" t="n"/>
      <c r="AW41" s="716" t="n"/>
      <c r="AX41" s="716" t="n"/>
      <c r="AY41" s="716" t="n"/>
      <c r="AZ41" s="716" t="n"/>
      <c r="BA41" s="716" t="n"/>
      <c r="BB41" s="716" t="n"/>
      <c r="BC41" s="716" t="n"/>
      <c r="BD41" s="716" t="n"/>
      <c r="BE41" s="716" t="n"/>
      <c r="BF41" s="716" t="n"/>
      <c r="BG41" s="716" t="n"/>
      <c r="BH41" s="716" t="n"/>
      <c r="BI41" s="716" t="n"/>
      <c r="BJ41" s="716" t="n"/>
      <c r="BK41" s="716" t="n"/>
      <c r="BL41" s="716" t="n"/>
      <c r="BM41" s="716" t="n"/>
      <c r="BN41" s="716" t="n"/>
      <c r="BO41" s="716" t="n"/>
      <c r="BP41" s="716" t="n"/>
      <c r="BQ41" s="716" t="n"/>
    </row>
    <row r="42" hidden="1" ht="14.25" customFormat="1" customHeight="1" s="24">
      <c r="A42" s="24" t="n"/>
      <c r="B42" s="24" t="n"/>
      <c r="C42" s="24" t="n"/>
      <c r="D42" s="24" t="n"/>
      <c r="E42" s="24" t="n"/>
      <c r="F42" s="24" t="n"/>
      <c r="G42" s="24" t="n"/>
      <c r="H42" s="24" t="n"/>
      <c r="I42" s="24" t="n"/>
      <c r="J42" s="24" t="n"/>
      <c r="K42" s="24" t="n"/>
      <c r="L42" s="24" t="n"/>
      <c r="M42" s="24" t="n"/>
      <c r="N42" s="384" t="n"/>
      <c r="O42" s="384" t="n"/>
      <c r="P42" s="384" t="n"/>
      <c r="Q42" s="384" t="n"/>
      <c r="R42" s="32" t="n"/>
      <c r="S42" s="384" t="n"/>
      <c r="T42" s="384" t="n"/>
      <c r="U42" s="384" t="n"/>
      <c r="V42" s="384" t="n"/>
      <c r="W42" s="24" t="n"/>
      <c r="X42" s="330" t="inlineStr">
        <is>
          <t>time</t>
        </is>
      </c>
      <c r="Y42" s="335">
        <f>IF(_epmOfflineCondition_,"2025.03",EPMOlapMemberO(Y$26,"[C_TIME].[PARENTH1].[2025.03]","2025.03 - 2025.03","","000"))</f>
        <v/>
      </c>
      <c r="Z42" s="335">
        <f>IF(_epmOfflineCondition_,"2025.03",EPMOlapMemberO(Z$26,"[C_TIME].[PARENTH1].[2025.03]","2025.03 - 2025.03","","000"))</f>
        <v/>
      </c>
      <c r="AA42" s="335">
        <f>IF(_epmOfflineCondition_,"2025.03",EPMOlapMemberO(AA$26,"[C_TIME].[PARENTH1].[2025.03]","2025.03 - 2025.03","","000"))</f>
        <v/>
      </c>
      <c r="AB42" s="335">
        <f>IF(_epmOfflineCondition_,"2025.03",EPMOlapMemberO(AB$26,"[C_TIME].[PARENTH1].[2025.03]","2025.03 - 2025.03","","000"))</f>
        <v/>
      </c>
      <c r="AC42" s="335">
        <f>IF(_epmOfflineCondition_,"2025.03",EPMOlapMemberO(AC$26,"[C_TIME].[PARENTH1].[2025.03]","2025.03 - 2025.03","","000"))</f>
        <v/>
      </c>
      <c r="AD42" s="335">
        <f>IF(_epmOfflineCondition_,"2025.03",EPMOlapMemberO(AD$26,"[C_TIME].[PARENTH1].[2025.03]","2025.03 - 2025.03","","000"))</f>
        <v/>
      </c>
      <c r="AE42" s="335">
        <f>IF(_epmOfflineCondition_,"2025.03",EPMOlapMemberO(AE$26,"[C_TIME].[PARENTH1].[2025.03]","2025.03 - 2025.03","","000"))</f>
        <v/>
      </c>
      <c r="AF42" s="335">
        <f>IF(_epmOfflineCondition_,"2025.03",EPMOlapMemberO(AF$26,"[C_TIME].[PARENTH1].[2025.03]","2025.03 - 2025.03","","000"))</f>
        <v/>
      </c>
      <c r="AG42" s="335">
        <f>IF(_epmOfflineCondition_,"2025.03",EPMOlapMemberO(AG$26,"[C_TIME].[PARENTH1].[2025.03]","2025.03 - 2025.03","","000"))</f>
        <v/>
      </c>
      <c r="AH42" s="335">
        <f>IF(_epmOfflineCondition_,"2025.03",EPMOlapMemberO(AH$26,"[C_TIME].[PARENTH1].[2025.03]","2025.03 - 2025.03","","000"))</f>
        <v/>
      </c>
      <c r="AI42" s="335">
        <f>IF(_epmOfflineCondition_,"2025.03",EPMOlapMemberO(AI$26,"[C_TIME].[PARENTH1].[2025.03]","2025.03 - 2025.03","","000"))</f>
        <v/>
      </c>
      <c r="AJ42" s="335">
        <f>IF(_epmOfflineCondition_,"2025.03",EPMOlapMemberO(AJ$26,"[C_TIME].[PARENTH1].[2025.03]","2025.03 - 2025.03","","000"))</f>
        <v/>
      </c>
      <c r="AK42" s="335">
        <f>IF(_epmOfflineCondition_,"2025.03",EPMOlapMemberO(AK$26,"[C_TIME].[PARENTH1].[2025.03]","2025.03 - 2025.03","","000"))</f>
        <v/>
      </c>
      <c r="AL42" s="335">
        <f>IF(_epmOfflineCondition_,"2025.03",EPMOlapMemberO(AL$26,"[C_TIME].[PARENTH1].[2025.03]","2025.03 - 2025.03","","000"))</f>
        <v/>
      </c>
      <c r="AM42" s="335">
        <f>IF(_epmOfflineCondition_,"2025.03",EPMOlapMemberO(AM$26,"[C_TIME].[PARENTH1].[2025.03]","2025.03 - 2025.03","","000"))</f>
        <v/>
      </c>
      <c r="AN42" s="335">
        <f>IF(_epmOfflineCondition_,"2025.03",EPMOlapMemberO(AN$26,"[C_TIME].[PARENTH1].[2025.03]","2025.03 - 2025.03","","000"))</f>
        <v/>
      </c>
      <c r="AO42" s="716" t="n"/>
      <c r="AP42" s="716" t="n"/>
      <c r="AQ42" s="716" t="n"/>
      <c r="AR42" s="716" t="n"/>
      <c r="AS42" s="716" t="n"/>
      <c r="AT42" s="716" t="n"/>
      <c r="AU42" s="716" t="n"/>
      <c r="AV42" s="716" t="n"/>
      <c r="AW42" s="716" t="n"/>
      <c r="AX42" s="716" t="n"/>
      <c r="AY42" s="716" t="n"/>
      <c r="AZ42" s="716" t="n"/>
      <c r="BA42" s="716" t="n"/>
      <c r="BB42" s="716" t="n"/>
      <c r="BC42" s="716" t="n"/>
      <c r="BD42" s="716" t="n"/>
      <c r="BE42" s="716" t="n"/>
      <c r="BF42" s="716" t="n"/>
      <c r="BG42" s="716" t="n"/>
      <c r="BH42" s="716" t="n"/>
      <c r="BI42" s="716" t="n"/>
      <c r="BJ42" s="716" t="n"/>
      <c r="BK42" s="716" t="n"/>
      <c r="BL42" s="716" t="n"/>
      <c r="BM42" s="716" t="n"/>
      <c r="BN42" s="716" t="n"/>
      <c r="BO42" s="716" t="n"/>
      <c r="BP42" s="716" t="n"/>
      <c r="BQ42" s="716" t="n"/>
    </row>
    <row r="43" hidden="1" ht="14.25" customFormat="1" customHeight="1" s="716">
      <c r="A43" s="716" t="n"/>
      <c r="B43" s="716" t="n"/>
      <c r="C43" s="716" t="n"/>
      <c r="D43" s="716" t="n"/>
      <c r="E43" s="716" t="n"/>
      <c r="F43" s="716" t="n"/>
      <c r="G43" s="716" t="n"/>
      <c r="H43" s="716" t="n"/>
      <c r="I43" s="716" t="n"/>
      <c r="J43" s="716" t="n"/>
      <c r="K43" s="716" t="n"/>
      <c r="L43" s="716" t="n"/>
      <c r="M43" s="716" t="n"/>
      <c r="N43" s="384" t="n"/>
      <c r="O43" s="384" t="n"/>
      <c r="P43" s="384" t="n"/>
      <c r="Q43" s="384" t="n"/>
      <c r="R43" s="32" t="n"/>
      <c r="S43" s="384" t="n"/>
      <c r="T43" s="384" t="n"/>
      <c r="U43" s="384" t="n"/>
      <c r="V43" s="384" t="n"/>
      <c r="W43" s="716" t="n"/>
      <c r="X43" s="330" t="inlineStr">
        <is>
          <t>category</t>
        </is>
      </c>
      <c r="Y43" s="62">
        <f>IF(_epmOfflineCondition_,"C1001",EPMOlapMemberO(Y$25,"[C_CATEGORY].[PARENTH1].[C1001]","C1001 - 实际数/决算数","","000"))</f>
        <v/>
      </c>
      <c r="Z43" s="62">
        <f>IF(_epmOfflineCondition_,"C1001",EPMOlapMemberO(Z$25,"[C_CATEGORY].[PARENTH1].[C1001]","C1001 - 实际数/决算数","","000"))</f>
        <v/>
      </c>
      <c r="AA43" s="62">
        <f>IF(_epmOfflineCondition_,"C1001",EPMOlapMemberO(AA$25,"[C_CATEGORY].[PARENTH1].[C1001]","C1001 - 实际数/决算数","","000"))</f>
        <v/>
      </c>
      <c r="AB43" s="62">
        <f>IF(_epmOfflineCondition_,"C1001",EPMOlapMemberO(AB$25,"[C_CATEGORY].[PARENTH1].[C1001]","C1001 - 实际数/决算数","","000"))</f>
        <v/>
      </c>
      <c r="AC43" s="62">
        <f>IF(_epmOfflineCondition_,"C1001",EPMOlapMemberO(AC$25,"[C_CATEGORY].[PARENTH1].[C1001]","C1001 - 实际数/决算数","","000"))</f>
        <v/>
      </c>
      <c r="AD43" s="62">
        <f>IF(_epmOfflineCondition_,"C1001",EPMOlapMemberO(AD$25,"[C_CATEGORY].[PARENTH1].[C1001]","C1001 - 实际数/决算数","","000"))</f>
        <v/>
      </c>
      <c r="AE43" s="62">
        <f>IF(_epmOfflineCondition_,"C1001",EPMOlapMemberO(AE$25,"[C_CATEGORY].[PARENTH1].[C1001]","C1001 - 实际数/决算数","","000"))</f>
        <v/>
      </c>
      <c r="AF43" s="62">
        <f>IF(_epmOfflineCondition_,"C1001",EPMOlapMemberO(AF$25,"[C_CATEGORY].[PARENTH1].[C1001]","C1001 - 实际数/决算数","","000"))</f>
        <v/>
      </c>
      <c r="AG43" s="62">
        <f>IF(_epmOfflineCondition_,"C1001",EPMOlapMemberO(AG$25,"[C_CATEGORY].[PARENTH1].[C1001]","C1001 - 实际数/决算数","","000"))</f>
        <v/>
      </c>
      <c r="AH43" s="62">
        <f>IF(_epmOfflineCondition_,"C1001",EPMOlapMemberO(AH$25,"[C_CATEGORY].[PARENTH1].[C1001]","C1001 - 实际数/决算数","","000"))</f>
        <v/>
      </c>
      <c r="AI43" s="62">
        <f>IF(_epmOfflineCondition_,"C1001",EPMOlapMemberO(AI$25,"[C_CATEGORY].[PARENTH1].[C1001]","C1001 - 实际数/决算数","","000"))</f>
        <v/>
      </c>
      <c r="AJ43" s="62">
        <f>IF(_epmOfflineCondition_,"C1001",EPMOlapMemberO(AJ$25,"[C_CATEGORY].[PARENTH1].[C1001]","C1001 - 实际数/决算数","","000"))</f>
        <v/>
      </c>
      <c r="AK43" s="62">
        <f>IF(_epmOfflineCondition_,"C1001",EPMOlapMemberO(AK$25,"[C_CATEGORY].[PARENTH1].[C1001]","C1001 - 实际数/决算数","","000"))</f>
        <v/>
      </c>
      <c r="AL43" s="62">
        <f>IF(_epmOfflineCondition_,"C1001",EPMOlapMemberO(AL$25,"[C_CATEGORY].[PARENTH1].[C1001]","C1001 - 实际数/决算数","","000"))</f>
        <v/>
      </c>
      <c r="AM43" s="62">
        <f>IF(_epmOfflineCondition_,"C1001",EPMOlapMemberO(AM$25,"[C_CATEGORY].[PARENTH1].[C1001]","C1001 - 实际数/决算数","","000"))</f>
        <v/>
      </c>
      <c r="AN43" s="62">
        <f>IF(_epmOfflineCondition_,"C1001",EPMOlapMemberO(AN$25,"[C_CATEGORY].[PARENTH1].[C1001]","C1001 - 实际数/决算数","","000"))</f>
        <v/>
      </c>
      <c r="AO43" s="716" t="n"/>
      <c r="AP43" s="716" t="n"/>
      <c r="AQ43" s="716" t="n"/>
      <c r="AR43" s="716" t="n"/>
      <c r="AS43" s="716" t="n"/>
      <c r="AT43" s="716" t="n"/>
      <c r="AU43" s="716" t="n"/>
      <c r="AV43" s="716" t="n"/>
      <c r="AW43" s="716" t="n"/>
      <c r="AX43" s="716" t="n"/>
      <c r="AY43" s="716" t="n"/>
      <c r="AZ43" s="716" t="n"/>
      <c r="BA43" s="716" t="n"/>
      <c r="BB43" s="716" t="n"/>
      <c r="BC43" s="716" t="n"/>
      <c r="BD43" s="716" t="n"/>
      <c r="BE43" s="716" t="n"/>
      <c r="BF43" s="716" t="n"/>
      <c r="BG43" s="716" t="n"/>
      <c r="BH43" s="716" t="n"/>
      <c r="BI43" s="716" t="n"/>
      <c r="BJ43" s="716" t="n"/>
      <c r="BK43" s="716" t="n"/>
      <c r="BL43" s="716" t="n"/>
      <c r="BM43" s="716" t="n"/>
      <c r="BN43" s="716" t="n"/>
      <c r="BO43" s="716" t="n"/>
      <c r="BP43" s="716" t="n"/>
      <c r="BQ43" s="716" t="n"/>
    </row>
    <row r="44" hidden="1" ht="13.5" customFormat="1" customHeight="1" s="716">
      <c r="A44" s="716" t="n"/>
      <c r="B44" s="716" t="n"/>
      <c r="C44" s="716" t="n"/>
      <c r="D44" s="716" t="n"/>
      <c r="E44" s="716" t="n"/>
      <c r="F44" s="716" t="n"/>
      <c r="G44" s="716" t="n"/>
      <c r="H44" s="716" t="n"/>
      <c r="I44" s="716" t="n"/>
      <c r="J44" s="716" t="n"/>
      <c r="K44" s="716" t="n"/>
      <c r="L44" s="716" t="n"/>
      <c r="M44" s="716" t="n"/>
      <c r="N44" s="384" t="n"/>
      <c r="O44" s="384" t="n"/>
      <c r="P44" s="384" t="n"/>
      <c r="Q44" s="384" t="n"/>
      <c r="R44" s="32" t="n"/>
      <c r="S44" s="384" t="n"/>
      <c r="T44" s="384" t="n"/>
      <c r="U44" s="384" t="n"/>
      <c r="V44" s="384" t="n"/>
      <c r="W44" s="716" t="n"/>
      <c r="X44" s="330" t="inlineStr">
        <is>
          <t>FLow</t>
        </is>
      </c>
      <c r="Y44" s="62">
        <f>IF(_epmOfflineCondition_,"F20",EPMOlapMemberO(Y$28,"[C_FLOW].[PARENTH1].[F20]","F20 - 本期增加","","000"))</f>
        <v/>
      </c>
      <c r="Z44" s="62">
        <f>IF(_epmOfflineCondition_,"F20",EPMOlapMemberO(Z$28,"[C_FLOW].[PARENTH1].[F20]","F20 - 本期增加","","000"))</f>
        <v/>
      </c>
      <c r="AA44" s="62">
        <f>IF(_epmOfflineCondition_,"F20",EPMOlapMemberO(AA$28,"[C_FLOW].[PARENTH1].[F20]","F20 - 本期增加","","000"))</f>
        <v/>
      </c>
      <c r="AB44" s="62">
        <f>IF(_epmOfflineCondition_,"F20",EPMOlapMemberO(AB$28,"[C_FLOW].[PARENTH1].[F20]","F20 - 本期增加","","000"))</f>
        <v/>
      </c>
      <c r="AC44" s="62">
        <f>IF(_epmOfflineCondition_,"F20",EPMOlapMemberO(AC$28,"[C_FLOW].[PARENTH1].[F20]","F20 - 本期增加","","000"))</f>
        <v/>
      </c>
      <c r="AD44" s="62">
        <f>IF(_epmOfflineCondition_,"F20",EPMOlapMemberO(AD$28,"[C_FLOW].[PARENTH1].[F20]","F20 - 本期增加","","000"))</f>
        <v/>
      </c>
      <c r="AE44" s="62">
        <f>IF(_epmOfflineCondition_,"F20",EPMOlapMemberO(AE$28,"[C_FLOW].[PARENTH1].[F20]","F20 - 本期增加","","000"))</f>
        <v/>
      </c>
      <c r="AF44" s="62">
        <f>IF(_epmOfflineCondition_,"F20",EPMOlapMemberO(AF$28,"[C_FLOW].[PARENTH1].[F20]","F20 - 本期增加","","000"))</f>
        <v/>
      </c>
      <c r="AG44" s="62">
        <f>IF(_epmOfflineCondition_,"F20",EPMOlapMemberO(AG$28,"[C_FLOW].[PARENTH1].[F20]","F20 - 本期增加","","000"))</f>
        <v/>
      </c>
      <c r="AH44" s="62">
        <f>IF(_epmOfflineCondition_,"F20",EPMOlapMemberO(AH$28,"[C_FLOW].[PARENTH1].[F20]","F20 - 本期增加","","000"))</f>
        <v/>
      </c>
      <c r="AI44" s="62">
        <f>IF(_epmOfflineCondition_,"F20",EPMOlapMemberO(AI$28,"[C_FLOW].[PARENTH1].[F20]","F20 - 本期增加","","000"))</f>
        <v/>
      </c>
      <c r="AJ44" s="62">
        <f>IF(_epmOfflineCondition_,"F20",EPMOlapMemberO(AJ$28,"[C_FLOW].[PARENTH1].[F20]","F20 - 本期增加","","000"))</f>
        <v/>
      </c>
      <c r="AK44" s="62">
        <f>IF(_epmOfflineCondition_,"F20",EPMOlapMemberO(AK$28,"[C_FLOW].[PARENTH1].[F20]","F20 - 本期增加","","000"))</f>
        <v/>
      </c>
      <c r="AL44" s="62">
        <f>IF(_epmOfflineCondition_,"F20",EPMOlapMemberO(AL$28,"[C_FLOW].[PARENTH1].[F20]","F20 - 本期增加","","000"))</f>
        <v/>
      </c>
      <c r="AM44" s="62">
        <f>IF(_epmOfflineCondition_,"F20",EPMOlapMemberO(AM$28,"[C_FLOW].[PARENTH1].[F20]","F20 - 本期增加","","000"))</f>
        <v/>
      </c>
      <c r="AN44" s="62">
        <f>IF(_epmOfflineCondition_,"F20",EPMOlapMemberO(AN$28,"[C_FLOW].[PARENTH1].[F20]","F20 - 本期增加","","000"))</f>
        <v/>
      </c>
      <c r="AO44" s="716" t="n"/>
      <c r="AP44" s="716" t="n"/>
      <c r="AQ44" s="716" t="n"/>
      <c r="AR44" s="716" t="n"/>
      <c r="AS44" s="716" t="n"/>
      <c r="AT44" s="716" t="n"/>
      <c r="AU44" s="716" t="n"/>
      <c r="AV44" s="716" t="n"/>
      <c r="AW44" s="716" t="n"/>
      <c r="AX44" s="716" t="n"/>
      <c r="AY44" s="716" t="n"/>
      <c r="AZ44" s="716" t="n"/>
      <c r="BA44" s="716" t="n"/>
      <c r="BB44" s="716" t="n"/>
      <c r="BC44" s="716" t="n"/>
      <c r="BD44" s="716" t="n"/>
      <c r="BE44" s="716" t="n"/>
      <c r="BF44" s="716" t="n"/>
      <c r="BG44" s="716" t="n"/>
      <c r="BH44" s="716" t="n"/>
      <c r="BI44" s="716" t="n"/>
      <c r="BJ44" s="716" t="n"/>
      <c r="BK44" s="716" t="n"/>
      <c r="BL44" s="716" t="n"/>
      <c r="BM44" s="716" t="n"/>
      <c r="BN44" s="716" t="n"/>
      <c r="BO44" s="716" t="n"/>
      <c r="BP44" s="716" t="n"/>
      <c r="BQ44" s="716" t="n"/>
    </row>
    <row r="45" hidden="1" ht="13.5" customFormat="1" customHeight="1" s="716">
      <c r="A45" s="716" t="n"/>
      <c r="B45" s="716" t="n"/>
      <c r="C45" s="716" t="n"/>
      <c r="D45" s="716" t="n"/>
      <c r="E45" s="716" t="n"/>
      <c r="F45" s="716" t="n"/>
      <c r="G45" s="716" t="n"/>
      <c r="H45" s="716" t="n"/>
      <c r="I45" s="716" t="n"/>
      <c r="J45" s="716" t="n"/>
      <c r="K45" s="716" t="n"/>
      <c r="L45" s="716" t="n"/>
      <c r="M45" s="716" t="n"/>
      <c r="N45" s="716" t="n"/>
      <c r="O45" s="716" t="n"/>
      <c r="P45" s="716" t="n"/>
      <c r="Q45" s="716" t="n"/>
      <c r="R45" s="716" t="n"/>
      <c r="S45" s="462" t="n"/>
      <c r="T45" s="716" t="n"/>
      <c r="U45" s="716" t="n"/>
      <c r="V45" s="716" t="n"/>
      <c r="W45" s="716" t="n"/>
      <c r="X45" s="330" t="inlineStr">
        <is>
          <t>misk</t>
        </is>
      </c>
      <c r="Y45" s="62">
        <f>IF(_epmOfflineCondition_,"ZM030",EPMOlapMemberO(Y$29,"[C_MISK].[PARENTH1].[ZM030]","ZM030 - 发电企业电力板块","","000"))</f>
        <v/>
      </c>
      <c r="Z45" s="62">
        <f>IF(_epmOfflineCondition_,"ZM0300101",EPMOlapMemberO(Z$29,"[C_MISK].[PARENTH1].[ZM0300101]","ZM0300101 - 火力发电","","000"))</f>
        <v/>
      </c>
      <c r="AA45" s="62">
        <f>IF(_epmOfflineCondition_,"ZM0300102",EPMOlapMemberO(AA$29,"[C_MISK].[PARENTH1].[ZM0300102]","ZM0300102 - 风力发电","","000"))</f>
        <v/>
      </c>
      <c r="AB45" s="62">
        <f>IF(_epmOfflineCondition_,"ZM0300103",EPMOlapMemberO(AB$29,"[C_MISK].[PARENTH1].[ZM0300103]","ZM0300103 - 光伏发电","","000"))</f>
        <v/>
      </c>
      <c r="AC45" s="62">
        <f>IF(_epmOfflineCondition_,"ZM0300104",EPMOlapMemberO(AC$29,"[C_MISK].[PARENTH1].[ZM0300104]","ZM0300104 - 燃气发电","","000"))</f>
        <v/>
      </c>
      <c r="AD45" s="62">
        <f>IF(_epmOfflineCondition_,"ZM0300105",EPMOlapMemberO(AD$29,"[C_MISK].[PARENTH1].[ZM0300105]","ZM0300105 - 水力发电","","000"))</f>
        <v/>
      </c>
      <c r="AE45" s="62">
        <f>IF(_epmOfflineCondition_,"ZM0300201",EPMOlapMemberO(AE$29,"[C_MISK].[PARENTH1].[ZM0300201]","ZM0300201 - 售热","","000"))</f>
        <v/>
      </c>
      <c r="AF45" s="62">
        <f>IF(_epmOfflineCondition_,"ZM0300202",EPMOlapMemberO(AF$29,"[C_MISK].[PARENTH1].[ZM0300202]","ZM0300202 - 售电服务","","000"))</f>
        <v/>
      </c>
      <c r="AG45" s="62">
        <f>IF(_epmOfflineCondition_,"ZM030",EPMOlapMemberO(AG$29,"[C_MISK].[PARENTH1].[ZM030]","ZM030 - 发电企业电力板块","","000"))</f>
        <v/>
      </c>
      <c r="AH45" s="62">
        <f>IF(_epmOfflineCondition_,"ZM0300101",EPMOlapMemberO(AH$29,"[C_MISK].[PARENTH1].[ZM0300101]","ZM0300101 - 火力发电","","000"))</f>
        <v/>
      </c>
      <c r="AI45" s="62">
        <f>IF(_epmOfflineCondition_,"ZM0300102",EPMOlapMemberO(AI$29,"[C_MISK].[PARENTH1].[ZM0300102]","ZM0300102 - 风力发电","","000"))</f>
        <v/>
      </c>
      <c r="AJ45" s="62">
        <f>IF(_epmOfflineCondition_,"ZM0300103",EPMOlapMemberO(AJ$29,"[C_MISK].[PARENTH1].[ZM0300103]","ZM0300103 - 光伏发电","","000"))</f>
        <v/>
      </c>
      <c r="AK45" s="62">
        <f>IF(_epmOfflineCondition_,"ZM0300104",EPMOlapMemberO(AK$29,"[C_MISK].[PARENTH1].[ZM0300104]","ZM0300104 - 燃气发电","","000"))</f>
        <v/>
      </c>
      <c r="AL45" s="62">
        <f>IF(_epmOfflineCondition_,"ZM0300105",EPMOlapMemberO(AL$29,"[C_MISK].[PARENTH1].[ZM0300105]","ZM0300105 - 水力发电","","000"))</f>
        <v/>
      </c>
      <c r="AM45" s="62">
        <f>IF(_epmOfflineCondition_,"ZM0300201",EPMOlapMemberO(AM$29,"[C_MISK].[PARENTH1].[ZM0300201]","ZM0300201 - 售热","","000"))</f>
        <v/>
      </c>
      <c r="AN45" s="62">
        <f>IF(_epmOfflineCondition_,"ZM0300202",EPMOlapMemberO(AN$29,"[C_MISK].[PARENTH1].[ZM0300202]","ZM0300202 - 售电服务","","000"))</f>
        <v/>
      </c>
      <c r="AO45" s="716" t="n"/>
      <c r="AP45" s="716" t="n"/>
      <c r="AQ45" s="716" t="n"/>
      <c r="AR45" s="716" t="n"/>
      <c r="AS45" s="716" t="n"/>
      <c r="AT45" s="716" t="n"/>
      <c r="AU45" s="716" t="n"/>
      <c r="AV45" s="716" t="n"/>
      <c r="AW45" s="716" t="n"/>
      <c r="AX45" s="716" t="n"/>
      <c r="AY45" s="716" t="n"/>
      <c r="AZ45" s="716" t="n"/>
      <c r="BA45" s="716" t="n"/>
      <c r="BB45" s="716" t="n"/>
      <c r="BC45" s="716" t="n"/>
      <c r="BD45" s="716" t="n"/>
      <c r="BE45" s="716" t="n"/>
      <c r="BF45" s="716" t="n"/>
      <c r="BG45" s="716" t="n"/>
      <c r="BH45" s="716" t="n"/>
      <c r="BI45" s="716" t="n"/>
      <c r="BJ45" s="716" t="n"/>
      <c r="BK45" s="716" t="n"/>
      <c r="BL45" s="716" t="n"/>
      <c r="BM45" s="716" t="n"/>
      <c r="BN45" s="716" t="n"/>
      <c r="BO45" s="716" t="n"/>
      <c r="BP45" s="716" t="n"/>
      <c r="BQ45" s="716" t="n"/>
    </row>
    <row r="46" ht="13.5" customFormat="1" customHeight="1" s="716">
      <c r="A46" s="716" t="n"/>
      <c r="B46" s="716" t="n"/>
      <c r="C46" s="716" t="n"/>
      <c r="D46" s="716" t="n"/>
      <c r="E46" s="716" t="n"/>
      <c r="F46" s="716" t="n"/>
      <c r="G46" s="716" t="n"/>
      <c r="H46" s="716" t="n"/>
      <c r="I46" s="716" t="n"/>
      <c r="J46" s="716" t="n"/>
      <c r="K46" s="716" t="n"/>
      <c r="L46" s="716" t="n"/>
      <c r="M46" s="716" t="n"/>
      <c r="N46" s="716" t="n"/>
      <c r="O46" s="716" t="n"/>
      <c r="P46" s="716" t="n"/>
      <c r="Q46" s="716" t="n"/>
      <c r="R46" s="716" t="n"/>
      <c r="S46" s="462">
        <f>IF(_epmOfflineCondition_,"发电企业其他费用表-合计",EPMMemberDesc(U46))</f>
        <v/>
      </c>
      <c r="T46" s="716" t="n"/>
      <c r="U46" s="889" t="inlineStr">
        <is>
          <t>A030</t>
        </is>
      </c>
      <c r="V46" s="889">
        <f>IF(_epmOfflineCondition_,"A030",EPMOlapMemberO(U46,"[C_ACCOUNT].[PARENTH1].[A030]","A030 - 发电企业其他费用表-合计","","000"))</f>
        <v/>
      </c>
      <c r="W46" s="716" t="n"/>
      <c r="X46" s="1430" t="inlineStr">
        <is>
          <t>合计</t>
        </is>
      </c>
      <c r="Y46" s="1279">
        <f>SUM(Z46:AF46)</f>
        <v/>
      </c>
      <c r="Z46" s="1279">
        <f>SUM(Z47,Z87,Z95,Z102,Z108,Z127:Z133)</f>
        <v/>
      </c>
      <c r="AA46" s="1279">
        <f>SUM(AA47,AA87,AA95,AA102,AA108,AA127:AA133)</f>
        <v/>
      </c>
      <c r="AB46" s="1279">
        <f>SUM(AB47,AB87,AB95,AB102,AB108,AB127:AB133)</f>
        <v/>
      </c>
      <c r="AC46" s="1279">
        <f>SUM(AC47,AC87,AC95,AC102,AC108,AC127:AC133)</f>
        <v/>
      </c>
      <c r="AD46" s="1279">
        <f>SUM(AD47,AD87,AD95,AD102,AD108,AD127:AD133)</f>
        <v/>
      </c>
      <c r="AE46" s="1279">
        <f>SUM(AE47,AE87,AE95,AE102,AE108,AE127:AE133)</f>
        <v/>
      </c>
      <c r="AF46" s="1279">
        <f>SUM(AF47,AF87,AF95,AF102,AF108,AF127:AF133)</f>
        <v/>
      </c>
      <c r="AG46" s="1431" t="inlineStr"/>
      <c r="AH46" s="1431" t="n"/>
      <c r="AI46" s="1431" t="inlineStr"/>
      <c r="AJ46" s="1431" t="n"/>
      <c r="AK46" s="1431" t="n"/>
      <c r="AL46" s="1431" t="n"/>
      <c r="AM46" s="1431" t="n"/>
      <c r="AN46" s="1431" t="n"/>
      <c r="AO46" s="1432">
        <f>SUM(AP46:AV46)</f>
        <v/>
      </c>
      <c r="AP46" s="1432">
        <f>SUM(AP47,AP87,AP95,AP102,AP108,AP127:AP133)</f>
        <v/>
      </c>
      <c r="AQ46" s="1432">
        <f>SUM(AQ47,AQ87,AQ95,AQ102,AQ108,AQ127:AQ133)</f>
        <v/>
      </c>
      <c r="AR46" s="1432">
        <f>SUM(AR47,AR87,AR95,AR102,AR108,AR127:AR133)</f>
        <v/>
      </c>
      <c r="AS46" s="1432">
        <f>SUM(AS47,AS87,AS95,AS102,AS108,AS127:AS133)</f>
        <v/>
      </c>
      <c r="AT46" s="1432">
        <f>SUM(AT47,AT87,AT95,AT102,AT108,AT127:AT133)</f>
        <v/>
      </c>
      <c r="AU46" s="1432">
        <f>SUM(AU47,AU87,AU95,AU102,AU108,AU127:AU133)</f>
        <v/>
      </c>
      <c r="AV46" s="1432">
        <f>SUM(AV47,AV87,AV95,AV102,AV108,AV127:AV133)</f>
        <v/>
      </c>
      <c r="AW46" s="1432">
        <f>SUM(AX46:BD46)</f>
        <v/>
      </c>
      <c r="AX46" s="1432">
        <f>SUM(AX47,AX87,AX95,AX102,AX108,AX127:AX133)</f>
        <v/>
      </c>
      <c r="AY46" s="1432">
        <f>SUM(AY47,AY87,AY95,AY102,AY108,AY127:AY133)</f>
        <v/>
      </c>
      <c r="AZ46" s="1432">
        <f>SUM(AZ47,AZ87,AZ95,AZ102,AZ108,AZ127:AZ133)</f>
        <v/>
      </c>
      <c r="BA46" s="1432">
        <f>SUM(BA47,BA87,BA95,BA102,BA108,BA127:BA133)</f>
        <v/>
      </c>
      <c r="BB46" s="1432">
        <f>SUM(BB47,BB87,BB95,BB102,BB108,BB127:BB133)</f>
        <v/>
      </c>
      <c r="BC46" s="1432">
        <f>SUM(BC47,BC87,BC95,BC102,BC108,BC127:BC133)</f>
        <v/>
      </c>
      <c r="BD46" s="1432">
        <f>SUM(BD47,BD87,BD95,BD102,BD108,BD127:BD133)</f>
        <v/>
      </c>
      <c r="BE46" s="1432">
        <f>SUM(BF46:BL46)</f>
        <v/>
      </c>
      <c r="BF46" s="1432">
        <f>SUM(BF47,BF87,BF95,BF102,BF108,BF127:BF133)</f>
        <v/>
      </c>
      <c r="BG46" s="1432">
        <f>SUM(BG47,BG87,BG95,BG102,BG108,BG127:BG133)</f>
        <v/>
      </c>
      <c r="BH46" s="1432">
        <f>SUM(BH47,BH87,BH95,BH102,BH108,BH127:BH133)</f>
        <v/>
      </c>
      <c r="BI46" s="1432">
        <f>SUM(BI47,BI87,BI95,BI102,BI108,BI127:BI133)</f>
        <v/>
      </c>
      <c r="BJ46" s="1432">
        <f>SUM(BJ47,BJ87,BJ95,BJ102,BJ108,BJ127:BJ133)</f>
        <v/>
      </c>
      <c r="BK46" s="1432">
        <f>SUM(BK47,BK87,BK95,BK102,BK108,BK127:BK133)</f>
        <v/>
      </c>
      <c r="BL46" s="1432">
        <f>SUM(BL47,BL87,BL95,BL102,BL108,BL127:BL133)</f>
        <v/>
      </c>
      <c r="BM46" s="716" t="n"/>
      <c r="BN46" s="716" t="n"/>
      <c r="BO46" s="716" t="n"/>
      <c r="BP46" s="716" t="n"/>
      <c r="BQ46" s="716" t="n"/>
    </row>
    <row r="47" ht="16.5" customFormat="1" customHeight="1" s="716">
      <c r="A47" s="716" t="n"/>
      <c r="B47" s="716" t="n"/>
      <c r="C47" s="716" t="n"/>
      <c r="D47" s="716" t="n"/>
      <c r="E47" s="716" t="n"/>
      <c r="F47" s="716" t="n"/>
      <c r="G47" s="716" t="n"/>
      <c r="H47" s="716" t="n"/>
      <c r="I47" s="716" t="n"/>
      <c r="J47" s="716" t="n"/>
      <c r="K47" s="716" t="n"/>
      <c r="L47" s="716" t="n"/>
      <c r="M47" s="716" t="n"/>
      <c r="N47" s="716" t="n"/>
      <c r="O47" s="716" t="n"/>
      <c r="P47" s="716" t="n"/>
      <c r="Q47" s="716" t="n"/>
      <c r="R47" s="716" t="n"/>
      <c r="S47" s="462">
        <f>IF(_epmOfflineCondition_,"一般性管理费用",EPMMemberDesc(U47))</f>
        <v/>
      </c>
      <c r="T47" s="716" t="n"/>
      <c r="U47" s="889" t="inlineStr">
        <is>
          <t>A03001</t>
        </is>
      </c>
      <c r="V47" s="97">
        <f>IF(_epmOfflineCondition_,"A03001",EPMOlapMemberO(U47,"[C_ACCOUNT].[PARENTH1].[A03001]","A03001 - 一般性管理费用","","000"))</f>
        <v/>
      </c>
      <c r="W47" s="462" t="n"/>
      <c r="X47" s="1430" t="inlineStr">
        <is>
          <t>一般性管理费用</t>
        </is>
      </c>
      <c r="Y47" s="1279">
        <f>SUM(Z47:AF47)</f>
        <v/>
      </c>
      <c r="Z47" s="1279">
        <f>SUM(Z48,Z58,Z61:Z64,Z71:Z74,Z82:Z86)</f>
        <v/>
      </c>
      <c r="AA47" s="1279">
        <f>SUM(AA48,AA58,AA61:AA64,AA71:AA74,AA82:AA86)</f>
        <v/>
      </c>
      <c r="AB47" s="1279">
        <f>SUM(AB48,AB58,AB61:AB64,AB71:AB74,AB82:AB86)</f>
        <v/>
      </c>
      <c r="AC47" s="1279">
        <f>SUM(AC48,AC58,AC61:AC64,AC71:AC74,AC82:AC86)</f>
        <v/>
      </c>
      <c r="AD47" s="1279">
        <f>SUM(AD48,AD58,AD61:AD64,AD71:AD74,AD82:AD86)</f>
        <v/>
      </c>
      <c r="AE47" s="1279">
        <f>SUM(AE48,AE58,AE61:AE64,AE71:AE74,AE82:AE86)</f>
        <v/>
      </c>
      <c r="AF47" s="1279">
        <f>SUM(AF48,AF58,AF61:AF64,AF71:AF74,AF82:AF86)</f>
        <v/>
      </c>
      <c r="AG47" s="1431" t="inlineStr"/>
      <c r="AH47" s="1431" t="n"/>
      <c r="AI47" s="1431" t="inlineStr"/>
      <c r="AJ47" s="1431" t="n"/>
      <c r="AK47" s="1431" t="n"/>
      <c r="AL47" s="1431" t="n"/>
      <c r="AM47" s="1431" t="n"/>
      <c r="AN47" s="1431" t="n"/>
      <c r="AO47" s="1432">
        <f>SUM(AP47:AV47)</f>
        <v/>
      </c>
      <c r="AP47" s="1432">
        <f>SUM(AP48,AP58,AP61:AP64,AP71:AP74,AP82:AP86)</f>
        <v/>
      </c>
      <c r="AQ47" s="1432">
        <f>SUM(AQ48,AQ58,AQ61:AQ64,AQ71:AQ74,AQ82:AQ86)</f>
        <v/>
      </c>
      <c r="AR47" s="1432">
        <f>SUM(AR48,AR58,AR61:AR64,AR71:AR74,AR82:AR86)</f>
        <v/>
      </c>
      <c r="AS47" s="1432">
        <f>SUM(AS48,AS58,AS61:AS64,AS71:AS74,AS82:AS86)</f>
        <v/>
      </c>
      <c r="AT47" s="1432">
        <f>SUM(AT48,AT58,AT61:AT64,AT71:AT74,AT82:AT86)</f>
        <v/>
      </c>
      <c r="AU47" s="1432">
        <f>SUM(AU48,AU58,AU61:AU64,AU71:AU74,AU82:AU86)</f>
        <v/>
      </c>
      <c r="AV47" s="1432">
        <f>SUM(AV48,AV58,AV61:AV64,AV71:AV74,AV82:AV86)</f>
        <v/>
      </c>
      <c r="AW47" s="1432">
        <f>SUM(AX47:BD47)</f>
        <v/>
      </c>
      <c r="AX47" s="1432">
        <f>SUM(AX48,AX58,AX61:AX64,AX71:AX74,AX82:AX86)</f>
        <v/>
      </c>
      <c r="AY47" s="1432">
        <f>SUM(AY48,AY58,AY61:AY64,AY71:AY74,AY82:AY86)</f>
        <v/>
      </c>
      <c r="AZ47" s="1432">
        <f>SUM(AZ48,AZ58,AZ61:AZ64,AZ71:AZ74,AZ82:AZ86)</f>
        <v/>
      </c>
      <c r="BA47" s="1432">
        <f>SUM(BA48,BA58,BA61:BA64,BA71:BA74,BA82:BA86)</f>
        <v/>
      </c>
      <c r="BB47" s="1432">
        <f>SUM(BB48,BB58,BB61:BB64,BB71:BB74,BB82:BB86)</f>
        <v/>
      </c>
      <c r="BC47" s="1432">
        <f>SUM(BC48,BC58,BC61:BC64,BC71:BC74,BC82:BC86)</f>
        <v/>
      </c>
      <c r="BD47" s="1432">
        <f>SUM(BD48,BD58,BD61:BD64,BD71:BD74,BD82:BD86)</f>
        <v/>
      </c>
      <c r="BE47" s="1432">
        <f>SUM(BF47:BL47)</f>
        <v/>
      </c>
      <c r="BF47" s="1432">
        <f>SUM(BF48,BF58,BF61:BF64,BF71:BF74,BF82:BF86)</f>
        <v/>
      </c>
      <c r="BG47" s="1432">
        <f>SUM(BG48,BG58,BG61:BG64,BG71:BG74,BG82:BG86)</f>
        <v/>
      </c>
      <c r="BH47" s="1432">
        <f>SUM(BH48,BH58,BH61:BH64,BH71:BH74,BH82:BH86)</f>
        <v/>
      </c>
      <c r="BI47" s="1432">
        <f>SUM(BI48,BI58,BI61:BI64,BI71:BI74,BI82:BI86)</f>
        <v/>
      </c>
      <c r="BJ47" s="1432">
        <f>SUM(BJ48,BJ58,BJ61:BJ64,BJ71:BJ74,BJ82:BJ86)</f>
        <v/>
      </c>
      <c r="BK47" s="1432">
        <f>SUM(BK48,BK58,BK61:BK64,BK71:BK74,BK82:BK86)</f>
        <v/>
      </c>
      <c r="BL47" s="1432">
        <f>SUM(BL48,BL58,BL61:BL64,BL71:BL74,BL82:BL86)</f>
        <v/>
      </c>
      <c r="BM47" s="716" t="n"/>
      <c r="BN47" s="716" t="n"/>
      <c r="BO47" s="716" t="n"/>
      <c r="BP47" s="716" t="n"/>
      <c r="BQ47" s="716" t="n"/>
    </row>
    <row r="48" ht="16.5" customFormat="1" customHeight="1" s="716">
      <c r="A48" s="716" t="n"/>
      <c r="B48" s="716" t="n"/>
      <c r="C48" s="716" t="n"/>
      <c r="D48" s="716" t="n"/>
      <c r="E48" s="716" t="n"/>
      <c r="F48" s="716" t="n"/>
      <c r="G48" s="716" t="n"/>
      <c r="H48" s="716" t="n"/>
      <c r="I48" s="716" t="n"/>
      <c r="J48" s="716" t="n"/>
      <c r="K48" s="716" t="n"/>
      <c r="L48" s="716" t="n"/>
      <c r="M48" s="716" t="n"/>
      <c r="N48" s="716" t="n"/>
      <c r="O48" s="716" t="n"/>
      <c r="P48" s="716" t="n"/>
      <c r="Q48" s="716" t="n"/>
      <c r="R48" s="716" t="n"/>
      <c r="S48" s="462">
        <f>IF(_epmOfflineCondition_,"  办公费",EPMMemberDesc(U48))</f>
        <v/>
      </c>
      <c r="T48" s="716" t="n"/>
      <c r="U48" s="889" t="inlineStr">
        <is>
          <t>A0300101</t>
        </is>
      </c>
      <c r="V48" s="135">
        <f>IF(_epmOfflineCondition_,"A0300101",EPMOlapMemberO(U48,"[C_ACCOUNT].[PARENTH1].[A0300101]","A0300101 -   办公费","","000"))</f>
        <v/>
      </c>
      <c r="W48" s="462" t="n"/>
      <c r="X48" s="332" t="inlineStr">
        <is>
          <t xml:space="preserve">  办公费</t>
        </is>
      </c>
      <c r="Y48" s="1279">
        <f>SUM(Z48:AF48)</f>
        <v/>
      </c>
      <c r="Z48" s="1279">
        <f>SUM(Z49:Z57)</f>
        <v/>
      </c>
      <c r="AA48" s="1279">
        <f>SUM(AA49:AA57)</f>
        <v/>
      </c>
      <c r="AB48" s="1279">
        <f>SUM(AB49:AB57)</f>
        <v/>
      </c>
      <c r="AC48" s="1279">
        <f>SUM(AC49:AC57)</f>
        <v/>
      </c>
      <c r="AD48" s="1279">
        <f>SUM(AD49:AD57)</f>
        <v/>
      </c>
      <c r="AE48" s="1279">
        <f>SUM(AE49:AE57)</f>
        <v/>
      </c>
      <c r="AF48" s="1279">
        <f>SUM(AF49:AF57)</f>
        <v/>
      </c>
      <c r="AG48" s="1431" t="inlineStr"/>
      <c r="AH48" s="1431" t="n"/>
      <c r="AI48" s="1431" t="inlineStr"/>
      <c r="AJ48" s="1431" t="n"/>
      <c r="AK48" s="1431" t="n"/>
      <c r="AL48" s="1431" t="n"/>
      <c r="AM48" s="1431" t="n"/>
      <c r="AN48" s="1431" t="n"/>
      <c r="AO48" s="1432">
        <f>SUM(AP48:AV48)</f>
        <v/>
      </c>
      <c r="AP48" s="1432">
        <f>SUM(AP49:AP57)</f>
        <v/>
      </c>
      <c r="AQ48" s="1432">
        <f>SUM(AQ49:AQ57)</f>
        <v/>
      </c>
      <c r="AR48" s="1432">
        <f>SUM(AR49:AR57)</f>
        <v/>
      </c>
      <c r="AS48" s="1432">
        <f>SUM(AS49:AS57)</f>
        <v/>
      </c>
      <c r="AT48" s="1432">
        <f>SUM(AT49:AT57)</f>
        <v/>
      </c>
      <c r="AU48" s="1432">
        <f>SUM(AU49:AU57)</f>
        <v/>
      </c>
      <c r="AV48" s="1432">
        <f>SUM(AV49:AV57)</f>
        <v/>
      </c>
      <c r="AW48" s="1432">
        <f>SUM(AX48:BD48)</f>
        <v/>
      </c>
      <c r="AX48" s="1432">
        <f>SUM(AX49:AX57)</f>
        <v/>
      </c>
      <c r="AY48" s="1432">
        <f>SUM(AY49:AY57)</f>
        <v/>
      </c>
      <c r="AZ48" s="1432">
        <f>SUM(AZ49:AZ57)</f>
        <v/>
      </c>
      <c r="BA48" s="1432">
        <f>SUM(BA49:BA57)</f>
        <v/>
      </c>
      <c r="BB48" s="1432">
        <f>SUM(BB49:BB57)</f>
        <v/>
      </c>
      <c r="BC48" s="1432">
        <f>SUM(BC49:BC57)</f>
        <v/>
      </c>
      <c r="BD48" s="1432">
        <f>SUM(BD49:BD57)</f>
        <v/>
      </c>
      <c r="BE48" s="1432">
        <f>SUM(BF48:BL48)</f>
        <v/>
      </c>
      <c r="BF48" s="1432">
        <f>SUM(BF49:BF57)</f>
        <v/>
      </c>
      <c r="BG48" s="1432">
        <f>SUM(BG49:BG57)</f>
        <v/>
      </c>
      <c r="BH48" s="1432">
        <f>SUM(BH49:BH57)</f>
        <v/>
      </c>
      <c r="BI48" s="1432">
        <f>SUM(BI49:BI57)</f>
        <v/>
      </c>
      <c r="BJ48" s="1432">
        <f>SUM(BJ49:BJ57)</f>
        <v/>
      </c>
      <c r="BK48" s="1432">
        <f>SUM(BK49:BK57)</f>
        <v/>
      </c>
      <c r="BL48" s="1432">
        <f>SUM(BL49:BL57)</f>
        <v/>
      </c>
      <c r="BM48" s="716" t="n"/>
      <c r="BN48" s="716" t="n"/>
      <c r="BO48" s="716" t="n"/>
      <c r="BP48" s="716" t="n"/>
      <c r="BQ48" s="716" t="n"/>
    </row>
    <row r="49" ht="16.5" customFormat="1" customHeight="1" s="716">
      <c r="A49" s="716" t="n"/>
      <c r="B49" s="716" t="n"/>
      <c r="C49" s="716" t="n"/>
      <c r="D49" s="716" t="n"/>
      <c r="E49" s="716" t="n"/>
      <c r="F49" s="716" t="n"/>
      <c r="G49" s="716" t="n"/>
      <c r="H49" s="716" t="n"/>
      <c r="I49" s="716" t="n"/>
      <c r="J49" s="716" t="n"/>
      <c r="K49" s="716" t="n"/>
      <c r="L49" s="716" t="n"/>
      <c r="M49" s="716" t="n"/>
      <c r="N49" s="716" t="n"/>
      <c r="O49" s="716" t="n"/>
      <c r="P49" s="716" t="n"/>
      <c r="Q49" s="716" t="n"/>
      <c r="R49" s="716" t="n"/>
      <c r="S49" s="462">
        <f>IF(_epmOfflineCondition_,"  办公费-办公用品",EPMMemberDesc(U49))</f>
        <v/>
      </c>
      <c r="T49" s="716" t="n"/>
      <c r="U49" s="889" t="inlineStr">
        <is>
          <t>A030010101</t>
        </is>
      </c>
      <c r="V49" s="136">
        <f>IF(_epmOfflineCondition_,"A030010101",EPMOlapMemberO(U49,"[C_ACCOUNT].[PARENTH1].[A030010101]","A030010101 -   办公费-办公用品","","000"))</f>
        <v/>
      </c>
      <c r="W49" s="462" t="n"/>
      <c r="X49" s="333" t="inlineStr">
        <is>
          <t xml:space="preserve">  办公费-办公用品</t>
        </is>
      </c>
      <c r="Y49" s="1279">
        <f>SUM(Z49:AF49)</f>
        <v/>
      </c>
      <c r="Z49" s="1433" t="n"/>
      <c r="AA49" s="1433" t="n"/>
      <c r="AB49" s="1433" t="n"/>
      <c r="AC49" s="1433" t="n"/>
      <c r="AD49" s="1433" t="n"/>
      <c r="AE49" s="1433" t="n"/>
      <c r="AF49" s="1433" t="n"/>
      <c r="AG49" s="1431" t="n"/>
      <c r="AH49" s="1431" t="n"/>
      <c r="AI49" s="1431" t="n"/>
      <c r="AJ49" s="1431" t="n"/>
      <c r="AK49" s="1431" t="n"/>
      <c r="AL49" s="1431" t="n"/>
      <c r="AM49" s="1431" t="n"/>
      <c r="AN49" s="1431" t="n"/>
      <c r="AO49" s="1432">
        <f>SUM(AP49:AV49)</f>
        <v/>
      </c>
      <c r="AP49" s="1432" t="n"/>
      <c r="AQ49" s="1432" t="n"/>
      <c r="AR49" s="1432" t="n"/>
      <c r="AS49" s="1432" t="n"/>
      <c r="AT49" s="1432" t="n"/>
      <c r="AU49" s="1432" t="n"/>
      <c r="AV49" s="1432" t="n"/>
      <c r="AW49" s="1432">
        <f>SUM(AX49:BD49)</f>
        <v/>
      </c>
      <c r="AX49" s="1432" t="n"/>
      <c r="AY49" s="1432" t="n"/>
      <c r="AZ49" s="1432" t="n"/>
      <c r="BA49" s="1432" t="n"/>
      <c r="BB49" s="1432" t="n"/>
      <c r="BC49" s="1432" t="n"/>
      <c r="BD49" s="1432" t="n"/>
      <c r="BE49" s="1432">
        <f>SUM(BF49:BL49)</f>
        <v/>
      </c>
      <c r="BF49" s="1432" t="n"/>
      <c r="BG49" s="1432" t="n"/>
      <c r="BH49" s="1432" t="n"/>
      <c r="BI49" s="1432" t="n"/>
      <c r="BJ49" s="1432" t="n"/>
      <c r="BK49" s="1432" t="n"/>
      <c r="BL49" s="1432" t="n"/>
      <c r="BM49" s="716" t="n"/>
      <c r="BN49" s="716" t="n"/>
      <c r="BO49" s="716" t="n"/>
      <c r="BP49" s="716" t="n"/>
      <c r="BQ49" s="716" t="n"/>
    </row>
    <row r="50" ht="16.5" customFormat="1" customHeight="1" s="716">
      <c r="A50" s="716" t="n"/>
      <c r="B50" s="716" t="n"/>
      <c r="C50" s="716" t="n"/>
      <c r="D50" s="716" t="n"/>
      <c r="E50" s="716" t="n"/>
      <c r="F50" s="716" t="n"/>
      <c r="G50" s="716" t="n"/>
      <c r="H50" s="716" t="n"/>
      <c r="I50" s="716" t="n"/>
      <c r="J50" s="716" t="n"/>
      <c r="K50" s="716" t="n"/>
      <c r="L50" s="716" t="n"/>
      <c r="M50" s="716" t="n"/>
      <c r="N50" s="716" t="n"/>
      <c r="O50" s="716" t="n"/>
      <c r="P50" s="716" t="n"/>
      <c r="Q50" s="716" t="n"/>
      <c r="R50" s="716" t="n"/>
      <c r="S50" s="462">
        <f>IF(_epmOfflineCondition_,"  办公费-网络使用费",EPMMemberDesc(U50))</f>
        <v/>
      </c>
      <c r="T50" s="716" t="n"/>
      <c r="U50" s="889" t="inlineStr">
        <is>
          <t>A030010102</t>
        </is>
      </c>
      <c r="V50" s="136">
        <f>IF(_epmOfflineCondition_,"A030010102",EPMOlapMemberO(U50,"[C_ACCOUNT].[PARENTH1].[A030010102]","A030010102 -   办公费-网络使用费","","000"))</f>
        <v/>
      </c>
      <c r="W50" s="462" t="n"/>
      <c r="X50" s="333" t="inlineStr">
        <is>
          <t xml:space="preserve">  办公费-网络使用费</t>
        </is>
      </c>
      <c r="Y50" s="1279">
        <f>SUM(Z50:AF50)</f>
        <v/>
      </c>
      <c r="Z50" s="1433" t="n"/>
      <c r="AA50" s="1433" t="n"/>
      <c r="AB50" s="1433" t="n"/>
      <c r="AC50" s="1433" t="n"/>
      <c r="AD50" s="1433" t="n"/>
      <c r="AE50" s="1433" t="n"/>
      <c r="AF50" s="1433" t="n"/>
      <c r="AG50" s="1431" t="n"/>
      <c r="AH50" s="1431" t="n"/>
      <c r="AI50" s="1431" t="n"/>
      <c r="AJ50" s="1431" t="n"/>
      <c r="AK50" s="1431" t="n"/>
      <c r="AL50" s="1431" t="n"/>
      <c r="AM50" s="1431" t="n"/>
      <c r="AN50" s="1431" t="n"/>
      <c r="AO50" s="1432">
        <f>SUM(AP50:AV50)</f>
        <v/>
      </c>
      <c r="AP50" s="1432" t="n"/>
      <c r="AQ50" s="1432" t="n"/>
      <c r="AR50" s="1432" t="n"/>
      <c r="AS50" s="1432" t="n"/>
      <c r="AT50" s="1432" t="n"/>
      <c r="AU50" s="1432" t="n"/>
      <c r="AV50" s="1432" t="n"/>
      <c r="AW50" s="1432">
        <f>SUM(AX50:BD50)</f>
        <v/>
      </c>
      <c r="AX50" s="1432" t="n"/>
      <c r="AY50" s="1432" t="n"/>
      <c r="AZ50" s="1432" t="n"/>
      <c r="BA50" s="1432" t="n"/>
      <c r="BB50" s="1432" t="n"/>
      <c r="BC50" s="1432" t="n"/>
      <c r="BD50" s="1432" t="n"/>
      <c r="BE50" s="1432">
        <f>SUM(BF50:BL50)</f>
        <v/>
      </c>
      <c r="BF50" s="1432" t="n"/>
      <c r="BG50" s="1432" t="n"/>
      <c r="BH50" s="1432" t="n"/>
      <c r="BI50" s="1432" t="n"/>
      <c r="BJ50" s="1432" t="n"/>
      <c r="BK50" s="1432" t="n"/>
      <c r="BL50" s="1432" t="n"/>
      <c r="BM50" s="716" t="n"/>
      <c r="BN50" s="716" t="n"/>
      <c r="BO50" s="716" t="n"/>
      <c r="BP50" s="716" t="n"/>
      <c r="BQ50" s="716" t="n"/>
    </row>
    <row r="51" ht="16.5" customFormat="1" customHeight="1" s="716">
      <c r="A51" s="716" t="n"/>
      <c r="B51" s="716" t="n"/>
      <c r="C51" s="716" t="n"/>
      <c r="D51" s="716" t="n"/>
      <c r="E51" s="716" t="n"/>
      <c r="F51" s="716" t="n"/>
      <c r="G51" s="716" t="n"/>
      <c r="H51" s="716" t="n"/>
      <c r="I51" s="716" t="n"/>
      <c r="J51" s="716" t="n"/>
      <c r="K51" s="716" t="n"/>
      <c r="L51" s="716" t="n"/>
      <c r="M51" s="716" t="n"/>
      <c r="N51" s="716" t="n"/>
      <c r="O51" s="716" t="n"/>
      <c r="P51" s="716" t="n"/>
      <c r="Q51" s="716" t="n"/>
      <c r="R51" s="716" t="n"/>
      <c r="S51" s="462">
        <f>IF(_epmOfflineCondition_,"  办公费-通讯费",EPMMemberDesc(U51))</f>
        <v/>
      </c>
      <c r="T51" s="716" t="n"/>
      <c r="U51" s="889" t="inlineStr">
        <is>
          <t>A030010103</t>
        </is>
      </c>
      <c r="V51" s="136">
        <f>IF(_epmOfflineCondition_,"A030010103",EPMOlapMemberO(U51,"[C_ACCOUNT].[PARENTH1].[A030010103]","A030010103 -   办公费-通讯费","","000"))</f>
        <v/>
      </c>
      <c r="W51" s="462" t="n"/>
      <c r="X51" s="333" t="inlineStr">
        <is>
          <t xml:space="preserve">  办公费-通讯费</t>
        </is>
      </c>
      <c r="Y51" s="1279">
        <f>SUM(Z51:AF51)</f>
        <v/>
      </c>
      <c r="Z51" s="1433" t="n"/>
      <c r="AA51" s="1433" t="n"/>
      <c r="AB51" s="1433" t="n"/>
      <c r="AC51" s="1433" t="n"/>
      <c r="AD51" s="1433" t="n"/>
      <c r="AE51" s="1433" t="n"/>
      <c r="AF51" s="1433" t="n"/>
      <c r="AG51" s="1431" t="n"/>
      <c r="AH51" s="1431" t="n"/>
      <c r="AI51" s="1431" t="n"/>
      <c r="AJ51" s="1431" t="n"/>
      <c r="AK51" s="1431" t="n"/>
      <c r="AL51" s="1431" t="n"/>
      <c r="AM51" s="1431" t="n"/>
      <c r="AN51" s="1431" t="n"/>
      <c r="AO51" s="1432">
        <f>SUM(AP51:AV51)</f>
        <v/>
      </c>
      <c r="AP51" s="1432" t="n"/>
      <c r="AQ51" s="1432" t="n"/>
      <c r="AR51" s="1432" t="n"/>
      <c r="AS51" s="1432" t="n"/>
      <c r="AT51" s="1432" t="n"/>
      <c r="AU51" s="1432" t="n"/>
      <c r="AV51" s="1432" t="n"/>
      <c r="AW51" s="1432">
        <f>SUM(AX51:BD51)</f>
        <v/>
      </c>
      <c r="AX51" s="1432" t="n"/>
      <c r="AY51" s="1432" t="n"/>
      <c r="AZ51" s="1432" t="n"/>
      <c r="BA51" s="1432" t="n"/>
      <c r="BB51" s="1432" t="n"/>
      <c r="BC51" s="1432" t="n"/>
      <c r="BD51" s="1432" t="n"/>
      <c r="BE51" s="1432">
        <f>SUM(BF51:BL51)</f>
        <v/>
      </c>
      <c r="BF51" s="1432" t="n"/>
      <c r="BG51" s="1432" t="n"/>
      <c r="BH51" s="1432" t="n"/>
      <c r="BI51" s="1432" t="n"/>
      <c r="BJ51" s="1432" t="n"/>
      <c r="BK51" s="1432" t="n"/>
      <c r="BL51" s="1432" t="n"/>
      <c r="BM51" s="716" t="n"/>
      <c r="BN51" s="716" t="n"/>
      <c r="BO51" s="716" t="n"/>
      <c r="BP51" s="716" t="n"/>
      <c r="BQ51" s="716" t="n"/>
    </row>
    <row r="52" ht="16.5" customFormat="1" customHeight="1" s="716">
      <c r="A52" s="716" t="n"/>
      <c r="B52" s="716" t="n"/>
      <c r="C52" s="716" t="n"/>
      <c r="D52" s="716" t="n"/>
      <c r="E52" s="716" t="n"/>
      <c r="F52" s="716" t="n"/>
      <c r="G52" s="716" t="n"/>
      <c r="H52" s="716" t="n"/>
      <c r="I52" s="716" t="n"/>
      <c r="J52" s="716" t="n"/>
      <c r="K52" s="716" t="n"/>
      <c r="L52" s="716" t="n"/>
      <c r="M52" s="716" t="n"/>
      <c r="N52" s="716" t="n"/>
      <c r="O52" s="716" t="n"/>
      <c r="P52" s="716" t="n"/>
      <c r="Q52" s="716" t="n"/>
      <c r="R52" s="716" t="n"/>
      <c r="S52" s="462">
        <f>IF(_epmOfflineCondition_,"  办公费-邮寄费",EPMMemberDesc(U52))</f>
        <v/>
      </c>
      <c r="T52" s="716" t="n"/>
      <c r="U52" s="889" t="inlineStr">
        <is>
          <t>A030010104</t>
        </is>
      </c>
      <c r="V52" s="136">
        <f>IF(_epmOfflineCondition_,"A030010104",EPMOlapMemberO(U52,"[C_ACCOUNT].[PARENTH1].[A030010104]","A030010104 -   办公费-邮寄费","","000"))</f>
        <v/>
      </c>
      <c r="W52" s="462" t="n"/>
      <c r="X52" s="333" t="inlineStr">
        <is>
          <t xml:space="preserve">  办公费-邮寄费</t>
        </is>
      </c>
      <c r="Y52" s="1279">
        <f>SUM(Z52:AF52)</f>
        <v/>
      </c>
      <c r="Z52" s="1433" t="n"/>
      <c r="AA52" s="1433" t="n"/>
      <c r="AB52" s="1433" t="n"/>
      <c r="AC52" s="1433" t="n"/>
      <c r="AD52" s="1433" t="n"/>
      <c r="AE52" s="1433" t="n"/>
      <c r="AF52" s="1433" t="n"/>
      <c r="AG52" s="1431" t="n"/>
      <c r="AH52" s="1431" t="n"/>
      <c r="AI52" s="1431" t="n"/>
      <c r="AJ52" s="1431" t="n"/>
      <c r="AK52" s="1431" t="n"/>
      <c r="AL52" s="1431" t="n"/>
      <c r="AM52" s="1431" t="n"/>
      <c r="AN52" s="1431" t="n"/>
      <c r="AO52" s="1432">
        <f>SUM(AP52:AV52)</f>
        <v/>
      </c>
      <c r="AP52" s="1432" t="n"/>
      <c r="AQ52" s="1432" t="n"/>
      <c r="AR52" s="1432" t="n"/>
      <c r="AS52" s="1432" t="n"/>
      <c r="AT52" s="1432" t="n"/>
      <c r="AU52" s="1432" t="n"/>
      <c r="AV52" s="1432" t="n"/>
      <c r="AW52" s="1432">
        <f>SUM(AX52:BD52)</f>
        <v/>
      </c>
      <c r="AX52" s="1432" t="n"/>
      <c r="AY52" s="1432" t="n"/>
      <c r="AZ52" s="1432" t="n"/>
      <c r="BA52" s="1432" t="n"/>
      <c r="BB52" s="1432" t="n"/>
      <c r="BC52" s="1432" t="n"/>
      <c r="BD52" s="1432" t="n"/>
      <c r="BE52" s="1432">
        <f>SUM(BF52:BL52)</f>
        <v/>
      </c>
      <c r="BF52" s="1432" t="n"/>
      <c r="BG52" s="1432" t="n"/>
      <c r="BH52" s="1432" t="n"/>
      <c r="BI52" s="1432" t="n"/>
      <c r="BJ52" s="1432" t="n"/>
      <c r="BK52" s="1432" t="n"/>
      <c r="BL52" s="1432" t="n"/>
      <c r="BM52" s="716" t="n"/>
      <c r="BN52" s="716" t="n"/>
      <c r="BO52" s="716" t="n"/>
      <c r="BP52" s="716" t="n"/>
      <c r="BQ52" s="716" t="n"/>
    </row>
    <row r="53" ht="16.5" customFormat="1" customHeight="1" s="716">
      <c r="A53" s="716" t="n"/>
      <c r="B53" s="716" t="n"/>
      <c r="C53" s="716" t="n"/>
      <c r="D53" s="716" t="n"/>
      <c r="E53" s="716" t="n"/>
      <c r="F53" s="716" t="n"/>
      <c r="G53" s="716" t="n"/>
      <c r="H53" s="716" t="n"/>
      <c r="I53" s="716" t="n"/>
      <c r="J53" s="716" t="n"/>
      <c r="K53" s="716" t="n"/>
      <c r="L53" s="716" t="n"/>
      <c r="M53" s="716" t="n"/>
      <c r="N53" s="716" t="n"/>
      <c r="O53" s="716" t="n"/>
      <c r="P53" s="716" t="n"/>
      <c r="Q53" s="716" t="n"/>
      <c r="R53" s="716" t="n"/>
      <c r="S53" s="462">
        <f>IF(_epmOfflineCondition_,"  办公费-书报费",EPMMemberDesc(U53))</f>
        <v/>
      </c>
      <c r="T53" s="716" t="n"/>
      <c r="U53" s="889" t="inlineStr">
        <is>
          <t>A030010105</t>
        </is>
      </c>
      <c r="V53" s="136">
        <f>IF(_epmOfflineCondition_,"A030010105",EPMOlapMemberO(U53,"[C_ACCOUNT].[PARENTH1].[A030010105]","A030010105 -   办公费-书报费","","000"))</f>
        <v/>
      </c>
      <c r="W53" s="462" t="n"/>
      <c r="X53" s="333" t="inlineStr">
        <is>
          <t xml:space="preserve">  办公费-书报费</t>
        </is>
      </c>
      <c r="Y53" s="1279">
        <f>SUM(Z53:AF53)</f>
        <v/>
      </c>
      <c r="Z53" s="1433" t="n"/>
      <c r="AA53" s="1433" t="n"/>
      <c r="AB53" s="1433" t="n"/>
      <c r="AC53" s="1433" t="n"/>
      <c r="AD53" s="1433" t="n"/>
      <c r="AE53" s="1433" t="n"/>
      <c r="AF53" s="1433" t="n"/>
      <c r="AG53" s="1431" t="n"/>
      <c r="AH53" s="1431" t="n"/>
      <c r="AI53" s="1431" t="n"/>
      <c r="AJ53" s="1431" t="n"/>
      <c r="AK53" s="1431" t="n"/>
      <c r="AL53" s="1431" t="n"/>
      <c r="AM53" s="1431" t="n"/>
      <c r="AN53" s="1431" t="n"/>
      <c r="AO53" s="1432">
        <f>SUM(AP53:AV53)</f>
        <v/>
      </c>
      <c r="AP53" s="1432" t="n"/>
      <c r="AQ53" s="1432" t="n"/>
      <c r="AR53" s="1432" t="n"/>
      <c r="AS53" s="1432" t="n"/>
      <c r="AT53" s="1432" t="n"/>
      <c r="AU53" s="1432" t="n"/>
      <c r="AV53" s="1432" t="n"/>
      <c r="AW53" s="1432">
        <f>SUM(AX53:BD53)</f>
        <v/>
      </c>
      <c r="AX53" s="1432" t="n"/>
      <c r="AY53" s="1432" t="n"/>
      <c r="AZ53" s="1432" t="n"/>
      <c r="BA53" s="1432" t="n"/>
      <c r="BB53" s="1432" t="n"/>
      <c r="BC53" s="1432" t="n"/>
      <c r="BD53" s="1432" t="n"/>
      <c r="BE53" s="1432">
        <f>SUM(BF53:BL53)</f>
        <v/>
      </c>
      <c r="BF53" s="1432" t="n"/>
      <c r="BG53" s="1432" t="n"/>
      <c r="BH53" s="1432" t="n"/>
      <c r="BI53" s="1432" t="n"/>
      <c r="BJ53" s="1432" t="n"/>
      <c r="BK53" s="1432" t="n"/>
      <c r="BL53" s="1432" t="n"/>
      <c r="BM53" s="716" t="n"/>
      <c r="BN53" s="716" t="n"/>
      <c r="BO53" s="716" t="n"/>
      <c r="BP53" s="716" t="n"/>
      <c r="BQ53" s="716" t="n"/>
    </row>
    <row r="54" ht="16.5" customFormat="1" customHeight="1" s="716">
      <c r="A54" s="716" t="n"/>
      <c r="B54" s="716" t="n"/>
      <c r="C54" s="716" t="n"/>
      <c r="D54" s="716" t="n"/>
      <c r="E54" s="716" t="n"/>
      <c r="F54" s="716" t="n"/>
      <c r="G54" s="716" t="n"/>
      <c r="H54" s="716" t="n"/>
      <c r="I54" s="716" t="n"/>
      <c r="J54" s="716" t="n"/>
      <c r="K54" s="716" t="n"/>
      <c r="L54" s="716" t="n"/>
      <c r="M54" s="716" t="n"/>
      <c r="N54" s="716" t="n"/>
      <c r="O54" s="716" t="n"/>
      <c r="P54" s="716" t="n"/>
      <c r="Q54" s="716" t="n"/>
      <c r="R54" s="716" t="n"/>
      <c r="S54" s="462">
        <f>IF(_epmOfflineCondition_,"  办公费-资料费",EPMMemberDesc(U54))</f>
        <v/>
      </c>
      <c r="T54" s="716" t="n"/>
      <c r="U54" s="889" t="inlineStr">
        <is>
          <t>A030010106</t>
        </is>
      </c>
      <c r="V54" s="136">
        <f>IF(_epmOfflineCondition_,"A030010106",EPMOlapMemberO(U54,"[C_ACCOUNT].[PARENTH1].[A030010106]","A030010106 -   办公费-资料费","","000"))</f>
        <v/>
      </c>
      <c r="W54" s="462" t="n"/>
      <c r="X54" s="333" t="inlineStr">
        <is>
          <t xml:space="preserve">  办公费-资料费</t>
        </is>
      </c>
      <c r="Y54" s="1279">
        <f>SUM(Z54:AF54)</f>
        <v/>
      </c>
      <c r="Z54" s="1433" t="n"/>
      <c r="AA54" s="1433" t="n"/>
      <c r="AB54" s="1433" t="n"/>
      <c r="AC54" s="1433" t="n"/>
      <c r="AD54" s="1433" t="n"/>
      <c r="AE54" s="1433" t="n"/>
      <c r="AF54" s="1433" t="n"/>
      <c r="AG54" s="1431" t="n"/>
      <c r="AH54" s="1431" t="n"/>
      <c r="AI54" s="1431" t="n"/>
      <c r="AJ54" s="1431" t="n"/>
      <c r="AK54" s="1431" t="n"/>
      <c r="AL54" s="1431" t="n"/>
      <c r="AM54" s="1431" t="n"/>
      <c r="AN54" s="1431" t="n"/>
      <c r="AO54" s="1432">
        <f>SUM(AP54:AV54)</f>
        <v/>
      </c>
      <c r="AP54" s="1432" t="n"/>
      <c r="AQ54" s="1432" t="n"/>
      <c r="AR54" s="1432" t="n"/>
      <c r="AS54" s="1432" t="n"/>
      <c r="AT54" s="1432" t="n"/>
      <c r="AU54" s="1432" t="n"/>
      <c r="AV54" s="1432" t="n"/>
      <c r="AW54" s="1432">
        <f>SUM(AX54:BD54)</f>
        <v/>
      </c>
      <c r="AX54" s="1432" t="n"/>
      <c r="AY54" s="1432" t="n"/>
      <c r="AZ54" s="1432" t="n"/>
      <c r="BA54" s="1432" t="n"/>
      <c r="BB54" s="1432" t="n"/>
      <c r="BC54" s="1432" t="n"/>
      <c r="BD54" s="1432" t="n"/>
      <c r="BE54" s="1432">
        <f>SUM(BF54:BL54)</f>
        <v/>
      </c>
      <c r="BF54" s="1432" t="n"/>
      <c r="BG54" s="1432" t="n"/>
      <c r="BH54" s="1432" t="n"/>
      <c r="BI54" s="1432" t="n"/>
      <c r="BJ54" s="1432" t="n"/>
      <c r="BK54" s="1432" t="n"/>
      <c r="BL54" s="1432" t="n"/>
      <c r="BM54" s="716" t="n"/>
      <c r="BN54" s="716" t="n"/>
      <c r="BO54" s="716" t="n"/>
      <c r="BP54" s="716" t="n"/>
      <c r="BQ54" s="716" t="n"/>
    </row>
    <row r="55" ht="16.5" customFormat="1" customHeight="1" s="716">
      <c r="A55" s="716" t="n"/>
      <c r="B55" s="716" t="n"/>
      <c r="C55" s="716" t="n"/>
      <c r="D55" s="716" t="n"/>
      <c r="E55" s="716" t="n"/>
      <c r="F55" s="716" t="n"/>
      <c r="G55" s="716" t="n"/>
      <c r="H55" s="716" t="n"/>
      <c r="I55" s="716" t="n"/>
      <c r="J55" s="716" t="n"/>
      <c r="K55" s="716" t="n"/>
      <c r="L55" s="716" t="n"/>
      <c r="M55" s="716" t="n"/>
      <c r="N55" s="716" t="n"/>
      <c r="O55" s="716" t="n"/>
      <c r="P55" s="716" t="n"/>
      <c r="Q55" s="716" t="n"/>
      <c r="R55" s="716" t="n"/>
      <c r="S55" s="462">
        <f>IF(_epmOfflineCondition_,"  办公费-宣传费",EPMMemberDesc(U55))</f>
        <v/>
      </c>
      <c r="T55" s="716" t="n"/>
      <c r="U55" s="889" t="inlineStr">
        <is>
          <t>A030010107</t>
        </is>
      </c>
      <c r="V55" s="136">
        <f>IF(_epmOfflineCondition_,"A030010107",EPMOlapMemberO(U55,"[C_ACCOUNT].[PARENTH1].[A030010107]","A030010107 -   办公费-宣传费","","000"))</f>
        <v/>
      </c>
      <c r="W55" s="462" t="n"/>
      <c r="X55" s="333" t="inlineStr">
        <is>
          <t xml:space="preserve">  办公费-宣传费</t>
        </is>
      </c>
      <c r="Y55" s="1279">
        <f>SUM(Z55:AF55)</f>
        <v/>
      </c>
      <c r="Z55" s="1433" t="n"/>
      <c r="AA55" s="1433" t="n"/>
      <c r="AB55" s="1433" t="n"/>
      <c r="AC55" s="1433" t="n"/>
      <c r="AD55" s="1433" t="n"/>
      <c r="AE55" s="1433" t="n"/>
      <c r="AF55" s="1433" t="n"/>
      <c r="AG55" s="1431" t="n"/>
      <c r="AH55" s="1431" t="n"/>
      <c r="AI55" s="1431" t="n"/>
      <c r="AJ55" s="1431" t="n"/>
      <c r="AK55" s="1431" t="n"/>
      <c r="AL55" s="1431" t="n"/>
      <c r="AM55" s="1431" t="n"/>
      <c r="AN55" s="1431" t="n"/>
      <c r="AO55" s="1432">
        <f>SUM(AP55:AV55)</f>
        <v/>
      </c>
      <c r="AP55" s="1432" t="n"/>
      <c r="AQ55" s="1432" t="n"/>
      <c r="AR55" s="1432" t="n"/>
      <c r="AS55" s="1432" t="n"/>
      <c r="AT55" s="1432" t="n"/>
      <c r="AU55" s="1432" t="n"/>
      <c r="AV55" s="1432" t="n"/>
      <c r="AW55" s="1432">
        <f>SUM(AX55:BD55)</f>
        <v/>
      </c>
      <c r="AX55" s="1432" t="n"/>
      <c r="AY55" s="1432" t="n"/>
      <c r="AZ55" s="1432" t="n"/>
      <c r="BA55" s="1432" t="n"/>
      <c r="BB55" s="1432" t="n"/>
      <c r="BC55" s="1432" t="n"/>
      <c r="BD55" s="1432" t="n"/>
      <c r="BE55" s="1432">
        <f>SUM(BF55:BL55)</f>
        <v/>
      </c>
      <c r="BF55" s="1432" t="n"/>
      <c r="BG55" s="1432" t="n"/>
      <c r="BH55" s="1432" t="n"/>
      <c r="BI55" s="1432" t="n"/>
      <c r="BJ55" s="1432" t="n"/>
      <c r="BK55" s="1432" t="n"/>
      <c r="BL55" s="1432" t="n"/>
      <c r="BM55" s="716" t="n"/>
      <c r="BN55" s="716" t="n"/>
      <c r="BO55" s="716" t="n"/>
      <c r="BP55" s="716" t="n"/>
      <c r="BQ55" s="716" t="n"/>
    </row>
    <row r="56" ht="16.5" customFormat="1" customHeight="1" s="716">
      <c r="A56" s="716" t="n"/>
      <c r="B56" s="716" t="n"/>
      <c r="C56" s="716" t="n"/>
      <c r="D56" s="716" t="n"/>
      <c r="E56" s="716" t="n"/>
      <c r="F56" s="716" t="n"/>
      <c r="G56" s="716" t="n"/>
      <c r="H56" s="716" t="n"/>
      <c r="I56" s="716" t="n"/>
      <c r="J56" s="716" t="n"/>
      <c r="K56" s="716" t="n"/>
      <c r="L56" s="716" t="n"/>
      <c r="M56" s="716" t="n"/>
      <c r="N56" s="716" t="n"/>
      <c r="O56" s="716" t="n"/>
      <c r="P56" s="716" t="n"/>
      <c r="Q56" s="716" t="n"/>
      <c r="R56" s="716" t="n"/>
      <c r="S56" s="462">
        <f>IF(_epmOfflineCondition_,"  办公费-印刷费",EPMMemberDesc(U56))</f>
        <v/>
      </c>
      <c r="T56" s="716" t="n"/>
      <c r="U56" s="889" t="inlineStr">
        <is>
          <t>A030010108</t>
        </is>
      </c>
      <c r="V56" s="136">
        <f>IF(_epmOfflineCondition_,"A030010108",EPMOlapMemberO(U56,"[C_ACCOUNT].[PARENTH1].[A030010108]","A030010108 -   办公费-印刷费","","000"))</f>
        <v/>
      </c>
      <c r="W56" s="462" t="n"/>
      <c r="X56" s="333" t="inlineStr">
        <is>
          <t xml:space="preserve">  办公费-印刷费</t>
        </is>
      </c>
      <c r="Y56" s="1279">
        <f>SUM(Z56:AF56)</f>
        <v/>
      </c>
      <c r="Z56" s="1433" t="n"/>
      <c r="AA56" s="1433" t="n"/>
      <c r="AB56" s="1433" t="n"/>
      <c r="AC56" s="1433" t="n"/>
      <c r="AD56" s="1433" t="n"/>
      <c r="AE56" s="1433" t="n"/>
      <c r="AF56" s="1433" t="n"/>
      <c r="AG56" s="1431" t="n"/>
      <c r="AH56" s="1431" t="n"/>
      <c r="AI56" s="1431" t="n"/>
      <c r="AJ56" s="1431" t="n"/>
      <c r="AK56" s="1431" t="n"/>
      <c r="AL56" s="1431" t="n"/>
      <c r="AM56" s="1431" t="n"/>
      <c r="AN56" s="1431" t="n"/>
      <c r="AO56" s="1432">
        <f>SUM(AP56:AV56)</f>
        <v/>
      </c>
      <c r="AP56" s="1432" t="n"/>
      <c r="AQ56" s="1432" t="n"/>
      <c r="AR56" s="1432" t="n"/>
      <c r="AS56" s="1432" t="n"/>
      <c r="AT56" s="1432" t="n"/>
      <c r="AU56" s="1432" t="n"/>
      <c r="AV56" s="1432" t="n"/>
      <c r="AW56" s="1432">
        <f>SUM(AX56:BD56)</f>
        <v/>
      </c>
      <c r="AX56" s="1432" t="n"/>
      <c r="AY56" s="1432" t="n"/>
      <c r="AZ56" s="1432" t="n"/>
      <c r="BA56" s="1432" t="n"/>
      <c r="BB56" s="1432" t="n"/>
      <c r="BC56" s="1432" t="n"/>
      <c r="BD56" s="1432" t="n"/>
      <c r="BE56" s="1432">
        <f>SUM(BF56:BL56)</f>
        <v/>
      </c>
      <c r="BF56" s="1432" t="n"/>
      <c r="BG56" s="1432" t="n"/>
      <c r="BH56" s="1432" t="n"/>
      <c r="BI56" s="1432" t="n"/>
      <c r="BJ56" s="1432" t="n"/>
      <c r="BK56" s="1432" t="n"/>
      <c r="BL56" s="1432" t="n"/>
      <c r="BM56" s="716" t="n"/>
      <c r="BN56" s="716" t="n"/>
      <c r="BO56" s="716" t="n"/>
      <c r="BP56" s="716" t="n"/>
      <c r="BQ56" s="716" t="n"/>
    </row>
    <row r="57">
      <c r="A57" s="384" t="n"/>
      <c r="B57" s="384" t="n"/>
      <c r="C57" s="384" t="n"/>
      <c r="D57" s="384" t="n"/>
      <c r="E57" s="384" t="n"/>
      <c r="F57" s="384" t="n"/>
      <c r="G57" s="384" t="n"/>
      <c r="H57" s="384" t="n"/>
      <c r="I57" s="384" t="n"/>
      <c r="J57" s="384" t="n"/>
      <c r="K57" s="384" t="n"/>
      <c r="L57" s="384" t="n"/>
      <c r="M57" s="384" t="n"/>
      <c r="N57" s="384" t="n"/>
      <c r="O57" s="384" t="n"/>
      <c r="P57" s="384" t="n"/>
      <c r="Q57" s="384" t="n"/>
      <c r="R57" s="384" t="n"/>
      <c r="S57" s="462">
        <f>IF(_epmOfflineCondition_,"  办公费-其他",EPMMemberDesc(U57))</f>
        <v/>
      </c>
      <c r="T57" s="384" t="n"/>
      <c r="U57" s="889" t="inlineStr">
        <is>
          <t>A030010109</t>
        </is>
      </c>
      <c r="V57" s="136">
        <f>IF(_epmOfflineCondition_,"A030010109",EPMOlapMemberO(U57,"[C_ACCOUNT].[PARENTH1].[A030010109]","A030010109 -   办公费-其他","","000"))</f>
        <v/>
      </c>
      <c r="W57" s="384" t="n"/>
      <c r="X57" s="333" t="inlineStr">
        <is>
          <t xml:space="preserve">  办公费-其他</t>
        </is>
      </c>
      <c r="Y57" s="1279">
        <f>SUM(Z57:AF57)</f>
        <v/>
      </c>
      <c r="Z57" s="1433" t="n"/>
      <c r="AA57" s="1433" t="inlineStr"/>
      <c r="AB57" s="1433" t="n"/>
      <c r="AC57" s="1433" t="n"/>
      <c r="AD57" s="1433" t="n"/>
      <c r="AE57" s="1433" t="n"/>
      <c r="AF57" s="1433" t="n"/>
      <c r="AG57" s="1431" t="inlineStr"/>
      <c r="AH57" s="1431" t="n"/>
      <c r="AI57" s="1431" t="inlineStr"/>
      <c r="AJ57" s="1431" t="n"/>
      <c r="AK57" s="1431" t="n"/>
      <c r="AL57" s="1431" t="n"/>
      <c r="AM57" s="1431" t="n"/>
      <c r="AN57" s="1431" t="n"/>
      <c r="AO57" s="1432">
        <f>SUM(AP57:AV57)</f>
        <v/>
      </c>
      <c r="AP57" s="1432" t="n"/>
      <c r="AQ57" s="1432" t="n"/>
      <c r="AR57" s="1432" t="n"/>
      <c r="AS57" s="1432" t="n"/>
      <c r="AT57" s="1432" t="n"/>
      <c r="AU57" s="1432" t="n"/>
      <c r="AV57" s="1432" t="n"/>
      <c r="AW57" s="1432">
        <f>SUM(AX57:BD57)</f>
        <v/>
      </c>
      <c r="AX57" s="1432" t="n"/>
      <c r="AY57" s="1432" t="n"/>
      <c r="AZ57" s="1432" t="n"/>
      <c r="BA57" s="1432" t="n"/>
      <c r="BB57" s="1432" t="n"/>
      <c r="BC57" s="1432" t="n"/>
      <c r="BD57" s="1432" t="n"/>
      <c r="BE57" s="1432">
        <f>SUM(BF57:BL57)</f>
        <v/>
      </c>
      <c r="BF57" s="1432" t="n"/>
      <c r="BG57" s="1432" t="n"/>
      <c r="BH57" s="1432" t="n"/>
      <c r="BI57" s="1432" t="n"/>
      <c r="BJ57" s="1432" t="n"/>
      <c r="BK57" s="1432" t="n"/>
      <c r="BL57" s="1432" t="n"/>
      <c r="BM57" s="384" t="n"/>
      <c r="BN57" s="384" t="n"/>
      <c r="BO57" s="384" t="n"/>
      <c r="BP57" s="384" t="n"/>
      <c r="BQ57" s="384" t="n"/>
    </row>
    <row r="58">
      <c r="A58" s="384" t="n"/>
      <c r="B58" s="384" t="n"/>
      <c r="C58" s="384" t="n"/>
      <c r="D58" s="384" t="n"/>
      <c r="E58" s="384" t="n"/>
      <c r="F58" s="384" t="n"/>
      <c r="G58" s="384" t="n"/>
      <c r="H58" s="384" t="n"/>
      <c r="I58" s="384" t="n"/>
      <c r="J58" s="384" t="n"/>
      <c r="K58" s="384" t="n"/>
      <c r="L58" s="384" t="n"/>
      <c r="M58" s="384" t="n"/>
      <c r="N58" s="384" t="n"/>
      <c r="O58" s="384" t="n"/>
      <c r="P58" s="384" t="n"/>
      <c r="Q58" s="384" t="n"/>
      <c r="R58" s="384" t="n"/>
      <c r="S58" s="462">
        <f>IF(_epmOfflineCondition_,"  水电费",EPMMemberDesc(U58))</f>
        <v/>
      </c>
      <c r="T58" s="384" t="n"/>
      <c r="U58" s="889" t="inlineStr">
        <is>
          <t>A0300102</t>
        </is>
      </c>
      <c r="V58" s="135">
        <f>IF(_epmOfflineCondition_,"A0300102",EPMOlapMemberO(U58,"[C_ACCOUNT].[PARENTH1].[A0300102]","A0300102 -   水电费","","000"))</f>
        <v/>
      </c>
      <c r="W58" s="384" t="n"/>
      <c r="X58" s="332" t="inlineStr">
        <is>
          <t xml:space="preserve">  水电费</t>
        </is>
      </c>
      <c r="Y58" s="1279">
        <f>SUM(Z58:AF58)</f>
        <v/>
      </c>
      <c r="Z58" s="1279">
        <f>SUM(Z59:Z60)</f>
        <v/>
      </c>
      <c r="AA58" s="1279">
        <f>SUM(AA59:AA60)</f>
        <v/>
      </c>
      <c r="AB58" s="1279">
        <f>SUM(AB59:AB60)</f>
        <v/>
      </c>
      <c r="AC58" s="1279">
        <f>SUM(AC59:AC60)</f>
        <v/>
      </c>
      <c r="AD58" s="1279">
        <f>SUM(AD59:AD60)</f>
        <v/>
      </c>
      <c r="AE58" s="1279">
        <f>SUM(AE59:AE60)</f>
        <v/>
      </c>
      <c r="AF58" s="1279">
        <f>SUM(AF59:AF60)</f>
        <v/>
      </c>
      <c r="AG58" s="1431" t="inlineStr"/>
      <c r="AH58" s="1431" t="n"/>
      <c r="AI58" s="1431" t="inlineStr"/>
      <c r="AJ58" s="1431" t="n"/>
      <c r="AK58" s="1431" t="n"/>
      <c r="AL58" s="1431" t="n"/>
      <c r="AM58" s="1431" t="n"/>
      <c r="AN58" s="1431" t="n"/>
      <c r="AO58" s="1432">
        <f>SUM(AP58:AV58)</f>
        <v/>
      </c>
      <c r="AP58" s="1432">
        <f>SUM(AP59:AP60)</f>
        <v/>
      </c>
      <c r="AQ58" s="1432">
        <f>SUM(AQ59:AQ60)</f>
        <v/>
      </c>
      <c r="AR58" s="1432">
        <f>SUM(AR59:AR60)</f>
        <v/>
      </c>
      <c r="AS58" s="1432">
        <f>SUM(AS59:AS60)</f>
        <v/>
      </c>
      <c r="AT58" s="1432">
        <f>SUM(AT59:AT60)</f>
        <v/>
      </c>
      <c r="AU58" s="1432">
        <f>SUM(AU59:AU60)</f>
        <v/>
      </c>
      <c r="AV58" s="1432">
        <f>SUM(AV59:AV60)</f>
        <v/>
      </c>
      <c r="AW58" s="1432">
        <f>SUM(AX58:BD58)</f>
        <v/>
      </c>
      <c r="AX58" s="1432">
        <f>SUM(AX59:AX60)</f>
        <v/>
      </c>
      <c r="AY58" s="1432">
        <f>SUM(AY59:AY60)</f>
        <v/>
      </c>
      <c r="AZ58" s="1432">
        <f>SUM(AZ59:AZ60)</f>
        <v/>
      </c>
      <c r="BA58" s="1432">
        <f>SUM(BA59:BA60)</f>
        <v/>
      </c>
      <c r="BB58" s="1432">
        <f>SUM(BB59:BB60)</f>
        <v/>
      </c>
      <c r="BC58" s="1432">
        <f>SUM(BC59:BC60)</f>
        <v/>
      </c>
      <c r="BD58" s="1432">
        <f>SUM(BD59:BD60)</f>
        <v/>
      </c>
      <c r="BE58" s="1432">
        <f>SUM(BF58:BL58)</f>
        <v/>
      </c>
      <c r="BF58" s="1432">
        <f>SUM(BF59:BF60)</f>
        <v/>
      </c>
      <c r="BG58" s="1432">
        <f>SUM(BG59:BG60)</f>
        <v/>
      </c>
      <c r="BH58" s="1432">
        <f>SUM(BH59:BH60)</f>
        <v/>
      </c>
      <c r="BI58" s="1432">
        <f>SUM(BI59:BI60)</f>
        <v/>
      </c>
      <c r="BJ58" s="1432">
        <f>SUM(BJ59:BJ60)</f>
        <v/>
      </c>
      <c r="BK58" s="1432">
        <f>SUM(BK59:BK60)</f>
        <v/>
      </c>
      <c r="BL58" s="1432">
        <f>SUM(BL59:BL60)</f>
        <v/>
      </c>
      <c r="BM58" s="384" t="n"/>
      <c r="BN58" s="384" t="n"/>
      <c r="BO58" s="384" t="n"/>
      <c r="BP58" s="384" t="n"/>
      <c r="BQ58" s="384" t="n"/>
    </row>
    <row r="59">
      <c r="A59" s="384" t="n"/>
      <c r="B59" s="384" t="n"/>
      <c r="C59" s="384" t="n"/>
      <c r="D59" s="384" t="n"/>
      <c r="E59" s="384" t="n"/>
      <c r="F59" s="384" t="n"/>
      <c r="G59" s="384" t="n"/>
      <c r="H59" s="384" t="n"/>
      <c r="I59" s="384" t="n"/>
      <c r="J59" s="384" t="n"/>
      <c r="K59" s="384" t="n"/>
      <c r="L59" s="384" t="n"/>
      <c r="M59" s="384" t="n"/>
      <c r="N59" s="384" t="n"/>
      <c r="O59" s="384" t="n"/>
      <c r="P59" s="384" t="n"/>
      <c r="Q59" s="384" t="n"/>
      <c r="R59" s="384" t="n"/>
      <c r="S59" s="462">
        <f>IF(_epmOfflineCondition_,"  水电费-水费",EPMMemberDesc(U59))</f>
        <v/>
      </c>
      <c r="T59" s="384" t="n"/>
      <c r="U59" s="889" t="inlineStr">
        <is>
          <t>A030010201</t>
        </is>
      </c>
      <c r="V59" s="136">
        <f>IF(_epmOfflineCondition_,"A030010201",EPMOlapMemberO(U59,"[C_ACCOUNT].[PARENTH1].[A030010201]","A030010201 -   水电费-水费","","000"))</f>
        <v/>
      </c>
      <c r="W59" s="384" t="n"/>
      <c r="X59" s="333" t="inlineStr">
        <is>
          <t xml:space="preserve">  水电费-水费</t>
        </is>
      </c>
      <c r="Y59" s="1279">
        <f>SUM(Z59:AF59)</f>
        <v/>
      </c>
      <c r="Z59" s="1433" t="n"/>
      <c r="AA59" s="1433" t="inlineStr"/>
      <c r="AB59" s="1433" t="n"/>
      <c r="AC59" s="1433" t="n"/>
      <c r="AD59" s="1433" t="n"/>
      <c r="AE59" s="1433" t="n"/>
      <c r="AF59" s="1433" t="n"/>
      <c r="AG59" s="1431" t="inlineStr"/>
      <c r="AH59" s="1431" t="n"/>
      <c r="AI59" s="1431" t="inlineStr"/>
      <c r="AJ59" s="1431" t="n"/>
      <c r="AK59" s="1431" t="n"/>
      <c r="AL59" s="1431" t="n"/>
      <c r="AM59" s="1431" t="n"/>
      <c r="AN59" s="1431" t="n"/>
      <c r="AO59" s="1432">
        <f>SUM(AP59:AV59)</f>
        <v/>
      </c>
      <c r="AP59" s="1432" t="n"/>
      <c r="AQ59" s="1432" t="n"/>
      <c r="AR59" s="1432" t="n"/>
      <c r="AS59" s="1432" t="n"/>
      <c r="AT59" s="1432" t="n"/>
      <c r="AU59" s="1432" t="n"/>
      <c r="AV59" s="1432" t="n"/>
      <c r="AW59" s="1432">
        <f>SUM(AX59:BD59)</f>
        <v/>
      </c>
      <c r="AX59" s="1432" t="n"/>
      <c r="AY59" s="1432" t="n"/>
      <c r="AZ59" s="1432" t="n"/>
      <c r="BA59" s="1432" t="n"/>
      <c r="BB59" s="1432" t="n"/>
      <c r="BC59" s="1432" t="n"/>
      <c r="BD59" s="1432" t="n"/>
      <c r="BE59" s="1432">
        <f>SUM(BF59:BL59)</f>
        <v/>
      </c>
      <c r="BF59" s="1432" t="n"/>
      <c r="BG59" s="1432" t="n"/>
      <c r="BH59" s="1432" t="n"/>
      <c r="BI59" s="1432" t="n"/>
      <c r="BJ59" s="1432" t="n"/>
      <c r="BK59" s="1432" t="n"/>
      <c r="BL59" s="1432" t="n"/>
      <c r="BM59" s="384" t="n"/>
      <c r="BN59" s="384" t="n"/>
      <c r="BO59" s="384" t="n"/>
      <c r="BP59" s="384" t="n"/>
      <c r="BQ59" s="384" t="n"/>
    </row>
    <row r="60">
      <c r="A60" s="384" t="n"/>
      <c r="B60" s="384" t="n"/>
      <c r="C60" s="384" t="n"/>
      <c r="D60" s="384" t="n"/>
      <c r="E60" s="384" t="n"/>
      <c r="F60" s="384" t="n"/>
      <c r="G60" s="384" t="n"/>
      <c r="H60" s="384" t="n"/>
      <c r="I60" s="384" t="n"/>
      <c r="J60" s="384" t="n"/>
      <c r="K60" s="384" t="n"/>
      <c r="L60" s="384" t="n"/>
      <c r="M60" s="384" t="n"/>
      <c r="N60" s="384" t="n"/>
      <c r="O60" s="384" t="n"/>
      <c r="P60" s="384" t="n"/>
      <c r="Q60" s="384" t="n"/>
      <c r="R60" s="384" t="n"/>
      <c r="S60" s="462">
        <f>IF(_epmOfflineCondition_,"  水电费-电费",EPMMemberDesc(U60))</f>
        <v/>
      </c>
      <c r="T60" s="384" t="n"/>
      <c r="U60" s="889" t="inlineStr">
        <is>
          <t>A030010202</t>
        </is>
      </c>
      <c r="V60" s="136">
        <f>IF(_epmOfflineCondition_,"A030010202",EPMOlapMemberO(U60,"[C_ACCOUNT].[PARENTH1].[A030010202]","A030010202 -   水电费-电费","","000"))</f>
        <v/>
      </c>
      <c r="W60" s="384" t="n"/>
      <c r="X60" s="333" t="inlineStr">
        <is>
          <t xml:space="preserve">  水电费-电费</t>
        </is>
      </c>
      <c r="Y60" s="1279">
        <f>SUM(Z60:AF60)</f>
        <v/>
      </c>
      <c r="Z60" s="1433" t="n"/>
      <c r="AA60" s="1433" t="inlineStr"/>
      <c r="AB60" s="1433" t="n"/>
      <c r="AC60" s="1433" t="n"/>
      <c r="AD60" s="1433" t="n"/>
      <c r="AE60" s="1433" t="n"/>
      <c r="AF60" s="1433" t="n"/>
      <c r="AG60" s="1431" t="inlineStr"/>
      <c r="AH60" s="1431" t="n"/>
      <c r="AI60" s="1431" t="inlineStr"/>
      <c r="AJ60" s="1431" t="n"/>
      <c r="AK60" s="1431" t="n"/>
      <c r="AL60" s="1431" t="n"/>
      <c r="AM60" s="1431" t="n"/>
      <c r="AN60" s="1431" t="n"/>
      <c r="AO60" s="1432">
        <f>SUM(AP60:AV60)</f>
        <v/>
      </c>
      <c r="AP60" s="1432" t="n"/>
      <c r="AQ60" s="1432" t="n"/>
      <c r="AR60" s="1432" t="n"/>
      <c r="AS60" s="1432" t="n"/>
      <c r="AT60" s="1432" t="n"/>
      <c r="AU60" s="1432" t="n"/>
      <c r="AV60" s="1432" t="n"/>
      <c r="AW60" s="1432">
        <f>SUM(AX60:BD60)</f>
        <v/>
      </c>
      <c r="AX60" s="1432" t="n"/>
      <c r="AY60" s="1432" t="n"/>
      <c r="AZ60" s="1432" t="n"/>
      <c r="BA60" s="1432" t="n"/>
      <c r="BB60" s="1432" t="n"/>
      <c r="BC60" s="1432" t="n"/>
      <c r="BD60" s="1432" t="n"/>
      <c r="BE60" s="1432">
        <f>SUM(BF60:BL60)</f>
        <v/>
      </c>
      <c r="BF60" s="1432" t="n"/>
      <c r="BG60" s="1432" t="n"/>
      <c r="BH60" s="1432" t="n"/>
      <c r="BI60" s="1432" t="n"/>
      <c r="BJ60" s="1432" t="n"/>
      <c r="BK60" s="1432" t="n"/>
      <c r="BL60" s="1432" t="n"/>
      <c r="BM60" s="384" t="n"/>
      <c r="BN60" s="384" t="n"/>
      <c r="BO60" s="384" t="n"/>
      <c r="BP60" s="384" t="n"/>
      <c r="BQ60" s="384" t="n"/>
    </row>
    <row r="61">
      <c r="A61" s="384" t="n"/>
      <c r="B61" s="384" t="n"/>
      <c r="C61" s="384" t="n"/>
      <c r="D61" s="384" t="n"/>
      <c r="E61" s="384" t="n"/>
      <c r="F61" s="384" t="n"/>
      <c r="G61" s="384" t="n"/>
      <c r="H61" s="384" t="n"/>
      <c r="I61" s="384" t="n"/>
      <c r="J61" s="384" t="n"/>
      <c r="K61" s="384" t="n"/>
      <c r="L61" s="384" t="n"/>
      <c r="M61" s="384" t="n"/>
      <c r="N61" s="384" t="n"/>
      <c r="O61" s="384" t="n"/>
      <c r="P61" s="384" t="n"/>
      <c r="Q61" s="384" t="n"/>
      <c r="R61" s="384" t="n"/>
      <c r="S61" s="462">
        <f>IF(_epmOfflineCondition_,"  取暖制冷费",EPMMemberDesc(U61))</f>
        <v/>
      </c>
      <c r="T61" s="384" t="n"/>
      <c r="U61" s="889" t="inlineStr">
        <is>
          <t>A0300103</t>
        </is>
      </c>
      <c r="V61" s="135">
        <f>IF(_epmOfflineCondition_,"A0300103",EPMOlapMemberO(U61,"[C_ACCOUNT].[PARENTH1].[A0300103]","A0300103 -   取暖制冷费","","000"))</f>
        <v/>
      </c>
      <c r="W61" s="384" t="n"/>
      <c r="X61" s="334" t="inlineStr">
        <is>
          <t xml:space="preserve">  取暖制冷费</t>
        </is>
      </c>
      <c r="Y61" s="1279">
        <f>SUM(Z61:AF61)</f>
        <v/>
      </c>
      <c r="Z61" s="1433" t="n"/>
      <c r="AA61" s="1433" t="n"/>
      <c r="AB61" s="1433" t="n"/>
      <c r="AC61" s="1433" t="n"/>
      <c r="AD61" s="1433" t="n"/>
      <c r="AE61" s="1433" t="n"/>
      <c r="AF61" s="1433" t="n"/>
      <c r="AG61" s="1431" t="n"/>
      <c r="AH61" s="1431" t="n"/>
      <c r="AI61" s="1431" t="n"/>
      <c r="AJ61" s="1431" t="n"/>
      <c r="AK61" s="1431" t="n"/>
      <c r="AL61" s="1431" t="n"/>
      <c r="AM61" s="1431" t="n"/>
      <c r="AN61" s="1431" t="n"/>
      <c r="AO61" s="1432">
        <f>SUM(AP61:AV61)</f>
        <v/>
      </c>
      <c r="AP61" s="1432" t="n"/>
      <c r="AQ61" s="1432" t="n"/>
      <c r="AR61" s="1432" t="n"/>
      <c r="AS61" s="1432" t="n"/>
      <c r="AT61" s="1432" t="n"/>
      <c r="AU61" s="1432" t="n"/>
      <c r="AV61" s="1432" t="n"/>
      <c r="AW61" s="1432">
        <f>SUM(AX61:BD61)</f>
        <v/>
      </c>
      <c r="AX61" s="1432" t="n"/>
      <c r="AY61" s="1432" t="n"/>
      <c r="AZ61" s="1432" t="n"/>
      <c r="BA61" s="1432" t="n"/>
      <c r="BB61" s="1432" t="n"/>
      <c r="BC61" s="1432" t="n"/>
      <c r="BD61" s="1432" t="n"/>
      <c r="BE61" s="1432">
        <f>SUM(BF61:BL61)</f>
        <v/>
      </c>
      <c r="BF61" s="1432" t="n"/>
      <c r="BG61" s="1432" t="n"/>
      <c r="BH61" s="1432" t="n"/>
      <c r="BI61" s="1432" t="n"/>
      <c r="BJ61" s="1432" t="n"/>
      <c r="BK61" s="1432" t="n"/>
      <c r="BL61" s="1432" t="n"/>
      <c r="BM61" s="384" t="n"/>
      <c r="BN61" s="384" t="n"/>
      <c r="BO61" s="384" t="n"/>
      <c r="BP61" s="384" t="n"/>
      <c r="BQ61" s="384" t="n"/>
    </row>
    <row r="62">
      <c r="A62" s="384" t="n"/>
      <c r="B62" s="384" t="n"/>
      <c r="C62" s="384" t="n"/>
      <c r="D62" s="384" t="n"/>
      <c r="E62" s="384" t="n"/>
      <c r="F62" s="384" t="n"/>
      <c r="G62" s="384" t="n"/>
      <c r="H62" s="384" t="n"/>
      <c r="I62" s="384" t="n"/>
      <c r="J62" s="384" t="n"/>
      <c r="K62" s="384" t="n"/>
      <c r="L62" s="384" t="n"/>
      <c r="M62" s="384" t="n"/>
      <c r="N62" s="384" t="n"/>
      <c r="O62" s="384" t="n"/>
      <c r="P62" s="384" t="n"/>
      <c r="Q62" s="384" t="n"/>
      <c r="R62" s="384" t="n"/>
      <c r="S62" s="462">
        <f>IF(_epmOfflineCondition_,"  差旅费",EPMMemberDesc(U62))</f>
        <v/>
      </c>
      <c r="T62" s="384" t="n"/>
      <c r="U62" s="889" t="inlineStr">
        <is>
          <t>A0300104</t>
        </is>
      </c>
      <c r="V62" s="135">
        <f>IF(_epmOfflineCondition_,"A0300104",EPMOlapMemberO(U62,"[C_ACCOUNT].[PARENTH1].[A0300104]","A0300104 -   差旅费","","000"))</f>
        <v/>
      </c>
      <c r="W62" s="384" t="n"/>
      <c r="X62" s="334" t="inlineStr">
        <is>
          <t xml:space="preserve">  差旅费</t>
        </is>
      </c>
      <c r="Y62" s="1279">
        <f>SUM(Z62:AF62)</f>
        <v/>
      </c>
      <c r="Z62" s="1433" t="n"/>
      <c r="AA62" s="1433" t="inlineStr"/>
      <c r="AB62" s="1433" t="n"/>
      <c r="AC62" s="1433" t="n"/>
      <c r="AD62" s="1433" t="n"/>
      <c r="AE62" s="1433" t="n"/>
      <c r="AF62" s="1433" t="n"/>
      <c r="AG62" s="1431" t="inlineStr"/>
      <c r="AH62" s="1431" t="n"/>
      <c r="AI62" s="1431" t="inlineStr"/>
      <c r="AJ62" s="1431" t="n"/>
      <c r="AK62" s="1431" t="n"/>
      <c r="AL62" s="1431" t="n"/>
      <c r="AM62" s="1431" t="n"/>
      <c r="AN62" s="1431" t="n"/>
      <c r="AO62" s="1432">
        <f>SUM(AP62:AV62)</f>
        <v/>
      </c>
      <c r="AP62" s="1432" t="n"/>
      <c r="AQ62" s="1432" t="n"/>
      <c r="AR62" s="1432" t="n"/>
      <c r="AS62" s="1432" t="n"/>
      <c r="AT62" s="1432" t="n"/>
      <c r="AU62" s="1432" t="n"/>
      <c r="AV62" s="1432" t="n"/>
      <c r="AW62" s="1432">
        <f>SUM(AX62:BD62)</f>
        <v/>
      </c>
      <c r="AX62" s="1432" t="n"/>
      <c r="AY62" s="1432" t="n"/>
      <c r="AZ62" s="1432" t="n"/>
      <c r="BA62" s="1432" t="n"/>
      <c r="BB62" s="1432" t="n"/>
      <c r="BC62" s="1432" t="n"/>
      <c r="BD62" s="1432" t="n"/>
      <c r="BE62" s="1432">
        <f>SUM(BF62:BL62)</f>
        <v/>
      </c>
      <c r="BF62" s="1432" t="n"/>
      <c r="BG62" s="1432" t="n"/>
      <c r="BH62" s="1432" t="n"/>
      <c r="BI62" s="1432" t="n"/>
      <c r="BJ62" s="1432" t="n"/>
      <c r="BK62" s="1432" t="n"/>
      <c r="BL62" s="1432" t="n"/>
      <c r="BM62" s="384" t="n"/>
      <c r="BN62" s="384" t="n"/>
      <c r="BO62" s="384" t="n"/>
      <c r="BP62" s="384" t="n"/>
      <c r="BQ62" s="384" t="n"/>
    </row>
    <row r="63">
      <c r="A63" s="384" t="n"/>
      <c r="B63" s="384" t="n"/>
      <c r="C63" s="384" t="n"/>
      <c r="D63" s="384" t="n"/>
      <c r="E63" s="384" t="n"/>
      <c r="F63" s="384" t="n"/>
      <c r="G63" s="384" t="n"/>
      <c r="H63" s="384" t="n"/>
      <c r="I63" s="384" t="n"/>
      <c r="J63" s="384" t="n"/>
      <c r="K63" s="384" t="n"/>
      <c r="L63" s="384" t="n"/>
      <c r="M63" s="384" t="n"/>
      <c r="N63" s="384" t="n"/>
      <c r="O63" s="384" t="n"/>
      <c r="P63" s="384" t="n"/>
      <c r="Q63" s="384" t="n"/>
      <c r="R63" s="384" t="n"/>
      <c r="S63" s="462">
        <f>IF(_epmOfflineCondition_,"  低值易耗品摊销",EPMMemberDesc(U63))</f>
        <v/>
      </c>
      <c r="T63" s="384" t="n"/>
      <c r="U63" s="889" t="inlineStr">
        <is>
          <t>A0300105</t>
        </is>
      </c>
      <c r="V63" s="135">
        <f>IF(_epmOfflineCondition_,"A0300105",EPMOlapMemberO(U63,"[C_ACCOUNT].[PARENTH1].[A0300105]","A0300105 -   低值易耗品摊销","","000"))</f>
        <v/>
      </c>
      <c r="W63" s="384" t="n"/>
      <c r="X63" s="334" t="inlineStr">
        <is>
          <t xml:space="preserve">  低值易耗品摊销</t>
        </is>
      </c>
      <c r="Y63" s="1279">
        <f>SUM(Z63:AF63)</f>
        <v/>
      </c>
      <c r="Z63" s="1433" t="n"/>
      <c r="AA63" s="1433" t="n"/>
      <c r="AB63" s="1433" t="n"/>
      <c r="AC63" s="1433" t="n"/>
      <c r="AD63" s="1433" t="n"/>
      <c r="AE63" s="1433" t="n"/>
      <c r="AF63" s="1433" t="n"/>
      <c r="AG63" s="1431" t="n"/>
      <c r="AH63" s="1431" t="n"/>
      <c r="AI63" s="1431" t="n"/>
      <c r="AJ63" s="1431" t="n"/>
      <c r="AK63" s="1431" t="n"/>
      <c r="AL63" s="1431" t="n"/>
      <c r="AM63" s="1431" t="n"/>
      <c r="AN63" s="1431" t="n"/>
      <c r="AO63" s="1432">
        <f>SUM(AP63:AV63)</f>
        <v/>
      </c>
      <c r="AP63" s="1432" t="n"/>
      <c r="AQ63" s="1432" t="n"/>
      <c r="AR63" s="1432" t="n"/>
      <c r="AS63" s="1432" t="n"/>
      <c r="AT63" s="1432" t="n"/>
      <c r="AU63" s="1432" t="n"/>
      <c r="AV63" s="1432" t="n"/>
      <c r="AW63" s="1432">
        <f>SUM(AX63:BD63)</f>
        <v/>
      </c>
      <c r="AX63" s="1432" t="n"/>
      <c r="AY63" s="1432" t="n"/>
      <c r="AZ63" s="1432" t="n"/>
      <c r="BA63" s="1432" t="n"/>
      <c r="BB63" s="1432" t="n"/>
      <c r="BC63" s="1432" t="n"/>
      <c r="BD63" s="1432" t="n"/>
      <c r="BE63" s="1432">
        <f>SUM(BF63:BL63)</f>
        <v/>
      </c>
      <c r="BF63" s="1432" t="n"/>
      <c r="BG63" s="1432" t="n"/>
      <c r="BH63" s="1432" t="n"/>
      <c r="BI63" s="1432" t="n"/>
      <c r="BJ63" s="1432" t="n"/>
      <c r="BK63" s="1432" t="n"/>
      <c r="BL63" s="1432" t="n"/>
      <c r="BM63" s="384" t="n"/>
      <c r="BN63" s="384" t="n"/>
      <c r="BO63" s="384" t="n"/>
      <c r="BP63" s="384" t="n"/>
      <c r="BQ63" s="384" t="n"/>
    </row>
    <row r="64">
      <c r="A64" s="384" t="n"/>
      <c r="B64" s="384" t="n"/>
      <c r="C64" s="384" t="n"/>
      <c r="D64" s="384" t="n"/>
      <c r="E64" s="384" t="n"/>
      <c r="F64" s="384" t="n"/>
      <c r="G64" s="384" t="n"/>
      <c r="H64" s="384" t="n"/>
      <c r="I64" s="384" t="n"/>
      <c r="J64" s="384" t="n"/>
      <c r="K64" s="384" t="n"/>
      <c r="L64" s="384" t="n"/>
      <c r="M64" s="384" t="n"/>
      <c r="N64" s="384" t="n"/>
      <c r="O64" s="384" t="n"/>
      <c r="P64" s="384" t="n"/>
      <c r="Q64" s="384" t="n"/>
      <c r="R64" s="384" t="n"/>
      <c r="S64" s="462">
        <f>IF(_epmOfflineCondition_,"  运输费",EPMMemberDesc(U64))</f>
        <v/>
      </c>
      <c r="T64" s="384" t="n"/>
      <c r="U64" s="889" t="inlineStr">
        <is>
          <t>A0300106</t>
        </is>
      </c>
      <c r="V64" s="135">
        <f>IF(_epmOfflineCondition_,"A0300106",EPMOlapMemberO(U64,"[C_ACCOUNT].[PARENTH1].[A0300106]","A0300106 -   运输费","","000"))</f>
        <v/>
      </c>
      <c r="W64" s="384" t="n"/>
      <c r="X64" s="332" t="inlineStr">
        <is>
          <t xml:space="preserve">  运输费</t>
        </is>
      </c>
      <c r="Y64" s="1279">
        <f>SUM(Z64:AF64)</f>
        <v/>
      </c>
      <c r="Z64" s="1279">
        <f>SUM(Z65:Z70)</f>
        <v/>
      </c>
      <c r="AA64" s="1279">
        <f>SUM(AA65:AA70)</f>
        <v/>
      </c>
      <c r="AB64" s="1279">
        <f>SUM(AB65:AB70)</f>
        <v/>
      </c>
      <c r="AC64" s="1279">
        <f>SUM(AC65:AC70)</f>
        <v/>
      </c>
      <c r="AD64" s="1279">
        <f>SUM(AD65:AD70)</f>
        <v/>
      </c>
      <c r="AE64" s="1279">
        <f>SUM(AE65:AE70)</f>
        <v/>
      </c>
      <c r="AF64" s="1279">
        <f>SUM(AF65:AF70)</f>
        <v/>
      </c>
      <c r="AG64" s="1431" t="inlineStr"/>
      <c r="AH64" s="1431" t="n"/>
      <c r="AI64" s="1431" t="inlineStr"/>
      <c r="AJ64" s="1431" t="n"/>
      <c r="AK64" s="1431" t="n"/>
      <c r="AL64" s="1431" t="n"/>
      <c r="AM64" s="1431" t="n"/>
      <c r="AN64" s="1431" t="n"/>
      <c r="AO64" s="1432">
        <f>SUM(AP64:AV64)</f>
        <v/>
      </c>
      <c r="AP64" s="1432">
        <f>SUM(AP65:AP70)</f>
        <v/>
      </c>
      <c r="AQ64" s="1432">
        <f>SUM(AQ65:AQ70)</f>
        <v/>
      </c>
      <c r="AR64" s="1432">
        <f>SUM(AR65:AR70)</f>
        <v/>
      </c>
      <c r="AS64" s="1432">
        <f>SUM(AS65:AS70)</f>
        <v/>
      </c>
      <c r="AT64" s="1432">
        <f>SUM(AT65:AT70)</f>
        <v/>
      </c>
      <c r="AU64" s="1432">
        <f>SUM(AU65:AU70)</f>
        <v/>
      </c>
      <c r="AV64" s="1432">
        <f>SUM(AV65:AV70)</f>
        <v/>
      </c>
      <c r="AW64" s="1432">
        <f>SUM(AX64:BD64)</f>
        <v/>
      </c>
      <c r="AX64" s="1432">
        <f>SUM(AX65:AX70)</f>
        <v/>
      </c>
      <c r="AY64" s="1432">
        <f>SUM(AY65:AY70)</f>
        <v/>
      </c>
      <c r="AZ64" s="1432">
        <f>SUM(AZ65:AZ70)</f>
        <v/>
      </c>
      <c r="BA64" s="1432">
        <f>SUM(BA65:BA70)</f>
        <v/>
      </c>
      <c r="BB64" s="1432">
        <f>SUM(BB65:BB70)</f>
        <v/>
      </c>
      <c r="BC64" s="1432">
        <f>SUM(BC65:BC70)</f>
        <v/>
      </c>
      <c r="BD64" s="1432">
        <f>SUM(BD65:BD70)</f>
        <v/>
      </c>
      <c r="BE64" s="1432">
        <f>SUM(BF64:BL64)</f>
        <v/>
      </c>
      <c r="BF64" s="1432">
        <f>SUM(BF65:BF70)</f>
        <v/>
      </c>
      <c r="BG64" s="1432">
        <f>SUM(BG65:BG70)</f>
        <v/>
      </c>
      <c r="BH64" s="1432">
        <f>SUM(BH65:BH70)</f>
        <v/>
      </c>
      <c r="BI64" s="1432">
        <f>SUM(BI65:BI70)</f>
        <v/>
      </c>
      <c r="BJ64" s="1432">
        <f>SUM(BJ65:BJ70)</f>
        <v/>
      </c>
      <c r="BK64" s="1432">
        <f>SUM(BK65:BK70)</f>
        <v/>
      </c>
      <c r="BL64" s="1432">
        <f>SUM(BL65:BL70)</f>
        <v/>
      </c>
      <c r="BM64" s="384" t="n"/>
      <c r="BN64" s="384" t="n"/>
      <c r="BO64" s="384" t="n"/>
      <c r="BP64" s="384" t="n"/>
      <c r="BQ64" s="384" t="n"/>
    </row>
    <row r="65">
      <c r="A65" s="384" t="n"/>
      <c r="B65" s="384" t="n"/>
      <c r="C65" s="384" t="n"/>
      <c r="D65" s="384" t="n"/>
      <c r="E65" s="384" t="n"/>
      <c r="F65" s="384" t="n"/>
      <c r="G65" s="384" t="n"/>
      <c r="H65" s="384" t="n"/>
      <c r="I65" s="384" t="n"/>
      <c r="J65" s="384" t="n"/>
      <c r="K65" s="384" t="n"/>
      <c r="L65" s="384" t="n"/>
      <c r="M65" s="384" t="n"/>
      <c r="N65" s="384" t="n"/>
      <c r="O65" s="384" t="n"/>
      <c r="P65" s="384" t="n"/>
      <c r="Q65" s="384" t="n"/>
      <c r="R65" s="384" t="n"/>
      <c r="S65" s="462">
        <f>IF(_epmOfflineCondition_,"  运输费-车辆修理费",EPMMemberDesc(U65))</f>
        <v/>
      </c>
      <c r="T65" s="384" t="n"/>
      <c r="U65" s="889" t="inlineStr">
        <is>
          <t>A030010601</t>
        </is>
      </c>
      <c r="V65" s="136">
        <f>IF(_epmOfflineCondition_,"A030010601",EPMOlapMemberO(U65,"[C_ACCOUNT].[PARENTH1].[A030010601]","A030010601 -   运输费-车辆修理费","","000"))</f>
        <v/>
      </c>
      <c r="W65" s="384" t="n"/>
      <c r="X65" s="333" t="inlineStr">
        <is>
          <t xml:space="preserve">  运输费-车辆修理费</t>
        </is>
      </c>
      <c r="Y65" s="1279">
        <f>SUM(Z65:AF65)</f>
        <v/>
      </c>
      <c r="Z65" s="1434" t="n"/>
      <c r="AA65" s="1434" t="inlineStr"/>
      <c r="AB65" s="1434" t="n"/>
      <c r="AC65" s="1434" t="n"/>
      <c r="AD65" s="1434" t="n"/>
      <c r="AE65" s="1434" t="n"/>
      <c r="AF65" s="1434" t="n"/>
      <c r="AG65" s="1431" t="inlineStr"/>
      <c r="AH65" s="1435" t="n"/>
      <c r="AI65" s="1435" t="inlineStr"/>
      <c r="AJ65" s="1435" t="n"/>
      <c r="AK65" s="1435" t="n"/>
      <c r="AL65" s="1435" t="n"/>
      <c r="AM65" s="1435" t="n"/>
      <c r="AN65" s="1435" t="n"/>
      <c r="AO65" s="1432">
        <f>SUM(AP64:AV64)</f>
        <v/>
      </c>
      <c r="AP65" s="1436" t="n"/>
      <c r="AQ65" s="1436" t="n"/>
      <c r="AR65" s="1436" t="n"/>
      <c r="AS65" s="1436" t="n"/>
      <c r="AT65" s="1436" t="n"/>
      <c r="AU65" s="1436" t="n"/>
      <c r="AV65" s="1436" t="n"/>
      <c r="AW65" s="1432">
        <f>SUM(AX64:BD64)</f>
        <v/>
      </c>
      <c r="AX65" s="1436" t="n"/>
      <c r="AY65" s="1436" t="n"/>
      <c r="AZ65" s="1436" t="n"/>
      <c r="BA65" s="1436" t="n"/>
      <c r="BB65" s="1436" t="n"/>
      <c r="BC65" s="1436" t="n"/>
      <c r="BD65" s="1436" t="n"/>
      <c r="BE65" s="1432">
        <f>SUM(BF64:BL64)</f>
        <v/>
      </c>
      <c r="BF65" s="1436" t="n"/>
      <c r="BG65" s="1436" t="n"/>
      <c r="BH65" s="1436" t="n"/>
      <c r="BI65" s="1436" t="n"/>
      <c r="BJ65" s="1436" t="n"/>
      <c r="BK65" s="1436" t="n"/>
      <c r="BL65" s="1436" t="n"/>
      <c r="BM65" s="384" t="n"/>
      <c r="BN65" s="384" t="n"/>
      <c r="BO65" s="384" t="n"/>
      <c r="BP65" s="384" t="n"/>
      <c r="BQ65" s="384" t="n"/>
    </row>
    <row r="66">
      <c r="A66" s="384" t="n"/>
      <c r="B66" s="384" t="n"/>
      <c r="C66" s="384" t="n"/>
      <c r="D66" s="384" t="n"/>
      <c r="E66" s="384" t="n"/>
      <c r="F66" s="384" t="n"/>
      <c r="G66" s="384" t="n"/>
      <c r="H66" s="384" t="n"/>
      <c r="I66" s="384" t="n"/>
      <c r="J66" s="384" t="n"/>
      <c r="K66" s="384" t="n"/>
      <c r="L66" s="384" t="n"/>
      <c r="M66" s="384" t="n"/>
      <c r="N66" s="384" t="n"/>
      <c r="O66" s="384" t="n"/>
      <c r="P66" s="384" t="n"/>
      <c r="Q66" s="384" t="n"/>
      <c r="R66" s="384" t="n"/>
      <c r="S66" s="462">
        <f>IF(_epmOfflineCondition_,"  运输费-停车过路费",EPMMemberDesc(U66))</f>
        <v/>
      </c>
      <c r="T66" s="384" t="n"/>
      <c r="U66" s="889" t="inlineStr">
        <is>
          <t>A030010602</t>
        </is>
      </c>
      <c r="V66" s="136">
        <f>IF(_epmOfflineCondition_,"A030010602",EPMOlapMemberO(U66,"[C_ACCOUNT].[PARENTH1].[A030010602]","A030010602 -   运输费-停车过路费","","000"))</f>
        <v/>
      </c>
      <c r="W66" s="384" t="n"/>
      <c r="X66" s="333" t="inlineStr">
        <is>
          <t xml:space="preserve">  运输费-停车过路费</t>
        </is>
      </c>
      <c r="Y66" s="1279">
        <f>SUM(Z66:AF66)</f>
        <v/>
      </c>
      <c r="Z66" s="1433" t="n"/>
      <c r="AA66" s="1433" t="n"/>
      <c r="AB66" s="1433" t="n"/>
      <c r="AC66" s="1433" t="n"/>
      <c r="AD66" s="1433" t="n"/>
      <c r="AE66" s="1433" t="n"/>
      <c r="AF66" s="1433" t="n"/>
      <c r="AG66" s="1431" t="n"/>
      <c r="AH66" s="1431" t="n"/>
      <c r="AI66" s="1431" t="n"/>
      <c r="AJ66" s="1431" t="n"/>
      <c r="AK66" s="1431" t="n"/>
      <c r="AL66" s="1431" t="n"/>
      <c r="AM66" s="1431" t="n"/>
      <c r="AN66" s="1431" t="n"/>
      <c r="AO66" s="1432">
        <f>SUM(AP66:AV66)</f>
        <v/>
      </c>
      <c r="AP66" s="1432" t="n"/>
      <c r="AQ66" s="1432" t="n"/>
      <c r="AR66" s="1432" t="n"/>
      <c r="AS66" s="1432" t="n"/>
      <c r="AT66" s="1432" t="n"/>
      <c r="AU66" s="1432" t="n"/>
      <c r="AV66" s="1432" t="n"/>
      <c r="AW66" s="1432">
        <f>SUM(AX66:BD66)</f>
        <v/>
      </c>
      <c r="AX66" s="1432" t="n"/>
      <c r="AY66" s="1432" t="n"/>
      <c r="AZ66" s="1432" t="n"/>
      <c r="BA66" s="1432" t="n"/>
      <c r="BB66" s="1432" t="n"/>
      <c r="BC66" s="1432" t="n"/>
      <c r="BD66" s="1432" t="n"/>
      <c r="BE66" s="1432">
        <f>SUM(BF66:BL66)</f>
        <v/>
      </c>
      <c r="BF66" s="1432" t="n"/>
      <c r="BG66" s="1432" t="n"/>
      <c r="BH66" s="1432" t="n"/>
      <c r="BI66" s="1432" t="n"/>
      <c r="BJ66" s="1432" t="n"/>
      <c r="BK66" s="1432" t="n"/>
      <c r="BL66" s="1432" t="n"/>
      <c r="BM66" s="384" t="n"/>
      <c r="BN66" s="384" t="n"/>
      <c r="BO66" s="384" t="n"/>
      <c r="BP66" s="384" t="n"/>
      <c r="BQ66" s="384" t="n"/>
    </row>
    <row r="67">
      <c r="A67" s="384" t="n"/>
      <c r="B67" s="384" t="n"/>
      <c r="C67" s="384" t="n"/>
      <c r="D67" s="384" t="n"/>
      <c r="E67" s="384" t="n"/>
      <c r="F67" s="384" t="n"/>
      <c r="G67" s="384" t="n"/>
      <c r="H67" s="384" t="n"/>
      <c r="I67" s="384" t="n"/>
      <c r="J67" s="384" t="n"/>
      <c r="K67" s="384" t="n"/>
      <c r="L67" s="384" t="n"/>
      <c r="M67" s="384" t="n"/>
      <c r="N67" s="384" t="n"/>
      <c r="O67" s="384" t="n"/>
      <c r="P67" s="384" t="n"/>
      <c r="Q67" s="384" t="n"/>
      <c r="R67" s="384" t="n"/>
      <c r="S67" s="462">
        <f>IF(_epmOfflineCondition_,"  运输费-车辆油料费",EPMMemberDesc(U67))</f>
        <v/>
      </c>
      <c r="T67" s="384" t="n"/>
      <c r="U67" s="889" t="inlineStr">
        <is>
          <t>A030010603</t>
        </is>
      </c>
      <c r="V67" s="136">
        <f>IF(_epmOfflineCondition_,"A030010603",EPMOlapMemberO(U67,"[C_ACCOUNT].[PARENTH1].[A030010603]","A030010603 -   运输费-车辆油料费","","000"))</f>
        <v/>
      </c>
      <c r="W67" s="384" t="n"/>
      <c r="X67" s="333" t="inlineStr">
        <is>
          <t xml:space="preserve">  运输费-车辆油料费</t>
        </is>
      </c>
      <c r="Y67" s="1279">
        <f>SUM(Z67:AF67)</f>
        <v/>
      </c>
      <c r="Z67" s="1433" t="n"/>
      <c r="AA67" s="1433" t="inlineStr"/>
      <c r="AB67" s="1433" t="n"/>
      <c r="AC67" s="1433" t="n"/>
      <c r="AD67" s="1433" t="n"/>
      <c r="AE67" s="1433" t="n"/>
      <c r="AF67" s="1433" t="n"/>
      <c r="AG67" s="1431" t="inlineStr"/>
      <c r="AH67" s="1431" t="n"/>
      <c r="AI67" s="1431" t="inlineStr"/>
      <c r="AJ67" s="1431" t="n"/>
      <c r="AK67" s="1431" t="n"/>
      <c r="AL67" s="1431" t="n"/>
      <c r="AM67" s="1431" t="n"/>
      <c r="AN67" s="1431" t="n"/>
      <c r="AO67" s="1432">
        <f>SUM(AP67:AV67)</f>
        <v/>
      </c>
      <c r="AP67" s="1432" t="n"/>
      <c r="AQ67" s="1432" t="n"/>
      <c r="AR67" s="1432" t="n"/>
      <c r="AS67" s="1432" t="n"/>
      <c r="AT67" s="1432" t="n"/>
      <c r="AU67" s="1432" t="n"/>
      <c r="AV67" s="1432" t="n"/>
      <c r="AW67" s="1432">
        <f>SUM(AX67:BD67)</f>
        <v/>
      </c>
      <c r="AX67" s="1432" t="n"/>
      <c r="AY67" s="1432" t="n"/>
      <c r="AZ67" s="1432" t="n"/>
      <c r="BA67" s="1432" t="n"/>
      <c r="BB67" s="1432" t="n"/>
      <c r="BC67" s="1432" t="n"/>
      <c r="BD67" s="1432" t="n"/>
      <c r="BE67" s="1432">
        <f>SUM(BF67:BL67)</f>
        <v/>
      </c>
      <c r="BF67" s="1432" t="n"/>
      <c r="BG67" s="1432" t="n"/>
      <c r="BH67" s="1432" t="n"/>
      <c r="BI67" s="1432" t="n"/>
      <c r="BJ67" s="1432" t="n"/>
      <c r="BK67" s="1432" t="n"/>
      <c r="BL67" s="1432" t="n"/>
      <c r="BM67" s="384" t="n"/>
      <c r="BN67" s="384" t="n"/>
      <c r="BO67" s="384" t="n"/>
      <c r="BP67" s="384" t="n"/>
      <c r="BQ67" s="384" t="n"/>
    </row>
    <row r="68">
      <c r="A68" s="384" t="n"/>
      <c r="B68" s="384" t="n"/>
      <c r="C68" s="384" t="n"/>
      <c r="D68" s="384" t="n"/>
      <c r="E68" s="384" t="n"/>
      <c r="F68" s="384" t="n"/>
      <c r="G68" s="384" t="n"/>
      <c r="H68" s="384" t="n"/>
      <c r="I68" s="384" t="n"/>
      <c r="J68" s="384" t="n"/>
      <c r="K68" s="384" t="n"/>
      <c r="L68" s="384" t="n"/>
      <c r="M68" s="384" t="n"/>
      <c r="N68" s="384" t="n"/>
      <c r="O68" s="384" t="n"/>
      <c r="P68" s="384" t="n"/>
      <c r="Q68" s="384" t="n"/>
      <c r="R68" s="384" t="n"/>
      <c r="S68" s="462">
        <f>IF(_epmOfflineCondition_,"  运输费-搬运费",EPMMemberDesc(U68))</f>
        <v/>
      </c>
      <c r="T68" s="384" t="n"/>
      <c r="U68" s="889" t="inlineStr">
        <is>
          <t>A030010604</t>
        </is>
      </c>
      <c r="V68" s="136">
        <f>IF(_epmOfflineCondition_,"A030010604",EPMOlapMemberO(U68,"[C_ACCOUNT].[PARENTH1].[A030010604]","A030010604 -   运输费-搬运费","","000"))</f>
        <v/>
      </c>
      <c r="W68" s="384" t="n"/>
      <c r="X68" s="333" t="inlineStr">
        <is>
          <t xml:space="preserve">  运输费-搬运费</t>
        </is>
      </c>
      <c r="Y68" s="1279">
        <f>SUM(Z68:AF68)</f>
        <v/>
      </c>
      <c r="Z68" s="1433" t="n"/>
      <c r="AA68" s="1433" t="n"/>
      <c r="AB68" s="1433" t="n"/>
      <c r="AC68" s="1433" t="n"/>
      <c r="AD68" s="1433" t="n"/>
      <c r="AE68" s="1433" t="n"/>
      <c r="AF68" s="1433" t="n"/>
      <c r="AG68" s="1431" t="n"/>
      <c r="AH68" s="1431" t="n"/>
      <c r="AI68" s="1431" t="n"/>
      <c r="AJ68" s="1431" t="n"/>
      <c r="AK68" s="1431" t="n"/>
      <c r="AL68" s="1431" t="n"/>
      <c r="AM68" s="1431" t="n"/>
      <c r="AN68" s="1431" t="n"/>
      <c r="AO68" s="1432">
        <f>SUM(AP68:AV68)</f>
        <v/>
      </c>
      <c r="AP68" s="1432" t="n"/>
      <c r="AQ68" s="1432" t="n"/>
      <c r="AR68" s="1432" t="n"/>
      <c r="AS68" s="1432" t="n"/>
      <c r="AT68" s="1432" t="n"/>
      <c r="AU68" s="1432" t="n"/>
      <c r="AV68" s="1432" t="n"/>
      <c r="AW68" s="1432">
        <f>SUM(AX68:BD68)</f>
        <v/>
      </c>
      <c r="AX68" s="1432" t="n"/>
      <c r="AY68" s="1432" t="n"/>
      <c r="AZ68" s="1432" t="n"/>
      <c r="BA68" s="1432" t="n"/>
      <c r="BB68" s="1432" t="n"/>
      <c r="BC68" s="1432" t="n"/>
      <c r="BD68" s="1432" t="n"/>
      <c r="BE68" s="1432">
        <f>SUM(BF68:BL68)</f>
        <v/>
      </c>
      <c r="BF68" s="1432" t="n"/>
      <c r="BG68" s="1432" t="n"/>
      <c r="BH68" s="1432" t="n"/>
      <c r="BI68" s="1432" t="n"/>
      <c r="BJ68" s="1432" t="n"/>
      <c r="BK68" s="1432" t="n"/>
      <c r="BL68" s="1432" t="n"/>
      <c r="BM68" s="384" t="n"/>
      <c r="BN68" s="384" t="n"/>
      <c r="BO68" s="384" t="n"/>
      <c r="BP68" s="384" t="n"/>
      <c r="BQ68" s="384" t="n"/>
    </row>
    <row r="69">
      <c r="A69" s="384" t="n"/>
      <c r="B69" s="384" t="n"/>
      <c r="C69" s="384" t="n"/>
      <c r="D69" s="384" t="n"/>
      <c r="E69" s="384" t="n"/>
      <c r="F69" s="384" t="n"/>
      <c r="G69" s="384" t="n"/>
      <c r="H69" s="384" t="n"/>
      <c r="I69" s="384" t="n"/>
      <c r="J69" s="384" t="n"/>
      <c r="K69" s="384" t="n"/>
      <c r="L69" s="384" t="n"/>
      <c r="M69" s="384" t="n"/>
      <c r="N69" s="384" t="n"/>
      <c r="O69" s="384" t="n"/>
      <c r="P69" s="384" t="n"/>
      <c r="Q69" s="384" t="n"/>
      <c r="R69" s="384" t="n"/>
      <c r="S69" s="462">
        <f>IF(_epmOfflineCondition_,"  运输费-航驳船运费",EPMMemberDesc(U69))</f>
        <v/>
      </c>
      <c r="T69" s="384" t="n"/>
      <c r="U69" s="889" t="inlineStr">
        <is>
          <t>A030010605</t>
        </is>
      </c>
      <c r="V69" s="136">
        <f>IF(_epmOfflineCondition_,"A030010605",EPMOlapMemberO(U69,"[C_ACCOUNT].[PARENTH1].[A030010605]","A030010605 -   运输费-航驳船运费","","000"))</f>
        <v/>
      </c>
      <c r="W69" s="384" t="n"/>
      <c r="X69" s="333" t="inlineStr">
        <is>
          <t xml:space="preserve">  运输费-航驳船运费</t>
        </is>
      </c>
      <c r="Y69" s="1279">
        <f>SUM(Z69:AF69)</f>
        <v/>
      </c>
      <c r="Z69" s="1433" t="n"/>
      <c r="AA69" s="1433" t="n"/>
      <c r="AB69" s="1433" t="n"/>
      <c r="AC69" s="1433" t="n"/>
      <c r="AD69" s="1433" t="n"/>
      <c r="AE69" s="1433" t="n"/>
      <c r="AF69" s="1433" t="n"/>
      <c r="AG69" s="1431" t="n"/>
      <c r="AH69" s="1431" t="n"/>
      <c r="AI69" s="1431" t="n"/>
      <c r="AJ69" s="1431" t="n"/>
      <c r="AK69" s="1431" t="n"/>
      <c r="AL69" s="1431" t="n"/>
      <c r="AM69" s="1431" t="n"/>
      <c r="AN69" s="1431" t="n"/>
      <c r="AO69" s="1432">
        <f>SUM(AP69:AV69)</f>
        <v/>
      </c>
      <c r="AP69" s="1432" t="n"/>
      <c r="AQ69" s="1432" t="n"/>
      <c r="AR69" s="1432" t="n"/>
      <c r="AS69" s="1432" t="n"/>
      <c r="AT69" s="1432" t="n"/>
      <c r="AU69" s="1432" t="n"/>
      <c r="AV69" s="1432" t="n"/>
      <c r="AW69" s="1432">
        <f>SUM(AX69:BD69)</f>
        <v/>
      </c>
      <c r="AX69" s="1432" t="n"/>
      <c r="AY69" s="1432" t="n"/>
      <c r="AZ69" s="1432" t="n"/>
      <c r="BA69" s="1432" t="n"/>
      <c r="BB69" s="1432" t="n"/>
      <c r="BC69" s="1432" t="n"/>
      <c r="BD69" s="1432" t="n"/>
      <c r="BE69" s="1432">
        <f>SUM(BF69:BL69)</f>
        <v/>
      </c>
      <c r="BF69" s="1432" t="n"/>
      <c r="BG69" s="1432" t="n"/>
      <c r="BH69" s="1432" t="n"/>
      <c r="BI69" s="1432" t="n"/>
      <c r="BJ69" s="1432" t="n"/>
      <c r="BK69" s="1432" t="n"/>
      <c r="BL69" s="1432" t="n"/>
      <c r="BM69" s="384" t="n"/>
      <c r="BN69" s="384" t="n"/>
      <c r="BO69" s="384" t="n"/>
      <c r="BP69" s="384" t="n"/>
      <c r="BQ69" s="384" t="n"/>
    </row>
    <row r="70">
      <c r="A70" s="384" t="n"/>
      <c r="B70" s="384" t="n"/>
      <c r="C70" s="384" t="n"/>
      <c r="D70" s="384" t="n"/>
      <c r="E70" s="384" t="n"/>
      <c r="F70" s="384" t="n"/>
      <c r="G70" s="384" t="n"/>
      <c r="H70" s="384" t="n"/>
      <c r="I70" s="384" t="n"/>
      <c r="J70" s="384" t="n"/>
      <c r="K70" s="384" t="n"/>
      <c r="L70" s="384" t="n"/>
      <c r="M70" s="384" t="n"/>
      <c r="N70" s="384" t="n"/>
      <c r="O70" s="384" t="n"/>
      <c r="P70" s="384" t="n"/>
      <c r="Q70" s="384" t="n"/>
      <c r="R70" s="384" t="n"/>
      <c r="S70" s="462">
        <f>IF(_epmOfflineCondition_,"  运输费-其他",EPMMemberDesc(U70))</f>
        <v/>
      </c>
      <c r="T70" s="384" t="n"/>
      <c r="U70" s="889" t="inlineStr">
        <is>
          <t>A030010606</t>
        </is>
      </c>
      <c r="V70" s="136">
        <f>IF(_epmOfflineCondition_,"A030010606",EPMOlapMemberO(U70,"[C_ACCOUNT].[PARENTH1].[A030010606]","A030010606 -   运输费-其他","","000"))</f>
        <v/>
      </c>
      <c r="W70" s="384" t="n"/>
      <c r="X70" s="333" t="inlineStr">
        <is>
          <t xml:space="preserve">  运输费-其他</t>
        </is>
      </c>
      <c r="Y70" s="1279">
        <f>SUM(Z70:AF70)</f>
        <v/>
      </c>
      <c r="Z70" s="1433" t="n"/>
      <c r="AA70" s="1433" t="n"/>
      <c r="AB70" s="1433" t="n"/>
      <c r="AC70" s="1433" t="n"/>
      <c r="AD70" s="1433" t="n"/>
      <c r="AE70" s="1433" t="n"/>
      <c r="AF70" s="1433" t="n"/>
      <c r="AG70" s="1431" t="n"/>
      <c r="AH70" s="1431" t="n"/>
      <c r="AI70" s="1431" t="n"/>
      <c r="AJ70" s="1431" t="n"/>
      <c r="AK70" s="1431" t="n"/>
      <c r="AL70" s="1431" t="n"/>
      <c r="AM70" s="1431" t="n"/>
      <c r="AN70" s="1431" t="n"/>
      <c r="AO70" s="1432">
        <f>SUM(AP70:AV70)</f>
        <v/>
      </c>
      <c r="AP70" s="1432" t="n"/>
      <c r="AQ70" s="1432" t="n"/>
      <c r="AR70" s="1432" t="n"/>
      <c r="AS70" s="1432" t="n"/>
      <c r="AT70" s="1432" t="n"/>
      <c r="AU70" s="1432" t="n"/>
      <c r="AV70" s="1432" t="n"/>
      <c r="AW70" s="1432">
        <f>SUM(AX70:BD70)</f>
        <v/>
      </c>
      <c r="AX70" s="1432" t="n"/>
      <c r="AY70" s="1432" t="n"/>
      <c r="AZ70" s="1432" t="n"/>
      <c r="BA70" s="1432" t="n"/>
      <c r="BB70" s="1432" t="n"/>
      <c r="BC70" s="1432" t="n"/>
      <c r="BD70" s="1432" t="n"/>
      <c r="BE70" s="1432">
        <f>SUM(BF70:BL70)</f>
        <v/>
      </c>
      <c r="BF70" s="1432" t="n"/>
      <c r="BG70" s="1432" t="n"/>
      <c r="BH70" s="1432" t="n"/>
      <c r="BI70" s="1432" t="n"/>
      <c r="BJ70" s="1432" t="n"/>
      <c r="BK70" s="1432" t="n"/>
      <c r="BL70" s="1432" t="n"/>
      <c r="BM70" s="384" t="n"/>
      <c r="BN70" s="384" t="n"/>
      <c r="BO70" s="384" t="n"/>
      <c r="BP70" s="384" t="n"/>
      <c r="BQ70" s="384" t="n"/>
    </row>
    <row r="71">
      <c r="A71" s="384" t="n"/>
      <c r="B71" s="384" t="n"/>
      <c r="C71" s="384" t="n"/>
      <c r="D71" s="384" t="n"/>
      <c r="E71" s="384" t="n"/>
      <c r="F71" s="384" t="n"/>
      <c r="G71" s="384" t="n"/>
      <c r="H71" s="384" t="n"/>
      <c r="I71" s="384" t="n"/>
      <c r="J71" s="384" t="n"/>
      <c r="K71" s="384" t="n"/>
      <c r="L71" s="384" t="n"/>
      <c r="M71" s="384" t="n"/>
      <c r="N71" s="384" t="n"/>
      <c r="O71" s="384" t="n"/>
      <c r="P71" s="384" t="n"/>
      <c r="Q71" s="384" t="n"/>
      <c r="R71" s="384" t="n"/>
      <c r="S71" s="462">
        <f>IF(_epmOfflineCondition_,"  清洁绿化费",EPMMemberDesc(U71))</f>
        <v/>
      </c>
      <c r="T71" s="384" t="n"/>
      <c r="U71" s="889" t="inlineStr">
        <is>
          <t>A0300107</t>
        </is>
      </c>
      <c r="V71" s="135">
        <f>IF(_epmOfflineCondition_,"A0300107",EPMOlapMemberO(U71,"[C_ACCOUNT].[PARENTH1].[A0300107]","A0300107 -   清洁绿化费","","000"))</f>
        <v/>
      </c>
      <c r="W71" s="384" t="n"/>
      <c r="X71" s="334" t="inlineStr">
        <is>
          <t xml:space="preserve">  清洁绿化费</t>
        </is>
      </c>
      <c r="Y71" s="1279">
        <f>SUM(Z71:AF71)</f>
        <v/>
      </c>
      <c r="Z71" s="1433" t="n"/>
      <c r="AA71" s="1433" t="inlineStr"/>
      <c r="AB71" s="1433" t="n"/>
      <c r="AC71" s="1433" t="n"/>
      <c r="AD71" s="1433" t="n"/>
      <c r="AE71" s="1433" t="n"/>
      <c r="AF71" s="1433" t="n"/>
      <c r="AG71" s="1431" t="inlineStr"/>
      <c r="AH71" s="1431" t="n"/>
      <c r="AI71" s="1431" t="inlineStr"/>
      <c r="AJ71" s="1431" t="n"/>
      <c r="AK71" s="1431" t="n"/>
      <c r="AL71" s="1431" t="n"/>
      <c r="AM71" s="1431" t="n"/>
      <c r="AN71" s="1431" t="n"/>
      <c r="AO71" s="1432">
        <f>SUM(AP71:AV71)</f>
        <v/>
      </c>
      <c r="AP71" s="1432" t="n"/>
      <c r="AQ71" s="1432" t="n"/>
      <c r="AR71" s="1432" t="n"/>
      <c r="AS71" s="1432" t="n"/>
      <c r="AT71" s="1432" t="n"/>
      <c r="AU71" s="1432" t="n"/>
      <c r="AV71" s="1432" t="n"/>
      <c r="AW71" s="1432">
        <f>SUM(AX71:BD71)</f>
        <v/>
      </c>
      <c r="AX71" s="1432" t="n"/>
      <c r="AY71" s="1432" t="n"/>
      <c r="AZ71" s="1432" t="n"/>
      <c r="BA71" s="1432" t="n"/>
      <c r="BB71" s="1432" t="n"/>
      <c r="BC71" s="1432" t="n"/>
      <c r="BD71" s="1432" t="n"/>
      <c r="BE71" s="1432">
        <f>SUM(BF71:BL71)</f>
        <v/>
      </c>
      <c r="BF71" s="1432" t="n"/>
      <c r="BG71" s="1432" t="n"/>
      <c r="BH71" s="1432" t="n"/>
      <c r="BI71" s="1432" t="n"/>
      <c r="BJ71" s="1432" t="n"/>
      <c r="BK71" s="1432" t="n"/>
      <c r="BL71" s="1432" t="n"/>
      <c r="BM71" s="384" t="n"/>
      <c r="BN71" s="384" t="n"/>
      <c r="BO71" s="384" t="n"/>
      <c r="BP71" s="384" t="n"/>
      <c r="BQ71" s="384" t="n"/>
    </row>
    <row r="72">
      <c r="A72" s="384" t="n"/>
      <c r="B72" s="384" t="n"/>
      <c r="C72" s="384" t="n"/>
      <c r="D72" s="384" t="n"/>
      <c r="E72" s="384" t="n"/>
      <c r="F72" s="384" t="n"/>
      <c r="G72" s="384" t="n"/>
      <c r="H72" s="384" t="n"/>
      <c r="I72" s="384" t="n"/>
      <c r="J72" s="384" t="n"/>
      <c r="K72" s="384" t="n"/>
      <c r="L72" s="384" t="n"/>
      <c r="M72" s="384" t="n"/>
      <c r="N72" s="384" t="n"/>
      <c r="O72" s="384" t="n"/>
      <c r="P72" s="384" t="n"/>
      <c r="Q72" s="384" t="n"/>
      <c r="R72" s="384" t="n"/>
      <c r="S72" s="462">
        <f>IF(_epmOfflineCondition_,"  物业管理费",EPMMemberDesc(U72))</f>
        <v/>
      </c>
      <c r="T72" s="384" t="n"/>
      <c r="U72" s="889" t="inlineStr">
        <is>
          <t>A0300108</t>
        </is>
      </c>
      <c r="V72" s="135">
        <f>IF(_epmOfflineCondition_,"A0300108",EPMOlapMemberO(U72,"[C_ACCOUNT].[PARENTH1].[A0300108]","A0300108 -   物业管理费","","000"))</f>
        <v/>
      </c>
      <c r="W72" s="384" t="n"/>
      <c r="X72" s="334" t="inlineStr">
        <is>
          <t xml:space="preserve">  物业管理费</t>
        </is>
      </c>
      <c r="Y72" s="1279">
        <f>SUM(Z72:AF72)</f>
        <v/>
      </c>
      <c r="Z72" s="1433" t="n"/>
      <c r="AA72" s="1433" t="n"/>
      <c r="AB72" s="1433" t="n"/>
      <c r="AC72" s="1433" t="n"/>
      <c r="AD72" s="1433" t="n"/>
      <c r="AE72" s="1433" t="n"/>
      <c r="AF72" s="1433" t="n"/>
      <c r="AG72" s="1431" t="n"/>
      <c r="AH72" s="1431" t="n"/>
      <c r="AI72" s="1431" t="n"/>
      <c r="AJ72" s="1431" t="n"/>
      <c r="AK72" s="1431" t="n"/>
      <c r="AL72" s="1431" t="n"/>
      <c r="AM72" s="1431" t="n"/>
      <c r="AN72" s="1431" t="n"/>
      <c r="AO72" s="1432">
        <f>SUM(AP72:AV72)</f>
        <v/>
      </c>
      <c r="AP72" s="1432" t="n"/>
      <c r="AQ72" s="1432" t="n"/>
      <c r="AR72" s="1432" t="n"/>
      <c r="AS72" s="1432" t="n"/>
      <c r="AT72" s="1432" t="n"/>
      <c r="AU72" s="1432" t="n"/>
      <c r="AV72" s="1432" t="n"/>
      <c r="AW72" s="1432">
        <f>SUM(AX72:BD72)</f>
        <v/>
      </c>
      <c r="AX72" s="1432" t="n"/>
      <c r="AY72" s="1432" t="n"/>
      <c r="AZ72" s="1432" t="n"/>
      <c r="BA72" s="1432" t="n"/>
      <c r="BB72" s="1432" t="n"/>
      <c r="BC72" s="1432" t="n"/>
      <c r="BD72" s="1432" t="n"/>
      <c r="BE72" s="1432">
        <f>SUM(BF72:BL72)</f>
        <v/>
      </c>
      <c r="BF72" s="1432" t="n"/>
      <c r="BG72" s="1432" t="n"/>
      <c r="BH72" s="1432" t="n"/>
      <c r="BI72" s="1432" t="n"/>
      <c r="BJ72" s="1432" t="n"/>
      <c r="BK72" s="1432" t="n"/>
      <c r="BL72" s="1432" t="n"/>
      <c r="BM72" s="384" t="n"/>
      <c r="BN72" s="384" t="n"/>
      <c r="BO72" s="384" t="n"/>
      <c r="BP72" s="384" t="n"/>
      <c r="BQ72" s="384" t="n"/>
    </row>
    <row r="73">
      <c r="A73" s="384" t="n"/>
      <c r="B73" s="384" t="n"/>
      <c r="C73" s="384" t="n"/>
      <c r="D73" s="384" t="n"/>
      <c r="E73" s="384" t="n"/>
      <c r="F73" s="384" t="n"/>
      <c r="G73" s="384" t="n"/>
      <c r="H73" s="384" t="n"/>
      <c r="I73" s="384" t="n"/>
      <c r="J73" s="384" t="n"/>
      <c r="K73" s="384" t="n"/>
      <c r="L73" s="384" t="n"/>
      <c r="M73" s="384" t="n"/>
      <c r="N73" s="384" t="n"/>
      <c r="O73" s="384" t="n"/>
      <c r="P73" s="384" t="n"/>
      <c r="Q73" s="384" t="n"/>
      <c r="R73" s="384" t="n"/>
      <c r="S73" s="462">
        <f>IF(_epmOfflineCondition_,"  业务招待费",EPMMemberDesc(U73))</f>
        <v/>
      </c>
      <c r="T73" s="384" t="n"/>
      <c r="U73" s="889" t="inlineStr">
        <is>
          <t>A0300109</t>
        </is>
      </c>
      <c r="V73" s="135">
        <f>IF(_epmOfflineCondition_,"A0300109",EPMOlapMemberO(U73,"[C_ACCOUNT].[PARENTH1].[A0300109]","A0300109 -   业务招待费","","000"))</f>
        <v/>
      </c>
      <c r="W73" s="384" t="n"/>
      <c r="X73" s="334" t="inlineStr">
        <is>
          <t xml:space="preserve">  业务招待费</t>
        </is>
      </c>
      <c r="Y73" s="1279">
        <f>SUM(Z73:AF73)</f>
        <v/>
      </c>
      <c r="Z73" s="1433" t="n"/>
      <c r="AA73" s="1433" t="inlineStr"/>
      <c r="AB73" s="1433" t="n"/>
      <c r="AC73" s="1433" t="n"/>
      <c r="AD73" s="1433" t="n"/>
      <c r="AE73" s="1433" t="n"/>
      <c r="AF73" s="1433" t="n"/>
      <c r="AG73" s="1431" t="inlineStr"/>
      <c r="AH73" s="1431" t="n"/>
      <c r="AI73" s="1431" t="inlineStr"/>
      <c r="AJ73" s="1431" t="n"/>
      <c r="AK73" s="1431" t="n"/>
      <c r="AL73" s="1431" t="n"/>
      <c r="AM73" s="1431" t="n"/>
      <c r="AN73" s="1431" t="n"/>
      <c r="AO73" s="1432">
        <f>SUM(AP73:AV73)</f>
        <v/>
      </c>
      <c r="AP73" s="1432" t="n"/>
      <c r="AQ73" s="1432" t="n"/>
      <c r="AR73" s="1432" t="n"/>
      <c r="AS73" s="1432" t="n"/>
      <c r="AT73" s="1432" t="n"/>
      <c r="AU73" s="1432" t="n"/>
      <c r="AV73" s="1432" t="n"/>
      <c r="AW73" s="1432">
        <f>SUM(AX73:BD73)</f>
        <v/>
      </c>
      <c r="AX73" s="1432" t="n"/>
      <c r="AY73" s="1432" t="n"/>
      <c r="AZ73" s="1432" t="n"/>
      <c r="BA73" s="1432" t="n"/>
      <c r="BB73" s="1432" t="n"/>
      <c r="BC73" s="1432" t="n"/>
      <c r="BD73" s="1432" t="n"/>
      <c r="BE73" s="1432">
        <f>SUM(BF73:BL73)</f>
        <v/>
      </c>
      <c r="BF73" s="1432" t="n"/>
      <c r="BG73" s="1432" t="n"/>
      <c r="BH73" s="1432" t="n"/>
      <c r="BI73" s="1432" t="n"/>
      <c r="BJ73" s="1432" t="n"/>
      <c r="BK73" s="1432" t="n"/>
      <c r="BL73" s="1432" t="n"/>
      <c r="BM73" s="384" t="n"/>
      <c r="BN73" s="384" t="n"/>
      <c r="BO73" s="384" t="n"/>
      <c r="BP73" s="384" t="n"/>
      <c r="BQ73" s="384" t="n"/>
    </row>
    <row r="74">
      <c r="A74" s="384" t="n"/>
      <c r="B74" s="384" t="n"/>
      <c r="C74" s="384" t="n"/>
      <c r="D74" s="384" t="n"/>
      <c r="E74" s="384" t="n"/>
      <c r="F74" s="384" t="n"/>
      <c r="G74" s="384" t="n"/>
      <c r="H74" s="384" t="n"/>
      <c r="I74" s="384" t="n"/>
      <c r="J74" s="384" t="n"/>
      <c r="K74" s="384" t="n"/>
      <c r="L74" s="384" t="n"/>
      <c r="M74" s="384" t="n"/>
      <c r="N74" s="384" t="n"/>
      <c r="O74" s="384" t="n"/>
      <c r="P74" s="384" t="n"/>
      <c r="Q74" s="384" t="n"/>
      <c r="R74" s="384" t="n"/>
      <c r="S74" s="462">
        <f>IF(_epmOfflineCondition_,"  中介服务费",EPMMemberDesc(U74))</f>
        <v/>
      </c>
      <c r="T74" s="384" t="n"/>
      <c r="U74" s="889" t="inlineStr">
        <is>
          <t>A0300110</t>
        </is>
      </c>
      <c r="V74" s="135">
        <f>IF(_epmOfflineCondition_,"A0300110",EPMOlapMemberO(U74,"[C_ACCOUNT].[PARENTH1].[A0300110]","A0300110 -   中介服务费","","000"))</f>
        <v/>
      </c>
      <c r="W74" s="384" t="n"/>
      <c r="X74" s="332" t="inlineStr">
        <is>
          <t xml:space="preserve">  中介服务费</t>
        </is>
      </c>
      <c r="Y74" s="1279">
        <f>SUM(Z74:AF74)</f>
        <v/>
      </c>
      <c r="Z74" s="1279">
        <f>SUM(Z75:Z81)</f>
        <v/>
      </c>
      <c r="AA74" s="1279">
        <f>SUM(AA75:AA81)</f>
        <v/>
      </c>
      <c r="AB74" s="1279">
        <f>SUM(AB75:AB81)</f>
        <v/>
      </c>
      <c r="AC74" s="1279">
        <f>SUM(AC75:AC81)</f>
        <v/>
      </c>
      <c r="AD74" s="1279">
        <f>SUM(AD75:AD81)</f>
        <v/>
      </c>
      <c r="AE74" s="1279">
        <f>SUM(AE75:AE81)</f>
        <v/>
      </c>
      <c r="AF74" s="1279">
        <f>SUM(AF75:AF81)</f>
        <v/>
      </c>
      <c r="AG74" s="1431" t="n"/>
      <c r="AH74" s="1431" t="n"/>
      <c r="AI74" s="1431" t="n"/>
      <c r="AJ74" s="1431" t="n"/>
      <c r="AK74" s="1431" t="n"/>
      <c r="AL74" s="1431" t="n"/>
      <c r="AM74" s="1431" t="n"/>
      <c r="AN74" s="1431" t="n"/>
      <c r="AO74" s="1432">
        <f>SUM(AP74:AV74)</f>
        <v/>
      </c>
      <c r="AP74" s="1432">
        <f>SUM(AP75:AP81)</f>
        <v/>
      </c>
      <c r="AQ74" s="1432">
        <f>SUM(AQ75:AQ81)</f>
        <v/>
      </c>
      <c r="AR74" s="1432">
        <f>SUM(AR75:AR81)</f>
        <v/>
      </c>
      <c r="AS74" s="1432">
        <f>SUM(AS75:AS81)</f>
        <v/>
      </c>
      <c r="AT74" s="1432">
        <f>SUM(AT75:AT81)</f>
        <v/>
      </c>
      <c r="AU74" s="1432">
        <f>SUM(AU75:AU81)</f>
        <v/>
      </c>
      <c r="AV74" s="1432">
        <f>SUM(AV75:AV81)</f>
        <v/>
      </c>
      <c r="AW74" s="1432">
        <f>SUM(AX74:BD74)</f>
        <v/>
      </c>
      <c r="AX74" s="1432">
        <f>SUM(AX75:AX81)</f>
        <v/>
      </c>
      <c r="AY74" s="1432">
        <f>SUM(AY75:AY81)</f>
        <v/>
      </c>
      <c r="AZ74" s="1432">
        <f>SUM(AZ75:AZ81)</f>
        <v/>
      </c>
      <c r="BA74" s="1432">
        <f>SUM(BA75:BA81)</f>
        <v/>
      </c>
      <c r="BB74" s="1432">
        <f>SUM(BB75:BB81)</f>
        <v/>
      </c>
      <c r="BC74" s="1432">
        <f>SUM(BC75:BC81)</f>
        <v/>
      </c>
      <c r="BD74" s="1432">
        <f>SUM(BD75:BD81)</f>
        <v/>
      </c>
      <c r="BE74" s="1432">
        <f>SUM(BF74:BL74)</f>
        <v/>
      </c>
      <c r="BF74" s="1432">
        <f>SUM(BF75:BF81)</f>
        <v/>
      </c>
      <c r="BG74" s="1432">
        <f>SUM(BG75:BG81)</f>
        <v/>
      </c>
      <c r="BH74" s="1432">
        <f>SUM(BH75:BH81)</f>
        <v/>
      </c>
      <c r="BI74" s="1432">
        <f>SUM(BI75:BI81)</f>
        <v/>
      </c>
      <c r="BJ74" s="1432">
        <f>SUM(BJ75:BJ81)</f>
        <v/>
      </c>
      <c r="BK74" s="1432">
        <f>SUM(BK75:BK81)</f>
        <v/>
      </c>
      <c r="BL74" s="1432">
        <f>SUM(BL75:BL81)</f>
        <v/>
      </c>
      <c r="BM74" s="384" t="n"/>
      <c r="BN74" s="384" t="n"/>
      <c r="BO74" s="384" t="n"/>
      <c r="BP74" s="384" t="n"/>
      <c r="BQ74" s="384" t="n"/>
    </row>
    <row r="75">
      <c r="A75" s="384" t="n"/>
      <c r="B75" s="384" t="n"/>
      <c r="C75" s="384" t="n"/>
      <c r="D75" s="384" t="n"/>
      <c r="E75" s="384" t="n"/>
      <c r="F75" s="384" t="n"/>
      <c r="G75" s="384" t="n"/>
      <c r="H75" s="384" t="n"/>
      <c r="I75" s="384" t="n"/>
      <c r="J75" s="384" t="n"/>
      <c r="K75" s="384" t="n"/>
      <c r="L75" s="384" t="n"/>
      <c r="M75" s="384" t="n"/>
      <c r="N75" s="384" t="n"/>
      <c r="O75" s="384" t="n"/>
      <c r="P75" s="384" t="n"/>
      <c r="Q75" s="384" t="n"/>
      <c r="R75" s="384" t="n"/>
      <c r="S75" s="462">
        <f>IF(_epmOfflineCondition_,"  中介服务费-审计验资费",EPMMemberDesc(U75))</f>
        <v/>
      </c>
      <c r="T75" s="384" t="n"/>
      <c r="U75" s="889" t="inlineStr">
        <is>
          <t>A030011001</t>
        </is>
      </c>
      <c r="V75" s="136">
        <f>IF(_epmOfflineCondition_,"A030011001",EPMOlapMemberO(U75,"[C_ACCOUNT].[PARENTH1].[A030011001]","A030011001 -   中介服务费-审计验资费","","000"))</f>
        <v/>
      </c>
      <c r="W75" s="384" t="n"/>
      <c r="X75" s="333" t="inlineStr">
        <is>
          <t xml:space="preserve">  中介服务费-审计验资费</t>
        </is>
      </c>
      <c r="Y75" s="1279">
        <f>SUM(Z75:AF75)</f>
        <v/>
      </c>
      <c r="Z75" s="1433" t="n"/>
      <c r="AA75" s="1433" t="n"/>
      <c r="AB75" s="1433" t="n"/>
      <c r="AC75" s="1433" t="n"/>
      <c r="AD75" s="1433" t="n"/>
      <c r="AE75" s="1433" t="n"/>
      <c r="AF75" s="1433" t="n"/>
      <c r="AG75" s="1431" t="n"/>
      <c r="AH75" s="1431" t="n"/>
      <c r="AI75" s="1431" t="n"/>
      <c r="AJ75" s="1431" t="n"/>
      <c r="AK75" s="1431" t="n"/>
      <c r="AL75" s="1431" t="n"/>
      <c r="AM75" s="1431" t="n"/>
      <c r="AN75" s="1431" t="n"/>
      <c r="AO75" s="1432">
        <f>SUM(AP75:AV75)</f>
        <v/>
      </c>
      <c r="AP75" s="1432" t="n"/>
      <c r="AQ75" s="1432" t="n"/>
      <c r="AR75" s="1432" t="n"/>
      <c r="AS75" s="1432" t="n"/>
      <c r="AT75" s="1432" t="n"/>
      <c r="AU75" s="1432" t="n"/>
      <c r="AV75" s="1432" t="n"/>
      <c r="AW75" s="1432">
        <f>SUM(AX75:BD75)</f>
        <v/>
      </c>
      <c r="AX75" s="1432" t="n"/>
      <c r="AY75" s="1432" t="n"/>
      <c r="AZ75" s="1432" t="n"/>
      <c r="BA75" s="1432" t="n"/>
      <c r="BB75" s="1432" t="n"/>
      <c r="BC75" s="1432" t="n"/>
      <c r="BD75" s="1432" t="n"/>
      <c r="BE75" s="1432">
        <f>SUM(BF75:BL75)</f>
        <v/>
      </c>
      <c r="BF75" s="1432" t="n"/>
      <c r="BG75" s="1432" t="n"/>
      <c r="BH75" s="1432" t="n"/>
      <c r="BI75" s="1432" t="n"/>
      <c r="BJ75" s="1432" t="n"/>
      <c r="BK75" s="1432" t="n"/>
      <c r="BL75" s="1432" t="n"/>
      <c r="BM75" s="384" t="n"/>
      <c r="BN75" s="384" t="n"/>
      <c r="BO75" s="384" t="n"/>
      <c r="BP75" s="384" t="n"/>
      <c r="BQ75" s="384" t="n"/>
    </row>
    <row r="76">
      <c r="A76" s="384" t="n"/>
      <c r="B76" s="384" t="n"/>
      <c r="C76" s="384" t="n"/>
      <c r="D76" s="384" t="n"/>
      <c r="E76" s="384" t="n"/>
      <c r="F76" s="384" t="n"/>
      <c r="G76" s="384" t="n"/>
      <c r="H76" s="384" t="n"/>
      <c r="I76" s="384" t="n"/>
      <c r="J76" s="384" t="n"/>
      <c r="K76" s="384" t="n"/>
      <c r="L76" s="384" t="n"/>
      <c r="M76" s="384" t="n"/>
      <c r="N76" s="384" t="n"/>
      <c r="O76" s="384" t="n"/>
      <c r="P76" s="384" t="n"/>
      <c r="Q76" s="384" t="n"/>
      <c r="R76" s="384" t="n"/>
      <c r="S76" s="462">
        <f>IF(_epmOfflineCondition_,"  中介服务费-诉讼费",EPMMemberDesc(U76))</f>
        <v/>
      </c>
      <c r="T76" s="384" t="n"/>
      <c r="U76" s="889" t="inlineStr">
        <is>
          <t>A030011002</t>
        </is>
      </c>
      <c r="V76" s="136">
        <f>IF(_epmOfflineCondition_,"A030011002",EPMOlapMemberO(U76,"[C_ACCOUNT].[PARENTH1].[A030011002]","A030011002 -   中介服务费-诉讼费","","000"))</f>
        <v/>
      </c>
      <c r="W76" s="384" t="n"/>
      <c r="X76" s="333" t="inlineStr">
        <is>
          <t xml:space="preserve">  中介服务费-诉讼费</t>
        </is>
      </c>
      <c r="Y76" s="1279">
        <f>SUM(Z76:AF76)</f>
        <v/>
      </c>
      <c r="Z76" s="1433" t="n"/>
      <c r="AA76" s="1433" t="n"/>
      <c r="AB76" s="1433" t="n"/>
      <c r="AC76" s="1433" t="n"/>
      <c r="AD76" s="1433" t="n"/>
      <c r="AE76" s="1433" t="n"/>
      <c r="AF76" s="1433" t="n"/>
      <c r="AG76" s="1431" t="n"/>
      <c r="AH76" s="1431" t="n"/>
      <c r="AI76" s="1431" t="n"/>
      <c r="AJ76" s="1431" t="n"/>
      <c r="AK76" s="1431" t="n"/>
      <c r="AL76" s="1431" t="n"/>
      <c r="AM76" s="1431" t="n"/>
      <c r="AN76" s="1431" t="n"/>
      <c r="AO76" s="1432">
        <f>SUM(AP76:AV76)</f>
        <v/>
      </c>
      <c r="AP76" s="1432" t="n"/>
      <c r="AQ76" s="1432" t="n"/>
      <c r="AR76" s="1432" t="n"/>
      <c r="AS76" s="1432" t="n"/>
      <c r="AT76" s="1432" t="n"/>
      <c r="AU76" s="1432" t="n"/>
      <c r="AV76" s="1432" t="n"/>
      <c r="AW76" s="1432">
        <f>SUM(AX76:BD76)</f>
        <v/>
      </c>
      <c r="AX76" s="1432" t="n"/>
      <c r="AY76" s="1432" t="n"/>
      <c r="AZ76" s="1432" t="n"/>
      <c r="BA76" s="1432" t="n"/>
      <c r="BB76" s="1432" t="n"/>
      <c r="BC76" s="1432" t="n"/>
      <c r="BD76" s="1432" t="n"/>
      <c r="BE76" s="1432">
        <f>SUM(BF76:BL76)</f>
        <v/>
      </c>
      <c r="BF76" s="1432" t="n"/>
      <c r="BG76" s="1432" t="n"/>
      <c r="BH76" s="1432" t="n"/>
      <c r="BI76" s="1432" t="n"/>
      <c r="BJ76" s="1432" t="n"/>
      <c r="BK76" s="1432" t="n"/>
      <c r="BL76" s="1432" t="n"/>
      <c r="BM76" s="384" t="n"/>
      <c r="BN76" s="384" t="n"/>
      <c r="BO76" s="384" t="n"/>
      <c r="BP76" s="384" t="n"/>
      <c r="BQ76" s="384" t="n"/>
    </row>
    <row r="77">
      <c r="A77" s="384" t="n"/>
      <c r="B77" s="384" t="n"/>
      <c r="C77" s="384" t="n"/>
      <c r="D77" s="384" t="n"/>
      <c r="E77" s="384" t="n"/>
      <c r="F77" s="384" t="n"/>
      <c r="G77" s="384" t="n"/>
      <c r="H77" s="384" t="n"/>
      <c r="I77" s="384" t="n"/>
      <c r="J77" s="384" t="n"/>
      <c r="K77" s="384" t="n"/>
      <c r="L77" s="384" t="n"/>
      <c r="M77" s="384" t="n"/>
      <c r="N77" s="384" t="n"/>
      <c r="O77" s="384" t="n"/>
      <c r="P77" s="384" t="n"/>
      <c r="Q77" s="384" t="n"/>
      <c r="R77" s="384" t="n"/>
      <c r="S77" s="462">
        <f>IF(_epmOfflineCondition_,"  中介服务费-咨询费",EPMMemberDesc(U77))</f>
        <v/>
      </c>
      <c r="T77" s="384" t="n"/>
      <c r="U77" s="889" t="inlineStr">
        <is>
          <t>A030011003</t>
        </is>
      </c>
      <c r="V77" s="136">
        <f>IF(_epmOfflineCondition_,"A030011003",EPMOlapMemberO(U77,"[C_ACCOUNT].[PARENTH1].[A030011003]","A030011003 -   中介服务费-咨询费","","000"))</f>
        <v/>
      </c>
      <c r="W77" s="384" t="n"/>
      <c r="X77" s="333" t="inlineStr">
        <is>
          <t xml:space="preserve">  中介服务费-咨询费</t>
        </is>
      </c>
      <c r="Y77" s="1279">
        <f>SUM(Z77:AF77)</f>
        <v/>
      </c>
      <c r="Z77" s="1433" t="n"/>
      <c r="AA77" s="1433" t="n"/>
      <c r="AB77" s="1433" t="n"/>
      <c r="AC77" s="1433" t="n"/>
      <c r="AD77" s="1433" t="n"/>
      <c r="AE77" s="1433" t="n"/>
      <c r="AF77" s="1433" t="n"/>
      <c r="AG77" s="1431" t="n"/>
      <c r="AH77" s="1431" t="n"/>
      <c r="AI77" s="1431" t="n"/>
      <c r="AJ77" s="1431" t="n"/>
      <c r="AK77" s="1431" t="n"/>
      <c r="AL77" s="1431" t="n"/>
      <c r="AM77" s="1431" t="n"/>
      <c r="AN77" s="1431" t="n"/>
      <c r="AO77" s="1432">
        <f>SUM(AP77:AV77)</f>
        <v/>
      </c>
      <c r="AP77" s="1432" t="n"/>
      <c r="AQ77" s="1432" t="n"/>
      <c r="AR77" s="1432" t="n"/>
      <c r="AS77" s="1432" t="n"/>
      <c r="AT77" s="1432" t="n"/>
      <c r="AU77" s="1432" t="n"/>
      <c r="AV77" s="1432" t="n"/>
      <c r="AW77" s="1432">
        <f>SUM(AX77:BD77)</f>
        <v/>
      </c>
      <c r="AX77" s="1432" t="n"/>
      <c r="AY77" s="1432" t="n"/>
      <c r="AZ77" s="1432" t="n"/>
      <c r="BA77" s="1432" t="n"/>
      <c r="BB77" s="1432" t="n"/>
      <c r="BC77" s="1432" t="n"/>
      <c r="BD77" s="1432" t="n"/>
      <c r="BE77" s="1432">
        <f>SUM(BF77:BL77)</f>
        <v/>
      </c>
      <c r="BF77" s="1432" t="n"/>
      <c r="BG77" s="1432" t="n"/>
      <c r="BH77" s="1432" t="n"/>
      <c r="BI77" s="1432" t="n"/>
      <c r="BJ77" s="1432" t="n"/>
      <c r="BK77" s="1432" t="n"/>
      <c r="BL77" s="1432" t="n"/>
      <c r="BM77" s="384" t="n"/>
      <c r="BN77" s="384" t="n"/>
      <c r="BO77" s="384" t="n"/>
      <c r="BP77" s="384" t="n"/>
      <c r="BQ77" s="384" t="n"/>
    </row>
    <row r="78">
      <c r="A78" s="384" t="n"/>
      <c r="B78" s="384" t="n"/>
      <c r="C78" s="384" t="n"/>
      <c r="D78" s="384" t="n"/>
      <c r="E78" s="384" t="n"/>
      <c r="F78" s="384" t="n"/>
      <c r="G78" s="384" t="n"/>
      <c r="H78" s="384" t="n"/>
      <c r="I78" s="384" t="n"/>
      <c r="J78" s="384" t="n"/>
      <c r="K78" s="384" t="n"/>
      <c r="L78" s="384" t="n"/>
      <c r="M78" s="384" t="n"/>
      <c r="N78" s="384" t="n"/>
      <c r="O78" s="384" t="n"/>
      <c r="P78" s="384" t="n"/>
      <c r="Q78" s="384" t="n"/>
      <c r="R78" s="384" t="n"/>
      <c r="S78" s="462">
        <f>IF(_epmOfflineCondition_,"  中介服务费-法律事务费",EPMMemberDesc(U78))</f>
        <v/>
      </c>
      <c r="T78" s="384" t="n"/>
      <c r="U78" s="889" t="inlineStr">
        <is>
          <t>A030011004</t>
        </is>
      </c>
      <c r="V78" s="136">
        <f>IF(_epmOfflineCondition_,"A030011004",EPMOlapMemberO(U78,"[C_ACCOUNT].[PARENTH1].[A030011004]","A030011004 -   中介服务费-法律事务费","","000"))</f>
        <v/>
      </c>
      <c r="W78" s="384" t="n"/>
      <c r="X78" s="333" t="inlineStr">
        <is>
          <t xml:space="preserve">  中介服务费-法律事务费</t>
        </is>
      </c>
      <c r="Y78" s="1279">
        <f>SUM(Z78:AF78)</f>
        <v/>
      </c>
      <c r="Z78" s="1433" t="n"/>
      <c r="AA78" s="1433" t="n"/>
      <c r="AB78" s="1433" t="n"/>
      <c r="AC78" s="1433" t="n"/>
      <c r="AD78" s="1433" t="n"/>
      <c r="AE78" s="1433" t="n"/>
      <c r="AF78" s="1433" t="n"/>
      <c r="AG78" s="1431" t="n"/>
      <c r="AH78" s="1431" t="n"/>
      <c r="AI78" s="1431" t="n"/>
      <c r="AJ78" s="1431" t="n"/>
      <c r="AK78" s="1431" t="n"/>
      <c r="AL78" s="1431" t="n"/>
      <c r="AM78" s="1431" t="n"/>
      <c r="AN78" s="1431" t="n"/>
      <c r="AO78" s="1432">
        <f>SUM(AP78:AV78)</f>
        <v/>
      </c>
      <c r="AP78" s="1432" t="n"/>
      <c r="AQ78" s="1432" t="n"/>
      <c r="AR78" s="1432" t="n"/>
      <c r="AS78" s="1432" t="n"/>
      <c r="AT78" s="1432" t="n"/>
      <c r="AU78" s="1432" t="n"/>
      <c r="AV78" s="1432" t="n"/>
      <c r="AW78" s="1432">
        <f>SUM(AX78:BD78)</f>
        <v/>
      </c>
      <c r="AX78" s="1432" t="n"/>
      <c r="AY78" s="1432" t="n"/>
      <c r="AZ78" s="1432" t="n"/>
      <c r="BA78" s="1432" t="n"/>
      <c r="BB78" s="1432" t="n"/>
      <c r="BC78" s="1432" t="n"/>
      <c r="BD78" s="1432" t="n"/>
      <c r="BE78" s="1432">
        <f>SUM(BF78:BL78)</f>
        <v/>
      </c>
      <c r="BF78" s="1432" t="n"/>
      <c r="BG78" s="1432" t="n"/>
      <c r="BH78" s="1432" t="n"/>
      <c r="BI78" s="1432" t="n"/>
      <c r="BJ78" s="1432" t="n"/>
      <c r="BK78" s="1432" t="n"/>
      <c r="BL78" s="1432" t="n"/>
      <c r="BM78" s="384" t="n"/>
      <c r="BN78" s="384" t="n"/>
      <c r="BO78" s="384" t="n"/>
      <c r="BP78" s="384" t="n"/>
      <c r="BQ78" s="384" t="n"/>
    </row>
    <row r="79">
      <c r="A79" s="384" t="n"/>
      <c r="B79" s="384" t="n"/>
      <c r="C79" s="384" t="n"/>
      <c r="D79" s="384" t="n"/>
      <c r="E79" s="384" t="n"/>
      <c r="F79" s="384" t="n"/>
      <c r="G79" s="384" t="n"/>
      <c r="H79" s="384" t="n"/>
      <c r="I79" s="384" t="n"/>
      <c r="J79" s="384" t="n"/>
      <c r="K79" s="384" t="n"/>
      <c r="L79" s="384" t="n"/>
      <c r="M79" s="384" t="n"/>
      <c r="N79" s="384" t="n"/>
      <c r="O79" s="384" t="n"/>
      <c r="P79" s="384" t="n"/>
      <c r="Q79" s="384" t="n"/>
      <c r="R79" s="384" t="n"/>
      <c r="S79" s="462">
        <f>IF(_epmOfflineCondition_,"  中介服务费-资产评估费",EPMMemberDesc(U79))</f>
        <v/>
      </c>
      <c r="T79" s="384" t="n"/>
      <c r="U79" s="889" t="inlineStr">
        <is>
          <t>A030011005</t>
        </is>
      </c>
      <c r="V79" s="136">
        <f>IF(_epmOfflineCondition_,"A030011005",EPMOlapMemberO(U79,"[C_ACCOUNT].[PARENTH1].[A030011005]","A030011005 -   中介服务费-资产评估费","","000"))</f>
        <v/>
      </c>
      <c r="W79" s="384" t="n"/>
      <c r="X79" s="333" t="inlineStr">
        <is>
          <t xml:space="preserve">  中介服务费-资产评估费</t>
        </is>
      </c>
      <c r="Y79" s="1279">
        <f>SUM(Z79:AF79)</f>
        <v/>
      </c>
      <c r="Z79" s="1433" t="n"/>
      <c r="AA79" s="1433" t="n"/>
      <c r="AB79" s="1433" t="n"/>
      <c r="AC79" s="1433" t="n"/>
      <c r="AD79" s="1433" t="n"/>
      <c r="AE79" s="1433" t="n"/>
      <c r="AF79" s="1433" t="n"/>
      <c r="AG79" s="1431" t="n"/>
      <c r="AH79" s="1431" t="n"/>
      <c r="AI79" s="1431" t="n"/>
      <c r="AJ79" s="1431" t="n"/>
      <c r="AK79" s="1431" t="n"/>
      <c r="AL79" s="1431" t="n"/>
      <c r="AM79" s="1431" t="n"/>
      <c r="AN79" s="1431" t="n"/>
      <c r="AO79" s="1432">
        <f>SUM(AP79:AV79)</f>
        <v/>
      </c>
      <c r="AP79" s="1432" t="n"/>
      <c r="AQ79" s="1432" t="n"/>
      <c r="AR79" s="1432" t="n"/>
      <c r="AS79" s="1432" t="n"/>
      <c r="AT79" s="1432" t="n"/>
      <c r="AU79" s="1432" t="n"/>
      <c r="AV79" s="1432" t="n"/>
      <c r="AW79" s="1432">
        <f>SUM(AX79:BD79)</f>
        <v/>
      </c>
      <c r="AX79" s="1432" t="n"/>
      <c r="AY79" s="1432" t="n"/>
      <c r="AZ79" s="1432" t="n"/>
      <c r="BA79" s="1432" t="n"/>
      <c r="BB79" s="1432" t="n"/>
      <c r="BC79" s="1432" t="n"/>
      <c r="BD79" s="1432" t="n"/>
      <c r="BE79" s="1432">
        <f>SUM(BF79:BL79)</f>
        <v/>
      </c>
      <c r="BF79" s="1432" t="n"/>
      <c r="BG79" s="1432" t="n"/>
      <c r="BH79" s="1432" t="n"/>
      <c r="BI79" s="1432" t="n"/>
      <c r="BJ79" s="1432" t="n"/>
      <c r="BK79" s="1432" t="n"/>
      <c r="BL79" s="1432" t="n"/>
      <c r="BM79" s="384" t="n"/>
      <c r="BN79" s="384" t="n"/>
      <c r="BO79" s="384" t="n"/>
      <c r="BP79" s="384" t="n"/>
      <c r="BQ79" s="384" t="n"/>
    </row>
    <row r="80">
      <c r="A80" s="384" t="n"/>
      <c r="B80" s="384" t="n"/>
      <c r="C80" s="384" t="n"/>
      <c r="D80" s="384" t="n"/>
      <c r="E80" s="384" t="n"/>
      <c r="F80" s="384" t="n"/>
      <c r="G80" s="384" t="n"/>
      <c r="H80" s="384" t="n"/>
      <c r="I80" s="384" t="n"/>
      <c r="J80" s="384" t="n"/>
      <c r="K80" s="384" t="n"/>
      <c r="L80" s="384" t="n"/>
      <c r="M80" s="384" t="n"/>
      <c r="N80" s="384" t="n"/>
      <c r="O80" s="384" t="n"/>
      <c r="P80" s="384" t="n"/>
      <c r="Q80" s="384" t="n"/>
      <c r="R80" s="384" t="n"/>
      <c r="S80" s="462">
        <f>IF(_epmOfflineCondition_,"  中介服务费-招投标费",EPMMemberDesc(U80))</f>
        <v/>
      </c>
      <c r="T80" s="384" t="n"/>
      <c r="U80" s="889" t="inlineStr">
        <is>
          <t>A030011006</t>
        </is>
      </c>
      <c r="V80" s="136">
        <f>IF(_epmOfflineCondition_,"A030011006",EPMOlapMemberO(U80,"[C_ACCOUNT].[PARENTH1].[A030011006]","A030011006 -   中介服务费-招投标费","","000"))</f>
        <v/>
      </c>
      <c r="W80" s="384" t="n"/>
      <c r="X80" s="340" t="inlineStr">
        <is>
          <t xml:space="preserve">  中介服务费-招投标费</t>
        </is>
      </c>
      <c r="Y80" s="1279">
        <f>SUM(Z80:AF80)</f>
        <v/>
      </c>
      <c r="Z80" s="1433" t="n"/>
      <c r="AA80" s="1433" t="n"/>
      <c r="AB80" s="1433" t="n"/>
      <c r="AC80" s="1433" t="n"/>
      <c r="AD80" s="1433" t="n"/>
      <c r="AE80" s="1433" t="n"/>
      <c r="AF80" s="1433" t="n"/>
      <c r="AG80" s="1431" t="n"/>
      <c r="AH80" s="1431" t="n"/>
      <c r="AI80" s="1431" t="n"/>
      <c r="AJ80" s="1431" t="n"/>
      <c r="AK80" s="1431" t="n"/>
      <c r="AL80" s="1431" t="n"/>
      <c r="AM80" s="1431" t="n"/>
      <c r="AN80" s="1431" t="n"/>
      <c r="AO80" s="1432">
        <f>SUM(AP80:AV80)</f>
        <v/>
      </c>
      <c r="AP80" s="1432" t="n"/>
      <c r="AQ80" s="1432" t="n"/>
      <c r="AR80" s="1432" t="n"/>
      <c r="AS80" s="1432" t="n"/>
      <c r="AT80" s="1432" t="n"/>
      <c r="AU80" s="1432" t="n"/>
      <c r="AV80" s="1432" t="n"/>
      <c r="AW80" s="1432">
        <f>SUM(AX80:BD80)</f>
        <v/>
      </c>
      <c r="AX80" s="1432" t="n"/>
      <c r="AY80" s="1432" t="n"/>
      <c r="AZ80" s="1432" t="n"/>
      <c r="BA80" s="1432" t="n"/>
      <c r="BB80" s="1432" t="n"/>
      <c r="BC80" s="1432" t="n"/>
      <c r="BD80" s="1432" t="n"/>
      <c r="BE80" s="1432">
        <f>SUM(BF80:BL80)</f>
        <v/>
      </c>
      <c r="BF80" s="1432" t="n"/>
      <c r="BG80" s="1432" t="n"/>
      <c r="BH80" s="1432" t="n"/>
      <c r="BI80" s="1432" t="n"/>
      <c r="BJ80" s="1432" t="n"/>
      <c r="BK80" s="1432" t="n"/>
      <c r="BL80" s="1432" t="n"/>
      <c r="BM80" s="384" t="n"/>
      <c r="BN80" s="384" t="n"/>
      <c r="BO80" s="384" t="n"/>
      <c r="BP80" s="384" t="n"/>
      <c r="BQ80" s="384" t="n"/>
    </row>
    <row r="81">
      <c r="A81" s="384" t="n"/>
      <c r="B81" s="384" t="n"/>
      <c r="C81" s="384" t="n"/>
      <c r="D81" s="384" t="n"/>
      <c r="E81" s="384" t="n"/>
      <c r="F81" s="384" t="n"/>
      <c r="G81" s="384" t="n"/>
      <c r="H81" s="384" t="n"/>
      <c r="I81" s="384" t="n"/>
      <c r="J81" s="384" t="n"/>
      <c r="K81" s="384" t="n"/>
      <c r="L81" s="384" t="n"/>
      <c r="M81" s="384" t="n"/>
      <c r="N81" s="384" t="n"/>
      <c r="O81" s="384" t="n"/>
      <c r="P81" s="384" t="n"/>
      <c r="Q81" s="384" t="n"/>
      <c r="R81" s="384" t="n"/>
      <c r="S81" s="462">
        <f>IF(_epmOfflineCondition_,"  中介服务费-其他成本费用",EPMMemberDesc(U81))</f>
        <v/>
      </c>
      <c r="T81" s="384" t="n"/>
      <c r="U81" s="889" t="inlineStr">
        <is>
          <t>A030011007</t>
        </is>
      </c>
      <c r="V81" s="136">
        <f>IF(_epmOfflineCondition_,"A030011007",EPMOlapMemberO(U81,"[C_ACCOUNT].[PARENTH1].[A030011007]","A030011007 -   中介服务费-其他成本费用","","000"))</f>
        <v/>
      </c>
      <c r="W81" s="384" t="n"/>
      <c r="X81" s="340" t="inlineStr">
        <is>
          <t xml:space="preserve">  中介服务费-其他成本费用</t>
        </is>
      </c>
      <c r="Y81" s="1279">
        <f>SUM(Z81:AF81)</f>
        <v/>
      </c>
      <c r="Z81" s="1433" t="n"/>
      <c r="AA81" s="1433" t="n"/>
      <c r="AB81" s="1433" t="n"/>
      <c r="AC81" s="1433" t="n"/>
      <c r="AD81" s="1433" t="n"/>
      <c r="AE81" s="1433" t="n"/>
      <c r="AF81" s="1433" t="n"/>
      <c r="AG81" s="1431" t="n"/>
      <c r="AH81" s="1431" t="n"/>
      <c r="AI81" s="1431" t="n"/>
      <c r="AJ81" s="1431" t="n"/>
      <c r="AK81" s="1431" t="n"/>
      <c r="AL81" s="1431" t="n"/>
      <c r="AM81" s="1431" t="n"/>
      <c r="AN81" s="1431" t="n"/>
      <c r="AO81" s="1432">
        <f>SUM(AP81:AV81)</f>
        <v/>
      </c>
      <c r="AP81" s="1432" t="n"/>
      <c r="AQ81" s="1432" t="n"/>
      <c r="AR81" s="1432" t="n"/>
      <c r="AS81" s="1432" t="n"/>
      <c r="AT81" s="1432" t="n"/>
      <c r="AU81" s="1432" t="n"/>
      <c r="AV81" s="1432" t="n"/>
      <c r="AW81" s="1432">
        <f>SUM(AX81:BD81)</f>
        <v/>
      </c>
      <c r="AX81" s="1432" t="n"/>
      <c r="AY81" s="1432" t="n"/>
      <c r="AZ81" s="1432" t="n"/>
      <c r="BA81" s="1432" t="n"/>
      <c r="BB81" s="1432" t="n"/>
      <c r="BC81" s="1432" t="n"/>
      <c r="BD81" s="1432" t="n"/>
      <c r="BE81" s="1432">
        <f>SUM(BF81:BL81)</f>
        <v/>
      </c>
      <c r="BF81" s="1432" t="n"/>
      <c r="BG81" s="1432" t="n"/>
      <c r="BH81" s="1432" t="n"/>
      <c r="BI81" s="1432" t="n"/>
      <c r="BJ81" s="1432" t="n"/>
      <c r="BK81" s="1432" t="n"/>
      <c r="BL81" s="1432" t="n"/>
      <c r="BM81" s="384" t="n"/>
      <c r="BN81" s="384" t="n"/>
      <c r="BO81" s="384" t="n"/>
      <c r="BP81" s="384" t="n"/>
      <c r="BQ81" s="384" t="n"/>
    </row>
    <row r="82">
      <c r="A82" s="384" t="n"/>
      <c r="B82" s="384" t="n"/>
      <c r="C82" s="384" t="n"/>
      <c r="D82" s="384" t="n"/>
      <c r="E82" s="384" t="n"/>
      <c r="F82" s="384" t="n"/>
      <c r="G82" s="384" t="n"/>
      <c r="H82" s="384" t="n"/>
      <c r="I82" s="384" t="n"/>
      <c r="J82" s="384" t="n"/>
      <c r="K82" s="384" t="n"/>
      <c r="L82" s="384" t="n"/>
      <c r="M82" s="384" t="n"/>
      <c r="N82" s="384" t="n"/>
      <c r="O82" s="384" t="n"/>
      <c r="P82" s="384" t="n"/>
      <c r="Q82" s="384" t="n"/>
      <c r="R82" s="384" t="n"/>
      <c r="S82" s="462">
        <f>IF(_epmOfflineCondition_,"  会议费",EPMMemberDesc(U82))</f>
        <v/>
      </c>
      <c r="T82" s="384" t="n"/>
      <c r="U82" s="889" t="inlineStr">
        <is>
          <t>A0300111</t>
        </is>
      </c>
      <c r="V82" s="135">
        <f>IF(_epmOfflineCondition_,"A0300111",EPMOlapMemberO(U82,"[C_ACCOUNT].[PARENTH1].[A0300111]","A0300111 -   会议费","","000"))</f>
        <v/>
      </c>
      <c r="W82" s="384" t="n"/>
      <c r="X82" s="341" t="inlineStr">
        <is>
          <t xml:space="preserve">  会议费</t>
        </is>
      </c>
      <c r="Y82" s="1279">
        <f>SUM(Z82:AF82)</f>
        <v/>
      </c>
      <c r="Z82" s="1433" t="n"/>
      <c r="AA82" s="1433" t="n"/>
      <c r="AB82" s="1433" t="n"/>
      <c r="AC82" s="1433" t="n"/>
      <c r="AD82" s="1433" t="n"/>
      <c r="AE82" s="1433" t="n"/>
      <c r="AF82" s="1433" t="n"/>
      <c r="AG82" s="1431" t="n"/>
      <c r="AH82" s="1431" t="n"/>
      <c r="AI82" s="1431" t="n"/>
      <c r="AJ82" s="1431" t="n"/>
      <c r="AK82" s="1431" t="n"/>
      <c r="AL82" s="1431" t="n"/>
      <c r="AM82" s="1431" t="n"/>
      <c r="AN82" s="1431" t="n"/>
      <c r="AO82" s="1432">
        <f>SUM(AP82:AV82)</f>
        <v/>
      </c>
      <c r="AP82" s="1432" t="n"/>
      <c r="AQ82" s="1432" t="n"/>
      <c r="AR82" s="1432" t="n"/>
      <c r="AS82" s="1432" t="n"/>
      <c r="AT82" s="1432" t="n"/>
      <c r="AU82" s="1432" t="n"/>
      <c r="AV82" s="1432" t="n"/>
      <c r="AW82" s="1432">
        <f>SUM(AX82:BD82)</f>
        <v/>
      </c>
      <c r="AX82" s="1432" t="n"/>
      <c r="AY82" s="1432" t="n"/>
      <c r="AZ82" s="1432" t="n"/>
      <c r="BA82" s="1432" t="n"/>
      <c r="BB82" s="1432" t="n"/>
      <c r="BC82" s="1432" t="n"/>
      <c r="BD82" s="1432" t="n"/>
      <c r="BE82" s="1432">
        <f>SUM(BF82:BL82)</f>
        <v/>
      </c>
      <c r="BF82" s="1432" t="n"/>
      <c r="BG82" s="1432" t="n"/>
      <c r="BH82" s="1432" t="n"/>
      <c r="BI82" s="1432" t="n"/>
      <c r="BJ82" s="1432" t="n"/>
      <c r="BK82" s="1432" t="n"/>
      <c r="BL82" s="1432" t="n"/>
      <c r="BM82" s="384" t="n"/>
      <c r="BN82" s="384" t="n"/>
      <c r="BO82" s="384" t="n"/>
      <c r="BP82" s="384" t="n"/>
      <c r="BQ82" s="384" t="n"/>
    </row>
    <row r="83">
      <c r="A83" s="384" t="n"/>
      <c r="B83" s="384" t="n"/>
      <c r="C83" s="384" t="n"/>
      <c r="D83" s="384" t="n"/>
      <c r="E83" s="384" t="n"/>
      <c r="F83" s="384" t="n"/>
      <c r="G83" s="384" t="n"/>
      <c r="H83" s="384" t="n"/>
      <c r="I83" s="384" t="n"/>
      <c r="J83" s="384" t="n"/>
      <c r="K83" s="384" t="n"/>
      <c r="L83" s="384" t="n"/>
      <c r="M83" s="384" t="n"/>
      <c r="N83" s="384" t="n"/>
      <c r="O83" s="384" t="n"/>
      <c r="P83" s="384" t="n"/>
      <c r="Q83" s="384" t="n"/>
      <c r="R83" s="384" t="n"/>
      <c r="S83" s="462">
        <f>IF(_epmOfflineCondition_,"  董事会费",EPMMemberDesc(U83))</f>
        <v/>
      </c>
      <c r="T83" s="384" t="n"/>
      <c r="U83" s="889" t="inlineStr">
        <is>
          <t>A0300112</t>
        </is>
      </c>
      <c r="V83" s="135">
        <f>IF(_epmOfflineCondition_,"A0300112",EPMOlapMemberO(U83,"[C_ACCOUNT].[PARENTH1].[A0300112]","A0300112 -   董事会费","","000"))</f>
        <v/>
      </c>
      <c r="W83" s="384" t="n"/>
      <c r="X83" s="341" t="inlineStr">
        <is>
          <t xml:space="preserve">  董事会费</t>
        </is>
      </c>
      <c r="Y83" s="1279">
        <f>SUM(Z83:AF83)</f>
        <v/>
      </c>
      <c r="Z83" s="1433" t="n"/>
      <c r="AA83" s="1433" t="n"/>
      <c r="AB83" s="1433" t="n"/>
      <c r="AC83" s="1433" t="n"/>
      <c r="AD83" s="1433" t="n"/>
      <c r="AE83" s="1433" t="n"/>
      <c r="AF83" s="1433" t="n"/>
      <c r="AG83" s="1431" t="n"/>
      <c r="AH83" s="1431" t="n"/>
      <c r="AI83" s="1431" t="n"/>
      <c r="AJ83" s="1431" t="n"/>
      <c r="AK83" s="1431" t="n"/>
      <c r="AL83" s="1431" t="n"/>
      <c r="AM83" s="1431" t="n"/>
      <c r="AN83" s="1431" t="n"/>
      <c r="AO83" s="1432">
        <f>SUM(AP83:AV83)</f>
        <v/>
      </c>
      <c r="AP83" s="1432" t="n"/>
      <c r="AQ83" s="1432" t="n"/>
      <c r="AR83" s="1432" t="n"/>
      <c r="AS83" s="1432" t="n"/>
      <c r="AT83" s="1432" t="n"/>
      <c r="AU83" s="1432" t="n"/>
      <c r="AV83" s="1432" t="n"/>
      <c r="AW83" s="1432">
        <f>SUM(AX83:BD83)</f>
        <v/>
      </c>
      <c r="AX83" s="1432" t="n"/>
      <c r="AY83" s="1432" t="n"/>
      <c r="AZ83" s="1432" t="n"/>
      <c r="BA83" s="1432" t="n"/>
      <c r="BB83" s="1432" t="n"/>
      <c r="BC83" s="1432" t="n"/>
      <c r="BD83" s="1432" t="n"/>
      <c r="BE83" s="1432">
        <f>SUM(BF83:BL83)</f>
        <v/>
      </c>
      <c r="BF83" s="1432" t="n"/>
      <c r="BG83" s="1432" t="n"/>
      <c r="BH83" s="1432" t="n"/>
      <c r="BI83" s="1432" t="n"/>
      <c r="BJ83" s="1432" t="n"/>
      <c r="BK83" s="1432" t="n"/>
      <c r="BL83" s="1432" t="n"/>
      <c r="BM83" s="384" t="n"/>
      <c r="BN83" s="384" t="n"/>
      <c r="BO83" s="384" t="n"/>
      <c r="BP83" s="384" t="n"/>
      <c r="BQ83" s="384" t="n"/>
    </row>
    <row r="84">
      <c r="A84" s="384" t="n"/>
      <c r="B84" s="384" t="n"/>
      <c r="C84" s="384" t="n"/>
      <c r="D84" s="384" t="n"/>
      <c r="E84" s="384" t="n"/>
      <c r="F84" s="384" t="n"/>
      <c r="G84" s="384" t="n"/>
      <c r="H84" s="384" t="n"/>
      <c r="I84" s="384" t="n"/>
      <c r="J84" s="384" t="n"/>
      <c r="K84" s="384" t="n"/>
      <c r="L84" s="384" t="n"/>
      <c r="M84" s="384" t="n"/>
      <c r="N84" s="384" t="n"/>
      <c r="O84" s="384" t="n"/>
      <c r="P84" s="384" t="n"/>
      <c r="Q84" s="384" t="n"/>
      <c r="R84" s="384" t="n"/>
      <c r="S84" s="462">
        <f>IF(_epmOfflineCondition_,"  协会会费",EPMMemberDesc(U84))</f>
        <v/>
      </c>
      <c r="T84" s="384" t="n"/>
      <c r="U84" s="889" t="inlineStr">
        <is>
          <t>A0300113</t>
        </is>
      </c>
      <c r="V84" s="135">
        <f>IF(_epmOfflineCondition_,"A0300113",EPMOlapMemberO(U84,"[C_ACCOUNT].[PARENTH1].[A0300113]","A0300113 -   协会会费","","000"))</f>
        <v/>
      </c>
      <c r="W84" s="384" t="n"/>
      <c r="X84" s="341" t="inlineStr">
        <is>
          <t xml:space="preserve">  协会会费</t>
        </is>
      </c>
      <c r="Y84" s="1279">
        <f>SUM(Z84:AF84)</f>
        <v/>
      </c>
      <c r="Z84" s="1433" t="n"/>
      <c r="AA84" s="1433" t="n"/>
      <c r="AB84" s="1433" t="n"/>
      <c r="AC84" s="1433" t="n"/>
      <c r="AD84" s="1433" t="n"/>
      <c r="AE84" s="1433" t="n"/>
      <c r="AF84" s="1433" t="n"/>
      <c r="AG84" s="1431" t="n"/>
      <c r="AH84" s="1431" t="n"/>
      <c r="AI84" s="1431" t="n"/>
      <c r="AJ84" s="1431" t="n"/>
      <c r="AK84" s="1431" t="n"/>
      <c r="AL84" s="1431" t="n"/>
      <c r="AM84" s="1431" t="n"/>
      <c r="AN84" s="1431" t="n"/>
      <c r="AO84" s="1432">
        <f>SUM(AP84:AV84)</f>
        <v/>
      </c>
      <c r="AP84" s="1432" t="n"/>
      <c r="AQ84" s="1432" t="n"/>
      <c r="AR84" s="1432" t="n"/>
      <c r="AS84" s="1432" t="n"/>
      <c r="AT84" s="1432" t="n"/>
      <c r="AU84" s="1432" t="n"/>
      <c r="AV84" s="1432" t="n"/>
      <c r="AW84" s="1432">
        <f>SUM(AX84:BD84)</f>
        <v/>
      </c>
      <c r="AX84" s="1432" t="n"/>
      <c r="AY84" s="1432" t="n"/>
      <c r="AZ84" s="1432" t="n"/>
      <c r="BA84" s="1432" t="n"/>
      <c r="BB84" s="1432" t="n"/>
      <c r="BC84" s="1432" t="n"/>
      <c r="BD84" s="1432" t="n"/>
      <c r="BE84" s="1432">
        <f>SUM(BF84:BL84)</f>
        <v/>
      </c>
      <c r="BF84" s="1432" t="n"/>
      <c r="BG84" s="1432" t="n"/>
      <c r="BH84" s="1432" t="n"/>
      <c r="BI84" s="1432" t="n"/>
      <c r="BJ84" s="1432" t="n"/>
      <c r="BK84" s="1432" t="n"/>
      <c r="BL84" s="1432" t="n"/>
      <c r="BM84" s="384" t="n"/>
      <c r="BN84" s="384" t="n"/>
      <c r="BO84" s="384" t="n"/>
      <c r="BP84" s="384" t="n"/>
      <c r="BQ84" s="384" t="n"/>
    </row>
    <row r="85">
      <c r="A85" s="384" t="n"/>
      <c r="B85" s="384" t="n"/>
      <c r="C85" s="384" t="n"/>
      <c r="D85" s="384" t="n"/>
      <c r="E85" s="384" t="n"/>
      <c r="F85" s="384" t="n"/>
      <c r="G85" s="384" t="n"/>
      <c r="H85" s="384" t="n"/>
      <c r="I85" s="384" t="n"/>
      <c r="J85" s="384" t="n"/>
      <c r="K85" s="384" t="n"/>
      <c r="L85" s="384" t="n"/>
      <c r="M85" s="384" t="n"/>
      <c r="N85" s="384" t="n"/>
      <c r="O85" s="384" t="n"/>
      <c r="P85" s="384" t="n"/>
      <c r="Q85" s="384" t="n"/>
      <c r="R85" s="384" t="n"/>
      <c r="S85" s="462">
        <f>IF(_epmOfflineCondition_,"  劳动保护费",EPMMemberDesc(U85))</f>
        <v/>
      </c>
      <c r="T85" s="384" t="n"/>
      <c r="U85" s="889" t="inlineStr">
        <is>
          <t>A0300114</t>
        </is>
      </c>
      <c r="V85" s="135">
        <f>IF(_epmOfflineCondition_,"A0300114",EPMOlapMemberO(U85,"[C_ACCOUNT].[PARENTH1].[A0300114]","A0300114 -   劳动保护费","","000"))</f>
        <v/>
      </c>
      <c r="W85" s="384" t="n"/>
      <c r="X85" s="341" t="inlineStr">
        <is>
          <t xml:space="preserve">  劳动保护费</t>
        </is>
      </c>
      <c r="Y85" s="1279">
        <f>SUM(Z85:AF85)</f>
        <v/>
      </c>
      <c r="Z85" s="1433" t="n"/>
      <c r="AA85" s="1433" t="n"/>
      <c r="AB85" s="1433" t="n"/>
      <c r="AC85" s="1433" t="n"/>
      <c r="AD85" s="1433" t="n"/>
      <c r="AE85" s="1433" t="n"/>
      <c r="AF85" s="1433" t="n"/>
      <c r="AG85" s="1431" t="n"/>
      <c r="AH85" s="1431" t="n"/>
      <c r="AI85" s="1431" t="n"/>
      <c r="AJ85" s="1431" t="n"/>
      <c r="AK85" s="1431" t="n"/>
      <c r="AL85" s="1431" t="n"/>
      <c r="AM85" s="1431" t="n"/>
      <c r="AN85" s="1431" t="n"/>
      <c r="AO85" s="1432">
        <f>SUM(AP85:AV85)</f>
        <v/>
      </c>
      <c r="AP85" s="1432" t="n"/>
      <c r="AQ85" s="1432" t="n"/>
      <c r="AR85" s="1432" t="n"/>
      <c r="AS85" s="1432" t="n"/>
      <c r="AT85" s="1432" t="n"/>
      <c r="AU85" s="1432" t="n"/>
      <c r="AV85" s="1432" t="n"/>
      <c r="AW85" s="1432">
        <f>SUM(AX85:BD85)</f>
        <v/>
      </c>
      <c r="AX85" s="1432" t="n"/>
      <c r="AY85" s="1432" t="n"/>
      <c r="AZ85" s="1432" t="n"/>
      <c r="BA85" s="1432" t="n"/>
      <c r="BB85" s="1432" t="n"/>
      <c r="BC85" s="1432" t="n"/>
      <c r="BD85" s="1432" t="n"/>
      <c r="BE85" s="1432">
        <f>SUM(BF85:BL85)</f>
        <v/>
      </c>
      <c r="BF85" s="1432" t="n"/>
      <c r="BG85" s="1432" t="n"/>
      <c r="BH85" s="1432" t="n"/>
      <c r="BI85" s="1432" t="n"/>
      <c r="BJ85" s="1432" t="n"/>
      <c r="BK85" s="1432" t="n"/>
      <c r="BL85" s="1432" t="n"/>
      <c r="BM85" s="384" t="n"/>
      <c r="BN85" s="384" t="n"/>
      <c r="BO85" s="384" t="n"/>
      <c r="BP85" s="384" t="n"/>
      <c r="BQ85" s="384" t="n"/>
    </row>
    <row r="86">
      <c r="A86" s="384" t="n"/>
      <c r="B86" s="384" t="n"/>
      <c r="C86" s="384" t="n"/>
      <c r="D86" s="384" t="n"/>
      <c r="E86" s="384" t="n"/>
      <c r="F86" s="384" t="n"/>
      <c r="G86" s="384" t="n"/>
      <c r="H86" s="384" t="n"/>
      <c r="I86" s="384" t="n"/>
      <c r="J86" s="384" t="n"/>
      <c r="K86" s="384" t="n"/>
      <c r="L86" s="384" t="n"/>
      <c r="M86" s="384" t="n"/>
      <c r="N86" s="384" t="n"/>
      <c r="O86" s="384" t="n"/>
      <c r="P86" s="384" t="n"/>
      <c r="Q86" s="384" t="n"/>
      <c r="R86" s="384" t="n"/>
      <c r="S86" s="462">
        <f>IF(_epmOfflineCondition_,"  其他经常性费用",EPMMemberDesc(U86))</f>
        <v/>
      </c>
      <c r="T86" s="384" t="n"/>
      <c r="U86" s="889" t="inlineStr">
        <is>
          <t>A0300115</t>
        </is>
      </c>
      <c r="V86" s="135">
        <f>IF(_epmOfflineCondition_,"A0300115",EPMOlapMemberO(U86,"[C_ACCOUNT].[PARENTH1].[A0300115]","A0300115 -   其他经常性费用","","000"))</f>
        <v/>
      </c>
      <c r="W86" s="384" t="n"/>
      <c r="X86" s="341" t="inlineStr">
        <is>
          <t xml:space="preserve">  其他经常性费用</t>
        </is>
      </c>
      <c r="Y86" s="1279">
        <f>SUM(Z86:AF86)</f>
        <v/>
      </c>
      <c r="Z86" s="1433" t="n"/>
      <c r="AA86" s="1433" t="n"/>
      <c r="AB86" s="1433" t="n"/>
      <c r="AC86" s="1433" t="n"/>
      <c r="AD86" s="1433" t="n"/>
      <c r="AE86" s="1433" t="n"/>
      <c r="AF86" s="1433" t="n"/>
      <c r="AG86" s="1431" t="n"/>
      <c r="AH86" s="1431" t="n"/>
      <c r="AI86" s="1431" t="n"/>
      <c r="AJ86" s="1431" t="n"/>
      <c r="AK86" s="1431" t="n"/>
      <c r="AL86" s="1431" t="n"/>
      <c r="AM86" s="1431" t="n"/>
      <c r="AN86" s="1431" t="n"/>
      <c r="AO86" s="1432">
        <f>SUM(AP86:AV86)</f>
        <v/>
      </c>
      <c r="AP86" s="1432" t="n"/>
      <c r="AQ86" s="1432" t="n"/>
      <c r="AR86" s="1432" t="n"/>
      <c r="AS86" s="1432" t="n"/>
      <c r="AT86" s="1432" t="n"/>
      <c r="AU86" s="1432" t="n"/>
      <c r="AV86" s="1432" t="n"/>
      <c r="AW86" s="1432">
        <f>SUM(AX86:BD86)</f>
        <v/>
      </c>
      <c r="AX86" s="1432" t="n"/>
      <c r="AY86" s="1432" t="n"/>
      <c r="AZ86" s="1432" t="n"/>
      <c r="BA86" s="1432" t="n"/>
      <c r="BB86" s="1432" t="n"/>
      <c r="BC86" s="1432" t="n"/>
      <c r="BD86" s="1432" t="n"/>
      <c r="BE86" s="1432">
        <f>SUM(BF86:BL86)</f>
        <v/>
      </c>
      <c r="BF86" s="1432" t="n"/>
      <c r="BG86" s="1432" t="n"/>
      <c r="BH86" s="1432" t="n"/>
      <c r="BI86" s="1432" t="n"/>
      <c r="BJ86" s="1432" t="n"/>
      <c r="BK86" s="1432" t="n"/>
      <c r="BL86" s="1432" t="n"/>
      <c r="BM86" s="384" t="n"/>
      <c r="BN86" s="384" t="n"/>
      <c r="BO86" s="384" t="n"/>
      <c r="BP86" s="384" t="n"/>
      <c r="BQ86" s="384" t="n"/>
    </row>
    <row r="87">
      <c r="A87" s="384" t="n"/>
      <c r="B87" s="384" t="n"/>
      <c r="C87" s="384" t="n"/>
      <c r="D87" s="384" t="n"/>
      <c r="E87" s="384" t="n"/>
      <c r="F87" s="384" t="n"/>
      <c r="G87" s="384" t="n"/>
      <c r="H87" s="384" t="n"/>
      <c r="I87" s="384" t="n"/>
      <c r="J87" s="384" t="n"/>
      <c r="K87" s="384" t="n"/>
      <c r="L87" s="384" t="n"/>
      <c r="M87" s="384" t="n"/>
      <c r="N87" s="384" t="n"/>
      <c r="O87" s="384" t="n"/>
      <c r="P87" s="384" t="n"/>
      <c r="Q87" s="384" t="n"/>
      <c r="R87" s="384" t="n"/>
      <c r="S87" s="462">
        <f>IF(_epmOfflineCondition_,"与资产价值相关的费用",EPMMemberDesc(U87))</f>
        <v/>
      </c>
      <c r="T87" s="384" t="n"/>
      <c r="U87" s="889" t="inlineStr">
        <is>
          <t>A03002</t>
        </is>
      </c>
      <c r="V87" s="97">
        <f>IF(_epmOfflineCondition_,"A03002",EPMOlapMemberO(U87,"[C_ACCOUNT].[PARENTH1].[A03002]","A03002 - 与资产价值相关的费用","","000"))</f>
        <v/>
      </c>
      <c r="W87" s="384" t="n"/>
      <c r="X87" s="1437" t="inlineStr">
        <is>
          <t>与资产价值相关的费用</t>
        </is>
      </c>
      <c r="Y87" s="1279">
        <f>SUM(Z87:AF87)</f>
        <v/>
      </c>
      <c r="Z87" s="1279">
        <f>SUM(Z88,Z93:Z94)</f>
        <v/>
      </c>
      <c r="AA87" s="1279">
        <f>SUM(AA88,AA93:AA94)</f>
        <v/>
      </c>
      <c r="AB87" s="1279">
        <f>SUM(AB88,AB93:AB94)</f>
        <v/>
      </c>
      <c r="AC87" s="1279">
        <f>SUM(AC88,AC93:AC94)</f>
        <v/>
      </c>
      <c r="AD87" s="1279">
        <f>SUM(AD88,AD93:AD94)</f>
        <v/>
      </c>
      <c r="AE87" s="1279">
        <f>SUM(AE88,AE93:AE94)</f>
        <v/>
      </c>
      <c r="AF87" s="1279">
        <f>SUM(AF88,AF93:AF94)</f>
        <v/>
      </c>
      <c r="AG87" s="1431" t="inlineStr"/>
      <c r="AH87" s="1431" t="n"/>
      <c r="AI87" s="1431" t="inlineStr"/>
      <c r="AJ87" s="1431" t="n"/>
      <c r="AK87" s="1431" t="n"/>
      <c r="AL87" s="1431" t="n"/>
      <c r="AM87" s="1431" t="n"/>
      <c r="AN87" s="1431" t="n"/>
      <c r="AO87" s="1432">
        <f>SUM(AP87:AV87)</f>
        <v/>
      </c>
      <c r="AP87" s="1432">
        <f>SUM(AP88,AP93:AP94)</f>
        <v/>
      </c>
      <c r="AQ87" s="1432">
        <f>SUM(AQ88,AQ93:AQ94)</f>
        <v/>
      </c>
      <c r="AR87" s="1432">
        <f>SUM(AR88,AR93:AR94)</f>
        <v/>
      </c>
      <c r="AS87" s="1432">
        <f>SUM(AS88,AS93:AS94)</f>
        <v/>
      </c>
      <c r="AT87" s="1432">
        <f>SUM(AT88,AT93:AT94)</f>
        <v/>
      </c>
      <c r="AU87" s="1432">
        <f>SUM(AU88,AU93:AU94)</f>
        <v/>
      </c>
      <c r="AV87" s="1432">
        <f>SUM(AV88,AV93:AV94)</f>
        <v/>
      </c>
      <c r="AW87" s="1432">
        <f>SUM(AX87:BD87)</f>
        <v/>
      </c>
      <c r="AX87" s="1432">
        <f>SUM(AX88,AX93:AX94)</f>
        <v/>
      </c>
      <c r="AY87" s="1432">
        <f>SUM(AY88,AY93:AY94)</f>
        <v/>
      </c>
      <c r="AZ87" s="1432">
        <f>SUM(AZ88,AZ93:AZ94)</f>
        <v/>
      </c>
      <c r="BA87" s="1432">
        <f>SUM(BA88,BA93:BA94)</f>
        <v/>
      </c>
      <c r="BB87" s="1432">
        <f>SUM(BB88,BB93:BB94)</f>
        <v/>
      </c>
      <c r="BC87" s="1432">
        <f>SUM(BC88,BC93:BC94)</f>
        <v/>
      </c>
      <c r="BD87" s="1432">
        <f>SUM(BD88,BD93:BD94)</f>
        <v/>
      </c>
      <c r="BE87" s="1432">
        <f>SUM(BF87:BL87)</f>
        <v/>
      </c>
      <c r="BF87" s="1432">
        <f>SUM(BF88,BF93:BF94)</f>
        <v/>
      </c>
      <c r="BG87" s="1432">
        <f>SUM(BG88,BG93:BG94)</f>
        <v/>
      </c>
      <c r="BH87" s="1432">
        <f>SUM(BH88,BH93:BH94)</f>
        <v/>
      </c>
      <c r="BI87" s="1432">
        <f>SUM(BI88,BI93:BI94)</f>
        <v/>
      </c>
      <c r="BJ87" s="1432">
        <f>SUM(BJ88,BJ93:BJ94)</f>
        <v/>
      </c>
      <c r="BK87" s="1432">
        <f>SUM(BK88,BK93:BK94)</f>
        <v/>
      </c>
      <c r="BL87" s="1432">
        <f>SUM(BL88,BL93:BL94)</f>
        <v/>
      </c>
      <c r="BM87" s="384" t="n"/>
      <c r="BN87" s="384" t="n"/>
      <c r="BO87" s="384" t="n"/>
      <c r="BP87" s="384" t="n"/>
      <c r="BQ87" s="384" t="n"/>
    </row>
    <row r="88">
      <c r="A88" s="384" t="n"/>
      <c r="B88" s="384" t="n"/>
      <c r="C88" s="384" t="n"/>
      <c r="D88" s="384" t="n"/>
      <c r="E88" s="384" t="n"/>
      <c r="F88" s="384" t="n"/>
      <c r="G88" s="384" t="n"/>
      <c r="H88" s="384" t="n"/>
      <c r="I88" s="384" t="n"/>
      <c r="J88" s="384" t="n"/>
      <c r="K88" s="384" t="n"/>
      <c r="L88" s="384" t="n"/>
      <c r="M88" s="384" t="n"/>
      <c r="N88" s="384" t="n"/>
      <c r="O88" s="384" t="n"/>
      <c r="P88" s="384" t="n"/>
      <c r="Q88" s="384" t="n"/>
      <c r="R88" s="384" t="n"/>
      <c r="S88" s="462">
        <f>IF(_epmOfflineCondition_,"  保险费",EPMMemberDesc(U88))</f>
        <v/>
      </c>
      <c r="T88" s="384" t="n"/>
      <c r="U88" s="889" t="inlineStr">
        <is>
          <t>A0300201</t>
        </is>
      </c>
      <c r="V88" s="135">
        <f>IF(_epmOfflineCondition_,"A0300201",EPMOlapMemberO(U88,"[C_ACCOUNT].[PARENTH1].[A0300201]","A0300201 -   保险费","","000"))</f>
        <v/>
      </c>
      <c r="W88" s="384" t="n"/>
      <c r="X88" s="343" t="inlineStr">
        <is>
          <t xml:space="preserve">  保险费</t>
        </is>
      </c>
      <c r="Y88" s="1279">
        <f>SUM(Z88:AF88)</f>
        <v/>
      </c>
      <c r="Z88" s="1279">
        <f>SUM(Z89:Z92)</f>
        <v/>
      </c>
      <c r="AA88" s="1279">
        <f>SUM(AA89:AA92)</f>
        <v/>
      </c>
      <c r="AB88" s="1279">
        <f>SUM(AB89:AB92)</f>
        <v/>
      </c>
      <c r="AC88" s="1279">
        <f>SUM(AC89:AC92)</f>
        <v/>
      </c>
      <c r="AD88" s="1279">
        <f>SUM(AD89:AD92)</f>
        <v/>
      </c>
      <c r="AE88" s="1279">
        <f>SUM(AE89:AE92)</f>
        <v/>
      </c>
      <c r="AF88" s="1279">
        <f>SUM(AF89:AF92)</f>
        <v/>
      </c>
      <c r="AG88" s="1431" t="inlineStr"/>
      <c r="AH88" s="1431" t="n"/>
      <c r="AI88" s="1431" t="inlineStr"/>
      <c r="AJ88" s="1431" t="n"/>
      <c r="AK88" s="1431" t="n"/>
      <c r="AL88" s="1431" t="n"/>
      <c r="AM88" s="1431" t="n"/>
      <c r="AN88" s="1431" t="n"/>
      <c r="AO88" s="1432">
        <f>SUM(AP88:AV88)</f>
        <v/>
      </c>
      <c r="AP88" s="1432">
        <f>SUM(AP89:AP92)</f>
        <v/>
      </c>
      <c r="AQ88" s="1432">
        <f>SUM(AQ89:AQ92)</f>
        <v/>
      </c>
      <c r="AR88" s="1432">
        <f>SUM(AR89:AR92)</f>
        <v/>
      </c>
      <c r="AS88" s="1432">
        <f>SUM(AS89:AS92)</f>
        <v/>
      </c>
      <c r="AT88" s="1432">
        <f>SUM(AT89:AT92)</f>
        <v/>
      </c>
      <c r="AU88" s="1432">
        <f>SUM(AU89:AU92)</f>
        <v/>
      </c>
      <c r="AV88" s="1432">
        <f>SUM(AV89:AV92)</f>
        <v/>
      </c>
      <c r="AW88" s="1432">
        <f>SUM(AX88:BD88)</f>
        <v/>
      </c>
      <c r="AX88" s="1432">
        <f>SUM(AX89:AX92)</f>
        <v/>
      </c>
      <c r="AY88" s="1432">
        <f>SUM(AY89:AY92)</f>
        <v/>
      </c>
      <c r="AZ88" s="1432">
        <f>SUM(AZ89:AZ92)</f>
        <v/>
      </c>
      <c r="BA88" s="1432">
        <f>SUM(BA89:BA92)</f>
        <v/>
      </c>
      <c r="BB88" s="1432">
        <f>SUM(BB89:BB92)</f>
        <v/>
      </c>
      <c r="BC88" s="1432">
        <f>SUM(BC89:BC92)</f>
        <v/>
      </c>
      <c r="BD88" s="1432">
        <f>SUM(BD89:BD92)</f>
        <v/>
      </c>
      <c r="BE88" s="1432">
        <f>SUM(BF88:BL88)</f>
        <v/>
      </c>
      <c r="BF88" s="1432">
        <f>SUM(BF89:BF92)</f>
        <v/>
      </c>
      <c r="BG88" s="1432">
        <f>SUM(BG89:BG92)</f>
        <v/>
      </c>
      <c r="BH88" s="1432">
        <f>SUM(BH89:BH92)</f>
        <v/>
      </c>
      <c r="BI88" s="1432">
        <f>SUM(BI89:BI92)</f>
        <v/>
      </c>
      <c r="BJ88" s="1432">
        <f>SUM(BJ89:BJ92)</f>
        <v/>
      </c>
      <c r="BK88" s="1432">
        <f>SUM(BK89:BK92)</f>
        <v/>
      </c>
      <c r="BL88" s="1432">
        <f>SUM(BL89:BL92)</f>
        <v/>
      </c>
      <c r="BM88" s="384" t="n"/>
      <c r="BN88" s="384" t="n"/>
      <c r="BO88" s="384" t="n"/>
      <c r="BP88" s="384" t="n"/>
      <c r="BQ88" s="384" t="n"/>
    </row>
    <row r="89">
      <c r="A89" s="384" t="n"/>
      <c r="B89" s="384" t="n"/>
      <c r="C89" s="384" t="n"/>
      <c r="D89" s="384" t="n"/>
      <c r="E89" s="384" t="n"/>
      <c r="F89" s="384" t="n"/>
      <c r="G89" s="384" t="n"/>
      <c r="H89" s="384" t="n"/>
      <c r="I89" s="384" t="n"/>
      <c r="J89" s="384" t="n"/>
      <c r="K89" s="384" t="n"/>
      <c r="L89" s="384" t="n"/>
      <c r="M89" s="384" t="n"/>
      <c r="N89" s="384" t="n"/>
      <c r="O89" s="384" t="n"/>
      <c r="P89" s="384" t="n"/>
      <c r="Q89" s="384" t="n"/>
      <c r="R89" s="384" t="n"/>
      <c r="S89" s="462">
        <f>IF(_epmOfflineCondition_,"  保险费-财产一切险",EPMMemberDesc(U89))</f>
        <v/>
      </c>
      <c r="T89" s="384" t="n"/>
      <c r="U89" s="889" t="inlineStr">
        <is>
          <t>A030020101</t>
        </is>
      </c>
      <c r="V89" s="136">
        <f>IF(_epmOfflineCondition_,"A030020101",EPMOlapMemberO(U89,"[C_ACCOUNT].[PARENTH1].[A030020101]","A030020101 -   保险费-财产一切险","","000"))</f>
        <v/>
      </c>
      <c r="W89" s="384" t="n"/>
      <c r="X89" s="340" t="inlineStr">
        <is>
          <t xml:space="preserve">  保险费-财产一切险</t>
        </is>
      </c>
      <c r="Y89" s="1279">
        <f>SUM(Z89:AF89)</f>
        <v/>
      </c>
      <c r="Z89" s="1433" t="n"/>
      <c r="AA89" s="1433" t="inlineStr"/>
      <c r="AB89" s="1433" t="n"/>
      <c r="AC89" s="1433" t="n"/>
      <c r="AD89" s="1433" t="n"/>
      <c r="AE89" s="1433" t="n"/>
      <c r="AF89" s="1433" t="n"/>
      <c r="AG89" s="1431" t="inlineStr"/>
      <c r="AH89" s="1431" t="n"/>
      <c r="AI89" s="1431" t="inlineStr"/>
      <c r="AJ89" s="1431" t="n"/>
      <c r="AK89" s="1431" t="n"/>
      <c r="AL89" s="1431" t="n"/>
      <c r="AM89" s="1431" t="n"/>
      <c r="AN89" s="1431" t="n"/>
      <c r="AO89" s="1432">
        <f>SUM(AP89:AV89)</f>
        <v/>
      </c>
      <c r="AP89" s="1432" t="n"/>
      <c r="AQ89" s="1432" t="n"/>
      <c r="AR89" s="1432" t="n"/>
      <c r="AS89" s="1432" t="n"/>
      <c r="AT89" s="1432" t="n"/>
      <c r="AU89" s="1432" t="n"/>
      <c r="AV89" s="1432" t="n"/>
      <c r="AW89" s="1432">
        <f>SUM(AX89:BD89)</f>
        <v/>
      </c>
      <c r="AX89" s="1432" t="n"/>
      <c r="AY89" s="1432" t="n"/>
      <c r="AZ89" s="1432" t="n"/>
      <c r="BA89" s="1432" t="n"/>
      <c r="BB89" s="1432" t="n"/>
      <c r="BC89" s="1432" t="n"/>
      <c r="BD89" s="1432" t="n"/>
      <c r="BE89" s="1432">
        <f>SUM(BF89:BL89)</f>
        <v/>
      </c>
      <c r="BF89" s="1432" t="n"/>
      <c r="BG89" s="1432" t="n"/>
      <c r="BH89" s="1432" t="n"/>
      <c r="BI89" s="1432" t="n"/>
      <c r="BJ89" s="1432" t="n"/>
      <c r="BK89" s="1432" t="n"/>
      <c r="BL89" s="1432" t="n"/>
      <c r="BM89" s="384" t="n"/>
      <c r="BN89" s="384" t="n"/>
      <c r="BO89" s="384" t="n"/>
      <c r="BP89" s="384" t="n"/>
      <c r="BQ89" s="384" t="n"/>
    </row>
    <row r="90">
      <c r="A90" s="384" t="n"/>
      <c r="B90" s="384" t="n"/>
      <c r="C90" s="384" t="n"/>
      <c r="D90" s="384" t="n"/>
      <c r="E90" s="384" t="n"/>
      <c r="F90" s="384" t="n"/>
      <c r="G90" s="384" t="n"/>
      <c r="H90" s="384" t="n"/>
      <c r="I90" s="384" t="n"/>
      <c r="J90" s="384" t="n"/>
      <c r="K90" s="384" t="n"/>
      <c r="L90" s="384" t="n"/>
      <c r="M90" s="384" t="n"/>
      <c r="N90" s="384" t="n"/>
      <c r="O90" s="384" t="n"/>
      <c r="P90" s="384" t="n"/>
      <c r="Q90" s="384" t="n"/>
      <c r="R90" s="384" t="n"/>
      <c r="S90" s="462">
        <f>IF(_epmOfflineCondition_,"  保险费-机器损坏险",EPMMemberDesc(U90))</f>
        <v/>
      </c>
      <c r="T90" s="384" t="n"/>
      <c r="U90" s="889" t="inlineStr">
        <is>
          <t>A030020102</t>
        </is>
      </c>
      <c r="V90" s="136">
        <f>IF(_epmOfflineCondition_,"A030020102",EPMOlapMemberO(U90,"[C_ACCOUNT].[PARENTH1].[A030020102]","A030020102 -   保险费-机器损坏险","","000"))</f>
        <v/>
      </c>
      <c r="W90" s="384" t="n"/>
      <c r="X90" s="340" t="inlineStr">
        <is>
          <t xml:space="preserve">  保险费-机器损坏险</t>
        </is>
      </c>
      <c r="Y90" s="1279">
        <f>SUM(Z90:AF90)</f>
        <v/>
      </c>
      <c r="Z90" s="1433" t="n"/>
      <c r="AA90" s="1433" t="n"/>
      <c r="AB90" s="1433" t="n"/>
      <c r="AC90" s="1433" t="n"/>
      <c r="AD90" s="1433" t="n"/>
      <c r="AE90" s="1433" t="n"/>
      <c r="AF90" s="1433" t="n"/>
      <c r="AG90" s="1431" t="n"/>
      <c r="AH90" s="1431" t="n"/>
      <c r="AI90" s="1431" t="n"/>
      <c r="AJ90" s="1431" t="n"/>
      <c r="AK90" s="1431" t="n"/>
      <c r="AL90" s="1431" t="n"/>
      <c r="AM90" s="1431" t="n"/>
      <c r="AN90" s="1431" t="n"/>
      <c r="AO90" s="1432">
        <f>SUM(AP90:AV90)</f>
        <v/>
      </c>
      <c r="AP90" s="1432" t="n"/>
      <c r="AQ90" s="1432" t="n"/>
      <c r="AR90" s="1432" t="n"/>
      <c r="AS90" s="1432" t="n"/>
      <c r="AT90" s="1432" t="n"/>
      <c r="AU90" s="1432" t="n"/>
      <c r="AV90" s="1432" t="n"/>
      <c r="AW90" s="1432">
        <f>SUM(AX90:BD90)</f>
        <v/>
      </c>
      <c r="AX90" s="1432" t="n"/>
      <c r="AY90" s="1432" t="n"/>
      <c r="AZ90" s="1432" t="n"/>
      <c r="BA90" s="1432" t="n"/>
      <c r="BB90" s="1432" t="n"/>
      <c r="BC90" s="1432" t="n"/>
      <c r="BD90" s="1432" t="n"/>
      <c r="BE90" s="1432">
        <f>SUM(BF90:BL90)</f>
        <v/>
      </c>
      <c r="BF90" s="1432" t="n"/>
      <c r="BG90" s="1432" t="n"/>
      <c r="BH90" s="1432" t="n"/>
      <c r="BI90" s="1432" t="n"/>
      <c r="BJ90" s="1432" t="n"/>
      <c r="BK90" s="1432" t="n"/>
      <c r="BL90" s="1432" t="n"/>
      <c r="BM90" s="384" t="n"/>
      <c r="BN90" s="384" t="n"/>
      <c r="BO90" s="384" t="n"/>
      <c r="BP90" s="384" t="n"/>
      <c r="BQ90" s="384" t="n"/>
    </row>
    <row r="91">
      <c r="A91" s="384" t="n"/>
      <c r="B91" s="384" t="n"/>
      <c r="C91" s="384" t="n"/>
      <c r="D91" s="384" t="n"/>
      <c r="E91" s="384" t="n"/>
      <c r="F91" s="384" t="n"/>
      <c r="G91" s="384" t="n"/>
      <c r="H91" s="384" t="n"/>
      <c r="I91" s="384" t="n"/>
      <c r="J91" s="384" t="n"/>
      <c r="K91" s="384" t="n"/>
      <c r="L91" s="384" t="n"/>
      <c r="M91" s="384" t="n"/>
      <c r="N91" s="384" t="n"/>
      <c r="O91" s="384" t="n"/>
      <c r="P91" s="384" t="n"/>
      <c r="Q91" s="384" t="n"/>
      <c r="R91" s="384" t="n"/>
      <c r="S91" s="462">
        <f>IF(_epmOfflineCondition_,"  保险费-机动保险费",EPMMemberDesc(U91))</f>
        <v/>
      </c>
      <c r="T91" s="384" t="n"/>
      <c r="U91" s="889" t="inlineStr">
        <is>
          <t>A030020103</t>
        </is>
      </c>
      <c r="V91" s="136">
        <f>IF(_epmOfflineCondition_,"A030020103",EPMOlapMemberO(U91,"[C_ACCOUNT].[PARENTH1].[A030020103]","A030020103 -   保险费-机动保险费","","000"))</f>
        <v/>
      </c>
      <c r="W91" s="384" t="n"/>
      <c r="X91" s="340" t="inlineStr">
        <is>
          <t xml:space="preserve">  保险费-机动保险费</t>
        </is>
      </c>
      <c r="Y91" s="1279">
        <f>SUM(Z91:AF91)</f>
        <v/>
      </c>
      <c r="Z91" s="1433" t="n"/>
      <c r="AA91" s="1433" t="inlineStr"/>
      <c r="AB91" s="1433" t="n"/>
      <c r="AC91" s="1433" t="n"/>
      <c r="AD91" s="1433" t="n"/>
      <c r="AE91" s="1433" t="n"/>
      <c r="AF91" s="1433" t="n"/>
      <c r="AG91" s="1431" t="inlineStr"/>
      <c r="AH91" s="1431" t="n"/>
      <c r="AI91" s="1431" t="inlineStr"/>
      <c r="AJ91" s="1431" t="n"/>
      <c r="AK91" s="1431" t="n"/>
      <c r="AL91" s="1431" t="n"/>
      <c r="AM91" s="1431" t="n"/>
      <c r="AN91" s="1431" t="n"/>
      <c r="AO91" s="1432">
        <f>SUM(AP91:AV91)</f>
        <v/>
      </c>
      <c r="AP91" s="1432" t="n"/>
      <c r="AQ91" s="1432" t="n"/>
      <c r="AR91" s="1432" t="n"/>
      <c r="AS91" s="1432" t="n"/>
      <c r="AT91" s="1432" t="n"/>
      <c r="AU91" s="1432" t="n"/>
      <c r="AV91" s="1432" t="n"/>
      <c r="AW91" s="1432">
        <f>SUM(AX91:BD91)</f>
        <v/>
      </c>
      <c r="AX91" s="1432" t="n"/>
      <c r="AY91" s="1432" t="n"/>
      <c r="AZ91" s="1432" t="n"/>
      <c r="BA91" s="1432" t="n"/>
      <c r="BB91" s="1432" t="n"/>
      <c r="BC91" s="1432" t="n"/>
      <c r="BD91" s="1432" t="n"/>
      <c r="BE91" s="1432">
        <f>SUM(BF91:BL91)</f>
        <v/>
      </c>
      <c r="BF91" s="1432" t="n"/>
      <c r="BG91" s="1432" t="n"/>
      <c r="BH91" s="1432" t="n"/>
      <c r="BI91" s="1432" t="n"/>
      <c r="BJ91" s="1432" t="n"/>
      <c r="BK91" s="1432" t="n"/>
      <c r="BL91" s="1432" t="n"/>
      <c r="BM91" s="384" t="n"/>
      <c r="BN91" s="384" t="n"/>
      <c r="BO91" s="384" t="n"/>
      <c r="BP91" s="384" t="n"/>
      <c r="BQ91" s="384" t="n"/>
    </row>
    <row r="92">
      <c r="A92" s="384" t="n"/>
      <c r="B92" s="384" t="n"/>
      <c r="C92" s="384" t="n"/>
      <c r="D92" s="384" t="n"/>
      <c r="E92" s="384" t="n"/>
      <c r="F92" s="384" t="n"/>
      <c r="G92" s="384" t="n"/>
      <c r="H92" s="384" t="n"/>
      <c r="I92" s="384" t="n"/>
      <c r="J92" s="384" t="n"/>
      <c r="K92" s="384" t="n"/>
      <c r="L92" s="384" t="n"/>
      <c r="M92" s="384" t="n"/>
      <c r="N92" s="384" t="n"/>
      <c r="O92" s="384" t="n"/>
      <c r="P92" s="384" t="n"/>
      <c r="Q92" s="384" t="n"/>
      <c r="R92" s="384" t="n"/>
      <c r="S92" s="462">
        <f>IF(_epmOfflineCondition_,"  保险费-其他保险费",EPMMemberDesc(U92))</f>
        <v/>
      </c>
      <c r="T92" s="384" t="n"/>
      <c r="U92" s="889" t="inlineStr">
        <is>
          <t>A030020104</t>
        </is>
      </c>
      <c r="V92" s="136">
        <f>IF(_epmOfflineCondition_,"A030020104",EPMOlapMemberO(U92,"[C_ACCOUNT].[PARENTH1].[A030020104]","A030020104 -   保险费-其他保险费","","000"))</f>
        <v/>
      </c>
      <c r="W92" s="384" t="n"/>
      <c r="X92" s="340" t="inlineStr">
        <is>
          <t xml:space="preserve">  保险费-其他保险费</t>
        </is>
      </c>
      <c r="Y92" s="1279">
        <f>SUM(Z92:AF92)</f>
        <v/>
      </c>
      <c r="Z92" s="1433" t="n"/>
      <c r="AA92" s="1433" t="inlineStr"/>
      <c r="AB92" s="1433" t="n"/>
      <c r="AC92" s="1433" t="n"/>
      <c r="AD92" s="1433" t="n"/>
      <c r="AE92" s="1433" t="n"/>
      <c r="AF92" s="1433" t="n"/>
      <c r="AG92" s="1431" t="inlineStr"/>
      <c r="AH92" s="1431" t="n"/>
      <c r="AI92" s="1431" t="inlineStr"/>
      <c r="AJ92" s="1431" t="n"/>
      <c r="AK92" s="1431" t="n"/>
      <c r="AL92" s="1431" t="n"/>
      <c r="AM92" s="1431" t="n"/>
      <c r="AN92" s="1431" t="n"/>
      <c r="AO92" s="1432">
        <f>SUM(AP92:AV92)</f>
        <v/>
      </c>
      <c r="AP92" s="1432" t="n"/>
      <c r="AQ92" s="1432" t="n"/>
      <c r="AR92" s="1432" t="n"/>
      <c r="AS92" s="1432" t="n"/>
      <c r="AT92" s="1432" t="n"/>
      <c r="AU92" s="1432" t="n"/>
      <c r="AV92" s="1432" t="n"/>
      <c r="AW92" s="1432">
        <f>SUM(AX92:BD92)</f>
        <v/>
      </c>
      <c r="AX92" s="1432" t="n"/>
      <c r="AY92" s="1432" t="n"/>
      <c r="AZ92" s="1432" t="n"/>
      <c r="BA92" s="1432" t="n"/>
      <c r="BB92" s="1432" t="n"/>
      <c r="BC92" s="1432" t="n"/>
      <c r="BD92" s="1432" t="n"/>
      <c r="BE92" s="1432">
        <f>SUM(BF92:BL92)</f>
        <v/>
      </c>
      <c r="BF92" s="1432" t="n"/>
      <c r="BG92" s="1432" t="n"/>
      <c r="BH92" s="1432" t="n"/>
      <c r="BI92" s="1432" t="n"/>
      <c r="BJ92" s="1432" t="n"/>
      <c r="BK92" s="1432" t="n"/>
      <c r="BL92" s="1432" t="n"/>
      <c r="BM92" s="384" t="n"/>
      <c r="BN92" s="384" t="n"/>
      <c r="BO92" s="384" t="n"/>
      <c r="BP92" s="384" t="n"/>
      <c r="BQ92" s="384" t="n"/>
    </row>
    <row r="93">
      <c r="A93" s="384" t="n"/>
      <c r="B93" s="384" t="n"/>
      <c r="C93" s="384" t="n"/>
      <c r="D93" s="384" t="n"/>
      <c r="E93" s="384" t="n"/>
      <c r="F93" s="384" t="n"/>
      <c r="G93" s="384" t="n"/>
      <c r="H93" s="384" t="n"/>
      <c r="I93" s="384" t="n"/>
      <c r="J93" s="384" t="n"/>
      <c r="K93" s="384" t="n"/>
      <c r="L93" s="384" t="n"/>
      <c r="M93" s="384" t="n"/>
      <c r="N93" s="384" t="n"/>
      <c r="O93" s="384" t="n"/>
      <c r="P93" s="384" t="n"/>
      <c r="Q93" s="384" t="n"/>
      <c r="R93" s="384" t="n"/>
      <c r="S93" s="462">
        <f>IF(_epmOfflineCondition_,"  长期待摊费用摊销",EPMMemberDesc(U93))</f>
        <v/>
      </c>
      <c r="T93" s="384" t="n"/>
      <c r="U93" s="889" t="inlineStr">
        <is>
          <t>A0300202</t>
        </is>
      </c>
      <c r="V93" s="135">
        <f>IF(_epmOfflineCondition_,"A0300202",EPMOlapMemberO(U93,"[C_ACCOUNT].[PARENTH1].[A0300202]","A0300202 -   长期待摊费用摊销","","000"))</f>
        <v/>
      </c>
      <c r="W93" s="384" t="n"/>
      <c r="X93" s="344" t="inlineStr">
        <is>
          <t xml:space="preserve">  长期待摊费用摊销</t>
        </is>
      </c>
      <c r="Y93" s="1279">
        <f>SUM(Z93:AF93)</f>
        <v/>
      </c>
      <c r="Z93" s="1433" t="n"/>
      <c r="AA93" s="1433" t="n"/>
      <c r="AB93" s="1433" t="n"/>
      <c r="AC93" s="1433" t="n"/>
      <c r="AD93" s="1433" t="n"/>
      <c r="AE93" s="1433" t="n"/>
      <c r="AF93" s="1433" t="n"/>
      <c r="AG93" s="1431" t="n"/>
      <c r="AH93" s="1431" t="n"/>
      <c r="AI93" s="1431" t="n"/>
      <c r="AJ93" s="1431" t="n"/>
      <c r="AK93" s="1431" t="n"/>
      <c r="AL93" s="1431" t="n"/>
      <c r="AM93" s="1431" t="n"/>
      <c r="AN93" s="1431" t="n"/>
      <c r="AO93" s="1432">
        <f>SUM(AP93:AV93)</f>
        <v/>
      </c>
      <c r="AP93" s="1432" t="n"/>
      <c r="AQ93" s="1432" t="n"/>
      <c r="AR93" s="1432" t="n"/>
      <c r="AS93" s="1432" t="n"/>
      <c r="AT93" s="1432" t="n"/>
      <c r="AU93" s="1432" t="n"/>
      <c r="AV93" s="1432" t="n"/>
      <c r="AW93" s="1432">
        <f>SUM(AX93:BD93)</f>
        <v/>
      </c>
      <c r="AX93" s="1432" t="n"/>
      <c r="AY93" s="1432" t="n"/>
      <c r="AZ93" s="1432" t="n"/>
      <c r="BA93" s="1432" t="n"/>
      <c r="BB93" s="1432" t="n"/>
      <c r="BC93" s="1432" t="n"/>
      <c r="BD93" s="1432" t="n"/>
      <c r="BE93" s="1432">
        <f>SUM(BF93:BL93)</f>
        <v/>
      </c>
      <c r="BF93" s="1432" t="n"/>
      <c r="BG93" s="1432" t="n"/>
      <c r="BH93" s="1432" t="n"/>
      <c r="BI93" s="1432" t="n"/>
      <c r="BJ93" s="1432" t="n"/>
      <c r="BK93" s="1432" t="n"/>
      <c r="BL93" s="1432" t="n"/>
      <c r="BM93" s="384" t="n"/>
      <c r="BN93" s="384" t="n"/>
      <c r="BO93" s="384" t="n"/>
      <c r="BP93" s="384" t="n"/>
      <c r="BQ93" s="384" t="n"/>
    </row>
    <row r="94">
      <c r="A94" s="384" t="n"/>
      <c r="B94" s="384" t="n"/>
      <c r="C94" s="384" t="n"/>
      <c r="D94" s="384" t="n"/>
      <c r="E94" s="384" t="n"/>
      <c r="F94" s="384" t="n"/>
      <c r="G94" s="384" t="n"/>
      <c r="H94" s="384" t="n"/>
      <c r="I94" s="384" t="n"/>
      <c r="J94" s="384" t="n"/>
      <c r="K94" s="384" t="n"/>
      <c r="L94" s="384" t="n"/>
      <c r="M94" s="384" t="n"/>
      <c r="N94" s="384" t="n"/>
      <c r="O94" s="384" t="n"/>
      <c r="P94" s="384" t="n"/>
      <c r="Q94" s="384" t="n"/>
      <c r="R94" s="384" t="n"/>
      <c r="S94" s="462">
        <f>IF(_epmOfflineCondition_,"  无形资产摊销",EPMMemberDesc(U94))</f>
        <v/>
      </c>
      <c r="T94" s="384" t="n"/>
      <c r="U94" s="889" t="inlineStr">
        <is>
          <t>A0300203</t>
        </is>
      </c>
      <c r="V94" s="135">
        <f>IF(_epmOfflineCondition_,"A0300203",EPMOlapMemberO(U94,"[C_ACCOUNT].[PARENTH1].[A0300203]","A0300203 -   无形资产摊销","","000"))</f>
        <v/>
      </c>
      <c r="W94" s="384" t="n"/>
      <c r="X94" s="344" t="inlineStr">
        <is>
          <t xml:space="preserve">  无形资产摊销</t>
        </is>
      </c>
      <c r="Y94" s="1279">
        <f>SUM(Z94:AF94)</f>
        <v/>
      </c>
      <c r="Z94" s="1433" t="n"/>
      <c r="AA94" s="1433" t="inlineStr"/>
      <c r="AB94" s="1433" t="n"/>
      <c r="AC94" s="1433" t="n"/>
      <c r="AD94" s="1433" t="n"/>
      <c r="AE94" s="1433" t="n"/>
      <c r="AF94" s="1433" t="n"/>
      <c r="AG94" s="1431" t="inlineStr"/>
      <c r="AH94" s="1431" t="n"/>
      <c r="AI94" s="1431" t="inlineStr"/>
      <c r="AJ94" s="1431" t="n"/>
      <c r="AK94" s="1431" t="n"/>
      <c r="AL94" s="1431" t="n"/>
      <c r="AM94" s="1431" t="n"/>
      <c r="AN94" s="1431" t="n"/>
      <c r="AO94" s="1432">
        <f>SUM(AP94:AV94)</f>
        <v/>
      </c>
      <c r="AP94" s="1432" t="n"/>
      <c r="AQ94" s="1432" t="n"/>
      <c r="AR94" s="1432" t="n"/>
      <c r="AS94" s="1432" t="n"/>
      <c r="AT94" s="1432" t="n"/>
      <c r="AU94" s="1432" t="n"/>
      <c r="AV94" s="1432" t="n"/>
      <c r="AW94" s="1432">
        <f>SUM(AX94:BD94)</f>
        <v/>
      </c>
      <c r="AX94" s="1432" t="n"/>
      <c r="AY94" s="1432" t="n"/>
      <c r="AZ94" s="1432" t="n"/>
      <c r="BA94" s="1432" t="n"/>
      <c r="BB94" s="1432" t="n"/>
      <c r="BC94" s="1432" t="n"/>
      <c r="BD94" s="1432" t="n"/>
      <c r="BE94" s="1432">
        <f>SUM(BF94:BL94)</f>
        <v/>
      </c>
      <c r="BF94" s="1432" t="n"/>
      <c r="BG94" s="1432" t="n"/>
      <c r="BH94" s="1432" t="n"/>
      <c r="BI94" s="1432" t="n"/>
      <c r="BJ94" s="1432" t="n"/>
      <c r="BK94" s="1432" t="n"/>
      <c r="BL94" s="1432" t="n"/>
      <c r="BM94" s="384" t="n"/>
      <c r="BN94" s="384" t="n"/>
      <c r="BO94" s="384" t="n"/>
      <c r="BP94" s="384" t="n"/>
      <c r="BQ94" s="384" t="n"/>
    </row>
    <row r="95">
      <c r="A95" s="384" t="n"/>
      <c r="B95" s="384" t="n"/>
      <c r="C95" s="384" t="n"/>
      <c r="D95" s="384" t="n"/>
      <c r="E95" s="384" t="n"/>
      <c r="F95" s="384" t="n"/>
      <c r="G95" s="384" t="n"/>
      <c r="H95" s="384" t="n"/>
      <c r="I95" s="384" t="n"/>
      <c r="J95" s="384" t="n"/>
      <c r="K95" s="384" t="n"/>
      <c r="L95" s="384" t="n"/>
      <c r="M95" s="384" t="n"/>
      <c r="N95" s="384" t="n"/>
      <c r="O95" s="384" t="n"/>
      <c r="P95" s="384" t="n"/>
      <c r="Q95" s="384" t="n"/>
      <c r="R95" s="384" t="n"/>
      <c r="S95" s="462">
        <f>IF(_epmOfflineCondition_,"政策性税费",EPMMemberDesc(U95))</f>
        <v/>
      </c>
      <c r="T95" s="384" t="n"/>
      <c r="U95" s="889" t="inlineStr">
        <is>
          <t>A03003</t>
        </is>
      </c>
      <c r="V95" s="97">
        <f>IF(_epmOfflineCondition_,"A03003",EPMOlapMemberO(U95,"[C_ACCOUNT].[PARENTH1].[A03003]","A03003 - 政策性税费","","000"))</f>
        <v/>
      </c>
      <c r="W95" s="384" t="n"/>
      <c r="X95" s="1437" t="inlineStr">
        <is>
          <t>政策性税费</t>
        </is>
      </c>
      <c r="Y95" s="1279">
        <f>SUM(Z95:AF95)</f>
        <v/>
      </c>
      <c r="Z95" s="1279">
        <f>SUM(Z96:Z101)</f>
        <v/>
      </c>
      <c r="AA95" s="1279">
        <f>SUM(AA96:AA101)</f>
        <v/>
      </c>
      <c r="AB95" s="1279">
        <f>SUM(AB96:AB101)</f>
        <v/>
      </c>
      <c r="AC95" s="1279">
        <f>SUM(AC96:AC101)</f>
        <v/>
      </c>
      <c r="AD95" s="1279">
        <f>SUM(AD96:AD101)</f>
        <v/>
      </c>
      <c r="AE95" s="1279">
        <f>SUM(AE96:AE101)</f>
        <v/>
      </c>
      <c r="AF95" s="1279">
        <f>SUM(AF96:AF101)</f>
        <v/>
      </c>
      <c r="AG95" s="1431" t="n"/>
      <c r="AH95" s="1431" t="n"/>
      <c r="AI95" s="1431" t="n"/>
      <c r="AJ95" s="1431" t="n"/>
      <c r="AK95" s="1431" t="n"/>
      <c r="AL95" s="1431" t="n"/>
      <c r="AM95" s="1431" t="n"/>
      <c r="AN95" s="1431" t="n"/>
      <c r="AO95" s="1432">
        <f>SUM(AP95:AV95)</f>
        <v/>
      </c>
      <c r="AP95" s="1432">
        <f>SUM(AP96:AP101)</f>
        <v/>
      </c>
      <c r="AQ95" s="1432">
        <f>SUM(AQ96:AQ101)</f>
        <v/>
      </c>
      <c r="AR95" s="1432">
        <f>SUM(AR96:AR101)</f>
        <v/>
      </c>
      <c r="AS95" s="1432">
        <f>SUM(AS96:AS101)</f>
        <v/>
      </c>
      <c r="AT95" s="1432">
        <f>SUM(AT96:AT101)</f>
        <v/>
      </c>
      <c r="AU95" s="1432">
        <f>SUM(AU96:AU101)</f>
        <v/>
      </c>
      <c r="AV95" s="1432">
        <f>SUM(AV96:AV101)</f>
        <v/>
      </c>
      <c r="AW95" s="1432">
        <f>SUM(AX95:BD95)</f>
        <v/>
      </c>
      <c r="AX95" s="1432">
        <f>SUM(AX96:AX101)</f>
        <v/>
      </c>
      <c r="AY95" s="1432">
        <f>SUM(AY96:AY101)</f>
        <v/>
      </c>
      <c r="AZ95" s="1432">
        <f>SUM(AZ96:AZ101)</f>
        <v/>
      </c>
      <c r="BA95" s="1432">
        <f>SUM(BA96:BA101)</f>
        <v/>
      </c>
      <c r="BB95" s="1432">
        <f>SUM(BB96:BB101)</f>
        <v/>
      </c>
      <c r="BC95" s="1432">
        <f>SUM(BC96:BC101)</f>
        <v/>
      </c>
      <c r="BD95" s="1432">
        <f>SUM(BD96:BD101)</f>
        <v/>
      </c>
      <c r="BE95" s="1432">
        <f>SUM(BF95:BL95)</f>
        <v/>
      </c>
      <c r="BF95" s="1432">
        <f>SUM(BF96:BF101)</f>
        <v/>
      </c>
      <c r="BG95" s="1432">
        <f>SUM(BG96:BG101)</f>
        <v/>
      </c>
      <c r="BH95" s="1432">
        <f>SUM(BH96:BH101)</f>
        <v/>
      </c>
      <c r="BI95" s="1432">
        <f>SUM(BI96:BI101)</f>
        <v/>
      </c>
      <c r="BJ95" s="1432">
        <f>SUM(BJ96:BJ101)</f>
        <v/>
      </c>
      <c r="BK95" s="1432">
        <f>SUM(BK96:BK101)</f>
        <v/>
      </c>
      <c r="BL95" s="1432">
        <f>SUM(BL96:BL101)</f>
        <v/>
      </c>
      <c r="BM95" s="384" t="n"/>
      <c r="BN95" s="384" t="n"/>
      <c r="BO95" s="384" t="n"/>
      <c r="BP95" s="384" t="n"/>
      <c r="BQ95" s="384" t="n"/>
    </row>
    <row r="96">
      <c r="A96" s="384" t="n"/>
      <c r="B96" s="384" t="n"/>
      <c r="C96" s="384" t="n"/>
      <c r="D96" s="384" t="n"/>
      <c r="E96" s="384" t="n"/>
      <c r="F96" s="384" t="n"/>
      <c r="G96" s="384" t="n"/>
      <c r="H96" s="384" t="n"/>
      <c r="I96" s="384" t="n"/>
      <c r="J96" s="384" t="n"/>
      <c r="K96" s="384" t="n"/>
      <c r="L96" s="384" t="n"/>
      <c r="M96" s="384" t="n"/>
      <c r="N96" s="384" t="n"/>
      <c r="O96" s="384" t="n"/>
      <c r="P96" s="384" t="n"/>
      <c r="Q96" s="384" t="n"/>
      <c r="R96" s="384" t="n"/>
      <c r="S96" s="462">
        <f>IF(_epmOfflineCondition_,"  房产税",EPMMemberDesc(U96))</f>
        <v/>
      </c>
      <c r="T96" s="384" t="n"/>
      <c r="U96" s="889" t="inlineStr">
        <is>
          <t>A0300301</t>
        </is>
      </c>
      <c r="V96" s="135">
        <f>IF(_epmOfflineCondition_,"A0300301",EPMOlapMemberO(U96,"[C_ACCOUNT].[PARENTH1].[A0300301]","A0300301 -   房产税","","000"))</f>
        <v/>
      </c>
      <c r="W96" s="384" t="n"/>
      <c r="X96" s="344" t="inlineStr">
        <is>
          <t xml:space="preserve">  房产税</t>
        </is>
      </c>
      <c r="Y96" s="1279">
        <f>SUM(Z96:AF96)</f>
        <v/>
      </c>
      <c r="Z96" s="1433" t="n"/>
      <c r="AA96" s="1433" t="n"/>
      <c r="AB96" s="1433" t="n"/>
      <c r="AC96" s="1433" t="n"/>
      <c r="AD96" s="1433" t="n"/>
      <c r="AE96" s="1433" t="n"/>
      <c r="AF96" s="1433" t="n"/>
      <c r="AG96" s="1431" t="n"/>
      <c r="AH96" s="1431" t="n"/>
      <c r="AI96" s="1431" t="n"/>
      <c r="AJ96" s="1431" t="n"/>
      <c r="AK96" s="1431" t="n"/>
      <c r="AL96" s="1431" t="n"/>
      <c r="AM96" s="1431" t="n"/>
      <c r="AN96" s="1431" t="n"/>
      <c r="AO96" s="1432">
        <f>SUM(AP96:AV96)</f>
        <v/>
      </c>
      <c r="AP96" s="1432" t="n"/>
      <c r="AQ96" s="1432" t="n"/>
      <c r="AR96" s="1432" t="n"/>
      <c r="AS96" s="1432" t="n"/>
      <c r="AT96" s="1432" t="n"/>
      <c r="AU96" s="1432" t="n"/>
      <c r="AV96" s="1432" t="n"/>
      <c r="AW96" s="1432">
        <f>SUM(AX96:BD96)</f>
        <v/>
      </c>
      <c r="AX96" s="1432" t="n"/>
      <c r="AY96" s="1432" t="n"/>
      <c r="AZ96" s="1432" t="n"/>
      <c r="BA96" s="1432" t="n"/>
      <c r="BB96" s="1432" t="n"/>
      <c r="BC96" s="1432" t="n"/>
      <c r="BD96" s="1432" t="n"/>
      <c r="BE96" s="1432">
        <f>SUM(BF96:BL96)</f>
        <v/>
      </c>
      <c r="BF96" s="1432" t="n"/>
      <c r="BG96" s="1432" t="n"/>
      <c r="BH96" s="1432" t="n"/>
      <c r="BI96" s="1432" t="n"/>
      <c r="BJ96" s="1432" t="n"/>
      <c r="BK96" s="1432" t="n"/>
      <c r="BL96" s="1432" t="n"/>
      <c r="BM96" s="384" t="n"/>
      <c r="BN96" s="384" t="n"/>
      <c r="BO96" s="384" t="n"/>
      <c r="BP96" s="384" t="n"/>
      <c r="BQ96" s="384" t="n"/>
    </row>
    <row r="97">
      <c r="A97" s="384" t="n"/>
      <c r="B97" s="384" t="n"/>
      <c r="C97" s="384" t="n"/>
      <c r="D97" s="384" t="n"/>
      <c r="E97" s="384" t="n"/>
      <c r="F97" s="384" t="n"/>
      <c r="G97" s="384" t="n"/>
      <c r="H97" s="384" t="n"/>
      <c r="I97" s="384" t="n"/>
      <c r="J97" s="384" t="n"/>
      <c r="K97" s="384" t="n"/>
      <c r="L97" s="384" t="n"/>
      <c r="M97" s="384" t="n"/>
      <c r="N97" s="384" t="n"/>
      <c r="O97" s="384" t="n"/>
      <c r="P97" s="384" t="n"/>
      <c r="Q97" s="384" t="n"/>
      <c r="R97" s="384" t="n"/>
      <c r="S97" s="462">
        <f>IF(_epmOfflineCondition_,"  车船使用税",EPMMemberDesc(U97))</f>
        <v/>
      </c>
      <c r="T97" s="384" t="n"/>
      <c r="U97" s="889" t="inlineStr">
        <is>
          <t>A0300302</t>
        </is>
      </c>
      <c r="V97" s="135">
        <f>IF(_epmOfflineCondition_,"A0300302",EPMOlapMemberO(U97,"[C_ACCOUNT].[PARENTH1].[A0300302]","A0300302 -   车船使用税","","000"))</f>
        <v/>
      </c>
      <c r="W97" s="384" t="n"/>
      <c r="X97" s="344" t="inlineStr">
        <is>
          <t xml:space="preserve">  车船使用税</t>
        </is>
      </c>
      <c r="Y97" s="1279">
        <f>SUM(Z97:AF97)</f>
        <v/>
      </c>
      <c r="Z97" s="1433" t="n"/>
      <c r="AA97" s="1433" t="n"/>
      <c r="AB97" s="1433" t="n"/>
      <c r="AC97" s="1433" t="n"/>
      <c r="AD97" s="1433" t="n"/>
      <c r="AE97" s="1433" t="n"/>
      <c r="AF97" s="1433" t="n"/>
      <c r="AG97" s="1431" t="n"/>
      <c r="AH97" s="1431" t="n"/>
      <c r="AI97" s="1431" t="n"/>
      <c r="AJ97" s="1431" t="n"/>
      <c r="AK97" s="1431" t="n"/>
      <c r="AL97" s="1431" t="n"/>
      <c r="AM97" s="1431" t="n"/>
      <c r="AN97" s="1431" t="n"/>
      <c r="AO97" s="1432">
        <f>SUM(AP97:AV97)</f>
        <v/>
      </c>
      <c r="AP97" s="1432" t="n"/>
      <c r="AQ97" s="1432" t="n"/>
      <c r="AR97" s="1432" t="n"/>
      <c r="AS97" s="1432" t="n"/>
      <c r="AT97" s="1432" t="n"/>
      <c r="AU97" s="1432" t="n"/>
      <c r="AV97" s="1432" t="n"/>
      <c r="AW97" s="1432">
        <f>SUM(AX97:BD97)</f>
        <v/>
      </c>
      <c r="AX97" s="1432" t="n"/>
      <c r="AY97" s="1432" t="n"/>
      <c r="AZ97" s="1432" t="n"/>
      <c r="BA97" s="1432" t="n"/>
      <c r="BB97" s="1432" t="n"/>
      <c r="BC97" s="1432" t="n"/>
      <c r="BD97" s="1432" t="n"/>
      <c r="BE97" s="1432">
        <f>SUM(BF97:BL97)</f>
        <v/>
      </c>
      <c r="BF97" s="1432" t="n"/>
      <c r="BG97" s="1432" t="n"/>
      <c r="BH97" s="1432" t="n"/>
      <c r="BI97" s="1432" t="n"/>
      <c r="BJ97" s="1432" t="n"/>
      <c r="BK97" s="1432" t="n"/>
      <c r="BL97" s="1432" t="n"/>
      <c r="BM97" s="384" t="n"/>
      <c r="BN97" s="384" t="n"/>
      <c r="BO97" s="384" t="n"/>
      <c r="BP97" s="384" t="n"/>
      <c r="BQ97" s="384" t="n"/>
    </row>
    <row r="98">
      <c r="A98" s="384" t="n"/>
      <c r="B98" s="384" t="n"/>
      <c r="C98" s="384" t="n"/>
      <c r="D98" s="384" t="n"/>
      <c r="E98" s="384" t="n"/>
      <c r="F98" s="384" t="n"/>
      <c r="G98" s="384" t="n"/>
      <c r="H98" s="384" t="n"/>
      <c r="I98" s="384" t="n"/>
      <c r="J98" s="384" t="n"/>
      <c r="K98" s="384" t="n"/>
      <c r="L98" s="384" t="n"/>
      <c r="M98" s="384" t="n"/>
      <c r="N98" s="384" t="n"/>
      <c r="O98" s="384" t="n"/>
      <c r="P98" s="384" t="n"/>
      <c r="Q98" s="384" t="n"/>
      <c r="R98" s="384" t="n"/>
      <c r="S98" s="462">
        <f>IF(_epmOfflineCondition_,"  印花税",EPMMemberDesc(U98))</f>
        <v/>
      </c>
      <c r="T98" s="384" t="n"/>
      <c r="U98" s="889" t="inlineStr">
        <is>
          <t>A0300303</t>
        </is>
      </c>
      <c r="V98" s="135">
        <f>IF(_epmOfflineCondition_,"A0300303",EPMOlapMemberO(U98,"[C_ACCOUNT].[PARENTH1].[A0300303]","A0300303 -   印花税","","000"))</f>
        <v/>
      </c>
      <c r="W98" s="384" t="n"/>
      <c r="X98" s="344" t="inlineStr">
        <is>
          <t xml:space="preserve">  印花税</t>
        </is>
      </c>
      <c r="Y98" s="1279">
        <f>SUM(Z98:AF98)</f>
        <v/>
      </c>
      <c r="Z98" s="1433" t="n"/>
      <c r="AA98" s="1433" t="n"/>
      <c r="AB98" s="1433" t="n"/>
      <c r="AC98" s="1433" t="n"/>
      <c r="AD98" s="1433" t="n"/>
      <c r="AE98" s="1433" t="n"/>
      <c r="AF98" s="1433" t="n"/>
      <c r="AG98" s="1431" t="n"/>
      <c r="AH98" s="1431" t="n"/>
      <c r="AI98" s="1431" t="n"/>
      <c r="AJ98" s="1431" t="n"/>
      <c r="AK98" s="1431" t="n"/>
      <c r="AL98" s="1431" t="n"/>
      <c r="AM98" s="1431" t="n"/>
      <c r="AN98" s="1431" t="n"/>
      <c r="AO98" s="1432">
        <f>SUM(AP98:AV98)</f>
        <v/>
      </c>
      <c r="AP98" s="1432" t="n"/>
      <c r="AQ98" s="1432" t="n"/>
      <c r="AR98" s="1432" t="n"/>
      <c r="AS98" s="1432" t="n"/>
      <c r="AT98" s="1432" t="n"/>
      <c r="AU98" s="1432" t="n"/>
      <c r="AV98" s="1432" t="n"/>
      <c r="AW98" s="1432">
        <f>SUM(AX98:BD98)</f>
        <v/>
      </c>
      <c r="AX98" s="1432" t="n"/>
      <c r="AY98" s="1432" t="n"/>
      <c r="AZ98" s="1432" t="n"/>
      <c r="BA98" s="1432" t="n"/>
      <c r="BB98" s="1432" t="n"/>
      <c r="BC98" s="1432" t="n"/>
      <c r="BD98" s="1432" t="n"/>
      <c r="BE98" s="1432">
        <f>SUM(BF98:BL98)</f>
        <v/>
      </c>
      <c r="BF98" s="1432" t="n"/>
      <c r="BG98" s="1432" t="n"/>
      <c r="BH98" s="1432" t="n"/>
      <c r="BI98" s="1432" t="n"/>
      <c r="BJ98" s="1432" t="n"/>
      <c r="BK98" s="1432" t="n"/>
      <c r="BL98" s="1432" t="n"/>
      <c r="BM98" s="384" t="n"/>
      <c r="BN98" s="384" t="n"/>
      <c r="BO98" s="384" t="n"/>
      <c r="BP98" s="384" t="n"/>
      <c r="BQ98" s="384" t="n"/>
    </row>
    <row r="99">
      <c r="A99" s="384" t="n"/>
      <c r="B99" s="384" t="n"/>
      <c r="C99" s="384" t="n"/>
      <c r="D99" s="384" t="n"/>
      <c r="E99" s="384" t="n"/>
      <c r="F99" s="384" t="n"/>
      <c r="G99" s="384" t="n"/>
      <c r="H99" s="384" t="n"/>
      <c r="I99" s="384" t="n"/>
      <c r="J99" s="384" t="n"/>
      <c r="K99" s="384" t="n"/>
      <c r="L99" s="384" t="n"/>
      <c r="M99" s="384" t="n"/>
      <c r="N99" s="384" t="n"/>
      <c r="O99" s="384" t="n"/>
      <c r="P99" s="384" t="n"/>
      <c r="Q99" s="384" t="n"/>
      <c r="R99" s="384" t="n"/>
      <c r="S99" s="462">
        <f>IF(_epmOfflineCondition_,"  土地使用税",EPMMemberDesc(U99))</f>
        <v/>
      </c>
      <c r="T99" s="384" t="n"/>
      <c r="U99" s="889" t="inlineStr">
        <is>
          <t>A0300304</t>
        </is>
      </c>
      <c r="V99" s="135">
        <f>IF(_epmOfflineCondition_,"A0300304",EPMOlapMemberO(U99,"[C_ACCOUNT].[PARENTH1].[A0300304]","A0300304 -   土地使用税","","000"))</f>
        <v/>
      </c>
      <c r="W99" s="384" t="n"/>
      <c r="X99" s="344" t="inlineStr">
        <is>
          <t xml:space="preserve">  土地使用税</t>
        </is>
      </c>
      <c r="Y99" s="1279">
        <f>SUM(Z99:AF99)</f>
        <v/>
      </c>
      <c r="Z99" s="1433" t="n"/>
      <c r="AA99" s="1433" t="n"/>
      <c r="AB99" s="1433" t="n"/>
      <c r="AC99" s="1433" t="n"/>
      <c r="AD99" s="1433" t="n"/>
      <c r="AE99" s="1433" t="n"/>
      <c r="AF99" s="1433" t="n"/>
      <c r="AG99" s="1431" t="n"/>
      <c r="AH99" s="1431" t="n"/>
      <c r="AI99" s="1431" t="n"/>
      <c r="AJ99" s="1431" t="n"/>
      <c r="AK99" s="1431" t="n"/>
      <c r="AL99" s="1431" t="n"/>
      <c r="AM99" s="1431" t="n"/>
      <c r="AN99" s="1431" t="n"/>
      <c r="AO99" s="1432">
        <f>SUM(AP99:AV99)</f>
        <v/>
      </c>
      <c r="AP99" s="1432" t="n"/>
      <c r="AQ99" s="1432" t="n"/>
      <c r="AR99" s="1432" t="n"/>
      <c r="AS99" s="1432" t="n"/>
      <c r="AT99" s="1432" t="n"/>
      <c r="AU99" s="1432" t="n"/>
      <c r="AV99" s="1432" t="n"/>
      <c r="AW99" s="1432">
        <f>SUM(AX99:BD99)</f>
        <v/>
      </c>
      <c r="AX99" s="1432" t="n"/>
      <c r="AY99" s="1432" t="n"/>
      <c r="AZ99" s="1432" t="n"/>
      <c r="BA99" s="1432" t="n"/>
      <c r="BB99" s="1432" t="n"/>
      <c r="BC99" s="1432" t="n"/>
      <c r="BD99" s="1432" t="n"/>
      <c r="BE99" s="1432">
        <f>SUM(BF99:BL99)</f>
        <v/>
      </c>
      <c r="BF99" s="1432" t="n"/>
      <c r="BG99" s="1432" t="n"/>
      <c r="BH99" s="1432" t="n"/>
      <c r="BI99" s="1432" t="n"/>
      <c r="BJ99" s="1432" t="n"/>
      <c r="BK99" s="1432" t="n"/>
      <c r="BL99" s="1432" t="n"/>
      <c r="BM99" s="384" t="n"/>
      <c r="BN99" s="384" t="n"/>
      <c r="BO99" s="384" t="n"/>
      <c r="BP99" s="384" t="n"/>
      <c r="BQ99" s="384" t="n"/>
    </row>
    <row r="100">
      <c r="A100" s="384" t="n"/>
      <c r="B100" s="384" t="n"/>
      <c r="C100" s="384" t="n"/>
      <c r="D100" s="384" t="n"/>
      <c r="E100" s="384" t="n"/>
      <c r="F100" s="384" t="n"/>
      <c r="G100" s="384" t="n"/>
      <c r="H100" s="384" t="n"/>
      <c r="I100" s="384" t="n"/>
      <c r="J100" s="384" t="n"/>
      <c r="K100" s="384" t="n"/>
      <c r="L100" s="384" t="n"/>
      <c r="M100" s="384" t="n"/>
      <c r="N100" s="384" t="n"/>
      <c r="O100" s="384" t="n"/>
      <c r="P100" s="384" t="n"/>
      <c r="Q100" s="384" t="n"/>
      <c r="R100" s="384" t="n"/>
      <c r="S100" s="462">
        <f>IF(_epmOfflineCondition_,"  残疾人保障金",EPMMemberDesc(U100))</f>
        <v/>
      </c>
      <c r="T100" s="384" t="n"/>
      <c r="U100" s="889" t="inlineStr">
        <is>
          <t>A0300305</t>
        </is>
      </c>
      <c r="V100" s="135">
        <f>IF(_epmOfflineCondition_,"A0300305",EPMOlapMemberO(U100,"[C_ACCOUNT].[PARENTH1].[A0300305]","A0300305 -   残疾人保障金","","000"))</f>
        <v/>
      </c>
      <c r="W100" s="384" t="n"/>
      <c r="X100" s="344" t="inlineStr">
        <is>
          <t xml:space="preserve">  残疾人保障金</t>
        </is>
      </c>
      <c r="Y100" s="1279">
        <f>SUM(Z100:AF100)</f>
        <v/>
      </c>
      <c r="Z100" s="1433" t="n"/>
      <c r="AA100" s="1433" t="n"/>
      <c r="AB100" s="1433" t="n"/>
      <c r="AC100" s="1433" t="n"/>
      <c r="AD100" s="1433" t="n"/>
      <c r="AE100" s="1433" t="n"/>
      <c r="AF100" s="1433" t="n"/>
      <c r="AG100" s="1431" t="n"/>
      <c r="AH100" s="1431" t="n"/>
      <c r="AI100" s="1431" t="n"/>
      <c r="AJ100" s="1431" t="n"/>
      <c r="AK100" s="1431" t="n"/>
      <c r="AL100" s="1431" t="n"/>
      <c r="AM100" s="1431" t="n"/>
      <c r="AN100" s="1431" t="n"/>
      <c r="AO100" s="1432">
        <f>SUM(AP100:AV100)</f>
        <v/>
      </c>
      <c r="AP100" s="1432" t="n"/>
      <c r="AQ100" s="1432" t="n"/>
      <c r="AR100" s="1432" t="n"/>
      <c r="AS100" s="1432" t="n"/>
      <c r="AT100" s="1432" t="n"/>
      <c r="AU100" s="1432" t="n"/>
      <c r="AV100" s="1432" t="n"/>
      <c r="AW100" s="1432">
        <f>SUM(AX100:BD100)</f>
        <v/>
      </c>
      <c r="AX100" s="1432" t="n"/>
      <c r="AY100" s="1432" t="n"/>
      <c r="AZ100" s="1432" t="n"/>
      <c r="BA100" s="1432" t="n"/>
      <c r="BB100" s="1432" t="n"/>
      <c r="BC100" s="1432" t="n"/>
      <c r="BD100" s="1432" t="n"/>
      <c r="BE100" s="1432">
        <f>SUM(BF100:BL100)</f>
        <v/>
      </c>
      <c r="BF100" s="1432" t="n"/>
      <c r="BG100" s="1432" t="n"/>
      <c r="BH100" s="1432" t="n"/>
      <c r="BI100" s="1432" t="n"/>
      <c r="BJ100" s="1432" t="n"/>
      <c r="BK100" s="1432" t="n"/>
      <c r="BL100" s="1432" t="n"/>
      <c r="BM100" s="384" t="n"/>
      <c r="BN100" s="384" t="n"/>
      <c r="BO100" s="384" t="n"/>
      <c r="BP100" s="384" t="n"/>
      <c r="BQ100" s="384" t="n"/>
    </row>
    <row r="101">
      <c r="A101" s="384" t="n"/>
      <c r="B101" s="384" t="n"/>
      <c r="C101" s="384" t="n"/>
      <c r="D101" s="384" t="n"/>
      <c r="E101" s="384" t="n"/>
      <c r="F101" s="384" t="n"/>
      <c r="G101" s="384" t="n"/>
      <c r="H101" s="384" t="n"/>
      <c r="I101" s="384" t="n"/>
      <c r="J101" s="384" t="n"/>
      <c r="K101" s="384" t="n"/>
      <c r="L101" s="384" t="n"/>
      <c r="M101" s="384" t="n"/>
      <c r="N101" s="384" t="n"/>
      <c r="O101" s="384" t="n"/>
      <c r="P101" s="384" t="n"/>
      <c r="Q101" s="384" t="n"/>
      <c r="R101" s="384" t="n"/>
      <c r="S101" s="462">
        <f>IF(_epmOfflineCondition_,"  其他政策性税费",EPMMemberDesc(U101))</f>
        <v/>
      </c>
      <c r="T101" s="384" t="n"/>
      <c r="U101" s="889" t="inlineStr">
        <is>
          <t>A0300306</t>
        </is>
      </c>
      <c r="V101" s="135">
        <f>IF(_epmOfflineCondition_,"A0300306",EPMOlapMemberO(U101,"[C_ACCOUNT].[PARENTH1].[A0300306]","A0300306 -   其他政策性税费","","000"))</f>
        <v/>
      </c>
      <c r="W101" s="384" t="n"/>
      <c r="X101" s="344" t="inlineStr">
        <is>
          <t xml:space="preserve">  其他政策性税费</t>
        </is>
      </c>
      <c r="Y101" s="1279">
        <f>SUM(Z101:AF101)</f>
        <v/>
      </c>
      <c r="Z101" s="1433" t="n"/>
      <c r="AA101" s="1433" t="n"/>
      <c r="AB101" s="1433" t="n"/>
      <c r="AC101" s="1433" t="n"/>
      <c r="AD101" s="1433" t="n"/>
      <c r="AE101" s="1433" t="n"/>
      <c r="AF101" s="1433" t="n"/>
      <c r="AG101" s="1431" t="n"/>
      <c r="AH101" s="1431" t="n"/>
      <c r="AI101" s="1431" t="n"/>
      <c r="AJ101" s="1431" t="n"/>
      <c r="AK101" s="1431" t="n"/>
      <c r="AL101" s="1431" t="n"/>
      <c r="AM101" s="1431" t="n"/>
      <c r="AN101" s="1431" t="n"/>
      <c r="AO101" s="1432">
        <f>SUM(AP101:AV101)</f>
        <v/>
      </c>
      <c r="AP101" s="1432" t="n"/>
      <c r="AQ101" s="1432" t="n"/>
      <c r="AR101" s="1432" t="n"/>
      <c r="AS101" s="1432" t="n"/>
      <c r="AT101" s="1432" t="n"/>
      <c r="AU101" s="1432" t="n"/>
      <c r="AV101" s="1432" t="n"/>
      <c r="AW101" s="1432">
        <f>SUM(AX101:BD101)</f>
        <v/>
      </c>
      <c r="AX101" s="1432" t="n"/>
      <c r="AY101" s="1432" t="n"/>
      <c r="AZ101" s="1432" t="n"/>
      <c r="BA101" s="1432" t="n"/>
      <c r="BB101" s="1432" t="n"/>
      <c r="BC101" s="1432" t="n"/>
      <c r="BD101" s="1432" t="n"/>
      <c r="BE101" s="1432">
        <f>SUM(BF101:BL101)</f>
        <v/>
      </c>
      <c r="BF101" s="1432" t="n"/>
      <c r="BG101" s="1432" t="n"/>
      <c r="BH101" s="1432" t="n"/>
      <c r="BI101" s="1432" t="n"/>
      <c r="BJ101" s="1432" t="n"/>
      <c r="BK101" s="1432" t="n"/>
      <c r="BL101" s="1432" t="n"/>
      <c r="BM101" s="384" t="n"/>
      <c r="BN101" s="384" t="n"/>
      <c r="BO101" s="384" t="n"/>
      <c r="BP101" s="384" t="n"/>
      <c r="BQ101" s="384" t="n"/>
    </row>
    <row r="102">
      <c r="A102" s="384" t="n"/>
      <c r="B102" s="384" t="n"/>
      <c r="C102" s="384" t="n"/>
      <c r="D102" s="384" t="n"/>
      <c r="E102" s="384" t="n"/>
      <c r="F102" s="384" t="n"/>
      <c r="G102" s="384" t="n"/>
      <c r="H102" s="384" t="n"/>
      <c r="I102" s="384" t="n"/>
      <c r="J102" s="384" t="n"/>
      <c r="K102" s="384" t="n"/>
      <c r="L102" s="384" t="n"/>
      <c r="M102" s="384" t="n"/>
      <c r="N102" s="384" t="n"/>
      <c r="O102" s="384" t="n"/>
      <c r="P102" s="384" t="n"/>
      <c r="Q102" s="384" t="n"/>
      <c r="R102" s="384" t="n"/>
      <c r="S102" s="462">
        <f>IF(_epmOfflineCondition_,"排污费",EPMMemberDesc(U102))</f>
        <v/>
      </c>
      <c r="T102" s="384" t="n"/>
      <c r="U102" s="889" t="inlineStr">
        <is>
          <t>A03004</t>
        </is>
      </c>
      <c r="V102" s="97">
        <f>IF(_epmOfflineCondition_,"A03004",EPMOlapMemberO(U102,"[C_ACCOUNT].[PARENTH1].[A03004]","A03004 - 排污费","","000"))</f>
        <v/>
      </c>
      <c r="W102" s="384" t="n"/>
      <c r="X102" s="1437" t="inlineStr">
        <is>
          <t>排污费</t>
        </is>
      </c>
      <c r="Y102" s="1279">
        <f>SUM(Z102:AF102)</f>
        <v/>
      </c>
      <c r="Z102" s="1279">
        <f>SUM(Z103:Z107)</f>
        <v/>
      </c>
      <c r="AA102" s="1279">
        <f>SUM(AA103:AA107)</f>
        <v/>
      </c>
      <c r="AB102" s="1279">
        <f>SUM(AB103:AB107)</f>
        <v/>
      </c>
      <c r="AC102" s="1279">
        <f>SUM(AC103:AC107)</f>
        <v/>
      </c>
      <c r="AD102" s="1279">
        <f>SUM(AD103:AD107)</f>
        <v/>
      </c>
      <c r="AE102" s="1279">
        <f>SUM(AE103:AE107)</f>
        <v/>
      </c>
      <c r="AF102" s="1279">
        <f>SUM(AF103:AF107)</f>
        <v/>
      </c>
      <c r="AG102" s="1431" t="n"/>
      <c r="AH102" s="1431" t="n"/>
      <c r="AI102" s="1431" t="n"/>
      <c r="AJ102" s="1431" t="n"/>
      <c r="AK102" s="1431" t="n"/>
      <c r="AL102" s="1431" t="n"/>
      <c r="AM102" s="1431" t="n"/>
      <c r="AN102" s="1431" t="n"/>
      <c r="AO102" s="1432">
        <f>SUM(AP102:AV102)</f>
        <v/>
      </c>
      <c r="AP102" s="1432">
        <f>SUM(AP103:AP107)</f>
        <v/>
      </c>
      <c r="AQ102" s="1432">
        <f>SUM(AQ103:AQ107)</f>
        <v/>
      </c>
      <c r="AR102" s="1432">
        <f>SUM(AR103:AR107)</f>
        <v/>
      </c>
      <c r="AS102" s="1432">
        <f>SUM(AS103:AS107)</f>
        <v/>
      </c>
      <c r="AT102" s="1432">
        <f>SUM(AT103:AT107)</f>
        <v/>
      </c>
      <c r="AU102" s="1432">
        <f>SUM(AU103:AU107)</f>
        <v/>
      </c>
      <c r="AV102" s="1432">
        <f>SUM(AV103:AV107)</f>
        <v/>
      </c>
      <c r="AW102" s="1432">
        <f>SUM(AX102:BD102)</f>
        <v/>
      </c>
      <c r="AX102" s="1432">
        <f>SUM(AX103:AX107)</f>
        <v/>
      </c>
      <c r="AY102" s="1432">
        <f>SUM(AY103:AY107)</f>
        <v/>
      </c>
      <c r="AZ102" s="1432">
        <f>SUM(AZ103:AZ107)</f>
        <v/>
      </c>
      <c r="BA102" s="1432">
        <f>SUM(BA103:BA107)</f>
        <v/>
      </c>
      <c r="BB102" s="1432">
        <f>SUM(BB103:BB107)</f>
        <v/>
      </c>
      <c r="BC102" s="1432">
        <f>SUM(BC103:BC107)</f>
        <v/>
      </c>
      <c r="BD102" s="1432">
        <f>SUM(BD103:BD107)</f>
        <v/>
      </c>
      <c r="BE102" s="1432">
        <f>SUM(BF102:BL102)</f>
        <v/>
      </c>
      <c r="BF102" s="1432">
        <f>SUM(BF103:BF107)</f>
        <v/>
      </c>
      <c r="BG102" s="1432">
        <f>SUM(BG103:BG107)</f>
        <v/>
      </c>
      <c r="BH102" s="1432">
        <f>SUM(BH103:BH107)</f>
        <v/>
      </c>
      <c r="BI102" s="1432">
        <f>SUM(BI103:BI107)</f>
        <v/>
      </c>
      <c r="BJ102" s="1432">
        <f>SUM(BJ103:BJ107)</f>
        <v/>
      </c>
      <c r="BK102" s="1432">
        <f>SUM(BK103:BK107)</f>
        <v/>
      </c>
      <c r="BL102" s="1432">
        <f>SUM(BL103:BL107)</f>
        <v/>
      </c>
      <c r="BM102" s="384" t="n"/>
      <c r="BN102" s="384" t="n"/>
      <c r="BO102" s="384" t="n"/>
      <c r="BP102" s="384" t="n"/>
      <c r="BQ102" s="384" t="n"/>
    </row>
    <row r="103">
      <c r="A103" s="384" t="n"/>
      <c r="B103" s="384" t="n"/>
      <c r="C103" s="384" t="n"/>
      <c r="D103" s="384" t="n"/>
      <c r="E103" s="384" t="n"/>
      <c r="F103" s="384" t="n"/>
      <c r="G103" s="384" t="n"/>
      <c r="H103" s="384" t="n"/>
      <c r="I103" s="384" t="n"/>
      <c r="J103" s="384" t="n"/>
      <c r="K103" s="384" t="n"/>
      <c r="L103" s="384" t="n"/>
      <c r="M103" s="384" t="n"/>
      <c r="N103" s="384" t="n"/>
      <c r="O103" s="384" t="n"/>
      <c r="P103" s="384" t="n"/>
      <c r="Q103" s="384" t="n"/>
      <c r="R103" s="384" t="n"/>
      <c r="S103" s="462">
        <f>IF(_epmOfflineCondition_,"  二氧化硫排放费",EPMMemberDesc(U103))</f>
        <v/>
      </c>
      <c r="T103" s="384" t="n"/>
      <c r="U103" s="889" t="inlineStr">
        <is>
          <t>A0300401</t>
        </is>
      </c>
      <c r="V103" s="135">
        <f>IF(_epmOfflineCondition_,"A0300401",EPMOlapMemberO(U103,"[C_ACCOUNT].[PARENTH1].[A0300401]","A0300401 -   二氧化硫排放费","","000"))</f>
        <v/>
      </c>
      <c r="W103" s="384" t="n"/>
      <c r="X103" s="344" t="inlineStr">
        <is>
          <t xml:space="preserve">  二氧化硫排放费</t>
        </is>
      </c>
      <c r="Y103" s="1279">
        <f>SUM(Z103:AF103)</f>
        <v/>
      </c>
      <c r="Z103" s="1433" t="n"/>
      <c r="AA103" s="1433" t="n"/>
      <c r="AB103" s="1433" t="n"/>
      <c r="AC103" s="1433" t="n"/>
      <c r="AD103" s="1433" t="n"/>
      <c r="AE103" s="1433" t="n"/>
      <c r="AF103" s="1433" t="n"/>
      <c r="AG103" s="1431" t="n"/>
      <c r="AH103" s="1431" t="n"/>
      <c r="AI103" s="1431" t="n"/>
      <c r="AJ103" s="1431" t="n"/>
      <c r="AK103" s="1431" t="n"/>
      <c r="AL103" s="1431" t="n"/>
      <c r="AM103" s="1431" t="n"/>
      <c r="AN103" s="1431" t="n"/>
      <c r="AO103" s="1432">
        <f>SUM(AP103:AV103)</f>
        <v/>
      </c>
      <c r="AP103" s="1432" t="n"/>
      <c r="AQ103" s="1432" t="n"/>
      <c r="AR103" s="1432" t="n"/>
      <c r="AS103" s="1432" t="n"/>
      <c r="AT103" s="1432" t="n"/>
      <c r="AU103" s="1432" t="n"/>
      <c r="AV103" s="1432" t="n"/>
      <c r="AW103" s="1432">
        <f>SUM(AX103:BD103)</f>
        <v/>
      </c>
      <c r="AX103" s="1432" t="n"/>
      <c r="AY103" s="1432" t="n"/>
      <c r="AZ103" s="1432" t="n"/>
      <c r="BA103" s="1432" t="n"/>
      <c r="BB103" s="1432" t="n"/>
      <c r="BC103" s="1432" t="n"/>
      <c r="BD103" s="1432" t="n"/>
      <c r="BE103" s="1432">
        <f>SUM(BF103:BL103)</f>
        <v/>
      </c>
      <c r="BF103" s="1432" t="n"/>
      <c r="BG103" s="1432" t="n"/>
      <c r="BH103" s="1432" t="n"/>
      <c r="BI103" s="1432" t="n"/>
      <c r="BJ103" s="1432" t="n"/>
      <c r="BK103" s="1432" t="n"/>
      <c r="BL103" s="1432" t="n"/>
      <c r="BM103" s="384" t="n"/>
      <c r="BN103" s="384" t="n"/>
      <c r="BO103" s="384" t="n"/>
      <c r="BP103" s="384" t="n"/>
      <c r="BQ103" s="384" t="n"/>
    </row>
    <row r="104">
      <c r="A104" s="384" t="n"/>
      <c r="B104" s="384" t="n"/>
      <c r="C104" s="384" t="n"/>
      <c r="D104" s="384" t="n"/>
      <c r="E104" s="384" t="n"/>
      <c r="F104" s="384" t="n"/>
      <c r="G104" s="384" t="n"/>
      <c r="H104" s="384" t="n"/>
      <c r="I104" s="384" t="n"/>
      <c r="J104" s="384" t="n"/>
      <c r="K104" s="384" t="n"/>
      <c r="L104" s="384" t="n"/>
      <c r="M104" s="384" t="n"/>
      <c r="N104" s="384" t="n"/>
      <c r="O104" s="384" t="n"/>
      <c r="P104" s="384" t="n"/>
      <c r="Q104" s="384" t="n"/>
      <c r="R104" s="384" t="n"/>
      <c r="S104" s="462">
        <f>IF(_epmOfflineCondition_,"  氮氧化物排放费",EPMMemberDesc(U104))</f>
        <v/>
      </c>
      <c r="T104" s="384" t="n"/>
      <c r="U104" s="889" t="inlineStr">
        <is>
          <t>A0300402</t>
        </is>
      </c>
      <c r="V104" s="135">
        <f>IF(_epmOfflineCondition_,"A0300402",EPMOlapMemberO(U104,"[C_ACCOUNT].[PARENTH1].[A0300402]","A0300402 -   氮氧化物排放费","","000"))</f>
        <v/>
      </c>
      <c r="W104" s="384" t="n"/>
      <c r="X104" s="344" t="inlineStr">
        <is>
          <t xml:space="preserve">  氮氧化物排放费</t>
        </is>
      </c>
      <c r="Y104" s="1279">
        <f>SUM(Z104:AF104)</f>
        <v/>
      </c>
      <c r="Z104" s="1433" t="n"/>
      <c r="AA104" s="1433" t="n"/>
      <c r="AB104" s="1433" t="n"/>
      <c r="AC104" s="1433" t="n"/>
      <c r="AD104" s="1433" t="n"/>
      <c r="AE104" s="1433" t="n"/>
      <c r="AF104" s="1433" t="n"/>
      <c r="AG104" s="1431" t="n"/>
      <c r="AH104" s="1431" t="n"/>
      <c r="AI104" s="1431" t="n"/>
      <c r="AJ104" s="1431" t="n"/>
      <c r="AK104" s="1431" t="n"/>
      <c r="AL104" s="1431" t="n"/>
      <c r="AM104" s="1431" t="n"/>
      <c r="AN104" s="1431" t="n"/>
      <c r="AO104" s="1432">
        <f>SUM(AP104:AV104)</f>
        <v/>
      </c>
      <c r="AP104" s="1432" t="n"/>
      <c r="AQ104" s="1432" t="n"/>
      <c r="AR104" s="1432" t="n"/>
      <c r="AS104" s="1432" t="n"/>
      <c r="AT104" s="1432" t="n"/>
      <c r="AU104" s="1432" t="n"/>
      <c r="AV104" s="1432" t="n"/>
      <c r="AW104" s="1432">
        <f>SUM(AX104:BD104)</f>
        <v/>
      </c>
      <c r="AX104" s="1432" t="n"/>
      <c r="AY104" s="1432" t="n"/>
      <c r="AZ104" s="1432" t="n"/>
      <c r="BA104" s="1432" t="n"/>
      <c r="BB104" s="1432" t="n"/>
      <c r="BC104" s="1432" t="n"/>
      <c r="BD104" s="1432" t="n"/>
      <c r="BE104" s="1432">
        <f>SUM(BF104:BL104)</f>
        <v/>
      </c>
      <c r="BF104" s="1432" t="n"/>
      <c r="BG104" s="1432" t="n"/>
      <c r="BH104" s="1432" t="n"/>
      <c r="BI104" s="1432" t="n"/>
      <c r="BJ104" s="1432" t="n"/>
      <c r="BK104" s="1432" t="n"/>
      <c r="BL104" s="1432" t="n"/>
      <c r="BM104" s="384" t="n"/>
      <c r="BN104" s="384" t="n"/>
      <c r="BO104" s="384" t="n"/>
      <c r="BP104" s="384" t="n"/>
      <c r="BQ104" s="384" t="n"/>
    </row>
    <row r="105">
      <c r="A105" s="384" t="n"/>
      <c r="B105" s="384" t="n"/>
      <c r="C105" s="384" t="n"/>
      <c r="D105" s="384" t="n"/>
      <c r="E105" s="384" t="n"/>
      <c r="F105" s="384" t="n"/>
      <c r="G105" s="384" t="n"/>
      <c r="H105" s="384" t="n"/>
      <c r="I105" s="384" t="n"/>
      <c r="J105" s="384" t="n"/>
      <c r="K105" s="384" t="n"/>
      <c r="L105" s="384" t="n"/>
      <c r="M105" s="384" t="n"/>
      <c r="N105" s="384" t="n"/>
      <c r="O105" s="384" t="n"/>
      <c r="P105" s="384" t="n"/>
      <c r="Q105" s="384" t="n"/>
      <c r="R105" s="384" t="n"/>
      <c r="S105" s="462">
        <f>IF(_epmOfflineCondition_,"  烟尘排放费",EPMMemberDesc(U105))</f>
        <v/>
      </c>
      <c r="T105" s="384" t="n"/>
      <c r="U105" s="889" t="inlineStr">
        <is>
          <t>A0300403</t>
        </is>
      </c>
      <c r="V105" s="135">
        <f>IF(_epmOfflineCondition_,"A0300403",EPMOlapMemberO(U105,"[C_ACCOUNT].[PARENTH1].[A0300403]","A0300403 -   烟尘排放费","","000"))</f>
        <v/>
      </c>
      <c r="W105" s="384" t="n"/>
      <c r="X105" s="344" t="inlineStr">
        <is>
          <t xml:space="preserve">  烟尘排放费</t>
        </is>
      </c>
      <c r="Y105" s="1279">
        <f>SUM(Z105:AF105)</f>
        <v/>
      </c>
      <c r="Z105" s="1433" t="n"/>
      <c r="AA105" s="1433" t="n"/>
      <c r="AB105" s="1433" t="n"/>
      <c r="AC105" s="1433" t="n"/>
      <c r="AD105" s="1433" t="n"/>
      <c r="AE105" s="1433" t="n"/>
      <c r="AF105" s="1433" t="n"/>
      <c r="AG105" s="1431" t="n"/>
      <c r="AH105" s="1431" t="n"/>
      <c r="AI105" s="1431" t="n"/>
      <c r="AJ105" s="1431" t="n"/>
      <c r="AK105" s="1431" t="n"/>
      <c r="AL105" s="1431" t="n"/>
      <c r="AM105" s="1431" t="n"/>
      <c r="AN105" s="1431" t="n"/>
      <c r="AO105" s="1432">
        <f>SUM(AP105:AV105)</f>
        <v/>
      </c>
      <c r="AP105" s="1432" t="n"/>
      <c r="AQ105" s="1432" t="n"/>
      <c r="AR105" s="1432" t="n"/>
      <c r="AS105" s="1432" t="n"/>
      <c r="AT105" s="1432" t="n"/>
      <c r="AU105" s="1432" t="n"/>
      <c r="AV105" s="1432" t="n"/>
      <c r="AW105" s="1432">
        <f>SUM(AX105:BD105)</f>
        <v/>
      </c>
      <c r="AX105" s="1432" t="n"/>
      <c r="AY105" s="1432" t="n"/>
      <c r="AZ105" s="1432" t="n"/>
      <c r="BA105" s="1432" t="n"/>
      <c r="BB105" s="1432" t="n"/>
      <c r="BC105" s="1432" t="n"/>
      <c r="BD105" s="1432" t="n"/>
      <c r="BE105" s="1432">
        <f>SUM(BF105:BL105)</f>
        <v/>
      </c>
      <c r="BF105" s="1432" t="n"/>
      <c r="BG105" s="1432" t="n"/>
      <c r="BH105" s="1432" t="n"/>
      <c r="BI105" s="1432" t="n"/>
      <c r="BJ105" s="1432" t="n"/>
      <c r="BK105" s="1432" t="n"/>
      <c r="BL105" s="1432" t="n"/>
      <c r="BM105" s="384" t="n"/>
      <c r="BN105" s="384" t="n"/>
      <c r="BO105" s="384" t="n"/>
      <c r="BP105" s="384" t="n"/>
      <c r="BQ105" s="384" t="n"/>
    </row>
    <row r="106">
      <c r="A106" s="384" t="n"/>
      <c r="B106" s="384" t="n"/>
      <c r="C106" s="384" t="n"/>
      <c r="D106" s="384" t="n"/>
      <c r="E106" s="384" t="n"/>
      <c r="F106" s="384" t="n"/>
      <c r="G106" s="384" t="n"/>
      <c r="H106" s="384" t="n"/>
      <c r="I106" s="384" t="n"/>
      <c r="J106" s="384" t="n"/>
      <c r="K106" s="384" t="n"/>
      <c r="L106" s="384" t="n"/>
      <c r="M106" s="384" t="n"/>
      <c r="N106" s="384" t="n"/>
      <c r="O106" s="384" t="n"/>
      <c r="P106" s="384" t="n"/>
      <c r="Q106" s="384" t="n"/>
      <c r="R106" s="384" t="n"/>
      <c r="S106" s="462">
        <f>IF(_epmOfflineCondition_,"  污水排放费",EPMMemberDesc(U106))</f>
        <v/>
      </c>
      <c r="T106" s="384" t="n"/>
      <c r="U106" s="889" t="inlineStr">
        <is>
          <t>A0300404</t>
        </is>
      </c>
      <c r="V106" s="135">
        <f>IF(_epmOfflineCondition_,"A0300404",EPMOlapMemberO(U106,"[C_ACCOUNT].[PARENTH1].[A0300404]","A0300404 -   污水排放费","","000"))</f>
        <v/>
      </c>
      <c r="W106" s="384" t="n"/>
      <c r="X106" s="344" t="inlineStr">
        <is>
          <t xml:space="preserve">  污水排放费</t>
        </is>
      </c>
      <c r="Y106" s="1279">
        <f>SUM(Z106:AF106)</f>
        <v/>
      </c>
      <c r="Z106" s="1433" t="n"/>
      <c r="AA106" s="1433" t="n"/>
      <c r="AB106" s="1433" t="n"/>
      <c r="AC106" s="1433" t="n"/>
      <c r="AD106" s="1433" t="n"/>
      <c r="AE106" s="1433" t="n"/>
      <c r="AF106" s="1433" t="n"/>
      <c r="AG106" s="1431" t="n"/>
      <c r="AH106" s="1431" t="n"/>
      <c r="AI106" s="1431" t="n"/>
      <c r="AJ106" s="1431" t="n"/>
      <c r="AK106" s="1431" t="n"/>
      <c r="AL106" s="1431" t="n"/>
      <c r="AM106" s="1431" t="n"/>
      <c r="AN106" s="1431" t="n"/>
      <c r="AO106" s="1432">
        <f>SUM(AP106:AV106)</f>
        <v/>
      </c>
      <c r="AP106" s="1432" t="n"/>
      <c r="AQ106" s="1432" t="n"/>
      <c r="AR106" s="1432" t="n"/>
      <c r="AS106" s="1432" t="n"/>
      <c r="AT106" s="1432" t="n"/>
      <c r="AU106" s="1432" t="n"/>
      <c r="AV106" s="1432" t="n"/>
      <c r="AW106" s="1432">
        <f>SUM(AX106:BD106)</f>
        <v/>
      </c>
      <c r="AX106" s="1432" t="n"/>
      <c r="AY106" s="1432" t="n"/>
      <c r="AZ106" s="1432" t="n"/>
      <c r="BA106" s="1432" t="n"/>
      <c r="BB106" s="1432" t="n"/>
      <c r="BC106" s="1432" t="n"/>
      <c r="BD106" s="1432" t="n"/>
      <c r="BE106" s="1432">
        <f>SUM(BF106:BL106)</f>
        <v/>
      </c>
      <c r="BF106" s="1432" t="n"/>
      <c r="BG106" s="1432" t="n"/>
      <c r="BH106" s="1432" t="n"/>
      <c r="BI106" s="1432" t="n"/>
      <c r="BJ106" s="1432" t="n"/>
      <c r="BK106" s="1432" t="n"/>
      <c r="BL106" s="1432" t="n"/>
      <c r="BM106" s="384" t="n"/>
      <c r="BN106" s="384" t="n"/>
      <c r="BO106" s="384" t="n"/>
      <c r="BP106" s="384" t="n"/>
      <c r="BQ106" s="384" t="n"/>
    </row>
    <row r="107">
      <c r="A107" s="384" t="n"/>
      <c r="B107" s="384" t="n"/>
      <c r="C107" s="384" t="n"/>
      <c r="D107" s="384" t="n"/>
      <c r="E107" s="384" t="n"/>
      <c r="F107" s="384" t="n"/>
      <c r="G107" s="384" t="n"/>
      <c r="H107" s="384" t="n"/>
      <c r="I107" s="384" t="n"/>
      <c r="J107" s="384" t="n"/>
      <c r="K107" s="384" t="n"/>
      <c r="L107" s="384" t="n"/>
      <c r="M107" s="384" t="n"/>
      <c r="N107" s="384" t="n"/>
      <c r="O107" s="384" t="n"/>
      <c r="P107" s="384" t="n"/>
      <c r="Q107" s="384" t="n"/>
      <c r="R107" s="384" t="n"/>
      <c r="S107" s="462">
        <f>IF(_epmOfflineCondition_,"  其他排放费",EPMMemberDesc(U107))</f>
        <v/>
      </c>
      <c r="T107" s="384" t="n"/>
      <c r="U107" s="889" t="inlineStr">
        <is>
          <t>A0300405</t>
        </is>
      </c>
      <c r="V107" s="135">
        <f>IF(_epmOfflineCondition_,"A0300405",EPMOlapMemberO(U107,"[C_ACCOUNT].[PARENTH1].[A0300405]","A0300405 -   其他排放费","","000"))</f>
        <v/>
      </c>
      <c r="W107" s="384" t="n"/>
      <c r="X107" s="345" t="inlineStr">
        <is>
          <t xml:space="preserve">  其他排放费</t>
        </is>
      </c>
      <c r="Y107" s="1279">
        <f>SUM(Z107:AF107)</f>
        <v/>
      </c>
      <c r="Z107" s="1433" t="n"/>
      <c r="AA107" s="1433" t="n"/>
      <c r="AB107" s="1433" t="n"/>
      <c r="AC107" s="1433" t="n"/>
      <c r="AD107" s="1433" t="n"/>
      <c r="AE107" s="1433" t="n"/>
      <c r="AF107" s="1433" t="n"/>
      <c r="AG107" s="1431" t="n"/>
      <c r="AH107" s="1431" t="n"/>
      <c r="AI107" s="1431" t="n"/>
      <c r="AJ107" s="1431" t="n"/>
      <c r="AK107" s="1431" t="n"/>
      <c r="AL107" s="1431" t="n"/>
      <c r="AM107" s="1431" t="n"/>
      <c r="AN107" s="1431" t="n"/>
      <c r="AO107" s="1432" t="n"/>
      <c r="AP107" s="1432" t="n"/>
      <c r="AQ107" s="1432" t="n"/>
      <c r="AR107" s="1432" t="n"/>
      <c r="AS107" s="1432" t="n"/>
      <c r="AT107" s="1432" t="n"/>
      <c r="AU107" s="1432" t="n"/>
      <c r="AV107" s="1432" t="n"/>
      <c r="AW107" s="1432" t="n"/>
      <c r="AX107" s="1432" t="n"/>
      <c r="AY107" s="1432" t="n"/>
      <c r="AZ107" s="1432" t="n"/>
      <c r="BA107" s="1432" t="n"/>
      <c r="BB107" s="1432" t="n"/>
      <c r="BC107" s="1432" t="n"/>
      <c r="BD107" s="1432" t="n"/>
      <c r="BE107" s="1432" t="n"/>
      <c r="BF107" s="1432" t="n"/>
      <c r="BG107" s="1432" t="n"/>
      <c r="BH107" s="1432" t="n"/>
      <c r="BI107" s="1432" t="n"/>
      <c r="BJ107" s="1432" t="n"/>
      <c r="BK107" s="1432" t="n"/>
      <c r="BL107" s="1432" t="n"/>
      <c r="BM107" s="384" t="n"/>
      <c r="BN107" s="384" t="n"/>
      <c r="BO107" s="384" t="n"/>
      <c r="BP107" s="384" t="n"/>
      <c r="BQ107" s="384" t="n"/>
    </row>
    <row r="108">
      <c r="A108" s="384" t="n"/>
      <c r="B108" s="384" t="n"/>
      <c r="C108" s="384" t="n"/>
      <c r="D108" s="384" t="n"/>
      <c r="E108" s="384" t="n"/>
      <c r="F108" s="384" t="n"/>
      <c r="G108" s="384" t="n"/>
      <c r="H108" s="384" t="n"/>
      <c r="I108" s="384" t="n"/>
      <c r="J108" s="384" t="n"/>
      <c r="K108" s="384" t="n"/>
      <c r="L108" s="384" t="n"/>
      <c r="M108" s="384" t="n"/>
      <c r="N108" s="384" t="n"/>
      <c r="O108" s="384" t="n"/>
      <c r="P108" s="384" t="n"/>
      <c r="Q108" s="384" t="n"/>
      <c r="R108" s="384" t="n"/>
      <c r="S108" s="462">
        <f>IF(_epmOfflineCondition_,"专项管理费",EPMMemberDesc(U108))</f>
        <v/>
      </c>
      <c r="T108" s="384" t="n"/>
      <c r="U108" s="889" t="inlineStr">
        <is>
          <t>A03005</t>
        </is>
      </c>
      <c r="V108" s="97">
        <f>IF(_epmOfflineCondition_,"A03005",EPMOlapMemberO(U108,"[C_ACCOUNT].[PARENTH1].[A03005]","A03005 - 专项管理费","","000"))</f>
        <v/>
      </c>
      <c r="W108" s="384" t="n"/>
      <c r="X108" s="1437" t="inlineStr">
        <is>
          <t>专项管理费</t>
        </is>
      </c>
      <c r="Y108" s="1279">
        <f>SUM(Z108:AF108)</f>
        <v/>
      </c>
      <c r="Z108" s="1279">
        <f>SUM(Z109:Z119)</f>
        <v/>
      </c>
      <c r="AA108" s="1279">
        <f>SUM(AA109:AA119)</f>
        <v/>
      </c>
      <c r="AB108" s="1279">
        <f>SUM(AB109:AB119)</f>
        <v/>
      </c>
      <c r="AC108" s="1279">
        <f>SUM(AC109:AC119)</f>
        <v/>
      </c>
      <c r="AD108" s="1279">
        <f>SUM(AD109:AD119)</f>
        <v/>
      </c>
      <c r="AE108" s="1279">
        <f>SUM(AE109:AE119)</f>
        <v/>
      </c>
      <c r="AF108" s="1279">
        <f>SUM(AF109:AF119)</f>
        <v/>
      </c>
      <c r="AG108" s="1431" t="inlineStr"/>
      <c r="AH108" s="1431" t="n"/>
      <c r="AI108" s="1431" t="inlineStr"/>
      <c r="AJ108" s="1431" t="n"/>
      <c r="AK108" s="1431" t="n"/>
      <c r="AL108" s="1431" t="n"/>
      <c r="AM108" s="1431" t="n"/>
      <c r="AN108" s="1431" t="n"/>
      <c r="AO108" s="1432">
        <f>SUM(AP108:AV108)</f>
        <v/>
      </c>
      <c r="AP108" s="1432">
        <f>SUM(AP109:AP119)</f>
        <v/>
      </c>
      <c r="AQ108" s="1432">
        <f>SUM(AQ109:AQ119)</f>
        <v/>
      </c>
      <c r="AR108" s="1432">
        <f>SUM(AR109:AR119)</f>
        <v/>
      </c>
      <c r="AS108" s="1432">
        <f>SUM(AS109:AS119)</f>
        <v/>
      </c>
      <c r="AT108" s="1432">
        <f>SUM(AT109:AT119)</f>
        <v/>
      </c>
      <c r="AU108" s="1432">
        <f>SUM(AU109:AU119)</f>
        <v/>
      </c>
      <c r="AV108" s="1432">
        <f>SUM(AV109:AV119)</f>
        <v/>
      </c>
      <c r="AW108" s="1432">
        <f>SUM(AX108:BD108)</f>
        <v/>
      </c>
      <c r="AX108" s="1432">
        <f>SUM(AX109:AX119)</f>
        <v/>
      </c>
      <c r="AY108" s="1432">
        <f>SUM(AY109:AY119)</f>
        <v/>
      </c>
      <c r="AZ108" s="1432">
        <f>SUM(AZ109:AZ119)</f>
        <v/>
      </c>
      <c r="BA108" s="1432">
        <f>SUM(BA109:BA119)</f>
        <v/>
      </c>
      <c r="BB108" s="1432">
        <f>SUM(BB109:BB119)</f>
        <v/>
      </c>
      <c r="BC108" s="1432">
        <f>SUM(BC109:BC119)</f>
        <v/>
      </c>
      <c r="BD108" s="1432">
        <f>SUM(BD109:BD119)</f>
        <v/>
      </c>
      <c r="BE108" s="1432">
        <f>SUM(BF108:BL108)</f>
        <v/>
      </c>
      <c r="BF108" s="1432">
        <f>SUM(BF109:BF119)</f>
        <v/>
      </c>
      <c r="BG108" s="1432">
        <f>SUM(BG109:BG119)</f>
        <v/>
      </c>
      <c r="BH108" s="1432">
        <f>SUM(BH109:BH119)</f>
        <v/>
      </c>
      <c r="BI108" s="1432">
        <f>SUM(BI109:BI119)</f>
        <v/>
      </c>
      <c r="BJ108" s="1432">
        <f>SUM(BJ109:BJ119)</f>
        <v/>
      </c>
      <c r="BK108" s="1432">
        <f>SUM(BK109:BK119)</f>
        <v/>
      </c>
      <c r="BL108" s="1432">
        <f>SUM(BL109:BL119)</f>
        <v/>
      </c>
      <c r="BM108" s="384" t="n"/>
      <c r="BN108" s="384" t="n"/>
      <c r="BO108" s="384" t="n"/>
      <c r="BP108" s="384" t="n"/>
      <c r="BQ108" s="384" t="n"/>
    </row>
    <row r="109">
      <c r="A109" s="384" t="n"/>
      <c r="B109" s="384" t="n"/>
      <c r="C109" s="384" t="n"/>
      <c r="D109" s="384" t="n"/>
      <c r="E109" s="384" t="n"/>
      <c r="F109" s="384" t="n"/>
      <c r="G109" s="384" t="n"/>
      <c r="H109" s="384" t="n"/>
      <c r="I109" s="384" t="n"/>
      <c r="J109" s="384" t="n"/>
      <c r="K109" s="384" t="n"/>
      <c r="L109" s="384" t="n"/>
      <c r="M109" s="384" t="n"/>
      <c r="N109" s="384" t="n"/>
      <c r="O109" s="384" t="n"/>
      <c r="P109" s="384" t="n"/>
      <c r="Q109" s="384" t="n"/>
      <c r="R109" s="384" t="n"/>
      <c r="S109" s="462">
        <f>IF(_epmOfflineCondition_,"  技术监督服务费",EPMMemberDesc(U109))</f>
        <v/>
      </c>
      <c r="T109" s="384" t="n"/>
      <c r="U109" s="889" t="inlineStr">
        <is>
          <t>A0300501</t>
        </is>
      </c>
      <c r="V109" s="135">
        <f>IF(_epmOfflineCondition_,"A0300501",EPMOlapMemberO(U109,"[C_ACCOUNT].[PARENTH1].[A0300501]","A0300501 -   技术监督服务费","","000"))</f>
        <v/>
      </c>
      <c r="W109" s="384" t="n"/>
      <c r="X109" s="344" t="inlineStr">
        <is>
          <t xml:space="preserve">  技术监督服务费</t>
        </is>
      </c>
      <c r="Y109" s="1279">
        <f>SUM(Z109:AF109)</f>
        <v/>
      </c>
      <c r="Z109" s="1433" t="n"/>
      <c r="AA109" s="1433" t="inlineStr"/>
      <c r="AB109" s="1433" t="n"/>
      <c r="AC109" s="1433" t="n"/>
      <c r="AD109" s="1433" t="n"/>
      <c r="AE109" s="1433" t="n"/>
      <c r="AF109" s="1433" t="n"/>
      <c r="AG109" s="1431" t="inlineStr"/>
      <c r="AH109" s="1431" t="n"/>
      <c r="AI109" s="1431" t="inlineStr"/>
      <c r="AJ109" s="1431" t="n"/>
      <c r="AK109" s="1431" t="n"/>
      <c r="AL109" s="1431" t="n"/>
      <c r="AM109" s="1431" t="n"/>
      <c r="AN109" s="1431" t="n"/>
      <c r="AO109" s="1432">
        <f>SUM(AP109:AV109)</f>
        <v/>
      </c>
      <c r="AP109" s="1432" t="n"/>
      <c r="AQ109" s="1432" t="n"/>
      <c r="AR109" s="1432" t="n"/>
      <c r="AS109" s="1432" t="n"/>
      <c r="AT109" s="1432" t="n"/>
      <c r="AU109" s="1432" t="n"/>
      <c r="AV109" s="1432" t="n"/>
      <c r="AW109" s="1432">
        <f>SUM(AX109:BD109)</f>
        <v/>
      </c>
      <c r="AX109" s="1432" t="n"/>
      <c r="AY109" s="1432" t="n"/>
      <c r="AZ109" s="1432" t="n"/>
      <c r="BA109" s="1432" t="n"/>
      <c r="BB109" s="1432" t="n"/>
      <c r="BC109" s="1432" t="n"/>
      <c r="BD109" s="1432" t="n"/>
      <c r="BE109" s="1432">
        <f>SUM(BF109:BL109)</f>
        <v/>
      </c>
      <c r="BF109" s="1432" t="n"/>
      <c r="BG109" s="1432" t="n"/>
      <c r="BH109" s="1432" t="n"/>
      <c r="BI109" s="1432" t="n"/>
      <c r="BJ109" s="1432" t="n"/>
      <c r="BK109" s="1432" t="n"/>
      <c r="BL109" s="1432" t="n"/>
      <c r="BM109" s="384" t="n"/>
      <c r="BN109" s="384" t="n"/>
      <c r="BO109" s="384" t="n"/>
      <c r="BP109" s="384" t="n"/>
      <c r="BQ109" s="384" t="n"/>
    </row>
    <row r="110">
      <c r="A110" s="384" t="n"/>
      <c r="B110" s="384" t="n"/>
      <c r="C110" s="384" t="n"/>
      <c r="D110" s="384" t="n"/>
      <c r="E110" s="384" t="n"/>
      <c r="F110" s="384" t="n"/>
      <c r="G110" s="384" t="n"/>
      <c r="H110" s="384" t="n"/>
      <c r="I110" s="384" t="n"/>
      <c r="J110" s="384" t="n"/>
      <c r="K110" s="384" t="n"/>
      <c r="L110" s="384" t="n"/>
      <c r="M110" s="384" t="n"/>
      <c r="N110" s="384" t="n"/>
      <c r="O110" s="384" t="n"/>
      <c r="P110" s="384" t="n"/>
      <c r="Q110" s="384" t="n"/>
      <c r="R110" s="384" t="n"/>
      <c r="S110" s="462">
        <f>IF(_epmOfflineCondition_,"  租赁费",EPMMemberDesc(U110))</f>
        <v/>
      </c>
      <c r="T110" s="384" t="n"/>
      <c r="U110" s="889" t="inlineStr">
        <is>
          <t>A0300502</t>
        </is>
      </c>
      <c r="V110" s="135">
        <f>IF(_epmOfflineCondition_,"A0300502",EPMOlapMemberO(U110,"[C_ACCOUNT].[PARENTH1].[A0300502]","A0300502 -   租赁费","","000"))</f>
        <v/>
      </c>
      <c r="W110" s="384" t="n"/>
      <c r="X110" s="344" t="inlineStr">
        <is>
          <t xml:space="preserve">  租赁费</t>
        </is>
      </c>
      <c r="Y110" s="1279">
        <f>SUM(Z110:AF110)</f>
        <v/>
      </c>
      <c r="Z110" s="1433" t="n"/>
      <c r="AA110" s="1433" t="n"/>
      <c r="AB110" s="1433" t="n"/>
      <c r="AC110" s="1433" t="n"/>
      <c r="AD110" s="1433" t="n"/>
      <c r="AE110" s="1433" t="n"/>
      <c r="AF110" s="1433" t="n"/>
      <c r="AG110" s="1431" t="n"/>
      <c r="AH110" s="1431" t="n"/>
      <c r="AI110" s="1431" t="n"/>
      <c r="AJ110" s="1431" t="n"/>
      <c r="AK110" s="1431" t="n"/>
      <c r="AL110" s="1431" t="n"/>
      <c r="AM110" s="1431" t="n"/>
      <c r="AN110" s="1431" t="n"/>
      <c r="AO110" s="1432">
        <f>SUM(AP110:AV110)</f>
        <v/>
      </c>
      <c r="AP110" s="1432" t="n"/>
      <c r="AQ110" s="1432" t="n"/>
      <c r="AR110" s="1432" t="n"/>
      <c r="AS110" s="1432" t="n"/>
      <c r="AT110" s="1432" t="n"/>
      <c r="AU110" s="1432" t="n"/>
      <c r="AV110" s="1432" t="n"/>
      <c r="AW110" s="1432">
        <f>SUM(AX110:BD110)</f>
        <v/>
      </c>
      <c r="AX110" s="1432" t="n"/>
      <c r="AY110" s="1432" t="n"/>
      <c r="AZ110" s="1432" t="n"/>
      <c r="BA110" s="1432" t="n"/>
      <c r="BB110" s="1432" t="n"/>
      <c r="BC110" s="1432" t="n"/>
      <c r="BD110" s="1432" t="n"/>
      <c r="BE110" s="1432">
        <f>SUM(BF110:BL110)</f>
        <v/>
      </c>
      <c r="BF110" s="1432" t="n"/>
      <c r="BG110" s="1432" t="n"/>
      <c r="BH110" s="1432" t="n"/>
      <c r="BI110" s="1432" t="n"/>
      <c r="BJ110" s="1432" t="n"/>
      <c r="BK110" s="1432" t="n"/>
      <c r="BL110" s="1432" t="n"/>
      <c r="BM110" s="384" t="n"/>
      <c r="BN110" s="384" t="n"/>
      <c r="BO110" s="384" t="n"/>
      <c r="BP110" s="384" t="n"/>
      <c r="BQ110" s="384" t="n"/>
    </row>
    <row r="111">
      <c r="A111" s="384" t="n"/>
      <c r="B111" s="384" t="n"/>
      <c r="C111" s="384" t="n"/>
      <c r="D111" s="384" t="n"/>
      <c r="E111" s="384" t="n"/>
      <c r="F111" s="384" t="n"/>
      <c r="G111" s="384" t="n"/>
      <c r="H111" s="384" t="n"/>
      <c r="I111" s="384" t="n"/>
      <c r="J111" s="384" t="n"/>
      <c r="K111" s="384" t="n"/>
      <c r="L111" s="384" t="n"/>
      <c r="M111" s="384" t="n"/>
      <c r="N111" s="384" t="n"/>
      <c r="O111" s="384" t="n"/>
      <c r="P111" s="384" t="n"/>
      <c r="Q111" s="384" t="n"/>
      <c r="R111" s="384" t="n"/>
      <c r="S111" s="462">
        <f>IF(_epmOfflineCondition_,"  燃料场损及材料毁损",EPMMemberDesc(U111))</f>
        <v/>
      </c>
      <c r="T111" s="384" t="n"/>
      <c r="U111" s="889" t="inlineStr">
        <is>
          <t>A0300503</t>
        </is>
      </c>
      <c r="V111" s="135">
        <f>IF(_epmOfflineCondition_,"A0300503",EPMOlapMemberO(U111,"[C_ACCOUNT].[PARENTH1].[A0300503]","A0300503 -   燃料场损及材料毁损","","000"))</f>
        <v/>
      </c>
      <c r="W111" s="384" t="n"/>
      <c r="X111" s="344" t="inlineStr">
        <is>
          <t xml:space="preserve">  燃料场损及材料毁损</t>
        </is>
      </c>
      <c r="Y111" s="1279">
        <f>SUM(Z111:AF111)</f>
        <v/>
      </c>
      <c r="Z111" s="1433" t="n"/>
      <c r="AA111" s="1433" t="n"/>
      <c r="AB111" s="1433" t="n"/>
      <c r="AC111" s="1433" t="n"/>
      <c r="AD111" s="1433" t="n"/>
      <c r="AE111" s="1433" t="n"/>
      <c r="AF111" s="1433" t="n"/>
      <c r="AG111" s="1431" t="n"/>
      <c r="AH111" s="1431" t="n"/>
      <c r="AI111" s="1431" t="n"/>
      <c r="AJ111" s="1431" t="n"/>
      <c r="AK111" s="1431" t="n"/>
      <c r="AL111" s="1431" t="n"/>
      <c r="AM111" s="1431" t="n"/>
      <c r="AN111" s="1431" t="n"/>
      <c r="AO111" s="1432">
        <f>SUM(AP111:AV111)</f>
        <v/>
      </c>
      <c r="AP111" s="1432" t="n"/>
      <c r="AQ111" s="1432" t="n"/>
      <c r="AR111" s="1432" t="n"/>
      <c r="AS111" s="1432" t="n"/>
      <c r="AT111" s="1432" t="n"/>
      <c r="AU111" s="1432" t="n"/>
      <c r="AV111" s="1432" t="n"/>
      <c r="AW111" s="1432">
        <f>SUM(AX111:BD111)</f>
        <v/>
      </c>
      <c r="AX111" s="1432" t="n"/>
      <c r="AY111" s="1432" t="n"/>
      <c r="AZ111" s="1432" t="n"/>
      <c r="BA111" s="1432" t="n"/>
      <c r="BB111" s="1432" t="n"/>
      <c r="BC111" s="1432" t="n"/>
      <c r="BD111" s="1432" t="n"/>
      <c r="BE111" s="1432">
        <f>SUM(BF111:BL111)</f>
        <v/>
      </c>
      <c r="BF111" s="1432" t="n"/>
      <c r="BG111" s="1432" t="n"/>
      <c r="BH111" s="1432" t="n"/>
      <c r="BI111" s="1432" t="n"/>
      <c r="BJ111" s="1432" t="n"/>
      <c r="BK111" s="1432" t="n"/>
      <c r="BL111" s="1432" t="n"/>
      <c r="BM111" s="384" t="n"/>
      <c r="BN111" s="384" t="n"/>
      <c r="BO111" s="384" t="n"/>
      <c r="BP111" s="384" t="n"/>
      <c r="BQ111" s="384" t="n"/>
    </row>
    <row r="112">
      <c r="A112" s="384" t="n"/>
      <c r="B112" s="384" t="n"/>
      <c r="C112" s="384" t="n"/>
      <c r="D112" s="384" t="n"/>
      <c r="E112" s="384" t="n"/>
      <c r="F112" s="384" t="n"/>
      <c r="G112" s="384" t="n"/>
      <c r="H112" s="384" t="n"/>
      <c r="I112" s="384" t="n"/>
      <c r="J112" s="384" t="n"/>
      <c r="K112" s="384" t="n"/>
      <c r="L112" s="384" t="n"/>
      <c r="M112" s="384" t="n"/>
      <c r="N112" s="384" t="n"/>
      <c r="O112" s="384" t="n"/>
      <c r="P112" s="384" t="n"/>
      <c r="Q112" s="384" t="n"/>
      <c r="R112" s="384" t="n"/>
      <c r="S112" s="462">
        <f>IF(_epmOfflineCondition_,"  灰渣处理费",EPMMemberDesc(U112))</f>
        <v/>
      </c>
      <c r="T112" s="384" t="n"/>
      <c r="U112" s="889" t="inlineStr">
        <is>
          <t>A0300504</t>
        </is>
      </c>
      <c r="V112" s="135">
        <f>IF(_epmOfflineCondition_,"A0300504",EPMOlapMemberO(U112,"[C_ACCOUNT].[PARENTH1].[A0300504]","A0300504 -   灰渣处理费","","000"))</f>
        <v/>
      </c>
      <c r="W112" s="384" t="n"/>
      <c r="X112" s="344" t="inlineStr">
        <is>
          <t xml:space="preserve">  灰渣处理费</t>
        </is>
      </c>
      <c r="Y112" s="1279">
        <f>SUM(Z112:AF112)</f>
        <v/>
      </c>
      <c r="Z112" s="1433" t="n"/>
      <c r="AA112" s="1433" t="n"/>
      <c r="AB112" s="1433" t="n"/>
      <c r="AC112" s="1433" t="n"/>
      <c r="AD112" s="1433" t="n"/>
      <c r="AE112" s="1433" t="n"/>
      <c r="AF112" s="1433" t="n"/>
      <c r="AG112" s="1431" t="n"/>
      <c r="AH112" s="1431" t="n"/>
      <c r="AI112" s="1431" t="n"/>
      <c r="AJ112" s="1431" t="n"/>
      <c r="AK112" s="1431" t="n"/>
      <c r="AL112" s="1431" t="n"/>
      <c r="AM112" s="1431" t="n"/>
      <c r="AN112" s="1431" t="n"/>
      <c r="AO112" s="1432">
        <f>SUM(AP112:AV112)</f>
        <v/>
      </c>
      <c r="AP112" s="1432" t="n"/>
      <c r="AQ112" s="1432" t="n"/>
      <c r="AR112" s="1432" t="n"/>
      <c r="AS112" s="1432" t="n"/>
      <c r="AT112" s="1432" t="n"/>
      <c r="AU112" s="1432" t="n"/>
      <c r="AV112" s="1432" t="n"/>
      <c r="AW112" s="1432">
        <f>SUM(AX112:BD112)</f>
        <v/>
      </c>
      <c r="AX112" s="1432" t="n"/>
      <c r="AY112" s="1432" t="n"/>
      <c r="AZ112" s="1432" t="n"/>
      <c r="BA112" s="1432" t="n"/>
      <c r="BB112" s="1432" t="n"/>
      <c r="BC112" s="1432" t="n"/>
      <c r="BD112" s="1432" t="n"/>
      <c r="BE112" s="1432">
        <f>SUM(BF112:BL112)</f>
        <v/>
      </c>
      <c r="BF112" s="1432" t="n"/>
      <c r="BG112" s="1432" t="n"/>
      <c r="BH112" s="1432" t="n"/>
      <c r="BI112" s="1432" t="n"/>
      <c r="BJ112" s="1432" t="n"/>
      <c r="BK112" s="1432" t="n"/>
      <c r="BL112" s="1432" t="n"/>
      <c r="BM112" s="384" t="n"/>
      <c r="BN112" s="384" t="n"/>
      <c r="BO112" s="384" t="n"/>
      <c r="BP112" s="384" t="n"/>
      <c r="BQ112" s="384" t="n"/>
    </row>
    <row r="113">
      <c r="A113" s="384" t="n"/>
      <c r="B113" s="384" t="n"/>
      <c r="C113" s="384" t="n"/>
      <c r="D113" s="384" t="n"/>
      <c r="E113" s="384" t="n"/>
      <c r="F113" s="384" t="n"/>
      <c r="G113" s="384" t="n"/>
      <c r="H113" s="384" t="n"/>
      <c r="I113" s="384" t="n"/>
      <c r="J113" s="384" t="n"/>
      <c r="K113" s="384" t="n"/>
      <c r="L113" s="384" t="n"/>
      <c r="M113" s="384" t="n"/>
      <c r="N113" s="384" t="n"/>
      <c r="O113" s="384" t="n"/>
      <c r="P113" s="384" t="n"/>
      <c r="Q113" s="384" t="n"/>
      <c r="R113" s="384" t="n"/>
      <c r="S113" s="462">
        <f>IF(_epmOfflineCondition_,"  试验检验费",EPMMemberDesc(U113))</f>
        <v/>
      </c>
      <c r="T113" s="384" t="n"/>
      <c r="U113" s="889" t="inlineStr">
        <is>
          <t>A0300505</t>
        </is>
      </c>
      <c r="V113" s="135">
        <f>IF(_epmOfflineCondition_,"A0300505",EPMOlapMemberO(U113,"[C_ACCOUNT].[PARENTH1].[A0300505]","A0300505 -   试验检验费","","000"))</f>
        <v/>
      </c>
      <c r="W113" s="384" t="n"/>
      <c r="X113" s="344" t="inlineStr">
        <is>
          <t xml:space="preserve">  试验检验费</t>
        </is>
      </c>
      <c r="Y113" s="1279">
        <f>SUM(Z113:AF113)</f>
        <v/>
      </c>
      <c r="Z113" s="1433" t="n"/>
      <c r="AA113" s="1433" t="n"/>
      <c r="AB113" s="1433" t="n"/>
      <c r="AC113" s="1433" t="n"/>
      <c r="AD113" s="1433" t="n"/>
      <c r="AE113" s="1433" t="n"/>
      <c r="AF113" s="1433" t="n"/>
      <c r="AG113" s="1431" t="n"/>
      <c r="AH113" s="1431" t="n"/>
      <c r="AI113" s="1431" t="n"/>
      <c r="AJ113" s="1431" t="n"/>
      <c r="AK113" s="1431" t="n"/>
      <c r="AL113" s="1431" t="n"/>
      <c r="AM113" s="1431" t="n"/>
      <c r="AN113" s="1431" t="n"/>
      <c r="AO113" s="1432">
        <f>SUM(AP113:AV113)</f>
        <v/>
      </c>
      <c r="AP113" s="1432" t="n"/>
      <c r="AQ113" s="1432" t="n"/>
      <c r="AR113" s="1432" t="n"/>
      <c r="AS113" s="1432" t="n"/>
      <c r="AT113" s="1432" t="n"/>
      <c r="AU113" s="1432" t="n"/>
      <c r="AV113" s="1432" t="n"/>
      <c r="AW113" s="1432">
        <f>SUM(AX113:BD113)</f>
        <v/>
      </c>
      <c r="AX113" s="1432" t="n"/>
      <c r="AY113" s="1432" t="n"/>
      <c r="AZ113" s="1432" t="n"/>
      <c r="BA113" s="1432" t="n"/>
      <c r="BB113" s="1432" t="n"/>
      <c r="BC113" s="1432" t="n"/>
      <c r="BD113" s="1432" t="n"/>
      <c r="BE113" s="1432">
        <f>SUM(BF113:BL113)</f>
        <v/>
      </c>
      <c r="BF113" s="1432" t="n"/>
      <c r="BG113" s="1432" t="n"/>
      <c r="BH113" s="1432" t="n"/>
      <c r="BI113" s="1432" t="n"/>
      <c r="BJ113" s="1432" t="n"/>
      <c r="BK113" s="1432" t="n"/>
      <c r="BL113" s="1432" t="n"/>
      <c r="BM113" s="384" t="n"/>
      <c r="BN113" s="384" t="n"/>
      <c r="BO113" s="384" t="n"/>
      <c r="BP113" s="384" t="n"/>
      <c r="BQ113" s="384" t="n"/>
    </row>
    <row r="114">
      <c r="A114" s="384" t="n"/>
      <c r="B114" s="384" t="n"/>
      <c r="C114" s="384" t="n"/>
      <c r="D114" s="384" t="n"/>
      <c r="E114" s="384" t="n"/>
      <c r="F114" s="384" t="n"/>
      <c r="G114" s="384" t="n"/>
      <c r="H114" s="384" t="n"/>
      <c r="I114" s="384" t="n"/>
      <c r="J114" s="384" t="n"/>
      <c r="K114" s="384" t="n"/>
      <c r="L114" s="384" t="n"/>
      <c r="M114" s="384" t="n"/>
      <c r="N114" s="384" t="n"/>
      <c r="O114" s="384" t="n"/>
      <c r="P114" s="384" t="n"/>
      <c r="Q114" s="384" t="n"/>
      <c r="R114" s="384" t="n"/>
      <c r="S114" s="462">
        <f>IF(_epmOfflineCondition_,"  研究开发费",EPMMemberDesc(U114))</f>
        <v/>
      </c>
      <c r="T114" s="384" t="n"/>
      <c r="U114" s="889" t="inlineStr">
        <is>
          <t>A0300506</t>
        </is>
      </c>
      <c r="V114" s="135">
        <f>IF(_epmOfflineCondition_,"A0300506",EPMOlapMemberO(U114,"[C_ACCOUNT].[PARENTH1].[A0300506]","A0300506 -   研究开发费","","000"))</f>
        <v/>
      </c>
      <c r="W114" s="384" t="n"/>
      <c r="X114" s="344" t="inlineStr">
        <is>
          <t xml:space="preserve">  研究开发费</t>
        </is>
      </c>
      <c r="Y114" s="1279">
        <f>SUM(Z114:AF114)</f>
        <v/>
      </c>
      <c r="Z114" s="1433" t="n"/>
      <c r="AA114" s="1433" t="n"/>
      <c r="AB114" s="1433" t="n"/>
      <c r="AC114" s="1433" t="n"/>
      <c r="AD114" s="1433" t="n"/>
      <c r="AE114" s="1433" t="n"/>
      <c r="AF114" s="1433" t="n"/>
      <c r="AG114" s="1431" t="n"/>
      <c r="AH114" s="1431" t="n"/>
      <c r="AI114" s="1431" t="n"/>
      <c r="AJ114" s="1431" t="n"/>
      <c r="AK114" s="1431" t="n"/>
      <c r="AL114" s="1431" t="n"/>
      <c r="AM114" s="1431" t="n"/>
      <c r="AN114" s="1431" t="n"/>
      <c r="AO114" s="1432">
        <f>SUM(AP114:AV114)</f>
        <v/>
      </c>
      <c r="AP114" s="1432" t="n"/>
      <c r="AQ114" s="1432" t="n"/>
      <c r="AR114" s="1432" t="n"/>
      <c r="AS114" s="1432" t="n"/>
      <c r="AT114" s="1432" t="n"/>
      <c r="AU114" s="1432" t="n"/>
      <c r="AV114" s="1432" t="n"/>
      <c r="AW114" s="1432">
        <f>SUM(AX114:BD114)</f>
        <v/>
      </c>
      <c r="AX114" s="1432" t="n"/>
      <c r="AY114" s="1432" t="n"/>
      <c r="AZ114" s="1432" t="n"/>
      <c r="BA114" s="1432" t="n"/>
      <c r="BB114" s="1432" t="n"/>
      <c r="BC114" s="1432" t="n"/>
      <c r="BD114" s="1432" t="n"/>
      <c r="BE114" s="1432">
        <f>SUM(BF114:BL114)</f>
        <v/>
      </c>
      <c r="BF114" s="1432" t="n"/>
      <c r="BG114" s="1432" t="n"/>
      <c r="BH114" s="1432" t="n"/>
      <c r="BI114" s="1432" t="n"/>
      <c r="BJ114" s="1432" t="n"/>
      <c r="BK114" s="1432" t="n"/>
      <c r="BL114" s="1432" t="n"/>
      <c r="BM114" s="384" t="n"/>
      <c r="BN114" s="384" t="n"/>
      <c r="BO114" s="384" t="n"/>
      <c r="BP114" s="384" t="n"/>
      <c r="BQ114" s="384" t="n"/>
    </row>
    <row r="115">
      <c r="A115" s="384" t="n"/>
      <c r="B115" s="384" t="n"/>
      <c r="C115" s="384" t="n"/>
      <c r="D115" s="384" t="n"/>
      <c r="E115" s="384" t="n"/>
      <c r="F115" s="384" t="n"/>
      <c r="G115" s="384" t="n"/>
      <c r="H115" s="384" t="n"/>
      <c r="I115" s="384" t="n"/>
      <c r="J115" s="384" t="n"/>
      <c r="K115" s="384" t="n"/>
      <c r="L115" s="384" t="n"/>
      <c r="M115" s="384" t="n"/>
      <c r="N115" s="384" t="n"/>
      <c r="O115" s="384" t="n"/>
      <c r="P115" s="384" t="n"/>
      <c r="Q115" s="384" t="n"/>
      <c r="R115" s="384" t="n"/>
      <c r="S115" s="462">
        <f>IF(_epmOfflineCondition_,"  管理信息系统维护费",EPMMemberDesc(U115))</f>
        <v/>
      </c>
      <c r="T115" s="384" t="n"/>
      <c r="U115" s="889" t="inlineStr">
        <is>
          <t>A0300507</t>
        </is>
      </c>
      <c r="V115" s="135">
        <f>IF(_epmOfflineCondition_,"A0300507",EPMOlapMemberO(U115,"[C_ACCOUNT].[PARENTH1].[A0300507]","A0300507 -   管理信息系统维护费","","000"))</f>
        <v/>
      </c>
      <c r="W115" s="384" t="n"/>
      <c r="X115" s="344" t="inlineStr">
        <is>
          <t xml:space="preserve">  管理信息系统维护费</t>
        </is>
      </c>
      <c r="Y115" s="1279">
        <f>SUM(Z115:AF115)</f>
        <v/>
      </c>
      <c r="Z115" s="1433" t="n"/>
      <c r="AA115" s="1433" t="n"/>
      <c r="AB115" s="1433" t="n"/>
      <c r="AC115" s="1433" t="n"/>
      <c r="AD115" s="1433" t="n"/>
      <c r="AE115" s="1433" t="n"/>
      <c r="AF115" s="1433" t="n"/>
      <c r="AG115" s="1431" t="n"/>
      <c r="AH115" s="1431" t="n"/>
      <c r="AI115" s="1431" t="n"/>
      <c r="AJ115" s="1431" t="n"/>
      <c r="AK115" s="1431" t="n"/>
      <c r="AL115" s="1431" t="n"/>
      <c r="AM115" s="1431" t="n"/>
      <c r="AN115" s="1431" t="n"/>
      <c r="AO115" s="1432">
        <f>SUM(AP115:AV115)</f>
        <v/>
      </c>
      <c r="AP115" s="1432" t="n"/>
      <c r="AQ115" s="1432" t="n"/>
      <c r="AR115" s="1432" t="n"/>
      <c r="AS115" s="1432" t="n"/>
      <c r="AT115" s="1432" t="n"/>
      <c r="AU115" s="1432" t="n"/>
      <c r="AV115" s="1432" t="n"/>
      <c r="AW115" s="1432">
        <f>SUM(AX115:BD115)</f>
        <v/>
      </c>
      <c r="AX115" s="1432" t="n"/>
      <c r="AY115" s="1432" t="n"/>
      <c r="AZ115" s="1432" t="n"/>
      <c r="BA115" s="1432" t="n"/>
      <c r="BB115" s="1432" t="n"/>
      <c r="BC115" s="1432" t="n"/>
      <c r="BD115" s="1432" t="n"/>
      <c r="BE115" s="1432">
        <f>SUM(BF115:BL115)</f>
        <v/>
      </c>
      <c r="BF115" s="1432" t="n"/>
      <c r="BG115" s="1432" t="n"/>
      <c r="BH115" s="1432" t="n"/>
      <c r="BI115" s="1432" t="n"/>
      <c r="BJ115" s="1432" t="n"/>
      <c r="BK115" s="1432" t="n"/>
      <c r="BL115" s="1432" t="n"/>
      <c r="BM115" s="384" t="n"/>
      <c r="BN115" s="384" t="n"/>
      <c r="BO115" s="384" t="n"/>
      <c r="BP115" s="384" t="n"/>
      <c r="BQ115" s="384" t="n"/>
    </row>
    <row r="116">
      <c r="A116" s="384" t="n"/>
      <c r="B116" s="384" t="n"/>
      <c r="C116" s="384" t="n"/>
      <c r="D116" s="384" t="n"/>
      <c r="E116" s="384" t="n"/>
      <c r="F116" s="384" t="n"/>
      <c r="G116" s="384" t="n"/>
      <c r="H116" s="384" t="n"/>
      <c r="I116" s="384" t="n"/>
      <c r="J116" s="384" t="n"/>
      <c r="K116" s="384" t="n"/>
      <c r="L116" s="384" t="n"/>
      <c r="M116" s="384" t="n"/>
      <c r="N116" s="384" t="n"/>
      <c r="O116" s="384" t="n"/>
      <c r="P116" s="384" t="n"/>
      <c r="Q116" s="384" t="n"/>
      <c r="R116" s="384" t="n"/>
      <c r="S116" s="462">
        <f>IF(_epmOfflineCondition_,"  外部劳务费",EPMMemberDesc(U116))</f>
        <v/>
      </c>
      <c r="T116" s="384" t="n"/>
      <c r="U116" s="889" t="inlineStr">
        <is>
          <t>A0300508</t>
        </is>
      </c>
      <c r="V116" s="135">
        <f>IF(_epmOfflineCondition_,"A0300508",EPMOlapMemberO(U116,"[C_ACCOUNT].[PARENTH1].[A0300508]","A0300508 -   外部劳务费","","000"))</f>
        <v/>
      </c>
      <c r="W116" s="384" t="n"/>
      <c r="X116" s="344" t="inlineStr">
        <is>
          <t xml:space="preserve">  外部劳务费</t>
        </is>
      </c>
      <c r="Y116" s="1279">
        <f>SUM(Z116:AF116)</f>
        <v/>
      </c>
      <c r="Z116" s="1433" t="n"/>
      <c r="AA116" s="1433" t="inlineStr"/>
      <c r="AB116" s="1433" t="n"/>
      <c r="AC116" s="1433" t="n"/>
      <c r="AD116" s="1433" t="n"/>
      <c r="AE116" s="1433" t="n"/>
      <c r="AF116" s="1433" t="n"/>
      <c r="AG116" s="1431" t="inlineStr"/>
      <c r="AH116" s="1431" t="n"/>
      <c r="AI116" s="1431" t="inlineStr"/>
      <c r="AJ116" s="1431" t="n"/>
      <c r="AK116" s="1431" t="n"/>
      <c r="AL116" s="1431" t="n"/>
      <c r="AM116" s="1431" t="n"/>
      <c r="AN116" s="1431" t="n"/>
      <c r="AO116" s="1432">
        <f>SUM(AP116:AV116)</f>
        <v/>
      </c>
      <c r="AP116" s="1432" t="n"/>
      <c r="AQ116" s="1432" t="n"/>
      <c r="AR116" s="1432" t="n"/>
      <c r="AS116" s="1432" t="n"/>
      <c r="AT116" s="1432" t="n"/>
      <c r="AU116" s="1432" t="n"/>
      <c r="AV116" s="1432" t="n"/>
      <c r="AW116" s="1432">
        <f>SUM(AX116:BD116)</f>
        <v/>
      </c>
      <c r="AX116" s="1432" t="n"/>
      <c r="AY116" s="1432" t="n"/>
      <c r="AZ116" s="1432" t="n"/>
      <c r="BA116" s="1432" t="n"/>
      <c r="BB116" s="1432" t="n"/>
      <c r="BC116" s="1432" t="n"/>
      <c r="BD116" s="1432" t="n"/>
      <c r="BE116" s="1432">
        <f>SUM(BF116:BL116)</f>
        <v/>
      </c>
      <c r="BF116" s="1432" t="n"/>
      <c r="BG116" s="1432" t="n"/>
      <c r="BH116" s="1432" t="n"/>
      <c r="BI116" s="1432" t="n"/>
      <c r="BJ116" s="1432" t="n"/>
      <c r="BK116" s="1432" t="n"/>
      <c r="BL116" s="1432" t="n"/>
      <c r="BM116" s="384" t="n"/>
      <c r="BN116" s="384" t="n"/>
      <c r="BO116" s="384" t="n"/>
      <c r="BP116" s="384" t="n"/>
      <c r="BQ116" s="384" t="n"/>
    </row>
    <row r="117">
      <c r="A117" s="384" t="n"/>
      <c r="B117" s="384" t="n"/>
      <c r="C117" s="384" t="n"/>
      <c r="D117" s="384" t="n"/>
      <c r="E117" s="384" t="n"/>
      <c r="F117" s="384" t="n"/>
      <c r="G117" s="384" t="n"/>
      <c r="H117" s="384" t="n"/>
      <c r="I117" s="384" t="n"/>
      <c r="J117" s="384" t="n"/>
      <c r="K117" s="384" t="n"/>
      <c r="L117" s="384" t="n"/>
      <c r="M117" s="384" t="n"/>
      <c r="N117" s="384" t="n"/>
      <c r="O117" s="384" t="n"/>
      <c r="P117" s="384" t="n"/>
      <c r="Q117" s="384" t="n"/>
      <c r="R117" s="384" t="n"/>
      <c r="S117" s="462">
        <f>IF(_epmOfflineCondition_,"  委托运行费",EPMMemberDesc(U117))</f>
        <v/>
      </c>
      <c r="T117" s="384" t="n"/>
      <c r="U117" s="889" t="inlineStr">
        <is>
          <t>A0300509</t>
        </is>
      </c>
      <c r="V117" s="135">
        <f>IF(_epmOfflineCondition_,"A0300509",EPMOlapMemberO(U117,"[C_ACCOUNT].[PARENTH1].[A0300509]","A0300509 -   委托运行费","","000"))</f>
        <v/>
      </c>
      <c r="W117" s="384" t="n"/>
      <c r="X117" s="344" t="inlineStr">
        <is>
          <t xml:space="preserve">  委托运行费</t>
        </is>
      </c>
      <c r="Y117" s="1279">
        <f>SUM(Z117:AF117)</f>
        <v/>
      </c>
      <c r="Z117" s="1433" t="n"/>
      <c r="AA117" s="1433" t="n"/>
      <c r="AB117" s="1433" t="n"/>
      <c r="AC117" s="1433" t="n"/>
      <c r="AD117" s="1433" t="n"/>
      <c r="AE117" s="1433" t="n"/>
      <c r="AF117" s="1433" t="n"/>
      <c r="AG117" s="1431" t="n"/>
      <c r="AH117" s="1431" t="n"/>
      <c r="AI117" s="1431" t="n"/>
      <c r="AJ117" s="1431" t="n"/>
      <c r="AK117" s="1431" t="n"/>
      <c r="AL117" s="1431" t="n"/>
      <c r="AM117" s="1431" t="n"/>
      <c r="AN117" s="1431" t="n"/>
      <c r="AO117" s="1432">
        <f>SUM(AP117:AV117)</f>
        <v/>
      </c>
      <c r="AP117" s="1432" t="n"/>
      <c r="AQ117" s="1432" t="n"/>
      <c r="AR117" s="1432" t="n"/>
      <c r="AS117" s="1432" t="n"/>
      <c r="AT117" s="1432" t="n"/>
      <c r="AU117" s="1432" t="n"/>
      <c r="AV117" s="1432" t="n"/>
      <c r="AW117" s="1432">
        <f>SUM(AX117:BD117)</f>
        <v/>
      </c>
      <c r="AX117" s="1432" t="n"/>
      <c r="AY117" s="1432" t="n"/>
      <c r="AZ117" s="1432" t="n"/>
      <c r="BA117" s="1432" t="n"/>
      <c r="BB117" s="1432" t="n"/>
      <c r="BC117" s="1432" t="n"/>
      <c r="BD117" s="1432" t="n"/>
      <c r="BE117" s="1432">
        <f>SUM(BF117:BL117)</f>
        <v/>
      </c>
      <c r="BF117" s="1432" t="n"/>
      <c r="BG117" s="1432" t="n"/>
      <c r="BH117" s="1432" t="n"/>
      <c r="BI117" s="1432" t="n"/>
      <c r="BJ117" s="1432" t="n"/>
      <c r="BK117" s="1432" t="n"/>
      <c r="BL117" s="1432" t="n"/>
      <c r="BM117" s="384" t="n"/>
      <c r="BN117" s="384" t="n"/>
      <c r="BO117" s="384" t="n"/>
      <c r="BP117" s="384" t="n"/>
      <c r="BQ117" s="384" t="n"/>
    </row>
    <row r="118">
      <c r="A118" s="384" t="n"/>
      <c r="B118" s="384" t="n"/>
      <c r="C118" s="384" t="n"/>
      <c r="D118" s="384" t="n"/>
      <c r="E118" s="384" t="n"/>
      <c r="F118" s="384" t="n"/>
      <c r="G118" s="384" t="n"/>
      <c r="H118" s="384" t="n"/>
      <c r="I118" s="384" t="n"/>
      <c r="J118" s="384" t="n"/>
      <c r="K118" s="384" t="n"/>
      <c r="L118" s="384" t="n"/>
      <c r="M118" s="384" t="n"/>
      <c r="N118" s="384" t="n"/>
      <c r="O118" s="384" t="n"/>
      <c r="P118" s="384" t="n"/>
      <c r="Q118" s="384" t="n"/>
      <c r="R118" s="384" t="n"/>
      <c r="S118" s="462">
        <f>IF(_epmOfflineCondition_,"  综合服务费",EPMMemberDesc(U118))</f>
        <v/>
      </c>
      <c r="T118" s="384" t="n"/>
      <c r="U118" s="889" t="inlineStr">
        <is>
          <t>A0300510</t>
        </is>
      </c>
      <c r="V118" s="135">
        <f>IF(_epmOfflineCondition_,"A0300510",EPMOlapMemberO(U118,"[C_ACCOUNT].[PARENTH1].[A0300510]","A0300510 -   综合服务费","","000"))</f>
        <v/>
      </c>
      <c r="W118" s="384" t="n"/>
      <c r="X118" s="344" t="inlineStr">
        <is>
          <t xml:space="preserve">  综合服务费</t>
        </is>
      </c>
      <c r="Y118" s="1279">
        <f>SUM(Z118:AF118)</f>
        <v/>
      </c>
      <c r="Z118" s="1433" t="n"/>
      <c r="AA118" s="1433" t="n"/>
      <c r="AB118" s="1433" t="n"/>
      <c r="AC118" s="1433" t="n"/>
      <c r="AD118" s="1433" t="n"/>
      <c r="AE118" s="1433" t="n"/>
      <c r="AF118" s="1433" t="n"/>
      <c r="AG118" s="1431" t="n"/>
      <c r="AH118" s="1431" t="n"/>
      <c r="AI118" s="1431" t="n"/>
      <c r="AJ118" s="1431" t="n"/>
      <c r="AK118" s="1431" t="n"/>
      <c r="AL118" s="1431" t="n"/>
      <c r="AM118" s="1431" t="n"/>
      <c r="AN118" s="1431" t="n"/>
      <c r="AO118" s="1432">
        <f>SUM(AP118:AV118)</f>
        <v/>
      </c>
      <c r="AP118" s="1432" t="n"/>
      <c r="AQ118" s="1432" t="n"/>
      <c r="AR118" s="1432" t="n"/>
      <c r="AS118" s="1432" t="n"/>
      <c r="AT118" s="1432" t="n"/>
      <c r="AU118" s="1432" t="n"/>
      <c r="AV118" s="1432" t="n"/>
      <c r="AW118" s="1432">
        <f>SUM(AX118:BD118)</f>
        <v/>
      </c>
      <c r="AX118" s="1432" t="n"/>
      <c r="AY118" s="1432" t="n"/>
      <c r="AZ118" s="1432" t="n"/>
      <c r="BA118" s="1432" t="n"/>
      <c r="BB118" s="1432" t="n"/>
      <c r="BC118" s="1432" t="n"/>
      <c r="BD118" s="1432" t="n"/>
      <c r="BE118" s="1432">
        <f>SUM(BF118:BL118)</f>
        <v/>
      </c>
      <c r="BF118" s="1432" t="n"/>
      <c r="BG118" s="1432" t="n"/>
      <c r="BH118" s="1432" t="n"/>
      <c r="BI118" s="1432" t="n"/>
      <c r="BJ118" s="1432" t="n"/>
      <c r="BK118" s="1432" t="n"/>
      <c r="BL118" s="1432" t="n"/>
      <c r="BM118" s="384" t="n"/>
      <c r="BN118" s="384" t="n"/>
      <c r="BO118" s="384" t="n"/>
      <c r="BP118" s="384" t="n"/>
      <c r="BQ118" s="384" t="n"/>
    </row>
    <row r="119">
      <c r="A119" s="384" t="n"/>
      <c r="B119" s="384" t="n"/>
      <c r="C119" s="384" t="n"/>
      <c r="D119" s="384" t="n"/>
      <c r="E119" s="384" t="n"/>
      <c r="F119" s="384" t="n"/>
      <c r="G119" s="384" t="n"/>
      <c r="H119" s="384" t="n"/>
      <c r="I119" s="384" t="n"/>
      <c r="J119" s="384" t="n"/>
      <c r="K119" s="384" t="n"/>
      <c r="L119" s="384" t="n"/>
      <c r="M119" s="384" t="n"/>
      <c r="N119" s="384" t="n"/>
      <c r="O119" s="384" t="n"/>
      <c r="P119" s="384" t="n"/>
      <c r="Q119" s="384" t="n"/>
      <c r="R119" s="384" t="n"/>
      <c r="S119" s="462">
        <f>IF(_epmOfflineCondition_,"  安全费",EPMMemberDesc(U119))</f>
        <v/>
      </c>
      <c r="T119" s="384" t="n"/>
      <c r="U119" s="889" t="inlineStr">
        <is>
          <t>A0300511</t>
        </is>
      </c>
      <c r="V119" s="135">
        <f>IF(_epmOfflineCondition_,"A0300511",EPMOlapMemberO(U119,"[C_ACCOUNT].[PARENTH1].[A0300511]","A0300511 -   安全费","","000"))</f>
        <v/>
      </c>
      <c r="W119" s="384" t="n"/>
      <c r="X119" s="343" t="inlineStr">
        <is>
          <t xml:space="preserve">  安全费</t>
        </is>
      </c>
      <c r="Y119" s="1279">
        <f>SUM(Z119:AF119)</f>
        <v/>
      </c>
      <c r="Z119" s="1279">
        <f>SUM(Z120:Z126)</f>
        <v/>
      </c>
      <c r="AA119" s="1279">
        <f>SUM(AA120:AA126)</f>
        <v/>
      </c>
      <c r="AB119" s="1279">
        <f>SUM(AB120:AB126)</f>
        <v/>
      </c>
      <c r="AC119" s="1279">
        <f>SUM(AC120:AC126)</f>
        <v/>
      </c>
      <c r="AD119" s="1279">
        <f>SUM(AD120:AD126)</f>
        <v/>
      </c>
      <c r="AE119" s="1279">
        <f>SUM(AE120:AE126)</f>
        <v/>
      </c>
      <c r="AF119" s="1279">
        <f>SUM(AF120:AF126)</f>
        <v/>
      </c>
      <c r="AG119" s="1431" t="inlineStr"/>
      <c r="AH119" s="1431" t="n"/>
      <c r="AI119" s="1431" t="inlineStr"/>
      <c r="AJ119" s="1431" t="n"/>
      <c r="AK119" s="1431" t="n"/>
      <c r="AL119" s="1431" t="n"/>
      <c r="AM119" s="1431" t="n"/>
      <c r="AN119" s="1431" t="n"/>
      <c r="AO119" s="1432">
        <f>SUM(AP119:AV119)</f>
        <v/>
      </c>
      <c r="AP119" s="1432">
        <f>SUM(AP120:AP126)</f>
        <v/>
      </c>
      <c r="AQ119" s="1432">
        <f>SUM(AQ120:AQ126)</f>
        <v/>
      </c>
      <c r="AR119" s="1432">
        <f>SUM(AR120:AR126)</f>
        <v/>
      </c>
      <c r="AS119" s="1432">
        <f>SUM(AS120:AS126)</f>
        <v/>
      </c>
      <c r="AT119" s="1432">
        <f>SUM(AT120:AT126)</f>
        <v/>
      </c>
      <c r="AU119" s="1432">
        <f>SUM(AU120:AU126)</f>
        <v/>
      </c>
      <c r="AV119" s="1432">
        <f>SUM(AV120:AV126)</f>
        <v/>
      </c>
      <c r="AW119" s="1432">
        <f>SUM(AX119:BD119)</f>
        <v/>
      </c>
      <c r="AX119" s="1432">
        <f>SUM(AX120:AX126)</f>
        <v/>
      </c>
      <c r="AY119" s="1432">
        <f>SUM(AY120:AY126)</f>
        <v/>
      </c>
      <c r="AZ119" s="1432">
        <f>SUM(AZ120:AZ126)</f>
        <v/>
      </c>
      <c r="BA119" s="1432">
        <f>SUM(BA120:BA126)</f>
        <v/>
      </c>
      <c r="BB119" s="1432">
        <f>SUM(BB120:BB126)</f>
        <v/>
      </c>
      <c r="BC119" s="1432">
        <f>SUM(BC120:BC126)</f>
        <v/>
      </c>
      <c r="BD119" s="1432">
        <f>SUM(BD120:BD126)</f>
        <v/>
      </c>
      <c r="BE119" s="1432">
        <f>SUM(BF119:BL119)</f>
        <v/>
      </c>
      <c r="BF119" s="1432">
        <f>SUM(BF120:BF126)</f>
        <v/>
      </c>
      <c r="BG119" s="1432">
        <f>SUM(BG120:BG126)</f>
        <v/>
      </c>
      <c r="BH119" s="1432">
        <f>SUM(BH120:BH126)</f>
        <v/>
      </c>
      <c r="BI119" s="1432">
        <f>SUM(BI120:BI126)</f>
        <v/>
      </c>
      <c r="BJ119" s="1432">
        <f>SUM(BJ120:BJ126)</f>
        <v/>
      </c>
      <c r="BK119" s="1432">
        <f>SUM(BK120:BK126)</f>
        <v/>
      </c>
      <c r="BL119" s="1432">
        <f>SUM(BL120:BL126)</f>
        <v/>
      </c>
      <c r="BM119" s="384" t="n"/>
      <c r="BN119" s="384" t="n"/>
      <c r="BO119" s="384" t="n"/>
      <c r="BP119" s="384" t="n"/>
      <c r="BQ119" s="384" t="n"/>
    </row>
    <row r="120">
      <c r="A120" s="384" t="n"/>
      <c r="B120" s="384" t="n"/>
      <c r="C120" s="384" t="n"/>
      <c r="D120" s="384" t="n"/>
      <c r="E120" s="384" t="n"/>
      <c r="F120" s="384" t="n"/>
      <c r="G120" s="384" t="n"/>
      <c r="H120" s="384" t="n"/>
      <c r="I120" s="384" t="n"/>
      <c r="J120" s="384" t="n"/>
      <c r="K120" s="384" t="n"/>
      <c r="L120" s="384" t="n"/>
      <c r="M120" s="384" t="n"/>
      <c r="N120" s="384" t="n"/>
      <c r="O120" s="384" t="n"/>
      <c r="P120" s="384" t="n"/>
      <c r="Q120" s="384" t="n"/>
      <c r="R120" s="384" t="n"/>
      <c r="S120" s="462">
        <f>IF(_epmOfflineCondition_,"安全费-安全维护检验费",EPMMemberDesc(U120))</f>
        <v/>
      </c>
      <c r="T120" s="384" t="n"/>
      <c r="U120" s="889" t="inlineStr">
        <is>
          <t>A030051101</t>
        </is>
      </c>
      <c r="V120" s="136">
        <f>IF(_epmOfflineCondition_,"A030051101",EPMOlapMemberO(U120,"[C_ACCOUNT].[PARENTH1].[A030051101]","A030051101 - 安全费-安全维护检验费","","000"))</f>
        <v/>
      </c>
      <c r="W120" s="384" t="n"/>
      <c r="X120" s="340" t="inlineStr">
        <is>
          <t>安全费-安全维护检验费</t>
        </is>
      </c>
      <c r="Y120" s="1279">
        <f>SUM(Z120:AF120)</f>
        <v/>
      </c>
      <c r="Z120" s="1434" t="n"/>
      <c r="AA120" s="1434" t="inlineStr"/>
      <c r="AB120" s="1434" t="n"/>
      <c r="AC120" s="1434" t="n"/>
      <c r="AD120" s="1434" t="n"/>
      <c r="AE120" s="1434" t="n"/>
      <c r="AF120" s="1434" t="n"/>
      <c r="AG120" s="1431" t="inlineStr"/>
      <c r="AH120" s="1435" t="n"/>
      <c r="AI120" s="1435" t="inlineStr"/>
      <c r="AJ120" s="1435" t="n"/>
      <c r="AK120" s="1435" t="n"/>
      <c r="AL120" s="1435" t="n"/>
      <c r="AM120" s="1435" t="n"/>
      <c r="AN120" s="1435" t="n"/>
      <c r="AO120" s="1432">
        <f>SUM(AP120:AV120)</f>
        <v/>
      </c>
      <c r="AP120" s="1436" t="n"/>
      <c r="AQ120" s="1436" t="n"/>
      <c r="AR120" s="1436" t="n"/>
      <c r="AS120" s="1436" t="n"/>
      <c r="AT120" s="1436" t="n"/>
      <c r="AU120" s="1436" t="n"/>
      <c r="AV120" s="1436" t="n"/>
      <c r="AW120" s="1432">
        <f>SUM(AX120:BD120)</f>
        <v/>
      </c>
      <c r="AX120" s="1436" t="n"/>
      <c r="AY120" s="1436" t="n"/>
      <c r="AZ120" s="1436" t="n"/>
      <c r="BA120" s="1436" t="n"/>
      <c r="BB120" s="1436" t="n"/>
      <c r="BC120" s="1436" t="n"/>
      <c r="BD120" s="1436" t="n"/>
      <c r="BE120" s="1432">
        <f>SUM(BF120:BL120)</f>
        <v/>
      </c>
      <c r="BF120" s="1436" t="n"/>
      <c r="BG120" s="1436" t="n"/>
      <c r="BH120" s="1436" t="n"/>
      <c r="BI120" s="1436" t="n"/>
      <c r="BJ120" s="1436" t="n"/>
      <c r="BK120" s="1436" t="n"/>
      <c r="BL120" s="1436" t="n"/>
      <c r="BM120" s="384" t="n"/>
      <c r="BN120" s="384" t="n"/>
      <c r="BO120" s="384" t="n"/>
      <c r="BP120" s="384" t="n"/>
      <c r="BQ120" s="384" t="n"/>
    </row>
    <row r="121">
      <c r="A121" s="384" t="n"/>
      <c r="B121" s="384" t="n"/>
      <c r="C121" s="384" t="n"/>
      <c r="D121" s="384" t="n"/>
      <c r="E121" s="384" t="n"/>
      <c r="F121" s="384" t="n"/>
      <c r="G121" s="384" t="n"/>
      <c r="H121" s="384" t="n"/>
      <c r="I121" s="384" t="n"/>
      <c r="J121" s="384" t="n"/>
      <c r="K121" s="384" t="n"/>
      <c r="L121" s="384" t="n"/>
      <c r="M121" s="384" t="n"/>
      <c r="N121" s="384" t="n"/>
      <c r="O121" s="384" t="n"/>
      <c r="P121" s="384" t="n"/>
      <c r="Q121" s="384" t="n"/>
      <c r="R121" s="384" t="n"/>
      <c r="S121" s="462">
        <f>IF(_epmOfflineCondition_,"安全费-安全培训费",EPMMemberDesc(U121))</f>
        <v/>
      </c>
      <c r="T121" s="384" t="n"/>
      <c r="U121" s="889" t="inlineStr">
        <is>
          <t>A030051102</t>
        </is>
      </c>
      <c r="V121" s="136">
        <f>IF(_epmOfflineCondition_,"A030051102",EPMOlapMemberO(U121,"[C_ACCOUNT].[PARENTH1].[A030051102]","A030051102 - 安全费-安全培训费","","000"))</f>
        <v/>
      </c>
      <c r="W121" s="384" t="n"/>
      <c r="X121" s="333" t="inlineStr">
        <is>
          <t>安全费-安全培训费</t>
        </is>
      </c>
      <c r="Y121" s="1279">
        <f>SUM(Z121:AF121)</f>
        <v/>
      </c>
      <c r="Z121" s="1434" t="n"/>
      <c r="AA121" s="1434" t="n"/>
      <c r="AB121" s="1434" t="n"/>
      <c r="AC121" s="1434" t="n"/>
      <c r="AD121" s="1434" t="n"/>
      <c r="AE121" s="1434" t="n"/>
      <c r="AF121" s="1434" t="n"/>
      <c r="AG121" s="1431" t="n"/>
      <c r="AH121" s="1435" t="n"/>
      <c r="AI121" s="1435" t="n"/>
      <c r="AJ121" s="1435" t="n"/>
      <c r="AK121" s="1435" t="n"/>
      <c r="AL121" s="1435" t="n"/>
      <c r="AM121" s="1435" t="n"/>
      <c r="AN121" s="1435" t="n"/>
      <c r="AO121" s="1432">
        <f>SUM(AP121:AV121)</f>
        <v/>
      </c>
      <c r="AP121" s="1436" t="n"/>
      <c r="AQ121" s="1436" t="n"/>
      <c r="AR121" s="1436" t="n"/>
      <c r="AS121" s="1436" t="n"/>
      <c r="AT121" s="1436" t="n"/>
      <c r="AU121" s="1436" t="n"/>
      <c r="AV121" s="1436" t="n"/>
      <c r="AW121" s="1432">
        <f>SUM(AX121:BD121)</f>
        <v/>
      </c>
      <c r="AX121" s="1436" t="n"/>
      <c r="AY121" s="1436" t="n"/>
      <c r="AZ121" s="1436" t="n"/>
      <c r="BA121" s="1436" t="n"/>
      <c r="BB121" s="1436" t="n"/>
      <c r="BC121" s="1436" t="n"/>
      <c r="BD121" s="1436" t="n"/>
      <c r="BE121" s="1432">
        <f>SUM(BF121:BL121)</f>
        <v/>
      </c>
      <c r="BF121" s="1436" t="n"/>
      <c r="BG121" s="1436" t="n"/>
      <c r="BH121" s="1436" t="n"/>
      <c r="BI121" s="1436" t="n"/>
      <c r="BJ121" s="1436" t="n"/>
      <c r="BK121" s="1436" t="n"/>
      <c r="BL121" s="1436" t="n"/>
      <c r="BM121" s="384" t="n"/>
      <c r="BN121" s="384" t="n"/>
      <c r="BO121" s="384" t="n"/>
      <c r="BP121" s="384" t="n"/>
      <c r="BQ121" s="384" t="n"/>
    </row>
    <row r="122">
      <c r="A122" s="384" t="n"/>
      <c r="B122" s="384" t="n"/>
      <c r="C122" s="384" t="n"/>
      <c r="D122" s="384" t="n"/>
      <c r="E122" s="384" t="n"/>
      <c r="F122" s="384" t="n"/>
      <c r="G122" s="384" t="n"/>
      <c r="H122" s="384" t="n"/>
      <c r="I122" s="384" t="n"/>
      <c r="J122" s="384" t="n"/>
      <c r="K122" s="384" t="n"/>
      <c r="L122" s="384" t="n"/>
      <c r="M122" s="384" t="n"/>
      <c r="N122" s="384" t="n"/>
      <c r="O122" s="384" t="n"/>
      <c r="P122" s="384" t="n"/>
      <c r="Q122" s="384" t="n"/>
      <c r="R122" s="384" t="n"/>
      <c r="S122" s="462">
        <f>IF(_epmOfflineCondition_,"安全费-安全评估评价费",EPMMemberDesc(U122))</f>
        <v/>
      </c>
      <c r="T122" s="384" t="n"/>
      <c r="U122" s="889" t="inlineStr">
        <is>
          <t>A030051103</t>
        </is>
      </c>
      <c r="V122" s="136">
        <f>IF(_epmOfflineCondition_,"A030051103",EPMOlapMemberO(U122,"[C_ACCOUNT].[PARENTH1].[A030051103]","A030051103 - 安全费-安全评估评价费","","000"))</f>
        <v/>
      </c>
      <c r="W122" s="384" t="n"/>
      <c r="X122" s="333" t="inlineStr">
        <is>
          <t>安全费-安全评估评价费</t>
        </is>
      </c>
      <c r="Y122" s="1279">
        <f>SUM(Z122:AF122)</f>
        <v/>
      </c>
      <c r="Z122" s="1434" t="n"/>
      <c r="AA122" s="1434" t="n"/>
      <c r="AB122" s="1434" t="n"/>
      <c r="AC122" s="1434" t="n"/>
      <c r="AD122" s="1434" t="n"/>
      <c r="AE122" s="1434" t="n"/>
      <c r="AF122" s="1434" t="n"/>
      <c r="AG122" s="1431" t="n"/>
      <c r="AH122" s="1435" t="n"/>
      <c r="AI122" s="1435" t="n"/>
      <c r="AJ122" s="1435" t="n"/>
      <c r="AK122" s="1435" t="n"/>
      <c r="AL122" s="1435" t="n"/>
      <c r="AM122" s="1435" t="n"/>
      <c r="AN122" s="1435" t="n"/>
      <c r="AO122" s="1432">
        <f>SUM(AP122:AV122)</f>
        <v/>
      </c>
      <c r="AP122" s="1436" t="n"/>
      <c r="AQ122" s="1436" t="n"/>
      <c r="AR122" s="1436" t="n"/>
      <c r="AS122" s="1436" t="n"/>
      <c r="AT122" s="1436" t="n"/>
      <c r="AU122" s="1436" t="n"/>
      <c r="AV122" s="1436" t="n"/>
      <c r="AW122" s="1432">
        <f>SUM(AX122:BD122)</f>
        <v/>
      </c>
      <c r="AX122" s="1436" t="n"/>
      <c r="AY122" s="1436" t="n"/>
      <c r="AZ122" s="1436" t="n"/>
      <c r="BA122" s="1436" t="n"/>
      <c r="BB122" s="1436" t="n"/>
      <c r="BC122" s="1436" t="n"/>
      <c r="BD122" s="1436" t="n"/>
      <c r="BE122" s="1432">
        <f>SUM(BF122:BL122)</f>
        <v/>
      </c>
      <c r="BF122" s="1436" t="n"/>
      <c r="BG122" s="1436" t="n"/>
      <c r="BH122" s="1436" t="n"/>
      <c r="BI122" s="1436" t="n"/>
      <c r="BJ122" s="1436" t="n"/>
      <c r="BK122" s="1436" t="n"/>
      <c r="BL122" s="1436" t="n"/>
      <c r="BM122" s="384" t="n"/>
      <c r="BN122" s="384" t="n"/>
      <c r="BO122" s="384" t="n"/>
      <c r="BP122" s="384" t="n"/>
      <c r="BQ122" s="384" t="n"/>
    </row>
    <row r="123">
      <c r="A123" s="384" t="n"/>
      <c r="B123" s="384" t="n"/>
      <c r="C123" s="384" t="n"/>
      <c r="D123" s="384" t="n"/>
      <c r="E123" s="384" t="n"/>
      <c r="F123" s="384" t="n"/>
      <c r="G123" s="384" t="n"/>
      <c r="H123" s="384" t="n"/>
      <c r="I123" s="384" t="n"/>
      <c r="J123" s="384" t="n"/>
      <c r="K123" s="384" t="n"/>
      <c r="L123" s="384" t="n"/>
      <c r="M123" s="384" t="n"/>
      <c r="N123" s="384" t="n"/>
      <c r="O123" s="384" t="n"/>
      <c r="P123" s="384" t="n"/>
      <c r="Q123" s="384" t="n"/>
      <c r="R123" s="384" t="n"/>
      <c r="S123" s="462">
        <f>IF(_epmOfflineCondition_,"安全费-安全措施费",EPMMemberDesc(U123))</f>
        <v/>
      </c>
      <c r="T123" s="384" t="n"/>
      <c r="U123" s="889" t="inlineStr">
        <is>
          <t>A030051104</t>
        </is>
      </c>
      <c r="V123" s="136">
        <f>IF(_epmOfflineCondition_,"A030051104",EPMOlapMemberO(U123,"[C_ACCOUNT].[PARENTH1].[A030051104]","A030051104 - 安全费-安全措施费","","000"))</f>
        <v/>
      </c>
      <c r="W123" s="384" t="n"/>
      <c r="X123" s="333" t="inlineStr">
        <is>
          <t>安全费-安全措施费</t>
        </is>
      </c>
      <c r="Y123" s="1279">
        <f>SUM(Z123:AF123)</f>
        <v/>
      </c>
      <c r="Z123" s="1434" t="n"/>
      <c r="AA123" s="1434" t="n"/>
      <c r="AB123" s="1434" t="n"/>
      <c r="AC123" s="1434" t="n"/>
      <c r="AD123" s="1434" t="n"/>
      <c r="AE123" s="1434" t="n"/>
      <c r="AF123" s="1434" t="n"/>
      <c r="AG123" s="1431" t="n"/>
      <c r="AH123" s="1435" t="n"/>
      <c r="AI123" s="1435" t="n"/>
      <c r="AJ123" s="1435" t="n"/>
      <c r="AK123" s="1435" t="n"/>
      <c r="AL123" s="1435" t="n"/>
      <c r="AM123" s="1435" t="n"/>
      <c r="AN123" s="1435" t="n"/>
      <c r="AO123" s="1432">
        <f>SUM(AP123:AV123)</f>
        <v/>
      </c>
      <c r="AP123" s="1436" t="n"/>
      <c r="AQ123" s="1436" t="n"/>
      <c r="AR123" s="1436" t="n"/>
      <c r="AS123" s="1436" t="n"/>
      <c r="AT123" s="1436" t="n"/>
      <c r="AU123" s="1436" t="n"/>
      <c r="AV123" s="1436" t="n"/>
      <c r="AW123" s="1432">
        <f>SUM(AX123:BD123)</f>
        <v/>
      </c>
      <c r="AX123" s="1436" t="n"/>
      <c r="AY123" s="1436" t="n"/>
      <c r="AZ123" s="1436" t="n"/>
      <c r="BA123" s="1436" t="n"/>
      <c r="BB123" s="1436" t="n"/>
      <c r="BC123" s="1436" t="n"/>
      <c r="BD123" s="1436" t="n"/>
      <c r="BE123" s="1432">
        <f>SUM(BF123:BL123)</f>
        <v/>
      </c>
      <c r="BF123" s="1436" t="n"/>
      <c r="BG123" s="1436" t="n"/>
      <c r="BH123" s="1436" t="n"/>
      <c r="BI123" s="1436" t="n"/>
      <c r="BJ123" s="1436" t="n"/>
      <c r="BK123" s="1436" t="n"/>
      <c r="BL123" s="1436" t="n"/>
      <c r="BM123" s="384" t="n"/>
      <c r="BN123" s="384" t="n"/>
      <c r="BO123" s="384" t="n"/>
      <c r="BP123" s="384" t="n"/>
      <c r="BQ123" s="384" t="n"/>
    </row>
    <row r="124">
      <c r="A124" s="384" t="n"/>
      <c r="B124" s="384" t="n"/>
      <c r="C124" s="384" t="n"/>
      <c r="D124" s="384" t="n"/>
      <c r="E124" s="384" t="n"/>
      <c r="F124" s="384" t="n"/>
      <c r="G124" s="384" t="n"/>
      <c r="H124" s="384" t="n"/>
      <c r="I124" s="384" t="n"/>
      <c r="J124" s="384" t="n"/>
      <c r="K124" s="384" t="n"/>
      <c r="L124" s="384" t="n"/>
      <c r="M124" s="384" t="n"/>
      <c r="N124" s="384" t="n"/>
      <c r="O124" s="384" t="n"/>
      <c r="P124" s="384" t="n"/>
      <c r="Q124" s="384" t="n"/>
      <c r="R124" s="384" t="n"/>
      <c r="S124" s="462">
        <f>IF(_epmOfflineCondition_,"安全费-保卫消防费",EPMMemberDesc(U124))</f>
        <v/>
      </c>
      <c r="T124" s="384" t="n"/>
      <c r="U124" s="889" t="inlineStr">
        <is>
          <t>A030051105</t>
        </is>
      </c>
      <c r="V124" s="136">
        <f>IF(_epmOfflineCondition_,"A030051105",EPMOlapMemberO(U124,"[C_ACCOUNT].[PARENTH1].[A030051105]","A030051105 - 安全费-保卫消防费","","000"))</f>
        <v/>
      </c>
      <c r="W124" s="384" t="n"/>
      <c r="X124" s="333" t="inlineStr">
        <is>
          <t>安全费-保卫消防费</t>
        </is>
      </c>
      <c r="Y124" s="1279">
        <f>SUM(Z124:AF124)</f>
        <v/>
      </c>
      <c r="Z124" s="1434" t="n"/>
      <c r="AA124" s="1434" t="n"/>
      <c r="AB124" s="1434" t="n"/>
      <c r="AC124" s="1434" t="n"/>
      <c r="AD124" s="1434" t="n"/>
      <c r="AE124" s="1434" t="n"/>
      <c r="AF124" s="1434" t="n"/>
      <c r="AG124" s="1431" t="n"/>
      <c r="AH124" s="1435" t="n"/>
      <c r="AI124" s="1435" t="n"/>
      <c r="AJ124" s="1435" t="n"/>
      <c r="AK124" s="1435" t="n"/>
      <c r="AL124" s="1435" t="n"/>
      <c r="AM124" s="1435" t="n"/>
      <c r="AN124" s="1435" t="n"/>
      <c r="AO124" s="1432">
        <f>SUM(AP124:AV124)</f>
        <v/>
      </c>
      <c r="AP124" s="1436" t="n"/>
      <c r="AQ124" s="1436" t="n"/>
      <c r="AR124" s="1436" t="n"/>
      <c r="AS124" s="1436" t="n"/>
      <c r="AT124" s="1436" t="n"/>
      <c r="AU124" s="1436" t="n"/>
      <c r="AV124" s="1436" t="n"/>
      <c r="AW124" s="1432">
        <f>SUM(AX124:BD124)</f>
        <v/>
      </c>
      <c r="AX124" s="1436" t="n"/>
      <c r="AY124" s="1436" t="n"/>
      <c r="AZ124" s="1436" t="n"/>
      <c r="BA124" s="1436" t="n"/>
      <c r="BB124" s="1436" t="n"/>
      <c r="BC124" s="1436" t="n"/>
      <c r="BD124" s="1436" t="n"/>
      <c r="BE124" s="1432">
        <f>SUM(BF124:BL124)</f>
        <v/>
      </c>
      <c r="BF124" s="1436" t="n"/>
      <c r="BG124" s="1436" t="n"/>
      <c r="BH124" s="1436" t="n"/>
      <c r="BI124" s="1436" t="n"/>
      <c r="BJ124" s="1436" t="n"/>
      <c r="BK124" s="1436" t="n"/>
      <c r="BL124" s="1436" t="n"/>
      <c r="BM124" s="384" t="n"/>
      <c r="BN124" s="384" t="n"/>
      <c r="BO124" s="384" t="n"/>
      <c r="BP124" s="384" t="n"/>
      <c r="BQ124" s="384" t="n"/>
    </row>
    <row r="125">
      <c r="A125" s="384" t="n"/>
      <c r="B125" s="384" t="n"/>
      <c r="C125" s="384" t="n"/>
      <c r="D125" s="384" t="n"/>
      <c r="E125" s="384" t="n"/>
      <c r="F125" s="384" t="n"/>
      <c r="G125" s="384" t="n"/>
      <c r="H125" s="384" t="n"/>
      <c r="I125" s="384" t="n"/>
      <c r="J125" s="384" t="n"/>
      <c r="K125" s="384" t="n"/>
      <c r="L125" s="384" t="n"/>
      <c r="M125" s="384" t="n"/>
      <c r="N125" s="384" t="n"/>
      <c r="O125" s="384" t="n"/>
      <c r="P125" s="384" t="n"/>
      <c r="Q125" s="384" t="n"/>
      <c r="R125" s="384" t="n"/>
      <c r="S125" s="462">
        <f>IF(_epmOfflineCondition_,"安全费-堤坝维护费",EPMMemberDesc(U125))</f>
        <v/>
      </c>
      <c r="T125" s="384" t="n"/>
      <c r="U125" s="889" t="inlineStr">
        <is>
          <t>A030051106</t>
        </is>
      </c>
      <c r="V125" s="136">
        <f>IF(_epmOfflineCondition_,"A030051106",EPMOlapMemberO(U125,"[C_ACCOUNT].[PARENTH1].[A030051106]","A030051106 - 安全费-堤坝维护费","","000"))</f>
        <v/>
      </c>
      <c r="W125" s="384" t="n"/>
      <c r="X125" s="333" t="inlineStr">
        <is>
          <t>安全费-堤坝维护费</t>
        </is>
      </c>
      <c r="Y125" s="1279">
        <f>SUM(Z125:AF125)</f>
        <v/>
      </c>
      <c r="Z125" s="1434" t="n"/>
      <c r="AA125" s="1434" t="n"/>
      <c r="AB125" s="1434" t="n"/>
      <c r="AC125" s="1434" t="n"/>
      <c r="AD125" s="1434" t="n"/>
      <c r="AE125" s="1434" t="n"/>
      <c r="AF125" s="1434" t="n"/>
      <c r="AG125" s="1431" t="n"/>
      <c r="AH125" s="1435" t="n"/>
      <c r="AI125" s="1435" t="n"/>
      <c r="AJ125" s="1435" t="n"/>
      <c r="AK125" s="1435" t="n"/>
      <c r="AL125" s="1435" t="n"/>
      <c r="AM125" s="1435" t="n"/>
      <c r="AN125" s="1435" t="n"/>
      <c r="AO125" s="1432">
        <f>SUM(AP125:AV125)</f>
        <v/>
      </c>
      <c r="AP125" s="1436" t="n"/>
      <c r="AQ125" s="1436" t="n"/>
      <c r="AR125" s="1436" t="n"/>
      <c r="AS125" s="1436" t="n"/>
      <c r="AT125" s="1436" t="n"/>
      <c r="AU125" s="1436" t="n"/>
      <c r="AV125" s="1436" t="n"/>
      <c r="AW125" s="1432">
        <f>SUM(AX125:BD125)</f>
        <v/>
      </c>
      <c r="AX125" s="1436" t="n"/>
      <c r="AY125" s="1436" t="n"/>
      <c r="AZ125" s="1436" t="n"/>
      <c r="BA125" s="1436" t="n"/>
      <c r="BB125" s="1436" t="n"/>
      <c r="BC125" s="1436" t="n"/>
      <c r="BD125" s="1436" t="n"/>
      <c r="BE125" s="1432">
        <f>SUM(BF125:BL125)</f>
        <v/>
      </c>
      <c r="BF125" s="1436" t="n"/>
      <c r="BG125" s="1436" t="n"/>
      <c r="BH125" s="1436" t="n"/>
      <c r="BI125" s="1436" t="n"/>
      <c r="BJ125" s="1436" t="n"/>
      <c r="BK125" s="1436" t="n"/>
      <c r="BL125" s="1436" t="n"/>
      <c r="BM125" s="384" t="n"/>
      <c r="BN125" s="384" t="n"/>
      <c r="BO125" s="384" t="n"/>
      <c r="BP125" s="384" t="n"/>
      <c r="BQ125" s="384" t="n"/>
    </row>
    <row r="126">
      <c r="A126" s="384" t="n"/>
      <c r="B126" s="384" t="n"/>
      <c r="C126" s="384" t="n"/>
      <c r="D126" s="384" t="n"/>
      <c r="E126" s="384" t="n"/>
      <c r="F126" s="384" t="n"/>
      <c r="G126" s="384" t="n"/>
      <c r="H126" s="384" t="n"/>
      <c r="I126" s="384" t="n"/>
      <c r="J126" s="384" t="n"/>
      <c r="K126" s="384" t="n"/>
      <c r="L126" s="384" t="n"/>
      <c r="M126" s="384" t="n"/>
      <c r="N126" s="384" t="n"/>
      <c r="O126" s="384" t="n"/>
      <c r="P126" s="384" t="n"/>
      <c r="Q126" s="384" t="n"/>
      <c r="R126" s="384" t="n"/>
      <c r="S126" s="462">
        <f>IF(_epmOfflineCondition_,"安全费-其他安全费",EPMMemberDesc(U126))</f>
        <v/>
      </c>
      <c r="T126" s="384" t="n"/>
      <c r="U126" s="889" t="inlineStr">
        <is>
          <t>A030051107</t>
        </is>
      </c>
      <c r="V126" s="136">
        <f>IF(_epmOfflineCondition_,"A030051107",EPMOlapMemberO(U126,"[C_ACCOUNT].[PARENTH1].[A030051107]","A030051107 - 安全费-其他安全费","","000"))</f>
        <v/>
      </c>
      <c r="W126" s="384" t="n"/>
      <c r="X126" s="333" t="inlineStr">
        <is>
          <t>安全费-其他安全费</t>
        </is>
      </c>
      <c r="Y126" s="1279">
        <f>SUM(Z126:AF126)</f>
        <v/>
      </c>
      <c r="Z126" s="1434" t="n"/>
      <c r="AA126" s="1434" t="inlineStr"/>
      <c r="AB126" s="1434" t="n"/>
      <c r="AC126" s="1434" t="n"/>
      <c r="AD126" s="1434" t="n"/>
      <c r="AE126" s="1434" t="n"/>
      <c r="AF126" s="1434" t="n"/>
      <c r="AG126" s="1431" t="inlineStr"/>
      <c r="AH126" s="1435" t="n"/>
      <c r="AI126" s="1435" t="inlineStr"/>
      <c r="AJ126" s="1435" t="n"/>
      <c r="AK126" s="1435" t="n"/>
      <c r="AL126" s="1435" t="n"/>
      <c r="AM126" s="1435" t="n"/>
      <c r="AN126" s="1435" t="n"/>
      <c r="AO126" s="1432">
        <f>SUM(AP126:AV126)</f>
        <v/>
      </c>
      <c r="AP126" s="1436" t="n"/>
      <c r="AQ126" s="1436" t="n"/>
      <c r="AR126" s="1436" t="n"/>
      <c r="AS126" s="1436" t="n"/>
      <c r="AT126" s="1436" t="n"/>
      <c r="AU126" s="1436" t="n"/>
      <c r="AV126" s="1436" t="n"/>
      <c r="AW126" s="1432">
        <f>SUM(AX126:BD126)</f>
        <v/>
      </c>
      <c r="AX126" s="1436" t="n"/>
      <c r="AY126" s="1436" t="n"/>
      <c r="AZ126" s="1436" t="n"/>
      <c r="BA126" s="1436" t="n"/>
      <c r="BB126" s="1436" t="n"/>
      <c r="BC126" s="1436" t="n"/>
      <c r="BD126" s="1436" t="n"/>
      <c r="BE126" s="1432">
        <f>SUM(BF126:BL126)</f>
        <v/>
      </c>
      <c r="BF126" s="1436" t="n"/>
      <c r="BG126" s="1436" t="n"/>
      <c r="BH126" s="1436" t="n"/>
      <c r="BI126" s="1436" t="n"/>
      <c r="BJ126" s="1436" t="n"/>
      <c r="BK126" s="1436" t="n"/>
      <c r="BL126" s="1436" t="n"/>
      <c r="BM126" s="384" t="n"/>
      <c r="BN126" s="384" t="n"/>
      <c r="BO126" s="384" t="n"/>
      <c r="BP126" s="384" t="n"/>
      <c r="BQ126" s="384" t="n"/>
    </row>
    <row r="127">
      <c r="A127" s="384" t="n"/>
      <c r="B127" s="384" t="n"/>
      <c r="C127" s="384" t="n"/>
      <c r="D127" s="384" t="n"/>
      <c r="E127" s="384" t="n"/>
      <c r="F127" s="384" t="n"/>
      <c r="G127" s="384" t="n"/>
      <c r="H127" s="384" t="n"/>
      <c r="I127" s="384" t="n"/>
      <c r="J127" s="384" t="n"/>
      <c r="K127" s="384" t="n"/>
      <c r="L127" s="384" t="n"/>
      <c r="M127" s="384" t="n"/>
      <c r="N127" s="384" t="n"/>
      <c r="O127" s="384" t="n"/>
      <c r="P127" s="384" t="n"/>
      <c r="Q127" s="384" t="n"/>
      <c r="R127" s="384" t="n"/>
      <c r="S127" s="462">
        <f>IF(_epmOfflineCondition_,"技术转让费",EPMMemberDesc(U127))</f>
        <v/>
      </c>
      <c r="T127" s="384" t="n"/>
      <c r="U127" s="889" t="inlineStr">
        <is>
          <t>A03006</t>
        </is>
      </c>
      <c r="V127" s="97">
        <f>IF(_epmOfflineCondition_,"A03006",EPMOlapMemberO(U127,"[C_ACCOUNT].[PARENTH1].[A03006]","A03006 - 技术转让费","","000"))</f>
        <v/>
      </c>
      <c r="W127" s="384" t="n"/>
      <c r="X127" s="334" t="inlineStr">
        <is>
          <t>技术转让费</t>
        </is>
      </c>
      <c r="Y127" s="1279">
        <f>SUM(Z127:AF127)</f>
        <v/>
      </c>
      <c r="Z127" s="1434" t="n"/>
      <c r="AA127" s="1434" t="n"/>
      <c r="AB127" s="1434" t="n"/>
      <c r="AC127" s="1434" t="n"/>
      <c r="AD127" s="1434" t="n"/>
      <c r="AE127" s="1434" t="n"/>
      <c r="AF127" s="1434" t="n"/>
      <c r="AG127" s="1431" t="n"/>
      <c r="AH127" s="1435" t="n"/>
      <c r="AI127" s="1435" t="n"/>
      <c r="AJ127" s="1435" t="n"/>
      <c r="AK127" s="1435" t="n"/>
      <c r="AL127" s="1435" t="n"/>
      <c r="AM127" s="1435" t="n"/>
      <c r="AN127" s="1435" t="n"/>
      <c r="AO127" s="1432">
        <f>SUM(AP127:AV127)</f>
        <v/>
      </c>
      <c r="AP127" s="1436" t="n"/>
      <c r="AQ127" s="1436" t="n"/>
      <c r="AR127" s="1436" t="n"/>
      <c r="AS127" s="1436" t="n"/>
      <c r="AT127" s="1436" t="n"/>
      <c r="AU127" s="1436" t="n"/>
      <c r="AV127" s="1436" t="n"/>
      <c r="AW127" s="1432">
        <f>SUM(AX127:BD127)</f>
        <v/>
      </c>
      <c r="AX127" s="1436" t="n"/>
      <c r="AY127" s="1436" t="n"/>
      <c r="AZ127" s="1436" t="n"/>
      <c r="BA127" s="1436" t="n"/>
      <c r="BB127" s="1436" t="n"/>
      <c r="BC127" s="1436" t="n"/>
      <c r="BD127" s="1436" t="n"/>
      <c r="BE127" s="1432">
        <f>SUM(BF127:BL127)</f>
        <v/>
      </c>
      <c r="BF127" s="1436" t="n"/>
      <c r="BG127" s="1436" t="n"/>
      <c r="BH127" s="1436" t="n"/>
      <c r="BI127" s="1436" t="n"/>
      <c r="BJ127" s="1436" t="n"/>
      <c r="BK127" s="1436" t="n"/>
      <c r="BL127" s="1436" t="n"/>
      <c r="BM127" s="384" t="n"/>
      <c r="BN127" s="384" t="n"/>
      <c r="BO127" s="384" t="n"/>
      <c r="BP127" s="384" t="n"/>
      <c r="BQ127" s="384" t="n"/>
    </row>
    <row r="128">
      <c r="A128" s="384" t="n"/>
      <c r="B128" s="384" t="n"/>
      <c r="C128" s="384" t="n"/>
      <c r="D128" s="384" t="n"/>
      <c r="E128" s="384" t="n"/>
      <c r="F128" s="384" t="n"/>
      <c r="G128" s="384" t="n"/>
      <c r="H128" s="384" t="n"/>
      <c r="I128" s="384" t="n"/>
      <c r="J128" s="384" t="n"/>
      <c r="K128" s="384" t="n"/>
      <c r="L128" s="384" t="n"/>
      <c r="M128" s="384" t="n"/>
      <c r="N128" s="384" t="n"/>
      <c r="O128" s="384" t="n"/>
      <c r="P128" s="384" t="n"/>
      <c r="Q128" s="384" t="n"/>
      <c r="R128" s="384" t="n"/>
      <c r="S128" s="462">
        <f>IF(_epmOfflineCondition_,"交通费",EPMMemberDesc(U128))</f>
        <v/>
      </c>
      <c r="T128" s="384" t="n"/>
      <c r="U128" s="889" t="inlineStr">
        <is>
          <t>A03007</t>
        </is>
      </c>
      <c r="V128" s="97">
        <f>IF(_epmOfflineCondition_,"A03007",EPMOlapMemberO(U128,"[C_ACCOUNT].[PARENTH1].[A03007]","A03007 - 交通费","","000"))</f>
        <v/>
      </c>
      <c r="W128" s="384" t="n"/>
      <c r="X128" s="334" t="inlineStr">
        <is>
          <t>交通费</t>
        </is>
      </c>
      <c r="Y128" s="1279">
        <f>SUM(Z128:AF128)</f>
        <v/>
      </c>
      <c r="Z128" s="1434" t="n"/>
      <c r="AA128" s="1434" t="n"/>
      <c r="AB128" s="1434" t="n"/>
      <c r="AC128" s="1434" t="n"/>
      <c r="AD128" s="1434" t="n"/>
      <c r="AE128" s="1434" t="n"/>
      <c r="AF128" s="1434" t="n"/>
      <c r="AG128" s="1431" t="n"/>
      <c r="AH128" s="1435" t="n"/>
      <c r="AI128" s="1435" t="n"/>
      <c r="AJ128" s="1435" t="n"/>
      <c r="AK128" s="1435" t="n"/>
      <c r="AL128" s="1435" t="n"/>
      <c r="AM128" s="1435" t="n"/>
      <c r="AN128" s="1435" t="n"/>
      <c r="AO128" s="1432">
        <f>SUM(AP128:AV128)</f>
        <v/>
      </c>
      <c r="AP128" s="1436" t="n"/>
      <c r="AQ128" s="1436" t="n"/>
      <c r="AR128" s="1436" t="n"/>
      <c r="AS128" s="1436" t="n"/>
      <c r="AT128" s="1436" t="n"/>
      <c r="AU128" s="1436" t="n"/>
      <c r="AV128" s="1436" t="n"/>
      <c r="AW128" s="1432">
        <f>SUM(AX128:BD128)</f>
        <v/>
      </c>
      <c r="AX128" s="1436" t="n"/>
      <c r="AY128" s="1436" t="n"/>
      <c r="AZ128" s="1436" t="n"/>
      <c r="BA128" s="1436" t="n"/>
      <c r="BB128" s="1436" t="n"/>
      <c r="BC128" s="1436" t="n"/>
      <c r="BD128" s="1436" t="n"/>
      <c r="BE128" s="1432">
        <f>SUM(BF128:BL128)</f>
        <v/>
      </c>
      <c r="BF128" s="1436" t="n"/>
      <c r="BG128" s="1436" t="n"/>
      <c r="BH128" s="1436" t="n"/>
      <c r="BI128" s="1436" t="n"/>
      <c r="BJ128" s="1436" t="n"/>
      <c r="BK128" s="1436" t="n"/>
      <c r="BL128" s="1436" t="n"/>
      <c r="BM128" s="384" t="n"/>
      <c r="BN128" s="384" t="n"/>
      <c r="BO128" s="384" t="n"/>
      <c r="BP128" s="384" t="n"/>
      <c r="BQ128" s="384" t="n"/>
    </row>
    <row r="129">
      <c r="A129" s="384" t="n"/>
      <c r="B129" s="384" t="n"/>
      <c r="C129" s="384" t="n"/>
      <c r="D129" s="384" t="n"/>
      <c r="E129" s="384" t="n"/>
      <c r="F129" s="384" t="n"/>
      <c r="G129" s="384" t="n"/>
      <c r="H129" s="384" t="n"/>
      <c r="I129" s="384" t="n"/>
      <c r="J129" s="384" t="n"/>
      <c r="K129" s="384" t="n"/>
      <c r="L129" s="384" t="n"/>
      <c r="M129" s="384" t="n"/>
      <c r="N129" s="384" t="n"/>
      <c r="O129" s="384" t="n"/>
      <c r="P129" s="384" t="n"/>
      <c r="Q129" s="384" t="n"/>
      <c r="R129" s="384" t="n"/>
      <c r="S129" s="462">
        <f>IF(_epmOfflineCondition_,"发电权交易费",EPMMemberDesc(U129))</f>
        <v/>
      </c>
      <c r="T129" s="384" t="n"/>
      <c r="U129" s="889" t="inlineStr">
        <is>
          <t>A03008</t>
        </is>
      </c>
      <c r="V129" s="97">
        <f>IF(_epmOfflineCondition_,"A03008",EPMOlapMemberO(U129,"[C_ACCOUNT].[PARENTH1].[A03008]","A03008 - 发电权交易费","","000"))</f>
        <v/>
      </c>
      <c r="W129" s="384" t="n"/>
      <c r="X129" s="334" t="inlineStr">
        <is>
          <t>发电权交易费</t>
        </is>
      </c>
      <c r="Y129" s="1279">
        <f>SUM(Z129:AF129)</f>
        <v/>
      </c>
      <c r="Z129" s="1434" t="n"/>
      <c r="AA129" s="1434" t="n"/>
      <c r="AB129" s="1434" t="n"/>
      <c r="AC129" s="1434" t="n"/>
      <c r="AD129" s="1434" t="n"/>
      <c r="AE129" s="1434" t="n"/>
      <c r="AF129" s="1434" t="n"/>
      <c r="AG129" s="1431" t="n"/>
      <c r="AH129" s="1435" t="n"/>
      <c r="AI129" s="1435" t="n"/>
      <c r="AJ129" s="1435" t="n"/>
      <c r="AK129" s="1435" t="n"/>
      <c r="AL129" s="1435" t="n"/>
      <c r="AM129" s="1435" t="n"/>
      <c r="AN129" s="1435" t="n"/>
      <c r="AO129" s="1432">
        <f>SUM(AP129:AV129)</f>
        <v/>
      </c>
      <c r="AP129" s="1436" t="n"/>
      <c r="AQ129" s="1436" t="n"/>
      <c r="AR129" s="1436" t="n"/>
      <c r="AS129" s="1436" t="n"/>
      <c r="AT129" s="1436" t="n"/>
      <c r="AU129" s="1436" t="n"/>
      <c r="AV129" s="1436" t="n"/>
      <c r="AW129" s="1432">
        <f>SUM(AX129:BD129)</f>
        <v/>
      </c>
      <c r="AX129" s="1436" t="n"/>
      <c r="AY129" s="1436" t="n"/>
      <c r="AZ129" s="1436" t="n"/>
      <c r="BA129" s="1436" t="n"/>
      <c r="BB129" s="1436" t="n"/>
      <c r="BC129" s="1436" t="n"/>
      <c r="BD129" s="1436" t="n"/>
      <c r="BE129" s="1432">
        <f>SUM(BF129:BL129)</f>
        <v/>
      </c>
      <c r="BF129" s="1436" t="n"/>
      <c r="BG129" s="1436" t="n"/>
      <c r="BH129" s="1436" t="n"/>
      <c r="BI129" s="1436" t="n"/>
      <c r="BJ129" s="1436" t="n"/>
      <c r="BK129" s="1436" t="n"/>
      <c r="BL129" s="1436" t="n"/>
      <c r="BM129" s="384" t="n"/>
      <c r="BN129" s="384" t="n"/>
      <c r="BO129" s="384" t="n"/>
      <c r="BP129" s="384" t="n"/>
      <c r="BQ129" s="384" t="n"/>
    </row>
    <row r="130">
      <c r="A130" s="384" t="n"/>
      <c r="B130" s="384" t="n"/>
      <c r="C130" s="384" t="n"/>
      <c r="D130" s="384" t="n"/>
      <c r="E130" s="384" t="n"/>
      <c r="F130" s="384" t="n"/>
      <c r="G130" s="384" t="n"/>
      <c r="H130" s="384" t="n"/>
      <c r="I130" s="384" t="n"/>
      <c r="J130" s="384" t="n"/>
      <c r="K130" s="384" t="n"/>
      <c r="L130" s="384" t="n"/>
      <c r="M130" s="384" t="n"/>
      <c r="N130" s="384" t="n"/>
      <c r="O130" s="384" t="n"/>
      <c r="P130" s="384" t="n"/>
      <c r="Q130" s="384" t="n"/>
      <c r="R130" s="384" t="n"/>
      <c r="S130" s="462">
        <f>IF(_epmOfflineCondition_,"垃圾清运费",EPMMemberDesc(U130))</f>
        <v/>
      </c>
      <c r="T130" s="384" t="n"/>
      <c r="U130" s="889" t="inlineStr">
        <is>
          <t>A03009</t>
        </is>
      </c>
      <c r="V130" s="97">
        <f>IF(_epmOfflineCondition_,"A03009",EPMOlapMemberO(U130,"[C_ACCOUNT].[PARENTH1].[A03009]","A03009 - 垃圾清运费","","000"))</f>
        <v/>
      </c>
      <c r="W130" s="384" t="n"/>
      <c r="X130" s="334" t="inlineStr">
        <is>
          <t>垃圾清运费</t>
        </is>
      </c>
      <c r="Y130" s="1279">
        <f>SUM(Z130:AF130)</f>
        <v/>
      </c>
      <c r="Z130" s="1434" t="n"/>
      <c r="AA130" s="1434" t="n"/>
      <c r="AB130" s="1434" t="n"/>
      <c r="AC130" s="1434" t="n"/>
      <c r="AD130" s="1434" t="n"/>
      <c r="AE130" s="1434" t="n"/>
      <c r="AF130" s="1434" t="n"/>
      <c r="AG130" s="1431" t="n"/>
      <c r="AH130" s="1435" t="n"/>
      <c r="AI130" s="1435" t="n"/>
      <c r="AJ130" s="1435" t="n"/>
      <c r="AK130" s="1435" t="n"/>
      <c r="AL130" s="1435" t="n"/>
      <c r="AM130" s="1435" t="n"/>
      <c r="AN130" s="1435" t="n"/>
      <c r="AO130" s="1432">
        <f>SUM(AP130:AV130)</f>
        <v/>
      </c>
      <c r="AP130" s="1436" t="n"/>
      <c r="AQ130" s="1436" t="n"/>
      <c r="AR130" s="1436" t="n"/>
      <c r="AS130" s="1436" t="n"/>
      <c r="AT130" s="1436" t="n"/>
      <c r="AU130" s="1436" t="n"/>
      <c r="AV130" s="1436" t="n"/>
      <c r="AW130" s="1432">
        <f>SUM(AX130:BD130)</f>
        <v/>
      </c>
      <c r="AX130" s="1436" t="n"/>
      <c r="AY130" s="1436" t="n"/>
      <c r="AZ130" s="1436" t="n"/>
      <c r="BA130" s="1436" t="n"/>
      <c r="BB130" s="1436" t="n"/>
      <c r="BC130" s="1436" t="n"/>
      <c r="BD130" s="1436" t="n"/>
      <c r="BE130" s="1432">
        <f>SUM(BF130:BL130)</f>
        <v/>
      </c>
      <c r="BF130" s="1436" t="n"/>
      <c r="BG130" s="1436" t="n"/>
      <c r="BH130" s="1436" t="n"/>
      <c r="BI130" s="1436" t="n"/>
      <c r="BJ130" s="1436" t="n"/>
      <c r="BK130" s="1436" t="n"/>
      <c r="BL130" s="1436" t="n"/>
      <c r="BM130" s="384" t="n"/>
      <c r="BN130" s="384" t="n"/>
      <c r="BO130" s="384" t="n"/>
      <c r="BP130" s="384" t="n"/>
      <c r="BQ130" s="384" t="n"/>
    </row>
    <row r="131">
      <c r="A131" s="384" t="n"/>
      <c r="B131" s="384" t="n"/>
      <c r="C131" s="384" t="n"/>
      <c r="D131" s="384" t="n"/>
      <c r="E131" s="384" t="n"/>
      <c r="F131" s="384" t="n"/>
      <c r="G131" s="384" t="n"/>
      <c r="H131" s="384" t="n"/>
      <c r="I131" s="384" t="n"/>
      <c r="J131" s="384" t="n"/>
      <c r="K131" s="384" t="n"/>
      <c r="L131" s="384" t="n"/>
      <c r="M131" s="384" t="n"/>
      <c r="N131" s="384" t="n"/>
      <c r="O131" s="384" t="n"/>
      <c r="P131" s="384" t="n"/>
      <c r="Q131" s="384" t="n"/>
      <c r="R131" s="384" t="n"/>
      <c r="S131" s="462">
        <f>IF(_epmOfflineCondition_,"清洁消杀费",EPMMemberDesc(U131))</f>
        <v/>
      </c>
      <c r="T131" s="384" t="n"/>
      <c r="U131" s="889" t="inlineStr">
        <is>
          <t>A03010</t>
        </is>
      </c>
      <c r="V131" s="97">
        <f>IF(_epmOfflineCondition_,"A03010",EPMOlapMemberO(U131,"[C_ACCOUNT].[PARENTH1].[A03010]","A03010 - 清洁消杀费","","000"))</f>
        <v/>
      </c>
      <c r="W131" s="384" t="n"/>
      <c r="X131" s="334" t="inlineStr">
        <is>
          <t>清洁消杀费</t>
        </is>
      </c>
      <c r="Y131" s="1279">
        <f>SUM(Z131:AF131)</f>
        <v/>
      </c>
      <c r="Z131" s="1434" t="n"/>
      <c r="AA131" s="1434" t="n"/>
      <c r="AB131" s="1434" t="n"/>
      <c r="AC131" s="1434" t="n"/>
      <c r="AD131" s="1434" t="n"/>
      <c r="AE131" s="1434" t="n"/>
      <c r="AF131" s="1434" t="n"/>
      <c r="AG131" s="1431" t="n"/>
      <c r="AH131" s="1435" t="n"/>
      <c r="AI131" s="1435" t="n"/>
      <c r="AJ131" s="1435" t="n"/>
      <c r="AK131" s="1435" t="n"/>
      <c r="AL131" s="1435" t="n"/>
      <c r="AM131" s="1435" t="n"/>
      <c r="AN131" s="1435" t="n"/>
      <c r="AO131" s="1432">
        <f>SUM(AP131:AV131)</f>
        <v/>
      </c>
      <c r="AP131" s="1436" t="n"/>
      <c r="AQ131" s="1436" t="n"/>
      <c r="AR131" s="1436" t="n"/>
      <c r="AS131" s="1436" t="n"/>
      <c r="AT131" s="1436" t="n"/>
      <c r="AU131" s="1436" t="n"/>
      <c r="AV131" s="1436" t="n"/>
      <c r="AW131" s="1432">
        <f>SUM(AX131:BD131)</f>
        <v/>
      </c>
      <c r="AX131" s="1436" t="n"/>
      <c r="AY131" s="1436" t="n"/>
      <c r="AZ131" s="1436" t="n"/>
      <c r="BA131" s="1436" t="n"/>
      <c r="BB131" s="1436" t="n"/>
      <c r="BC131" s="1436" t="n"/>
      <c r="BD131" s="1436" t="n"/>
      <c r="BE131" s="1432">
        <f>SUM(BF131:BL131)</f>
        <v/>
      </c>
      <c r="BF131" s="1436" t="n"/>
      <c r="BG131" s="1436" t="n"/>
      <c r="BH131" s="1436" t="n"/>
      <c r="BI131" s="1436" t="n"/>
      <c r="BJ131" s="1436" t="n"/>
      <c r="BK131" s="1436" t="n"/>
      <c r="BL131" s="1436" t="n"/>
      <c r="BM131" s="384" t="n"/>
      <c r="BN131" s="384" t="n"/>
      <c r="BO131" s="384" t="n"/>
      <c r="BP131" s="384" t="n"/>
      <c r="BQ131" s="384" t="n"/>
    </row>
    <row r="132">
      <c r="A132" s="384" t="n"/>
      <c r="B132" s="384" t="n"/>
      <c r="C132" s="384" t="n"/>
      <c r="D132" s="384" t="n"/>
      <c r="E132" s="384" t="n"/>
      <c r="F132" s="384" t="n"/>
      <c r="G132" s="384" t="n"/>
      <c r="H132" s="384" t="n"/>
      <c r="I132" s="384" t="n"/>
      <c r="J132" s="384" t="n"/>
      <c r="K132" s="384" t="n"/>
      <c r="L132" s="384" t="n"/>
      <c r="M132" s="384" t="n"/>
      <c r="N132" s="384" t="n"/>
      <c r="O132" s="384" t="n"/>
      <c r="P132" s="384" t="n"/>
      <c r="Q132" s="384" t="n"/>
      <c r="R132" s="384" t="n"/>
      <c r="S132" s="462">
        <f>IF(_epmOfflineCondition_,"勘察测绘费",EPMMemberDesc(U132))</f>
        <v/>
      </c>
      <c r="T132" s="384" t="n"/>
      <c r="U132" s="889" t="inlineStr">
        <is>
          <t>A03011</t>
        </is>
      </c>
      <c r="V132" s="97">
        <f>IF(_epmOfflineCondition_,"A03011",EPMOlapMemberO(U132,"[C_ACCOUNT].[PARENTH1].[A03011]","A03011 - 勘察测绘费","","000"))</f>
        <v/>
      </c>
      <c r="W132" s="384" t="n"/>
      <c r="X132" s="334" t="inlineStr">
        <is>
          <t>勘察测绘费</t>
        </is>
      </c>
      <c r="Y132" s="1279">
        <f>SUM(Z132:AF132)</f>
        <v/>
      </c>
      <c r="Z132" s="1434" t="n"/>
      <c r="AA132" s="1434" t="n"/>
      <c r="AB132" s="1434" t="n"/>
      <c r="AC132" s="1434" t="n"/>
      <c r="AD132" s="1434" t="n"/>
      <c r="AE132" s="1434" t="n"/>
      <c r="AF132" s="1434" t="n"/>
      <c r="AG132" s="1431" t="n"/>
      <c r="AH132" s="1435" t="n"/>
      <c r="AI132" s="1435" t="n"/>
      <c r="AJ132" s="1435" t="n"/>
      <c r="AK132" s="1435" t="n"/>
      <c r="AL132" s="1435" t="n"/>
      <c r="AM132" s="1435" t="n"/>
      <c r="AN132" s="1435" t="n"/>
      <c r="AO132" s="1432">
        <f>SUM(AP132:AV132)</f>
        <v/>
      </c>
      <c r="AP132" s="1436" t="n"/>
      <c r="AQ132" s="1436" t="n"/>
      <c r="AR132" s="1436" t="n"/>
      <c r="AS132" s="1436" t="n"/>
      <c r="AT132" s="1436" t="n"/>
      <c r="AU132" s="1436" t="n"/>
      <c r="AV132" s="1436" t="n"/>
      <c r="AW132" s="1432">
        <f>SUM(AX132:BD132)</f>
        <v/>
      </c>
      <c r="AX132" s="1436" t="n"/>
      <c r="AY132" s="1436" t="n"/>
      <c r="AZ132" s="1436" t="n"/>
      <c r="BA132" s="1436" t="n"/>
      <c r="BB132" s="1436" t="n"/>
      <c r="BC132" s="1436" t="n"/>
      <c r="BD132" s="1436" t="n"/>
      <c r="BE132" s="1432">
        <f>SUM(BF132:BL132)</f>
        <v/>
      </c>
      <c r="BF132" s="1436" t="n"/>
      <c r="BG132" s="1436" t="n"/>
      <c r="BH132" s="1436" t="n"/>
      <c r="BI132" s="1436" t="n"/>
      <c r="BJ132" s="1436" t="n"/>
      <c r="BK132" s="1436" t="n"/>
      <c r="BL132" s="1436" t="n"/>
      <c r="BM132" s="384" t="n"/>
      <c r="BN132" s="384" t="n"/>
      <c r="BO132" s="384" t="n"/>
      <c r="BP132" s="384" t="n"/>
      <c r="BQ132" s="384" t="n"/>
    </row>
    <row r="133">
      <c r="A133" s="384" t="n"/>
      <c r="B133" s="384" t="n"/>
      <c r="C133" s="384" t="n"/>
      <c r="D133" s="384" t="n"/>
      <c r="E133" s="384" t="n"/>
      <c r="F133" s="384" t="n"/>
      <c r="G133" s="384" t="n"/>
      <c r="H133" s="384" t="n"/>
      <c r="I133" s="384" t="n"/>
      <c r="J133" s="384" t="n"/>
      <c r="K133" s="384" t="n"/>
      <c r="L133" s="384" t="n"/>
      <c r="M133" s="384" t="n"/>
      <c r="N133" s="384" t="n"/>
      <c r="O133" s="384" t="n"/>
      <c r="P133" s="384" t="n"/>
      <c r="Q133" s="384" t="n"/>
      <c r="R133" s="384" t="n"/>
      <c r="S133" s="462">
        <f>IF(_epmOfflineCondition_,"其他",EPMMemberDesc(U133))</f>
        <v/>
      </c>
      <c r="T133" s="384" t="n"/>
      <c r="U133" s="889" t="inlineStr">
        <is>
          <t>A03012</t>
        </is>
      </c>
      <c r="V133" s="97">
        <f>IF(_epmOfflineCondition_,"A03012",EPMOlapMemberO(U133,"[C_ACCOUNT].[PARENTH1].[A03012]","A03012 - 其他","","000"))</f>
        <v/>
      </c>
      <c r="W133" s="384" t="n"/>
      <c r="X133" s="334" t="inlineStr">
        <is>
          <t>其他</t>
        </is>
      </c>
      <c r="Y133" s="1279">
        <f>SUM(Z133:AF133)</f>
        <v/>
      </c>
      <c r="Z133" s="1434" t="n"/>
      <c r="AA133" s="1434" t="n"/>
      <c r="AB133" s="1434" t="n"/>
      <c r="AC133" s="1434" t="n"/>
      <c r="AD133" s="1434" t="n"/>
      <c r="AE133" s="1434" t="n"/>
      <c r="AF133" s="1434" t="n"/>
      <c r="AG133" s="1431" t="n"/>
      <c r="AH133" s="1435" t="n"/>
      <c r="AI133" s="1435" t="n"/>
      <c r="AJ133" s="1435" t="n"/>
      <c r="AK133" s="1435" t="n"/>
      <c r="AL133" s="1435" t="n"/>
      <c r="AM133" s="1435" t="n"/>
      <c r="AN133" s="1435" t="n"/>
      <c r="AO133" s="1432">
        <f>SUM(AP133:AV133)</f>
        <v/>
      </c>
      <c r="AP133" s="1436" t="n"/>
      <c r="AQ133" s="1436" t="n"/>
      <c r="AR133" s="1436" t="n"/>
      <c r="AS133" s="1436" t="n"/>
      <c r="AT133" s="1436" t="n"/>
      <c r="AU133" s="1436" t="n"/>
      <c r="AV133" s="1436" t="n"/>
      <c r="AW133" s="1432">
        <f>SUM(AX133:BD133)</f>
        <v/>
      </c>
      <c r="AX133" s="1436" t="n"/>
      <c r="AY133" s="1436" t="n"/>
      <c r="AZ133" s="1436" t="n"/>
      <c r="BA133" s="1436" t="n"/>
      <c r="BB133" s="1436" t="n"/>
      <c r="BC133" s="1436" t="n"/>
      <c r="BD133" s="1436" t="n"/>
      <c r="BE133" s="1432">
        <f>SUM(BF133:BL133)</f>
        <v/>
      </c>
      <c r="BF133" s="1436" t="n"/>
      <c r="BG133" s="1436" t="n"/>
      <c r="BH133" s="1436" t="n"/>
      <c r="BI133" s="1436" t="n"/>
      <c r="BJ133" s="1436" t="n"/>
      <c r="BK133" s="1436" t="n"/>
      <c r="BL133" s="1436" t="n"/>
      <c r="BM133" s="384" t="n"/>
      <c r="BN133" s="384" t="n"/>
      <c r="BO133" s="384" t="n"/>
      <c r="BP133" s="384" t="n"/>
      <c r="BQ133" s="384" t="n"/>
    </row>
  </sheetData>
  <sheetProtection selectLockedCells="0" selectUnlockedCells="0" algorithmName="SHA-512" sheet="1" objects="0" insertRows="1" insertHyperlinks="1" autoFilter="1" scenarios="1" formatColumns="1" deleteColumns="1" insertColumns="1" pivotTables="1" deleteRows="1" formatCells="1" saltValue="w49tEFvXFQ+IYnsuFaxgHg==" formatRows="1" sort="1" spinCount="100000" hashValue="TMQcJdeoZ17kFp5Wnb+EJJM3QbxtdPBVbxKZ6POFfy8byvuReN7yn1m4SmNo3VIhtpAz5ZU+ZZATbnNLQ9X1AA=="/>
  <mergeCells count="8">
    <mergeCell ref="H2:J2"/>
    <mergeCell ref="D16:E16"/>
    <mergeCell ref="Y39:AF39"/>
    <mergeCell ref="AG39:AN39"/>
    <mergeCell ref="AO39:AV39"/>
    <mergeCell ref="AW39:BD39"/>
    <mergeCell ref="BE39:BL39"/>
    <mergeCell ref="X39:X40"/>
  </mergeCells>
  <dataValidations count="1">
    <dataValidation sqref="AA37" showErrorMessage="1" showInputMessage="1" allowBlank="1" type="list">
      <formula1>$I$19:$I$21</formula1>
    </dataValidation>
  </dataValidations>
  <pageMargins left="0.7" right="0.7" top="0.75" bottom="0.75" header="0.3" footer="0.3"/>
  <pageSetup orientation="portrait" paperSize="9"/>
  <drawing xmlns:r="http://schemas.openxmlformats.org/officeDocument/2006/relationships" r:id="rId1"/>
</worksheet>
</file>

<file path=xl/worksheets/sheet39.xml><?xml version="1.0" encoding="utf-8"?>
<worksheet xmlns="http://schemas.openxmlformats.org/spreadsheetml/2006/main">
  <sheetPr codeName="Sheet44">
    <outlinePr summaryBelow="1" summaryRight="1"/>
    <pageSetUpPr/>
  </sheetPr>
  <dimension ref="A1:CO56"/>
  <sheetViews>
    <sheetView topLeftCell="W35" zoomScale="90" zoomScaleNormal="90" workbookViewId="0">
      <pane xSplit="2" ySplit="11" topLeftCell="Y46" activePane="bottomRight" state="frozen"/>
      <selection activeCell="A1" sqref="A1"/>
      <selection pane="topRight" activeCell="A1" sqref="A1"/>
      <selection pane="bottomLeft" activeCell="A1" sqref="A1"/>
      <selection pane="bottomRight" activeCell="Q93" sqref="Q93"/>
    </sheetView>
  </sheetViews>
  <sheetFormatPr baseColWidth="8" defaultColWidth="8.625" defaultRowHeight="16.8"/>
  <cols>
    <col hidden="1" width="8" customWidth="1" style="1181" min="1" max="1"/>
    <col hidden="1" width="15.375" customWidth="1" style="1181" min="2" max="2"/>
    <col hidden="1" width="11.375" customWidth="1" style="1181" min="3" max="3"/>
    <col hidden="1" width="12.25" customWidth="1" style="1181" min="4" max="4"/>
    <col hidden="1" width="7.5" customWidth="1" style="1181" min="5" max="5"/>
    <col hidden="1" width="7.75" customWidth="1" style="1181" min="6" max="7"/>
    <col hidden="1" width="8.375" customWidth="1" style="1181" min="8" max="8"/>
    <col hidden="1" width="7.75" customWidth="1" style="1181" min="9" max="9"/>
    <col hidden="1" width="11.125" customWidth="1" style="1181" min="10" max="10"/>
    <col hidden="1" width="7.75" customWidth="1" style="1181" min="11" max="17"/>
    <col hidden="1" width="24.375" customWidth="1" style="1181" min="18" max="18"/>
    <col hidden="1" width="16.5" customWidth="1" style="32" min="19" max="19"/>
    <col hidden="1" width="2.375" customWidth="1" style="1181" min="20" max="20"/>
    <col hidden="1" width="13.75" customWidth="1" style="1181" min="21" max="22"/>
    <col width="1.5" customWidth="1" style="1181" min="23" max="23"/>
    <col width="21.875" customWidth="1" style="38" min="24" max="24"/>
    <col width="22.875" customWidth="1" style="1181" min="25" max="64"/>
  </cols>
  <sheetData>
    <row r="1" hidden="1" customFormat="1" s="13">
      <c r="A1" s="172" t="inlineStr">
        <is>
          <t>维度清单</t>
        </is>
      </c>
      <c r="B1" s="462" t="n"/>
      <c r="C1" s="173" t="n"/>
      <c r="D1" s="173" t="n"/>
      <c r="E1" s="716" t="n"/>
      <c r="F1" s="13" t="n"/>
      <c r="G1" s="13" t="n"/>
      <c r="H1" s="13" t="n"/>
      <c r="I1" s="13" t="n"/>
      <c r="J1" s="13" t="n"/>
      <c r="K1" s="13" t="n"/>
      <c r="L1" s="13" t="n"/>
      <c r="M1" s="13" t="n"/>
      <c r="N1" s="13" t="n"/>
      <c r="O1" s="13" t="n"/>
      <c r="P1" s="13" t="n"/>
      <c r="Q1" s="13" t="n"/>
      <c r="R1" s="13" t="n"/>
      <c r="S1" s="1103" t="n"/>
      <c r="T1" s="13" t="n"/>
      <c r="U1" s="13" t="n"/>
      <c r="V1" s="13" t="n"/>
      <c r="W1" s="13" t="n"/>
      <c r="X1" s="171" t="n"/>
      <c r="Y1" s="13" t="n"/>
      <c r="Z1" s="13" t="n"/>
      <c r="AA1" s="13" t="n"/>
      <c r="AB1" s="13" t="n"/>
      <c r="AC1" s="13" t="n"/>
      <c r="AD1" s="220" t="n"/>
      <c r="AE1" s="13" t="n"/>
      <c r="AF1" s="13" t="n"/>
      <c r="AG1" s="13" t="n"/>
      <c r="AH1" s="13" t="n"/>
      <c r="AI1" s="13" t="n"/>
      <c r="AJ1" s="13" t="n"/>
      <c r="AK1" s="13" t="n"/>
      <c r="AL1" s="13" t="n"/>
      <c r="AM1" s="13" t="n"/>
      <c r="AN1" s="13" t="n"/>
      <c r="AO1" s="13" t="n"/>
      <c r="AP1" s="13" t="n"/>
      <c r="AQ1" s="13" t="n"/>
      <c r="AR1" s="13" t="n"/>
      <c r="AS1" s="13" t="n"/>
      <c r="AT1" s="13" t="n"/>
      <c r="AU1" s="13" t="n"/>
      <c r="AV1" s="13" t="n"/>
      <c r="AW1" s="13" t="n"/>
      <c r="AX1" s="13" t="n"/>
      <c r="AY1" s="13" t="n"/>
      <c r="AZ1" s="13" t="n"/>
      <c r="BA1" s="13" t="n"/>
      <c r="BB1" s="13" t="n"/>
      <c r="BC1" s="13" t="n"/>
      <c r="BD1" s="13" t="n"/>
      <c r="BE1" s="13" t="n"/>
      <c r="BF1" s="13" t="n"/>
      <c r="BG1" s="13" t="n"/>
      <c r="BH1" s="13" t="n"/>
      <c r="BI1" s="13" t="n"/>
      <c r="BJ1" s="13" t="n"/>
      <c r="BK1" s="13" t="n"/>
      <c r="BL1" s="13" t="n"/>
      <c r="BM1" s="13" t="n"/>
      <c r="BN1" s="13" t="n"/>
      <c r="BO1" s="13" t="n"/>
      <c r="BP1" s="13" t="n"/>
      <c r="BQ1" s="13" t="n"/>
      <c r="BR1" s="13" t="n"/>
      <c r="BS1" s="13" t="n"/>
      <c r="BT1" s="13" t="n"/>
      <c r="BU1" s="13" t="n"/>
      <c r="BV1" s="13" t="n"/>
      <c r="BW1" s="13" t="n"/>
      <c r="BX1" s="13" t="n"/>
      <c r="BY1" s="13" t="n"/>
      <c r="BZ1" s="13" t="n"/>
      <c r="CA1" s="13" t="n"/>
      <c r="CB1" s="13" t="n"/>
      <c r="CC1" s="13" t="n"/>
      <c r="CD1" s="13" t="n"/>
      <c r="CE1" s="13" t="n"/>
      <c r="CF1" s="13" t="n"/>
      <c r="CG1" s="13" t="n"/>
      <c r="CH1" s="13" t="n"/>
      <c r="CI1" s="13" t="n"/>
      <c r="CJ1" s="13" t="n"/>
      <c r="CK1" s="13" t="n"/>
      <c r="CL1" s="13" t="n"/>
      <c r="CM1" s="13" t="n"/>
      <c r="CN1" s="13" t="n"/>
      <c r="CO1" s="13" t="n"/>
    </row>
    <row r="2" hidden="1" customFormat="1" s="13">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103" t="n"/>
      <c r="T2" s="13" t="n"/>
      <c r="U2" s="13" t="n"/>
      <c r="V2" s="13" t="n"/>
      <c r="W2" s="13" t="n"/>
      <c r="X2" s="171" t="n"/>
      <c r="Y2" s="13" t="n"/>
      <c r="Z2" s="13" t="n"/>
      <c r="AA2" s="13" t="n"/>
      <c r="AB2" s="13" t="n"/>
      <c r="AC2" s="13" t="n"/>
      <c r="AD2" s="220" t="n"/>
      <c r="AE2" s="13" t="n"/>
      <c r="AF2" s="13" t="n"/>
      <c r="AG2" s="13" t="n"/>
      <c r="AH2" s="13" t="n"/>
      <c r="AI2" s="13" t="n"/>
      <c r="AJ2" s="13" t="n"/>
      <c r="AK2" s="13" t="n"/>
      <c r="AL2" s="13" t="n"/>
      <c r="AM2" s="13" t="n"/>
      <c r="AN2" s="13" t="n"/>
      <c r="AO2" s="13" t="n"/>
      <c r="AP2" s="13" t="n"/>
      <c r="AQ2" s="13" t="n"/>
      <c r="AR2" s="13" t="n"/>
      <c r="AS2" s="13" t="n"/>
      <c r="AT2" s="13" t="n"/>
      <c r="AU2" s="13" t="n"/>
      <c r="AV2" s="13" t="n"/>
      <c r="AW2" s="13" t="n"/>
      <c r="AX2" s="13" t="n"/>
      <c r="AY2" s="13" t="n"/>
      <c r="AZ2" s="13" t="n"/>
      <c r="BA2" s="13" t="n"/>
      <c r="BB2" s="13" t="n"/>
      <c r="BC2" s="13" t="n"/>
      <c r="BD2" s="13" t="n"/>
      <c r="BE2" s="13" t="n"/>
      <c r="BF2" s="13" t="n"/>
      <c r="BG2" s="13" t="n"/>
      <c r="BH2" s="13" t="n"/>
      <c r="BI2" s="13" t="n"/>
      <c r="BJ2" s="13" t="n"/>
      <c r="BK2" s="13" t="n"/>
      <c r="BL2" s="13" t="n"/>
      <c r="BM2" s="13" t="n"/>
      <c r="BN2" s="13" t="n"/>
      <c r="BO2" s="13" t="n"/>
      <c r="BP2" s="13" t="n"/>
      <c r="BQ2" s="13" t="n"/>
      <c r="BR2" s="13" t="n"/>
      <c r="BS2" s="13" t="n"/>
      <c r="BT2" s="13" t="n"/>
      <c r="BU2" s="13" t="n"/>
      <c r="BV2" s="13" t="n"/>
      <c r="BW2" s="13" t="n"/>
      <c r="BX2" s="13" t="n"/>
      <c r="BY2" s="13" t="n"/>
      <c r="BZ2" s="13" t="n"/>
      <c r="CA2" s="13" t="n"/>
      <c r="CB2" s="13" t="n"/>
      <c r="CC2" s="13" t="n"/>
      <c r="CD2" s="13" t="n"/>
      <c r="CE2" s="13" t="n"/>
      <c r="CF2" s="13" t="n"/>
      <c r="CG2" s="13" t="n"/>
      <c r="CH2" s="13" t="n"/>
      <c r="CI2" s="13" t="n"/>
      <c r="CJ2" s="13" t="n"/>
      <c r="CK2" s="13" t="n"/>
      <c r="CL2" s="13" t="n"/>
      <c r="CM2" s="13" t="n"/>
      <c r="CN2" s="13" t="n"/>
      <c r="CO2" s="13" t="n"/>
    </row>
    <row r="3" hidden="1" customFormat="1" s="13">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103" t="n"/>
      <c r="T3" s="13" t="n"/>
      <c r="U3" s="13" t="n"/>
      <c r="V3" s="13" t="n"/>
      <c r="W3" s="13" t="n"/>
      <c r="X3" s="171" t="n"/>
      <c r="Y3" s="13" t="n"/>
      <c r="Z3" s="13" t="n"/>
      <c r="AA3" s="13" t="n"/>
      <c r="AB3" s="13" t="n"/>
      <c r="AC3" s="13" t="n"/>
      <c r="AD3" s="220" t="n"/>
      <c r="AE3" s="13" t="n"/>
      <c r="AF3" s="13" t="n"/>
      <c r="AG3" s="13" t="n"/>
      <c r="AH3" s="13" t="n"/>
      <c r="AI3" s="13" t="n"/>
      <c r="AJ3" s="13" t="n"/>
      <c r="AK3" s="13" t="n"/>
      <c r="AL3" s="13" t="n"/>
      <c r="AM3" s="13" t="n"/>
      <c r="AN3" s="13" t="n"/>
      <c r="AO3" s="13" t="n"/>
      <c r="AP3" s="13" t="n"/>
      <c r="AQ3" s="13" t="n"/>
      <c r="AR3" s="13" t="n"/>
      <c r="AS3" s="13" t="n"/>
      <c r="AT3" s="13" t="n"/>
      <c r="AU3" s="13" t="n"/>
      <c r="AV3" s="13" t="n"/>
      <c r="AW3" s="13" t="n"/>
      <c r="AX3" s="13" t="n"/>
      <c r="AY3" s="13" t="n"/>
      <c r="AZ3" s="13" t="n"/>
      <c r="BA3" s="13" t="n"/>
      <c r="BB3" s="13" t="n"/>
      <c r="BC3" s="13" t="n"/>
      <c r="BD3" s="13" t="n"/>
      <c r="BE3" s="13" t="n"/>
      <c r="BF3" s="13" t="n"/>
      <c r="BG3" s="13" t="n"/>
      <c r="BH3" s="13" t="n"/>
      <c r="BI3" s="13" t="n"/>
      <c r="BJ3" s="13" t="n"/>
      <c r="BK3" s="13" t="n"/>
      <c r="BL3" s="13" t="n"/>
      <c r="BM3" s="13" t="n"/>
      <c r="BN3" s="13" t="n"/>
      <c r="BO3" s="13" t="n"/>
      <c r="BP3" s="13" t="n"/>
      <c r="BQ3" s="13" t="n"/>
      <c r="BR3" s="13" t="n"/>
      <c r="BS3" s="13" t="n"/>
      <c r="BT3" s="13" t="n"/>
      <c r="BU3" s="13" t="n"/>
      <c r="BV3" s="13" t="n"/>
      <c r="BW3" s="13" t="n"/>
      <c r="BX3" s="13" t="n"/>
      <c r="BY3" s="13" t="n"/>
      <c r="BZ3" s="13" t="n"/>
      <c r="CA3" s="13" t="n"/>
      <c r="CB3" s="13" t="n"/>
      <c r="CC3" s="13" t="n"/>
      <c r="CD3" s="13" t="n"/>
      <c r="CE3" s="13" t="n"/>
      <c r="CF3" s="13" t="n"/>
      <c r="CG3" s="13" t="n"/>
      <c r="CH3" s="13" t="n"/>
      <c r="CI3" s="13" t="n"/>
      <c r="CJ3" s="13" t="n"/>
      <c r="CK3" s="13" t="n"/>
      <c r="CL3" s="13" t="n"/>
      <c r="CM3" s="13" t="n"/>
      <c r="CN3" s="13" t="n"/>
      <c r="CO3" s="13" t="n"/>
    </row>
    <row r="4" hidden="1" customFormat="1" s="13">
      <c r="A4" s="175" t="inlineStr">
        <is>
          <t>C</t>
        </is>
      </c>
      <c r="B4" s="176">
        <f>IF(_epmOfflineCondition_,"C_CATEGORY",EPMDimensionType(,A4))</f>
        <v/>
      </c>
      <c r="C4" s="176">
        <f>IF(_epmOfflineCondition_,"C_ALL",IF(B4="","",EPMContextMember(,B4)))</f>
        <v/>
      </c>
      <c r="D4" s="176">
        <f>IF(_epmOfflineCondition_,"全部类别",EPMMemberDesc(C4))</f>
        <v/>
      </c>
      <c r="E4" s="176" t="n"/>
      <c r="F4" s="13" t="n"/>
      <c r="G4" s="13" t="n"/>
      <c r="H4" s="184" t="inlineStr">
        <is>
          <t>预算年</t>
        </is>
      </c>
      <c r="I4" s="184">
        <f>"V_"&amp;$I$3</f>
        <v/>
      </c>
      <c r="J4" s="184">
        <f>$I$3&amp;".TOTAL"</f>
        <v/>
      </c>
      <c r="K4" s="13" t="n"/>
      <c r="L4" s="13" t="n"/>
      <c r="M4" s="13" t="n"/>
      <c r="N4" s="13" t="n"/>
      <c r="O4" s="13" t="n"/>
      <c r="P4" s="13" t="n"/>
      <c r="Q4" s="13" t="n"/>
      <c r="R4" s="13" t="n"/>
      <c r="S4" s="1103" t="n"/>
      <c r="T4" s="13" t="n"/>
      <c r="U4" s="13" t="n"/>
      <c r="V4" s="13" t="n"/>
      <c r="W4" s="13" t="n"/>
      <c r="X4" s="171" t="n"/>
      <c r="Y4" s="13" t="n"/>
      <c r="Z4" s="13" t="n"/>
      <c r="AA4" s="13" t="n"/>
      <c r="AB4" s="13" t="n"/>
      <c r="AC4" s="13" t="n"/>
      <c r="AD4" s="220" t="n"/>
      <c r="AE4" s="13" t="n"/>
      <c r="AF4" s="13" t="n"/>
      <c r="AG4" s="13" t="n"/>
      <c r="AH4" s="13" t="n"/>
      <c r="AI4" s="13" t="n"/>
      <c r="AJ4" s="13" t="n"/>
      <c r="AK4" s="13" t="n"/>
      <c r="AL4" s="13" t="n"/>
      <c r="AM4" s="13" t="n"/>
      <c r="AN4" s="13" t="n"/>
      <c r="AO4" s="13" t="n"/>
      <c r="AP4" s="13" t="n"/>
      <c r="AQ4" s="13" t="n"/>
      <c r="AR4" s="13" t="n"/>
      <c r="AS4" s="13" t="n"/>
      <c r="AT4" s="13" t="n"/>
      <c r="AU4" s="13" t="n"/>
      <c r="AV4" s="13" t="n"/>
      <c r="AW4" s="13" t="n"/>
      <c r="AX4" s="13" t="n"/>
      <c r="AY4" s="13" t="n"/>
      <c r="AZ4" s="13" t="n"/>
      <c r="BA4" s="13" t="n"/>
      <c r="BB4" s="13" t="n"/>
      <c r="BC4" s="13" t="n"/>
      <c r="BD4" s="13" t="n"/>
      <c r="BE4" s="13" t="n"/>
      <c r="BF4" s="13" t="n"/>
      <c r="BG4" s="13" t="n"/>
      <c r="BH4" s="13" t="n"/>
      <c r="BI4" s="13" t="n"/>
      <c r="BJ4" s="13" t="n"/>
      <c r="BK4" s="13" t="n"/>
      <c r="BL4" s="13" t="n"/>
      <c r="BM4" s="13" t="n"/>
      <c r="BN4" s="13" t="n"/>
      <c r="BO4" s="13" t="n"/>
      <c r="BP4" s="13" t="n"/>
      <c r="BQ4" s="13" t="n"/>
      <c r="BR4" s="13" t="n"/>
      <c r="BS4" s="13" t="n"/>
      <c r="BT4" s="13" t="n"/>
      <c r="BU4" s="13" t="n"/>
      <c r="BV4" s="13" t="n"/>
      <c r="BW4" s="13" t="n"/>
      <c r="BX4" s="13" t="n"/>
      <c r="BY4" s="13" t="n"/>
      <c r="BZ4" s="13" t="n"/>
      <c r="CA4" s="13" t="n"/>
      <c r="CB4" s="13" t="n"/>
      <c r="CC4" s="13" t="n"/>
      <c r="CD4" s="13" t="n"/>
      <c r="CE4" s="13" t="n"/>
      <c r="CF4" s="13" t="n"/>
      <c r="CG4" s="13" t="n"/>
      <c r="CH4" s="13" t="n"/>
      <c r="CI4" s="13" t="n"/>
      <c r="CJ4" s="13" t="n"/>
      <c r="CK4" s="13" t="n"/>
      <c r="CL4" s="13" t="n"/>
      <c r="CM4" s="13" t="n"/>
      <c r="CN4" s="13" t="n"/>
      <c r="CO4" s="13" t="n"/>
    </row>
    <row r="5" hidden="1" customFormat="1" s="13">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13" t="n"/>
      <c r="V5" s="13" t="n"/>
      <c r="W5" s="13" t="n"/>
      <c r="X5" s="171" t="n"/>
      <c r="Y5" s="13" t="n"/>
      <c r="Z5" s="13" t="n"/>
      <c r="AA5" s="13" t="n"/>
      <c r="AB5" s="13" t="n"/>
      <c r="AC5" s="13" t="n"/>
      <c r="AD5" s="220" t="n"/>
      <c r="AE5" s="13" t="n"/>
      <c r="AF5" s="13" t="n"/>
      <c r="AG5" s="13" t="n"/>
      <c r="AH5" s="13" t="n"/>
      <c r="AI5" s="13" t="n"/>
      <c r="AJ5" s="13" t="n"/>
      <c r="AK5" s="13" t="n"/>
      <c r="AL5" s="13" t="n"/>
      <c r="AM5" s="13" t="n"/>
      <c r="AN5" s="13" t="n"/>
      <c r="AO5" s="13" t="n"/>
      <c r="AP5" s="13" t="n"/>
      <c r="AQ5" s="13" t="n"/>
      <c r="AR5" s="13" t="n"/>
      <c r="AS5" s="13" t="n"/>
      <c r="AT5" s="13" t="n"/>
      <c r="AU5" s="13" t="n"/>
      <c r="AV5" s="13" t="n"/>
      <c r="AW5" s="13" t="n"/>
      <c r="AX5" s="13" t="n"/>
      <c r="AY5" s="13" t="n"/>
      <c r="AZ5" s="13" t="n"/>
      <c r="BA5" s="13" t="n"/>
      <c r="BB5" s="13" t="n"/>
      <c r="BC5" s="13" t="n"/>
      <c r="BD5" s="13" t="n"/>
      <c r="BE5" s="13" t="n"/>
      <c r="BF5" s="13" t="n"/>
      <c r="BG5" s="13" t="n"/>
      <c r="BH5" s="13" t="n"/>
      <c r="BI5" s="13" t="n"/>
      <c r="BJ5" s="13" t="n"/>
      <c r="BK5" s="13" t="n"/>
      <c r="BL5" s="13" t="n"/>
      <c r="BM5" s="13" t="n"/>
      <c r="BN5" s="13" t="n"/>
      <c r="BO5" s="13" t="n"/>
      <c r="BP5" s="13" t="n"/>
      <c r="BQ5" s="13" t="n"/>
      <c r="BR5" s="13" t="n"/>
      <c r="BS5" s="13" t="n"/>
      <c r="BT5" s="13" t="n"/>
      <c r="BU5" s="13" t="n"/>
      <c r="BV5" s="13" t="n"/>
      <c r="BW5" s="13" t="n"/>
      <c r="BX5" s="13" t="n"/>
      <c r="BY5" s="13" t="n"/>
      <c r="BZ5" s="13" t="n"/>
      <c r="CA5" s="13" t="n"/>
      <c r="CB5" s="13" t="n"/>
      <c r="CC5" s="13" t="n"/>
      <c r="CD5" s="13" t="n"/>
      <c r="CE5" s="13" t="n"/>
      <c r="CF5" s="13" t="n"/>
      <c r="CG5" s="13" t="n"/>
      <c r="CH5" s="13" t="n"/>
      <c r="CI5" s="13" t="n"/>
      <c r="CJ5" s="13" t="n"/>
      <c r="CK5" s="13" t="n"/>
      <c r="CL5" s="13" t="n"/>
      <c r="CM5" s="13" t="n"/>
      <c r="CN5" s="13" t="n"/>
      <c r="CO5" s="13" t="n"/>
    </row>
    <row r="6" hidden="1" customFormat="1" s="13">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103" t="n"/>
      <c r="T6" s="13" t="n"/>
      <c r="U6" s="13" t="n"/>
      <c r="V6" s="13" t="n"/>
      <c r="W6" s="13" t="n"/>
      <c r="X6" s="171" t="n"/>
      <c r="Y6" s="13" t="n"/>
      <c r="Z6" s="13" t="n"/>
      <c r="AA6" s="13" t="n"/>
      <c r="AB6" s="13" t="n"/>
      <c r="AC6" s="13" t="n"/>
      <c r="AD6" s="220" t="n"/>
      <c r="AE6" s="13" t="n"/>
      <c r="AF6" s="13" t="n"/>
      <c r="AG6" s="13" t="n"/>
      <c r="AH6" s="13" t="n"/>
      <c r="AI6" s="13" t="n"/>
      <c r="AJ6" s="13" t="n"/>
      <c r="AK6" s="13" t="n"/>
      <c r="AL6" s="13" t="n"/>
      <c r="AM6" s="13" t="n"/>
      <c r="AN6" s="13" t="n"/>
      <c r="AO6" s="13" t="n"/>
      <c r="AP6" s="13" t="n"/>
      <c r="AQ6" s="13" t="n"/>
      <c r="AR6" s="13" t="n"/>
      <c r="AS6" s="13" t="n"/>
      <c r="AT6" s="13" t="n"/>
      <c r="AU6" s="13" t="n"/>
      <c r="AV6" s="13" t="n"/>
      <c r="AW6" s="13" t="n"/>
      <c r="AX6" s="13" t="n"/>
      <c r="AY6" s="13" t="n"/>
      <c r="AZ6" s="13" t="n"/>
      <c r="BA6" s="13" t="n"/>
      <c r="BB6" s="13" t="n"/>
      <c r="BC6" s="13" t="n"/>
      <c r="BD6" s="13" t="n"/>
      <c r="BE6" s="13" t="n"/>
      <c r="BF6" s="13" t="n"/>
      <c r="BG6" s="13" t="n"/>
      <c r="BH6" s="13" t="n"/>
      <c r="BI6" s="13" t="n"/>
      <c r="BJ6" s="13" t="n"/>
      <c r="BK6" s="13" t="n"/>
      <c r="BL6" s="13" t="n"/>
      <c r="BM6" s="13" t="n"/>
      <c r="BN6" s="13" t="n"/>
      <c r="BO6" s="13" t="n"/>
      <c r="BP6" s="13" t="n"/>
      <c r="BQ6" s="13" t="n"/>
      <c r="BR6" s="13" t="n"/>
      <c r="BS6" s="13" t="n"/>
      <c r="BT6" s="13" t="n"/>
      <c r="BU6" s="13" t="n"/>
      <c r="BV6" s="13" t="n"/>
      <c r="BW6" s="13" t="n"/>
      <c r="BX6" s="13" t="n"/>
      <c r="BY6" s="13" t="n"/>
      <c r="BZ6" s="13" t="n"/>
      <c r="CA6" s="13" t="n"/>
      <c r="CB6" s="13" t="n"/>
      <c r="CC6" s="13" t="n"/>
      <c r="CD6" s="13" t="n"/>
      <c r="CE6" s="13" t="n"/>
      <c r="CF6" s="13" t="n"/>
      <c r="CG6" s="13" t="n"/>
      <c r="CH6" s="13" t="n"/>
      <c r="CI6" s="13" t="n"/>
      <c r="CJ6" s="13" t="n"/>
      <c r="CK6" s="13" t="n"/>
      <c r="CL6" s="13" t="n"/>
      <c r="CM6" s="13" t="n"/>
      <c r="CN6" s="13" t="n"/>
      <c r="CO6" s="13" t="n"/>
    </row>
    <row r="7" hidden="1" customFormat="1" s="13">
      <c r="A7" s="175" t="inlineStr">
        <is>
          <t>R</t>
        </is>
      </c>
      <c r="B7" s="176">
        <f>IF(_epmOfflineCondition_,"C_RPTCURRENCY",EPMDimensionType(,A7))</f>
        <v/>
      </c>
      <c r="C7" s="176">
        <f>IF(_epmOfflineCondition_,"AUD",IF(B7="","",EPMContextMember(,B7)))</f>
        <v/>
      </c>
      <c r="D7" s="176">
        <f>IF(_epmOfflineCondition_,"澳元",EPMMemberDesc(C7))</f>
        <v/>
      </c>
      <c r="E7" s="176" t="n"/>
      <c r="F7" s="13" t="n"/>
      <c r="G7" s="13" t="n"/>
      <c r="H7" s="13" t="n"/>
      <c r="I7" s="13" t="n"/>
      <c r="J7" s="13" t="n"/>
      <c r="K7" s="13" t="n"/>
      <c r="L7" s="13" t="n"/>
      <c r="M7" s="13" t="n"/>
      <c r="N7" s="13" t="n"/>
      <c r="O7" s="13" t="n"/>
      <c r="P7" s="13" t="n"/>
      <c r="Q7" s="13" t="n"/>
      <c r="R7" s="13" t="n"/>
      <c r="S7" s="1103" t="n"/>
      <c r="T7" s="13" t="n"/>
      <c r="U7" s="13" t="n"/>
      <c r="V7" s="13" t="n"/>
      <c r="W7" s="13" t="n"/>
      <c r="X7" s="171" t="n"/>
      <c r="Y7" s="13" t="n"/>
      <c r="Z7" s="13" t="n"/>
      <c r="AA7" s="13" t="n"/>
      <c r="AB7" s="13" t="n"/>
      <c r="AC7" s="13" t="n"/>
      <c r="AD7" s="220" t="n"/>
      <c r="AE7" s="13" t="n"/>
      <c r="AF7" s="13" t="n"/>
      <c r="AG7" s="13" t="n"/>
      <c r="AH7" s="13" t="n"/>
      <c r="AI7" s="13" t="n"/>
      <c r="AJ7" s="13" t="n"/>
      <c r="AK7" s="13" t="n"/>
      <c r="AL7" s="13" t="n"/>
      <c r="AM7" s="13" t="n"/>
      <c r="AN7" s="13" t="n"/>
      <c r="AO7" s="13" t="n"/>
      <c r="AP7" s="13" t="n"/>
      <c r="AQ7" s="13" t="n"/>
      <c r="AR7" s="13" t="n"/>
      <c r="AS7" s="13" t="n"/>
      <c r="AT7" s="13" t="n"/>
      <c r="AU7" s="13" t="n"/>
      <c r="AV7" s="13" t="n"/>
      <c r="AW7" s="13" t="n"/>
      <c r="AX7" s="13" t="n"/>
      <c r="AY7" s="13" t="n"/>
      <c r="AZ7" s="13" t="n"/>
      <c r="BA7" s="13" t="n"/>
      <c r="BB7" s="13" t="n"/>
      <c r="BC7" s="13" t="n"/>
      <c r="BD7" s="13" t="n"/>
      <c r="BE7" s="13" t="n"/>
      <c r="BF7" s="13" t="n"/>
      <c r="BG7" s="13" t="n"/>
      <c r="BH7" s="13" t="n"/>
      <c r="BI7" s="13" t="n"/>
      <c r="BJ7" s="13" t="n"/>
      <c r="BK7" s="13" t="n"/>
      <c r="BL7" s="13" t="n"/>
      <c r="BM7" s="13" t="n"/>
      <c r="BN7" s="13" t="n"/>
      <c r="BO7" s="13" t="n"/>
      <c r="BP7" s="13" t="n"/>
      <c r="BQ7" s="13" t="n"/>
      <c r="BR7" s="13" t="n"/>
      <c r="BS7" s="13" t="n"/>
      <c r="BT7" s="13" t="n"/>
      <c r="BU7" s="13" t="n"/>
      <c r="BV7" s="13" t="n"/>
      <c r="BW7" s="13" t="n"/>
      <c r="BX7" s="13" t="n"/>
      <c r="BY7" s="13" t="n"/>
      <c r="BZ7" s="13" t="n"/>
      <c r="CA7" s="13" t="n"/>
      <c r="CB7" s="13" t="n"/>
      <c r="CC7" s="13" t="n"/>
      <c r="CD7" s="13" t="n"/>
      <c r="CE7" s="13" t="n"/>
      <c r="CF7" s="13" t="n"/>
      <c r="CG7" s="13" t="n"/>
      <c r="CH7" s="13" t="n"/>
      <c r="CI7" s="13" t="n"/>
      <c r="CJ7" s="13" t="n"/>
      <c r="CK7" s="13" t="n"/>
      <c r="CL7" s="13" t="n"/>
      <c r="CM7" s="13" t="n"/>
      <c r="CN7" s="13" t="n"/>
      <c r="CO7" s="13" t="n"/>
    </row>
    <row r="8" hidden="1" customFormat="1" s="13">
      <c r="A8" s="175" t="inlineStr">
        <is>
          <t>D</t>
        </is>
      </c>
      <c r="B8" s="176">
        <f>IF(_epmOfflineCondition_,"C_AUDITTRAIL",EPMDimensionType(,A8))</f>
        <v/>
      </c>
      <c r="C8" s="176">
        <f>IF(_epmOfflineCondition_,"DTOTAL",IF(B8="","",EPMContextMember(,B8)))</f>
        <v/>
      </c>
      <c r="D8" s="176">
        <f>IF(_epmOfflineCondition_,"全部审计线索",EPMMemberDesc(C8))</f>
        <v/>
      </c>
      <c r="E8" s="176" t="n"/>
      <c r="F8" s="13" t="n"/>
      <c r="G8" s="13" t="n"/>
      <c r="H8" s="184" t="inlineStr">
        <is>
          <t>本月</t>
        </is>
      </c>
      <c r="I8" s="184">
        <f>IF(_epmOfflineCondition_,"03",RIGHT("0"&amp;EPMMemberProperty(,EPMContextMember(,"C_TIME"),"MONTHNUM"),2))</f>
        <v/>
      </c>
      <c r="J8" s="13" t="n"/>
      <c r="K8" s="13" t="n"/>
      <c r="L8" s="13" t="n"/>
      <c r="M8" s="13" t="n"/>
      <c r="N8" s="13" t="n"/>
      <c r="O8" s="13" t="n"/>
      <c r="P8" s="13" t="n"/>
      <c r="Q8" s="13" t="n"/>
      <c r="R8" s="13" t="n"/>
      <c r="S8" s="1103" t="n"/>
      <c r="T8" s="13" t="n"/>
      <c r="U8" s="13" t="n"/>
      <c r="V8" s="13" t="n"/>
      <c r="W8" s="13" t="n"/>
      <c r="X8" s="171" t="n"/>
      <c r="Y8" s="13" t="n"/>
      <c r="Z8" s="13" t="n"/>
      <c r="AA8" s="13" t="n"/>
      <c r="AB8" s="13" t="n"/>
      <c r="AC8" s="13" t="n"/>
      <c r="AD8" s="220" t="n"/>
      <c r="AE8" s="13" t="n"/>
      <c r="AF8" s="13" t="n"/>
      <c r="AG8" s="13" t="n"/>
      <c r="AH8" s="13" t="n"/>
      <c r="AI8" s="13" t="n"/>
      <c r="AJ8" s="13" t="n"/>
      <c r="AK8" s="13" t="n"/>
      <c r="AL8" s="13" t="n"/>
      <c r="AM8" s="13" t="n"/>
      <c r="AN8" s="13" t="n"/>
      <c r="AO8" s="13" t="n"/>
      <c r="AP8" s="13" t="n"/>
      <c r="AQ8" s="13" t="n"/>
      <c r="AR8" s="13" t="n"/>
      <c r="AS8" s="13" t="n"/>
      <c r="AT8" s="13" t="n"/>
      <c r="AU8" s="13" t="n"/>
      <c r="AV8" s="13" t="n"/>
      <c r="AW8" s="13" t="n"/>
      <c r="AX8" s="13" t="n"/>
      <c r="AY8" s="13" t="n"/>
      <c r="AZ8" s="13" t="n"/>
      <c r="BA8" s="13" t="n"/>
      <c r="BB8" s="13" t="n"/>
      <c r="BC8" s="13" t="n"/>
      <c r="BD8" s="13" t="n"/>
      <c r="BE8" s="13" t="n"/>
      <c r="BF8" s="13" t="n"/>
      <c r="BG8" s="13" t="n"/>
      <c r="BH8" s="13" t="n"/>
      <c r="BI8" s="13" t="n"/>
      <c r="BJ8" s="13" t="n"/>
      <c r="BK8" s="13" t="n"/>
      <c r="BL8" s="13" t="n"/>
      <c r="BM8" s="13" t="n"/>
      <c r="BN8" s="13" t="n"/>
      <c r="BO8" s="13" t="n"/>
      <c r="BP8" s="13" t="n"/>
      <c r="BQ8" s="13" t="n"/>
      <c r="BR8" s="13" t="n"/>
      <c r="BS8" s="13" t="n"/>
      <c r="BT8" s="13" t="n"/>
      <c r="BU8" s="13" t="n"/>
      <c r="BV8" s="13" t="n"/>
      <c r="BW8" s="13" t="n"/>
      <c r="BX8" s="13" t="n"/>
      <c r="BY8" s="13" t="n"/>
      <c r="BZ8" s="13" t="n"/>
      <c r="CA8" s="13" t="n"/>
      <c r="CB8" s="13" t="n"/>
      <c r="CC8" s="13" t="n"/>
      <c r="CD8" s="13" t="n"/>
      <c r="CE8" s="13" t="n"/>
      <c r="CF8" s="13" t="n"/>
      <c r="CG8" s="13" t="n"/>
      <c r="CH8" s="13" t="n"/>
      <c r="CI8" s="13" t="n"/>
      <c r="CJ8" s="13" t="n"/>
      <c r="CK8" s="13" t="n"/>
      <c r="CL8" s="13" t="n"/>
      <c r="CM8" s="13" t="n"/>
      <c r="CN8" s="13" t="n"/>
      <c r="CO8" s="13" t="n"/>
    </row>
    <row r="9" hidden="1" customFormat="1" s="13">
      <c r="A9" s="175" t="inlineStr">
        <is>
          <t>S</t>
        </is>
      </c>
      <c r="B9" s="176">
        <f>IF(_epmOfflineCondition_,"C_FLOW",EPMDimensionType(,A9))</f>
        <v/>
      </c>
      <c r="C9" s="176">
        <f>IF(_epmOfflineCondition_,"FTOTAL",IF(B9="","",EPMContextMember(,B9)))</f>
        <v/>
      </c>
      <c r="D9" s="176">
        <f>IF(_epmOfflineCondition_,"全部变动",EPMMemberDesc(C9))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13" t="n"/>
      <c r="V9" s="13" t="n"/>
      <c r="W9" s="13" t="n"/>
      <c r="X9" s="171" t="n"/>
      <c r="Y9" s="13" t="n"/>
      <c r="Z9" s="13" t="n"/>
      <c r="AA9" s="13" t="n"/>
      <c r="AB9" s="13" t="n"/>
      <c r="AC9" s="13" t="n"/>
      <c r="AD9" s="220" t="n"/>
      <c r="AE9" s="13" t="n"/>
      <c r="AF9" s="13" t="n"/>
      <c r="AG9" s="13" t="n"/>
      <c r="AH9" s="13" t="n"/>
      <c r="AI9" s="13" t="n"/>
      <c r="AJ9" s="13" t="n"/>
      <c r="AK9" s="13" t="n"/>
      <c r="AL9" s="13" t="n"/>
      <c r="AM9" s="13" t="n"/>
      <c r="AN9" s="13" t="n"/>
      <c r="AO9" s="13" t="n"/>
      <c r="AP9" s="13" t="n"/>
      <c r="AQ9" s="13" t="n"/>
      <c r="AR9" s="13" t="n"/>
      <c r="AS9" s="13" t="n"/>
      <c r="AT9" s="13" t="n"/>
      <c r="AU9" s="13" t="n"/>
      <c r="AV9" s="13" t="n"/>
      <c r="AW9" s="13" t="n"/>
      <c r="AX9" s="13" t="n"/>
      <c r="AY9" s="13" t="n"/>
      <c r="AZ9" s="13" t="n"/>
      <c r="BA9" s="13" t="n"/>
      <c r="BB9" s="13" t="n"/>
      <c r="BC9" s="13" t="n"/>
      <c r="BD9" s="13" t="n"/>
      <c r="BE9" s="13" t="n"/>
      <c r="BF9" s="13" t="n"/>
      <c r="BG9" s="13" t="n"/>
      <c r="BH9" s="13" t="n"/>
      <c r="BI9" s="13" t="n"/>
      <c r="BJ9" s="13" t="n"/>
      <c r="BK9" s="13" t="n"/>
      <c r="BL9" s="13" t="n"/>
      <c r="BM9" s="13" t="n"/>
      <c r="BN9" s="13" t="n"/>
      <c r="BO9" s="13" t="n"/>
      <c r="BP9" s="13" t="n"/>
      <c r="BQ9" s="13" t="n"/>
      <c r="BR9" s="13" t="n"/>
      <c r="BS9" s="13" t="n"/>
      <c r="BT9" s="13" t="n"/>
      <c r="BU9" s="13" t="n"/>
      <c r="BV9" s="13" t="n"/>
      <c r="BW9" s="13" t="n"/>
      <c r="BX9" s="13" t="n"/>
      <c r="BY9" s="13" t="n"/>
      <c r="BZ9" s="13" t="n"/>
      <c r="CA9" s="13" t="n"/>
      <c r="CB9" s="13" t="n"/>
      <c r="CC9" s="13" t="n"/>
      <c r="CD9" s="13" t="n"/>
      <c r="CE9" s="13" t="n"/>
      <c r="CF9" s="13" t="n"/>
      <c r="CG9" s="13" t="n"/>
      <c r="CH9" s="13" t="n"/>
      <c r="CI9" s="13" t="n"/>
      <c r="CJ9" s="13" t="n"/>
      <c r="CK9" s="13" t="n"/>
      <c r="CL9" s="13" t="n"/>
      <c r="CM9" s="13" t="n"/>
      <c r="CN9" s="13" t="n"/>
      <c r="CO9" s="13" t="n"/>
    </row>
    <row r="10" hidden="1" customFormat="1" s="13">
      <c r="A10" s="175" t="inlineStr">
        <is>
          <t>I</t>
        </is>
      </c>
      <c r="B10" s="176">
        <f>IF(_epmOfflineCondition_,"C_INTERCO",EPMDimensionType(,A10))</f>
        <v/>
      </c>
      <c r="C10" s="176">
        <f>IF(_epmOfflineCondition_,"I_ALL",IF(B10="","",EPMContextMember(,B10)))</f>
        <v/>
      </c>
      <c r="D10" s="176">
        <f>IF(_epmOfflineCondition_,"全部贸易伙伴",EPMMemberDesc(C10))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13" t="n"/>
      <c r="V10" s="13" t="n"/>
      <c r="W10" s="13" t="n"/>
      <c r="X10" s="171" t="n"/>
      <c r="Y10" s="13" t="n"/>
      <c r="Z10" s="13" t="n"/>
      <c r="AA10" s="13" t="n"/>
      <c r="AB10" s="13" t="n"/>
      <c r="AC10" s="13" t="n"/>
      <c r="AD10" s="220" t="n"/>
      <c r="AE10" s="13" t="n"/>
      <c r="AF10" s="13" t="n"/>
      <c r="AG10" s="13" t="n"/>
      <c r="AH10" s="13" t="n"/>
      <c r="AI10" s="13" t="n"/>
      <c r="AJ10" s="13" t="n"/>
      <c r="AK10" s="13" t="n"/>
      <c r="AL10" s="13" t="n"/>
      <c r="AM10" s="13" t="n"/>
      <c r="AN10" s="13" t="n"/>
      <c r="AO10" s="13" t="n"/>
      <c r="AP10" s="13" t="n"/>
      <c r="AQ10" s="13" t="n"/>
      <c r="AR10" s="13" t="n"/>
      <c r="AS10" s="13" t="n"/>
      <c r="AT10" s="13" t="n"/>
      <c r="AU10" s="13" t="n"/>
      <c r="AV10" s="13" t="n"/>
      <c r="AW10" s="13" t="n"/>
      <c r="AX10" s="13" t="n"/>
      <c r="AY10" s="13" t="n"/>
      <c r="AZ10" s="13" t="n"/>
      <c r="BA10" s="13" t="n"/>
      <c r="BB10" s="13" t="n"/>
      <c r="BC10" s="13" t="n"/>
      <c r="BD10" s="13" t="n"/>
      <c r="BE10" s="13" t="n"/>
      <c r="BF10" s="13" t="n"/>
      <c r="BG10" s="13" t="n"/>
      <c r="BH10" s="13" t="n"/>
      <c r="BI10" s="13" t="n"/>
      <c r="BJ10" s="13" t="n"/>
      <c r="BK10" s="13" t="n"/>
      <c r="BL10" s="13" t="n"/>
      <c r="BM10" s="13" t="n"/>
      <c r="BN10" s="13" t="n"/>
      <c r="BO10" s="13" t="n"/>
      <c r="BP10" s="13" t="n"/>
      <c r="BQ10" s="13" t="n"/>
      <c r="BR10" s="13" t="n"/>
      <c r="BS10" s="13" t="n"/>
      <c r="BT10" s="13" t="n"/>
      <c r="BU10" s="13" t="n"/>
      <c r="BV10" s="13" t="n"/>
      <c r="BW10" s="13" t="n"/>
      <c r="BX10" s="13" t="n"/>
      <c r="BY10" s="13" t="n"/>
      <c r="BZ10" s="13" t="n"/>
      <c r="CA10" s="13" t="n"/>
      <c r="CB10" s="13" t="n"/>
      <c r="CC10" s="13" t="n"/>
      <c r="CD10" s="13" t="n"/>
      <c r="CE10" s="13" t="n"/>
      <c r="CF10" s="13" t="n"/>
      <c r="CG10" s="13" t="n"/>
      <c r="CH10" s="13" t="n"/>
      <c r="CI10" s="13" t="n"/>
      <c r="CJ10" s="13" t="n"/>
      <c r="CK10" s="13" t="n"/>
      <c r="CL10" s="13" t="n"/>
      <c r="CM10" s="13" t="n"/>
      <c r="CN10" s="13" t="n"/>
      <c r="CO10" s="13" t="n"/>
    </row>
    <row r="11" hidden="1" customFormat="1" s="13">
      <c r="A11" s="175" t="inlineStr">
        <is>
          <t>G</t>
        </is>
      </c>
      <c r="B11" s="176">
        <f>IF(_epmOfflineCondition_,"C_SCOPE",EPMDimensionType(,A11))</f>
        <v/>
      </c>
      <c r="C11" s="176">
        <f>IF(_epmOfflineCondition_,"G_DUMMY",IF(B11="","",EPMContextMember(,B11)))</f>
        <v/>
      </c>
      <c r="D11" s="176">
        <f>IF(_epmOfflineCondition_,"合并范围无关",EPMMemberDesc(C11))</f>
        <v/>
      </c>
      <c r="E11" s="27">
        <f>IF(OR(RIGHT(C11,1)="P",RIGHT(C11,1)="S"),LEFT(C11,LEN(C11)-1),C11)</f>
        <v/>
      </c>
      <c r="F11" s="185" t="inlineStr">
        <is>
          <t>判断属性</t>
        </is>
      </c>
      <c r="G11" s="13" t="n"/>
      <c r="H11" s="184" t="inlineStr">
        <is>
          <t xml:space="preserve">本年月 </t>
        </is>
      </c>
      <c r="I11" s="184">
        <f>I3&amp;"."&amp;I8</f>
        <v/>
      </c>
      <c r="J11" s="13" t="n"/>
      <c r="K11" s="13" t="n"/>
      <c r="L11" s="13" t="n"/>
      <c r="M11" s="13" t="n"/>
      <c r="N11" s="13" t="n"/>
      <c r="O11" s="13" t="n"/>
      <c r="P11" s="13" t="n"/>
      <c r="Q11" s="13" t="n"/>
      <c r="R11" s="13" t="n"/>
      <c r="S11" s="1103" t="n"/>
      <c r="T11" s="13" t="n"/>
      <c r="U11" s="13" t="n"/>
      <c r="V11" s="13" t="n"/>
      <c r="W11" s="13" t="n"/>
      <c r="X11" s="171" t="n"/>
      <c r="Y11" s="13" t="n"/>
      <c r="Z11" s="13" t="n"/>
      <c r="AA11" s="13" t="n"/>
      <c r="AB11" s="13" t="n"/>
      <c r="AC11" s="13" t="n"/>
      <c r="AD11" s="220" t="n"/>
      <c r="AE11" s="13" t="n"/>
      <c r="AF11" s="13" t="n"/>
      <c r="AG11" s="13" t="n"/>
      <c r="AH11" s="13" t="n"/>
      <c r="AI11" s="13" t="n"/>
      <c r="AJ11" s="13" t="n"/>
      <c r="AK11" s="13" t="n"/>
      <c r="AL11" s="13" t="n"/>
      <c r="AM11" s="13" t="n"/>
      <c r="AN11" s="13" t="n"/>
      <c r="AO11" s="13" t="n"/>
      <c r="AP11" s="13" t="n"/>
      <c r="AQ11" s="13" t="n"/>
      <c r="AR11" s="13" t="n"/>
      <c r="AS11" s="13" t="n"/>
      <c r="AT11" s="13" t="n"/>
      <c r="AU11" s="13" t="n"/>
      <c r="AV11" s="13" t="n"/>
      <c r="AW11" s="13" t="n"/>
      <c r="AX11" s="13" t="n"/>
      <c r="AY11" s="13" t="n"/>
      <c r="AZ11" s="13" t="n"/>
      <c r="BA11" s="13" t="n"/>
      <c r="BB11" s="13" t="n"/>
      <c r="BC11" s="13" t="n"/>
      <c r="BD11" s="13" t="n"/>
      <c r="BE11" s="13" t="n"/>
      <c r="BF11" s="13" t="n"/>
      <c r="BG11" s="13" t="n"/>
      <c r="BH11" s="13" t="n"/>
      <c r="BI11" s="13" t="n"/>
      <c r="BJ11" s="13" t="n"/>
      <c r="BK11" s="13" t="n"/>
      <c r="BL11" s="13" t="n"/>
      <c r="BM11" s="13" t="n"/>
      <c r="BN11" s="13" t="n"/>
      <c r="BO11" s="13" t="n"/>
      <c r="BP11" s="13" t="n"/>
      <c r="BQ11" s="13" t="n"/>
      <c r="BR11" s="13" t="n"/>
      <c r="BS11" s="13" t="n"/>
      <c r="BT11" s="13" t="n"/>
      <c r="BU11" s="13" t="n"/>
      <c r="BV11" s="13" t="n"/>
      <c r="BW11" s="13" t="n"/>
      <c r="BX11" s="13" t="n"/>
      <c r="BY11" s="13" t="n"/>
      <c r="BZ11" s="13" t="n"/>
      <c r="CA11" s="13" t="n"/>
      <c r="CB11" s="13" t="n"/>
      <c r="CC11" s="13" t="n"/>
      <c r="CD11" s="13" t="n"/>
      <c r="CE11" s="13" t="n"/>
      <c r="CF11" s="13" t="n"/>
      <c r="CG11" s="13" t="n"/>
      <c r="CH11" s="13" t="n"/>
      <c r="CI11" s="13" t="n"/>
      <c r="CJ11" s="13" t="n"/>
      <c r="CK11" s="13" t="n"/>
      <c r="CL11" s="13" t="n"/>
      <c r="CM11" s="13" t="n"/>
      <c r="CN11" s="13" t="n"/>
      <c r="CO11" s="13" t="n"/>
    </row>
    <row r="12" hidden="1" customFormat="1" s="13">
      <c r="A12" s="175" t="inlineStr">
        <is>
          <t>U8</t>
        </is>
      </c>
      <c r="B12" s="176">
        <f>IF(_epmOfflineCondition_,"C_PROJECT",EPMDimensionType(,A12))</f>
        <v/>
      </c>
      <c r="C12" s="176">
        <f>IF(_epmOfflineCondition_,"ZP_ALL",IF(B12="","",EPMContextMember(,B12)))</f>
        <v/>
      </c>
      <c r="D12" s="176">
        <f>IF(_epmOfflineCondition_,"项目合计",EPMMemberDesc(C12))</f>
        <v/>
      </c>
      <c r="E12" s="176" t="n"/>
      <c r="F12" s="185">
        <f>E11</f>
        <v/>
      </c>
      <c r="G12" s="13" t="n"/>
      <c r="H12" s="184" t="inlineStr">
        <is>
          <t>上年月</t>
        </is>
      </c>
      <c r="I12" s="184">
        <f>IF(I8="01",I10&amp;"."&amp;I9,I3&amp;"."&amp;I9)</f>
        <v/>
      </c>
      <c r="J12" s="13" t="n"/>
      <c r="K12" s="13" t="n"/>
      <c r="L12" s="13" t="n"/>
      <c r="M12" s="13" t="n"/>
      <c r="N12" s="13" t="n"/>
      <c r="O12" s="13" t="n"/>
      <c r="P12" s="13" t="n"/>
      <c r="Q12" s="13" t="n"/>
      <c r="R12" s="13" t="n"/>
      <c r="S12" s="1103" t="n"/>
      <c r="T12" s="13" t="n"/>
      <c r="U12" s="13" t="n"/>
      <c r="V12" s="13" t="n"/>
      <c r="W12" s="13" t="n"/>
      <c r="X12" s="171" t="n"/>
      <c r="Y12" s="13" t="n"/>
      <c r="Z12" s="13" t="n"/>
      <c r="AA12" s="13" t="n"/>
      <c r="AB12" s="13" t="n"/>
      <c r="AC12" s="13" t="n"/>
      <c r="AD12" s="220" t="n"/>
      <c r="AE12" s="13" t="n"/>
      <c r="AF12" s="13" t="n"/>
      <c r="AG12" s="13" t="n"/>
      <c r="AH12" s="13" t="n"/>
      <c r="AI12" s="13" t="n"/>
      <c r="AJ12" s="13" t="n"/>
      <c r="AK12" s="13" t="n"/>
      <c r="AL12" s="13" t="n"/>
      <c r="AM12" s="13" t="n"/>
      <c r="AN12" s="13" t="n"/>
      <c r="AO12" s="13" t="n"/>
      <c r="AP12" s="13" t="n"/>
      <c r="AQ12" s="13" t="n"/>
      <c r="AR12" s="13" t="n"/>
      <c r="AS12" s="13" t="n"/>
      <c r="AT12" s="13" t="n"/>
      <c r="AU12" s="13" t="n"/>
      <c r="AV12" s="13" t="n"/>
      <c r="AW12" s="13" t="n"/>
      <c r="AX12" s="13" t="n"/>
      <c r="AY12" s="13" t="n"/>
      <c r="AZ12" s="13" t="n"/>
      <c r="BA12" s="13" t="n"/>
      <c r="BB12" s="13" t="n"/>
      <c r="BC12" s="13" t="n"/>
      <c r="BD12" s="13" t="n"/>
      <c r="BE12" s="13" t="n"/>
      <c r="BF12" s="13" t="n"/>
      <c r="BG12" s="13" t="n"/>
      <c r="BH12" s="13" t="n"/>
      <c r="BI12" s="13" t="n"/>
      <c r="BJ12" s="13" t="n"/>
      <c r="BK12" s="13" t="n"/>
      <c r="BL12" s="13" t="n"/>
      <c r="BM12" s="13" t="n"/>
      <c r="BN12" s="13" t="n"/>
      <c r="BO12" s="13" t="n"/>
      <c r="BP12" s="13" t="n"/>
      <c r="BQ12" s="13" t="n"/>
      <c r="BR12" s="13" t="n"/>
      <c r="BS12" s="13" t="n"/>
      <c r="BT12" s="13" t="n"/>
      <c r="BU12" s="13" t="n"/>
      <c r="BV12" s="13" t="n"/>
      <c r="BW12" s="13" t="n"/>
      <c r="BX12" s="13" t="n"/>
      <c r="BY12" s="13" t="n"/>
      <c r="BZ12" s="13" t="n"/>
      <c r="CA12" s="13" t="n"/>
      <c r="CB12" s="13" t="n"/>
      <c r="CC12" s="13" t="n"/>
      <c r="CD12" s="13" t="n"/>
      <c r="CE12" s="13" t="n"/>
      <c r="CF12" s="13" t="n"/>
      <c r="CG12" s="13" t="n"/>
      <c r="CH12" s="13" t="n"/>
      <c r="CI12" s="13" t="n"/>
      <c r="CJ12" s="13" t="n"/>
      <c r="CK12" s="13" t="n"/>
      <c r="CL12" s="13" t="n"/>
      <c r="CM12" s="13" t="n"/>
      <c r="CN12" s="13" t="n"/>
      <c r="CO12" s="13" t="n"/>
    </row>
    <row r="13" hidden="1" customFormat="1" s="13">
      <c r="A13" s="175" t="inlineStr">
        <is>
          <t>U9</t>
        </is>
      </c>
      <c r="B13" s="176">
        <f>IF(_epmOfflineCondition_,"C_ITEM",EPMDimensionType(,A13))</f>
        <v/>
      </c>
      <c r="C13" s="176">
        <f>IF(_epmOfflineCondition_,"ZI_ALL",IF(B13="","",EPMContextMember(,B13)))</f>
        <v/>
      </c>
      <c r="D13" s="176">
        <f>IF(_epmOfflineCondition_,"全部ITEM",EPMMemberDesc(C13))</f>
        <v/>
      </c>
      <c r="E13" s="186" t="n"/>
      <c r="F13" s="185">
        <f>IF(_epmOfflineCondition_,"E_DUMMY",EPMMemberProperty(,F12,"GENTITY"))</f>
        <v/>
      </c>
      <c r="G13" s="13" t="n"/>
      <c r="H13" s="184" t="inlineStr">
        <is>
          <t xml:space="preserve">上年同期 </t>
        </is>
      </c>
      <c r="I13" s="184">
        <f>I10&amp;"."&amp;I8</f>
        <v/>
      </c>
      <c r="J13" s="13" t="n"/>
      <c r="K13" s="13" t="n"/>
      <c r="L13" s="13" t="n"/>
      <c r="M13" s="13" t="n"/>
      <c r="N13" s="13" t="n"/>
      <c r="O13" s="13" t="n"/>
      <c r="P13" s="13" t="n"/>
      <c r="Q13" s="13" t="n"/>
      <c r="R13" s="13" t="n"/>
      <c r="S13" s="1103" t="n"/>
      <c r="T13" s="13" t="n"/>
      <c r="U13" s="13" t="n"/>
      <c r="V13" s="13" t="n"/>
      <c r="W13" s="13" t="n"/>
      <c r="X13" s="171" t="n"/>
      <c r="Y13" s="13" t="n"/>
      <c r="Z13" s="13" t="n"/>
      <c r="AA13" s="13" t="n"/>
      <c r="AB13" s="13" t="n"/>
      <c r="AC13" s="13" t="n"/>
      <c r="AD13" s="220" t="n"/>
      <c r="AE13" s="13" t="n"/>
      <c r="AF13" s="13" t="n"/>
      <c r="AG13" s="13" t="n"/>
      <c r="AH13" s="13" t="n"/>
      <c r="AI13" s="13" t="n"/>
      <c r="AJ13" s="13" t="n"/>
      <c r="AK13" s="13" t="n"/>
      <c r="AL13" s="13" t="n"/>
      <c r="AM13" s="13" t="n"/>
      <c r="AN13" s="13" t="n"/>
      <c r="AO13" s="13" t="n"/>
      <c r="AP13" s="13" t="n"/>
      <c r="AQ13" s="13" t="n"/>
      <c r="AR13" s="13" t="n"/>
      <c r="AS13" s="13" t="n"/>
      <c r="AT13" s="13" t="n"/>
      <c r="AU13" s="13" t="n"/>
      <c r="AV13" s="13" t="n"/>
      <c r="AW13" s="13" t="n"/>
      <c r="AX13" s="13" t="n"/>
      <c r="AY13" s="13" t="n"/>
      <c r="AZ13" s="13" t="n"/>
      <c r="BA13" s="13" t="n"/>
      <c r="BB13" s="13" t="n"/>
      <c r="BC13" s="13" t="n"/>
      <c r="BD13" s="13" t="n"/>
      <c r="BE13" s="13" t="n"/>
      <c r="BF13" s="13" t="n"/>
      <c r="BG13" s="13" t="n"/>
      <c r="BH13" s="13" t="n"/>
      <c r="BI13" s="13" t="n"/>
      <c r="BJ13" s="13" t="n"/>
      <c r="BK13" s="13" t="n"/>
      <c r="BL13" s="13" t="n"/>
      <c r="BM13" s="13" t="n"/>
      <c r="BN13" s="13" t="n"/>
      <c r="BO13" s="13" t="n"/>
      <c r="BP13" s="13" t="n"/>
      <c r="BQ13" s="13" t="n"/>
      <c r="BR13" s="13" t="n"/>
      <c r="BS13" s="13" t="n"/>
      <c r="BT13" s="13" t="n"/>
      <c r="BU13" s="13" t="n"/>
      <c r="BV13" s="13" t="n"/>
      <c r="BW13" s="13" t="n"/>
      <c r="BX13" s="13" t="n"/>
      <c r="BY13" s="13" t="n"/>
      <c r="BZ13" s="13" t="n"/>
      <c r="CA13" s="13" t="n"/>
      <c r="CB13" s="13" t="n"/>
      <c r="CC13" s="13" t="n"/>
      <c r="CD13" s="13" t="n"/>
      <c r="CE13" s="13" t="n"/>
      <c r="CF13" s="13" t="n"/>
      <c r="CG13" s="13" t="n"/>
      <c r="CH13" s="13" t="n"/>
      <c r="CI13" s="13" t="n"/>
      <c r="CJ13" s="13" t="n"/>
      <c r="CK13" s="13" t="n"/>
      <c r="CL13" s="13" t="n"/>
      <c r="CM13" s="13" t="n"/>
      <c r="CN13" s="13" t="n"/>
      <c r="CO13" s="13" t="n"/>
    </row>
    <row r="14" hidden="1" customFormat="1" s="13">
      <c r="A14" s="175" t="inlineStr">
        <is>
          <t>U10</t>
        </is>
      </c>
      <c r="B14" s="176">
        <f>IF(_epmOfflineCondition_,"C_MISK",EPMDimensionType(,A14))</f>
        <v/>
      </c>
      <c r="C14" s="176">
        <f>IF(_epmOfflineCondition_,"ZM_ALL",IF(B14="","",EPMContextMember(,B14)))</f>
        <v/>
      </c>
      <c r="D14" s="176">
        <f>IF(_epmOfflineCondition_,"ALL",EPMMemberDesc(C14))</f>
        <v/>
      </c>
      <c r="E14" s="186" t="n"/>
      <c r="F14" s="185">
        <f>IF(F12="G_DUMMY",C6,F13)</f>
        <v/>
      </c>
      <c r="G14" s="13" t="n"/>
      <c r="H14" s="13" t="n"/>
      <c r="I14" s="13" t="n"/>
      <c r="J14" s="13" t="n"/>
      <c r="K14" s="13" t="n"/>
      <c r="L14" s="13" t="n"/>
      <c r="M14" s="13" t="n"/>
      <c r="N14" s="13" t="n"/>
      <c r="O14" s="13" t="n"/>
      <c r="P14" s="13" t="n"/>
      <c r="Q14" s="13" t="n"/>
      <c r="R14" s="13" t="n"/>
      <c r="S14" s="1103" t="n"/>
      <c r="T14" s="13" t="n"/>
      <c r="U14" s="13" t="n"/>
      <c r="V14" s="13" t="n"/>
      <c r="W14" s="13" t="n"/>
      <c r="X14" s="171" t="n"/>
      <c r="Y14" s="13" t="n"/>
      <c r="Z14" s="13" t="n"/>
      <c r="AA14" s="13" t="n"/>
      <c r="AB14" s="13" t="n"/>
      <c r="AC14" s="13" t="n"/>
      <c r="AD14" s="220" t="n"/>
      <c r="AE14" s="13" t="n"/>
      <c r="AF14" s="13" t="n"/>
      <c r="AG14" s="13" t="n"/>
      <c r="AH14" s="13" t="n"/>
      <c r="AI14" s="13" t="n"/>
      <c r="AJ14" s="13" t="n"/>
      <c r="AK14" s="13" t="n"/>
      <c r="AL14" s="13" t="n"/>
      <c r="AM14" s="13" t="n"/>
      <c r="AN14" s="13" t="n"/>
      <c r="AO14" s="13" t="n"/>
      <c r="AP14" s="13" t="n"/>
      <c r="AQ14" s="13" t="n"/>
      <c r="AR14" s="13" t="n"/>
      <c r="AS14" s="13" t="n"/>
      <c r="AT14" s="13" t="n"/>
      <c r="AU14" s="13" t="n"/>
      <c r="AV14" s="13" t="n"/>
      <c r="AW14" s="13" t="n"/>
      <c r="AX14" s="13" t="n"/>
      <c r="AY14" s="13" t="n"/>
      <c r="AZ14" s="13" t="n"/>
      <c r="BA14" s="13" t="n"/>
      <c r="BB14" s="13" t="n"/>
      <c r="BC14" s="13" t="n"/>
      <c r="BD14" s="13" t="n"/>
      <c r="BE14" s="13" t="n"/>
      <c r="BF14" s="13" t="n"/>
      <c r="BG14" s="13" t="n"/>
      <c r="BH14" s="13" t="n"/>
      <c r="BI14" s="13" t="n"/>
      <c r="BJ14" s="13" t="n"/>
      <c r="BK14" s="13" t="n"/>
      <c r="BL14" s="13" t="n"/>
      <c r="BM14" s="13" t="n"/>
      <c r="BN14" s="13" t="n"/>
      <c r="BO14" s="13" t="n"/>
      <c r="BP14" s="13" t="n"/>
      <c r="BQ14" s="13" t="n"/>
      <c r="BR14" s="13" t="n"/>
      <c r="BS14" s="13" t="n"/>
      <c r="BT14" s="13" t="n"/>
      <c r="BU14" s="13" t="n"/>
      <c r="BV14" s="13" t="n"/>
      <c r="BW14" s="13" t="n"/>
      <c r="BX14" s="13" t="n"/>
      <c r="BY14" s="13" t="n"/>
      <c r="BZ14" s="13" t="n"/>
      <c r="CA14" s="13" t="n"/>
      <c r="CB14" s="13" t="n"/>
      <c r="CC14" s="13" t="n"/>
      <c r="CD14" s="13" t="n"/>
      <c r="CE14" s="13" t="n"/>
      <c r="CF14" s="13" t="n"/>
      <c r="CG14" s="13" t="n"/>
      <c r="CH14" s="13" t="n"/>
      <c r="CI14" s="13" t="n"/>
      <c r="CJ14" s="13" t="n"/>
      <c r="CK14" s="13" t="n"/>
      <c r="CL14" s="13" t="n"/>
      <c r="CM14" s="13" t="n"/>
      <c r="CN14" s="13" t="n"/>
      <c r="CO14" s="13" t="n"/>
    </row>
    <row r="15" hidden="1" customFormat="1" s="13">
      <c r="A15" s="13" t="n"/>
      <c r="B15" s="1103" t="n"/>
      <c r="C15" s="1103" t="n"/>
      <c r="D15" s="1103" t="n"/>
      <c r="E15" s="13" t="n"/>
      <c r="F15" s="13" t="n"/>
      <c r="G15" s="13" t="n"/>
      <c r="H15" s="13" t="n"/>
      <c r="I15" s="13" t="n"/>
      <c r="J15" s="13" t="n"/>
      <c r="K15" s="13" t="n"/>
      <c r="L15" s="13" t="n"/>
      <c r="M15" s="13" t="n"/>
      <c r="N15" s="13" t="n"/>
      <c r="O15" s="13" t="n"/>
      <c r="P15" s="13" t="n"/>
      <c r="Q15" s="13" t="n"/>
      <c r="R15" s="13" t="n"/>
      <c r="S15" s="1103" t="n"/>
      <c r="T15" s="13" t="n"/>
      <c r="U15" s="13" t="n"/>
      <c r="V15" s="13" t="n"/>
      <c r="W15" s="13" t="n"/>
      <c r="X15" s="171" t="n"/>
      <c r="Y15" s="13" t="n"/>
      <c r="Z15" s="13" t="n"/>
      <c r="AA15" s="13" t="n"/>
      <c r="AB15" s="13" t="n"/>
      <c r="AC15" s="13" t="n"/>
      <c r="AD15" s="220" t="n"/>
      <c r="AE15" s="13" t="n"/>
      <c r="AF15" s="13" t="n"/>
      <c r="AG15" s="13" t="n"/>
      <c r="AH15" s="13" t="n"/>
      <c r="AI15" s="13" t="n"/>
      <c r="AJ15" s="13" t="n"/>
      <c r="AK15" s="13" t="n"/>
      <c r="AL15" s="13" t="n"/>
      <c r="AM15" s="13" t="n"/>
      <c r="AN15" s="13" t="n"/>
      <c r="AO15" s="13" t="n"/>
      <c r="AP15" s="13" t="n"/>
      <c r="AQ15" s="13" t="n"/>
      <c r="AR15" s="13" t="n"/>
      <c r="AS15" s="13" t="n"/>
      <c r="AT15" s="13" t="n"/>
      <c r="AU15" s="13" t="n"/>
      <c r="AV15" s="13" t="n"/>
      <c r="AW15" s="13" t="n"/>
      <c r="AX15" s="13" t="n"/>
      <c r="AY15" s="13" t="n"/>
      <c r="AZ15" s="13" t="n"/>
      <c r="BA15" s="13" t="n"/>
      <c r="BB15" s="13" t="n"/>
      <c r="BC15" s="13" t="n"/>
      <c r="BD15" s="13" t="n"/>
      <c r="BE15" s="13" t="n"/>
      <c r="BF15" s="13" t="n"/>
      <c r="BG15" s="13" t="n"/>
      <c r="BH15" s="13" t="n"/>
      <c r="BI15" s="13" t="n"/>
      <c r="BJ15" s="13" t="n"/>
      <c r="BK15" s="13" t="n"/>
      <c r="BL15" s="13" t="n"/>
      <c r="BM15" s="13" t="n"/>
      <c r="BN15" s="13" t="n"/>
      <c r="BO15" s="13" t="n"/>
      <c r="BP15" s="13" t="n"/>
      <c r="BQ15" s="13" t="n"/>
      <c r="BR15" s="13" t="n"/>
      <c r="BS15" s="13" t="n"/>
      <c r="BT15" s="13" t="n"/>
      <c r="BU15" s="13" t="n"/>
      <c r="BV15" s="13" t="n"/>
      <c r="BW15" s="13" t="n"/>
      <c r="BX15" s="13" t="n"/>
      <c r="BY15" s="13" t="n"/>
      <c r="BZ15" s="13" t="n"/>
      <c r="CA15" s="13" t="n"/>
      <c r="CB15" s="13" t="n"/>
      <c r="CC15" s="13" t="n"/>
      <c r="CD15" s="13" t="n"/>
      <c r="CE15" s="13" t="n"/>
      <c r="CF15" s="13" t="n"/>
      <c r="CG15" s="13" t="n"/>
      <c r="CH15" s="13" t="n"/>
      <c r="CI15" s="13" t="n"/>
      <c r="CJ15" s="13" t="n"/>
      <c r="CK15" s="13" t="n"/>
      <c r="CL15" s="13" t="n"/>
      <c r="CM15" s="13" t="n"/>
      <c r="CN15" s="13" t="n"/>
      <c r="CO15" s="13" t="n"/>
    </row>
    <row r="16" hidden="1" customFormat="1" s="13">
      <c r="A16" s="13" t="n"/>
      <c r="B16" s="13" t="n"/>
      <c r="C16" s="13" t="n"/>
      <c r="D16" s="174" t="inlineStr">
        <is>
          <t>页轴</t>
        </is>
      </c>
      <c r="E16" s="1183" t="n"/>
      <c r="F16" s="13" t="n"/>
      <c r="G16" s="13" t="n"/>
      <c r="H16" s="13" t="n"/>
      <c r="I16" s="13" t="n"/>
      <c r="J16" s="13" t="n"/>
      <c r="K16" s="13" t="n"/>
      <c r="L16" s="13" t="n"/>
      <c r="M16" s="13" t="n"/>
      <c r="N16" s="13" t="n"/>
      <c r="O16" s="13" t="n"/>
      <c r="P16" s="13" t="n"/>
      <c r="Q16" s="13" t="n"/>
      <c r="R16" s="13" t="n"/>
      <c r="S16" s="1103" t="n"/>
      <c r="T16" s="13" t="n"/>
      <c r="U16" s="13" t="n"/>
      <c r="V16" s="13" t="n"/>
      <c r="W16" s="13" t="n"/>
      <c r="X16" s="171" t="n"/>
      <c r="Y16" s="13" t="n"/>
      <c r="Z16" s="13" t="n"/>
      <c r="AA16" s="13" t="n"/>
      <c r="AB16" s="13" t="n"/>
      <c r="AC16" s="13" t="n"/>
      <c r="AD16" s="220" t="n"/>
      <c r="AE16" s="13" t="n"/>
      <c r="AF16" s="13" t="n"/>
      <c r="AG16" s="13" t="n"/>
      <c r="AH16" s="13" t="n"/>
      <c r="AI16" s="13" t="n"/>
      <c r="AJ16" s="13" t="n"/>
      <c r="AK16" s="13" t="n"/>
      <c r="AL16" s="13" t="n"/>
      <c r="AM16" s="13" t="n"/>
      <c r="AN16" s="13" t="n"/>
      <c r="AO16" s="13" t="n"/>
      <c r="AP16" s="13" t="n"/>
      <c r="AQ16" s="13" t="n"/>
      <c r="AR16" s="13" t="n"/>
      <c r="AS16" s="13" t="n"/>
      <c r="AT16" s="13" t="n"/>
      <c r="AU16" s="13" t="n"/>
      <c r="AV16" s="13" t="n"/>
      <c r="AW16" s="13" t="n"/>
      <c r="AX16" s="13" t="n"/>
      <c r="AY16" s="13" t="n"/>
      <c r="AZ16" s="13" t="n"/>
      <c r="BA16" s="13" t="n"/>
      <c r="BB16" s="13" t="n"/>
      <c r="BC16" s="13" t="n"/>
      <c r="BD16" s="13" t="n"/>
      <c r="BE16" s="13" t="n"/>
      <c r="BF16" s="13" t="n"/>
      <c r="BG16" s="13" t="n"/>
      <c r="BH16" s="13" t="n"/>
      <c r="BI16" s="13" t="n"/>
      <c r="BJ16" s="13" t="n"/>
      <c r="BK16" s="13" t="n"/>
      <c r="BL16" s="13" t="n"/>
      <c r="BM16" s="13" t="n"/>
      <c r="BN16" s="13" t="n"/>
      <c r="BO16" s="13" t="n"/>
      <c r="BP16" s="13" t="n"/>
      <c r="BQ16" s="13" t="n"/>
      <c r="BR16" s="13" t="n"/>
      <c r="BS16" s="13" t="n"/>
      <c r="BT16" s="13" t="n"/>
      <c r="BU16" s="13" t="n"/>
      <c r="BV16" s="13" t="n"/>
      <c r="BW16" s="13" t="n"/>
      <c r="BX16" s="13" t="n"/>
      <c r="BY16" s="13" t="n"/>
      <c r="BZ16" s="13" t="n"/>
      <c r="CA16" s="13" t="n"/>
      <c r="CB16" s="13" t="n"/>
      <c r="CC16" s="13" t="n"/>
      <c r="CD16" s="13" t="n"/>
      <c r="CE16" s="13" t="n"/>
      <c r="CF16" s="13" t="n"/>
      <c r="CG16" s="13" t="n"/>
      <c r="CH16" s="13" t="n"/>
      <c r="CI16" s="13" t="n"/>
      <c r="CJ16" s="13" t="n"/>
      <c r="CK16" s="13" t="n"/>
      <c r="CL16" s="13" t="n"/>
      <c r="CM16" s="13" t="n"/>
      <c r="CN16" s="13" t="n"/>
      <c r="CO16" s="13" t="n"/>
    </row>
    <row r="17" hidden="1" customFormat="1" s="13">
      <c r="A17" s="174" t="inlineStr">
        <is>
          <t>维度类型</t>
        </is>
      </c>
      <c r="B17" s="174" t="inlineStr">
        <is>
          <t>维度</t>
        </is>
      </c>
      <c r="C17" s="178" t="inlineStr">
        <is>
          <t>页轴替换</t>
        </is>
      </c>
      <c r="D17" s="174" t="inlineStr">
        <is>
          <t>报表001</t>
        </is>
      </c>
      <c r="E17" s="174" t="inlineStr">
        <is>
          <t>报表002</t>
        </is>
      </c>
      <c r="F17" s="13" t="n"/>
      <c r="G17" s="13" t="n"/>
      <c r="H17" s="13" t="n"/>
      <c r="I17" s="13" t="n"/>
      <c r="J17" s="13" t="n"/>
      <c r="K17" s="13" t="n"/>
      <c r="L17" s="13" t="n"/>
      <c r="M17" s="13" t="n"/>
      <c r="N17" s="13" t="n"/>
      <c r="O17" s="13" t="n"/>
      <c r="P17" s="13" t="n"/>
      <c r="Q17" s="13" t="n"/>
      <c r="R17" s="13" t="n"/>
      <c r="S17" s="1103" t="n"/>
      <c r="T17" s="13" t="n"/>
      <c r="U17" s="13" t="n"/>
      <c r="V17" s="13" t="n"/>
      <c r="W17" s="13" t="n"/>
      <c r="X17" s="171" t="n"/>
      <c r="Y17" s="13" t="n"/>
      <c r="Z17" s="13" t="n"/>
      <c r="AA17" s="13" t="n"/>
      <c r="AB17" s="13" t="n"/>
      <c r="AC17" s="13" t="n"/>
      <c r="AD17" s="220" t="n"/>
      <c r="AE17" s="13" t="n"/>
      <c r="AF17" s="13" t="n"/>
      <c r="AG17" s="13" t="n"/>
      <c r="AH17" s="13" t="n"/>
      <c r="AI17" s="13" t="n"/>
      <c r="AJ17" s="13" t="n"/>
      <c r="AK17" s="13" t="n"/>
      <c r="AL17" s="13" t="n"/>
      <c r="AM17" s="13" t="n"/>
      <c r="AN17" s="13" t="n"/>
      <c r="AO17" s="13" t="n"/>
      <c r="AP17" s="13" t="n"/>
      <c r="AQ17" s="13" t="n"/>
      <c r="AR17" s="13" t="n"/>
      <c r="AS17" s="13" t="n"/>
      <c r="AT17" s="13" t="n"/>
      <c r="AU17" s="13" t="n"/>
      <c r="AV17" s="13" t="n"/>
      <c r="AW17" s="13" t="n"/>
      <c r="AX17" s="13" t="n"/>
      <c r="AY17" s="13" t="n"/>
      <c r="AZ17" s="13" t="n"/>
      <c r="BA17" s="13" t="n"/>
      <c r="BB17" s="13" t="n"/>
      <c r="BC17" s="13" t="n"/>
      <c r="BD17" s="13" t="n"/>
      <c r="BE17" s="13" t="n"/>
      <c r="BF17" s="13" t="n"/>
      <c r="BG17" s="13" t="n"/>
      <c r="BH17" s="13" t="n"/>
      <c r="BI17" s="13" t="n"/>
      <c r="BJ17" s="13" t="n"/>
      <c r="BK17" s="13" t="n"/>
      <c r="BL17" s="13" t="n"/>
      <c r="BM17" s="13" t="n"/>
      <c r="BN17" s="13" t="n"/>
      <c r="BO17" s="13" t="n"/>
      <c r="BP17" s="13" t="n"/>
      <c r="BQ17" s="13" t="n"/>
      <c r="BR17" s="13" t="n"/>
      <c r="BS17" s="13" t="n"/>
      <c r="BT17" s="13" t="n"/>
      <c r="BU17" s="13" t="n"/>
      <c r="BV17" s="13" t="n"/>
      <c r="BW17" s="13" t="n"/>
      <c r="BX17" s="13" t="n"/>
      <c r="BY17" s="13" t="n"/>
      <c r="BZ17" s="13" t="n"/>
      <c r="CA17" s="13" t="n"/>
      <c r="CB17" s="13" t="n"/>
      <c r="CC17" s="13" t="n"/>
      <c r="CD17" s="13" t="n"/>
      <c r="CE17" s="13" t="n"/>
      <c r="CF17" s="13" t="n"/>
      <c r="CG17" s="13" t="n"/>
      <c r="CH17" s="13" t="n"/>
      <c r="CI17" s="13" t="n"/>
      <c r="CJ17" s="13" t="n"/>
      <c r="CK17" s="13" t="n"/>
      <c r="CL17" s="13" t="n"/>
      <c r="CM17" s="13" t="n"/>
      <c r="CN17" s="13" t="n"/>
      <c r="CO17" s="13" t="n"/>
    </row>
    <row r="18" hidden="1" customFormat="1" s="13">
      <c r="A18" s="175" t="inlineStr">
        <is>
          <t>A</t>
        </is>
      </c>
      <c r="B18" s="176">
        <f>IF(_epmOfflineCondition_,"C_ACCOUNT",EPMDimensionType(,A18))</f>
        <v/>
      </c>
      <c r="C18" s="182" t="inlineStr">
        <is>
          <t>A_NOUSED</t>
        </is>
      </c>
      <c r="D18" s="180" t="n"/>
      <c r="E18" s="180" t="n"/>
      <c r="F18" s="13" t="n"/>
      <c r="G18" s="13" t="n"/>
      <c r="H18" s="13" t="n"/>
      <c r="I18" s="180" t="inlineStr">
        <is>
          <t>选择的值</t>
        </is>
      </c>
      <c r="J18" s="180">
        <f>VLOOKUP(AA37,I19:J21,2,FALSE)</f>
        <v/>
      </c>
      <c r="K18" s="13" t="n"/>
      <c r="L18" s="13" t="n"/>
      <c r="M18" s="13" t="n"/>
      <c r="N18" s="13" t="n"/>
      <c r="O18" s="13" t="n"/>
      <c r="P18" s="13" t="n"/>
      <c r="Q18" s="13" t="n"/>
      <c r="R18" s="13" t="n"/>
      <c r="S18" s="1103" t="n"/>
      <c r="T18" s="13" t="n"/>
      <c r="U18" s="13" t="n"/>
      <c r="V18" s="13" t="n"/>
      <c r="W18" s="13" t="n"/>
      <c r="X18" s="171" t="n"/>
      <c r="Y18" s="13" t="n"/>
      <c r="Z18" s="13" t="n"/>
      <c r="AA18" s="13" t="n"/>
      <c r="AB18" s="13" t="n"/>
      <c r="AC18" s="13" t="n"/>
      <c r="AD18" s="220" t="n"/>
      <c r="AE18" s="13" t="n"/>
      <c r="AF18" s="13" t="n"/>
      <c r="AG18" s="13" t="n"/>
      <c r="AH18" s="13" t="n"/>
      <c r="AI18" s="13" t="n"/>
      <c r="AJ18" s="13" t="n"/>
      <c r="AK18" s="13" t="n"/>
      <c r="AL18" s="13" t="n"/>
      <c r="AM18" s="13" t="n"/>
      <c r="AN18" s="13" t="n"/>
      <c r="AO18" s="13" t="n"/>
      <c r="AP18" s="13" t="n"/>
      <c r="AQ18" s="13" t="n"/>
      <c r="AR18" s="13" t="n"/>
      <c r="AS18" s="13" t="n"/>
      <c r="AT18" s="13" t="n"/>
      <c r="AU18" s="13" t="n"/>
      <c r="AV18" s="13" t="n"/>
      <c r="AW18" s="13" t="n"/>
      <c r="AX18" s="13" t="n"/>
      <c r="AY18" s="13" t="n"/>
      <c r="AZ18" s="13" t="n"/>
      <c r="BA18" s="13" t="n"/>
      <c r="BB18" s="13" t="n"/>
      <c r="BC18" s="13" t="n"/>
      <c r="BD18" s="13" t="n"/>
      <c r="BE18" s="13" t="n"/>
      <c r="BF18" s="13" t="n"/>
      <c r="BG18" s="13" t="n"/>
      <c r="BH18" s="13" t="n"/>
      <c r="BI18" s="13" t="n"/>
      <c r="BJ18" s="13" t="n"/>
      <c r="BK18" s="13" t="n"/>
      <c r="BL18" s="13" t="n"/>
      <c r="BM18" s="13" t="n"/>
      <c r="BN18" s="13" t="n"/>
      <c r="BO18" s="13" t="n"/>
      <c r="BP18" s="13" t="n"/>
      <c r="BQ18" s="13" t="n"/>
      <c r="BR18" s="13" t="n"/>
      <c r="BS18" s="13" t="n"/>
      <c r="BT18" s="13" t="n"/>
      <c r="BU18" s="13" t="n"/>
      <c r="BV18" s="13" t="n"/>
      <c r="BW18" s="13" t="n"/>
      <c r="BX18" s="13" t="n"/>
      <c r="BY18" s="13" t="n"/>
      <c r="BZ18" s="13" t="n"/>
      <c r="CA18" s="13" t="n"/>
      <c r="CB18" s="13" t="n"/>
      <c r="CC18" s="13" t="n"/>
      <c r="CD18" s="13" t="n"/>
      <c r="CE18" s="13" t="n"/>
      <c r="CF18" s="13" t="n"/>
      <c r="CG18" s="13" t="n"/>
      <c r="CH18" s="13" t="n"/>
      <c r="CI18" s="13" t="n"/>
      <c r="CJ18" s="13" t="n"/>
      <c r="CK18" s="13" t="n"/>
      <c r="CL18" s="13" t="n"/>
      <c r="CM18" s="13" t="n"/>
      <c r="CN18" s="13" t="n"/>
      <c r="CO18" s="13" t="n"/>
    </row>
    <row r="19" hidden="1" customFormat="1" s="13">
      <c r="A19" s="175" t="inlineStr">
        <is>
          <t>C</t>
        </is>
      </c>
      <c r="B19" s="176">
        <f>IF(_epmOfflineCondition_,"C_CATEGORY",EPMDimensionType(,A19))</f>
        <v/>
      </c>
      <c r="C19" s="182" t="inlineStr">
        <is>
          <t>C_DUMMY</t>
        </is>
      </c>
      <c r="D19" s="180" t="n"/>
      <c r="E19" s="180" t="n"/>
      <c r="F19" s="13" t="n"/>
      <c r="G19" s="13" t="n"/>
      <c r="H19" s="13" t="n"/>
      <c r="I19" s="180" t="inlineStr">
        <is>
          <t>单体录入</t>
        </is>
      </c>
      <c r="J19" s="180" t="inlineStr">
        <is>
          <t>D1110</t>
        </is>
      </c>
      <c r="K19" s="13" t="n"/>
      <c r="L19" s="13" t="n"/>
      <c r="M19" s="13" t="n"/>
      <c r="N19" s="13" t="n"/>
      <c r="O19" s="13" t="n"/>
      <c r="P19" s="13" t="n"/>
      <c r="Q19" s="13" t="n"/>
      <c r="R19" s="13" t="n"/>
      <c r="S19" s="1103" t="n"/>
      <c r="T19" s="13" t="n"/>
      <c r="U19" s="13" t="n"/>
      <c r="V19" s="13" t="n"/>
      <c r="W19" s="13" t="n"/>
      <c r="X19" s="171" t="n"/>
      <c r="Y19" s="13" t="n"/>
      <c r="Z19" s="13" t="n"/>
      <c r="AA19" s="13" t="n"/>
      <c r="AB19" s="13" t="n"/>
      <c r="AC19" s="13" t="n"/>
      <c r="AD19" s="220" t="n"/>
      <c r="AE19" s="13" t="n"/>
      <c r="AF19" s="13" t="n"/>
      <c r="AG19" s="13" t="n"/>
      <c r="AH19" s="13" t="n"/>
      <c r="AI19" s="13" t="n"/>
      <c r="AJ19" s="13" t="n"/>
      <c r="AK19" s="13" t="n"/>
      <c r="AL19" s="13" t="n"/>
      <c r="AM19" s="13" t="n"/>
      <c r="AN19" s="13" t="n"/>
      <c r="AO19" s="13" t="n"/>
      <c r="AP19" s="13" t="n"/>
      <c r="AQ19" s="13" t="n"/>
      <c r="AR19" s="13" t="n"/>
      <c r="AS19" s="13" t="n"/>
      <c r="AT19" s="13" t="n"/>
      <c r="AU19" s="13" t="n"/>
      <c r="AV19" s="13" t="n"/>
      <c r="AW19" s="13" t="n"/>
      <c r="AX19" s="13" t="n"/>
      <c r="AY19" s="13" t="n"/>
      <c r="AZ19" s="13" t="n"/>
      <c r="BA19" s="13" t="n"/>
      <c r="BB19" s="13" t="n"/>
      <c r="BC19" s="13" t="n"/>
      <c r="BD19" s="13" t="n"/>
      <c r="BE19" s="13" t="n"/>
      <c r="BF19" s="13" t="n"/>
      <c r="BG19" s="13" t="n"/>
      <c r="BH19" s="13" t="n"/>
      <c r="BI19" s="13" t="n"/>
      <c r="BJ19" s="13" t="n"/>
      <c r="BK19" s="13" t="n"/>
      <c r="BL19" s="13" t="n"/>
      <c r="BM19" s="13" t="n"/>
      <c r="BN19" s="13" t="n"/>
      <c r="BO19" s="13" t="n"/>
      <c r="BP19" s="13" t="n"/>
      <c r="BQ19" s="13" t="n"/>
      <c r="BR19" s="13" t="n"/>
      <c r="BS19" s="13" t="n"/>
      <c r="BT19" s="13" t="n"/>
      <c r="BU19" s="13" t="n"/>
      <c r="BV19" s="13" t="n"/>
      <c r="BW19" s="13" t="n"/>
      <c r="BX19" s="13" t="n"/>
      <c r="BY19" s="13" t="n"/>
      <c r="BZ19" s="13" t="n"/>
      <c r="CA19" s="13" t="n"/>
      <c r="CB19" s="13" t="n"/>
      <c r="CC19" s="13" t="n"/>
      <c r="CD19" s="13" t="n"/>
      <c r="CE19" s="13" t="n"/>
      <c r="CF19" s="13" t="n"/>
      <c r="CG19" s="13" t="n"/>
      <c r="CH19" s="13" t="n"/>
      <c r="CI19" s="13" t="n"/>
      <c r="CJ19" s="13" t="n"/>
      <c r="CK19" s="13" t="n"/>
      <c r="CL19" s="13" t="n"/>
      <c r="CM19" s="13" t="n"/>
      <c r="CN19" s="13" t="n"/>
      <c r="CO19" s="13" t="n"/>
    </row>
    <row r="20" hidden="1" customFormat="1" s="13">
      <c r="A20" s="175" t="inlineStr">
        <is>
          <t>T</t>
        </is>
      </c>
      <c r="B20" s="176">
        <f>IF(_epmOfflineCondition_,"C_TIME",EPMDimensionType(,A20))</f>
        <v/>
      </c>
      <c r="C20" s="672" t="inlineStr">
        <is>
          <t>T_DUMMY</t>
        </is>
      </c>
      <c r="D20" s="180" t="n"/>
      <c r="E20" s="180" t="n"/>
      <c r="F20" s="384" t="n"/>
      <c r="G20" s="384" t="n"/>
      <c r="H20" s="13" t="n"/>
      <c r="I20" s="180" t="inlineStr">
        <is>
          <t>合并调整</t>
        </is>
      </c>
      <c r="J20" s="180" t="inlineStr">
        <is>
          <t>DELIM_IPT_IC_BP_99</t>
        </is>
      </c>
      <c r="K20" s="13" t="n"/>
      <c r="L20" s="13" t="n"/>
      <c r="M20" s="13" t="n"/>
      <c r="N20" s="13" t="n"/>
      <c r="O20" s="13" t="n"/>
      <c r="P20" s="13" t="n"/>
      <c r="Q20" s="13" t="n"/>
      <c r="R20" s="13" t="n"/>
      <c r="S20" s="1103" t="n"/>
      <c r="T20" s="13" t="n"/>
      <c r="U20" s="13" t="n"/>
      <c r="V20" s="13" t="n"/>
      <c r="W20" s="13" t="n"/>
      <c r="X20" s="171" t="n"/>
      <c r="Y20" s="384" t="n"/>
      <c r="Z20" s="384" t="n"/>
      <c r="AA20" s="13" t="n"/>
      <c r="AB20" s="13" t="n"/>
      <c r="AC20" s="13" t="n"/>
      <c r="AD20" s="220" t="n"/>
      <c r="AE20" s="13" t="n"/>
      <c r="AF20" s="13" t="n"/>
      <c r="AG20" s="13" t="n"/>
      <c r="AH20" s="13" t="n"/>
      <c r="AI20" s="13" t="n"/>
      <c r="AJ20" s="13" t="n"/>
      <c r="AK20" s="13" t="n"/>
      <c r="AL20" s="13" t="n"/>
      <c r="AM20" s="13" t="n"/>
      <c r="AN20" s="13" t="n"/>
      <c r="AO20" s="13" t="n"/>
      <c r="AP20" s="13" t="n"/>
      <c r="AQ20" s="13" t="n"/>
      <c r="AR20" s="13" t="n"/>
      <c r="AS20" s="13" t="n"/>
      <c r="AT20" s="13" t="n"/>
      <c r="AU20" s="13" t="n"/>
      <c r="AV20" s="13" t="n"/>
      <c r="AW20" s="13" t="n"/>
      <c r="AX20" s="13" t="n"/>
      <c r="AY20" s="13" t="n"/>
      <c r="AZ20" s="13" t="n"/>
      <c r="BA20" s="13" t="n"/>
      <c r="BB20" s="13" t="n"/>
      <c r="BC20" s="13" t="n"/>
      <c r="BD20" s="13" t="n"/>
      <c r="BE20" s="13" t="n"/>
      <c r="BF20" s="13" t="n"/>
      <c r="BG20" s="13" t="n"/>
      <c r="BH20" s="13" t="n"/>
      <c r="BI20" s="13" t="n"/>
      <c r="BJ20" s="13" t="n"/>
      <c r="BK20" s="13" t="n"/>
      <c r="BL20" s="13" t="n"/>
      <c r="BM20" s="13" t="n"/>
      <c r="BN20" s="13" t="n"/>
      <c r="BO20" s="13" t="n"/>
      <c r="BP20" s="13" t="n"/>
      <c r="BQ20" s="13" t="n"/>
      <c r="BR20" s="13" t="n"/>
      <c r="BS20" s="13" t="n"/>
      <c r="BT20" s="13" t="n"/>
      <c r="BU20" s="13" t="n"/>
      <c r="BV20" s="13" t="n"/>
      <c r="BW20" s="13" t="n"/>
      <c r="BX20" s="13" t="n"/>
      <c r="BY20" s="13" t="n"/>
      <c r="BZ20" s="13" t="n"/>
      <c r="CA20" s="13" t="n"/>
      <c r="CB20" s="13" t="n"/>
      <c r="CC20" s="13" t="n"/>
      <c r="CD20" s="13" t="n"/>
      <c r="CE20" s="13" t="n"/>
      <c r="CF20" s="13" t="n"/>
      <c r="CG20" s="13" t="n"/>
      <c r="CH20" s="13" t="n"/>
      <c r="CI20" s="13" t="n"/>
      <c r="CJ20" s="13" t="n"/>
      <c r="CK20" s="13" t="n"/>
      <c r="CL20" s="13" t="n"/>
      <c r="CM20" s="13" t="n"/>
      <c r="CN20" s="13" t="n"/>
      <c r="CO20" s="13" t="n"/>
    </row>
    <row r="21" hidden="1" customFormat="1" s="13">
      <c r="A21" s="175" t="inlineStr">
        <is>
          <t>E</t>
        </is>
      </c>
      <c r="B21" s="176">
        <f>IF(_epmOfflineCondition_,"C_ENTITY",EPMDimensionType(,A21))</f>
        <v/>
      </c>
      <c r="C21" s="672">
        <f>IF(_epmOfflineCondition_,"E100787",IF(B21="","",EPMContextMember(,B21)))</f>
        <v/>
      </c>
      <c r="D21" s="182">
        <f>IF(_epmOfflineCondition_,"E100787",EPMOlapMemberO(C21,"[C_ENTITY].[PARENTH1].[E100787]","E100787 - 内蒙古京能苏尼特风力发电有限公司（内蒙古分公司）","","000"))</f>
        <v/>
      </c>
      <c r="E21" s="180" t="n"/>
      <c r="F21" s="384" t="n"/>
      <c r="G21" s="384" t="n"/>
      <c r="H21" s="13" t="n"/>
      <c r="I21" s="180" t="inlineStr">
        <is>
          <t>合并查询</t>
        </is>
      </c>
      <c r="J21" s="180" t="inlineStr">
        <is>
          <t>DTOTAL</t>
        </is>
      </c>
      <c r="K21" s="13" t="n"/>
      <c r="L21" s="13" t="n"/>
      <c r="M21" s="13" t="n"/>
      <c r="N21" s="13" t="n"/>
      <c r="O21" s="13" t="n"/>
      <c r="P21" s="13" t="n"/>
      <c r="Q21" s="13" t="n"/>
      <c r="R21" s="13" t="n"/>
      <c r="S21" s="1103" t="n"/>
      <c r="T21" s="13" t="n"/>
      <c r="U21" s="13" t="n"/>
      <c r="V21" s="13" t="n"/>
      <c r="W21" s="13" t="n"/>
      <c r="X21" s="171" t="n"/>
      <c r="Y21" s="384" t="n"/>
      <c r="Z21" s="384" t="n"/>
      <c r="AA21" s="13" t="n"/>
      <c r="AB21" s="13" t="n"/>
      <c r="AC21" s="13" t="n"/>
      <c r="AD21" s="220" t="n"/>
      <c r="AE21" s="13" t="n"/>
      <c r="AF21" s="13" t="n"/>
      <c r="AG21" s="13" t="n"/>
      <c r="AH21" s="13" t="n"/>
      <c r="AI21" s="13" t="n"/>
      <c r="AJ21" s="13" t="n"/>
      <c r="AK21" s="13" t="n"/>
      <c r="AL21" s="13" t="n"/>
      <c r="AM21" s="13" t="n"/>
      <c r="AN21" s="13" t="n"/>
      <c r="AO21" s="13" t="n"/>
      <c r="AP21" s="13" t="n"/>
      <c r="AQ21" s="13" t="n"/>
      <c r="AR21" s="13" t="n"/>
      <c r="AS21" s="13" t="n"/>
      <c r="AT21" s="13" t="n"/>
      <c r="AU21" s="13" t="n"/>
      <c r="AV21" s="13" t="n"/>
      <c r="AW21" s="13" t="n"/>
      <c r="AX21" s="13" t="n"/>
      <c r="AY21" s="13" t="n"/>
      <c r="AZ21" s="13" t="n"/>
      <c r="BA21" s="13" t="n"/>
      <c r="BB21" s="13" t="n"/>
      <c r="BC21" s="13" t="n"/>
      <c r="BD21" s="13" t="n"/>
      <c r="BE21" s="13" t="n"/>
      <c r="BF21" s="13" t="n"/>
      <c r="BG21" s="13" t="n"/>
      <c r="BH21" s="13" t="n"/>
      <c r="BI21" s="13" t="n"/>
      <c r="BJ21" s="13" t="n"/>
      <c r="BK21" s="13" t="n"/>
      <c r="BL21" s="13" t="n"/>
      <c r="BM21" s="13" t="n"/>
      <c r="BN21" s="13" t="n"/>
      <c r="BO21" s="13" t="n"/>
      <c r="BP21" s="13" t="n"/>
      <c r="BQ21" s="13" t="n"/>
      <c r="BR21" s="13" t="n"/>
      <c r="BS21" s="13" t="n"/>
      <c r="BT21" s="13" t="n"/>
      <c r="BU21" s="13" t="n"/>
      <c r="BV21" s="13" t="n"/>
      <c r="BW21" s="13" t="n"/>
      <c r="BX21" s="13" t="n"/>
      <c r="BY21" s="13" t="n"/>
      <c r="BZ21" s="13" t="n"/>
      <c r="CA21" s="13" t="n"/>
      <c r="CB21" s="13" t="n"/>
      <c r="CC21" s="13" t="n"/>
      <c r="CD21" s="13" t="n"/>
      <c r="CE21" s="13" t="n"/>
      <c r="CF21" s="13" t="n"/>
      <c r="CG21" s="13" t="n"/>
      <c r="CH21" s="13" t="n"/>
      <c r="CI21" s="13" t="n"/>
      <c r="CJ21" s="13" t="n"/>
      <c r="CK21" s="13" t="n"/>
      <c r="CL21" s="13" t="n"/>
      <c r="CM21" s="13" t="n"/>
      <c r="CN21" s="13" t="n"/>
      <c r="CO21" s="13" t="n"/>
    </row>
    <row r="22" hidden="1" customFormat="1" s="13">
      <c r="A22" s="175" t="inlineStr">
        <is>
          <t>R</t>
        </is>
      </c>
      <c r="B22" s="176">
        <f>IF(_epmOfflineCondition_,"C_RPTCURRENCY",EPMDimensionType(,A22))</f>
        <v/>
      </c>
      <c r="C22" s="672" t="inlineStr">
        <is>
          <t>LC</t>
        </is>
      </c>
      <c r="D22" s="182">
        <f>IF(_epmOfflineCondition_,"LC",EPMOlapMemberO(C22,"[C_RPTCURRENCY].[].[LC]","LC - 本位币","","000"))</f>
        <v/>
      </c>
      <c r="E22" s="180" t="n"/>
      <c r="F22" s="384" t="n"/>
      <c r="G22" s="384" t="n"/>
      <c r="H22" s="13" t="n"/>
      <c r="I22" s="13" t="n"/>
      <c r="J22" s="13" t="n"/>
      <c r="K22" s="13" t="n"/>
      <c r="L22" s="13" t="n"/>
      <c r="M22" s="13" t="n"/>
      <c r="N22" s="13" t="n"/>
      <c r="O22" s="13" t="n"/>
      <c r="P22" s="13" t="n"/>
      <c r="Q22" s="13" t="n"/>
      <c r="R22" s="13" t="n"/>
      <c r="S22" s="1103" t="n"/>
      <c r="T22" s="13" t="n"/>
      <c r="U22" s="13" t="n"/>
      <c r="V22" s="13" t="n"/>
      <c r="W22" s="13" t="n"/>
      <c r="X22" s="171" t="n"/>
      <c r="Y22" s="384" t="n"/>
      <c r="Z22" s="384" t="n"/>
      <c r="AA22" s="13" t="n"/>
      <c r="AB22" s="13" t="n"/>
      <c r="AC22" s="13" t="n"/>
      <c r="AD22" s="220" t="n"/>
      <c r="AE22" s="13" t="n"/>
      <c r="AF22" s="13" t="n"/>
      <c r="AG22" s="13" t="n"/>
      <c r="AH22" s="13" t="n"/>
      <c r="AI22" s="13" t="n"/>
      <c r="AJ22" s="13" t="n"/>
      <c r="AK22" s="13" t="n"/>
      <c r="AL22" s="13" t="n"/>
      <c r="AM22" s="13" t="n"/>
      <c r="AN22" s="13" t="n"/>
      <c r="AO22" s="13" t="n"/>
      <c r="AP22" s="13" t="n"/>
      <c r="AQ22" s="13" t="n"/>
      <c r="AR22" s="13" t="n"/>
      <c r="AS22" s="13" t="n"/>
      <c r="AT22" s="13" t="n"/>
      <c r="AU22" s="13" t="n"/>
      <c r="AV22" s="13" t="n"/>
      <c r="AW22" s="13" t="n"/>
      <c r="AX22" s="13" t="n"/>
      <c r="AY22" s="13" t="n"/>
      <c r="AZ22" s="13" t="n"/>
      <c r="BA22" s="13" t="n"/>
      <c r="BB22" s="13" t="n"/>
      <c r="BC22" s="13" t="n"/>
      <c r="BD22" s="13" t="n"/>
      <c r="BE22" s="13" t="n"/>
      <c r="BF22" s="13" t="n"/>
      <c r="BG22" s="13" t="n"/>
      <c r="BH22" s="13" t="n"/>
      <c r="BI22" s="13" t="n"/>
      <c r="BJ22" s="13" t="n"/>
      <c r="BK22" s="13" t="n"/>
      <c r="BL22" s="13" t="n"/>
      <c r="BM22" s="13" t="n"/>
      <c r="BN22" s="13" t="n"/>
      <c r="BO22" s="13" t="n"/>
      <c r="BP22" s="13" t="n"/>
      <c r="BQ22" s="13" t="n"/>
      <c r="BR22" s="13" t="n"/>
      <c r="BS22" s="13" t="n"/>
      <c r="BT22" s="13" t="n"/>
      <c r="BU22" s="13" t="n"/>
      <c r="BV22" s="13" t="n"/>
      <c r="BW22" s="13" t="n"/>
      <c r="BX22" s="13" t="n"/>
      <c r="BY22" s="13" t="n"/>
      <c r="BZ22" s="13" t="n"/>
      <c r="CA22" s="13" t="n"/>
      <c r="CB22" s="13" t="n"/>
      <c r="CC22" s="13" t="n"/>
      <c r="CD22" s="13" t="n"/>
      <c r="CE22" s="13" t="n"/>
      <c r="CF22" s="13" t="n"/>
      <c r="CG22" s="13" t="n"/>
      <c r="CH22" s="13" t="n"/>
      <c r="CI22" s="13" t="n"/>
      <c r="CJ22" s="13" t="n"/>
      <c r="CK22" s="13" t="n"/>
      <c r="CL22" s="13" t="n"/>
      <c r="CM22" s="13" t="n"/>
      <c r="CN22" s="13" t="n"/>
      <c r="CO22" s="13" t="n"/>
    </row>
    <row r="23" hidden="1" customFormat="1" s="13">
      <c r="A23" s="175" t="inlineStr">
        <is>
          <t>D</t>
        </is>
      </c>
      <c r="B23" s="176">
        <f>IF(_epmOfflineCondition_,"C_AUDITTRAIL",EPMDimensionType(,A23))</f>
        <v/>
      </c>
      <c r="C23" s="672">
        <f>J18</f>
        <v/>
      </c>
      <c r="D23" s="182">
        <f>IF(_epmOfflineCondition_,"D1110",EPMOlapMemberO(C23,"[C_AUDITTRAIL].[PARENTH1].[D1110]","D1110 - 平台表单手工输入","","000"))</f>
        <v/>
      </c>
      <c r="E23" s="180" t="n"/>
      <c r="F23" s="384" t="n"/>
      <c r="G23" s="384" t="n"/>
      <c r="H23" s="13" t="n"/>
      <c r="I23" s="13" t="n"/>
      <c r="J23" s="13" t="n"/>
      <c r="K23" s="13" t="n"/>
      <c r="L23" s="13" t="n"/>
      <c r="M23" s="13" t="n"/>
      <c r="N23" s="13" t="n"/>
      <c r="O23" s="13" t="n"/>
      <c r="P23" s="13" t="n"/>
      <c r="Q23" s="13" t="n"/>
      <c r="R23" s="13" t="n"/>
      <c r="S23" s="1103" t="n"/>
      <c r="T23" s="13" t="n"/>
      <c r="U23" s="35" t="n"/>
      <c r="V23" s="35" t="n"/>
      <c r="W23" s="13" t="n"/>
      <c r="X23" s="171" t="n"/>
      <c r="Y23" s="384" t="n"/>
      <c r="Z23" s="384" t="n"/>
      <c r="AA23" s="13" t="n"/>
      <c r="AB23" s="13" t="n"/>
      <c r="AC23" s="13" t="n"/>
      <c r="AD23" s="220" t="n"/>
      <c r="AE23" s="13" t="n"/>
      <c r="AF23" s="13" t="n"/>
      <c r="AG23" s="13" t="n"/>
      <c r="AH23" s="13" t="n"/>
      <c r="AI23" s="13" t="n"/>
      <c r="AJ23" s="13" t="n"/>
      <c r="AK23" s="13" t="n"/>
      <c r="AL23" s="13" t="n"/>
      <c r="AM23" s="13" t="n"/>
      <c r="AN23" s="13" t="n"/>
      <c r="AO23" s="13" t="n"/>
      <c r="AP23" s="13" t="n"/>
      <c r="AQ23" s="13" t="n"/>
      <c r="AR23" s="13" t="n"/>
      <c r="AS23" s="13" t="n"/>
      <c r="AT23" s="13" t="n"/>
      <c r="AU23" s="13" t="n"/>
      <c r="AV23" s="13" t="n"/>
      <c r="AW23" s="13" t="n"/>
      <c r="AX23" s="13" t="n"/>
      <c r="AY23" s="13" t="n"/>
      <c r="AZ23" s="13" t="n"/>
      <c r="BA23" s="13" t="n"/>
      <c r="BB23" s="13" t="n"/>
      <c r="BC23" s="13" t="n"/>
      <c r="BD23" s="13" t="n"/>
      <c r="BE23" s="13" t="n"/>
      <c r="BF23" s="13" t="n"/>
      <c r="BG23" s="13" t="n"/>
      <c r="BH23" s="13" t="n"/>
      <c r="BI23" s="13" t="n"/>
      <c r="BJ23" s="13" t="n"/>
      <c r="BK23" s="13" t="n"/>
      <c r="BL23" s="13" t="n"/>
      <c r="BM23" s="13" t="n"/>
      <c r="BN23" s="13" t="n"/>
      <c r="BO23" s="13" t="n"/>
      <c r="BP23" s="13" t="n"/>
      <c r="BQ23" s="13" t="n"/>
      <c r="BR23" s="13" t="n"/>
      <c r="BS23" s="13" t="n"/>
      <c r="BT23" s="13" t="n"/>
      <c r="BU23" s="13" t="n"/>
      <c r="BV23" s="13" t="n"/>
      <c r="BW23" s="13" t="n"/>
      <c r="BX23" s="13" t="n"/>
      <c r="BY23" s="13" t="n"/>
      <c r="BZ23" s="13" t="n"/>
      <c r="CA23" s="13" t="n"/>
      <c r="CB23" s="13" t="n"/>
      <c r="CC23" s="13" t="n"/>
      <c r="CD23" s="13" t="n"/>
      <c r="CE23" s="13" t="n"/>
      <c r="CF23" s="13" t="n"/>
      <c r="CG23" s="13" t="n"/>
      <c r="CH23" s="13" t="n"/>
      <c r="CI23" s="13" t="n"/>
      <c r="CJ23" s="13" t="n"/>
      <c r="CK23" s="13" t="n"/>
      <c r="CL23" s="13" t="n"/>
      <c r="CM23" s="13" t="n"/>
      <c r="CN23" s="13" t="n"/>
      <c r="CO23" s="13" t="n"/>
    </row>
    <row r="24" hidden="1" customFormat="1" s="13">
      <c r="A24" s="175" t="inlineStr">
        <is>
          <t>S</t>
        </is>
      </c>
      <c r="B24" s="176">
        <f>IF(_epmOfflineCondition_,"C_FLOW",EPMDimensionType(,A24))</f>
        <v/>
      </c>
      <c r="C24" s="672">
        <f>IF(_epmOfflineCondition_,"FTOTAL",IF(B24="","",EPMContextMember(,B24)))</f>
        <v/>
      </c>
      <c r="D24" s="180" t="n"/>
      <c r="E24" s="180" t="n"/>
      <c r="F24" s="384" t="n"/>
      <c r="G24" s="384" t="n"/>
      <c r="H24" s="13" t="n"/>
      <c r="I24" s="13" t="n"/>
      <c r="J24" s="13" t="n"/>
      <c r="K24" s="13" t="n"/>
      <c r="L24" s="13" t="n"/>
      <c r="M24" s="13" t="n"/>
      <c r="N24" s="13" t="n"/>
      <c r="O24" s="13" t="n"/>
      <c r="P24" s="13" t="n"/>
      <c r="Q24" s="13" t="n"/>
      <c r="R24" s="13" t="n"/>
      <c r="S24" s="1103" t="n"/>
      <c r="T24" s="13" t="n"/>
      <c r="U24" s="35" t="n"/>
      <c r="V24" s="35" t="n"/>
      <c r="W24" s="13" t="n"/>
      <c r="X24" s="171" t="n"/>
      <c r="Y24" s="384" t="n"/>
      <c r="Z24" s="384" t="n"/>
      <c r="AA24" s="13" t="n"/>
      <c r="AB24" s="13" t="n"/>
      <c r="AC24" s="13" t="n"/>
      <c r="AD24" s="220" t="n"/>
      <c r="AE24" s="13" t="n"/>
      <c r="AF24" s="13" t="n"/>
      <c r="AG24" s="13" t="n"/>
      <c r="AH24" s="13" t="n"/>
      <c r="AI24" s="13" t="n"/>
      <c r="AJ24" s="13" t="n"/>
      <c r="AK24" s="13" t="n"/>
      <c r="AL24" s="13" t="n"/>
      <c r="AM24" s="13" t="n"/>
      <c r="AN24" s="13" t="n"/>
      <c r="AO24" s="13" t="n"/>
      <c r="AP24" s="13" t="n"/>
      <c r="AQ24" s="13" t="n"/>
      <c r="AR24" s="13" t="n"/>
      <c r="AS24" s="13" t="n"/>
      <c r="AT24" s="13" t="n"/>
      <c r="AU24" s="13" t="n"/>
      <c r="AV24" s="13" t="n"/>
      <c r="AW24" s="13" t="n"/>
      <c r="AX24" s="13" t="n"/>
      <c r="AY24" s="13" t="n"/>
      <c r="AZ24" s="13" t="n"/>
      <c r="BA24" s="13" t="n"/>
      <c r="BB24" s="13" t="n"/>
      <c r="BC24" s="13" t="n"/>
      <c r="BD24" s="13" t="n"/>
      <c r="BE24" s="13" t="n"/>
      <c r="BF24" s="13" t="n"/>
      <c r="BG24" s="13" t="n"/>
      <c r="BH24" s="13" t="n"/>
      <c r="BI24" s="13" t="n"/>
      <c r="BJ24" s="13" t="n"/>
      <c r="BK24" s="13" t="n"/>
      <c r="BL24" s="13" t="n"/>
      <c r="BM24" s="13" t="n"/>
      <c r="BN24" s="13" t="n"/>
      <c r="BO24" s="13" t="n"/>
      <c r="BP24" s="13" t="n"/>
      <c r="BQ24" s="13" t="n"/>
      <c r="BR24" s="13" t="n"/>
      <c r="BS24" s="13" t="n"/>
      <c r="BT24" s="13" t="n"/>
      <c r="BU24" s="13" t="n"/>
      <c r="BV24" s="13" t="n"/>
      <c r="BW24" s="13" t="n"/>
      <c r="BX24" s="13" t="n"/>
      <c r="BY24" s="13" t="n"/>
      <c r="BZ24" s="13" t="n"/>
      <c r="CA24" s="13" t="n"/>
      <c r="CB24" s="13" t="n"/>
      <c r="CC24" s="13" t="n"/>
      <c r="CD24" s="13" t="n"/>
      <c r="CE24" s="13" t="n"/>
      <c r="CF24" s="13" t="n"/>
      <c r="CG24" s="13" t="n"/>
      <c r="CH24" s="13" t="n"/>
      <c r="CI24" s="13" t="n"/>
      <c r="CJ24" s="13" t="n"/>
      <c r="CK24" s="13" t="n"/>
      <c r="CL24" s="13" t="n"/>
      <c r="CM24" s="13" t="n"/>
      <c r="CN24" s="13" t="n"/>
      <c r="CO24" s="13" t="n"/>
    </row>
    <row r="25" hidden="1" customFormat="1" s="13">
      <c r="A25" s="175" t="inlineStr">
        <is>
          <t>I</t>
        </is>
      </c>
      <c r="B25" s="176">
        <f>IF(_epmOfflineCondition_,"C_INTERCO",EPMDimensionType(,A25))</f>
        <v/>
      </c>
      <c r="C25" s="672" t="inlineStr">
        <is>
          <t>I_DUMMY</t>
        </is>
      </c>
      <c r="D25" s="182">
        <f>IF(_epmOfflineCondition_,"I_DUMMY",EPMOlapMemberO(C25,"[C_INTERCO].[PARENTH1].[I_DUMMY]","I_DUMMY - 贸易伙伴无关","","000"))</f>
        <v/>
      </c>
      <c r="E25" s="180" t="n"/>
      <c r="F25" s="384" t="n"/>
      <c r="G25" s="384" t="n"/>
      <c r="H25" s="13" t="n"/>
      <c r="I25" s="13" t="n"/>
      <c r="J25" s="13" t="n"/>
      <c r="K25" s="13" t="n"/>
      <c r="L25" s="13" t="n"/>
      <c r="M25" s="13" t="n"/>
      <c r="N25" s="13" t="n"/>
      <c r="O25" s="13" t="n"/>
      <c r="P25" s="13" t="n"/>
      <c r="Q25" s="13" t="n"/>
      <c r="R25" s="13" t="n"/>
      <c r="S25" s="1103" t="n"/>
      <c r="T25" s="13" t="n"/>
      <c r="U25" s="35" t="n"/>
      <c r="V25" s="35" t="n"/>
      <c r="W25" s="13" t="n"/>
      <c r="X25" s="171" t="n"/>
      <c r="Y25" s="178" t="inlineStr">
        <is>
          <t>C1001</t>
        </is>
      </c>
      <c r="Z25" s="178" t="inlineStr">
        <is>
          <t>C1001</t>
        </is>
      </c>
      <c r="AA25" s="178" t="inlineStr">
        <is>
          <t>C1001</t>
        </is>
      </c>
      <c r="AB25" s="178" t="inlineStr">
        <is>
          <t>C1001</t>
        </is>
      </c>
      <c r="AC25" s="178" t="inlineStr">
        <is>
          <t>C1001</t>
        </is>
      </c>
      <c r="AD25" s="178" t="inlineStr">
        <is>
          <t>C1001</t>
        </is>
      </c>
      <c r="AE25" s="178" t="inlineStr">
        <is>
          <t>C1001</t>
        </is>
      </c>
      <c r="AF25" s="178" t="inlineStr">
        <is>
          <t>C1001</t>
        </is>
      </c>
      <c r="AG25" s="178" t="inlineStr">
        <is>
          <t>C1001</t>
        </is>
      </c>
      <c r="AH25" s="178" t="inlineStr">
        <is>
          <t>C1001</t>
        </is>
      </c>
      <c r="AI25" s="178" t="inlineStr">
        <is>
          <t>C1001</t>
        </is>
      </c>
      <c r="AJ25" s="178" t="inlineStr">
        <is>
          <t>C1001</t>
        </is>
      </c>
      <c r="AK25" s="178" t="inlineStr">
        <is>
          <t>C1001</t>
        </is>
      </c>
      <c r="AL25" s="178" t="inlineStr">
        <is>
          <t>C1001</t>
        </is>
      </c>
      <c r="AM25" s="178" t="inlineStr">
        <is>
          <t>C1001</t>
        </is>
      </c>
      <c r="AN25" s="178" t="inlineStr">
        <is>
          <t>C1001</t>
        </is>
      </c>
      <c r="AO25" s="178" t="n"/>
      <c r="AP25" s="178" t="n"/>
      <c r="AQ25" s="178" t="n"/>
      <c r="AR25" s="178" t="n"/>
      <c r="AS25" s="178" t="n"/>
      <c r="AT25" s="178" t="n"/>
      <c r="AU25" s="178" t="n"/>
      <c r="AV25" s="178" t="n"/>
      <c r="AW25" s="178" t="n"/>
      <c r="AX25" s="178" t="n"/>
      <c r="AY25" s="178" t="n"/>
      <c r="AZ25" s="178" t="n"/>
      <c r="BA25" s="178" t="n"/>
      <c r="BB25" s="178" t="n"/>
      <c r="BC25" s="178" t="n"/>
      <c r="BD25" s="178" t="n"/>
      <c r="BE25" s="178" t="n"/>
      <c r="BF25" s="178" t="n"/>
      <c r="BG25" s="178" t="n"/>
      <c r="BH25" s="178" t="n"/>
      <c r="BI25" s="178" t="n"/>
      <c r="BJ25" s="178" t="n"/>
      <c r="BK25" s="178" t="n"/>
      <c r="BL25" s="178" t="n"/>
      <c r="BM25" s="13" t="n"/>
      <c r="BN25" s="13" t="n"/>
      <c r="BO25" s="13" t="n"/>
      <c r="BP25" s="13" t="n"/>
      <c r="BQ25" s="13" t="n"/>
      <c r="BR25" s="13" t="n"/>
      <c r="BS25" s="13" t="n"/>
      <c r="BT25" s="13" t="n"/>
      <c r="BU25" s="13" t="n"/>
      <c r="BV25" s="13" t="n"/>
      <c r="BW25" s="13" t="n"/>
      <c r="BX25" s="13" t="n"/>
      <c r="BY25" s="13" t="n"/>
      <c r="BZ25" s="13" t="n"/>
      <c r="CA25" s="13" t="n"/>
      <c r="CB25" s="13" t="n"/>
      <c r="CC25" s="13" t="n"/>
      <c r="CD25" s="13" t="n"/>
      <c r="CE25" s="13" t="n"/>
      <c r="CF25" s="13" t="n"/>
      <c r="CG25" s="13" t="n"/>
      <c r="CH25" s="13" t="n"/>
      <c r="CI25" s="13" t="n"/>
      <c r="CJ25" s="13" t="n"/>
      <c r="CK25" s="13" t="n"/>
      <c r="CL25" s="13" t="n"/>
      <c r="CM25" s="13" t="n"/>
      <c r="CN25" s="13" t="n"/>
      <c r="CO25" s="13" t="n"/>
    </row>
    <row r="26" hidden="1" customFormat="1" s="13">
      <c r="A26" s="175" t="inlineStr">
        <is>
          <t>G</t>
        </is>
      </c>
      <c r="B26" s="176">
        <f>IF(_epmOfflineCondition_,"C_SCOPE",EPMDimensionType(,A26))</f>
        <v/>
      </c>
      <c r="C26" s="182">
        <f>E11</f>
        <v/>
      </c>
      <c r="D26" s="182">
        <f>IF(_epmOfflineCondition_,"G_DUMMY",EPMOlapMemberO(C26,"[C_SCOPE].[PARENTH1].[G_DUMMY]","G_DUMMY - 合并范围无关","","000"))</f>
        <v/>
      </c>
      <c r="E26" s="180" t="n"/>
      <c r="F26" s="384" t="n"/>
      <c r="G26" s="384" t="n"/>
      <c r="H26" s="13" t="n"/>
      <c r="I26" s="13" t="n"/>
      <c r="J26" s="13" t="n"/>
      <c r="K26" s="13" t="n"/>
      <c r="L26" s="13" t="n"/>
      <c r="M26" s="13" t="n"/>
      <c r="N26" s="13" t="n"/>
      <c r="O26" s="13" t="n"/>
      <c r="P26" s="13" t="n"/>
      <c r="Q26" s="13" t="n"/>
      <c r="R26" s="13" t="n"/>
      <c r="S26" s="1103" t="n"/>
      <c r="T26" s="13" t="n"/>
      <c r="U26" s="35" t="n"/>
      <c r="V26" s="35" t="n"/>
      <c r="W26" s="13" t="n"/>
      <c r="X26" s="171" t="n"/>
      <c r="Y26" s="178">
        <f>$I$11</f>
        <v/>
      </c>
      <c r="Z26" s="178">
        <f>$I$11</f>
        <v/>
      </c>
      <c r="AA26" s="178">
        <f>$I$11</f>
        <v/>
      </c>
      <c r="AB26" s="178">
        <f>$I$11</f>
        <v/>
      </c>
      <c r="AC26" s="178">
        <f>$I$11</f>
        <v/>
      </c>
      <c r="AD26" s="178">
        <f>$I$11</f>
        <v/>
      </c>
      <c r="AE26" s="178">
        <f>$I$11</f>
        <v/>
      </c>
      <c r="AF26" s="178">
        <f>$I$11</f>
        <v/>
      </c>
      <c r="AG26" s="178">
        <f>$I$11</f>
        <v/>
      </c>
      <c r="AH26" s="178">
        <f>$I$11</f>
        <v/>
      </c>
      <c r="AI26" s="178">
        <f>$I$11</f>
        <v/>
      </c>
      <c r="AJ26" s="178">
        <f>$I$11</f>
        <v/>
      </c>
      <c r="AK26" s="178">
        <f>$I$11</f>
        <v/>
      </c>
      <c r="AL26" s="178">
        <f>$I$11</f>
        <v/>
      </c>
      <c r="AM26" s="178">
        <f>$I$11</f>
        <v/>
      </c>
      <c r="AN26" s="178">
        <f>$I$11</f>
        <v/>
      </c>
      <c r="AO26" s="200" t="n"/>
      <c r="AP26" s="200" t="n"/>
      <c r="AQ26" s="200" t="n"/>
      <c r="AR26" s="200" t="n"/>
      <c r="AS26" s="200" t="n"/>
      <c r="AT26" s="200" t="n"/>
      <c r="AU26" s="200" t="n"/>
      <c r="AV26" s="200" t="n"/>
      <c r="AW26" s="200" t="n"/>
      <c r="AX26" s="200" t="n"/>
      <c r="AY26" s="200" t="n"/>
      <c r="AZ26" s="200" t="n"/>
      <c r="BA26" s="200" t="n"/>
      <c r="BB26" s="200" t="n"/>
      <c r="BC26" s="200" t="n"/>
      <c r="BD26" s="200" t="n"/>
      <c r="BE26" s="200" t="n"/>
      <c r="BF26" s="200" t="n"/>
      <c r="BG26" s="200" t="n"/>
      <c r="BH26" s="200" t="n"/>
      <c r="BI26" s="200" t="n"/>
      <c r="BJ26" s="200" t="n"/>
      <c r="BK26" s="200" t="n"/>
      <c r="BL26" s="200" t="n"/>
      <c r="BM26" s="13" t="n"/>
      <c r="BN26" s="13" t="n"/>
      <c r="BO26" s="13" t="n"/>
      <c r="BP26" s="13" t="n"/>
      <c r="BQ26" s="13" t="n"/>
      <c r="BR26" s="13" t="n"/>
      <c r="BS26" s="13" t="n"/>
      <c r="BT26" s="13" t="n"/>
      <c r="BU26" s="13" t="n"/>
      <c r="BV26" s="13" t="n"/>
      <c r="BW26" s="13" t="n"/>
      <c r="BX26" s="13" t="n"/>
      <c r="BY26" s="13" t="n"/>
      <c r="BZ26" s="13" t="n"/>
      <c r="CA26" s="13" t="n"/>
      <c r="CB26" s="13" t="n"/>
      <c r="CC26" s="13" t="n"/>
      <c r="CD26" s="13" t="n"/>
      <c r="CE26" s="13" t="n"/>
      <c r="CF26" s="13" t="n"/>
      <c r="CG26" s="13" t="n"/>
      <c r="CH26" s="13" t="n"/>
      <c r="CI26" s="13" t="n"/>
      <c r="CJ26" s="13" t="n"/>
      <c r="CK26" s="13" t="n"/>
      <c r="CL26" s="13" t="n"/>
      <c r="CM26" s="13" t="n"/>
      <c r="CN26" s="13" t="n"/>
      <c r="CO26" s="13" t="n"/>
    </row>
    <row r="27" hidden="1" customFormat="1" s="13">
      <c r="A27" s="175" t="inlineStr">
        <is>
          <t>U8</t>
        </is>
      </c>
      <c r="B27" s="176">
        <f>IF(_epmOfflineCondition_,"C_PROJECT",EPMDimensionType(,A27))</f>
        <v/>
      </c>
      <c r="C27" s="180" t="inlineStr">
        <is>
          <t>ZP_DUMMY</t>
        </is>
      </c>
      <c r="D27" s="182">
        <f>IF(_epmOfflineCondition_,"ZP_DUMMY",EPMOlapMemberO(C27,"[C_PROJECT].[PARENTH1].[ZP_DUMMY]","ZP_DUMMY - 项目无关","","000"))</f>
        <v/>
      </c>
      <c r="E27" s="180" t="n"/>
      <c r="F27" s="384" t="n"/>
      <c r="G27" s="384" t="n"/>
      <c r="H27" s="13" t="n"/>
      <c r="I27" s="13" t="n"/>
      <c r="J27" s="13" t="n"/>
      <c r="K27" s="13" t="n"/>
      <c r="L27" s="13" t="n"/>
      <c r="M27" s="13" t="n"/>
      <c r="N27" s="13" t="n"/>
      <c r="O27" s="13" t="n"/>
      <c r="P27" s="13" t="n"/>
      <c r="Q27" s="13" t="n"/>
      <c r="R27" s="13" t="n"/>
      <c r="S27" s="1103" t="n"/>
      <c r="T27" s="13" t="n"/>
      <c r="U27" s="35" t="n"/>
      <c r="V27" s="35" t="n"/>
      <c r="W27" s="13" t="n"/>
      <c r="X27" s="13" t="n"/>
      <c r="Y27" s="200" t="inlineStr">
        <is>
          <t>YTD</t>
        </is>
      </c>
      <c r="Z27" s="200" t="inlineStr">
        <is>
          <t>YTD</t>
        </is>
      </c>
      <c r="AA27" s="200" t="inlineStr">
        <is>
          <t>YTD</t>
        </is>
      </c>
      <c r="AB27" s="200" t="inlineStr">
        <is>
          <t>YTD</t>
        </is>
      </c>
      <c r="AC27" s="200" t="inlineStr">
        <is>
          <t>YTD</t>
        </is>
      </c>
      <c r="AD27" s="200" t="inlineStr">
        <is>
          <t>YTD</t>
        </is>
      </c>
      <c r="AE27" s="200" t="inlineStr">
        <is>
          <t>YTD</t>
        </is>
      </c>
      <c r="AF27" s="200" t="inlineStr">
        <is>
          <t>YTD</t>
        </is>
      </c>
      <c r="AG27" s="200" t="inlineStr">
        <is>
          <t>Periodic</t>
        </is>
      </c>
      <c r="AH27" s="200" t="inlineStr">
        <is>
          <t>Periodic</t>
        </is>
      </c>
      <c r="AI27" s="200" t="inlineStr">
        <is>
          <t>Periodic</t>
        </is>
      </c>
      <c r="AJ27" s="200" t="inlineStr">
        <is>
          <t>Periodic</t>
        </is>
      </c>
      <c r="AK27" s="200" t="inlineStr">
        <is>
          <t>Periodic</t>
        </is>
      </c>
      <c r="AL27" s="200" t="inlineStr">
        <is>
          <t>Periodic</t>
        </is>
      </c>
      <c r="AM27" s="200" t="inlineStr">
        <is>
          <t>Periodic</t>
        </is>
      </c>
      <c r="AN27" s="200" t="inlineStr">
        <is>
          <t>Periodic</t>
        </is>
      </c>
      <c r="AO27" s="200" t="n"/>
      <c r="AP27" s="200" t="n"/>
      <c r="AQ27" s="200" t="n"/>
      <c r="AR27" s="200" t="n"/>
      <c r="AS27" s="200" t="n"/>
      <c r="AT27" s="200" t="n"/>
      <c r="AU27" s="200" t="n"/>
      <c r="AV27" s="200" t="n"/>
      <c r="AW27" s="200" t="n"/>
      <c r="AX27" s="200" t="n"/>
      <c r="AY27" s="200" t="n"/>
      <c r="AZ27" s="200" t="n"/>
      <c r="BA27" s="200" t="n"/>
      <c r="BB27" s="200" t="n"/>
      <c r="BC27" s="200" t="n"/>
      <c r="BD27" s="200" t="n"/>
      <c r="BE27" s="200" t="n"/>
      <c r="BF27" s="200" t="n"/>
      <c r="BG27" s="200" t="n"/>
      <c r="BH27" s="200" t="n"/>
      <c r="BI27" s="200" t="n"/>
      <c r="BJ27" s="200" t="n"/>
      <c r="BK27" s="200" t="n"/>
      <c r="BL27" s="200" t="n"/>
      <c r="BM27" s="13" t="n"/>
      <c r="BN27" s="13" t="n"/>
      <c r="BO27" s="13" t="n"/>
      <c r="BP27" s="13" t="n"/>
      <c r="BQ27" s="13" t="n"/>
      <c r="BR27" s="13" t="n"/>
      <c r="BS27" s="13" t="n"/>
      <c r="BT27" s="13" t="n"/>
      <c r="BU27" s="13" t="n"/>
      <c r="BV27" s="13" t="n"/>
      <c r="BW27" s="13" t="n"/>
      <c r="BX27" s="13" t="n"/>
      <c r="BY27" s="13" t="n"/>
      <c r="BZ27" s="13" t="n"/>
      <c r="CA27" s="13" t="n"/>
      <c r="CB27" s="13" t="n"/>
      <c r="CC27" s="13" t="n"/>
      <c r="CD27" s="13" t="n"/>
      <c r="CE27" s="13" t="n"/>
      <c r="CF27" s="13" t="n"/>
      <c r="CG27" s="13" t="n"/>
      <c r="CH27" s="13" t="n"/>
      <c r="CI27" s="13" t="n"/>
      <c r="CJ27" s="13" t="n"/>
      <c r="CK27" s="13" t="n"/>
      <c r="CL27" s="13" t="n"/>
      <c r="CM27" s="13" t="n"/>
      <c r="CN27" s="13" t="n"/>
      <c r="CO27" s="13" t="n"/>
    </row>
    <row r="28" hidden="1" customFormat="1" s="13">
      <c r="A28" s="175" t="inlineStr">
        <is>
          <t>U9</t>
        </is>
      </c>
      <c r="B28" s="176">
        <f>IF(_epmOfflineCondition_,"C_ITEM",EPMDimensionType(,A28))</f>
        <v/>
      </c>
      <c r="C28" s="180" t="inlineStr">
        <is>
          <t>ZI_DUMMY</t>
        </is>
      </c>
      <c r="D28" s="182">
        <f>IF(_epmOfflineCondition_,"ZI_DUMMY",EPMOlapMemberO(C28,"[C_ITEM].[PARENTH1].[ZI_DUMMY]","ZI_DUMMY - 与子项无关","","000"))</f>
        <v/>
      </c>
      <c r="E28" s="180" t="n"/>
      <c r="F28" s="384" t="n"/>
      <c r="G28" s="384" t="n"/>
      <c r="H28" s="13" t="n"/>
      <c r="I28" s="13" t="n"/>
      <c r="J28" s="13" t="n"/>
      <c r="K28" s="13" t="n"/>
      <c r="L28" s="13" t="n"/>
      <c r="M28" s="13" t="n"/>
      <c r="N28" s="13" t="n"/>
      <c r="O28" s="13" t="n"/>
      <c r="P28" s="13" t="n"/>
      <c r="Q28" s="13" t="n"/>
      <c r="R28" s="13" t="n"/>
      <c r="S28" s="13" t="n"/>
      <c r="T28" s="13" t="n"/>
      <c r="U28" s="35" t="n"/>
      <c r="V28" s="35" t="n"/>
      <c r="W28" s="13" t="n"/>
      <c r="X28" s="171" t="n"/>
      <c r="Y28" s="200" t="inlineStr">
        <is>
          <t>F20</t>
        </is>
      </c>
      <c r="Z28" s="200" t="inlineStr">
        <is>
          <t>F20</t>
        </is>
      </c>
      <c r="AA28" s="200" t="inlineStr">
        <is>
          <t>F20</t>
        </is>
      </c>
      <c r="AB28" s="200" t="inlineStr">
        <is>
          <t>F20</t>
        </is>
      </c>
      <c r="AC28" s="200" t="inlineStr">
        <is>
          <t>F20</t>
        </is>
      </c>
      <c r="AD28" s="200" t="inlineStr">
        <is>
          <t>F20</t>
        </is>
      </c>
      <c r="AE28" s="200" t="inlineStr">
        <is>
          <t>F20</t>
        </is>
      </c>
      <c r="AF28" s="200" t="inlineStr">
        <is>
          <t>F20</t>
        </is>
      </c>
      <c r="AG28" s="200" t="inlineStr">
        <is>
          <t>F20</t>
        </is>
      </c>
      <c r="AH28" s="200" t="inlineStr">
        <is>
          <t>F20</t>
        </is>
      </c>
      <c r="AI28" s="200" t="inlineStr">
        <is>
          <t>F20</t>
        </is>
      </c>
      <c r="AJ28" s="200" t="inlineStr">
        <is>
          <t>F20</t>
        </is>
      </c>
      <c r="AK28" s="200" t="inlineStr">
        <is>
          <t>F20</t>
        </is>
      </c>
      <c r="AL28" s="200" t="inlineStr">
        <is>
          <t>F20</t>
        </is>
      </c>
      <c r="AM28" s="200" t="inlineStr">
        <is>
          <t>F20</t>
        </is>
      </c>
      <c r="AN28" s="200" t="inlineStr">
        <is>
          <t>F20</t>
        </is>
      </c>
      <c r="AO28" s="200" t="n"/>
      <c r="AP28" s="200" t="n"/>
      <c r="AQ28" s="200" t="n"/>
      <c r="AR28" s="200" t="n"/>
      <c r="AS28" s="200" t="n"/>
      <c r="AT28" s="200" t="n"/>
      <c r="AU28" s="200" t="n"/>
      <c r="AV28" s="200" t="n"/>
      <c r="AW28" s="200" t="n"/>
      <c r="AX28" s="200" t="n"/>
      <c r="AY28" s="200" t="n"/>
      <c r="AZ28" s="200" t="n"/>
      <c r="BA28" s="200" t="n"/>
      <c r="BB28" s="200" t="n"/>
      <c r="BC28" s="200" t="n"/>
      <c r="BD28" s="200" t="n"/>
      <c r="BE28" s="200" t="n"/>
      <c r="BF28" s="200" t="n"/>
      <c r="BG28" s="200" t="n"/>
      <c r="BH28" s="200" t="n"/>
      <c r="BI28" s="200" t="n"/>
      <c r="BJ28" s="200" t="n"/>
      <c r="BK28" s="200" t="n"/>
      <c r="BL28" s="200" t="n"/>
      <c r="BM28" s="13" t="n"/>
      <c r="BN28" s="13" t="n"/>
      <c r="BO28" s="13" t="n"/>
      <c r="BP28" s="13" t="n"/>
      <c r="BQ28" s="13" t="n"/>
      <c r="BR28" s="13" t="n"/>
      <c r="BS28" s="13" t="n"/>
      <c r="BT28" s="13" t="n"/>
      <c r="BU28" s="13" t="n"/>
      <c r="BV28" s="13" t="n"/>
      <c r="BW28" s="13" t="n"/>
      <c r="BX28" s="13" t="n"/>
      <c r="BY28" s="13" t="n"/>
      <c r="BZ28" s="13" t="n"/>
      <c r="CA28" s="13" t="n"/>
      <c r="CB28" s="13" t="n"/>
      <c r="CC28" s="13" t="n"/>
      <c r="CD28" s="13" t="n"/>
      <c r="CE28" s="13" t="n"/>
      <c r="CF28" s="13" t="n"/>
      <c r="CG28" s="13" t="n"/>
      <c r="CH28" s="13" t="n"/>
      <c r="CI28" s="13" t="n"/>
      <c r="CJ28" s="13" t="n"/>
      <c r="CK28" s="13" t="n"/>
      <c r="CL28" s="13" t="n"/>
      <c r="CM28" s="13" t="n"/>
      <c r="CN28" s="13" t="n"/>
      <c r="CO28" s="13" t="n"/>
    </row>
    <row r="29" hidden="1" customFormat="1" s="13">
      <c r="A29" s="175" t="inlineStr">
        <is>
          <t>U10</t>
        </is>
      </c>
      <c r="B29" s="176">
        <f>IF(_epmOfflineCondition_,"C_MISK",EPMDimensionType(,A29))</f>
        <v/>
      </c>
      <c r="C29" s="672" t="inlineStr">
        <is>
          <t>ZM_DUMMY</t>
        </is>
      </c>
      <c r="D29" s="182" t="n"/>
      <c r="E29" s="180" t="n"/>
      <c r="F29" s="384" t="n"/>
      <c r="G29" s="384" t="n"/>
      <c r="H29" s="13" t="n"/>
      <c r="I29" s="13" t="n"/>
      <c r="J29" s="13" t="n"/>
      <c r="K29" s="13" t="n"/>
      <c r="L29" s="13" t="n"/>
      <c r="M29" s="13" t="n"/>
      <c r="N29" s="13" t="n"/>
      <c r="O29" s="13" t="n"/>
      <c r="P29" s="13" t="n"/>
      <c r="Q29" s="13" t="n"/>
      <c r="R29" s="13" t="n"/>
      <c r="S29" s="1103" t="n"/>
      <c r="T29" s="13" t="n"/>
      <c r="U29" s="35" t="n"/>
      <c r="V29" s="35" t="n"/>
      <c r="W29" s="13" t="n"/>
      <c r="X29" s="171" t="n"/>
      <c r="Y29" s="178" t="inlineStr">
        <is>
          <t>ZM030</t>
        </is>
      </c>
      <c r="Z29" s="178" t="inlineStr">
        <is>
          <t>ZM0300101</t>
        </is>
      </c>
      <c r="AA29" s="178" t="inlineStr">
        <is>
          <t>ZM0300102</t>
        </is>
      </c>
      <c r="AB29" s="178" t="inlineStr">
        <is>
          <t>ZM0300103</t>
        </is>
      </c>
      <c r="AC29" s="178" t="inlineStr">
        <is>
          <t>ZM0300104</t>
        </is>
      </c>
      <c r="AD29" s="178" t="inlineStr">
        <is>
          <t>ZM0300105</t>
        </is>
      </c>
      <c r="AE29" s="178" t="inlineStr">
        <is>
          <t>ZM0300201</t>
        </is>
      </c>
      <c r="AF29" s="178" t="inlineStr">
        <is>
          <t>ZM0300202</t>
        </is>
      </c>
      <c r="AG29" s="178" t="inlineStr">
        <is>
          <t>ZM030</t>
        </is>
      </c>
      <c r="AH29" s="178" t="inlineStr">
        <is>
          <t>ZM0300101</t>
        </is>
      </c>
      <c r="AI29" s="178" t="inlineStr">
        <is>
          <t>ZM0300102</t>
        </is>
      </c>
      <c r="AJ29" s="178" t="inlineStr">
        <is>
          <t>ZM0300103</t>
        </is>
      </c>
      <c r="AK29" s="178" t="inlineStr">
        <is>
          <t>ZM0300104</t>
        </is>
      </c>
      <c r="AL29" s="178" t="inlineStr">
        <is>
          <t>ZM0300105</t>
        </is>
      </c>
      <c r="AM29" s="178" t="inlineStr">
        <is>
          <t>ZM0300201</t>
        </is>
      </c>
      <c r="AN29" s="178" t="inlineStr">
        <is>
          <t>ZM0300202</t>
        </is>
      </c>
      <c r="AO29" s="178" t="n"/>
      <c r="AP29" s="178" t="n"/>
      <c r="AQ29" s="178" t="n"/>
      <c r="AR29" s="178" t="n"/>
      <c r="AS29" s="178" t="n"/>
      <c r="AT29" s="178" t="n"/>
      <c r="AU29" s="178" t="n"/>
      <c r="AV29" s="178" t="n"/>
      <c r="AW29" s="178" t="n"/>
      <c r="AX29" s="178" t="n"/>
      <c r="AY29" s="178" t="n"/>
      <c r="AZ29" s="178" t="n"/>
      <c r="BA29" s="178" t="n"/>
      <c r="BB29" s="178" t="n"/>
      <c r="BC29" s="178" t="n"/>
      <c r="BD29" s="178" t="n"/>
      <c r="BE29" s="178" t="n"/>
      <c r="BF29" s="178" t="n"/>
      <c r="BG29" s="178" t="n"/>
      <c r="BH29" s="178" t="n"/>
      <c r="BI29" s="178" t="n"/>
      <c r="BJ29" s="178" t="n"/>
      <c r="BK29" s="178" t="n"/>
      <c r="BL29" s="178" t="n"/>
      <c r="BM29" s="13" t="n"/>
      <c r="BN29" s="13" t="n"/>
      <c r="BO29" s="13" t="n"/>
      <c r="BP29" s="13" t="n"/>
      <c r="BQ29" s="13" t="n"/>
      <c r="BR29" s="13" t="n"/>
      <c r="BS29" s="13" t="n"/>
      <c r="BT29" s="13" t="n"/>
      <c r="BU29" s="13" t="n"/>
      <c r="BV29" s="13" t="n"/>
      <c r="BW29" s="13" t="n"/>
      <c r="BX29" s="13" t="n"/>
      <c r="BY29" s="13" t="n"/>
      <c r="BZ29" s="13" t="n"/>
      <c r="CA29" s="13" t="n"/>
      <c r="CB29" s="13" t="n"/>
      <c r="CC29" s="13" t="n"/>
      <c r="CD29" s="13" t="n"/>
      <c r="CE29" s="13" t="n"/>
      <c r="CF29" s="13" t="n"/>
      <c r="CG29" s="13" t="n"/>
      <c r="CH29" s="13" t="n"/>
      <c r="CI29" s="13" t="n"/>
      <c r="CJ29" s="13" t="n"/>
      <c r="CK29" s="13" t="n"/>
      <c r="CL29" s="13" t="n"/>
      <c r="CM29" s="13" t="n"/>
      <c r="CN29" s="13" t="n"/>
      <c r="CO29" s="13" t="n"/>
    </row>
    <row r="30" hidden="1" customFormat="1" s="13">
      <c r="A30" s="175" t="n"/>
      <c r="B30" s="175">
        <f>IF(_epmOfflineCondition_,"",EPMDimensionType(,A30))</f>
        <v/>
      </c>
      <c r="C30" s="182" t="inlineStr">
        <is>
          <t>PERIODIC</t>
        </is>
      </c>
      <c r="D30" s="390" t="n"/>
      <c r="E30" s="180" t="n"/>
      <c r="F30" s="384" t="n"/>
      <c r="G30" s="384" t="n"/>
      <c r="H30" s="13" t="n"/>
      <c r="I30" s="13" t="n"/>
      <c r="J30" s="13" t="n"/>
      <c r="K30" s="13" t="n"/>
      <c r="L30" s="13" t="n"/>
      <c r="M30" s="13" t="n"/>
      <c r="N30" s="13" t="n"/>
      <c r="O30" s="13" t="n"/>
      <c r="P30" s="13" t="n"/>
      <c r="Q30" s="13" t="n"/>
      <c r="R30" s="13" t="n"/>
      <c r="S30" s="13" t="n"/>
      <c r="T30" s="13" t="n"/>
      <c r="U30" s="35" t="n"/>
      <c r="V30" s="35" t="n"/>
      <c r="W30" s="13" t="n"/>
      <c r="X30" s="171" t="n"/>
      <c r="Y30" s="13" t="n"/>
      <c r="Z30" s="13" t="n"/>
      <c r="AA30" s="13" t="n"/>
      <c r="AB30" s="13" t="n"/>
      <c r="AC30" s="13" t="n"/>
      <c r="AD30" s="220" t="n"/>
      <c r="AE30" s="13" t="n"/>
      <c r="AF30" s="13" t="n"/>
      <c r="AG30" s="13" t="n"/>
      <c r="AH30" s="13" t="n"/>
      <c r="AI30" s="13" t="n"/>
      <c r="AJ30" s="13" t="n"/>
      <c r="AK30" s="13" t="n"/>
      <c r="AL30" s="13" t="n"/>
      <c r="AM30" s="13" t="n"/>
      <c r="AN30" s="13" t="n"/>
      <c r="AO30" s="13" t="n"/>
      <c r="AP30" s="13" t="n"/>
      <c r="AQ30" s="13" t="n"/>
      <c r="AR30" s="13" t="n"/>
      <c r="AS30" s="13" t="n"/>
      <c r="AT30" s="13" t="n"/>
      <c r="AU30" s="13" t="n"/>
      <c r="AV30" s="13" t="n"/>
      <c r="AW30" s="13" t="n"/>
      <c r="AX30" s="13" t="n"/>
      <c r="AY30" s="13" t="n"/>
      <c r="AZ30" s="13" t="n"/>
      <c r="BA30" s="13" t="n"/>
      <c r="BB30" s="13" t="n"/>
      <c r="BC30" s="13" t="n"/>
      <c r="BD30" s="13" t="n"/>
      <c r="BE30" s="13" t="n"/>
      <c r="BF30" s="13" t="n"/>
      <c r="BG30" s="13" t="n"/>
      <c r="BH30" s="13" t="n"/>
      <c r="BI30" s="13" t="n"/>
      <c r="BJ30" s="13" t="n"/>
      <c r="BK30" s="13" t="n"/>
      <c r="BL30" s="13" t="n"/>
      <c r="BM30" s="13" t="n"/>
      <c r="BN30" s="13" t="n"/>
      <c r="BO30" s="13" t="n"/>
      <c r="BP30" s="13" t="n"/>
      <c r="BQ30" s="13" t="n"/>
      <c r="BR30" s="13" t="n"/>
      <c r="BS30" s="13" t="n"/>
      <c r="BT30" s="13" t="n"/>
      <c r="BU30" s="13" t="n"/>
      <c r="BV30" s="13" t="n"/>
      <c r="BW30" s="13" t="n"/>
      <c r="BX30" s="13" t="n"/>
      <c r="BY30" s="13" t="n"/>
      <c r="BZ30" s="13" t="n"/>
      <c r="CA30" s="13" t="n"/>
      <c r="CB30" s="13" t="n"/>
      <c r="CC30" s="13" t="n"/>
      <c r="CD30" s="13" t="n"/>
      <c r="CE30" s="13" t="n"/>
      <c r="CF30" s="13" t="n"/>
      <c r="CG30" s="13" t="n"/>
      <c r="CH30" s="13" t="n"/>
      <c r="CI30" s="13" t="n"/>
      <c r="CJ30" s="13" t="n"/>
      <c r="CK30" s="13" t="n"/>
      <c r="CL30" s="13" t="n"/>
      <c r="CM30" s="13" t="n"/>
      <c r="CN30" s="13" t="n"/>
      <c r="CO30" s="13" t="n"/>
    </row>
    <row r="31" hidden="1" customFormat="1" s="13">
      <c r="A31" s="13" t="n"/>
      <c r="B31" s="1103" t="n"/>
      <c r="C31" s="1103" t="n"/>
      <c r="D31" s="1103" t="n"/>
      <c r="E31" s="13" t="n"/>
      <c r="F31" s="13" t="n"/>
      <c r="G31" s="13" t="n"/>
      <c r="H31" s="13" t="n"/>
      <c r="I31" s="13" t="n"/>
      <c r="J31" s="13" t="n"/>
      <c r="K31" s="13" t="n"/>
      <c r="L31" s="13" t="n"/>
      <c r="M31" s="13" t="n"/>
      <c r="N31" s="13" t="n"/>
      <c r="O31" s="13" t="n"/>
      <c r="P31" s="13" t="n"/>
      <c r="Q31" s="13" t="n"/>
      <c r="R31" s="13" t="n"/>
      <c r="S31" s="13" t="n"/>
      <c r="T31" s="13" t="n"/>
      <c r="U31" s="35" t="n"/>
      <c r="V31" s="35" t="n"/>
      <c r="W31" s="13" t="n"/>
      <c r="X31" s="171" t="n"/>
      <c r="Y31" s="384" t="n"/>
      <c r="Z31" s="384" t="n"/>
      <c r="AA31" s="13" t="n"/>
      <c r="AB31" s="13" t="n"/>
      <c r="AC31" s="13" t="n"/>
      <c r="AD31" s="220" t="n"/>
      <c r="AE31" s="13" t="n"/>
      <c r="AF31" s="13" t="n"/>
      <c r="AG31" s="13" t="n"/>
      <c r="AH31" s="13" t="n"/>
      <c r="AI31" s="13" t="n"/>
      <c r="AJ31" s="13" t="n"/>
      <c r="AK31" s="13" t="n"/>
      <c r="AL31" s="13" t="n"/>
      <c r="AM31" s="13" t="n"/>
      <c r="AN31" s="13" t="n"/>
      <c r="AO31" s="13" t="n"/>
      <c r="AP31" s="13" t="n"/>
      <c r="AQ31" s="13" t="n"/>
      <c r="AR31" s="13" t="n"/>
      <c r="AS31" s="13" t="n"/>
      <c r="AT31" s="13" t="n"/>
      <c r="AU31" s="13" t="n"/>
      <c r="AV31" s="13" t="n"/>
      <c r="AW31" s="13" t="n"/>
      <c r="AX31" s="13" t="n"/>
      <c r="AY31" s="13" t="n"/>
      <c r="AZ31" s="13" t="n"/>
      <c r="BA31" s="13" t="n"/>
      <c r="BB31" s="13" t="n"/>
      <c r="BC31" s="13" t="n"/>
      <c r="BD31" s="13" t="n"/>
      <c r="BE31" s="13" t="n"/>
      <c r="BF31" s="13" t="n"/>
      <c r="BG31" s="13" t="n"/>
      <c r="BH31" s="13" t="n"/>
      <c r="BI31" s="13" t="n"/>
      <c r="BJ31" s="13" t="n"/>
      <c r="BK31" s="13" t="n"/>
      <c r="BL31" s="13" t="n"/>
      <c r="BM31" s="13" t="n"/>
      <c r="BN31" s="13" t="n"/>
      <c r="BO31" s="13" t="n"/>
      <c r="BP31" s="13" t="n"/>
      <c r="BQ31" s="13" t="n"/>
      <c r="BR31" s="13" t="n"/>
      <c r="BS31" s="13" t="n"/>
      <c r="BT31" s="13" t="n"/>
      <c r="BU31" s="13" t="n"/>
      <c r="BV31" s="13" t="n"/>
      <c r="BW31" s="13" t="n"/>
      <c r="BX31" s="13" t="n"/>
      <c r="BY31" s="13" t="n"/>
      <c r="BZ31" s="13" t="n"/>
      <c r="CA31" s="13" t="n"/>
      <c r="CB31" s="13" t="n"/>
      <c r="CC31" s="13" t="n"/>
      <c r="CD31" s="13" t="n"/>
      <c r="CE31" s="13" t="n"/>
      <c r="CF31" s="13" t="n"/>
      <c r="CG31" s="13" t="n"/>
      <c r="CH31" s="13" t="n"/>
      <c r="CI31" s="13" t="n"/>
      <c r="CJ31" s="13" t="n"/>
      <c r="CK31" s="13" t="n"/>
      <c r="CL31" s="13" t="n"/>
      <c r="CM31" s="13" t="n"/>
      <c r="CN31" s="13" t="n"/>
      <c r="CO31" s="13" t="n"/>
    </row>
    <row r="32" hidden="1" customFormat="1" s="13">
      <c r="A32" s="13" t="n"/>
      <c r="B32" s="1103" t="n"/>
      <c r="C32" s="1103" t="n"/>
      <c r="D32" s="1103" t="n"/>
      <c r="E32" s="13" t="n"/>
      <c r="F32" s="13" t="n"/>
      <c r="G32" s="13" t="n"/>
      <c r="H32" s="13" t="n"/>
      <c r="I32" s="13" t="n"/>
      <c r="J32" s="13" t="n"/>
      <c r="K32" s="13" t="n"/>
      <c r="L32" s="13" t="n"/>
      <c r="M32" s="13" t="n"/>
      <c r="N32" s="13" t="n"/>
      <c r="O32" s="13" t="n"/>
      <c r="P32" s="13" t="n"/>
      <c r="Q32" s="13" t="n"/>
      <c r="R32" s="13" t="n"/>
      <c r="S32" s="13" t="n"/>
      <c r="T32" s="13" t="n"/>
      <c r="U32" s="13" t="n"/>
      <c r="V32" s="13" t="n"/>
      <c r="W32" s="13" t="n"/>
      <c r="X32" s="171" t="n"/>
      <c r="Y32" s="13" t="n"/>
      <c r="Z32" s="13" t="n"/>
      <c r="AA32" s="13" t="n"/>
      <c r="AB32" s="13" t="n"/>
      <c r="AC32" s="13" t="n"/>
      <c r="AD32" s="220" t="n"/>
      <c r="AE32" s="13" t="n"/>
      <c r="AF32" s="13" t="n"/>
      <c r="AG32" s="13" t="n"/>
      <c r="AH32" s="13" t="n"/>
      <c r="AI32" s="13" t="n"/>
      <c r="AJ32" s="13" t="n"/>
      <c r="AK32" s="13" t="n"/>
      <c r="AL32" s="13" t="n"/>
      <c r="AM32" s="13" t="n"/>
      <c r="AN32" s="13" t="n"/>
      <c r="AO32" s="13" t="n"/>
      <c r="AP32" s="13" t="n"/>
      <c r="AQ32" s="13" t="n"/>
      <c r="AR32" s="13" t="n"/>
      <c r="AS32" s="13" t="n"/>
      <c r="AT32" s="13" t="n"/>
      <c r="AU32" s="13" t="n"/>
      <c r="AV32" s="13" t="n"/>
      <c r="AW32" s="13" t="n"/>
      <c r="AX32" s="13" t="n"/>
      <c r="AY32" s="13" t="n"/>
      <c r="AZ32" s="13" t="n"/>
      <c r="BA32" s="13" t="n"/>
      <c r="BB32" s="13" t="n"/>
      <c r="BC32" s="13" t="n"/>
      <c r="BD32" s="13" t="n"/>
      <c r="BE32" s="13" t="n"/>
      <c r="BF32" s="13" t="n"/>
      <c r="BG32" s="13" t="n"/>
      <c r="BH32" s="13" t="n"/>
      <c r="BI32" s="13" t="n"/>
      <c r="BJ32" s="13" t="n"/>
      <c r="BK32" s="13" t="n"/>
      <c r="BL32" s="13" t="n"/>
      <c r="BM32" s="13" t="n"/>
      <c r="BN32" s="13" t="n"/>
      <c r="BO32" s="13" t="n"/>
      <c r="BP32" s="13" t="n"/>
      <c r="BQ32" s="13" t="n"/>
      <c r="BR32" s="13" t="n"/>
      <c r="BS32" s="13" t="n"/>
      <c r="BT32" s="13" t="n"/>
      <c r="BU32" s="13" t="n"/>
      <c r="BV32" s="13" t="n"/>
      <c r="BW32" s="13" t="n"/>
      <c r="BX32" s="13" t="n"/>
      <c r="BY32" s="13" t="n"/>
      <c r="BZ32" s="13" t="n"/>
      <c r="CA32" s="13" t="n"/>
      <c r="CB32" s="13" t="n"/>
      <c r="CC32" s="13" t="n"/>
      <c r="CD32" s="13" t="n"/>
      <c r="CE32" s="13" t="n"/>
      <c r="CF32" s="13" t="n"/>
      <c r="CG32" s="13" t="n"/>
      <c r="CH32" s="13" t="n"/>
      <c r="CI32" s="13" t="n"/>
      <c r="CJ32" s="13" t="n"/>
      <c r="CK32" s="13" t="n"/>
      <c r="CL32" s="13" t="n"/>
      <c r="CM32" s="13" t="n"/>
      <c r="CN32" s="13" t="n"/>
      <c r="CO32" s="13" t="n"/>
    </row>
    <row r="33" hidden="1" customFormat="1" s="13">
      <c r="A33" s="13" t="n"/>
      <c r="B33" s="1103" t="n"/>
      <c r="C33" s="1103" t="n"/>
      <c r="D33" s="1103" t="n"/>
      <c r="E33" s="13" t="n"/>
      <c r="F33" s="13" t="n"/>
      <c r="G33" s="13" t="n"/>
      <c r="H33" s="13" t="n"/>
      <c r="I33" s="13" t="n"/>
      <c r="J33" s="13" t="n"/>
      <c r="K33" s="13" t="n"/>
      <c r="L33" s="13" t="n"/>
      <c r="M33" s="13" t="n"/>
      <c r="N33" s="13" t="n"/>
      <c r="O33" s="13" t="n"/>
      <c r="P33" s="13" t="n"/>
      <c r="Q33" s="13" t="n"/>
      <c r="R33" s="13" t="n"/>
      <c r="S33" s="13" t="n"/>
      <c r="T33" s="13" t="n"/>
      <c r="U33" s="13" t="n"/>
      <c r="V33" s="13" t="n"/>
      <c r="W33" s="13" t="n"/>
      <c r="X33" s="171" t="n"/>
      <c r="Y33" s="13" t="n"/>
      <c r="Z33" s="13" t="n"/>
      <c r="AA33" s="13" t="n"/>
      <c r="AB33" s="13" t="n"/>
      <c r="AC33" s="13" t="n"/>
      <c r="AD33" s="220" t="n"/>
      <c r="AE33" s="13" t="n"/>
      <c r="AF33" s="13" t="n"/>
      <c r="AG33" s="13" t="n"/>
      <c r="AH33" s="13" t="n"/>
      <c r="AI33" s="13" t="n"/>
      <c r="AJ33" s="13" t="n"/>
      <c r="AK33" s="13" t="n"/>
      <c r="AL33" s="13" t="n"/>
      <c r="AM33" s="13" t="n"/>
      <c r="AN33" s="13" t="n"/>
      <c r="AO33" s="13" t="n"/>
      <c r="AP33" s="13" t="n"/>
      <c r="AQ33" s="13" t="n"/>
      <c r="AR33" s="13" t="n"/>
      <c r="AS33" s="13" t="n"/>
      <c r="AT33" s="13" t="n"/>
      <c r="AU33" s="13" t="n"/>
      <c r="AV33" s="13" t="n"/>
      <c r="AW33" s="13" t="n"/>
      <c r="AX33" s="13" t="n"/>
      <c r="AY33" s="13" t="n"/>
      <c r="AZ33" s="13" t="n"/>
      <c r="BA33" s="13" t="n"/>
      <c r="BB33" s="13" t="n"/>
      <c r="BC33" s="13" t="n"/>
      <c r="BD33" s="13" t="n"/>
      <c r="BE33" s="13" t="n"/>
      <c r="BF33" s="13" t="n"/>
      <c r="BG33" s="13" t="n"/>
      <c r="BH33" s="13" t="n"/>
      <c r="BI33" s="13" t="n"/>
      <c r="BJ33" s="13" t="n"/>
      <c r="BK33" s="13" t="n"/>
      <c r="BL33" s="13" t="n"/>
      <c r="BM33" s="13" t="n"/>
      <c r="BN33" s="13" t="n"/>
      <c r="BO33" s="13" t="n"/>
      <c r="BP33" s="13" t="n"/>
      <c r="BQ33" s="13" t="n"/>
      <c r="BR33" s="13" t="n"/>
      <c r="BS33" s="13" t="n"/>
      <c r="BT33" s="13" t="n"/>
      <c r="BU33" s="13" t="n"/>
      <c r="BV33" s="13" t="n"/>
      <c r="BW33" s="13" t="n"/>
      <c r="BX33" s="13" t="n"/>
      <c r="BY33" s="13" t="n"/>
      <c r="BZ33" s="13" t="n"/>
      <c r="CA33" s="13" t="n"/>
      <c r="CB33" s="13" t="n"/>
      <c r="CC33" s="13" t="n"/>
      <c r="CD33" s="13" t="n"/>
      <c r="CE33" s="13" t="n"/>
      <c r="CF33" s="13" t="n"/>
      <c r="CG33" s="13" t="n"/>
      <c r="CH33" s="13" t="n"/>
      <c r="CI33" s="13" t="n"/>
      <c r="CJ33" s="13" t="n"/>
      <c r="CK33" s="13" t="n"/>
      <c r="CL33" s="13" t="n"/>
      <c r="CM33" s="13" t="n"/>
      <c r="CN33" s="13" t="n"/>
      <c r="CO33" s="13" t="n"/>
    </row>
    <row r="34" hidden="1" ht="10.5" customFormat="1" customHeight="1" s="13">
      <c r="A34" s="13" t="n"/>
      <c r="B34" s="1103" t="n"/>
      <c r="C34" s="1103" t="n"/>
      <c r="D34" s="1103" t="n"/>
      <c r="E34" s="13" t="n"/>
      <c r="F34" s="13" t="n"/>
      <c r="G34" s="13" t="n"/>
      <c r="H34" s="13" t="n"/>
      <c r="I34" s="13" t="n"/>
      <c r="J34" s="13" t="n"/>
      <c r="K34" s="13" t="n"/>
      <c r="L34" s="13" t="n"/>
      <c r="M34" s="13" t="n"/>
      <c r="N34" s="13" t="n"/>
      <c r="O34" s="13" t="n"/>
      <c r="P34" s="13" t="n"/>
      <c r="Q34" s="13" t="n"/>
      <c r="R34" s="13" t="n"/>
      <c r="S34" s="13" t="n"/>
      <c r="T34" s="13" t="n"/>
      <c r="U34" s="13" t="n"/>
      <c r="V34" s="13" t="n"/>
      <c r="W34" s="13" t="n"/>
      <c r="X34" s="171" t="n"/>
      <c r="Y34" s="13" t="n"/>
      <c r="Z34" s="13" t="n"/>
      <c r="AA34" s="13" t="n"/>
      <c r="AB34" s="13" t="n"/>
      <c r="AC34" s="13" t="n"/>
      <c r="AD34" s="220" t="n"/>
      <c r="AE34" s="13" t="n"/>
      <c r="AF34" s="13" t="n"/>
      <c r="AG34" s="13" t="n"/>
      <c r="AH34" s="13" t="n"/>
      <c r="AI34" s="13" t="n"/>
      <c r="AJ34" s="13" t="n"/>
      <c r="AK34" s="13" t="n"/>
      <c r="AL34" s="13" t="n"/>
      <c r="AM34" s="13" t="n"/>
      <c r="AN34" s="13" t="n"/>
      <c r="AO34" s="13" t="n"/>
      <c r="AP34" s="13" t="n"/>
      <c r="AQ34" s="13" t="n"/>
      <c r="AR34" s="13" t="n"/>
      <c r="AS34" s="13" t="n"/>
      <c r="AT34" s="13" t="n"/>
      <c r="AU34" s="13" t="n"/>
      <c r="AV34" s="13" t="n"/>
      <c r="AW34" s="13" t="n"/>
      <c r="AX34" s="13" t="n"/>
      <c r="AY34" s="13" t="n"/>
      <c r="AZ34" s="13" t="n"/>
      <c r="BA34" s="13" t="n"/>
      <c r="BB34" s="13" t="n"/>
      <c r="BC34" s="13" t="n"/>
      <c r="BD34" s="13" t="n"/>
      <c r="BE34" s="13" t="n"/>
      <c r="BF34" s="13" t="n"/>
      <c r="BG34" s="13" t="n"/>
      <c r="BH34" s="13" t="n"/>
      <c r="BI34" s="13" t="n"/>
      <c r="BJ34" s="13" t="n"/>
      <c r="BK34" s="13" t="n"/>
      <c r="BL34" s="13" t="n"/>
      <c r="BM34" s="13" t="n"/>
      <c r="BN34" s="13" t="n"/>
      <c r="BO34" s="13" t="n"/>
      <c r="BP34" s="13" t="n"/>
      <c r="BQ34" s="13" t="n"/>
      <c r="BR34" s="13" t="n"/>
      <c r="BS34" s="13" t="n"/>
      <c r="BT34" s="13" t="n"/>
      <c r="BU34" s="13" t="n"/>
      <c r="BV34" s="13" t="n"/>
      <c r="BW34" s="13" t="n"/>
      <c r="BX34" s="13" t="n"/>
      <c r="BY34" s="13" t="n"/>
      <c r="BZ34" s="13" t="n"/>
      <c r="CA34" s="13" t="n"/>
      <c r="CB34" s="13" t="n"/>
      <c r="CC34" s="13" t="n"/>
      <c r="CD34" s="13" t="n"/>
      <c r="CE34" s="13" t="n"/>
      <c r="CF34" s="13" t="n"/>
      <c r="CG34" s="13" t="n"/>
      <c r="CH34" s="13" t="n"/>
      <c r="CI34" s="13" t="n"/>
      <c r="CJ34" s="13" t="n"/>
      <c r="CK34" s="13" t="n"/>
      <c r="CL34" s="13" t="n"/>
      <c r="CM34" s="13" t="n"/>
      <c r="CN34" s="13" t="n"/>
      <c r="CO34" s="13" t="n"/>
    </row>
    <row r="35" ht="32.25" customHeight="1" s="1181">
      <c r="A35" s="384" t="n"/>
      <c r="B35" s="384" t="n"/>
      <c r="C35" s="384" t="n"/>
      <c r="D35" s="384" t="n"/>
      <c r="E35" s="384" t="n"/>
      <c r="F35" s="384" t="n"/>
      <c r="G35" s="384" t="n"/>
      <c r="H35" s="384" t="n"/>
      <c r="I35" s="384" t="n"/>
      <c r="J35" s="384" t="n"/>
      <c r="K35" s="384" t="n"/>
      <c r="L35" s="384" t="n"/>
      <c r="M35" s="384" t="n"/>
      <c r="N35" s="384" t="n"/>
      <c r="O35" s="384" t="n"/>
      <c r="P35" s="384" t="n"/>
      <c r="Q35" s="384" t="n"/>
      <c r="R35" s="384" t="n"/>
      <c r="S35" s="32" t="n"/>
      <c r="T35" s="384" t="n"/>
      <c r="U35" s="384" t="n"/>
      <c r="V35" s="384" t="n"/>
      <c r="W35" s="384" t="n"/>
      <c r="X35" s="38" t="n"/>
      <c r="Y35" s="384" t="n"/>
      <c r="Z35" s="384" t="n"/>
      <c r="AA35" s="384" t="n"/>
      <c r="AB35" s="201" t="inlineStr">
        <is>
          <t>计划检修费表（发电企业）</t>
        </is>
      </c>
      <c r="AC35" s="384" t="n"/>
      <c r="AD35" s="384" t="n"/>
      <c r="AE35" s="384" t="n"/>
      <c r="AF35" s="384" t="n"/>
      <c r="AG35" s="384" t="n"/>
      <c r="AH35" s="384" t="n"/>
      <c r="AI35" s="384" t="n"/>
      <c r="AJ35" s="384" t="n"/>
      <c r="AK35" s="384" t="n"/>
      <c r="AL35" s="384" t="n"/>
      <c r="AM35" s="384" t="n"/>
      <c r="AN35" s="384" t="n"/>
      <c r="AO35" s="384" t="n"/>
      <c r="AP35" s="384" t="n"/>
      <c r="AQ35" s="384" t="n"/>
      <c r="AR35" s="384" t="n"/>
      <c r="AS35" s="384" t="n"/>
      <c r="AT35" s="384" t="n"/>
      <c r="AU35" s="384" t="n"/>
      <c r="AV35" s="384" t="n"/>
      <c r="AW35" s="384" t="n"/>
      <c r="AX35" s="384" t="n"/>
      <c r="AY35" s="384" t="n"/>
      <c r="AZ35" s="384" t="n"/>
      <c r="BA35" s="384" t="n"/>
      <c r="BB35" s="384" t="n"/>
      <c r="BC35" s="384" t="n"/>
      <c r="BD35" s="384" t="n"/>
      <c r="BE35" s="384" t="n"/>
      <c r="BF35" s="384" t="n"/>
      <c r="BG35" s="384" t="n"/>
      <c r="BH35" s="384" t="n"/>
      <c r="BI35" s="384" t="n"/>
      <c r="BJ35" s="384" t="n"/>
      <c r="BK35" s="384" t="n"/>
      <c r="BL35" s="384" t="n"/>
      <c r="BM35" s="384" t="n"/>
      <c r="BN35" s="384" t="n"/>
      <c r="BO35" s="384" t="n"/>
      <c r="BP35" s="384" t="n"/>
      <c r="BQ35" s="384" t="n"/>
      <c r="BR35" s="384" t="n"/>
      <c r="BS35" s="384" t="n"/>
      <c r="BT35" s="384" t="n"/>
      <c r="BU35" s="384" t="n"/>
      <c r="BV35" s="384" t="n"/>
      <c r="BW35" s="384" t="n"/>
      <c r="BX35" s="384" t="n"/>
      <c r="BY35" s="384" t="n"/>
      <c r="BZ35" s="384" t="n"/>
      <c r="CA35" s="384" t="n"/>
      <c r="CB35" s="384" t="n"/>
      <c r="CC35" s="384" t="n"/>
      <c r="CD35" s="384" t="n"/>
      <c r="CE35" s="384" t="n"/>
      <c r="CF35" s="384" t="n"/>
      <c r="CG35" s="384" t="n"/>
      <c r="CH35" s="384" t="n"/>
      <c r="CI35" s="384" t="n"/>
      <c r="CJ35" s="384" t="n"/>
      <c r="CK35" s="384" t="n"/>
      <c r="CL35" s="384" t="n"/>
      <c r="CM35" s="384" t="n"/>
      <c r="CN35" s="384" t="n"/>
      <c r="CO35" s="384" t="n"/>
    </row>
    <row r="36" customFormat="1" s="716">
      <c r="A36" s="716" t="n"/>
      <c r="B36" s="716" t="n"/>
      <c r="C36" s="716" t="n"/>
      <c r="D36" s="716" t="n"/>
      <c r="E36" s="716" t="n"/>
      <c r="F36" s="716" t="n"/>
      <c r="G36" s="716" t="n"/>
      <c r="H36" s="716" t="n"/>
      <c r="I36" s="716" t="n"/>
      <c r="J36" s="716" t="n"/>
      <c r="K36" s="716" t="n"/>
      <c r="L36" s="716" t="n"/>
      <c r="M36" s="716" t="n"/>
      <c r="N36" s="716" t="n"/>
      <c r="O36" s="716" t="n"/>
      <c r="P36" s="716" t="n"/>
      <c r="Q36" s="716" t="n"/>
      <c r="R36" s="716" t="n"/>
      <c r="S36" s="462" t="n"/>
      <c r="T36" s="716" t="n"/>
      <c r="U36" s="716" t="n"/>
      <c r="V36" s="716" t="n"/>
      <c r="W36" s="716" t="n"/>
      <c r="X36" s="190">
        <f>IF(_epmOfflineCondition_,"编制单位：内蒙古京能苏尼特风力发电有限公司（内蒙古分公司）","编制单位："&amp;EPMMemberDesc($D$6))</f>
        <v/>
      </c>
      <c r="Y36" s="716" t="n"/>
      <c r="Z36" s="202" t="inlineStr">
        <is>
          <t>🔺外币单位请直接填写折算后的人民币数。</t>
        </is>
      </c>
      <c r="AA36" s="203" t="n"/>
      <c r="AB36" s="716" t="n"/>
      <c r="AC36" s="716" t="n"/>
      <c r="AD36" s="716" t="n"/>
      <c r="AE36" s="716" t="n"/>
      <c r="AF36" s="716" t="n"/>
      <c r="AG36" s="716" t="n"/>
      <c r="AH36" s="716" t="n"/>
      <c r="AI36" s="716" t="n"/>
      <c r="AJ36" s="716" t="n"/>
      <c r="AK36" s="716" t="n"/>
      <c r="AL36" s="716" t="n"/>
      <c r="AM36" s="716" t="n"/>
      <c r="AN36" s="716" t="n"/>
      <c r="AO36" s="716" t="n"/>
      <c r="AP36" s="716" t="n"/>
      <c r="AQ36" s="716" t="n"/>
      <c r="AR36" s="716" t="n"/>
      <c r="AS36" s="716" t="n"/>
      <c r="AT36" s="716" t="n"/>
      <c r="AU36" s="716" t="n"/>
      <c r="AV36" s="716" t="n"/>
      <c r="AW36" s="716" t="n"/>
      <c r="AX36" s="716" t="n"/>
      <c r="AY36" s="716" t="n"/>
      <c r="AZ36" s="716" t="n"/>
      <c r="BA36" s="716" t="n"/>
      <c r="BB36" s="716" t="n"/>
      <c r="BC36" s="716" t="n"/>
      <c r="BD36" s="716" t="n"/>
      <c r="BE36" s="716" t="n"/>
      <c r="BF36" s="716" t="n"/>
      <c r="BG36" s="716" t="n"/>
      <c r="BH36" s="716" t="n"/>
      <c r="BI36" s="716" t="n"/>
      <c r="BJ36" s="716" t="n"/>
      <c r="BK36" s="716" t="n"/>
      <c r="BL36" s="716" t="n"/>
      <c r="BM36" s="716" t="n"/>
      <c r="BN36" s="716" t="n"/>
      <c r="BO36" s="716" t="n"/>
      <c r="BP36" s="716" t="n"/>
      <c r="BQ36" s="716" t="n"/>
      <c r="BR36" s="716" t="n"/>
      <c r="BS36" s="716" t="n"/>
      <c r="BT36" s="716" t="n"/>
      <c r="BU36" s="716" t="n"/>
      <c r="BV36" s="716" t="n"/>
      <c r="BW36" s="716" t="n"/>
      <c r="BX36" s="716" t="n"/>
      <c r="BY36" s="716" t="n"/>
      <c r="BZ36" s="716" t="n"/>
      <c r="CA36" s="716" t="n"/>
      <c r="CB36" s="716" t="n"/>
      <c r="CC36" s="716" t="n"/>
      <c r="CD36" s="716" t="n"/>
      <c r="CE36" s="716" t="n"/>
      <c r="CF36" s="716" t="n"/>
      <c r="CG36" s="716" t="n"/>
      <c r="CH36" s="716" t="n"/>
      <c r="CI36" s="716" t="n"/>
      <c r="CJ36" s="716" t="n"/>
      <c r="CK36" s="716" t="n"/>
      <c r="CL36" s="716" t="n"/>
      <c r="CM36" s="716" t="n"/>
      <c r="CN36" s="716" t="n"/>
      <c r="CO36" s="716" t="n"/>
    </row>
    <row r="37" ht="15.2" customFormat="1" customHeight="1" s="716">
      <c r="A37" s="716" t="n"/>
      <c r="B37" s="716" t="n"/>
      <c r="C37" s="716" t="n"/>
      <c r="D37" s="716" t="n"/>
      <c r="E37" s="716" t="n"/>
      <c r="F37" s="716" t="n"/>
      <c r="G37" s="716" t="n"/>
      <c r="H37" s="716" t="n"/>
      <c r="I37" s="716" t="n"/>
      <c r="J37" s="716" t="n"/>
      <c r="K37" s="716" t="n"/>
      <c r="L37" s="716" t="n"/>
      <c r="M37" s="716" t="n"/>
      <c r="N37" s="716" t="n"/>
      <c r="O37" s="716" t="n"/>
      <c r="P37" s="716" t="n"/>
      <c r="Q37" s="716" t="n"/>
      <c r="R37" s="716" t="n"/>
      <c r="S37" s="462" t="n"/>
      <c r="T37" s="716" t="n"/>
      <c r="U37" s="716" t="n"/>
      <c r="V37" s="716" t="n"/>
      <c r="W37" s="716" t="n"/>
      <c r="X37" s="190">
        <f>"编制月份："&amp;$I$3&amp;"年"&amp;$I$8&amp;"月"</f>
        <v/>
      </c>
      <c r="Y37" s="716" t="n"/>
      <c r="Z37" s="204" t="inlineStr">
        <is>
          <t>审计线索：</t>
        </is>
      </c>
      <c r="AA37" s="182" t="inlineStr">
        <is>
          <t>单体录入</t>
        </is>
      </c>
      <c r="AB37" s="716" t="n"/>
      <c r="AC37" s="716" t="n"/>
      <c r="AD37" s="716" t="n"/>
      <c r="AE37" s="223" t="inlineStr">
        <is>
          <t>金额单位：元</t>
        </is>
      </c>
      <c r="AF37" s="716" t="n"/>
      <c r="AG37" s="716" t="n"/>
      <c r="AH37" s="716" t="n"/>
      <c r="AI37" s="716" t="n"/>
      <c r="AJ37" s="716" t="n"/>
      <c r="AK37" s="716" t="n"/>
      <c r="AL37" s="716" t="n"/>
      <c r="AM37" s="716" t="n"/>
      <c r="AN37" s="716" t="n"/>
      <c r="AO37" s="716" t="n"/>
      <c r="AP37" s="716" t="n"/>
      <c r="AQ37" s="716" t="n"/>
      <c r="AR37" s="716" t="n"/>
      <c r="AS37" s="716" t="n"/>
      <c r="AT37" s="716" t="n"/>
      <c r="AU37" s="716" t="n"/>
      <c r="AV37" s="716" t="n"/>
      <c r="AW37" s="716" t="n"/>
      <c r="AX37" s="716" t="n"/>
      <c r="AY37" s="716" t="n"/>
      <c r="AZ37" s="716" t="n"/>
      <c r="BA37" s="716" t="n"/>
      <c r="BB37" s="716" t="n"/>
      <c r="BC37" s="716" t="n"/>
      <c r="BD37" s="716" t="n"/>
      <c r="BE37" s="716" t="n"/>
      <c r="BF37" s="716" t="n"/>
      <c r="BG37" s="716" t="n"/>
      <c r="BH37" s="716" t="n"/>
      <c r="BI37" s="716" t="n"/>
      <c r="BJ37" s="716" t="n"/>
      <c r="BK37" s="716" t="n"/>
      <c r="BL37" s="716" t="n"/>
      <c r="BM37" s="716" t="n"/>
      <c r="BN37" s="716" t="n"/>
      <c r="BO37" s="716" t="n"/>
      <c r="BP37" s="716" t="n"/>
      <c r="BQ37" s="716" t="n"/>
      <c r="BR37" s="716" t="n"/>
      <c r="BS37" s="716" t="n"/>
      <c r="BT37" s="716" t="n"/>
      <c r="BU37" s="716" t="n"/>
      <c r="BV37" s="716" t="n"/>
      <c r="BW37" s="716" t="n"/>
      <c r="BX37" s="716" t="n"/>
      <c r="BY37" s="716" t="n"/>
      <c r="BZ37" s="716" t="n"/>
      <c r="CA37" s="716" t="n"/>
      <c r="CB37" s="716" t="n"/>
      <c r="CC37" s="716" t="n"/>
      <c r="CD37" s="716" t="n"/>
      <c r="CE37" s="716" t="n"/>
      <c r="CF37" s="716" t="n"/>
      <c r="CG37" s="716" t="n"/>
      <c r="CH37" s="716" t="n"/>
      <c r="CI37" s="716" t="n"/>
      <c r="CJ37" s="716" t="n"/>
      <c r="CK37" s="716" t="n"/>
      <c r="CL37" s="716" t="n"/>
      <c r="CM37" s="716" t="n"/>
      <c r="CN37" s="716" t="n"/>
      <c r="CO37" s="716" t="n"/>
    </row>
    <row r="38" ht="10.5" customFormat="1" customHeight="1" s="716">
      <c r="A38" s="716" t="n"/>
      <c r="B38" s="716" t="n"/>
      <c r="C38" s="716" t="n"/>
      <c r="D38" s="716" t="n"/>
      <c r="E38" s="716" t="n"/>
      <c r="F38" s="716" t="n"/>
      <c r="G38" s="716" t="n"/>
      <c r="H38" s="716" t="n"/>
      <c r="I38" s="716" t="n"/>
      <c r="J38" s="716" t="n"/>
      <c r="K38" s="716" t="n"/>
      <c r="L38" s="716" t="n"/>
      <c r="M38" s="716" t="n"/>
      <c r="N38" s="716" t="n"/>
      <c r="O38" s="716" t="n"/>
      <c r="P38" s="716" t="n"/>
      <c r="Q38" s="716" t="n"/>
      <c r="R38" s="716" t="n"/>
      <c r="S38" s="462" t="n"/>
      <c r="T38" s="716" t="n"/>
      <c r="U38" s="716" t="n"/>
      <c r="V38" s="716" t="n"/>
      <c r="W38" s="716" t="n"/>
      <c r="X38" s="190" t="n"/>
      <c r="Y38" s="716" t="n"/>
      <c r="Z38" s="716" t="n"/>
      <c r="AA38" s="203" t="n"/>
      <c r="AB38" s="716" t="n"/>
      <c r="AC38" s="716" t="n"/>
      <c r="AD38" s="716" t="n"/>
      <c r="AE38" s="716" t="n"/>
      <c r="AF38" s="716" t="n"/>
      <c r="AG38" s="716" t="n"/>
      <c r="AH38" s="716" t="n"/>
      <c r="AI38" s="716" t="n"/>
      <c r="AJ38" s="716" t="n"/>
      <c r="AK38" s="716" t="n"/>
      <c r="AL38" s="716" t="n"/>
      <c r="AM38" s="716" t="n"/>
      <c r="AN38" s="716" t="n"/>
      <c r="AO38" s="716" t="n"/>
      <c r="AP38" s="716" t="n"/>
      <c r="AQ38" s="716" t="n"/>
      <c r="AR38" s="716" t="n"/>
      <c r="AS38" s="716" t="n"/>
      <c r="AT38" s="716" t="n"/>
      <c r="AU38" s="716" t="n"/>
      <c r="AV38" s="716" t="n"/>
      <c r="AW38" s="716" t="n"/>
      <c r="AX38" s="716" t="n"/>
      <c r="AY38" s="716" t="n"/>
      <c r="AZ38" s="716" t="n"/>
      <c r="BA38" s="716" t="n"/>
      <c r="BB38" s="716" t="n"/>
      <c r="BC38" s="716" t="n"/>
      <c r="BD38" s="716" t="n"/>
      <c r="BE38" s="716" t="n"/>
      <c r="BF38" s="716" t="n"/>
      <c r="BG38" s="716" t="n"/>
      <c r="BH38" s="716" t="n"/>
      <c r="BI38" s="716" t="n"/>
      <c r="BJ38" s="716" t="n"/>
      <c r="BK38" s="716" t="n"/>
      <c r="BL38" s="716" t="n"/>
      <c r="BM38" s="716" t="n"/>
      <c r="BN38" s="716" t="n"/>
      <c r="BO38" s="716" t="n"/>
      <c r="BP38" s="716" t="n"/>
      <c r="BQ38" s="716" t="n"/>
      <c r="BR38" s="716" t="n"/>
      <c r="BS38" s="716" t="n"/>
      <c r="BT38" s="716" t="n"/>
      <c r="BU38" s="716" t="n"/>
      <c r="BV38" s="716" t="n"/>
      <c r="BW38" s="716" t="n"/>
      <c r="BX38" s="716" t="n"/>
      <c r="BY38" s="716" t="n"/>
      <c r="BZ38" s="716" t="n"/>
      <c r="CA38" s="716" t="n"/>
      <c r="CB38" s="716" t="n"/>
      <c r="CC38" s="716" t="n"/>
      <c r="CD38" s="716" t="n"/>
      <c r="CE38" s="716" t="n"/>
      <c r="CF38" s="716" t="n"/>
      <c r="CG38" s="716" t="n"/>
      <c r="CH38" s="716" t="n"/>
      <c r="CI38" s="716" t="n"/>
      <c r="CJ38" s="716" t="n"/>
      <c r="CK38" s="716" t="n"/>
      <c r="CL38" s="716" t="n"/>
      <c r="CM38" s="716" t="n"/>
      <c r="CN38" s="716" t="n"/>
      <c r="CO38" s="716" t="n"/>
    </row>
    <row r="39" ht="16.5" customFormat="1" customHeight="1" s="716">
      <c r="A39" s="716" t="n"/>
      <c r="B39" s="716" t="n"/>
      <c r="C39" s="716" t="n"/>
      <c r="D39" s="716" t="n"/>
      <c r="E39" s="716" t="n"/>
      <c r="F39" s="716" t="n"/>
      <c r="G39" s="716" t="n"/>
      <c r="H39" s="716" t="n"/>
      <c r="I39" s="716" t="n"/>
      <c r="J39" s="716" t="n"/>
      <c r="K39" s="716" t="n"/>
      <c r="L39" s="716" t="n"/>
      <c r="M39" s="716" t="n"/>
      <c r="N39" s="716" t="n"/>
      <c r="O39" s="716" t="n"/>
      <c r="P39" s="716" t="n"/>
      <c r="Q39" s="716" t="n"/>
      <c r="R39" s="716" t="n"/>
      <c r="S39" s="462" t="n"/>
      <c r="T39" s="716" t="n"/>
      <c r="U39" s="716" t="n"/>
      <c r="V39" s="716" t="n"/>
      <c r="W39" s="716" t="n"/>
      <c r="X39" s="314" t="inlineStr">
        <is>
          <t>指标</t>
        </is>
      </c>
      <c r="Y39" s="1429" t="inlineStr">
        <is>
          <t>本年累计数</t>
        </is>
      </c>
      <c r="Z39" s="1182" t="n"/>
      <c r="AA39" s="1182" t="n"/>
      <c r="AB39" s="1182" t="n"/>
      <c r="AC39" s="1182" t="n"/>
      <c r="AD39" s="1182" t="n"/>
      <c r="AE39" s="1182" t="n"/>
      <c r="AF39" s="1183" t="n"/>
      <c r="AG39" s="1429" t="inlineStr">
        <is>
          <t>本月发生数</t>
        </is>
      </c>
      <c r="AH39" s="1182" t="n"/>
      <c r="AI39" s="1182" t="n"/>
      <c r="AJ39" s="1182" t="n"/>
      <c r="AK39" s="1182" t="n"/>
      <c r="AL39" s="1182" t="n"/>
      <c r="AM39" s="1182" t="n"/>
      <c r="AN39" s="1183" t="n"/>
      <c r="AO39" s="1429" t="inlineStr">
        <is>
          <t>本月预算数</t>
        </is>
      </c>
      <c r="AP39" s="1182" t="n"/>
      <c r="AQ39" s="1182" t="n"/>
      <c r="AR39" s="1182" t="n"/>
      <c r="AS39" s="1182" t="n"/>
      <c r="AT39" s="1182" t="n"/>
      <c r="AU39" s="1182" t="n"/>
      <c r="AV39" s="1183" t="n"/>
      <c r="AW39" s="1429" t="inlineStr">
        <is>
          <t>进度预算数</t>
        </is>
      </c>
      <c r="AX39" s="1182" t="n"/>
      <c r="AY39" s="1182" t="n"/>
      <c r="AZ39" s="1182" t="n"/>
      <c r="BA39" s="1182" t="n"/>
      <c r="BB39" s="1182" t="n"/>
      <c r="BC39" s="1182" t="n"/>
      <c r="BD39" s="1183" t="n"/>
      <c r="BE39" s="1429" t="inlineStr">
        <is>
          <t>年度预算数</t>
        </is>
      </c>
      <c r="BF39" s="1182" t="n"/>
      <c r="BG39" s="1182" t="n"/>
      <c r="BH39" s="1182" t="n"/>
      <c r="BI39" s="1182" t="n"/>
      <c r="BJ39" s="1182" t="n"/>
      <c r="BK39" s="1182" t="n"/>
      <c r="BL39" s="1183" t="n"/>
      <c r="BM39" s="716" t="n"/>
      <c r="BN39" s="716" t="n"/>
      <c r="BO39" s="716" t="n"/>
      <c r="BP39" s="716" t="n"/>
      <c r="BQ39" s="716" t="n"/>
      <c r="BR39" s="716" t="n"/>
      <c r="BS39" s="716" t="n"/>
      <c r="BT39" s="716" t="n"/>
      <c r="BU39" s="716" t="n"/>
      <c r="BV39" s="716" t="n"/>
      <c r="BW39" s="716" t="n"/>
      <c r="BX39" s="716" t="n"/>
      <c r="BY39" s="716" t="n"/>
      <c r="BZ39" s="716" t="n"/>
      <c r="CA39" s="716" t="n"/>
      <c r="CB39" s="716" t="n"/>
      <c r="CC39" s="716" t="n"/>
      <c r="CD39" s="716" t="n"/>
      <c r="CE39" s="716" t="n"/>
      <c r="CF39" s="716" t="n"/>
      <c r="CG39" s="716" t="n"/>
      <c r="CH39" s="716" t="n"/>
      <c r="CI39" s="716" t="n"/>
      <c r="CJ39" s="716" t="n"/>
      <c r="CK39" s="716" t="n"/>
      <c r="CL39" s="716" t="n"/>
      <c r="CM39" s="716" t="n"/>
      <c r="CN39" s="716" t="n"/>
      <c r="CO39" s="716" t="n"/>
    </row>
    <row r="40" ht="16.5" customFormat="1" customHeight="1" s="716">
      <c r="A40" s="716" t="n"/>
      <c r="B40" s="716" t="n"/>
      <c r="C40" s="716" t="n"/>
      <c r="D40" s="716" t="n"/>
      <c r="E40" s="716" t="n"/>
      <c r="F40" s="716" t="n"/>
      <c r="G40" s="716" t="n"/>
      <c r="H40" s="716" t="n"/>
      <c r="I40" s="716" t="n"/>
      <c r="J40" s="716" t="n"/>
      <c r="K40" s="716" t="n"/>
      <c r="L40" s="716" t="n"/>
      <c r="M40" s="716" t="n"/>
      <c r="N40" s="716" t="n"/>
      <c r="O40" s="716" t="n"/>
      <c r="P40" s="716" t="n"/>
      <c r="Q40" s="716" t="n"/>
      <c r="R40" s="716" t="n"/>
      <c r="S40" s="462" t="n"/>
      <c r="T40" s="716" t="n"/>
      <c r="U40" s="716" t="n"/>
      <c r="V40" s="716" t="n"/>
      <c r="W40" s="716" t="n"/>
      <c r="X40" s="1210" t="n"/>
      <c r="Y40" s="102" t="inlineStr">
        <is>
          <t>合计</t>
        </is>
      </c>
      <c r="Z40" s="103" t="inlineStr">
        <is>
          <t>火力发电</t>
        </is>
      </c>
      <c r="AA40" s="103" t="inlineStr">
        <is>
          <t>风力发电</t>
        </is>
      </c>
      <c r="AB40" s="103" t="inlineStr">
        <is>
          <t>光伏发电</t>
        </is>
      </c>
      <c r="AC40" s="103" t="inlineStr">
        <is>
          <t>燃气发电</t>
        </is>
      </c>
      <c r="AD40" s="103" t="inlineStr">
        <is>
          <t>水力发电</t>
        </is>
      </c>
      <c r="AE40" s="103" t="inlineStr">
        <is>
          <t>售热</t>
        </is>
      </c>
      <c r="AF40" s="102" t="inlineStr">
        <is>
          <t>售电服务</t>
        </is>
      </c>
      <c r="AG40" s="102" t="inlineStr">
        <is>
          <t>合计</t>
        </is>
      </c>
      <c r="AH40" s="103" t="inlineStr">
        <is>
          <t>火力发电</t>
        </is>
      </c>
      <c r="AI40" s="103" t="inlineStr">
        <is>
          <t>风力发电</t>
        </is>
      </c>
      <c r="AJ40" s="103" t="inlineStr">
        <is>
          <t>光伏发电</t>
        </is>
      </c>
      <c r="AK40" s="103" t="inlineStr">
        <is>
          <t>燃气发电</t>
        </is>
      </c>
      <c r="AL40" s="103" t="inlineStr">
        <is>
          <t>水力发电</t>
        </is>
      </c>
      <c r="AM40" s="103" t="inlineStr">
        <is>
          <t>售热</t>
        </is>
      </c>
      <c r="AN40" s="102" t="inlineStr">
        <is>
          <t>售电服务</t>
        </is>
      </c>
      <c r="AO40" s="314" t="inlineStr">
        <is>
          <t>合计</t>
        </is>
      </c>
      <c r="AP40" s="325" t="inlineStr">
        <is>
          <t>火力发电</t>
        </is>
      </c>
      <c r="AQ40" s="325" t="inlineStr">
        <is>
          <t>风力发电</t>
        </is>
      </c>
      <c r="AR40" s="325" t="inlineStr">
        <is>
          <t>光伏发电</t>
        </is>
      </c>
      <c r="AS40" s="314" t="inlineStr">
        <is>
          <t>燃气发电</t>
        </is>
      </c>
      <c r="AT40" s="314" t="inlineStr">
        <is>
          <t>水力发电</t>
        </is>
      </c>
      <c r="AU40" s="314" t="inlineStr">
        <is>
          <t>售热</t>
        </is>
      </c>
      <c r="AV40" s="314" t="inlineStr">
        <is>
          <t>售电服务</t>
        </is>
      </c>
      <c r="AW40" s="314" t="inlineStr">
        <is>
          <t>合计</t>
        </is>
      </c>
      <c r="AX40" s="325" t="inlineStr">
        <is>
          <t>火力发电</t>
        </is>
      </c>
      <c r="AY40" s="325" t="inlineStr">
        <is>
          <t>风力发电</t>
        </is>
      </c>
      <c r="AZ40" s="325" t="inlineStr">
        <is>
          <t>光伏发电</t>
        </is>
      </c>
      <c r="BA40" s="314" t="inlineStr">
        <is>
          <t>燃气发电</t>
        </is>
      </c>
      <c r="BB40" s="314" t="inlineStr">
        <is>
          <t>水力发电</t>
        </is>
      </c>
      <c r="BC40" s="314" t="inlineStr">
        <is>
          <t>售热</t>
        </is>
      </c>
      <c r="BD40" s="314" t="inlineStr">
        <is>
          <t>售电服务</t>
        </is>
      </c>
      <c r="BE40" s="314" t="inlineStr">
        <is>
          <t>合计</t>
        </is>
      </c>
      <c r="BF40" s="325" t="inlineStr">
        <is>
          <t>火力发电</t>
        </is>
      </c>
      <c r="BG40" s="325" t="inlineStr">
        <is>
          <t>风力发电</t>
        </is>
      </c>
      <c r="BH40" s="325" t="inlineStr">
        <is>
          <t>光伏发电</t>
        </is>
      </c>
      <c r="BI40" s="314" t="inlineStr">
        <is>
          <t>燃气发电</t>
        </is>
      </c>
      <c r="BJ40" s="314" t="inlineStr">
        <is>
          <t>水力发电</t>
        </is>
      </c>
      <c r="BK40" s="314" t="inlineStr">
        <is>
          <t>售热</t>
        </is>
      </c>
      <c r="BL40" s="314" t="inlineStr">
        <is>
          <t>售电服务</t>
        </is>
      </c>
      <c r="BM40" s="716" t="n"/>
      <c r="BN40" s="716" t="n"/>
      <c r="BO40" s="716" t="n"/>
      <c r="BP40" s="716" t="n"/>
      <c r="BQ40" s="716" t="n"/>
      <c r="BR40" s="716" t="n"/>
      <c r="BS40" s="716" t="n"/>
      <c r="BT40" s="716" t="n"/>
      <c r="BU40" s="716" t="n"/>
      <c r="BV40" s="716" t="n"/>
      <c r="BW40" s="716" t="n"/>
      <c r="BX40" s="716" t="n"/>
      <c r="BY40" s="716" t="n"/>
      <c r="BZ40" s="716" t="n"/>
      <c r="CA40" s="716" t="n"/>
      <c r="CB40" s="716" t="n"/>
      <c r="CC40" s="716" t="n"/>
      <c r="CD40" s="716" t="n"/>
      <c r="CE40" s="716" t="n"/>
      <c r="CF40" s="716" t="n"/>
      <c r="CG40" s="716" t="n"/>
      <c r="CH40" s="716" t="n"/>
      <c r="CI40" s="716" t="n"/>
      <c r="CJ40" s="716" t="n"/>
      <c r="CK40" s="716" t="n"/>
      <c r="CL40" s="716" t="n"/>
      <c r="CM40" s="716" t="n"/>
      <c r="CN40" s="716" t="n"/>
      <c r="CO40" s="716" t="n"/>
    </row>
    <row r="41" hidden="1" ht="15.2" customFormat="1" customHeight="1" s="716">
      <c r="A41" s="716" t="n"/>
      <c r="B41" s="716" t="n"/>
      <c r="C41" s="716" t="n"/>
      <c r="D41" s="716" t="n"/>
      <c r="E41" s="716" t="n"/>
      <c r="F41" s="716" t="n"/>
      <c r="G41" s="716" t="n"/>
      <c r="H41" s="716" t="n"/>
      <c r="I41" s="716" t="n"/>
      <c r="J41" s="716" t="n"/>
      <c r="K41" s="716" t="n"/>
      <c r="L41" s="716" t="n"/>
      <c r="M41" s="716" t="n"/>
      <c r="N41" s="716" t="n"/>
      <c r="O41" s="716" t="n"/>
      <c r="P41" s="716" t="n"/>
      <c r="Q41" s="716" t="n"/>
      <c r="R41" s="716" t="n"/>
      <c r="S41" s="462" t="n"/>
      <c r="T41" s="716" t="n"/>
      <c r="U41" s="716" t="n"/>
      <c r="V41" s="716" t="n"/>
      <c r="W41" s="716" t="n"/>
      <c r="X41" s="316" t="inlineStr">
        <is>
          <t>measures</t>
        </is>
      </c>
      <c r="Y41" s="296">
        <f>IF(_epmOfflineCondition_,"YTD",EPMOlapMemberO(Y$27,"[MEASURES].[].[YTD]","YTD - Year To Date","","000"))</f>
        <v/>
      </c>
      <c r="Z41" s="296">
        <f>IF(_epmOfflineCondition_,"YTD",EPMOlapMemberO(Z$27,"[MEASURES].[].[YTD]","YTD - Year To Date","","000"))</f>
        <v/>
      </c>
      <c r="AA41" s="296">
        <f>IF(_epmOfflineCondition_,"YTD",EPMOlapMemberO(AA$27,"[MEASURES].[].[YTD]","YTD - Year To Date","","000"))</f>
        <v/>
      </c>
      <c r="AB41" s="296">
        <f>IF(_epmOfflineCondition_,"YTD",EPMOlapMemberO(AB$27,"[MEASURES].[].[YTD]","YTD - Year To Date","","000"))</f>
        <v/>
      </c>
      <c r="AC41" s="296">
        <f>IF(_epmOfflineCondition_,"YTD",EPMOlapMemberO(AC$27,"[MEASURES].[].[YTD]","YTD - Year To Date","","000"))</f>
        <v/>
      </c>
      <c r="AD41" s="296">
        <f>IF(_epmOfflineCondition_,"YTD",EPMOlapMemberO(AD$27,"[MEASURES].[].[YTD]","YTD - Year To Date","","000"))</f>
        <v/>
      </c>
      <c r="AE41" s="296">
        <f>IF(_epmOfflineCondition_,"YTD",EPMOlapMemberO(AE$27,"[MEASURES].[].[YTD]","YTD - Year To Date","","000"))</f>
        <v/>
      </c>
      <c r="AF41" s="296">
        <f>IF(_epmOfflineCondition_,"YTD",EPMOlapMemberO(AF$27,"[MEASURES].[].[YTD]","YTD - Year To Date","","000"))</f>
        <v/>
      </c>
      <c r="AG41" s="296">
        <f>IF(_epmOfflineCondition_,"Periodic",EPMOlapMemberO(AG$27,"[MEASURES].[].[PERIODIC]","PERIODIC - Periodic","","000"))</f>
        <v/>
      </c>
      <c r="AH41" s="296">
        <f>IF(_epmOfflineCondition_,"Periodic",EPMOlapMemberO(AH$27,"[MEASURES].[].[PERIODIC]","PERIODIC - Periodic","","000"))</f>
        <v/>
      </c>
      <c r="AI41" s="296">
        <f>IF(_epmOfflineCondition_,"Periodic",EPMOlapMemberO(AI$27,"[MEASURES].[].[PERIODIC]","PERIODIC - Periodic","","000"))</f>
        <v/>
      </c>
      <c r="AJ41" s="296">
        <f>IF(_epmOfflineCondition_,"Periodic",EPMOlapMemberO(AJ$27,"[MEASURES].[].[PERIODIC]","PERIODIC - Periodic","","000"))</f>
        <v/>
      </c>
      <c r="AK41" s="296">
        <f>IF(_epmOfflineCondition_,"Periodic",EPMOlapMemberO(AK$27,"[MEASURES].[].[PERIODIC]","PERIODIC - Periodic","","000"))</f>
        <v/>
      </c>
      <c r="AL41" s="296">
        <f>IF(_epmOfflineCondition_,"Periodic",EPMOlapMemberO(AL$27,"[MEASURES].[].[PERIODIC]","PERIODIC - Periodic","","000"))</f>
        <v/>
      </c>
      <c r="AM41" s="296">
        <f>IF(_epmOfflineCondition_,"Periodic",EPMOlapMemberO(AM$27,"[MEASURES].[].[PERIODIC]","PERIODIC - Periodic","","000"))</f>
        <v/>
      </c>
      <c r="AN41" s="296">
        <f>IF(_epmOfflineCondition_,"Periodic",EPMOlapMemberO(AN$27,"[MEASURES].[].[PERIODIC]","PERIODIC - Periodic","","000"))</f>
        <v/>
      </c>
      <c r="AO41" s="326" t="n"/>
      <c r="AP41" s="326" t="n"/>
      <c r="AQ41" s="326" t="n"/>
      <c r="AR41" s="326" t="n"/>
      <c r="AS41" s="326" t="n"/>
      <c r="AT41" s="326" t="n"/>
      <c r="AU41" s="326" t="n"/>
      <c r="AV41" s="326" t="n"/>
      <c r="AW41" s="326" t="n"/>
      <c r="AX41" s="326" t="n"/>
      <c r="AY41" s="326" t="n"/>
      <c r="AZ41" s="326" t="n"/>
      <c r="BA41" s="326" t="n"/>
      <c r="BB41" s="326" t="n"/>
      <c r="BC41" s="326" t="n"/>
      <c r="BD41" s="326" t="n"/>
      <c r="BE41" s="326" t="n"/>
      <c r="BF41" s="326" t="n"/>
      <c r="BG41" s="326" t="n"/>
      <c r="BH41" s="326" t="n"/>
      <c r="BI41" s="326" t="n"/>
      <c r="BJ41" s="326" t="n"/>
      <c r="BK41" s="326" t="n"/>
      <c r="BL41" s="326" t="n"/>
      <c r="BM41" s="716" t="n"/>
      <c r="BN41" s="716" t="n"/>
      <c r="BO41" s="716" t="n"/>
      <c r="BP41" s="716" t="n"/>
      <c r="BQ41" s="716" t="n"/>
      <c r="BR41" s="716" t="n"/>
      <c r="BS41" s="716" t="n"/>
      <c r="BT41" s="716" t="n"/>
      <c r="BU41" s="716" t="n"/>
      <c r="BV41" s="716" t="n"/>
      <c r="BW41" s="716" t="n"/>
      <c r="BX41" s="716" t="n"/>
      <c r="BY41" s="716" t="n"/>
      <c r="BZ41" s="716" t="n"/>
      <c r="CA41" s="716" t="n"/>
      <c r="CB41" s="716" t="n"/>
      <c r="CC41" s="716" t="n"/>
      <c r="CD41" s="716" t="n"/>
      <c r="CE41" s="716" t="n"/>
      <c r="CF41" s="716" t="n"/>
      <c r="CG41" s="716" t="n"/>
      <c r="CH41" s="716" t="n"/>
      <c r="CI41" s="716" t="n"/>
      <c r="CJ41" s="716" t="n"/>
      <c r="CK41" s="716" t="n"/>
      <c r="CL41" s="716" t="n"/>
      <c r="CM41" s="716" t="n"/>
      <c r="CN41" s="716" t="n"/>
      <c r="CO41" s="716" t="n"/>
    </row>
    <row r="42" hidden="1" ht="14.25" customFormat="1" customHeight="1" s="24">
      <c r="A42" s="24" t="n"/>
      <c r="B42" s="24" t="n"/>
      <c r="C42" s="24" t="n"/>
      <c r="D42" s="24" t="n"/>
      <c r="E42" s="24" t="n"/>
      <c r="F42" s="24" t="n"/>
      <c r="G42" s="24" t="n"/>
      <c r="H42" s="24" t="n"/>
      <c r="I42" s="24" t="n"/>
      <c r="J42" s="24" t="n"/>
      <c r="K42" s="24" t="n"/>
      <c r="L42" s="24" t="n"/>
      <c r="M42" s="24" t="n"/>
      <c r="N42" s="24" t="n"/>
      <c r="O42" s="24" t="n"/>
      <c r="P42" s="24" t="n"/>
      <c r="Q42" s="24" t="n"/>
      <c r="R42" s="24" t="n"/>
      <c r="S42" s="24" t="n"/>
      <c r="T42" s="24" t="n"/>
      <c r="U42" s="24" t="n"/>
      <c r="V42" s="24" t="n"/>
      <c r="W42" s="24" t="n"/>
      <c r="X42" s="316" t="inlineStr">
        <is>
          <t>time</t>
        </is>
      </c>
      <c r="Y42" s="286">
        <f>IF(_epmOfflineCondition_,"2025.03",EPMOlapMemberO(Y$26,"[C_TIME].[PARENTH1].[2025.03]","2025.03 - 2025.03","","000"))</f>
        <v/>
      </c>
      <c r="Z42" s="286">
        <f>IF(_epmOfflineCondition_,"2025.03",EPMOlapMemberO(Z$26,"[C_TIME].[PARENTH1].[2025.03]","2025.03 - 2025.03","","000"))</f>
        <v/>
      </c>
      <c r="AA42" s="286">
        <f>IF(_epmOfflineCondition_,"2025.03",EPMOlapMemberO(AA$26,"[C_TIME].[PARENTH1].[2025.03]","2025.03 - 2025.03","","000"))</f>
        <v/>
      </c>
      <c r="AB42" s="286">
        <f>IF(_epmOfflineCondition_,"2025.03",EPMOlapMemberO(AB$26,"[C_TIME].[PARENTH1].[2025.03]","2025.03 - 2025.03","","000"))</f>
        <v/>
      </c>
      <c r="AC42" s="286">
        <f>IF(_epmOfflineCondition_,"2025.03",EPMOlapMemberO(AC$26,"[C_TIME].[PARENTH1].[2025.03]","2025.03 - 2025.03","","000"))</f>
        <v/>
      </c>
      <c r="AD42" s="286">
        <f>IF(_epmOfflineCondition_,"2025.03",EPMOlapMemberO(AD$26,"[C_TIME].[PARENTH1].[2025.03]","2025.03 - 2025.03","","000"))</f>
        <v/>
      </c>
      <c r="AE42" s="286">
        <f>IF(_epmOfflineCondition_,"2025.03",EPMOlapMemberO(AE$26,"[C_TIME].[PARENTH1].[2025.03]","2025.03 - 2025.03","","000"))</f>
        <v/>
      </c>
      <c r="AF42" s="286">
        <f>IF(_epmOfflineCondition_,"2025.03",EPMOlapMemberO(AF$26,"[C_TIME].[PARENTH1].[2025.03]","2025.03 - 2025.03","","000"))</f>
        <v/>
      </c>
      <c r="AG42" s="286">
        <f>IF(_epmOfflineCondition_,"2025.03",EPMOlapMemberO(AG$26,"[C_TIME].[PARENTH1].[2025.03]","2025.03 - 2025.03","","000"))</f>
        <v/>
      </c>
      <c r="AH42" s="286">
        <f>IF(_epmOfflineCondition_,"2025.03",EPMOlapMemberO(AH$26,"[C_TIME].[PARENTH1].[2025.03]","2025.03 - 2025.03","","000"))</f>
        <v/>
      </c>
      <c r="AI42" s="286">
        <f>IF(_epmOfflineCondition_,"2025.03",EPMOlapMemberO(AI$26,"[C_TIME].[PARENTH1].[2025.03]","2025.03 - 2025.03","","000"))</f>
        <v/>
      </c>
      <c r="AJ42" s="286">
        <f>IF(_epmOfflineCondition_,"2025.03",EPMOlapMemberO(AJ$26,"[C_TIME].[PARENTH1].[2025.03]","2025.03 - 2025.03","","000"))</f>
        <v/>
      </c>
      <c r="AK42" s="286">
        <f>IF(_epmOfflineCondition_,"2025.03",EPMOlapMemberO(AK$26,"[C_TIME].[PARENTH1].[2025.03]","2025.03 - 2025.03","","000"))</f>
        <v/>
      </c>
      <c r="AL42" s="286">
        <f>IF(_epmOfflineCondition_,"2025.03",EPMOlapMemberO(AL$26,"[C_TIME].[PARENTH1].[2025.03]","2025.03 - 2025.03","","000"))</f>
        <v/>
      </c>
      <c r="AM42" s="286">
        <f>IF(_epmOfflineCondition_,"2025.03",EPMOlapMemberO(AM$26,"[C_TIME].[PARENTH1].[2025.03]","2025.03 - 2025.03","","000"))</f>
        <v/>
      </c>
      <c r="AN42" s="286">
        <f>IF(_epmOfflineCondition_,"2025.03",EPMOlapMemberO(AN$26,"[C_TIME].[PARENTH1].[2025.03]","2025.03 - 2025.03","","000"))</f>
        <v/>
      </c>
      <c r="AO42" s="326" t="n"/>
      <c r="AP42" s="326" t="n"/>
      <c r="AQ42" s="326" t="n"/>
      <c r="AR42" s="326" t="n"/>
      <c r="AS42" s="326" t="n"/>
      <c r="AT42" s="326" t="n"/>
      <c r="AU42" s="326" t="n"/>
      <c r="AV42" s="326" t="n"/>
      <c r="AW42" s="326" t="n"/>
      <c r="AX42" s="326" t="n"/>
      <c r="AY42" s="326" t="n"/>
      <c r="AZ42" s="326" t="n"/>
      <c r="BA42" s="326" t="n"/>
      <c r="BB42" s="326" t="n"/>
      <c r="BC42" s="326" t="n"/>
      <c r="BD42" s="326" t="n"/>
      <c r="BE42" s="326" t="n"/>
      <c r="BF42" s="326" t="n"/>
      <c r="BG42" s="326" t="n"/>
      <c r="BH42" s="326" t="n"/>
      <c r="BI42" s="326" t="n"/>
      <c r="BJ42" s="326" t="n"/>
      <c r="BK42" s="326" t="n"/>
      <c r="BL42" s="326" t="n"/>
      <c r="BM42" s="716" t="n"/>
      <c r="BN42" s="716" t="n"/>
      <c r="BO42" s="716" t="n"/>
      <c r="BP42" s="716" t="n"/>
      <c r="BQ42" s="716" t="n"/>
      <c r="BR42" s="716" t="n"/>
      <c r="BS42" s="716" t="n"/>
      <c r="BT42" s="716" t="n"/>
      <c r="BU42" s="716" t="n"/>
      <c r="BV42" s="716" t="n"/>
      <c r="BW42" s="716" t="n"/>
      <c r="BX42" s="716" t="n"/>
      <c r="BY42" s="716" t="n"/>
      <c r="BZ42" s="716" t="n"/>
      <c r="CA42" s="716" t="n"/>
      <c r="CB42" s="716" t="n"/>
      <c r="CC42" s="716" t="n"/>
      <c r="CD42" s="716" t="n"/>
      <c r="CE42" s="716" t="n"/>
      <c r="CF42" s="716" t="n"/>
      <c r="CG42" s="716" t="n"/>
      <c r="CH42" s="716" t="n"/>
      <c r="CI42" s="716" t="n"/>
      <c r="CJ42" s="716" t="n"/>
      <c r="CK42" s="716" t="n"/>
      <c r="CL42" s="716" t="n"/>
      <c r="CM42" s="716" t="n"/>
      <c r="CN42" s="716" t="n"/>
      <c r="CO42" s="716" t="n"/>
    </row>
    <row r="43" hidden="1" ht="14.25" customFormat="1" customHeight="1" s="716">
      <c r="A43" s="716" t="n"/>
      <c r="B43" s="716" t="n"/>
      <c r="C43" s="716" t="n"/>
      <c r="D43" s="716" t="n"/>
      <c r="E43" s="716" t="n"/>
      <c r="F43" s="716" t="n"/>
      <c r="G43" s="716" t="n"/>
      <c r="H43" s="716" t="n"/>
      <c r="I43" s="716" t="n"/>
      <c r="J43" s="716" t="n"/>
      <c r="K43" s="716" t="n"/>
      <c r="L43" s="716" t="n"/>
      <c r="M43" s="716" t="n"/>
      <c r="N43" s="716" t="n"/>
      <c r="O43" s="716" t="n"/>
      <c r="P43" s="716" t="n"/>
      <c r="Q43" s="716" t="n"/>
      <c r="R43" s="716" t="n"/>
      <c r="S43" s="462" t="n"/>
      <c r="T43" s="716" t="n"/>
      <c r="U43" s="716" t="n"/>
      <c r="V43" s="716" t="n"/>
      <c r="W43" s="716" t="n"/>
      <c r="X43" s="316" t="inlineStr">
        <is>
          <t>category</t>
        </is>
      </c>
      <c r="Y43" s="296">
        <f>IF(_epmOfflineCondition_,"C1001",EPMOlapMemberO(Y$25,"[C_CATEGORY].[PARENTH1].[C1001]","C1001 - 实际数/决算数","","000"))</f>
        <v/>
      </c>
      <c r="Z43" s="296">
        <f>IF(_epmOfflineCondition_,"C1001",EPMOlapMemberO(Z$25,"[C_CATEGORY].[PARENTH1].[C1001]","C1001 - 实际数/决算数","","000"))</f>
        <v/>
      </c>
      <c r="AA43" s="296">
        <f>IF(_epmOfflineCondition_,"C1001",EPMOlapMemberO(AA$25,"[C_CATEGORY].[PARENTH1].[C1001]","C1001 - 实际数/决算数","","000"))</f>
        <v/>
      </c>
      <c r="AB43" s="296">
        <f>IF(_epmOfflineCondition_,"C1001",EPMOlapMemberO(AB$25,"[C_CATEGORY].[PARENTH1].[C1001]","C1001 - 实际数/决算数","","000"))</f>
        <v/>
      </c>
      <c r="AC43" s="296">
        <f>IF(_epmOfflineCondition_,"C1001",EPMOlapMemberO(AC$25,"[C_CATEGORY].[PARENTH1].[C1001]","C1001 - 实际数/决算数","","000"))</f>
        <v/>
      </c>
      <c r="AD43" s="296">
        <f>IF(_epmOfflineCondition_,"C1001",EPMOlapMemberO(AD$25,"[C_CATEGORY].[PARENTH1].[C1001]","C1001 - 实际数/决算数","","000"))</f>
        <v/>
      </c>
      <c r="AE43" s="296">
        <f>IF(_epmOfflineCondition_,"C1001",EPMOlapMemberO(AE$25,"[C_CATEGORY].[PARENTH1].[C1001]","C1001 - 实际数/决算数","","000"))</f>
        <v/>
      </c>
      <c r="AF43" s="296">
        <f>IF(_epmOfflineCondition_,"C1001",EPMOlapMemberO(AF$25,"[C_CATEGORY].[PARENTH1].[C1001]","C1001 - 实际数/决算数","","000"))</f>
        <v/>
      </c>
      <c r="AG43" s="296">
        <f>IF(_epmOfflineCondition_,"C1001",EPMOlapMemberO(AG$25,"[C_CATEGORY].[PARENTH1].[C1001]","C1001 - 实际数/决算数","","000"))</f>
        <v/>
      </c>
      <c r="AH43" s="296">
        <f>IF(_epmOfflineCondition_,"C1001",EPMOlapMemberO(AH$25,"[C_CATEGORY].[PARENTH1].[C1001]","C1001 - 实际数/决算数","","000"))</f>
        <v/>
      </c>
      <c r="AI43" s="296">
        <f>IF(_epmOfflineCondition_,"C1001",EPMOlapMemberO(AI$25,"[C_CATEGORY].[PARENTH1].[C1001]","C1001 - 实际数/决算数","","000"))</f>
        <v/>
      </c>
      <c r="AJ43" s="296">
        <f>IF(_epmOfflineCondition_,"C1001",EPMOlapMemberO(AJ$25,"[C_CATEGORY].[PARENTH1].[C1001]","C1001 - 实际数/决算数","","000"))</f>
        <v/>
      </c>
      <c r="AK43" s="296">
        <f>IF(_epmOfflineCondition_,"C1001",EPMOlapMemberO(AK$25,"[C_CATEGORY].[PARENTH1].[C1001]","C1001 - 实际数/决算数","","000"))</f>
        <v/>
      </c>
      <c r="AL43" s="296">
        <f>IF(_epmOfflineCondition_,"C1001",EPMOlapMemberO(AL$25,"[C_CATEGORY].[PARENTH1].[C1001]","C1001 - 实际数/决算数","","000"))</f>
        <v/>
      </c>
      <c r="AM43" s="296">
        <f>IF(_epmOfflineCondition_,"C1001",EPMOlapMemberO(AM$25,"[C_CATEGORY].[PARENTH1].[C1001]","C1001 - 实际数/决算数","","000"))</f>
        <v/>
      </c>
      <c r="AN43" s="296">
        <f>IF(_epmOfflineCondition_,"C1001",EPMOlapMemberO(AN$25,"[C_CATEGORY].[PARENTH1].[C1001]","C1001 - 实际数/决算数","","000"))</f>
        <v/>
      </c>
      <c r="AO43" s="326" t="n"/>
      <c r="AP43" s="326" t="n"/>
      <c r="AQ43" s="326" t="n"/>
      <c r="AR43" s="326" t="n"/>
      <c r="AS43" s="326" t="n"/>
      <c r="AT43" s="326" t="n"/>
      <c r="AU43" s="326" t="n"/>
      <c r="AV43" s="326" t="n"/>
      <c r="AW43" s="326" t="n"/>
      <c r="AX43" s="326" t="n"/>
      <c r="AY43" s="326" t="n"/>
      <c r="AZ43" s="326" t="n"/>
      <c r="BA43" s="326" t="n"/>
      <c r="BB43" s="326" t="n"/>
      <c r="BC43" s="326" t="n"/>
      <c r="BD43" s="326" t="n"/>
      <c r="BE43" s="326" t="n"/>
      <c r="BF43" s="326" t="n"/>
      <c r="BG43" s="326" t="n"/>
      <c r="BH43" s="326" t="n"/>
      <c r="BI43" s="326" t="n"/>
      <c r="BJ43" s="326" t="n"/>
      <c r="BK43" s="326" t="n"/>
      <c r="BL43" s="326" t="n"/>
      <c r="BM43" s="716" t="n"/>
      <c r="BN43" s="716" t="n"/>
      <c r="BO43" s="716" t="n"/>
      <c r="BP43" s="716" t="n"/>
      <c r="BQ43" s="716" t="n"/>
      <c r="BR43" s="716" t="n"/>
      <c r="BS43" s="716" t="n"/>
      <c r="BT43" s="716" t="n"/>
      <c r="BU43" s="716" t="n"/>
      <c r="BV43" s="716" t="n"/>
      <c r="BW43" s="716" t="n"/>
      <c r="BX43" s="716" t="n"/>
      <c r="BY43" s="716" t="n"/>
      <c r="BZ43" s="716" t="n"/>
      <c r="CA43" s="716" t="n"/>
      <c r="CB43" s="716" t="n"/>
      <c r="CC43" s="716" t="n"/>
      <c r="CD43" s="716" t="n"/>
      <c r="CE43" s="716" t="n"/>
      <c r="CF43" s="716" t="n"/>
      <c r="CG43" s="716" t="n"/>
      <c r="CH43" s="716" t="n"/>
      <c r="CI43" s="716" t="n"/>
      <c r="CJ43" s="716" t="n"/>
      <c r="CK43" s="716" t="n"/>
      <c r="CL43" s="716" t="n"/>
      <c r="CM43" s="716" t="n"/>
      <c r="CN43" s="716" t="n"/>
      <c r="CO43" s="716" t="n"/>
    </row>
    <row r="44" hidden="1" ht="13.5" customFormat="1" customHeight="1" s="716">
      <c r="A44" s="716" t="n"/>
      <c r="B44" s="716" t="n"/>
      <c r="C44" s="716" t="n"/>
      <c r="D44" s="716" t="n"/>
      <c r="E44" s="716" t="n"/>
      <c r="F44" s="716" t="n"/>
      <c r="G44" s="716" t="n"/>
      <c r="H44" s="716" t="n"/>
      <c r="I44" s="716" t="n"/>
      <c r="J44" s="716" t="n"/>
      <c r="K44" s="716" t="n"/>
      <c r="L44" s="716" t="n"/>
      <c r="M44" s="716" t="n"/>
      <c r="N44" s="716" t="n"/>
      <c r="O44" s="716" t="n"/>
      <c r="P44" s="716" t="n"/>
      <c r="Q44" s="716" t="n"/>
      <c r="R44" s="716" t="n"/>
      <c r="S44" s="462" t="n"/>
      <c r="T44" s="716" t="n"/>
      <c r="U44" s="716" t="n"/>
      <c r="V44" s="716" t="n"/>
      <c r="W44" s="716" t="n"/>
      <c r="X44" s="316" t="inlineStr">
        <is>
          <t>FLow</t>
        </is>
      </c>
      <c r="Y44" s="296">
        <f>IF(_epmOfflineCondition_,"F20",EPMOlapMemberO(Y$28,"[C_FLOW].[PARENTH1].[F20]","F20 - 本期增加","","000"))</f>
        <v/>
      </c>
      <c r="Z44" s="296">
        <f>IF(_epmOfflineCondition_,"F20",EPMOlapMemberO(Z$28,"[C_FLOW].[PARENTH1].[F20]","F20 - 本期增加","","000"))</f>
        <v/>
      </c>
      <c r="AA44" s="296">
        <f>IF(_epmOfflineCondition_,"F20",EPMOlapMemberO(AA$28,"[C_FLOW].[PARENTH1].[F20]","F20 - 本期增加","","000"))</f>
        <v/>
      </c>
      <c r="AB44" s="296">
        <f>IF(_epmOfflineCondition_,"F20",EPMOlapMemberO(AB$28,"[C_FLOW].[PARENTH1].[F20]","F20 - 本期增加","","000"))</f>
        <v/>
      </c>
      <c r="AC44" s="296">
        <f>IF(_epmOfflineCondition_,"F20",EPMOlapMemberO(AC$28,"[C_FLOW].[PARENTH1].[F20]","F20 - 本期增加","","000"))</f>
        <v/>
      </c>
      <c r="AD44" s="296">
        <f>IF(_epmOfflineCondition_,"F20",EPMOlapMemberO(AD$28,"[C_FLOW].[PARENTH1].[F20]","F20 - 本期增加","","000"))</f>
        <v/>
      </c>
      <c r="AE44" s="296">
        <f>IF(_epmOfflineCondition_,"F20",EPMOlapMemberO(AE$28,"[C_FLOW].[PARENTH1].[F20]","F20 - 本期增加","","000"))</f>
        <v/>
      </c>
      <c r="AF44" s="296">
        <f>IF(_epmOfflineCondition_,"F20",EPMOlapMemberO(AF$28,"[C_FLOW].[PARENTH1].[F20]","F20 - 本期增加","","000"))</f>
        <v/>
      </c>
      <c r="AG44" s="296">
        <f>IF(_epmOfflineCondition_,"F20",EPMOlapMemberO(AG$28,"[C_FLOW].[PARENTH1].[F20]","F20 - 本期增加","","000"))</f>
        <v/>
      </c>
      <c r="AH44" s="296">
        <f>IF(_epmOfflineCondition_,"F20",EPMOlapMemberO(AH$28,"[C_FLOW].[PARENTH1].[F20]","F20 - 本期增加","","000"))</f>
        <v/>
      </c>
      <c r="AI44" s="296">
        <f>IF(_epmOfflineCondition_,"F20",EPMOlapMemberO(AI$28,"[C_FLOW].[PARENTH1].[F20]","F20 - 本期增加","","000"))</f>
        <v/>
      </c>
      <c r="AJ44" s="296">
        <f>IF(_epmOfflineCondition_,"F20",EPMOlapMemberO(AJ$28,"[C_FLOW].[PARENTH1].[F20]","F20 - 本期增加","","000"))</f>
        <v/>
      </c>
      <c r="AK44" s="296">
        <f>IF(_epmOfflineCondition_,"F20",EPMOlapMemberO(AK$28,"[C_FLOW].[PARENTH1].[F20]","F20 - 本期增加","","000"))</f>
        <v/>
      </c>
      <c r="AL44" s="296">
        <f>IF(_epmOfflineCondition_,"F20",EPMOlapMemberO(AL$28,"[C_FLOW].[PARENTH1].[F20]","F20 - 本期增加","","000"))</f>
        <v/>
      </c>
      <c r="AM44" s="296">
        <f>IF(_epmOfflineCondition_,"F20",EPMOlapMemberO(AM$28,"[C_FLOW].[PARENTH1].[F20]","F20 - 本期增加","","000"))</f>
        <v/>
      </c>
      <c r="AN44" s="296">
        <f>IF(_epmOfflineCondition_,"F20",EPMOlapMemberO(AN$28,"[C_FLOW].[PARENTH1].[F20]","F20 - 本期增加","","000"))</f>
        <v/>
      </c>
      <c r="AO44" s="326" t="n"/>
      <c r="AP44" s="326" t="n"/>
      <c r="AQ44" s="326" t="n"/>
      <c r="AR44" s="326" t="n"/>
      <c r="AS44" s="326" t="n"/>
      <c r="AT44" s="326" t="n"/>
      <c r="AU44" s="326" t="n"/>
      <c r="AV44" s="326" t="n"/>
      <c r="AW44" s="326" t="n"/>
      <c r="AX44" s="326" t="n"/>
      <c r="AY44" s="326" t="n"/>
      <c r="AZ44" s="326" t="n"/>
      <c r="BA44" s="326" t="n"/>
      <c r="BB44" s="326" t="n"/>
      <c r="BC44" s="326" t="n"/>
      <c r="BD44" s="326" t="n"/>
      <c r="BE44" s="326" t="n"/>
      <c r="BF44" s="326" t="n"/>
      <c r="BG44" s="326" t="n"/>
      <c r="BH44" s="326" t="n"/>
      <c r="BI44" s="326" t="n"/>
      <c r="BJ44" s="326" t="n"/>
      <c r="BK44" s="326" t="n"/>
      <c r="BL44" s="326" t="n"/>
      <c r="BM44" s="716" t="n"/>
      <c r="BN44" s="716" t="n"/>
      <c r="BO44" s="716" t="n"/>
      <c r="BP44" s="716" t="n"/>
      <c r="BQ44" s="716" t="n"/>
      <c r="BR44" s="716" t="n"/>
      <c r="BS44" s="716" t="n"/>
      <c r="BT44" s="716" t="n"/>
      <c r="BU44" s="716" t="n"/>
      <c r="BV44" s="716" t="n"/>
      <c r="BW44" s="716" t="n"/>
      <c r="BX44" s="716" t="n"/>
      <c r="BY44" s="716" t="n"/>
      <c r="BZ44" s="716" t="n"/>
      <c r="CA44" s="716" t="n"/>
      <c r="CB44" s="716" t="n"/>
      <c r="CC44" s="716" t="n"/>
      <c r="CD44" s="716" t="n"/>
      <c r="CE44" s="716" t="n"/>
      <c r="CF44" s="716" t="n"/>
      <c r="CG44" s="716" t="n"/>
      <c r="CH44" s="716" t="n"/>
      <c r="CI44" s="716" t="n"/>
      <c r="CJ44" s="716" t="n"/>
      <c r="CK44" s="716" t="n"/>
      <c r="CL44" s="716" t="n"/>
      <c r="CM44" s="716" t="n"/>
      <c r="CN44" s="716" t="n"/>
      <c r="CO44" s="716" t="n"/>
    </row>
    <row r="45" hidden="1" ht="13.5" customFormat="1" customHeight="1" s="716">
      <c r="A45" s="716" t="n"/>
      <c r="B45" s="716" t="n"/>
      <c r="C45" s="716" t="n"/>
      <c r="D45" s="716" t="n"/>
      <c r="E45" s="716" t="n"/>
      <c r="F45" s="716" t="n"/>
      <c r="G45" s="716" t="n"/>
      <c r="H45" s="716" t="n"/>
      <c r="I45" s="716" t="n"/>
      <c r="J45" s="716" t="n"/>
      <c r="K45" s="716" t="n"/>
      <c r="L45" s="716" t="n"/>
      <c r="M45" s="716" t="n"/>
      <c r="N45" s="716" t="n"/>
      <c r="O45" s="716" t="n"/>
      <c r="P45" s="716" t="n"/>
      <c r="Q45" s="716" t="n"/>
      <c r="R45" s="716" t="n"/>
      <c r="S45" s="462" t="n"/>
      <c r="T45" s="716" t="n"/>
      <c r="U45" s="716" t="n"/>
      <c r="V45" s="716" t="n"/>
      <c r="W45" s="716" t="n"/>
      <c r="X45" s="316" t="inlineStr">
        <is>
          <t>misk</t>
        </is>
      </c>
      <c r="Y45" s="296">
        <f>IF(_epmOfflineCondition_,"ZM030",EPMOlapMemberO(Y$29,"[C_MISK].[PARENTH1].[ZM030]","ZM030 - 发电企业电力板块","","000"))</f>
        <v/>
      </c>
      <c r="Z45" s="296">
        <f>IF(_epmOfflineCondition_,"ZM0300101",EPMOlapMemberO(Z$29,"[C_MISK].[PARENTH1].[ZM0300101]","ZM0300101 - 火力发电","","000"))</f>
        <v/>
      </c>
      <c r="AA45" s="296">
        <f>IF(_epmOfflineCondition_,"ZM0300102",EPMOlapMemberO(AA$29,"[C_MISK].[PARENTH1].[ZM0300102]","ZM0300102 - 风力发电","","000"))</f>
        <v/>
      </c>
      <c r="AB45" s="296">
        <f>IF(_epmOfflineCondition_,"ZM0300103",EPMOlapMemberO(AB$29,"[C_MISK].[PARENTH1].[ZM0300103]","ZM0300103 - 光伏发电","","000"))</f>
        <v/>
      </c>
      <c r="AC45" s="296">
        <f>IF(_epmOfflineCondition_,"ZM0300104",EPMOlapMemberO(AC$29,"[C_MISK].[PARENTH1].[ZM0300104]","ZM0300104 - 燃气发电","","000"))</f>
        <v/>
      </c>
      <c r="AD45" s="296">
        <f>IF(_epmOfflineCondition_,"ZM0300105",EPMOlapMemberO(AD$29,"[C_MISK].[PARENTH1].[ZM0300105]","ZM0300105 - 水力发电","","000"))</f>
        <v/>
      </c>
      <c r="AE45" s="296">
        <f>IF(_epmOfflineCondition_,"ZM0300201",EPMOlapMemberO(AE$29,"[C_MISK].[PARENTH1].[ZM0300201]","ZM0300201 - 售热","","000"))</f>
        <v/>
      </c>
      <c r="AF45" s="296">
        <f>IF(_epmOfflineCondition_,"ZM0300202",EPMOlapMemberO(AF$29,"[C_MISK].[PARENTH1].[ZM0300202]","ZM0300202 - 售电服务","","000"))</f>
        <v/>
      </c>
      <c r="AG45" s="296">
        <f>IF(_epmOfflineCondition_,"ZM030",EPMOlapMemberO(AG$29,"[C_MISK].[PARENTH1].[ZM030]","ZM030 - 发电企业电力板块","","000"))</f>
        <v/>
      </c>
      <c r="AH45" s="296">
        <f>IF(_epmOfflineCondition_,"ZM0300101",EPMOlapMemberO(AH$29,"[C_MISK].[PARENTH1].[ZM0300101]","ZM0300101 - 火力发电","","000"))</f>
        <v/>
      </c>
      <c r="AI45" s="296">
        <f>IF(_epmOfflineCondition_,"ZM0300102",EPMOlapMemberO(AI$29,"[C_MISK].[PARENTH1].[ZM0300102]","ZM0300102 - 风力发电","","000"))</f>
        <v/>
      </c>
      <c r="AJ45" s="296">
        <f>IF(_epmOfflineCondition_,"ZM0300103",EPMOlapMemberO(AJ$29,"[C_MISK].[PARENTH1].[ZM0300103]","ZM0300103 - 光伏发电","","000"))</f>
        <v/>
      </c>
      <c r="AK45" s="296">
        <f>IF(_epmOfflineCondition_,"ZM0300104",EPMOlapMemberO(AK$29,"[C_MISK].[PARENTH1].[ZM0300104]","ZM0300104 - 燃气发电","","000"))</f>
        <v/>
      </c>
      <c r="AL45" s="296">
        <f>IF(_epmOfflineCondition_,"ZM0300105",EPMOlapMemberO(AL$29,"[C_MISK].[PARENTH1].[ZM0300105]","ZM0300105 - 水力发电","","000"))</f>
        <v/>
      </c>
      <c r="AM45" s="296">
        <f>IF(_epmOfflineCondition_,"ZM0300201",EPMOlapMemberO(AM$29,"[C_MISK].[PARENTH1].[ZM0300201]","ZM0300201 - 售热","","000"))</f>
        <v/>
      </c>
      <c r="AN45" s="296">
        <f>IF(_epmOfflineCondition_,"ZM0300202",EPMOlapMemberO(AN$29,"[C_MISK].[PARENTH1].[ZM0300202]","ZM0300202 - 售电服务","","000"))</f>
        <v/>
      </c>
      <c r="AO45" s="326" t="n"/>
      <c r="AP45" s="326" t="n"/>
      <c r="AQ45" s="326" t="n"/>
      <c r="AR45" s="326" t="n"/>
      <c r="AS45" s="326" t="n"/>
      <c r="AT45" s="326" t="n"/>
      <c r="AU45" s="326" t="n"/>
      <c r="AV45" s="326" t="n"/>
      <c r="AW45" s="326" t="n"/>
      <c r="AX45" s="326" t="n"/>
      <c r="AY45" s="326" t="n"/>
      <c r="AZ45" s="326" t="n"/>
      <c r="BA45" s="326" t="n"/>
      <c r="BB45" s="326" t="n"/>
      <c r="BC45" s="326" t="n"/>
      <c r="BD45" s="326" t="n"/>
      <c r="BE45" s="326" t="n"/>
      <c r="BF45" s="326" t="n"/>
      <c r="BG45" s="326" t="n"/>
      <c r="BH45" s="326" t="n"/>
      <c r="BI45" s="326" t="n"/>
      <c r="BJ45" s="326" t="n"/>
      <c r="BK45" s="326" t="n"/>
      <c r="BL45" s="326" t="n"/>
      <c r="BM45" s="716" t="n"/>
      <c r="BN45" s="716" t="n"/>
      <c r="BO45" s="716" t="n"/>
      <c r="BP45" s="716" t="n"/>
      <c r="BQ45" s="716" t="n"/>
      <c r="BR45" s="716" t="n"/>
      <c r="BS45" s="716" t="n"/>
      <c r="BT45" s="716" t="n"/>
      <c r="BU45" s="716" t="n"/>
      <c r="BV45" s="716" t="n"/>
      <c r="BW45" s="716" t="n"/>
      <c r="BX45" s="716" t="n"/>
      <c r="BY45" s="716" t="n"/>
      <c r="BZ45" s="716" t="n"/>
      <c r="CA45" s="716" t="n"/>
      <c r="CB45" s="716" t="n"/>
      <c r="CC45" s="716" t="n"/>
      <c r="CD45" s="716" t="n"/>
      <c r="CE45" s="716" t="n"/>
      <c r="CF45" s="716" t="n"/>
      <c r="CG45" s="716" t="n"/>
      <c r="CH45" s="716" t="n"/>
      <c r="CI45" s="716" t="n"/>
      <c r="CJ45" s="716" t="n"/>
      <c r="CK45" s="716" t="n"/>
      <c r="CL45" s="716" t="n"/>
      <c r="CM45" s="716" t="n"/>
      <c r="CN45" s="716" t="n"/>
      <c r="CO45" s="716" t="n"/>
    </row>
    <row r="46" ht="13.5" customFormat="1" customHeight="1" s="716">
      <c r="A46" s="716" t="n"/>
      <c r="B46" s="716" t="n"/>
      <c r="C46" s="716" t="n"/>
      <c r="D46" s="716" t="n"/>
      <c r="E46" s="716" t="n"/>
      <c r="F46" s="716" t="n"/>
      <c r="G46" s="716" t="n"/>
      <c r="H46" s="716" t="n"/>
      <c r="I46" s="716" t="n"/>
      <c r="J46" s="716" t="n"/>
      <c r="K46" s="716" t="n"/>
      <c r="L46" s="716" t="n"/>
      <c r="M46" s="716" t="n"/>
      <c r="N46" s="716" t="n"/>
      <c r="O46" s="716" t="n"/>
      <c r="P46" s="716" t="n"/>
      <c r="Q46" s="716" t="n"/>
      <c r="R46" s="716" t="n"/>
      <c r="S46" s="462">
        <f>IF(_epmOfflineCondition_,"计划检修费表-合计",EPMMemberDesc(U46))</f>
        <v/>
      </c>
      <c r="T46" s="716" t="n"/>
      <c r="U46" s="889" t="inlineStr">
        <is>
          <t>A031</t>
        </is>
      </c>
      <c r="V46" s="889">
        <f>IF(_epmOfflineCondition_,"A031",EPMOlapMemberO(U46,"[C_ACCOUNT].[PARENTH1].[A031]","A031 - 计划检修费表-合计","","000"))</f>
        <v/>
      </c>
      <c r="W46" s="716" t="n"/>
      <c r="X46" s="1438" t="inlineStr">
        <is>
          <t>合计</t>
        </is>
      </c>
      <c r="Y46" s="1439">
        <f>SUM(Z46:AF46)</f>
        <v/>
      </c>
      <c r="Z46" s="1440">
        <f>Z47+Z50+Z55+Z56</f>
        <v/>
      </c>
      <c r="AA46" s="1440">
        <f>AA47+AA50+AA55+AA56</f>
        <v/>
      </c>
      <c r="AB46" s="1440">
        <f>AB47+AB50+AB55+AB56</f>
        <v/>
      </c>
      <c r="AC46" s="1440">
        <f>AC47+AC50+AC55+AC56</f>
        <v/>
      </c>
      <c r="AD46" s="1440">
        <f>AD47+AD50+AD55+AD56</f>
        <v/>
      </c>
      <c r="AE46" s="1440">
        <f>AE47+AE50+AE55+AE56</f>
        <v/>
      </c>
      <c r="AF46" s="1440">
        <f>AF47+AF50+AF55+AF56</f>
        <v/>
      </c>
      <c r="AG46" s="1440">
        <f>AG47+AG50+AG55+AG56</f>
        <v/>
      </c>
      <c r="AH46" s="1440">
        <f>AH47+AH50+AH55+AH56</f>
        <v/>
      </c>
      <c r="AI46" s="1440">
        <f>AI47+AI50+AI55+AI56</f>
        <v/>
      </c>
      <c r="AJ46" s="1440">
        <f>AJ47+AJ50+AJ55+AJ56</f>
        <v/>
      </c>
      <c r="AK46" s="1440">
        <f>AK47+AK50+AK55+AK56</f>
        <v/>
      </c>
      <c r="AL46" s="1440">
        <f>AL47+AL50+AL55+AL56</f>
        <v/>
      </c>
      <c r="AM46" s="1440">
        <f>AM47+AM50+AM55+AM56</f>
        <v/>
      </c>
      <c r="AN46" s="1440">
        <f>AN47+AN50+AN55+AN56</f>
        <v/>
      </c>
      <c r="AO46" s="1441">
        <f>AO47+AO50+AO55+AO56</f>
        <v/>
      </c>
      <c r="AP46" s="1441">
        <f>AP47+AP50+AP55+AP56</f>
        <v/>
      </c>
      <c r="AQ46" s="1441">
        <f>AQ47+AQ50+AQ55+AQ56</f>
        <v/>
      </c>
      <c r="AR46" s="1441">
        <f>AR47+AR50+AR55+AR56</f>
        <v/>
      </c>
      <c r="AS46" s="1441">
        <f>AS47+AS50+AS55+AS56</f>
        <v/>
      </c>
      <c r="AT46" s="1441">
        <f>AT47+AT50+AT55+AT56</f>
        <v/>
      </c>
      <c r="AU46" s="1441">
        <f>AU47+AU50+AU55+AU56</f>
        <v/>
      </c>
      <c r="AV46" s="1441">
        <f>AV47+AV50+AV55+AV56</f>
        <v/>
      </c>
      <c r="AW46" s="1441">
        <f>AW47+AW50+AW55+AW56</f>
        <v/>
      </c>
      <c r="AX46" s="1441">
        <f>AX47+AX50+AX55+AX56</f>
        <v/>
      </c>
      <c r="AY46" s="1441">
        <f>AY47+AY50+AY55+AY56</f>
        <v/>
      </c>
      <c r="AZ46" s="1441">
        <f>AZ47+AZ50+AZ55+AZ56</f>
        <v/>
      </c>
      <c r="BA46" s="1441">
        <f>BA47+BA50+BA55+BA56</f>
        <v/>
      </c>
      <c r="BB46" s="1441">
        <f>BB47+BB50+BB55+BB56</f>
        <v/>
      </c>
      <c r="BC46" s="1441">
        <f>BC47+BC50+BC55+BC56</f>
        <v/>
      </c>
      <c r="BD46" s="1441">
        <f>BD47+BD50+BD55+BD56</f>
        <v/>
      </c>
      <c r="BE46" s="1441">
        <f>BE47+BE50+BE55+BE56</f>
        <v/>
      </c>
      <c r="BF46" s="1441">
        <f>BF47+BF50+BF55+BF56</f>
        <v/>
      </c>
      <c r="BG46" s="1441">
        <f>BG47+BG50+BG55+BG56</f>
        <v/>
      </c>
      <c r="BH46" s="1441">
        <f>BH47+BH50+BH55+BH56</f>
        <v/>
      </c>
      <c r="BI46" s="1441">
        <f>BI47+BI50+BI55+BI56</f>
        <v/>
      </c>
      <c r="BJ46" s="1441">
        <f>BJ47+BJ50+BJ55+BJ56</f>
        <v/>
      </c>
      <c r="BK46" s="1441">
        <f>BK47+BK50+BK55+BK56</f>
        <v/>
      </c>
      <c r="BL46" s="1441">
        <f>BL47+BL50+BL55+BL56</f>
        <v/>
      </c>
      <c r="BM46" s="716" t="n"/>
      <c r="BN46" s="716" t="n"/>
      <c r="BO46" s="716" t="n"/>
      <c r="BP46" s="716" t="n"/>
      <c r="BQ46" s="716" t="n"/>
      <c r="BR46" s="716" t="n"/>
      <c r="BS46" s="716" t="n"/>
      <c r="BT46" s="716" t="n"/>
      <c r="BU46" s="716" t="n"/>
      <c r="BV46" s="716" t="n"/>
      <c r="BW46" s="716" t="n"/>
      <c r="BX46" s="716" t="n"/>
      <c r="BY46" s="716" t="n"/>
      <c r="BZ46" s="716" t="n"/>
      <c r="CA46" s="716" t="n"/>
      <c r="CB46" s="716" t="n"/>
      <c r="CC46" s="716" t="n"/>
      <c r="CD46" s="716" t="n"/>
      <c r="CE46" s="716" t="n"/>
      <c r="CF46" s="716" t="n"/>
      <c r="CG46" s="716" t="n"/>
      <c r="CH46" s="716" t="n"/>
      <c r="CI46" s="716" t="n"/>
      <c r="CJ46" s="716" t="n"/>
      <c r="CK46" s="716" t="n"/>
      <c r="CL46" s="716" t="n"/>
      <c r="CM46" s="716" t="n"/>
      <c r="CN46" s="716" t="n"/>
      <c r="CO46" s="716" t="n"/>
    </row>
    <row r="47" ht="16.5" customFormat="1" customHeight="1" s="716">
      <c r="A47" s="716" t="n"/>
      <c r="B47" s="716" t="n"/>
      <c r="C47" s="716" t="n"/>
      <c r="D47" s="716" t="n"/>
      <c r="E47" s="716" t="n"/>
      <c r="F47" s="716" t="n"/>
      <c r="G47" s="716" t="n"/>
      <c r="H47" s="716" t="n"/>
      <c r="I47" s="716" t="n"/>
      <c r="J47" s="716" t="n"/>
      <c r="K47" s="716" t="n"/>
      <c r="L47" s="716" t="n"/>
      <c r="M47" s="716" t="n"/>
      <c r="N47" s="716" t="n"/>
      <c r="O47" s="716" t="n"/>
      <c r="P47" s="716" t="n"/>
      <c r="Q47" s="716" t="n"/>
      <c r="R47" s="716" t="n"/>
      <c r="S47" s="462">
        <f>IF(_epmOfflineCondition_,"A级检修项目",EPMMemberDesc(U47))</f>
        <v/>
      </c>
      <c r="T47" s="716" t="n"/>
      <c r="U47" s="97" t="inlineStr">
        <is>
          <t>A03101</t>
        </is>
      </c>
      <c r="V47" s="97">
        <f>IF(_epmOfflineCondition_,"A03101",EPMOlapMemberO(U47,"[C_ACCOUNT].[PARENTH1].[A03101]","A03101 - A级检修项目","","000"))</f>
        <v/>
      </c>
      <c r="W47" s="462" t="n"/>
      <c r="X47" s="1438" t="inlineStr">
        <is>
          <t>A级检修项目</t>
        </is>
      </c>
      <c r="Y47" s="1439">
        <f>SUM(Z47:AF47)</f>
        <v/>
      </c>
      <c r="Z47" s="1439">
        <f>Z48+Z49</f>
        <v/>
      </c>
      <c r="AA47" s="1439">
        <f>AA48+AA49</f>
        <v/>
      </c>
      <c r="AB47" s="1439">
        <f>AB48+AB49</f>
        <v/>
      </c>
      <c r="AC47" s="1439">
        <f>AC48+AC49</f>
        <v/>
      </c>
      <c r="AD47" s="1439">
        <f>AD48+AD49</f>
        <v/>
      </c>
      <c r="AE47" s="1439">
        <f>AE48+AE49</f>
        <v/>
      </c>
      <c r="AF47" s="1439">
        <f>AF48+AF49</f>
        <v/>
      </c>
      <c r="AG47" s="1439">
        <f>AG48+AG49</f>
        <v/>
      </c>
      <c r="AH47" s="1439">
        <f>AH48+AH49</f>
        <v/>
      </c>
      <c r="AI47" s="1439">
        <f>AI48+AI49</f>
        <v/>
      </c>
      <c r="AJ47" s="1439">
        <f>AJ48+AJ49</f>
        <v/>
      </c>
      <c r="AK47" s="1439">
        <f>AK48+AK49</f>
        <v/>
      </c>
      <c r="AL47" s="1439">
        <f>AL48+AL49</f>
        <v/>
      </c>
      <c r="AM47" s="1439">
        <f>AM48+AM49</f>
        <v/>
      </c>
      <c r="AN47" s="1439">
        <f>AN48+AN49</f>
        <v/>
      </c>
      <c r="AO47" s="1442">
        <f>AO48+AO49</f>
        <v/>
      </c>
      <c r="AP47" s="1442">
        <f>AP48+AP49</f>
        <v/>
      </c>
      <c r="AQ47" s="1442">
        <f>AQ48+AQ49</f>
        <v/>
      </c>
      <c r="AR47" s="1442">
        <f>AR48+AR49</f>
        <v/>
      </c>
      <c r="AS47" s="1442">
        <f>AS48+AS49</f>
        <v/>
      </c>
      <c r="AT47" s="1442">
        <f>AT48+AT49</f>
        <v/>
      </c>
      <c r="AU47" s="1442">
        <f>AU48+AU49</f>
        <v/>
      </c>
      <c r="AV47" s="1442">
        <f>AV48+AV49</f>
        <v/>
      </c>
      <c r="AW47" s="1442">
        <f>AW48+AW49</f>
        <v/>
      </c>
      <c r="AX47" s="1442">
        <f>AX48+AX49</f>
        <v/>
      </c>
      <c r="AY47" s="1442">
        <f>AY48+AY49</f>
        <v/>
      </c>
      <c r="AZ47" s="1442">
        <f>AZ48+AZ49</f>
        <v/>
      </c>
      <c r="BA47" s="1442">
        <f>BA48+BA49</f>
        <v/>
      </c>
      <c r="BB47" s="1442">
        <f>BB48+BB49</f>
        <v/>
      </c>
      <c r="BC47" s="1442">
        <f>BC48+BC49</f>
        <v/>
      </c>
      <c r="BD47" s="1442">
        <f>BD48+BD49</f>
        <v/>
      </c>
      <c r="BE47" s="1442">
        <f>BE48+BE49</f>
        <v/>
      </c>
      <c r="BF47" s="1442">
        <f>BF48+BF49</f>
        <v/>
      </c>
      <c r="BG47" s="1442">
        <f>BG48+BG49</f>
        <v/>
      </c>
      <c r="BH47" s="1442">
        <f>BH48+BH49</f>
        <v/>
      </c>
      <c r="BI47" s="1442">
        <f>BI48+BI49</f>
        <v/>
      </c>
      <c r="BJ47" s="1442">
        <f>BJ48+BJ49</f>
        <v/>
      </c>
      <c r="BK47" s="1442">
        <f>BK48+BK49</f>
        <v/>
      </c>
      <c r="BL47" s="1442">
        <f>BL48+BL49</f>
        <v/>
      </c>
      <c r="BM47" s="716" t="n"/>
      <c r="BN47" s="716" t="n"/>
      <c r="BO47" s="716" t="n"/>
      <c r="BP47" s="716" t="n"/>
      <c r="BQ47" s="716" t="n"/>
      <c r="BR47" s="716" t="n"/>
      <c r="BS47" s="716" t="n"/>
      <c r="BT47" s="716" t="n"/>
      <c r="BU47" s="716" t="n"/>
      <c r="BV47" s="716" t="n"/>
      <c r="BW47" s="716" t="n"/>
      <c r="BX47" s="716" t="n"/>
      <c r="BY47" s="716" t="n"/>
      <c r="BZ47" s="716" t="n"/>
      <c r="CA47" s="716" t="n"/>
      <c r="CB47" s="716" t="n"/>
      <c r="CC47" s="716" t="n"/>
      <c r="CD47" s="716" t="n"/>
      <c r="CE47" s="716" t="n"/>
      <c r="CF47" s="716" t="n"/>
      <c r="CG47" s="716" t="n"/>
      <c r="CH47" s="716" t="n"/>
      <c r="CI47" s="716" t="n"/>
      <c r="CJ47" s="716" t="n"/>
      <c r="CK47" s="716" t="n"/>
      <c r="CL47" s="716" t="n"/>
      <c r="CM47" s="716" t="n"/>
      <c r="CN47" s="716" t="n"/>
      <c r="CO47" s="716" t="n"/>
    </row>
    <row r="48" ht="16.5" customFormat="1" customHeight="1" s="716">
      <c r="A48" s="716" t="n"/>
      <c r="B48" s="716" t="n"/>
      <c r="C48" s="716" t="n"/>
      <c r="D48" s="716" t="n"/>
      <c r="E48" s="716" t="n"/>
      <c r="F48" s="716" t="n"/>
      <c r="G48" s="716" t="n"/>
      <c r="H48" s="716" t="n"/>
      <c r="I48" s="716" t="n"/>
      <c r="J48" s="716" t="n"/>
      <c r="K48" s="716" t="n"/>
      <c r="L48" s="716" t="n"/>
      <c r="M48" s="716" t="n"/>
      <c r="N48" s="716" t="n"/>
      <c r="O48" s="716" t="n"/>
      <c r="P48" s="716" t="n"/>
      <c r="Q48" s="716" t="n"/>
      <c r="R48" s="716" t="n"/>
      <c r="S48" s="462">
        <f>IF(_epmOfflineCondition_,"标准项目修理费",EPMMemberDesc(U48))</f>
        <v/>
      </c>
      <c r="T48" s="716" t="n"/>
      <c r="U48" s="135" t="inlineStr">
        <is>
          <t>A0310101</t>
        </is>
      </c>
      <c r="V48" s="135">
        <f>IF(_epmOfflineCondition_,"A0310101",EPMOlapMemberO(U48,"[C_ACCOUNT].[PARENTH1].[A0310101]","A0310101 - 标准项目修理费","","000"))</f>
        <v/>
      </c>
      <c r="W48" s="462" t="n"/>
      <c r="X48" s="1443" t="inlineStr">
        <is>
          <t>标准项目修理费</t>
        </is>
      </c>
      <c r="Y48" s="1439">
        <f>SUM(Z48:AF48)</f>
        <v/>
      </c>
      <c r="Z48" s="1444" t="n"/>
      <c r="AA48" s="1444" t="n"/>
      <c r="AB48" s="1444" t="n"/>
      <c r="AC48" s="1444" t="n"/>
      <c r="AD48" s="1444" t="n"/>
      <c r="AE48" s="1444" t="n"/>
      <c r="AF48" s="1444" t="n"/>
      <c r="AG48" s="1445" t="n"/>
      <c r="AH48" s="1445" t="n"/>
      <c r="AI48" s="1445" t="n"/>
      <c r="AJ48" s="1445" t="n"/>
      <c r="AK48" s="1445" t="n"/>
      <c r="AL48" s="1445" t="n"/>
      <c r="AM48" s="1445" t="n"/>
      <c r="AN48" s="1445" t="n"/>
      <c r="AO48" s="1446" t="n"/>
      <c r="AP48" s="1446" t="n"/>
      <c r="AQ48" s="1446" t="n"/>
      <c r="AR48" s="1446" t="n"/>
      <c r="AS48" s="1446" t="n"/>
      <c r="AT48" s="1446" t="n"/>
      <c r="AU48" s="1446" t="n"/>
      <c r="AV48" s="1446" t="n"/>
      <c r="AW48" s="1446" t="n"/>
      <c r="AX48" s="1446" t="n"/>
      <c r="AY48" s="1446" t="n"/>
      <c r="AZ48" s="1446" t="n"/>
      <c r="BA48" s="1446" t="n"/>
      <c r="BB48" s="1446" t="n"/>
      <c r="BC48" s="1446" t="n"/>
      <c r="BD48" s="1446" t="n"/>
      <c r="BE48" s="1446" t="n"/>
      <c r="BF48" s="1446" t="n"/>
      <c r="BG48" s="1446" t="n"/>
      <c r="BH48" s="1446" t="n"/>
      <c r="BI48" s="1446" t="n"/>
      <c r="BJ48" s="1446" t="n"/>
      <c r="BK48" s="1446" t="n"/>
      <c r="BL48" s="1446" t="n"/>
      <c r="BM48" s="716" t="n"/>
      <c r="BN48" s="716" t="n"/>
      <c r="BO48" s="716" t="n"/>
      <c r="BP48" s="716" t="n"/>
      <c r="BQ48" s="716" t="n"/>
      <c r="BR48" s="716" t="n"/>
      <c r="BS48" s="716" t="n"/>
      <c r="BT48" s="716" t="n"/>
      <c r="BU48" s="716" t="n"/>
      <c r="BV48" s="716" t="n"/>
      <c r="BW48" s="716" t="n"/>
      <c r="BX48" s="716" t="n"/>
      <c r="BY48" s="716" t="n"/>
      <c r="BZ48" s="716" t="n"/>
      <c r="CA48" s="716" t="n"/>
      <c r="CB48" s="716" t="n"/>
      <c r="CC48" s="716" t="n"/>
      <c r="CD48" s="716" t="n"/>
      <c r="CE48" s="716" t="n"/>
      <c r="CF48" s="716" t="n"/>
      <c r="CG48" s="716" t="n"/>
      <c r="CH48" s="716" t="n"/>
      <c r="CI48" s="716" t="n"/>
      <c r="CJ48" s="716" t="n"/>
      <c r="CK48" s="716" t="n"/>
      <c r="CL48" s="716" t="n"/>
      <c r="CM48" s="716" t="n"/>
      <c r="CN48" s="716" t="n"/>
      <c r="CO48" s="716" t="n"/>
    </row>
    <row r="49" ht="16.5" customFormat="1" customHeight="1" s="716">
      <c r="A49" s="716" t="n"/>
      <c r="B49" s="716" t="n"/>
      <c r="C49" s="716" t="n"/>
      <c r="D49" s="716" t="n"/>
      <c r="E49" s="716" t="n"/>
      <c r="F49" s="716" t="n"/>
      <c r="G49" s="716" t="n"/>
      <c r="H49" s="716" t="n"/>
      <c r="I49" s="716" t="n"/>
      <c r="J49" s="716" t="n"/>
      <c r="K49" s="716" t="n"/>
      <c r="L49" s="716" t="n"/>
      <c r="M49" s="716" t="n"/>
      <c r="N49" s="716" t="n"/>
      <c r="O49" s="716" t="n"/>
      <c r="P49" s="716" t="n"/>
      <c r="Q49" s="716" t="n"/>
      <c r="R49" s="716" t="n"/>
      <c r="S49" s="462">
        <f>IF(_epmOfflineCondition_,"一般特殊项目修理费",EPMMemberDesc(U49))</f>
        <v/>
      </c>
      <c r="T49" s="716" t="n"/>
      <c r="U49" s="135" t="inlineStr">
        <is>
          <t>A0310102</t>
        </is>
      </c>
      <c r="V49" s="135">
        <f>IF(_epmOfflineCondition_,"A0310102",EPMOlapMemberO(U49,"[C_ACCOUNT].[PARENTH1].[A0310102]","A0310102 - 一般特殊项目修理费","","000"))</f>
        <v/>
      </c>
      <c r="W49" s="462" t="n"/>
      <c r="X49" s="1443" t="inlineStr">
        <is>
          <t>一般特殊项目修理费</t>
        </is>
      </c>
      <c r="Y49" s="1439">
        <f>SUM(Z49:AF49)</f>
        <v/>
      </c>
      <c r="Z49" s="1444" t="n"/>
      <c r="AA49" s="1444" t="n"/>
      <c r="AB49" s="1444" t="n"/>
      <c r="AC49" s="1444" t="n"/>
      <c r="AD49" s="1444" t="n"/>
      <c r="AE49" s="1444" t="n"/>
      <c r="AF49" s="1444" t="n"/>
      <c r="AG49" s="1445" t="n"/>
      <c r="AH49" s="1445" t="n"/>
      <c r="AI49" s="1445" t="n"/>
      <c r="AJ49" s="1445" t="n"/>
      <c r="AK49" s="1445" t="n"/>
      <c r="AL49" s="1445" t="n"/>
      <c r="AM49" s="1445" t="n"/>
      <c r="AN49" s="1445" t="n"/>
      <c r="AO49" s="1446" t="n"/>
      <c r="AP49" s="1446" t="n"/>
      <c r="AQ49" s="1446" t="n"/>
      <c r="AR49" s="1446" t="n"/>
      <c r="AS49" s="1446" t="n"/>
      <c r="AT49" s="1446" t="n"/>
      <c r="AU49" s="1446" t="n"/>
      <c r="AV49" s="1446" t="n"/>
      <c r="AW49" s="1446" t="n"/>
      <c r="AX49" s="1446" t="n"/>
      <c r="AY49" s="1446" t="n"/>
      <c r="AZ49" s="1446" t="n"/>
      <c r="BA49" s="1446" t="n"/>
      <c r="BB49" s="1446" t="n"/>
      <c r="BC49" s="1446" t="n"/>
      <c r="BD49" s="1446" t="n"/>
      <c r="BE49" s="1446" t="n"/>
      <c r="BF49" s="1446" t="n"/>
      <c r="BG49" s="1446" t="n"/>
      <c r="BH49" s="1446" t="n"/>
      <c r="BI49" s="1446" t="n"/>
      <c r="BJ49" s="1446" t="n"/>
      <c r="BK49" s="1446" t="n"/>
      <c r="BL49" s="1446" t="n"/>
      <c r="BM49" s="716" t="n"/>
      <c r="BN49" s="716" t="n"/>
      <c r="BO49" s="716" t="n"/>
      <c r="BP49" s="716" t="n"/>
      <c r="BQ49" s="716" t="n"/>
      <c r="BR49" s="716" t="n"/>
      <c r="BS49" s="716" t="n"/>
      <c r="BT49" s="716" t="n"/>
      <c r="BU49" s="716" t="n"/>
      <c r="BV49" s="716" t="n"/>
      <c r="BW49" s="716" t="n"/>
      <c r="BX49" s="716" t="n"/>
      <c r="BY49" s="716" t="n"/>
      <c r="BZ49" s="716" t="n"/>
      <c r="CA49" s="716" t="n"/>
      <c r="CB49" s="716" t="n"/>
      <c r="CC49" s="716" t="n"/>
      <c r="CD49" s="716" t="n"/>
      <c r="CE49" s="716" t="n"/>
      <c r="CF49" s="716" t="n"/>
      <c r="CG49" s="716" t="n"/>
      <c r="CH49" s="716" t="n"/>
      <c r="CI49" s="716" t="n"/>
      <c r="CJ49" s="716" t="n"/>
      <c r="CK49" s="716" t="n"/>
      <c r="CL49" s="716" t="n"/>
      <c r="CM49" s="716" t="n"/>
      <c r="CN49" s="716" t="n"/>
      <c r="CO49" s="716" t="n"/>
    </row>
    <row r="50" ht="16.5" customFormat="1" customHeight="1" s="716">
      <c r="A50" s="716" t="n"/>
      <c r="B50" s="716" t="n"/>
      <c r="C50" s="716" t="n"/>
      <c r="D50" s="716" t="n"/>
      <c r="E50" s="716" t="n"/>
      <c r="F50" s="716" t="n"/>
      <c r="G50" s="716" t="n"/>
      <c r="H50" s="716" t="n"/>
      <c r="I50" s="716" t="n"/>
      <c r="J50" s="716" t="n"/>
      <c r="K50" s="716" t="n"/>
      <c r="L50" s="716" t="n"/>
      <c r="M50" s="716" t="n"/>
      <c r="N50" s="716" t="n"/>
      <c r="O50" s="716" t="n"/>
      <c r="P50" s="716" t="n"/>
      <c r="Q50" s="716" t="n"/>
      <c r="R50" s="716" t="n"/>
      <c r="S50" s="462">
        <f>IF(_epmOfflineCondition_,"生产维护费项目",EPMMemberDesc(U50))</f>
        <v/>
      </c>
      <c r="T50" s="716" t="n"/>
      <c r="U50" s="97" t="inlineStr">
        <is>
          <t>A03102</t>
        </is>
      </c>
      <c r="V50" s="97">
        <f>IF(_epmOfflineCondition_,"A03102",EPMOlapMemberO(U50,"[C_ACCOUNT].[PARENTH1].[A03102]","A03102 - 生产维护费项目","","000"))</f>
        <v/>
      </c>
      <c r="W50" s="462" t="n"/>
      <c r="X50" s="1438" t="inlineStr">
        <is>
          <t>生产维护费项目</t>
        </is>
      </c>
      <c r="Y50" s="1445">
        <f>SUM(Z50:AF50)</f>
        <v/>
      </c>
      <c r="Z50" s="1445">
        <f>SUM(Z51:Z54)</f>
        <v/>
      </c>
      <c r="AA50" s="1445">
        <f>SUM(AA51:AA54)</f>
        <v/>
      </c>
      <c r="AB50" s="1445">
        <f>SUM(AB51:AB54)</f>
        <v/>
      </c>
      <c r="AC50" s="1445">
        <f>SUM(AC51:AC54)</f>
        <v/>
      </c>
      <c r="AD50" s="1445">
        <f>SUM(AD51:AD54)</f>
        <v/>
      </c>
      <c r="AE50" s="1445">
        <f>SUM(AE51:AE54)</f>
        <v/>
      </c>
      <c r="AF50" s="1445">
        <f>SUM(AF51:AF54)</f>
        <v/>
      </c>
      <c r="AG50" s="1445">
        <f>SUM(AG51:AG54)</f>
        <v/>
      </c>
      <c r="AH50" s="1445">
        <f>SUM(AH51:AH54)</f>
        <v/>
      </c>
      <c r="AI50" s="1445">
        <f>SUM(AI51:AI54)</f>
        <v/>
      </c>
      <c r="AJ50" s="1445">
        <f>SUM(AJ51:AJ54)</f>
        <v/>
      </c>
      <c r="AK50" s="1445">
        <f>SUM(AK51:AK54)</f>
        <v/>
      </c>
      <c r="AL50" s="1445">
        <f>SUM(AL51:AL54)</f>
        <v/>
      </c>
      <c r="AM50" s="1445">
        <f>SUM(AM51:AM54)</f>
        <v/>
      </c>
      <c r="AN50" s="1445">
        <f>SUM(AN51:AN54)</f>
        <v/>
      </c>
      <c r="AO50" s="1446">
        <f>SUM(AO51:AO54)</f>
        <v/>
      </c>
      <c r="AP50" s="1446">
        <f>SUM(AP51:AP54)</f>
        <v/>
      </c>
      <c r="AQ50" s="1446">
        <f>SUM(AQ51:AQ54)</f>
        <v/>
      </c>
      <c r="AR50" s="1446">
        <f>SUM(AR51:AR54)</f>
        <v/>
      </c>
      <c r="AS50" s="1446">
        <f>SUM(AS51:AS54)</f>
        <v/>
      </c>
      <c r="AT50" s="1446">
        <f>SUM(AT51:AT54)</f>
        <v/>
      </c>
      <c r="AU50" s="1446">
        <f>SUM(AU51:AU54)</f>
        <v/>
      </c>
      <c r="AV50" s="1446">
        <f>SUM(AV51:AV54)</f>
        <v/>
      </c>
      <c r="AW50" s="1446">
        <f>SUM(AW51:AW54)</f>
        <v/>
      </c>
      <c r="AX50" s="1446">
        <f>SUM(AX51:AX54)</f>
        <v/>
      </c>
      <c r="AY50" s="1446">
        <f>SUM(AY51:AY54)</f>
        <v/>
      </c>
      <c r="AZ50" s="1446">
        <f>SUM(AZ51:AZ54)</f>
        <v/>
      </c>
      <c r="BA50" s="1446">
        <f>SUM(BA51:BA54)</f>
        <v/>
      </c>
      <c r="BB50" s="1446">
        <f>SUM(BB51:BB54)</f>
        <v/>
      </c>
      <c r="BC50" s="1446">
        <f>SUM(BC51:BC54)</f>
        <v/>
      </c>
      <c r="BD50" s="1446">
        <f>SUM(BD51:BD54)</f>
        <v/>
      </c>
      <c r="BE50" s="1446">
        <f>SUM(BE51:BE54)</f>
        <v/>
      </c>
      <c r="BF50" s="1446">
        <f>SUM(BF51:BF54)</f>
        <v/>
      </c>
      <c r="BG50" s="1446">
        <f>SUM(BG51:BG54)</f>
        <v/>
      </c>
      <c r="BH50" s="1446">
        <f>SUM(BH51:BH54)</f>
        <v/>
      </c>
      <c r="BI50" s="1446">
        <f>SUM(BI51:BI54)</f>
        <v/>
      </c>
      <c r="BJ50" s="1446">
        <f>SUM(BJ51:BJ54)</f>
        <v/>
      </c>
      <c r="BK50" s="1446">
        <f>SUM(BK51:BK54)</f>
        <v/>
      </c>
      <c r="BL50" s="1446">
        <f>SUM(BL51:BL54)</f>
        <v/>
      </c>
      <c r="BM50" s="716" t="n"/>
      <c r="BN50" s="716" t="n"/>
      <c r="BO50" s="716" t="n"/>
      <c r="BP50" s="716" t="n"/>
      <c r="BQ50" s="716" t="n"/>
      <c r="BR50" s="716" t="n"/>
      <c r="BS50" s="716" t="n"/>
      <c r="BT50" s="716" t="n"/>
      <c r="BU50" s="716" t="n"/>
      <c r="BV50" s="716" t="n"/>
      <c r="BW50" s="716" t="n"/>
      <c r="BX50" s="716" t="n"/>
      <c r="BY50" s="716" t="n"/>
      <c r="BZ50" s="716" t="n"/>
      <c r="CA50" s="716" t="n"/>
      <c r="CB50" s="716" t="n"/>
      <c r="CC50" s="716" t="n"/>
      <c r="CD50" s="716" t="n"/>
      <c r="CE50" s="716" t="n"/>
      <c r="CF50" s="716" t="n"/>
      <c r="CG50" s="716" t="n"/>
      <c r="CH50" s="716" t="n"/>
      <c r="CI50" s="716" t="n"/>
      <c r="CJ50" s="716" t="n"/>
      <c r="CK50" s="716" t="n"/>
      <c r="CL50" s="716" t="n"/>
      <c r="CM50" s="716" t="n"/>
      <c r="CN50" s="716" t="n"/>
      <c r="CO50" s="716" t="n"/>
    </row>
    <row r="51" ht="16.5" customFormat="1" customHeight="1" s="716">
      <c r="A51" s="716" t="n"/>
      <c r="B51" s="716" t="n"/>
      <c r="C51" s="716" t="n"/>
      <c r="D51" s="716" t="n"/>
      <c r="E51" s="716" t="n"/>
      <c r="F51" s="716" t="n"/>
      <c r="G51" s="716" t="n"/>
      <c r="H51" s="716" t="n"/>
      <c r="I51" s="716" t="n"/>
      <c r="J51" s="716" t="n"/>
      <c r="K51" s="716" t="n"/>
      <c r="L51" s="716" t="n"/>
      <c r="M51" s="716" t="n"/>
      <c r="N51" s="716" t="n"/>
      <c r="O51" s="716" t="n"/>
      <c r="P51" s="716" t="n"/>
      <c r="Q51" s="716" t="n"/>
      <c r="R51" s="716" t="n"/>
      <c r="S51" s="462">
        <f>IF(_epmOfflineCondition_,"B级检修项目",EPMMemberDesc(U51))</f>
        <v/>
      </c>
      <c r="T51" s="716" t="n"/>
      <c r="U51" s="135" t="inlineStr">
        <is>
          <t>A0310201</t>
        </is>
      </c>
      <c r="V51" s="135">
        <f>IF(_epmOfflineCondition_,"A0310201",EPMOlapMemberO(U51,"[C_ACCOUNT].[PARENTH1].[A0310201]","A0310201 - B级检修项目","","000"))</f>
        <v/>
      </c>
      <c r="W51" s="462" t="n"/>
      <c r="X51" s="1443" t="inlineStr">
        <is>
          <t>B级检修项目</t>
        </is>
      </c>
      <c r="Y51" s="1439">
        <f>SUM(Z51:AF51)</f>
        <v/>
      </c>
      <c r="Z51" s="1447" t="n"/>
      <c r="AA51" s="1447" t="n"/>
      <c r="AB51" s="1447" t="n"/>
      <c r="AC51" s="1447" t="n"/>
      <c r="AD51" s="1447" t="n"/>
      <c r="AE51" s="1447" t="n"/>
      <c r="AF51" s="1447" t="n"/>
      <c r="AG51" s="1445">
        <f>SUM(AH51:AN51)</f>
        <v/>
      </c>
      <c r="AH51" s="1445" t="n"/>
      <c r="AI51" s="1445" t="n"/>
      <c r="AJ51" s="1445" t="n"/>
      <c r="AK51" s="1445" t="n"/>
      <c r="AL51" s="1445" t="n"/>
      <c r="AM51" s="1445" t="n"/>
      <c r="AN51" s="1445" t="n"/>
      <c r="AO51" s="1446">
        <f>SUM(AP51:AV51)</f>
        <v/>
      </c>
      <c r="AP51" s="1446" t="n"/>
      <c r="AQ51" s="1446" t="n"/>
      <c r="AR51" s="1446" t="n"/>
      <c r="AS51" s="1446" t="n"/>
      <c r="AT51" s="1446" t="n"/>
      <c r="AU51" s="1446" t="n"/>
      <c r="AV51" s="1446" t="n"/>
      <c r="AW51" s="1446">
        <f>SUM(AX51:BD51)</f>
        <v/>
      </c>
      <c r="AX51" s="1446" t="n"/>
      <c r="AY51" s="1446" t="n"/>
      <c r="AZ51" s="1446" t="n"/>
      <c r="BA51" s="1446" t="n"/>
      <c r="BB51" s="1446" t="n"/>
      <c r="BC51" s="1446" t="n"/>
      <c r="BD51" s="1446" t="n"/>
      <c r="BE51" s="1446">
        <f>SUM(BF51:BL51)</f>
        <v/>
      </c>
      <c r="BF51" s="1446" t="n"/>
      <c r="BG51" s="1446" t="n"/>
      <c r="BH51" s="1446" t="n"/>
      <c r="BI51" s="1446" t="n"/>
      <c r="BJ51" s="1446" t="n"/>
      <c r="BK51" s="1446" t="n"/>
      <c r="BL51" s="1446" t="n"/>
      <c r="BM51" s="716" t="n"/>
      <c r="BN51" s="716" t="n"/>
      <c r="BO51" s="716" t="n"/>
      <c r="BP51" s="716" t="n"/>
      <c r="BQ51" s="716" t="n"/>
      <c r="BR51" s="716" t="n"/>
      <c r="BS51" s="716" t="n"/>
      <c r="BT51" s="716" t="n"/>
      <c r="BU51" s="716" t="n"/>
      <c r="BV51" s="716" t="n"/>
      <c r="BW51" s="716" t="n"/>
      <c r="BX51" s="716" t="n"/>
      <c r="BY51" s="716" t="n"/>
      <c r="BZ51" s="716" t="n"/>
      <c r="CA51" s="716" t="n"/>
      <c r="CB51" s="716" t="n"/>
      <c r="CC51" s="716" t="n"/>
      <c r="CD51" s="716" t="n"/>
      <c r="CE51" s="716" t="n"/>
      <c r="CF51" s="716" t="n"/>
      <c r="CG51" s="716" t="n"/>
      <c r="CH51" s="716" t="n"/>
      <c r="CI51" s="716" t="n"/>
      <c r="CJ51" s="716" t="n"/>
      <c r="CK51" s="716" t="n"/>
      <c r="CL51" s="716" t="n"/>
      <c r="CM51" s="716" t="n"/>
      <c r="CN51" s="716" t="n"/>
      <c r="CO51" s="716" t="n"/>
    </row>
    <row r="52" ht="16.5" customFormat="1" customHeight="1" s="716">
      <c r="A52" s="716" t="n"/>
      <c r="B52" s="716" t="n"/>
      <c r="C52" s="716" t="n"/>
      <c r="D52" s="716" t="n"/>
      <c r="E52" s="716" t="n"/>
      <c r="F52" s="716" t="n"/>
      <c r="G52" s="716" t="n"/>
      <c r="H52" s="716" t="n"/>
      <c r="I52" s="716" t="n"/>
      <c r="J52" s="716" t="n"/>
      <c r="K52" s="716" t="n"/>
      <c r="L52" s="716" t="n"/>
      <c r="M52" s="716" t="n"/>
      <c r="N52" s="716" t="n"/>
      <c r="O52" s="716" t="n"/>
      <c r="P52" s="716" t="n"/>
      <c r="Q52" s="716" t="n"/>
      <c r="R52" s="716" t="n"/>
      <c r="S52" s="462">
        <f>IF(_epmOfflineCondition_,"C级检修项目",EPMMemberDesc(U52))</f>
        <v/>
      </c>
      <c r="T52" s="716" t="n"/>
      <c r="U52" s="135" t="inlineStr">
        <is>
          <t>A0310202</t>
        </is>
      </c>
      <c r="V52" s="135">
        <f>IF(_epmOfflineCondition_,"A0310202",EPMOlapMemberO(U52,"[C_ACCOUNT].[PARENTH1].[A0310202]","A0310202 - C级检修项目","","000"))</f>
        <v/>
      </c>
      <c r="W52" s="462" t="n"/>
      <c r="X52" s="1443" t="inlineStr">
        <is>
          <t>C级检修项目</t>
        </is>
      </c>
      <c r="Y52" s="1439">
        <f>SUM(Z52:AF52)</f>
        <v/>
      </c>
      <c r="Z52" s="1447" t="n"/>
      <c r="AA52" s="1447" t="n"/>
      <c r="AB52" s="1447" t="n"/>
      <c r="AC52" s="1447" t="n"/>
      <c r="AD52" s="1447" t="n"/>
      <c r="AE52" s="1447" t="n"/>
      <c r="AF52" s="1447" t="n"/>
      <c r="AG52" s="1445">
        <f>SUM(AH52:AN52)</f>
        <v/>
      </c>
      <c r="AH52" s="1445" t="n"/>
      <c r="AI52" s="1445" t="n"/>
      <c r="AJ52" s="1445" t="n"/>
      <c r="AK52" s="1445" t="n"/>
      <c r="AL52" s="1445" t="n"/>
      <c r="AM52" s="1445" t="n"/>
      <c r="AN52" s="1445" t="n"/>
      <c r="AO52" s="1446">
        <f>SUM(AP52:AV52)</f>
        <v/>
      </c>
      <c r="AP52" s="1446" t="n"/>
      <c r="AQ52" s="1446" t="n"/>
      <c r="AR52" s="1446" t="n"/>
      <c r="AS52" s="1446" t="n"/>
      <c r="AT52" s="1446" t="n"/>
      <c r="AU52" s="1446" t="n"/>
      <c r="AV52" s="1446" t="n"/>
      <c r="AW52" s="1446">
        <f>SUM(AX52:BD52)</f>
        <v/>
      </c>
      <c r="AX52" s="1446" t="n"/>
      <c r="AY52" s="1446" t="n"/>
      <c r="AZ52" s="1446" t="n"/>
      <c r="BA52" s="1446" t="n"/>
      <c r="BB52" s="1446" t="n"/>
      <c r="BC52" s="1446" t="n"/>
      <c r="BD52" s="1446" t="n"/>
      <c r="BE52" s="1446">
        <f>SUM(BF52:BL52)</f>
        <v/>
      </c>
      <c r="BF52" s="1446" t="n"/>
      <c r="BG52" s="1446" t="n"/>
      <c r="BH52" s="1446" t="n"/>
      <c r="BI52" s="1446" t="n"/>
      <c r="BJ52" s="1446" t="n"/>
      <c r="BK52" s="1446" t="n"/>
      <c r="BL52" s="1446" t="n"/>
      <c r="BM52" s="716" t="n"/>
      <c r="BN52" s="716" t="n"/>
      <c r="BO52" s="716" t="n"/>
      <c r="BP52" s="716" t="n"/>
      <c r="BQ52" s="716" t="n"/>
      <c r="BR52" s="716" t="n"/>
      <c r="BS52" s="716" t="n"/>
      <c r="BT52" s="716" t="n"/>
      <c r="BU52" s="716" t="n"/>
      <c r="BV52" s="716" t="n"/>
      <c r="BW52" s="716" t="n"/>
      <c r="BX52" s="716" t="n"/>
      <c r="BY52" s="716" t="n"/>
      <c r="BZ52" s="716" t="n"/>
      <c r="CA52" s="716" t="n"/>
      <c r="CB52" s="716" t="n"/>
      <c r="CC52" s="716" t="n"/>
      <c r="CD52" s="716" t="n"/>
      <c r="CE52" s="716" t="n"/>
      <c r="CF52" s="716" t="n"/>
      <c r="CG52" s="716" t="n"/>
      <c r="CH52" s="716" t="n"/>
      <c r="CI52" s="716" t="n"/>
      <c r="CJ52" s="716" t="n"/>
      <c r="CK52" s="716" t="n"/>
      <c r="CL52" s="716" t="n"/>
      <c r="CM52" s="716" t="n"/>
      <c r="CN52" s="716" t="n"/>
      <c r="CO52" s="716" t="n"/>
    </row>
    <row r="53" ht="16.5" customFormat="1" customHeight="1" s="716">
      <c r="A53" s="716" t="n"/>
      <c r="B53" s="716" t="n"/>
      <c r="C53" s="716" t="n"/>
      <c r="D53" s="716" t="n"/>
      <c r="E53" s="716" t="n"/>
      <c r="F53" s="716" t="n"/>
      <c r="G53" s="716" t="n"/>
      <c r="H53" s="716" t="n"/>
      <c r="I53" s="716" t="n"/>
      <c r="J53" s="716" t="n"/>
      <c r="K53" s="716" t="n"/>
      <c r="L53" s="716" t="n"/>
      <c r="M53" s="716" t="n"/>
      <c r="N53" s="716" t="n"/>
      <c r="O53" s="716" t="n"/>
      <c r="P53" s="716" t="n"/>
      <c r="Q53" s="716" t="n"/>
      <c r="R53" s="716" t="n"/>
      <c r="S53" s="462">
        <f>IF(_epmOfflineCondition_,"D级检修项目",EPMMemberDesc(U53))</f>
        <v/>
      </c>
      <c r="T53" s="716" t="n"/>
      <c r="U53" s="135" t="inlineStr">
        <is>
          <t>A0310203</t>
        </is>
      </c>
      <c r="V53" s="135">
        <f>IF(_epmOfflineCondition_,"A0310203",EPMOlapMemberO(U53,"[C_ACCOUNT].[PARENTH1].[A0310203]","A0310203 - D级检修项目","","000"))</f>
        <v/>
      </c>
      <c r="W53" s="462" t="n"/>
      <c r="X53" s="1443" t="inlineStr">
        <is>
          <t>D级检修项目</t>
        </is>
      </c>
      <c r="Y53" s="1439">
        <f>SUM(Z53:AF53)</f>
        <v/>
      </c>
      <c r="Z53" s="1447" t="n"/>
      <c r="AA53" s="1447" t="n"/>
      <c r="AB53" s="1447" t="n"/>
      <c r="AC53" s="1447" t="n"/>
      <c r="AD53" s="1447" t="n"/>
      <c r="AE53" s="1447" t="n"/>
      <c r="AF53" s="1447" t="n"/>
      <c r="AG53" s="1445">
        <f>SUM(AH53:AN53)</f>
        <v/>
      </c>
      <c r="AH53" s="1445" t="n"/>
      <c r="AI53" s="1445" t="n"/>
      <c r="AJ53" s="1445" t="n"/>
      <c r="AK53" s="1445" t="n"/>
      <c r="AL53" s="1445" t="n"/>
      <c r="AM53" s="1445" t="n"/>
      <c r="AN53" s="1445" t="n"/>
      <c r="AO53" s="1446">
        <f>SUM(AP53:AV53)</f>
        <v/>
      </c>
      <c r="AP53" s="1446" t="n"/>
      <c r="AQ53" s="1446" t="n"/>
      <c r="AR53" s="1446" t="n"/>
      <c r="AS53" s="1446" t="n"/>
      <c r="AT53" s="1446" t="n"/>
      <c r="AU53" s="1446" t="n"/>
      <c r="AV53" s="1446" t="n"/>
      <c r="AW53" s="1446">
        <f>SUM(AX53:BD53)</f>
        <v/>
      </c>
      <c r="AX53" s="1446" t="n"/>
      <c r="AY53" s="1446" t="n"/>
      <c r="AZ53" s="1446" t="n"/>
      <c r="BA53" s="1446" t="n"/>
      <c r="BB53" s="1446" t="n"/>
      <c r="BC53" s="1446" t="n"/>
      <c r="BD53" s="1446" t="n"/>
      <c r="BE53" s="1446">
        <f>SUM(BF53:BL53)</f>
        <v/>
      </c>
      <c r="BF53" s="1446" t="n"/>
      <c r="BG53" s="1446" t="n"/>
      <c r="BH53" s="1446" t="n"/>
      <c r="BI53" s="1446" t="n"/>
      <c r="BJ53" s="1446" t="n"/>
      <c r="BK53" s="1446" t="n"/>
      <c r="BL53" s="1446" t="n"/>
      <c r="BM53" s="716" t="n"/>
      <c r="BN53" s="716" t="n"/>
      <c r="BO53" s="716" t="n"/>
      <c r="BP53" s="716" t="n"/>
      <c r="BQ53" s="716" t="n"/>
      <c r="BR53" s="716" t="n"/>
      <c r="BS53" s="716" t="n"/>
      <c r="BT53" s="716" t="n"/>
      <c r="BU53" s="716" t="n"/>
      <c r="BV53" s="716" t="n"/>
      <c r="BW53" s="716" t="n"/>
      <c r="BX53" s="716" t="n"/>
      <c r="BY53" s="716" t="n"/>
      <c r="BZ53" s="716" t="n"/>
      <c r="CA53" s="716" t="n"/>
      <c r="CB53" s="716" t="n"/>
      <c r="CC53" s="716" t="n"/>
      <c r="CD53" s="716" t="n"/>
      <c r="CE53" s="716" t="n"/>
      <c r="CF53" s="716" t="n"/>
      <c r="CG53" s="716" t="n"/>
      <c r="CH53" s="716" t="n"/>
      <c r="CI53" s="716" t="n"/>
      <c r="CJ53" s="716" t="n"/>
      <c r="CK53" s="716" t="n"/>
      <c r="CL53" s="716" t="n"/>
      <c r="CM53" s="716" t="n"/>
      <c r="CN53" s="716" t="n"/>
      <c r="CO53" s="716" t="n"/>
    </row>
    <row r="54" ht="16.5" customFormat="1" customHeight="1" s="716">
      <c r="A54" s="716" t="n"/>
      <c r="B54" s="716" t="n"/>
      <c r="C54" s="716" t="n"/>
      <c r="D54" s="716" t="n"/>
      <c r="E54" s="716" t="n"/>
      <c r="F54" s="716" t="n"/>
      <c r="G54" s="716" t="n"/>
      <c r="H54" s="716" t="n"/>
      <c r="I54" s="716" t="n"/>
      <c r="J54" s="716" t="n"/>
      <c r="K54" s="716" t="n"/>
      <c r="L54" s="716" t="n"/>
      <c r="M54" s="716" t="n"/>
      <c r="N54" s="716" t="n"/>
      <c r="O54" s="716" t="n"/>
      <c r="P54" s="716" t="n"/>
      <c r="Q54" s="716" t="n"/>
      <c r="R54" s="716" t="n"/>
      <c r="S54" s="462">
        <f>IF(_epmOfflineCondition_,"日常维护项目",EPMMemberDesc(U54))</f>
        <v/>
      </c>
      <c r="T54" s="716" t="n"/>
      <c r="U54" s="135" t="inlineStr">
        <is>
          <t>A0310204</t>
        </is>
      </c>
      <c r="V54" s="135">
        <f>IF(_epmOfflineCondition_,"A0310204",EPMOlapMemberO(U54,"[C_ACCOUNT].[PARENTH1].[A0310204]","A0310204 - 日常维护项目","","000"))</f>
        <v/>
      </c>
      <c r="W54" s="462" t="n"/>
      <c r="X54" s="1443" t="inlineStr">
        <is>
          <t>日常维护项目</t>
        </is>
      </c>
      <c r="Y54" s="1439">
        <f>SUM(Z54:AF54)</f>
        <v/>
      </c>
      <c r="Z54" s="1447" t="n"/>
      <c r="AA54" s="1447" t="inlineStr"/>
      <c r="AB54" s="1447" t="n"/>
      <c r="AC54" s="1447" t="n"/>
      <c r="AD54" s="1447" t="n"/>
      <c r="AE54" s="1447" t="n"/>
      <c r="AF54" s="1447" t="n"/>
      <c r="AG54" s="1445">
        <f>SUM(AH54:AN54)</f>
        <v/>
      </c>
      <c r="AH54" s="1445" t="n"/>
      <c r="AI54" s="1445" t="inlineStr"/>
      <c r="AJ54" s="1445" t="n"/>
      <c r="AK54" s="1445" t="n"/>
      <c r="AL54" s="1445" t="n"/>
      <c r="AM54" s="1445" t="n"/>
      <c r="AN54" s="1445" t="n"/>
      <c r="AO54" s="1446">
        <f>SUM(AP54:AV54)</f>
        <v/>
      </c>
      <c r="AP54" s="1446" t="n"/>
      <c r="AQ54" s="1446" t="n"/>
      <c r="AR54" s="1446" t="n"/>
      <c r="AS54" s="1446" t="n"/>
      <c r="AT54" s="1446" t="n"/>
      <c r="AU54" s="1446" t="n"/>
      <c r="AV54" s="1446" t="n"/>
      <c r="AW54" s="1446">
        <f>SUM(AX54:BD54)</f>
        <v/>
      </c>
      <c r="AX54" s="1446" t="n"/>
      <c r="AY54" s="1446" t="n"/>
      <c r="AZ54" s="1446" t="n"/>
      <c r="BA54" s="1446" t="n"/>
      <c r="BB54" s="1446" t="n"/>
      <c r="BC54" s="1446" t="n"/>
      <c r="BD54" s="1446" t="n"/>
      <c r="BE54" s="1446">
        <f>SUM(BF54:BL54)</f>
        <v/>
      </c>
      <c r="BF54" s="1446" t="n"/>
      <c r="BG54" s="1446" t="n"/>
      <c r="BH54" s="1446" t="n"/>
      <c r="BI54" s="1446" t="n"/>
      <c r="BJ54" s="1446" t="n"/>
      <c r="BK54" s="1446" t="n"/>
      <c r="BL54" s="1446" t="n"/>
      <c r="BM54" s="716" t="n"/>
      <c r="BN54" s="716" t="n"/>
      <c r="BO54" s="716" t="n"/>
      <c r="BP54" s="716" t="n"/>
      <c r="BQ54" s="716" t="n"/>
      <c r="BR54" s="716" t="n"/>
      <c r="BS54" s="716" t="n"/>
      <c r="BT54" s="716" t="n"/>
      <c r="BU54" s="716" t="n"/>
      <c r="BV54" s="716" t="n"/>
      <c r="BW54" s="716" t="n"/>
      <c r="BX54" s="716" t="n"/>
      <c r="BY54" s="716" t="n"/>
      <c r="BZ54" s="716" t="n"/>
      <c r="CA54" s="716" t="n"/>
      <c r="CB54" s="716" t="n"/>
      <c r="CC54" s="716" t="n"/>
      <c r="CD54" s="716" t="n"/>
      <c r="CE54" s="716" t="n"/>
      <c r="CF54" s="716" t="n"/>
      <c r="CG54" s="716" t="n"/>
      <c r="CH54" s="716" t="n"/>
      <c r="CI54" s="716" t="n"/>
      <c r="CJ54" s="716" t="n"/>
      <c r="CK54" s="716" t="n"/>
      <c r="CL54" s="716" t="n"/>
      <c r="CM54" s="716" t="n"/>
      <c r="CN54" s="716" t="n"/>
      <c r="CO54" s="716" t="n"/>
    </row>
    <row r="55" ht="16.5" customFormat="1" customHeight="1" s="716">
      <c r="A55" s="716" t="n"/>
      <c r="B55" s="716" t="n"/>
      <c r="C55" s="716" t="n"/>
      <c r="D55" s="716" t="n"/>
      <c r="E55" s="716" t="n"/>
      <c r="F55" s="716" t="n"/>
      <c r="G55" s="716" t="n"/>
      <c r="H55" s="716" t="n"/>
      <c r="I55" s="716" t="n"/>
      <c r="J55" s="716" t="n"/>
      <c r="K55" s="716" t="n"/>
      <c r="L55" s="716" t="n"/>
      <c r="M55" s="716" t="n"/>
      <c r="N55" s="716" t="n"/>
      <c r="O55" s="716" t="n"/>
      <c r="P55" s="716" t="n"/>
      <c r="Q55" s="716" t="n"/>
      <c r="R55" s="716" t="n"/>
      <c r="S55" s="462">
        <f>IF(_epmOfflineCondition_,"外委生产维护费",EPMMemberDesc(U55))</f>
        <v/>
      </c>
      <c r="T55" s="716" t="n"/>
      <c r="U55" s="97" t="inlineStr">
        <is>
          <t>A03103</t>
        </is>
      </c>
      <c r="V55" s="97">
        <f>IF(_epmOfflineCondition_,"A03103",EPMOlapMemberO(U55,"[C_ACCOUNT].[PARENTH1].[A03103]","A03103 - 外委生产维护费","","000"))</f>
        <v/>
      </c>
      <c r="W55" s="462" t="n"/>
      <c r="X55" s="1438" t="inlineStr">
        <is>
          <t>外委生产维护费</t>
        </is>
      </c>
      <c r="Y55" s="1439">
        <f>SUM(Z55:AF55)</f>
        <v/>
      </c>
      <c r="Z55" s="1447" t="n"/>
      <c r="AA55" s="1447" t="n"/>
      <c r="AB55" s="1447" t="n"/>
      <c r="AC55" s="1447" t="n"/>
      <c r="AD55" s="1447" t="n"/>
      <c r="AE55" s="1447" t="n"/>
      <c r="AF55" s="1447" t="n"/>
      <c r="AG55" s="1445">
        <f>SUM(AH55:AN55)</f>
        <v/>
      </c>
      <c r="AH55" s="1445" t="n"/>
      <c r="AI55" s="1445" t="n"/>
      <c r="AJ55" s="1445" t="n"/>
      <c r="AK55" s="1445" t="n"/>
      <c r="AL55" s="1445" t="n"/>
      <c r="AM55" s="1445" t="n"/>
      <c r="AN55" s="1445" t="n"/>
      <c r="AO55" s="1446">
        <f>SUM(AP55:AV55)</f>
        <v/>
      </c>
      <c r="AP55" s="1446" t="n"/>
      <c r="AQ55" s="1446" t="n"/>
      <c r="AR55" s="1446" t="n"/>
      <c r="AS55" s="1446" t="n"/>
      <c r="AT55" s="1446" t="n"/>
      <c r="AU55" s="1446" t="n"/>
      <c r="AV55" s="1446" t="n"/>
      <c r="AW55" s="1446">
        <f>SUM(AX55:BD55)</f>
        <v/>
      </c>
      <c r="AX55" s="1446" t="n"/>
      <c r="AY55" s="1446" t="n"/>
      <c r="AZ55" s="1446" t="n"/>
      <c r="BA55" s="1446" t="n"/>
      <c r="BB55" s="1446" t="n"/>
      <c r="BC55" s="1446" t="n"/>
      <c r="BD55" s="1446" t="n"/>
      <c r="BE55" s="1446">
        <f>SUM(BF55:BL55)</f>
        <v/>
      </c>
      <c r="BF55" s="1446" t="n"/>
      <c r="BG55" s="1446" t="n"/>
      <c r="BH55" s="1446" t="n"/>
      <c r="BI55" s="1446" t="n"/>
      <c r="BJ55" s="1446" t="n"/>
      <c r="BK55" s="1446" t="n"/>
      <c r="BL55" s="1446" t="n"/>
      <c r="BM55" s="716" t="n"/>
      <c r="BN55" s="716" t="n"/>
      <c r="BO55" s="716" t="n"/>
      <c r="BP55" s="716" t="n"/>
      <c r="BQ55" s="716" t="n"/>
      <c r="BR55" s="716" t="n"/>
      <c r="BS55" s="716" t="n"/>
      <c r="BT55" s="716" t="n"/>
      <c r="BU55" s="716" t="n"/>
      <c r="BV55" s="716" t="n"/>
      <c r="BW55" s="716" t="n"/>
      <c r="BX55" s="716" t="n"/>
      <c r="BY55" s="716" t="n"/>
      <c r="BZ55" s="716" t="n"/>
      <c r="CA55" s="716" t="n"/>
      <c r="CB55" s="716" t="n"/>
      <c r="CC55" s="716" t="n"/>
      <c r="CD55" s="716" t="n"/>
      <c r="CE55" s="716" t="n"/>
      <c r="CF55" s="716" t="n"/>
      <c r="CG55" s="716" t="n"/>
      <c r="CH55" s="716" t="n"/>
      <c r="CI55" s="716" t="n"/>
      <c r="CJ55" s="716" t="n"/>
      <c r="CK55" s="716" t="n"/>
      <c r="CL55" s="716" t="n"/>
      <c r="CM55" s="716" t="n"/>
      <c r="CN55" s="716" t="n"/>
      <c r="CO55" s="716" t="n"/>
    </row>
    <row r="56" ht="16.5" customFormat="1" customHeight="1" s="716">
      <c r="A56" s="716" t="n"/>
      <c r="B56" s="716" t="n"/>
      <c r="C56" s="716" t="n"/>
      <c r="D56" s="716" t="n"/>
      <c r="E56" s="716" t="n"/>
      <c r="F56" s="716" t="n"/>
      <c r="G56" s="716" t="n"/>
      <c r="H56" s="716" t="n"/>
      <c r="I56" s="716" t="n"/>
      <c r="J56" s="716" t="n"/>
      <c r="K56" s="716" t="n"/>
      <c r="L56" s="716" t="n"/>
      <c r="M56" s="716" t="n"/>
      <c r="N56" s="716" t="n"/>
      <c r="O56" s="716" t="n"/>
      <c r="P56" s="716" t="n"/>
      <c r="Q56" s="716" t="n"/>
      <c r="R56" s="716" t="n"/>
      <c r="S56" s="462">
        <f>IF(_epmOfflineCondition_,"重大特殊项目修理",EPMMemberDesc(U56))</f>
        <v/>
      </c>
      <c r="T56" s="716" t="n"/>
      <c r="U56" s="97" t="inlineStr">
        <is>
          <t>A03104</t>
        </is>
      </c>
      <c r="V56" s="97">
        <f>IF(_epmOfflineCondition_,"A03104",EPMOlapMemberO(U56,"[C_ACCOUNT].[PARENTH1].[A03104]","A03104 - 重大特殊项目修理","","000"))</f>
        <v/>
      </c>
      <c r="W56" s="462" t="n"/>
      <c r="X56" s="1438" t="inlineStr">
        <is>
          <t>重大特殊项目修理</t>
        </is>
      </c>
      <c r="Y56" s="1439">
        <f>SUM(Z56:AF56)</f>
        <v/>
      </c>
      <c r="Z56" s="1447" t="n"/>
      <c r="AA56" s="1447" t="n"/>
      <c r="AB56" s="1447" t="n"/>
      <c r="AC56" s="1447" t="n"/>
      <c r="AD56" s="1447" t="n"/>
      <c r="AE56" s="1447" t="n"/>
      <c r="AF56" s="1447" t="n"/>
      <c r="AG56" s="1445">
        <f>SUM(AH56:AN56)</f>
        <v/>
      </c>
      <c r="AH56" s="1445" t="n"/>
      <c r="AI56" s="1445" t="n"/>
      <c r="AJ56" s="1445" t="n"/>
      <c r="AK56" s="1445" t="n"/>
      <c r="AL56" s="1445" t="n"/>
      <c r="AM56" s="1445" t="n"/>
      <c r="AN56" s="1445" t="n"/>
      <c r="AO56" s="1446">
        <f>SUM(AP56:AV56)</f>
        <v/>
      </c>
      <c r="AP56" s="1446" t="n"/>
      <c r="AQ56" s="1446" t="n"/>
      <c r="AR56" s="1446" t="n"/>
      <c r="AS56" s="1446" t="n"/>
      <c r="AT56" s="1446" t="n"/>
      <c r="AU56" s="1446" t="n"/>
      <c r="AV56" s="1446" t="n"/>
      <c r="AW56" s="1446">
        <f>SUM(AX56:BD56)</f>
        <v/>
      </c>
      <c r="AX56" s="1446" t="n"/>
      <c r="AY56" s="1446" t="n"/>
      <c r="AZ56" s="1446" t="n"/>
      <c r="BA56" s="1446" t="n"/>
      <c r="BB56" s="1446" t="n"/>
      <c r="BC56" s="1446" t="n"/>
      <c r="BD56" s="1446" t="n"/>
      <c r="BE56" s="1446">
        <f>SUM(BF56:BL56)</f>
        <v/>
      </c>
      <c r="BF56" s="1446" t="n"/>
      <c r="BG56" s="1446" t="n"/>
      <c r="BH56" s="1446" t="n"/>
      <c r="BI56" s="1446" t="n"/>
      <c r="BJ56" s="1446" t="n"/>
      <c r="BK56" s="1446" t="n"/>
      <c r="BL56" s="1446" t="n"/>
      <c r="BM56" s="716" t="n"/>
      <c r="BN56" s="716" t="n"/>
      <c r="BO56" s="716" t="n"/>
      <c r="BP56" s="716" t="n"/>
      <c r="BQ56" s="716" t="n"/>
      <c r="BR56" s="716" t="n"/>
      <c r="BS56" s="716" t="n"/>
      <c r="BT56" s="716" t="n"/>
      <c r="BU56" s="716" t="n"/>
      <c r="BV56" s="716" t="n"/>
      <c r="BW56" s="716" t="n"/>
      <c r="BX56" s="716" t="n"/>
      <c r="BY56" s="716" t="n"/>
      <c r="BZ56" s="716" t="n"/>
      <c r="CA56" s="716" t="n"/>
      <c r="CB56" s="716" t="n"/>
      <c r="CC56" s="716" t="n"/>
      <c r="CD56" s="716" t="n"/>
      <c r="CE56" s="716" t="n"/>
      <c r="CF56" s="716" t="n"/>
      <c r="CG56" s="716" t="n"/>
      <c r="CH56" s="716" t="n"/>
      <c r="CI56" s="716" t="n"/>
      <c r="CJ56" s="716" t="n"/>
      <c r="CK56" s="716" t="n"/>
      <c r="CL56" s="716" t="n"/>
      <c r="CM56" s="716" t="n"/>
      <c r="CN56" s="716" t="n"/>
      <c r="CO56" s="716" t="n"/>
    </row>
  </sheetData>
  <sheetProtection selectLockedCells="0" selectUnlockedCells="0" algorithmName="SHA-512" sheet="1" objects="0" insertRows="1" insertHyperlinks="1" autoFilter="1" scenarios="1" formatColumns="1" deleteColumns="1" insertColumns="1" pivotTables="1" deleteRows="1" formatCells="1" saltValue="o5EE7zrGdcDN4Av8SWSXwQ==" formatRows="1" sort="1" spinCount="100000" hashValue="rMEdcFWjed/+OYURdROvXGBGcSSz0R8kdbBtWMWptK4LdjoxDTZjNqZ7Zr7YVc89VY1IRkjjiI9ilS9WtkuZcw=="/>
  <mergeCells count="8">
    <mergeCell ref="H2:J2"/>
    <mergeCell ref="D16:E16"/>
    <mergeCell ref="Y39:AF39"/>
    <mergeCell ref="AG39:AN39"/>
    <mergeCell ref="AO39:AV39"/>
    <mergeCell ref="AW39:BD39"/>
    <mergeCell ref="BE39:BL39"/>
    <mergeCell ref="X39:X40"/>
  </mergeCells>
  <dataValidations count="1">
    <dataValidation sqref="AA37" showErrorMessage="1" showInputMessage="1" allowBlank="1" type="list">
      <formula1>$I$19:$I$21</formula1>
    </dataValidation>
  </dataValidations>
  <pageMargins left="0.7" right="0.7" top="0.75" bottom="0.75" header="0.3" footer="0.3"/>
  <pageSetup orientation="portrait" paperSize="9"/>
  <drawing xmlns:r="http://schemas.openxmlformats.org/officeDocument/2006/relationships" r:id="rId1"/>
</worksheet>
</file>

<file path=xl/worksheets/sheet40.xml><?xml version="1.0" encoding="utf-8"?>
<worksheet xmlns="http://schemas.openxmlformats.org/spreadsheetml/2006/main">
  <sheetPr codeName="Sheet47">
    <outlinePr summaryBelow="1" summaryRight="1"/>
    <pageSetUpPr/>
  </sheetPr>
  <dimension ref="A1:AN71"/>
  <sheetViews>
    <sheetView topLeftCell="W34" zoomScale="90" zoomScaleNormal="90" workbookViewId="0">
      <pane xSplit="2" ySplit="13" topLeftCell="Y79" activePane="bottomRight" state="frozen"/>
      <selection activeCell="A1" sqref="A1"/>
      <selection pane="topRight" activeCell="A1" sqref="A1"/>
      <selection pane="bottomLeft" activeCell="A1" sqref="A1"/>
      <selection pane="bottomRight" activeCell="Q93" sqref="Q93"/>
    </sheetView>
  </sheetViews>
  <sheetFormatPr baseColWidth="8" defaultColWidth="8.625" defaultRowHeight="16.8"/>
  <cols>
    <col hidden="1" width="8" customWidth="1" style="13" min="1" max="1"/>
    <col hidden="1" width="15.375" customWidth="1" style="13" min="2" max="2"/>
    <col hidden="1" width="11.375" customWidth="1" style="13" min="3" max="3"/>
    <col hidden="1" width="12.25" customWidth="1" style="13" min="4" max="4"/>
    <col hidden="1" width="7.5" customWidth="1" style="13" min="5" max="5"/>
    <col hidden="1" width="7.75" customWidth="1" style="13" min="6" max="7"/>
    <col hidden="1" width="8.375" customWidth="1" style="13" min="8" max="8"/>
    <col hidden="1" width="7.75" customWidth="1" style="13" min="9" max="9"/>
    <col hidden="1" width="11.125" customWidth="1" style="13" min="10" max="10"/>
    <col hidden="1" width="7.75" customWidth="1" style="13" min="11" max="17"/>
    <col hidden="1" width="24.375" customWidth="1" style="13" min="18" max="18"/>
    <col hidden="1" width="16.5" customWidth="1" style="1103" min="19" max="19"/>
    <col hidden="1" width="27.5" customWidth="1" style="13" min="20" max="20"/>
    <col hidden="1" width="19.625" customWidth="1" style="13" min="21" max="21"/>
    <col hidden="1" width="13.75" customWidth="1" style="13" min="22" max="22"/>
    <col width="1.5" customWidth="1" style="13" min="23" max="23"/>
    <col width="17.25" customWidth="1" style="171" min="24" max="24"/>
    <col width="21.5" customWidth="1" style="13" min="25" max="35"/>
    <col width="8.625" customWidth="1" style="13" min="36" max="16384"/>
  </cols>
  <sheetData>
    <row r="1" hidden="1" s="1181">
      <c r="A1" s="172" t="inlineStr">
        <is>
          <t>维度清单</t>
        </is>
      </c>
      <c r="B1" s="462" t="n"/>
      <c r="C1" s="173" t="n"/>
      <c r="D1" s="173" t="n"/>
      <c r="E1" s="716" t="n"/>
      <c r="F1" s="13" t="n"/>
      <c r="G1" s="13" t="n"/>
      <c r="H1" s="13" t="n"/>
      <c r="I1" s="13" t="n"/>
      <c r="J1" s="13" t="n"/>
      <c r="K1" s="13" t="n"/>
      <c r="L1" s="13" t="n"/>
      <c r="M1" s="13" t="n"/>
      <c r="N1" s="13" t="n"/>
      <c r="O1" s="13" t="n"/>
      <c r="P1" s="13" t="n"/>
      <c r="Q1" s="13" t="n"/>
      <c r="R1" s="13" t="n"/>
      <c r="S1" s="1103" t="n"/>
      <c r="T1" s="13" t="n"/>
      <c r="U1" s="13" t="n"/>
      <c r="V1" s="13" t="n"/>
      <c r="W1" s="13" t="n"/>
      <c r="X1" s="171" t="n"/>
      <c r="Y1" s="13" t="n"/>
      <c r="Z1" s="13" t="n"/>
      <c r="AA1" s="13" t="n"/>
      <c r="AB1" s="13" t="n"/>
      <c r="AC1" s="13" t="n"/>
      <c r="AD1" s="220" t="n"/>
      <c r="AE1" s="13" t="n"/>
      <c r="AF1" s="13" t="n"/>
      <c r="AG1" s="13" t="n"/>
      <c r="AH1" s="13" t="n"/>
      <c r="AI1" s="13" t="n"/>
      <c r="AJ1" s="13" t="n"/>
      <c r="AK1" s="13" t="n"/>
      <c r="AL1" s="13" t="n"/>
      <c r="AM1" s="13" t="n"/>
      <c r="AN1" s="13" t="n"/>
    </row>
    <row r="2" hidden="1" s="1181">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103" t="n"/>
      <c r="T2" s="13" t="n"/>
      <c r="U2" s="13" t="n"/>
      <c r="V2" s="13" t="n"/>
      <c r="W2" s="13" t="n"/>
      <c r="X2" s="171" t="n"/>
      <c r="Y2" s="13" t="n"/>
      <c r="Z2" s="13" t="n"/>
      <c r="AA2" s="13" t="n"/>
      <c r="AB2" s="13" t="n"/>
      <c r="AC2" s="13" t="n"/>
      <c r="AD2" s="220" t="n"/>
      <c r="AE2" s="13" t="n"/>
      <c r="AF2" s="13" t="n"/>
      <c r="AG2" s="13" t="n"/>
      <c r="AH2" s="13" t="n"/>
      <c r="AI2" s="13" t="n"/>
      <c r="AJ2" s="13" t="n"/>
      <c r="AK2" s="13" t="n"/>
      <c r="AL2" s="13" t="n"/>
      <c r="AM2" s="13" t="n"/>
      <c r="AN2" s="13" t="n"/>
    </row>
    <row r="3" hidden="1" s="1181">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103" t="n"/>
      <c r="T3" s="13" t="n"/>
      <c r="U3" s="13" t="n"/>
      <c r="V3" s="13" t="n"/>
      <c r="W3" s="13" t="n"/>
      <c r="X3" s="171" t="n"/>
      <c r="Y3" s="13" t="n"/>
      <c r="Z3" s="13" t="n"/>
      <c r="AA3" s="13" t="n"/>
      <c r="AB3" s="13" t="n"/>
      <c r="AC3" s="13" t="n"/>
      <c r="AD3" s="220" t="n"/>
      <c r="AE3" s="13" t="n"/>
      <c r="AF3" s="13" t="n"/>
      <c r="AG3" s="13" t="n"/>
      <c r="AH3" s="13" t="n"/>
      <c r="AI3" s="13" t="n"/>
      <c r="AJ3" s="13" t="n"/>
      <c r="AK3" s="13" t="n"/>
      <c r="AL3" s="13" t="n"/>
      <c r="AM3" s="13" t="n"/>
      <c r="AN3" s="13" t="n"/>
    </row>
    <row r="4" hidden="1" s="1181">
      <c r="A4" s="175" t="inlineStr">
        <is>
          <t>C</t>
        </is>
      </c>
      <c r="B4" s="176">
        <f>IF(_epmOfflineCondition_,"C_CATEGORY",EPMDimensionType(,A4))</f>
        <v/>
      </c>
      <c r="C4" s="176">
        <f>IF(_epmOfflineCondition_,"C1001",IF(B4="","",EPMContextMember(,B4)))</f>
        <v/>
      </c>
      <c r="D4" s="176">
        <f>IF(_epmOfflineCondition_,"实际数/决算数",EPMMemberDesc(C4))</f>
        <v/>
      </c>
      <c r="E4" s="176" t="n"/>
      <c r="F4" s="13" t="n"/>
      <c r="G4" s="13" t="n"/>
      <c r="H4" s="184" t="inlineStr">
        <is>
          <t>预算年</t>
        </is>
      </c>
      <c r="I4" s="184">
        <f>"V_"&amp;$I$3</f>
        <v/>
      </c>
      <c r="J4" s="184">
        <f>$I$3&amp;".TOTAL"</f>
        <v/>
      </c>
      <c r="K4" s="13" t="n"/>
      <c r="L4" s="13" t="n"/>
      <c r="M4" s="13" t="n"/>
      <c r="N4" s="13" t="n"/>
      <c r="O4" s="13" t="n"/>
      <c r="P4" s="13" t="n"/>
      <c r="Q4" s="13" t="n"/>
      <c r="R4" s="13" t="n"/>
      <c r="S4" s="1103" t="n"/>
      <c r="T4" s="13" t="n"/>
      <c r="U4" s="13" t="n"/>
      <c r="V4" s="13" t="n"/>
      <c r="W4" s="13" t="n"/>
      <c r="X4" s="171" t="n"/>
      <c r="Y4" s="13" t="n"/>
      <c r="Z4" s="13" t="n"/>
      <c r="AA4" s="13" t="n"/>
      <c r="AB4" s="13" t="n"/>
      <c r="AC4" s="13" t="n"/>
      <c r="AD4" s="220" t="n"/>
      <c r="AE4" s="13" t="n"/>
      <c r="AF4" s="13" t="n"/>
      <c r="AG4" s="13" t="n"/>
      <c r="AH4" s="13" t="n"/>
      <c r="AI4" s="13" t="n"/>
      <c r="AJ4" s="13" t="n"/>
      <c r="AK4" s="13" t="n"/>
      <c r="AL4" s="13" t="n"/>
      <c r="AM4" s="13" t="n"/>
      <c r="AN4" s="13" t="n"/>
    </row>
    <row r="5" hidden="1" s="1181">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13" t="n"/>
      <c r="V5" s="13" t="n"/>
      <c r="W5" s="13" t="n"/>
      <c r="X5" s="171" t="n"/>
      <c r="Y5" s="13" t="n"/>
      <c r="Z5" s="13" t="n"/>
      <c r="AA5" s="13" t="n"/>
      <c r="AB5" s="13" t="n"/>
      <c r="AC5" s="13" t="n"/>
      <c r="AD5" s="220" t="n"/>
      <c r="AE5" s="13" t="n"/>
      <c r="AF5" s="13" t="n"/>
      <c r="AG5" s="13" t="n"/>
      <c r="AH5" s="13" t="n"/>
      <c r="AI5" s="13" t="n"/>
      <c r="AJ5" s="13" t="n"/>
      <c r="AK5" s="13" t="n"/>
      <c r="AL5" s="13" t="n"/>
      <c r="AM5" s="13" t="n"/>
      <c r="AN5" s="13" t="n"/>
    </row>
    <row r="6" hidden="1" s="1181">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103" t="n"/>
      <c r="T6" s="13" t="n"/>
      <c r="U6" s="13" t="n"/>
      <c r="V6" s="13" t="n"/>
      <c r="W6" s="13" t="n"/>
      <c r="X6" s="171" t="n"/>
      <c r="Y6" s="13" t="n"/>
      <c r="Z6" s="13" t="n"/>
      <c r="AA6" s="13" t="n"/>
      <c r="AB6" s="13" t="n"/>
      <c r="AC6" s="13" t="n"/>
      <c r="AD6" s="220" t="n"/>
      <c r="AE6" s="13" t="n"/>
      <c r="AF6" s="13" t="n"/>
      <c r="AG6" s="13" t="n"/>
      <c r="AH6" s="13" t="n"/>
      <c r="AI6" s="13" t="n"/>
      <c r="AJ6" s="13" t="n"/>
      <c r="AK6" s="13" t="n"/>
      <c r="AL6" s="13" t="n"/>
      <c r="AM6" s="13" t="n"/>
      <c r="AN6" s="13" t="n"/>
    </row>
    <row r="7" hidden="1" s="1181">
      <c r="A7" s="175" t="inlineStr">
        <is>
          <t>R</t>
        </is>
      </c>
      <c r="B7" s="176">
        <f>IF(_epmOfflineCondition_,"C_RPTCURRENCY",EPMDimensionType(,A7))</f>
        <v/>
      </c>
      <c r="C7" s="176">
        <f>IF(_epmOfflineCondition_,"LC",IF(B7="","",EPMContextMember(,B7)))</f>
        <v/>
      </c>
      <c r="D7" s="176">
        <f>IF(_epmOfflineCondition_,"本位币",EPMMemberDesc(C7))</f>
        <v/>
      </c>
      <c r="E7" s="176" t="n"/>
      <c r="F7" s="13" t="n"/>
      <c r="G7" s="13" t="n"/>
      <c r="H7" s="13" t="n"/>
      <c r="I7" s="13" t="n"/>
      <c r="J7" s="13" t="n"/>
      <c r="K7" s="13" t="n"/>
      <c r="L7" s="13" t="n"/>
      <c r="M7" s="13" t="n"/>
      <c r="N7" s="13" t="n"/>
      <c r="O7" s="13" t="n"/>
      <c r="P7" s="13" t="n"/>
      <c r="Q7" s="13" t="n"/>
      <c r="R7" s="13" t="n"/>
      <c r="S7" s="1103" t="n"/>
      <c r="T7" s="13" t="n"/>
      <c r="U7" s="13" t="n"/>
      <c r="V7" s="13" t="n"/>
      <c r="W7" s="13" t="n"/>
      <c r="X7" s="171" t="n"/>
      <c r="Y7" s="13" t="n"/>
      <c r="Z7" s="13" t="n"/>
      <c r="AA7" s="13" t="n"/>
      <c r="AB7" s="13" t="n"/>
      <c r="AC7" s="13" t="n"/>
      <c r="AD7" s="220" t="n"/>
      <c r="AE7" s="13" t="n"/>
      <c r="AF7" s="13" t="n"/>
      <c r="AG7" s="13" t="n"/>
      <c r="AH7" s="13" t="n"/>
      <c r="AI7" s="13" t="n"/>
      <c r="AJ7" s="13" t="n"/>
      <c r="AK7" s="13" t="n"/>
      <c r="AL7" s="13" t="n"/>
      <c r="AM7" s="13" t="n"/>
      <c r="AN7" s="13" t="n"/>
    </row>
    <row r="8" hidden="1" s="1181">
      <c r="A8" s="175" t="inlineStr">
        <is>
          <t>D</t>
        </is>
      </c>
      <c r="B8" s="176">
        <f>IF(_epmOfflineCondition_,"C_AUDITTRAIL",EPMDimensionType(,A8))</f>
        <v/>
      </c>
      <c r="C8" s="176">
        <f>IF(_epmOfflineCondition_,"DTOTAL",IF(B8="","",EPMContextMember(,B8)))</f>
        <v/>
      </c>
      <c r="D8" s="176">
        <f>IF(_epmOfflineCondition_,"全部审计线索",EPMMemberDesc(C8))</f>
        <v/>
      </c>
      <c r="E8" s="176" t="n"/>
      <c r="F8" s="13" t="n"/>
      <c r="G8" s="13" t="n"/>
      <c r="H8" s="184" t="inlineStr">
        <is>
          <t>本月</t>
        </is>
      </c>
      <c r="I8" s="184">
        <f>IF(_epmOfflineCondition_,"03",RIGHT("0"&amp;EPMMemberProperty(,EPMContextMember(,"C_TIME"),"MONTHNUM"),2))</f>
        <v/>
      </c>
      <c r="J8" s="13" t="n"/>
      <c r="K8" s="13" t="n"/>
      <c r="L8" s="13" t="n"/>
      <c r="M8" s="13" t="n"/>
      <c r="N8" s="13" t="n"/>
      <c r="O8" s="13" t="n"/>
      <c r="P8" s="13" t="n"/>
      <c r="Q8" s="13" t="n"/>
      <c r="R8" s="13" t="n"/>
      <c r="S8" s="1103" t="n"/>
      <c r="T8" s="13" t="n"/>
      <c r="U8" s="13" t="n"/>
      <c r="V8" s="13" t="n"/>
      <c r="W8" s="13" t="n"/>
      <c r="X8" s="171" t="n"/>
      <c r="Y8" s="13" t="n"/>
      <c r="Z8" s="13" t="n"/>
      <c r="AA8" s="13" t="n"/>
      <c r="AB8" s="13" t="n"/>
      <c r="AC8" s="13" t="n"/>
      <c r="AD8" s="220" t="n"/>
      <c r="AE8" s="13" t="n"/>
      <c r="AF8" s="13" t="n"/>
      <c r="AG8" s="13" t="n"/>
      <c r="AH8" s="13" t="n"/>
      <c r="AI8" s="13" t="n"/>
      <c r="AJ8" s="13" t="n"/>
      <c r="AK8" s="13" t="n"/>
      <c r="AL8" s="13" t="n"/>
      <c r="AM8" s="13" t="n"/>
      <c r="AN8" s="13" t="n"/>
    </row>
    <row r="9" hidden="1" s="1181">
      <c r="A9" s="175" t="inlineStr">
        <is>
          <t>S</t>
        </is>
      </c>
      <c r="B9" s="176">
        <f>IF(_epmOfflineCondition_,"C_FLOW",EPMDimensionType(,A9))</f>
        <v/>
      </c>
      <c r="C9" s="176">
        <f>IF(_epmOfflineCondition_,"FTOTAL",IF(B9="","",EPMContextMember(,B9)))</f>
        <v/>
      </c>
      <c r="D9" s="176">
        <f>IF(_epmOfflineCondition_,"全部变动",EPMMemberDesc(C9))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13" t="n"/>
      <c r="V9" s="13" t="n"/>
      <c r="W9" s="13" t="n"/>
      <c r="X9" s="171" t="n"/>
      <c r="Y9" s="13" t="n"/>
      <c r="Z9" s="13" t="n"/>
      <c r="AA9" s="13" t="n"/>
      <c r="AB9" s="13" t="n"/>
      <c r="AC9" s="13" t="n"/>
      <c r="AD9" s="220" t="n"/>
      <c r="AE9" s="13" t="n"/>
      <c r="AF9" s="13" t="n"/>
      <c r="AG9" s="13" t="n"/>
      <c r="AH9" s="13" t="n"/>
      <c r="AI9" s="13" t="n"/>
      <c r="AJ9" s="13" t="n"/>
      <c r="AK9" s="13" t="n"/>
      <c r="AL9" s="13" t="n"/>
      <c r="AM9" s="13" t="n"/>
      <c r="AN9" s="13" t="n"/>
    </row>
    <row r="10" hidden="1" s="1181">
      <c r="A10" s="175" t="inlineStr">
        <is>
          <t>I</t>
        </is>
      </c>
      <c r="B10" s="176">
        <f>IF(_epmOfflineCondition_,"C_INTERCO",EPMDimensionType(,A10))</f>
        <v/>
      </c>
      <c r="C10" s="176">
        <f>IF(_epmOfflineCondition_,"I_ALL",IF(B10="","",EPMContextMember(,B10)))</f>
        <v/>
      </c>
      <c r="D10" s="176">
        <f>IF(_epmOfflineCondition_,"全部贸易伙伴",EPMMemberDesc(C10))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13" t="n"/>
      <c r="V10" s="13" t="n"/>
      <c r="W10" s="13" t="n"/>
      <c r="X10" s="171" t="n"/>
      <c r="Y10" s="13" t="n"/>
      <c r="Z10" s="13" t="n"/>
      <c r="AA10" s="13" t="n"/>
      <c r="AB10" s="13" t="n"/>
      <c r="AC10" s="13" t="n"/>
      <c r="AD10" s="220" t="n"/>
      <c r="AE10" s="13" t="n"/>
      <c r="AF10" s="13" t="n"/>
      <c r="AG10" s="13" t="n"/>
      <c r="AH10" s="13" t="n"/>
      <c r="AI10" s="13" t="n"/>
      <c r="AJ10" s="13" t="n"/>
      <c r="AK10" s="13" t="n"/>
      <c r="AL10" s="13" t="n"/>
      <c r="AM10" s="13" t="n"/>
      <c r="AN10" s="13" t="n"/>
    </row>
    <row r="11" hidden="1" s="1181">
      <c r="A11" s="175" t="inlineStr">
        <is>
          <t>G</t>
        </is>
      </c>
      <c r="B11" s="176">
        <f>IF(_epmOfflineCondition_,"C_SCOPE",EPMDimensionType(,A11))</f>
        <v/>
      </c>
      <c r="C11" s="176">
        <f>IF(_epmOfflineCondition_,"G_DUMMY",IF(B11="","",EPMContextMember(,B11)))</f>
        <v/>
      </c>
      <c r="D11" s="176">
        <f>IF(_epmOfflineCondition_,"合并范围无关",EPMMemberDesc(C11))</f>
        <v/>
      </c>
      <c r="E11" s="27">
        <f>IF(OR(RIGHT(C11,1)="P",RIGHT(C11,1)="S"),LEFT(C11,LEN(C11)-1),C11)</f>
        <v/>
      </c>
      <c r="F11" s="185" t="inlineStr">
        <is>
          <t>判断属性</t>
        </is>
      </c>
      <c r="G11" s="13" t="n"/>
      <c r="H11" s="184" t="inlineStr">
        <is>
          <t xml:space="preserve">本年月 </t>
        </is>
      </c>
      <c r="I11" s="184">
        <f>I3&amp;"."&amp;I8</f>
        <v/>
      </c>
      <c r="J11" s="13" t="n"/>
      <c r="K11" s="13" t="n"/>
      <c r="L11" s="13" t="n"/>
      <c r="M11" s="13" t="n"/>
      <c r="N11" s="13" t="n"/>
      <c r="O11" s="13" t="n"/>
      <c r="P11" s="13" t="n"/>
      <c r="Q11" s="13" t="n"/>
      <c r="R11" s="13" t="n"/>
      <c r="S11" s="1103" t="n"/>
      <c r="T11" s="13" t="n"/>
      <c r="U11" s="13" t="n"/>
      <c r="V11" s="13" t="n"/>
      <c r="W11" s="13" t="n"/>
      <c r="X11" s="171" t="n"/>
      <c r="Y11" s="13" t="n"/>
      <c r="Z11" s="13" t="n"/>
      <c r="AA11" s="13" t="n"/>
      <c r="AB11" s="13" t="n"/>
      <c r="AC11" s="13" t="n"/>
      <c r="AD11" s="220" t="n"/>
      <c r="AE11" s="13" t="n"/>
      <c r="AF11" s="13" t="n"/>
      <c r="AG11" s="13" t="n"/>
      <c r="AH11" s="13" t="n"/>
      <c r="AI11" s="13" t="n"/>
      <c r="AJ11" s="13" t="n"/>
      <c r="AK11" s="13" t="n"/>
      <c r="AL11" s="13" t="n"/>
      <c r="AM11" s="13" t="n"/>
      <c r="AN11" s="13" t="n"/>
    </row>
    <row r="12" hidden="1" s="1181">
      <c r="A12" s="175" t="inlineStr">
        <is>
          <t>U8</t>
        </is>
      </c>
      <c r="B12" s="176">
        <f>IF(_epmOfflineCondition_,"C_PROJECT",EPMDimensionType(,A12))</f>
        <v/>
      </c>
      <c r="C12" s="176">
        <f>IF(_epmOfflineCondition_,"ZP_ALL",IF(B12="","",EPMContextMember(,B12)))</f>
        <v/>
      </c>
      <c r="D12" s="176">
        <f>IF(_epmOfflineCondition_,"项目合计",EPMMemberDesc(C12))</f>
        <v/>
      </c>
      <c r="E12" s="176" t="n"/>
      <c r="F12" s="185">
        <f>E11</f>
        <v/>
      </c>
      <c r="G12" s="13" t="n"/>
      <c r="H12" s="184" t="inlineStr">
        <is>
          <t>上年月</t>
        </is>
      </c>
      <c r="I12" s="184">
        <f>IF(I8="01",I10&amp;"."&amp;I9,I3&amp;"."&amp;I9)</f>
        <v/>
      </c>
      <c r="J12" s="13" t="n"/>
      <c r="K12" s="13" t="n"/>
      <c r="L12" s="13" t="n"/>
      <c r="M12" s="13" t="n"/>
      <c r="N12" s="13" t="n"/>
      <c r="O12" s="13" t="n"/>
      <c r="P12" s="13" t="n"/>
      <c r="Q12" s="13" t="n"/>
      <c r="R12" s="13" t="n"/>
      <c r="S12" s="1103" t="n"/>
      <c r="T12" s="13" t="n"/>
      <c r="U12" s="13" t="n"/>
      <c r="V12" s="13" t="n"/>
      <c r="W12" s="13" t="n"/>
      <c r="X12" s="171" t="n"/>
      <c r="Y12" s="13" t="n"/>
      <c r="Z12" s="13" t="n"/>
      <c r="AA12" s="13" t="n"/>
      <c r="AB12" s="13" t="n"/>
      <c r="AC12" s="13" t="n"/>
      <c r="AD12" s="220" t="n"/>
      <c r="AE12" s="13" t="n"/>
      <c r="AF12" s="13" t="n"/>
      <c r="AG12" s="13" t="n"/>
      <c r="AH12" s="13" t="n"/>
      <c r="AI12" s="13" t="n"/>
      <c r="AJ12" s="13" t="n"/>
      <c r="AK12" s="13" t="n"/>
      <c r="AL12" s="13" t="n"/>
      <c r="AM12" s="13" t="n"/>
      <c r="AN12" s="13" t="n"/>
    </row>
    <row r="13" hidden="1" s="1181">
      <c r="A13" s="175" t="inlineStr">
        <is>
          <t>U9</t>
        </is>
      </c>
      <c r="B13" s="176">
        <f>IF(_epmOfflineCondition_,"C_ITEM",EPMDimensionType(,A13))</f>
        <v/>
      </c>
      <c r="C13" s="176">
        <f>IF(_epmOfflineCondition_,"ZI_ALL",IF(B13="","",EPMContextMember(,B13)))</f>
        <v/>
      </c>
      <c r="D13" s="176">
        <f>IF(_epmOfflineCondition_,"全部ITEM",EPMMemberDesc(C13))</f>
        <v/>
      </c>
      <c r="E13" s="186" t="n"/>
      <c r="F13" s="185">
        <f>IF(_epmOfflineCondition_,"E_DUMMY",EPMMemberProperty(,F12,"GENTITY"))</f>
        <v/>
      </c>
      <c r="G13" s="13" t="n"/>
      <c r="H13" s="184" t="inlineStr">
        <is>
          <t xml:space="preserve">上年同期 </t>
        </is>
      </c>
      <c r="I13" s="184">
        <f>I10&amp;"."&amp;I8</f>
        <v/>
      </c>
      <c r="J13" s="13" t="n"/>
      <c r="K13" s="13" t="n"/>
      <c r="L13" s="13" t="n"/>
      <c r="M13" s="13" t="n"/>
      <c r="N13" s="13" t="n"/>
      <c r="O13" s="13" t="n"/>
      <c r="P13" s="13" t="n"/>
      <c r="Q13" s="13" t="n"/>
      <c r="R13" s="13" t="n"/>
      <c r="S13" s="1103" t="n"/>
      <c r="T13" s="13" t="n"/>
      <c r="U13" s="13" t="n"/>
      <c r="V13" s="13" t="n"/>
      <c r="W13" s="13" t="n"/>
      <c r="X13" s="171" t="n"/>
      <c r="Y13" s="13" t="n"/>
      <c r="Z13" s="13" t="n"/>
      <c r="AA13" s="13" t="n"/>
      <c r="AB13" s="13" t="n"/>
      <c r="AC13" s="13" t="n"/>
      <c r="AD13" s="220" t="n"/>
      <c r="AE13" s="13" t="n"/>
      <c r="AF13" s="13" t="n"/>
      <c r="AG13" s="13" t="n"/>
      <c r="AH13" s="13" t="n"/>
      <c r="AI13" s="13" t="n"/>
      <c r="AJ13" s="13" t="n"/>
      <c r="AK13" s="13" t="n"/>
      <c r="AL13" s="13" t="n"/>
      <c r="AM13" s="13" t="n"/>
      <c r="AN13" s="13" t="n"/>
    </row>
    <row r="14" hidden="1" s="1181">
      <c r="A14" s="175" t="inlineStr">
        <is>
          <t>U10</t>
        </is>
      </c>
      <c r="B14" s="176">
        <f>IF(_epmOfflineCondition_,"C_MISK",EPMDimensionType(,A14))</f>
        <v/>
      </c>
      <c r="C14" s="176">
        <f>IF(_epmOfflineCondition_,"ZM_ALL",IF(B14="","",EPMContextMember(,B14)))</f>
        <v/>
      </c>
      <c r="D14" s="176">
        <f>IF(_epmOfflineCondition_,"ALL",EPMMemberDesc(C14))</f>
        <v/>
      </c>
      <c r="E14" s="186" t="n"/>
      <c r="F14" s="185">
        <f>IF(F12="G_DUMMY",C6,F13)</f>
        <v/>
      </c>
      <c r="G14" s="13" t="n"/>
      <c r="H14" s="13" t="n"/>
      <c r="I14" s="13" t="n"/>
      <c r="J14" s="13" t="n"/>
      <c r="K14" s="13" t="n"/>
      <c r="L14" s="13" t="n"/>
      <c r="M14" s="13" t="n"/>
      <c r="N14" s="13" t="n"/>
      <c r="O14" s="13" t="n"/>
      <c r="P14" s="13" t="n"/>
      <c r="Q14" s="13" t="n"/>
      <c r="R14" s="13" t="n"/>
      <c r="S14" s="1103" t="n"/>
      <c r="T14" s="13" t="n"/>
      <c r="U14" s="13" t="n"/>
      <c r="V14" s="13" t="n"/>
      <c r="W14" s="13" t="n"/>
      <c r="X14" s="171" t="n"/>
      <c r="Y14" s="13" t="n"/>
      <c r="Z14" s="13" t="n"/>
      <c r="AA14" s="13" t="n"/>
      <c r="AB14" s="13" t="n"/>
      <c r="AC14" s="13" t="n"/>
      <c r="AD14" s="220" t="n"/>
      <c r="AE14" s="13" t="n"/>
      <c r="AF14" s="13" t="n"/>
      <c r="AG14" s="13" t="n"/>
      <c r="AH14" s="13" t="n"/>
      <c r="AI14" s="13" t="n"/>
      <c r="AJ14" s="13" t="n"/>
      <c r="AK14" s="13" t="n"/>
      <c r="AL14" s="13" t="n"/>
      <c r="AM14" s="13" t="n"/>
      <c r="AN14" s="13" t="n"/>
    </row>
    <row r="15" hidden="1" s="1181">
      <c r="A15" s="13" t="n"/>
      <c r="B15" s="1103" t="n"/>
      <c r="C15" s="1103" t="n"/>
      <c r="D15" s="1103" t="n"/>
      <c r="E15" s="13" t="n"/>
      <c r="F15" s="13" t="n"/>
      <c r="G15" s="13" t="n"/>
      <c r="H15" s="13" t="n"/>
      <c r="I15" s="13" t="n"/>
      <c r="J15" s="13" t="n"/>
      <c r="K15" s="13" t="n"/>
      <c r="L15" s="13" t="n"/>
      <c r="M15" s="13" t="n"/>
      <c r="N15" s="13" t="n"/>
      <c r="O15" s="13" t="n"/>
      <c r="P15" s="13" t="n"/>
      <c r="Q15" s="13" t="n"/>
      <c r="R15" s="13" t="n"/>
      <c r="S15" s="1103" t="n"/>
      <c r="T15" s="13" t="n"/>
      <c r="U15" s="13" t="n"/>
      <c r="V15" s="13" t="n"/>
      <c r="W15" s="13" t="n"/>
      <c r="X15" s="171" t="n"/>
      <c r="Y15" s="13" t="n"/>
      <c r="Z15" s="13" t="n"/>
      <c r="AA15" s="13" t="n"/>
      <c r="AB15" s="13" t="n"/>
      <c r="AC15" s="13" t="n"/>
      <c r="AD15" s="220" t="n"/>
      <c r="AE15" s="13" t="n"/>
      <c r="AF15" s="13" t="n"/>
      <c r="AG15" s="13" t="n"/>
      <c r="AH15" s="13" t="n"/>
      <c r="AI15" s="13" t="n"/>
      <c r="AJ15" s="13" t="n"/>
      <c r="AK15" s="13" t="n"/>
      <c r="AL15" s="13" t="n"/>
      <c r="AM15" s="13" t="n"/>
      <c r="AN15" s="13" t="n"/>
    </row>
    <row r="16" hidden="1" s="1181">
      <c r="A16" s="13" t="n"/>
      <c r="B16" s="13" t="n"/>
      <c r="C16" s="13" t="n"/>
      <c r="D16" s="174" t="inlineStr">
        <is>
          <t>页轴</t>
        </is>
      </c>
      <c r="E16" s="1183" t="n"/>
      <c r="F16" s="13" t="n"/>
      <c r="G16" s="13" t="n"/>
      <c r="H16" s="13" t="n"/>
      <c r="I16" s="13" t="n"/>
      <c r="J16" s="13" t="n"/>
      <c r="K16" s="13" t="n"/>
      <c r="L16" s="13" t="n"/>
      <c r="M16" s="13" t="n"/>
      <c r="N16" s="13" t="n"/>
      <c r="O16" s="13" t="n"/>
      <c r="P16" s="13" t="n"/>
      <c r="Q16" s="13" t="n"/>
      <c r="R16" s="13" t="n"/>
      <c r="S16" s="1103" t="n"/>
      <c r="T16" s="13" t="n"/>
      <c r="U16" s="13" t="n"/>
      <c r="V16" s="13" t="n"/>
      <c r="W16" s="13" t="n"/>
      <c r="X16" s="171" t="n"/>
      <c r="Y16" s="13" t="n"/>
      <c r="Z16" s="13" t="n"/>
      <c r="AA16" s="13" t="n"/>
      <c r="AB16" s="13" t="n"/>
      <c r="AC16" s="13" t="n"/>
      <c r="AD16" s="220" t="n"/>
      <c r="AE16" s="13" t="n"/>
      <c r="AF16" s="13" t="n"/>
      <c r="AG16" s="13" t="n"/>
      <c r="AH16" s="13" t="n"/>
      <c r="AI16" s="13" t="n"/>
      <c r="AJ16" s="13" t="n"/>
      <c r="AK16" s="13" t="n"/>
      <c r="AL16" s="13" t="n"/>
      <c r="AM16" s="13" t="n"/>
      <c r="AN16" s="13" t="n"/>
    </row>
    <row r="17" hidden="1" s="1181">
      <c r="A17" s="174" t="inlineStr">
        <is>
          <t>维度类型</t>
        </is>
      </c>
      <c r="B17" s="174" t="inlineStr">
        <is>
          <t>维度</t>
        </is>
      </c>
      <c r="C17" s="178" t="inlineStr">
        <is>
          <t>页轴替换</t>
        </is>
      </c>
      <c r="D17" s="174" t="inlineStr">
        <is>
          <t>报表001</t>
        </is>
      </c>
      <c r="E17" s="174" t="inlineStr">
        <is>
          <t>报表002</t>
        </is>
      </c>
      <c r="F17" s="13" t="n"/>
      <c r="G17" s="13" t="n"/>
      <c r="H17" s="13" t="n"/>
      <c r="I17" s="13" t="n"/>
      <c r="J17" s="13" t="n"/>
      <c r="K17" s="13" t="n"/>
      <c r="L17" s="13" t="n"/>
      <c r="M17" s="13" t="n"/>
      <c r="N17" s="13" t="n"/>
      <c r="O17" s="13" t="n"/>
      <c r="P17" s="13" t="n"/>
      <c r="Q17" s="13" t="n"/>
      <c r="R17" s="13" t="n"/>
      <c r="S17" s="1103" t="n"/>
      <c r="T17" s="13" t="n"/>
      <c r="U17" s="13" t="n"/>
      <c r="V17" s="13" t="n"/>
      <c r="W17" s="13" t="n"/>
      <c r="X17" s="171" t="n"/>
      <c r="Y17" s="13" t="n"/>
      <c r="Z17" s="13" t="n"/>
      <c r="AA17" s="13" t="n"/>
      <c r="AB17" s="13" t="n"/>
      <c r="AC17" s="13" t="n"/>
      <c r="AD17" s="220" t="n"/>
      <c r="AE17" s="13" t="n"/>
      <c r="AF17" s="13" t="n"/>
      <c r="AG17" s="13" t="n"/>
      <c r="AH17" s="13" t="n"/>
      <c r="AI17" s="13" t="n"/>
      <c r="AJ17" s="13" t="n"/>
      <c r="AK17" s="13" t="n"/>
      <c r="AL17" s="13" t="n"/>
      <c r="AM17" s="13" t="n"/>
      <c r="AN17" s="13" t="n"/>
    </row>
    <row r="18" hidden="1" s="1181">
      <c r="A18" s="175" t="inlineStr">
        <is>
          <t>A</t>
        </is>
      </c>
      <c r="B18" s="176">
        <f>IF(_epmOfflineCondition_,"C_ACCOUNT",EPMDimensionType(,A18))</f>
        <v/>
      </c>
      <c r="C18" s="182" t="inlineStr">
        <is>
          <t>A_NOUSED</t>
        </is>
      </c>
      <c r="D18" s="180" t="n"/>
      <c r="E18" s="180" t="n"/>
      <c r="F18" s="13" t="n"/>
      <c r="G18" s="13" t="n"/>
      <c r="H18" s="13" t="n"/>
      <c r="I18" s="180" t="inlineStr">
        <is>
          <t>选择的值</t>
        </is>
      </c>
      <c r="J18" s="180">
        <f>VLOOKUP(AA37,I19:J21,2,FALSE)</f>
        <v/>
      </c>
      <c r="K18" s="13" t="n"/>
      <c r="L18" s="13" t="n"/>
      <c r="M18" s="13" t="n"/>
      <c r="N18" s="13" t="n"/>
      <c r="O18" s="13" t="n"/>
      <c r="P18" s="13" t="n"/>
      <c r="Q18" s="13" t="n"/>
      <c r="R18" s="13" t="n"/>
      <c r="S18" s="1103" t="n"/>
      <c r="T18" s="13" t="n"/>
      <c r="U18" s="13" t="n"/>
      <c r="V18" s="13" t="n"/>
      <c r="W18" s="13" t="n"/>
      <c r="X18" s="171" t="n"/>
      <c r="Y18" s="13" t="n"/>
      <c r="Z18" s="13" t="n"/>
      <c r="AA18" s="13" t="n"/>
      <c r="AB18" s="13" t="n"/>
      <c r="AC18" s="13" t="n"/>
      <c r="AD18" s="220" t="n"/>
      <c r="AE18" s="13" t="n"/>
      <c r="AF18" s="13" t="n"/>
      <c r="AG18" s="13" t="n"/>
      <c r="AH18" s="13" t="n"/>
      <c r="AI18" s="13" t="n"/>
      <c r="AJ18" s="13" t="n"/>
      <c r="AK18" s="13" t="n"/>
      <c r="AL18" s="13" t="n"/>
      <c r="AM18" s="13" t="n"/>
      <c r="AN18" s="13" t="n"/>
    </row>
    <row r="19" hidden="1" s="1181">
      <c r="A19" s="175" t="inlineStr">
        <is>
          <t>C</t>
        </is>
      </c>
      <c r="B19" s="176">
        <f>IF(_epmOfflineCondition_,"C_CATEGORY",EPMDimensionType(,A19))</f>
        <v/>
      </c>
      <c r="C19" s="182" t="inlineStr">
        <is>
          <t>C_DUMMY</t>
        </is>
      </c>
      <c r="D19" s="180" t="n"/>
      <c r="E19" s="180" t="n"/>
      <c r="F19" s="13" t="n"/>
      <c r="G19" s="13" t="n"/>
      <c r="H19" s="13" t="n"/>
      <c r="I19" s="180" t="inlineStr">
        <is>
          <t>单体录入</t>
        </is>
      </c>
      <c r="J19" s="180" t="inlineStr">
        <is>
          <t>D1110</t>
        </is>
      </c>
      <c r="K19" s="13" t="n"/>
      <c r="L19" s="13" t="n"/>
      <c r="M19" s="13" t="n"/>
      <c r="N19" s="13" t="n"/>
      <c r="O19" s="13" t="n"/>
      <c r="P19" s="13" t="n"/>
      <c r="Q19" s="13" t="n"/>
      <c r="R19" s="13" t="n"/>
      <c r="S19" s="1103" t="n"/>
      <c r="T19" s="13" t="n"/>
      <c r="U19" s="13" t="n"/>
      <c r="V19" s="13" t="n"/>
      <c r="W19" s="13" t="n"/>
      <c r="X19" s="171" t="n"/>
      <c r="Y19" s="13" t="n"/>
      <c r="Z19" s="13" t="n"/>
      <c r="AA19" s="13" t="n"/>
      <c r="AB19" s="13" t="n"/>
      <c r="AC19" s="13" t="n"/>
      <c r="AD19" s="220" t="n"/>
      <c r="AE19" s="13" t="n"/>
      <c r="AF19" s="13" t="n"/>
      <c r="AG19" s="13" t="n"/>
      <c r="AH19" s="13" t="n"/>
      <c r="AI19" s="13" t="n"/>
      <c r="AJ19" s="13" t="n"/>
      <c r="AK19" s="13" t="n"/>
      <c r="AL19" s="13" t="n"/>
      <c r="AM19" s="13" t="n"/>
      <c r="AN19" s="13" t="n"/>
    </row>
    <row r="20" hidden="1" s="1181">
      <c r="A20" s="175" t="inlineStr">
        <is>
          <t>T</t>
        </is>
      </c>
      <c r="B20" s="176">
        <f>IF(_epmOfflineCondition_,"C_TIME",EPMDimensionType(,A20))</f>
        <v/>
      </c>
      <c r="C20" s="672" t="inlineStr">
        <is>
          <t>T_DUMMY</t>
        </is>
      </c>
      <c r="D20" s="180" t="n"/>
      <c r="E20" s="180" t="n"/>
      <c r="F20" s="13" t="n"/>
      <c r="G20" s="13" t="n"/>
      <c r="H20" s="13" t="n"/>
      <c r="I20" s="180" t="inlineStr">
        <is>
          <t>合并调整</t>
        </is>
      </c>
      <c r="J20" s="180" t="inlineStr">
        <is>
          <t>DELIM_IPT_IC_BP_99</t>
        </is>
      </c>
      <c r="K20" s="13" t="n"/>
      <c r="L20" s="13" t="n"/>
      <c r="M20" s="13" t="n"/>
      <c r="N20" s="13" t="n"/>
      <c r="O20" s="13" t="n"/>
      <c r="P20" s="13" t="n"/>
      <c r="Q20" s="13" t="n"/>
      <c r="R20" s="13" t="n"/>
      <c r="S20" s="1103" t="n"/>
      <c r="T20" s="13" t="n"/>
      <c r="U20" s="13" t="n"/>
      <c r="V20" s="13" t="n"/>
      <c r="W20" s="13" t="n"/>
      <c r="X20" s="171" t="n"/>
      <c r="Y20" s="13" t="n"/>
      <c r="Z20" s="13" t="n"/>
      <c r="AA20" s="13" t="n"/>
      <c r="AB20" s="13" t="n"/>
      <c r="AC20" s="13" t="n"/>
      <c r="AD20" s="220" t="n"/>
      <c r="AE20" s="13" t="n"/>
      <c r="AF20" s="13" t="n"/>
      <c r="AG20" s="13" t="n"/>
      <c r="AH20" s="13" t="n"/>
      <c r="AI20" s="13" t="n"/>
      <c r="AJ20" s="13" t="n"/>
      <c r="AK20" s="13" t="n"/>
      <c r="AL20" s="13" t="n"/>
      <c r="AM20" s="13" t="n"/>
      <c r="AN20" s="13" t="n"/>
    </row>
    <row r="21" hidden="1" s="1181">
      <c r="A21" s="175" t="inlineStr">
        <is>
          <t>E</t>
        </is>
      </c>
      <c r="B21" s="176">
        <f>IF(_epmOfflineCondition_,"C_ENTITY",EPMDimensionType(,A21))</f>
        <v/>
      </c>
      <c r="C21" s="672">
        <f>IF(_epmOfflineCondition_,"E100787",IF(B21="","",EPMContextMember(,B21)))</f>
        <v/>
      </c>
      <c r="D21" s="182">
        <f>IF(_epmOfflineCondition_,"E100787",EPMOlapMemberO(C21,"[C_ENTITY].[PARENTH1].[E100787]","E100787 - 内蒙古京能苏尼特风力发电有限公司（内蒙古分公司）","","000"))</f>
        <v/>
      </c>
      <c r="E21" s="180" t="n"/>
      <c r="F21" s="13" t="n"/>
      <c r="G21" s="13" t="n"/>
      <c r="H21" s="13" t="n"/>
      <c r="I21" s="180" t="inlineStr">
        <is>
          <t>合并查询</t>
        </is>
      </c>
      <c r="J21" s="180" t="inlineStr">
        <is>
          <t>DTOTAL</t>
        </is>
      </c>
      <c r="K21" s="13" t="n"/>
      <c r="L21" s="13" t="n"/>
      <c r="M21" s="13" t="n"/>
      <c r="N21" s="13" t="n"/>
      <c r="O21" s="13" t="n"/>
      <c r="P21" s="13" t="n"/>
      <c r="Q21" s="13" t="n"/>
      <c r="R21" s="13" t="n"/>
      <c r="S21" s="1103" t="n"/>
      <c r="T21" s="13" t="n"/>
      <c r="U21" s="13" t="n"/>
      <c r="V21" s="13" t="n"/>
      <c r="W21" s="13" t="n"/>
      <c r="X21" s="171" t="n"/>
      <c r="Y21" s="13" t="n"/>
      <c r="Z21" s="13" t="n"/>
      <c r="AA21" s="13" t="n"/>
      <c r="AB21" s="13" t="n"/>
      <c r="AC21" s="13" t="n"/>
      <c r="AD21" s="220" t="n"/>
      <c r="AE21" s="13" t="n"/>
      <c r="AF21" s="13" t="n"/>
      <c r="AG21" s="13" t="n"/>
      <c r="AH21" s="13" t="n"/>
      <c r="AI21" s="13" t="n"/>
      <c r="AJ21" s="13" t="n"/>
      <c r="AK21" s="13" t="n"/>
      <c r="AL21" s="13" t="n"/>
      <c r="AM21" s="13" t="n"/>
      <c r="AN21" s="13" t="n"/>
    </row>
    <row r="22" hidden="1" s="1181">
      <c r="A22" s="175" t="inlineStr">
        <is>
          <t>R</t>
        </is>
      </c>
      <c r="B22" s="176">
        <f>IF(_epmOfflineCondition_,"C_RPTCURRENCY",EPMDimensionType(,A22))</f>
        <v/>
      </c>
      <c r="C22" s="672" t="inlineStr">
        <is>
          <t>LC</t>
        </is>
      </c>
      <c r="D22" s="182">
        <f>IF(_epmOfflineCondition_,"LC",EPMOlapMemberO(C22,"[C_RPTCURRENCY].[].[LC]","LC - 本位币","","000"))</f>
        <v/>
      </c>
      <c r="E22" s="180" t="n"/>
      <c r="F22" s="13" t="n"/>
      <c r="G22" s="13" t="n"/>
      <c r="H22" s="13" t="n"/>
      <c r="I22" s="13" t="n"/>
      <c r="J22" s="13" t="n"/>
      <c r="K22" s="13" t="n"/>
      <c r="L22" s="13" t="n"/>
      <c r="M22" s="13" t="n"/>
      <c r="N22" s="13" t="n"/>
      <c r="O22" s="13" t="n"/>
      <c r="P22" s="13" t="n"/>
      <c r="Q22" s="13" t="n"/>
      <c r="R22" s="13" t="n"/>
      <c r="S22" s="1103" t="n"/>
      <c r="T22" s="13" t="n"/>
      <c r="U22" s="13" t="n"/>
      <c r="V22" s="13" t="n"/>
      <c r="W22" s="13" t="n"/>
      <c r="X22" s="171" t="n"/>
      <c r="Y22" s="13" t="n"/>
      <c r="Z22" s="13" t="n"/>
      <c r="AA22" s="13" t="n"/>
      <c r="AB22" s="13" t="n"/>
      <c r="AC22" s="13" t="n"/>
      <c r="AD22" s="220" t="n"/>
      <c r="AE22" s="13" t="n"/>
      <c r="AF22" s="13" t="n"/>
      <c r="AG22" s="13" t="n"/>
      <c r="AH22" s="13" t="n"/>
      <c r="AI22" s="13" t="n"/>
      <c r="AJ22" s="13" t="n"/>
      <c r="AK22" s="13" t="n"/>
      <c r="AL22" s="13" t="n"/>
      <c r="AM22" s="13" t="n"/>
      <c r="AN22" s="13" t="n"/>
    </row>
    <row r="23" hidden="1" s="1181">
      <c r="A23" s="175" t="inlineStr">
        <is>
          <t>D</t>
        </is>
      </c>
      <c r="B23" s="176">
        <f>IF(_epmOfflineCondition_,"C_AUDITTRAIL",EPMDimensionType(,A23))</f>
        <v/>
      </c>
      <c r="C23" s="672">
        <f>J18</f>
        <v/>
      </c>
      <c r="D23" s="182">
        <f>IF(_epmOfflineCondition_,"D1110",EPMOlapMemberO(C23,"[C_AUDITTRAIL].[PARENTH1].[D1110]","D1110 - 平台表单手工输入","","000"))</f>
        <v/>
      </c>
      <c r="E23" s="180" t="n"/>
      <c r="F23" s="13" t="n"/>
      <c r="G23" s="13" t="n"/>
      <c r="H23" s="13" t="n"/>
      <c r="I23" s="13" t="n"/>
      <c r="J23" s="13" t="n"/>
      <c r="K23" s="13" t="n"/>
      <c r="L23" s="13" t="n"/>
      <c r="M23" s="13" t="n"/>
      <c r="N23" s="13" t="n"/>
      <c r="O23" s="13" t="n"/>
      <c r="P23" s="13" t="n"/>
      <c r="Q23" s="13" t="n"/>
      <c r="R23" s="13" t="n"/>
      <c r="S23" s="1103" t="n"/>
      <c r="T23" s="13" t="n"/>
      <c r="U23" s="271" t="n"/>
      <c r="V23" s="271" t="n"/>
      <c r="W23" s="13" t="n"/>
      <c r="X23" s="171" t="n"/>
      <c r="Y23" s="13" t="n"/>
      <c r="Z23" s="13" t="n"/>
      <c r="AA23" s="13" t="n"/>
      <c r="AB23" s="13" t="n"/>
      <c r="AC23" s="13" t="n"/>
      <c r="AD23" s="220" t="n"/>
      <c r="AE23" s="13" t="n"/>
      <c r="AF23" s="13" t="n"/>
      <c r="AG23" s="13" t="n"/>
      <c r="AH23" s="13" t="n"/>
      <c r="AI23" s="13" t="n"/>
      <c r="AJ23" s="13" t="n"/>
      <c r="AK23" s="13" t="n"/>
      <c r="AL23" s="13" t="n"/>
      <c r="AM23" s="13" t="n"/>
      <c r="AN23" s="13" t="n"/>
    </row>
    <row r="24" hidden="1" s="1181">
      <c r="A24" s="175" t="inlineStr">
        <is>
          <t>S</t>
        </is>
      </c>
      <c r="B24" s="176">
        <f>IF(_epmOfflineCondition_,"C_FLOW",EPMDimensionType(,A24))</f>
        <v/>
      </c>
      <c r="C24" s="672">
        <f>IF(_epmOfflineCondition_,"FTOTAL",IF(B24="","",EPMContextMember(,B24)))</f>
        <v/>
      </c>
      <c r="D24" s="180" t="n"/>
      <c r="E24" s="180" t="n"/>
      <c r="F24" s="13" t="n"/>
      <c r="G24" s="13" t="n"/>
      <c r="H24" s="13" t="n"/>
      <c r="I24" s="13" t="n"/>
      <c r="J24" s="13" t="n"/>
      <c r="K24" s="13" t="n"/>
      <c r="L24" s="13" t="n"/>
      <c r="M24" s="13" t="n"/>
      <c r="N24" s="13" t="n"/>
      <c r="O24" s="13" t="n"/>
      <c r="P24" s="13" t="n"/>
      <c r="Q24" s="13" t="n"/>
      <c r="R24" s="13" t="n"/>
      <c r="S24" s="1103" t="n"/>
      <c r="T24" s="13" t="n"/>
      <c r="U24" s="271" t="n"/>
      <c r="V24" s="271" t="n"/>
      <c r="W24" s="13" t="n"/>
      <c r="X24" s="171" t="n"/>
      <c r="Y24" s="13" t="n"/>
      <c r="Z24" s="13" t="n"/>
      <c r="AA24" s="13" t="n"/>
      <c r="AB24" s="13" t="n"/>
      <c r="AC24" s="13" t="n"/>
      <c r="AD24" s="220" t="n"/>
      <c r="AE24" s="13" t="n"/>
      <c r="AF24" s="13" t="n"/>
      <c r="AG24" s="13" t="n"/>
      <c r="AH24" s="13" t="n"/>
      <c r="AI24" s="13" t="n"/>
      <c r="AJ24" s="13" t="n"/>
      <c r="AK24" s="13" t="n"/>
      <c r="AL24" s="13" t="n"/>
      <c r="AM24" s="13" t="n"/>
      <c r="AN24" s="13" t="n"/>
    </row>
    <row r="25" hidden="1" s="1181">
      <c r="A25" s="175" t="inlineStr">
        <is>
          <t>I</t>
        </is>
      </c>
      <c r="B25" s="176">
        <f>IF(_epmOfflineCondition_,"C_INTERCO",EPMDimensionType(,A25))</f>
        <v/>
      </c>
      <c r="C25" s="672" t="inlineStr">
        <is>
          <t>I_DUMMY</t>
        </is>
      </c>
      <c r="D25" s="182">
        <f>IF(_epmOfflineCondition_,"I_DUMMY",EPMOlapMemberO(C25,"[C_INTERCO].[PARENTH1].[I_DUMMY]","I_DUMMY - 贸易伙伴无关","","000"))</f>
        <v/>
      </c>
      <c r="E25" s="180" t="n"/>
      <c r="F25" s="13" t="n"/>
      <c r="G25" s="13" t="n"/>
      <c r="H25" s="13" t="n"/>
      <c r="I25" s="13" t="n"/>
      <c r="J25" s="13" t="n"/>
      <c r="K25" s="13" t="n"/>
      <c r="L25" s="13" t="n"/>
      <c r="M25" s="13" t="n"/>
      <c r="N25" s="13" t="n"/>
      <c r="O25" s="13" t="n"/>
      <c r="P25" s="13" t="n"/>
      <c r="Q25" s="13" t="n"/>
      <c r="R25" s="13" t="n"/>
      <c r="S25" s="1103" t="n"/>
      <c r="T25" s="13" t="n"/>
      <c r="U25" s="271" t="n"/>
      <c r="V25" s="271" t="n"/>
      <c r="W25" s="13" t="n"/>
      <c r="X25" s="171" t="n"/>
      <c r="Y25" s="178" t="inlineStr">
        <is>
          <t>C1001</t>
        </is>
      </c>
      <c r="Z25" s="178" t="inlineStr">
        <is>
          <t>C1001</t>
        </is>
      </c>
      <c r="AA25" s="178" t="inlineStr">
        <is>
          <t>C1001</t>
        </is>
      </c>
      <c r="AB25" s="178" t="inlineStr">
        <is>
          <t>C1001</t>
        </is>
      </c>
      <c r="AC25" s="178" t="inlineStr">
        <is>
          <t>C1001</t>
        </is>
      </c>
      <c r="AD25" s="178" t="inlineStr">
        <is>
          <t>C1001</t>
        </is>
      </c>
      <c r="AE25" s="178" t="n"/>
      <c r="AF25" s="178" t="n"/>
      <c r="AG25" s="178" t="n"/>
      <c r="AH25" s="178" t="inlineStr">
        <is>
          <t>C1001</t>
        </is>
      </c>
      <c r="AI25" s="178" t="inlineStr">
        <is>
          <t>C1001</t>
        </is>
      </c>
      <c r="AJ25" s="13" t="n"/>
      <c r="AK25" s="13" t="n"/>
      <c r="AL25" s="13" t="n"/>
      <c r="AM25" s="13" t="n"/>
      <c r="AN25" s="13" t="n"/>
    </row>
    <row r="26" hidden="1" s="1181">
      <c r="A26" s="175" t="inlineStr">
        <is>
          <t>G</t>
        </is>
      </c>
      <c r="B26" s="176">
        <f>IF(_epmOfflineCondition_,"C_SCOPE",EPMDimensionType(,A26))</f>
        <v/>
      </c>
      <c r="C26" s="182">
        <f>E11</f>
        <v/>
      </c>
      <c r="D26" s="182">
        <f>IF(_epmOfflineCondition_,"G_DUMMY",EPMOlapMemberO(C26,"[C_SCOPE].[PARENTH1].[G_DUMMY]","G_DUMMY - 合并范围无关","","000"))</f>
        <v/>
      </c>
      <c r="E26" s="180" t="n"/>
      <c r="F26" s="13" t="n"/>
      <c r="G26" s="13" t="n"/>
      <c r="H26" s="13" t="n"/>
      <c r="I26" s="13" t="n"/>
      <c r="J26" s="13" t="n"/>
      <c r="K26" s="13" t="n"/>
      <c r="L26" s="13" t="n"/>
      <c r="M26" s="13" t="n"/>
      <c r="N26" s="13" t="n"/>
      <c r="O26" s="13" t="n"/>
      <c r="P26" s="13" t="n"/>
      <c r="Q26" s="13" t="n"/>
      <c r="R26" s="13" t="n"/>
      <c r="S26" s="1103" t="n"/>
      <c r="T26" s="13" t="n"/>
      <c r="U26" s="271" t="n"/>
      <c r="V26" s="271" t="n"/>
      <c r="W26" s="13" t="n"/>
      <c r="X26" s="171" t="n"/>
      <c r="Y26" s="178">
        <f>$I$11</f>
        <v/>
      </c>
      <c r="Z26" s="178">
        <f>$I$11</f>
        <v/>
      </c>
      <c r="AA26" s="178">
        <f>$I$11</f>
        <v/>
      </c>
      <c r="AB26" s="178">
        <f>$I$13</f>
        <v/>
      </c>
      <c r="AC26" s="178">
        <f>$I$13</f>
        <v/>
      </c>
      <c r="AD26" s="178">
        <f>$I$13</f>
        <v/>
      </c>
      <c r="AE26" s="178" t="n"/>
      <c r="AF26" s="178" t="n"/>
      <c r="AG26" s="178" t="n"/>
      <c r="AH26" s="178">
        <f>$I$11</f>
        <v/>
      </c>
      <c r="AI26" s="178">
        <f>$I$11</f>
        <v/>
      </c>
      <c r="AJ26" s="13" t="n"/>
      <c r="AK26" s="13" t="n"/>
      <c r="AL26" s="13" t="n"/>
      <c r="AM26" s="13" t="n"/>
      <c r="AN26" s="13" t="n"/>
    </row>
    <row r="27" hidden="1" s="1181">
      <c r="A27" s="175" t="inlineStr">
        <is>
          <t>U8</t>
        </is>
      </c>
      <c r="B27" s="176">
        <f>IF(_epmOfflineCondition_,"C_PROJECT",EPMDimensionType(,A27))</f>
        <v/>
      </c>
      <c r="C27" s="180" t="inlineStr">
        <is>
          <t>ZP_DUMMY</t>
        </is>
      </c>
      <c r="D27" s="182">
        <f>IF(_epmOfflineCondition_,"ZP_DUMMY",EPMOlapMemberO(C27,"[C_PROJECT].[PARENTH1].[ZP_DUMMY]","ZP_DUMMY - 项目无关","","000"))</f>
        <v/>
      </c>
      <c r="E27" s="180" t="n"/>
      <c r="F27" s="13" t="n"/>
      <c r="G27" s="13" t="n"/>
      <c r="H27" s="13" t="n"/>
      <c r="I27" s="13" t="n"/>
      <c r="J27" s="13" t="n"/>
      <c r="K27" s="13" t="n"/>
      <c r="L27" s="13" t="n"/>
      <c r="M27" s="13" t="n"/>
      <c r="N27" s="13" t="n"/>
      <c r="O27" s="13" t="n"/>
      <c r="P27" s="13" t="n"/>
      <c r="Q27" s="13" t="n"/>
      <c r="R27" s="13" t="n"/>
      <c r="S27" s="1103" t="n"/>
      <c r="T27" s="13" t="n"/>
      <c r="U27" s="271" t="n"/>
      <c r="V27" s="271" t="n"/>
      <c r="W27" s="13" t="n"/>
      <c r="X27" s="13" t="n"/>
      <c r="Y27" s="200" t="inlineStr">
        <is>
          <t>YTD</t>
        </is>
      </c>
      <c r="Z27" s="200" t="inlineStr">
        <is>
          <t>YTD</t>
        </is>
      </c>
      <c r="AA27" s="200" t="inlineStr">
        <is>
          <t>YTD</t>
        </is>
      </c>
      <c r="AB27" s="200" t="inlineStr">
        <is>
          <t>YTD</t>
        </is>
      </c>
      <c r="AC27" s="200" t="inlineStr">
        <is>
          <t>YTD</t>
        </is>
      </c>
      <c r="AD27" s="200" t="inlineStr">
        <is>
          <t>YTD</t>
        </is>
      </c>
      <c r="AE27" s="200" t="n"/>
      <c r="AF27" s="200" t="n"/>
      <c r="AG27" s="200" t="n"/>
      <c r="AH27" s="200" t="inlineStr">
        <is>
          <t>YTD</t>
        </is>
      </c>
      <c r="AI27" s="200" t="inlineStr">
        <is>
          <t>YTD</t>
        </is>
      </c>
      <c r="AJ27" s="13" t="n"/>
      <c r="AK27" s="13" t="n"/>
      <c r="AL27" s="13" t="n"/>
      <c r="AM27" s="13" t="n"/>
      <c r="AN27" s="13" t="n"/>
    </row>
    <row r="28" hidden="1" s="1181">
      <c r="A28" s="175" t="inlineStr">
        <is>
          <t>U9</t>
        </is>
      </c>
      <c r="B28" s="176">
        <f>IF(_epmOfflineCondition_,"C_ITEM",EPMDimensionType(,A28))</f>
        <v/>
      </c>
      <c r="C28" s="180" t="inlineStr">
        <is>
          <t>ZI_DUMMY</t>
        </is>
      </c>
      <c r="D28" s="182">
        <f>IF(_epmOfflineCondition_,"ZI_DUMMY",EPMOlapMemberO(C28,"[C_ITEM].[PARENTH1].[ZI_DUMMY]","ZI_DUMMY - 与子项无关","","000"))</f>
        <v/>
      </c>
      <c r="E28" s="180" t="n"/>
      <c r="F28" s="13" t="n"/>
      <c r="G28" s="13" t="n"/>
      <c r="H28" s="13" t="n"/>
      <c r="I28" s="13" t="n"/>
      <c r="J28" s="13" t="n"/>
      <c r="K28" s="13" t="n"/>
      <c r="L28" s="13" t="n"/>
      <c r="M28" s="13" t="n"/>
      <c r="N28" s="13" t="n"/>
      <c r="O28" s="13" t="n"/>
      <c r="P28" s="13" t="n"/>
      <c r="Q28" s="13" t="n"/>
      <c r="R28" s="13" t="n"/>
      <c r="S28" s="13" t="n"/>
      <c r="T28" s="13" t="n"/>
      <c r="U28" s="271" t="n"/>
      <c r="V28" s="271" t="n"/>
      <c r="W28" s="13" t="n"/>
      <c r="X28" s="171" t="n"/>
      <c r="Y28" s="200" t="inlineStr">
        <is>
          <t>F20</t>
        </is>
      </c>
      <c r="Z28" s="200" t="inlineStr">
        <is>
          <t>F20</t>
        </is>
      </c>
      <c r="AA28" s="200" t="inlineStr">
        <is>
          <t>F20</t>
        </is>
      </c>
      <c r="AB28" s="200" t="inlineStr">
        <is>
          <t>F20</t>
        </is>
      </c>
      <c r="AC28" s="200" t="inlineStr">
        <is>
          <t>F20</t>
        </is>
      </c>
      <c r="AD28" s="200" t="inlineStr">
        <is>
          <t>F20</t>
        </is>
      </c>
      <c r="AE28" s="200" t="n"/>
      <c r="AF28" s="200" t="n"/>
      <c r="AG28" s="200" t="n"/>
      <c r="AH28" s="200" t="inlineStr">
        <is>
          <t>F20</t>
        </is>
      </c>
      <c r="AI28" s="200" t="inlineStr">
        <is>
          <t>F20</t>
        </is>
      </c>
      <c r="AJ28" s="13" t="n"/>
      <c r="AK28" s="13" t="n"/>
      <c r="AL28" s="13" t="n"/>
      <c r="AM28" s="13" t="n"/>
      <c r="AN28" s="13" t="n"/>
    </row>
    <row r="29" hidden="1" s="1181">
      <c r="A29" s="175" t="inlineStr">
        <is>
          <t>U10</t>
        </is>
      </c>
      <c r="B29" s="176">
        <f>IF(_epmOfflineCondition_,"C_MISK",EPMDimensionType(,A29))</f>
        <v/>
      </c>
      <c r="C29" s="672" t="inlineStr">
        <is>
          <t>ZM_DUMMY</t>
        </is>
      </c>
      <c r="D29" s="182" t="n"/>
      <c r="E29" s="180" t="n"/>
      <c r="F29" s="13" t="n"/>
      <c r="G29" s="13" t="n"/>
      <c r="H29" s="13" t="n"/>
      <c r="I29" s="13" t="n"/>
      <c r="J29" s="13" t="n"/>
      <c r="K29" s="13" t="n"/>
      <c r="L29" s="13" t="n"/>
      <c r="M29" s="13" t="n"/>
      <c r="N29" s="13" t="n"/>
      <c r="O29" s="13" t="n"/>
      <c r="P29" s="13" t="n"/>
      <c r="Q29" s="13" t="n"/>
      <c r="R29" s="13" t="n"/>
      <c r="S29" s="1103" t="n"/>
      <c r="T29" s="13" t="n"/>
      <c r="U29" s="271" t="n"/>
      <c r="V29" s="271" t="n"/>
      <c r="W29" s="13" t="n"/>
      <c r="X29" s="171" t="n"/>
      <c r="Y29" s="178" t="inlineStr">
        <is>
          <t>ZM04101</t>
        </is>
      </c>
      <c r="Z29" s="178" t="inlineStr">
        <is>
          <t>ZM04102</t>
        </is>
      </c>
      <c r="AA29" s="178" t="inlineStr">
        <is>
          <t>ZM04103</t>
        </is>
      </c>
      <c r="AB29" s="178" t="inlineStr">
        <is>
          <t>ZM04101</t>
        </is>
      </c>
      <c r="AC29" s="178" t="inlineStr">
        <is>
          <t>ZM04102</t>
        </is>
      </c>
      <c r="AD29" s="178" t="inlineStr">
        <is>
          <t>ZM04103</t>
        </is>
      </c>
      <c r="AE29" s="178" t="n"/>
      <c r="AF29" s="178" t="n"/>
      <c r="AG29" s="178" t="n"/>
      <c r="AH29" s="178" t="inlineStr">
        <is>
          <t>ZM04104</t>
        </is>
      </c>
      <c r="AI29" s="178" t="inlineStr">
        <is>
          <t>ZM04105</t>
        </is>
      </c>
      <c r="AJ29" s="13" t="n"/>
      <c r="AK29" s="13" t="n"/>
      <c r="AL29" s="13" t="n"/>
      <c r="AM29" s="13" t="n"/>
      <c r="AN29" s="13" t="n"/>
    </row>
    <row r="30" hidden="1" ht="15" customHeight="1" s="1181">
      <c r="A30" s="175" t="n"/>
      <c r="B30" s="175">
        <f>IF(_epmOfflineCondition_,"",EPMDimensionType(,A30))</f>
        <v/>
      </c>
      <c r="C30" s="182" t="inlineStr">
        <is>
          <t>PERIODIC</t>
        </is>
      </c>
      <c r="D30" s="180" t="n"/>
      <c r="E30" s="180" t="n"/>
      <c r="F30" s="13" t="n"/>
      <c r="G30" s="13" t="n"/>
      <c r="H30" s="13" t="n"/>
      <c r="I30" s="13" t="n"/>
      <c r="J30" s="13" t="n"/>
      <c r="K30" s="13" t="n"/>
      <c r="L30" s="13" t="n"/>
      <c r="M30" s="13" t="n"/>
      <c r="N30" s="13" t="n"/>
      <c r="O30" s="13" t="n"/>
      <c r="P30" s="13" t="n"/>
      <c r="Q30" s="13" t="n"/>
      <c r="R30" s="13" t="n"/>
      <c r="S30" s="13" t="n"/>
      <c r="T30" s="13" t="n"/>
      <c r="U30" s="271" t="n"/>
      <c r="V30" s="271" t="n"/>
      <c r="W30" s="13" t="n"/>
      <c r="X30" s="171" t="n"/>
      <c r="Y30" s="13" t="n"/>
      <c r="Z30" s="13" t="n"/>
      <c r="AA30" s="13" t="n"/>
      <c r="AB30" s="13" t="n"/>
      <c r="AC30" s="13" t="n"/>
      <c r="AD30" s="220" t="n"/>
      <c r="AE30" s="13" t="n"/>
      <c r="AF30" s="13" t="n"/>
      <c r="AG30" s="13" t="n"/>
      <c r="AH30" s="13" t="n"/>
      <c r="AI30" s="13" t="n"/>
      <c r="AJ30" s="13" t="n"/>
      <c r="AK30" s="13" t="n"/>
      <c r="AL30" s="13" t="n"/>
      <c r="AM30" s="13" t="n"/>
      <c r="AN30" s="13" t="n"/>
    </row>
    <row r="31" hidden="1" ht="15" customHeight="1" s="1181">
      <c r="A31" s="13" t="n"/>
      <c r="B31" s="1103" t="n"/>
      <c r="C31" s="1103" t="n"/>
      <c r="D31" s="1103" t="n"/>
      <c r="E31" s="13" t="n"/>
      <c r="F31" s="13" t="n"/>
      <c r="G31" s="13" t="n"/>
      <c r="H31" s="13" t="n"/>
      <c r="I31" s="13" t="n"/>
      <c r="J31" s="13" t="n"/>
      <c r="K31" s="13" t="n"/>
      <c r="L31" s="13" t="n"/>
      <c r="M31" s="13" t="n"/>
      <c r="N31" s="13" t="n"/>
      <c r="O31" s="13" t="n"/>
      <c r="P31" s="13" t="n"/>
      <c r="Q31" s="13" t="n"/>
      <c r="R31" s="13" t="n"/>
      <c r="S31" s="13" t="n"/>
      <c r="T31" s="13" t="n"/>
      <c r="U31" s="271" t="n"/>
      <c r="V31" s="271" t="n"/>
      <c r="W31" s="13" t="n"/>
      <c r="X31" s="171" t="n"/>
      <c r="Y31" s="13" t="n"/>
      <c r="Z31" s="171" t="n"/>
      <c r="AA31" s="171" t="n"/>
      <c r="AB31" s="13" t="n"/>
      <c r="AC31" s="13" t="n"/>
      <c r="AD31" s="220" t="n"/>
      <c r="AE31" s="13" t="n"/>
      <c r="AF31" s="13" t="n"/>
      <c r="AG31" s="13" t="n"/>
      <c r="AH31" s="13" t="n"/>
      <c r="AI31" s="13" t="n"/>
      <c r="AJ31" s="13" t="n"/>
      <c r="AK31" s="13" t="n"/>
      <c r="AL31" s="13" t="n"/>
      <c r="AM31" s="13" t="n"/>
      <c r="AN31" s="13" t="n"/>
    </row>
    <row r="32" hidden="1" ht="15" customHeight="1" s="1181">
      <c r="A32" s="13" t="n"/>
      <c r="B32" s="1103" t="n"/>
      <c r="C32" s="1103" t="n"/>
      <c r="D32" s="1103" t="n"/>
      <c r="E32" s="13" t="n"/>
      <c r="F32" s="13" t="n"/>
      <c r="G32" s="13" t="n"/>
      <c r="H32" s="13" t="n"/>
      <c r="I32" s="13" t="n"/>
      <c r="J32" s="13" t="n"/>
      <c r="K32" s="13" t="n"/>
      <c r="L32" s="13" t="n"/>
      <c r="M32" s="13" t="n"/>
      <c r="N32" s="13" t="n"/>
      <c r="O32" s="13" t="n"/>
      <c r="P32" s="13" t="n"/>
      <c r="Q32" s="13" t="n"/>
      <c r="R32" s="13" t="n"/>
      <c r="S32" s="13" t="n"/>
      <c r="T32" s="13" t="n"/>
      <c r="U32" s="13" t="n"/>
      <c r="V32" s="13" t="n"/>
      <c r="W32" s="13" t="n"/>
      <c r="X32" s="171" t="n"/>
      <c r="Y32" s="13" t="n"/>
      <c r="Z32" s="171" t="n"/>
      <c r="AA32" s="171" t="n"/>
      <c r="AB32" s="13" t="n"/>
      <c r="AC32" s="13" t="n"/>
      <c r="AD32" s="220" t="n"/>
      <c r="AE32" s="13" t="n"/>
      <c r="AF32" s="13" t="n"/>
      <c r="AG32" s="13" t="n"/>
      <c r="AH32" s="13" t="n"/>
      <c r="AI32" s="13" t="n"/>
      <c r="AJ32" s="13" t="n"/>
      <c r="AK32" s="13" t="n"/>
      <c r="AL32" s="13" t="n"/>
      <c r="AM32" s="13" t="n"/>
      <c r="AN32" s="13" t="n"/>
    </row>
    <row r="33" hidden="1" ht="15" customHeight="1" s="1181">
      <c r="A33" s="13" t="n"/>
      <c r="B33" s="1103" t="n"/>
      <c r="C33" s="1103" t="n"/>
      <c r="D33" s="1103" t="n"/>
      <c r="E33" s="13" t="n"/>
      <c r="F33" s="13" t="n"/>
      <c r="G33" s="13" t="n"/>
      <c r="H33" s="13" t="n"/>
      <c r="I33" s="13" t="n"/>
      <c r="J33" s="13" t="n"/>
      <c r="K33" s="13" t="n"/>
      <c r="L33" s="13" t="n"/>
      <c r="M33" s="13" t="n"/>
      <c r="N33" s="13" t="n"/>
      <c r="O33" s="13" t="n"/>
      <c r="P33" s="13" t="n"/>
      <c r="Q33" s="13" t="n"/>
      <c r="R33" s="13" t="n"/>
      <c r="S33" s="13" t="n"/>
      <c r="T33" s="13" t="n"/>
      <c r="U33" s="13" t="n"/>
      <c r="V33" s="13" t="n"/>
      <c r="W33" s="13" t="n"/>
      <c r="X33" s="171" t="n"/>
      <c r="Y33" s="13" t="n"/>
      <c r="Z33" s="171" t="n"/>
      <c r="AA33" s="171" t="n"/>
      <c r="AB33" s="13" t="n"/>
      <c r="AC33" s="13" t="n"/>
      <c r="AD33" s="220" t="n"/>
      <c r="AE33" s="13" t="n"/>
      <c r="AF33" s="13" t="n"/>
      <c r="AG33" s="13" t="n"/>
      <c r="AH33" s="13" t="n"/>
      <c r="AI33" s="13" t="n"/>
      <c r="AJ33" s="13" t="n"/>
      <c r="AK33" s="13" t="n"/>
      <c r="AL33" s="13" t="n"/>
      <c r="AM33" s="13" t="n"/>
      <c r="AN33" s="13" t="n"/>
    </row>
    <row r="34" ht="15" customHeight="1" s="1181">
      <c r="A34" s="13" t="n"/>
      <c r="B34" s="1103" t="n"/>
      <c r="C34" s="1103" t="n"/>
      <c r="D34" s="1103" t="n"/>
      <c r="E34" s="13" t="n"/>
      <c r="F34" s="13" t="n"/>
      <c r="G34" s="13" t="n"/>
      <c r="H34" s="13" t="n"/>
      <c r="I34" s="13" t="n"/>
      <c r="J34" s="13" t="n"/>
      <c r="K34" s="13" t="n"/>
      <c r="L34" s="13" t="n"/>
      <c r="M34" s="13" t="n"/>
      <c r="N34" s="13" t="n"/>
      <c r="O34" s="13" t="n"/>
      <c r="P34" s="13" t="n"/>
      <c r="Q34" s="13" t="n"/>
      <c r="R34" s="13" t="n"/>
      <c r="S34" s="13" t="n"/>
      <c r="T34" s="13" t="n"/>
      <c r="U34" s="13" t="n"/>
      <c r="V34" s="13" t="n"/>
      <c r="W34" s="13" t="n"/>
      <c r="X34" s="171" t="n"/>
      <c r="Y34" s="13" t="n"/>
      <c r="Z34" s="171" t="n"/>
      <c r="AA34" s="171" t="n"/>
      <c r="AB34" s="13" t="n"/>
      <c r="AC34" s="13" t="n"/>
      <c r="AD34" s="220" t="n"/>
      <c r="AE34" s="13" t="n"/>
      <c r="AF34" s="13" t="n"/>
      <c r="AG34" s="13" t="n"/>
      <c r="AH34" s="13" t="n"/>
      <c r="AI34" s="13" t="n"/>
      <c r="AJ34" s="13" t="n"/>
      <c r="AK34" s="13" t="n"/>
      <c r="AL34" s="13" t="n"/>
      <c r="AM34" s="13" t="n"/>
      <c r="AN34" s="13" t="n"/>
    </row>
    <row r="35" ht="32.25" customHeight="1" s="1181">
      <c r="A35" s="13" t="n"/>
      <c r="B35" s="13" t="n"/>
      <c r="C35" s="13" t="n"/>
      <c r="D35" s="13" t="n"/>
      <c r="E35" s="13" t="n"/>
      <c r="F35" s="13" t="n"/>
      <c r="G35" s="13" t="n"/>
      <c r="H35" s="13" t="n"/>
      <c r="I35" s="13" t="n"/>
      <c r="J35" s="13" t="n"/>
      <c r="K35" s="13" t="n"/>
      <c r="L35" s="13" t="n"/>
      <c r="M35" s="13" t="n"/>
      <c r="N35" s="13" t="n"/>
      <c r="O35" s="13" t="n"/>
      <c r="P35" s="13" t="n"/>
      <c r="Q35" s="13" t="n"/>
      <c r="R35" s="13" t="n"/>
      <c r="S35" s="1103" t="n"/>
      <c r="T35" s="13" t="n"/>
      <c r="U35" s="13" t="n"/>
      <c r="V35" s="13" t="n"/>
      <c r="W35" s="13" t="n"/>
      <c r="X35" s="171" t="n"/>
      <c r="Y35" s="13" t="n"/>
      <c r="Z35" s="202" t="inlineStr">
        <is>
          <t>请点击“保存数据”按钮。</t>
        </is>
      </c>
      <c r="AA35" s="171" t="n"/>
      <c r="AB35" s="201" t="inlineStr">
        <is>
          <t>电量电价影响收入表（发电企业）</t>
        </is>
      </c>
      <c r="AC35" s="13" t="n"/>
      <c r="AD35" s="13" t="n"/>
      <c r="AE35" s="13" t="n"/>
      <c r="AF35" s="13" t="n"/>
      <c r="AG35" s="13" t="n"/>
      <c r="AH35" s="13" t="n"/>
      <c r="AI35" s="13" t="n"/>
      <c r="AJ35" s="13" t="n"/>
      <c r="AK35" s="13" t="n"/>
      <c r="AL35" s="13" t="n"/>
      <c r="AM35" s="13" t="n"/>
      <c r="AN35" s="13" t="n"/>
    </row>
    <row r="36" customFormat="1" s="716">
      <c r="A36" s="716" t="n"/>
      <c r="B36" s="716" t="n"/>
      <c r="C36" s="716" t="n"/>
      <c r="D36" s="716" t="n"/>
      <c r="E36" s="716" t="n"/>
      <c r="F36" s="716" t="n"/>
      <c r="G36" s="716" t="n"/>
      <c r="H36" s="716" t="n"/>
      <c r="I36" s="716" t="n"/>
      <c r="J36" s="716" t="n"/>
      <c r="K36" s="716" t="n"/>
      <c r="L36" s="716" t="n"/>
      <c r="M36" s="716" t="n"/>
      <c r="N36" s="716" t="n"/>
      <c r="O36" s="716" t="n"/>
      <c r="P36" s="716" t="n"/>
      <c r="Q36" s="716" t="n"/>
      <c r="R36" s="716" t="n"/>
      <c r="S36" s="462" t="n"/>
      <c r="T36" s="716" t="n"/>
      <c r="U36" s="716" t="n"/>
      <c r="V36" s="716" t="n"/>
      <c r="W36" s="716" t="n"/>
      <c r="X36" s="190">
        <f>IF(_epmOfflineCondition_,"编制单位：内蒙古京能苏尼特风力发电有限公司（内蒙古分公司）","编制单位："&amp;EPMMemberDesc($D$6))</f>
        <v/>
      </c>
      <c r="Y36" s="716" t="n"/>
      <c r="Z36" s="202" t="inlineStr">
        <is>
          <t>🔺外币单位请直接填写折算后的人民币数。</t>
        </is>
      </c>
      <c r="AA36" s="203" t="n"/>
      <c r="AB36" s="716" t="n"/>
      <c r="AC36" s="716" t="n"/>
      <c r="AD36" s="716" t="n"/>
      <c r="AE36" s="716" t="n"/>
      <c r="AF36" s="716" t="n"/>
      <c r="AG36" s="716" t="n"/>
      <c r="AH36" s="716" t="n"/>
      <c r="AI36" s="716" t="n"/>
      <c r="AJ36" s="716" t="n"/>
      <c r="AK36" s="716" t="n"/>
      <c r="AL36" s="716" t="n"/>
      <c r="AM36" s="716" t="n"/>
      <c r="AN36" s="716" t="n"/>
    </row>
    <row r="37" ht="15.2" customFormat="1" customHeight="1" s="716">
      <c r="A37" s="716" t="n"/>
      <c r="B37" s="716" t="n"/>
      <c r="C37" s="716" t="n"/>
      <c r="D37" s="716" t="n"/>
      <c r="E37" s="716" t="n"/>
      <c r="F37" s="716" t="n"/>
      <c r="G37" s="716" t="n"/>
      <c r="H37" s="716" t="n"/>
      <c r="I37" s="716" t="n"/>
      <c r="J37" s="716" t="n"/>
      <c r="K37" s="716" t="n"/>
      <c r="L37" s="716" t="n"/>
      <c r="M37" s="716" t="n"/>
      <c r="N37" s="716" t="n"/>
      <c r="O37" s="716" t="n"/>
      <c r="P37" s="716" t="n"/>
      <c r="Q37" s="716" t="n"/>
      <c r="R37" s="716" t="n"/>
      <c r="S37" s="462" t="n"/>
      <c r="T37" s="716" t="n"/>
      <c r="U37" s="716" t="n"/>
      <c r="V37" s="716" t="n"/>
      <c r="W37" s="716" t="n"/>
      <c r="X37" s="190">
        <f>"编制月份："&amp;$I$3&amp;"年"&amp;$I$8&amp;"月"</f>
        <v/>
      </c>
      <c r="Y37" s="716" t="n"/>
      <c r="Z37" s="204" t="inlineStr">
        <is>
          <t>审计线索：</t>
        </is>
      </c>
      <c r="AA37" s="182" t="inlineStr">
        <is>
          <t>单体录入</t>
        </is>
      </c>
      <c r="AB37" s="716" t="n"/>
      <c r="AC37" s="716" t="n"/>
      <c r="AD37" s="716" t="n"/>
      <c r="AE37" s="716" t="n"/>
      <c r="AF37" s="223" t="inlineStr">
        <is>
          <t>金额单位：元</t>
        </is>
      </c>
      <c r="AG37" s="716" t="n"/>
      <c r="AH37" s="716" t="n"/>
      <c r="AI37" s="716" t="n"/>
      <c r="AJ37" s="716" t="n"/>
      <c r="AK37" s="716" t="n"/>
      <c r="AL37" s="716" t="n"/>
      <c r="AM37" s="716" t="n"/>
      <c r="AN37" s="716" t="n"/>
    </row>
    <row r="38" ht="10.5" customFormat="1" customHeight="1" s="716">
      <c r="A38" s="716" t="n"/>
      <c r="B38" s="716" t="n"/>
      <c r="C38" s="716" t="n"/>
      <c r="D38" s="716" t="n"/>
      <c r="E38" s="716" t="n"/>
      <c r="F38" s="716" t="n"/>
      <c r="G38" s="716" t="n"/>
      <c r="H38" s="716" t="n"/>
      <c r="I38" s="716" t="n"/>
      <c r="J38" s="716" t="n"/>
      <c r="K38" s="716" t="n"/>
      <c r="L38" s="716" t="n"/>
      <c r="M38" s="716" t="n"/>
      <c r="N38" s="716" t="n"/>
      <c r="O38" s="716" t="n"/>
      <c r="P38" s="716" t="n"/>
      <c r="Q38" s="716" t="n"/>
      <c r="R38" s="716" t="n"/>
      <c r="S38" s="462" t="n"/>
      <c r="T38" s="716" t="n"/>
      <c r="U38" s="716" t="n"/>
      <c r="V38" s="716" t="n"/>
      <c r="W38" s="716" t="n"/>
      <c r="X38" s="190" t="n"/>
      <c r="Y38" s="716" t="n"/>
      <c r="Z38" s="716" t="n"/>
      <c r="AA38" s="203" t="n"/>
      <c r="AB38" s="716" t="n"/>
      <c r="AC38" s="716" t="n"/>
      <c r="AD38" s="716" t="n"/>
      <c r="AE38" s="716" t="n"/>
      <c r="AF38" s="716" t="n"/>
      <c r="AG38" s="716" t="n"/>
      <c r="AH38" s="716" t="n"/>
      <c r="AI38" s="716" t="n"/>
      <c r="AJ38" s="716" t="n"/>
      <c r="AK38" s="716" t="n"/>
      <c r="AL38" s="716" t="n"/>
      <c r="AM38" s="716" t="n"/>
      <c r="AN38" s="716" t="n"/>
    </row>
    <row r="39" ht="16.5" customFormat="1" customHeight="1" s="716">
      <c r="A39" s="716" t="n"/>
      <c r="B39" s="716" t="n"/>
      <c r="C39" s="716" t="n"/>
      <c r="D39" s="716" t="n"/>
      <c r="E39" s="716" t="n"/>
      <c r="F39" s="716" t="n"/>
      <c r="G39" s="716" t="n"/>
      <c r="H39" s="716" t="n"/>
      <c r="I39" s="716" t="n"/>
      <c r="J39" s="716" t="n"/>
      <c r="K39" s="716" t="n"/>
      <c r="L39" s="716" t="n"/>
      <c r="M39" s="716" t="n"/>
      <c r="N39" s="13" t="n"/>
      <c r="O39" s="13" t="n"/>
      <c r="P39" s="13" t="n"/>
      <c r="Q39" s="13" t="n"/>
      <c r="R39" s="1103" t="n"/>
      <c r="S39" s="13" t="n"/>
      <c r="T39" s="13" t="n"/>
      <c r="U39" s="13" t="n"/>
      <c r="V39" s="13" t="n"/>
      <c r="W39" s="716" t="n"/>
      <c r="X39" s="1448" t="inlineStr">
        <is>
          <t>类型</t>
        </is>
      </c>
      <c r="Y39" s="1449" t="inlineStr">
        <is>
          <t xml:space="preserve"> 本年累计 </t>
        </is>
      </c>
      <c r="Z39" s="1401" t="n"/>
      <c r="AA39" s="1402" t="n"/>
      <c r="AB39" s="1449" t="inlineStr">
        <is>
          <t xml:space="preserve"> 上年同期 </t>
        </is>
      </c>
      <c r="AC39" s="1401" t="n"/>
      <c r="AD39" s="1402" t="n"/>
      <c r="AE39" s="1449" t="inlineStr">
        <is>
          <t xml:space="preserve"> 营业收入同期比较 </t>
        </is>
      </c>
      <c r="AF39" s="1402" t="n"/>
      <c r="AG39" s="1450" t="inlineStr">
        <is>
          <t xml:space="preserve"> 影响收入增减因素（元） </t>
        </is>
      </c>
      <c r="AH39" s="1401" t="n"/>
      <c r="AI39" s="1451" t="n"/>
      <c r="AJ39" s="716" t="n"/>
      <c r="AK39" s="716" t="n"/>
      <c r="AL39" s="716" t="n"/>
      <c r="AM39" s="716" t="n"/>
      <c r="AN39" s="716" t="n"/>
    </row>
    <row r="40" ht="17.25" customFormat="1" customHeight="1" s="203">
      <c r="A40" s="203" t="n"/>
      <c r="B40" s="203" t="n"/>
      <c r="C40" s="203" t="n"/>
      <c r="D40" s="203" t="n"/>
      <c r="E40" s="203" t="n"/>
      <c r="F40" s="203" t="n"/>
      <c r="G40" s="203" t="n"/>
      <c r="H40" s="203" t="n"/>
      <c r="I40" s="203" t="n"/>
      <c r="J40" s="203" t="n"/>
      <c r="K40" s="203" t="n"/>
      <c r="L40" s="203" t="n"/>
      <c r="M40" s="203" t="n"/>
      <c r="N40" s="220" t="n"/>
      <c r="O40" s="220" t="n"/>
      <c r="P40" s="220" t="n"/>
      <c r="Q40" s="220" t="n"/>
      <c r="R40" s="220" t="n"/>
      <c r="S40" s="220" t="n"/>
      <c r="T40" s="220" t="n"/>
      <c r="U40" s="220" t="n"/>
      <c r="V40" s="220" t="n"/>
      <c r="W40" s="203" t="n"/>
      <c r="X40" s="1416" t="n"/>
      <c r="Y40" s="1452" t="inlineStr">
        <is>
          <t xml:space="preserve"> 销售产量
(千千瓦时、吉焦)</t>
        </is>
      </c>
      <c r="Z40" s="1452" t="inlineStr">
        <is>
          <t xml:space="preserve"> 结算价格(不含税）
(元/千千瓦时、元/吉焦) </t>
        </is>
      </c>
      <c r="AA40" s="1452" t="inlineStr">
        <is>
          <t xml:space="preserve"> 营业收入
(元) </t>
        </is>
      </c>
      <c r="AB40" s="1452" t="inlineStr">
        <is>
          <t xml:space="preserve"> 销售产量
(千千瓦时、吉焦） </t>
        </is>
      </c>
      <c r="AC40" s="1452" t="inlineStr">
        <is>
          <t xml:space="preserve"> 结算价格(不含税）
(元/千千瓦时、元/吉焦) </t>
        </is>
      </c>
      <c r="AD40" s="1452" t="inlineStr">
        <is>
          <t xml:space="preserve"> 营业收入
(元) </t>
        </is>
      </c>
      <c r="AE40" s="1453" t="inlineStr">
        <is>
          <t xml:space="preserve"> 增长额 </t>
        </is>
      </c>
      <c r="AF40" s="1453" t="inlineStr">
        <is>
          <t xml:space="preserve"> 增长率%</t>
        </is>
      </c>
      <c r="AG40" s="1453" t="inlineStr">
        <is>
          <t xml:space="preserve"> 产量因素影响</t>
        </is>
      </c>
      <c r="AH40" s="1183" t="n"/>
      <c r="AI40" s="1454" t="inlineStr">
        <is>
          <t xml:space="preserve"> 价格因素影响 </t>
        </is>
      </c>
      <c r="AJ40" s="203" t="n"/>
      <c r="AK40" s="203" t="n"/>
      <c r="AL40" s="203" t="n"/>
      <c r="AM40" s="203" t="n"/>
      <c r="AN40" s="203" t="n"/>
    </row>
    <row r="41" ht="16.5" customFormat="1" customHeight="1" s="716">
      <c r="A41" s="716" t="n"/>
      <c r="B41" s="716" t="n"/>
      <c r="C41" s="716" t="n"/>
      <c r="D41" s="716" t="n"/>
      <c r="E41" s="716" t="n"/>
      <c r="F41" s="716" t="n"/>
      <c r="G41" s="716" t="n"/>
      <c r="H41" s="716" t="n"/>
      <c r="I41" s="716" t="n"/>
      <c r="J41" s="716" t="n"/>
      <c r="K41" s="716" t="n"/>
      <c r="L41" s="716" t="n"/>
      <c r="M41" s="716" t="n"/>
      <c r="N41" s="13" t="n"/>
      <c r="O41" s="13" t="n"/>
      <c r="P41" s="13" t="n"/>
      <c r="Q41" s="13" t="n"/>
      <c r="R41" s="1103" t="n"/>
      <c r="S41" s="13" t="n"/>
      <c r="T41" s="13" t="n"/>
      <c r="U41" s="13" t="n"/>
      <c r="V41" s="13" t="n"/>
      <c r="W41" s="716" t="n"/>
      <c r="X41" s="1276" t="n"/>
      <c r="Y41" s="1184" t="n"/>
      <c r="Z41" s="1184" t="n"/>
      <c r="AA41" s="1184" t="n"/>
      <c r="AB41" s="1184" t="n"/>
      <c r="AC41" s="1184" t="n"/>
      <c r="AD41" s="1184" t="n"/>
      <c r="AE41" s="1184" t="n"/>
      <c r="AF41" s="1184" t="n"/>
      <c r="AG41" s="1455" t="n"/>
      <c r="AH41" s="1455" t="inlineStr">
        <is>
          <t xml:space="preserve"> 其中：新投产影响 </t>
        </is>
      </c>
      <c r="AI41" s="1456" t="n"/>
      <c r="AJ41" s="716" t="n"/>
      <c r="AK41" s="716" t="n"/>
      <c r="AL41" s="716" t="n"/>
      <c r="AM41" s="716" t="n"/>
      <c r="AN41" s="716" t="n"/>
    </row>
    <row r="42" hidden="1" customFormat="1" s="716">
      <c r="A42" s="716" t="n"/>
      <c r="B42" s="716" t="n"/>
      <c r="C42" s="716" t="n"/>
      <c r="D42" s="716" t="n"/>
      <c r="E42" s="716" t="n"/>
      <c r="F42" s="716" t="n"/>
      <c r="G42" s="716" t="n"/>
      <c r="H42" s="716" t="n"/>
      <c r="I42" s="716" t="n"/>
      <c r="J42" s="716" t="n"/>
      <c r="K42" s="716" t="n"/>
      <c r="L42" s="716" t="n"/>
      <c r="M42" s="716" t="n"/>
      <c r="N42" s="13" t="n"/>
      <c r="O42" s="13" t="n"/>
      <c r="P42" s="13" t="n"/>
      <c r="Q42" s="13" t="n"/>
      <c r="R42" s="1103" t="n"/>
      <c r="S42" s="13" t="n"/>
      <c r="T42" s="13" t="n"/>
      <c r="U42" s="13" t="n"/>
      <c r="V42" s="13" t="n"/>
      <c r="W42" s="716" t="n"/>
      <c r="X42" s="270" t="inlineStr">
        <is>
          <t>measures</t>
        </is>
      </c>
      <c r="Y42" s="296">
        <f>IF(_epmOfflineCondition_,"YTD",EPMOlapMemberO(Y$27,"[MEASURES].[].[YTD]","YTD - Year To Date","","000"))</f>
        <v/>
      </c>
      <c r="Z42" s="296">
        <f>IF(_epmOfflineCondition_,"YTD",EPMOlapMemberO(Z$27,"[MEASURES].[].[YTD]","YTD - Year To Date","","000"))</f>
        <v/>
      </c>
      <c r="AA42" s="296">
        <f>IF(_epmOfflineCondition_,"YTD",EPMOlapMemberO(AA$27,"[MEASURES].[].[YTD]","YTD - Year To Date","","000"))</f>
        <v/>
      </c>
      <c r="AB42" s="296">
        <f>IF(_epmOfflineCondition_,"YTD",EPMOlapMemberO(AB$27,"[MEASURES].[].[YTD]","YTD - Year To Date","","000"))</f>
        <v/>
      </c>
      <c r="AC42" s="296">
        <f>IF(_epmOfflineCondition_,"YTD",EPMOlapMemberO(AC$27,"[MEASURES].[].[YTD]","YTD - Year To Date","","000"))</f>
        <v/>
      </c>
      <c r="AD42" s="296">
        <f>IF(_epmOfflineCondition_,"YTD",EPMOlapMemberO(AD$27,"[MEASURES].[].[YTD]","YTD - Year To Date","","000"))</f>
        <v/>
      </c>
      <c r="AE42" s="296" t="n"/>
      <c r="AF42" s="296" t="n"/>
      <c r="AG42" s="296" t="n"/>
      <c r="AH42" s="296">
        <f>IF(_epmOfflineCondition_,"YTD",EPMOlapMemberO(AH$27,"[MEASURES].[].[YTD]","YTD - Year To Date","","000"))</f>
        <v/>
      </c>
      <c r="AI42" s="306">
        <f>IF(_epmOfflineCondition_,"YTD",EPMOlapMemberO(AI$27,"[MEASURES].[].[YTD]","YTD - Year To Date","","000"))</f>
        <v/>
      </c>
      <c r="AJ42" s="716" t="n"/>
      <c r="AK42" s="716" t="n"/>
      <c r="AL42" s="716" t="n"/>
      <c r="AM42" s="716" t="n"/>
      <c r="AN42" s="716" t="n"/>
    </row>
    <row r="43" hidden="1" ht="14.25" customFormat="1" customHeight="1" s="24">
      <c r="A43" s="24" t="n"/>
      <c r="B43" s="24" t="n"/>
      <c r="C43" s="24" t="n"/>
      <c r="D43" s="24" t="n"/>
      <c r="E43" s="24" t="n"/>
      <c r="F43" s="24" t="n"/>
      <c r="G43" s="24" t="n"/>
      <c r="H43" s="24" t="n"/>
      <c r="I43" s="24" t="n"/>
      <c r="J43" s="24" t="n"/>
      <c r="K43" s="24" t="n"/>
      <c r="L43" s="24" t="n"/>
      <c r="M43" s="24" t="n"/>
      <c r="N43" s="13" t="n"/>
      <c r="O43" s="13" t="n"/>
      <c r="P43" s="13" t="n"/>
      <c r="Q43" s="13" t="n"/>
      <c r="R43" s="1103" t="n"/>
      <c r="S43" s="13" t="n"/>
      <c r="T43" s="13" t="n"/>
      <c r="U43" s="13" t="n"/>
      <c r="V43" s="13" t="n"/>
      <c r="W43" s="24" t="n"/>
      <c r="X43" s="270" t="inlineStr">
        <is>
          <t>time</t>
        </is>
      </c>
      <c r="Y43" s="286">
        <f>IF(_epmOfflineCondition_,"2025.03",EPMOlapMemberO(Y$26,"[C_TIME].[PARENTH1].[2025.03]","2025.03 - 2025.03","","000"))</f>
        <v/>
      </c>
      <c r="Z43" s="286">
        <f>IF(_epmOfflineCondition_,"2025.03",EPMOlapMemberO(Z$26,"[C_TIME].[PARENTH1].[2025.03]","2025.03 - 2025.03","","000"))</f>
        <v/>
      </c>
      <c r="AA43" s="286">
        <f>IF(_epmOfflineCondition_,"2025.03",EPMOlapMemberO(AA$26,"[C_TIME].[PARENTH1].[2025.03]","2025.03 - 2025.03","","000"))</f>
        <v/>
      </c>
      <c r="AB43" s="286">
        <f>IF(_epmOfflineCondition_,"2024.03",EPMOlapMemberO(AB$26,"[C_TIME].[PARENTH1].[2024.03]","2024.03 - 2024.03","","000"))</f>
        <v/>
      </c>
      <c r="AC43" s="286">
        <f>IF(_epmOfflineCondition_,"2024.03",EPMOlapMemberO(AC$26,"[C_TIME].[PARENTH1].[2024.03]","2024.03 - 2024.03","","000"))</f>
        <v/>
      </c>
      <c r="AD43" s="286">
        <f>IF(_epmOfflineCondition_,"2024.03",EPMOlapMemberO(AD$26,"[C_TIME].[PARENTH1].[2024.03]","2024.03 - 2024.03","","000"))</f>
        <v/>
      </c>
      <c r="AE43" s="286" t="n"/>
      <c r="AF43" s="286" t="n"/>
      <c r="AG43" s="286" t="n"/>
      <c r="AH43" s="286">
        <f>IF(_epmOfflineCondition_,"2025.03",EPMOlapMemberO(AH$26,"[C_TIME].[PARENTH1].[2025.03]","2025.03 - 2025.03","","000"))</f>
        <v/>
      </c>
      <c r="AI43" s="307">
        <f>IF(_epmOfflineCondition_,"2025.03",EPMOlapMemberO(AI$26,"[C_TIME].[PARENTH1].[2025.03]","2025.03 - 2025.03","","000"))</f>
        <v/>
      </c>
      <c r="AJ43" s="716" t="n"/>
      <c r="AK43" s="716" t="n"/>
      <c r="AL43" s="716" t="n"/>
      <c r="AM43" s="716" t="n"/>
      <c r="AN43" s="716" t="n"/>
    </row>
    <row r="44" hidden="1" ht="14.25" customFormat="1" customHeight="1" s="716">
      <c r="A44" s="716" t="n"/>
      <c r="B44" s="716" t="n"/>
      <c r="C44" s="716" t="n"/>
      <c r="D44" s="716" t="n"/>
      <c r="E44" s="716" t="n"/>
      <c r="F44" s="716" t="n"/>
      <c r="G44" s="716" t="n"/>
      <c r="H44" s="716" t="n"/>
      <c r="I44" s="716" t="n"/>
      <c r="J44" s="716" t="n"/>
      <c r="K44" s="716" t="n"/>
      <c r="L44" s="716" t="n"/>
      <c r="M44" s="716" t="n"/>
      <c r="N44" s="13" t="n"/>
      <c r="O44" s="13" t="n"/>
      <c r="P44" s="13" t="n"/>
      <c r="Q44" s="13" t="n"/>
      <c r="R44" s="1103" t="n"/>
      <c r="S44" s="13" t="n"/>
      <c r="T44" s="13" t="n"/>
      <c r="U44" s="13" t="n"/>
      <c r="V44" s="13" t="n"/>
      <c r="W44" s="716" t="n"/>
      <c r="X44" s="270" t="inlineStr">
        <is>
          <t>category</t>
        </is>
      </c>
      <c r="Y44" s="296">
        <f>IF(_epmOfflineCondition_,"C1001",EPMOlapMemberO(Y$25,"[C_CATEGORY].[PARENTH1].[C1001]","C1001 - 实际数/决算数","","000"))</f>
        <v/>
      </c>
      <c r="Z44" s="296">
        <f>IF(_epmOfflineCondition_,"C1001",EPMOlapMemberO(Z$25,"[C_CATEGORY].[PARENTH1].[C1001]","C1001 - 实际数/决算数","","000"))</f>
        <v/>
      </c>
      <c r="AA44" s="296">
        <f>IF(_epmOfflineCondition_,"C1001",EPMOlapMemberO(AA$25,"[C_CATEGORY].[PARENTH1].[C1001]","C1001 - 实际数/决算数","","000"))</f>
        <v/>
      </c>
      <c r="AB44" s="296">
        <f>IF(_epmOfflineCondition_,"C1001",EPMOlapMemberO(AB$25,"[C_CATEGORY].[PARENTH1].[C1001]","C1001 - 实际数/决算数","","000"))</f>
        <v/>
      </c>
      <c r="AC44" s="296">
        <f>IF(_epmOfflineCondition_,"C1001",EPMOlapMemberO(AC$25,"[C_CATEGORY].[PARENTH1].[C1001]","C1001 - 实际数/决算数","","000"))</f>
        <v/>
      </c>
      <c r="AD44" s="296">
        <f>IF(_epmOfflineCondition_,"C1001",EPMOlapMemberO(AD$25,"[C_CATEGORY].[PARENTH1].[C1001]","C1001 - 实际数/决算数","","000"))</f>
        <v/>
      </c>
      <c r="AE44" s="296" t="n"/>
      <c r="AF44" s="296" t="n"/>
      <c r="AG44" s="296" t="n"/>
      <c r="AH44" s="296">
        <f>IF(_epmOfflineCondition_,"C1001",EPMOlapMemberO(AH$25,"[C_CATEGORY].[PARENTH1].[C1001]","C1001 - 实际数/决算数","","000"))</f>
        <v/>
      </c>
      <c r="AI44" s="306">
        <f>IF(_epmOfflineCondition_,"C1001",EPMOlapMemberO(AI$25,"[C_CATEGORY].[PARENTH1].[C1001]","C1001 - 实际数/决算数","","000"))</f>
        <v/>
      </c>
      <c r="AJ44" s="716" t="n"/>
      <c r="AK44" s="716" t="n"/>
      <c r="AL44" s="716" t="n"/>
      <c r="AM44" s="716" t="n"/>
      <c r="AN44" s="716" t="n"/>
    </row>
    <row r="45" hidden="1" ht="13.5" customFormat="1" customHeight="1" s="716">
      <c r="A45" s="716" t="n"/>
      <c r="B45" s="716" t="n"/>
      <c r="C45" s="716" t="n"/>
      <c r="D45" s="716" t="n"/>
      <c r="E45" s="716" t="n"/>
      <c r="F45" s="716" t="n"/>
      <c r="G45" s="716" t="n"/>
      <c r="H45" s="716" t="n"/>
      <c r="I45" s="716" t="n"/>
      <c r="J45" s="716" t="n"/>
      <c r="K45" s="716" t="n"/>
      <c r="L45" s="716" t="n"/>
      <c r="M45" s="716" t="n"/>
      <c r="N45" s="13" t="n"/>
      <c r="O45" s="13" t="n"/>
      <c r="P45" s="13" t="n"/>
      <c r="Q45" s="13" t="n"/>
      <c r="R45" s="1103" t="n"/>
      <c r="S45" s="13" t="n"/>
      <c r="T45" s="13" t="n"/>
      <c r="U45" s="13" t="n"/>
      <c r="V45" s="13" t="n"/>
      <c r="W45" s="716" t="n"/>
      <c r="X45" s="270" t="inlineStr">
        <is>
          <t>FLow</t>
        </is>
      </c>
      <c r="Y45" s="296">
        <f>IF(_epmOfflineCondition_,"F20",EPMOlapMemberO(Y$28,"[C_FLOW].[PARENTH1].[F20]","F20 - 本期增加","","000"))</f>
        <v/>
      </c>
      <c r="Z45" s="296">
        <f>IF(_epmOfflineCondition_,"F20",EPMOlapMemberO(Z$28,"[C_FLOW].[PARENTH1].[F20]","F20 - 本期增加","","000"))</f>
        <v/>
      </c>
      <c r="AA45" s="296">
        <f>IF(_epmOfflineCondition_,"F20",EPMOlapMemberO(AA$28,"[C_FLOW].[PARENTH1].[F20]","F20 - 本期增加","","000"))</f>
        <v/>
      </c>
      <c r="AB45" s="296">
        <f>IF(_epmOfflineCondition_,"F20",EPMOlapMemberO(AB$28,"[C_FLOW].[PARENTH1].[F20]","F20 - 本期增加","","000"))</f>
        <v/>
      </c>
      <c r="AC45" s="296">
        <f>IF(_epmOfflineCondition_,"F20",EPMOlapMemberO(AC$28,"[C_FLOW].[PARENTH1].[F20]","F20 - 本期增加","","000"))</f>
        <v/>
      </c>
      <c r="AD45" s="296">
        <f>IF(_epmOfflineCondition_,"F20",EPMOlapMemberO(AD$28,"[C_FLOW].[PARENTH1].[F20]","F20 - 本期增加","","000"))</f>
        <v/>
      </c>
      <c r="AE45" s="296" t="n"/>
      <c r="AF45" s="296" t="n"/>
      <c r="AG45" s="296" t="n"/>
      <c r="AH45" s="296">
        <f>IF(_epmOfflineCondition_,"F20",EPMOlapMemberO(AH$28,"[C_FLOW].[PARENTH1].[F20]","F20 - 本期增加","","000"))</f>
        <v/>
      </c>
      <c r="AI45" s="306">
        <f>IF(_epmOfflineCondition_,"F20",EPMOlapMemberO(AI$28,"[C_FLOW].[PARENTH1].[F20]","F20 - 本期增加","","000"))</f>
        <v/>
      </c>
      <c r="AJ45" s="716" t="n"/>
      <c r="AK45" s="716" t="n"/>
      <c r="AL45" s="716" t="n"/>
      <c r="AM45" s="716" t="n"/>
      <c r="AN45" s="716" t="n"/>
    </row>
    <row r="46" hidden="1" ht="13.5" customFormat="1" customHeight="1" s="716">
      <c r="A46" s="716" t="n"/>
      <c r="B46" s="716" t="n"/>
      <c r="C46" s="716" t="n"/>
      <c r="D46" s="716" t="n"/>
      <c r="E46" s="716" t="n"/>
      <c r="F46" s="716" t="n"/>
      <c r="G46" s="716" t="n"/>
      <c r="H46" s="716" t="n"/>
      <c r="I46" s="716" t="n"/>
      <c r="J46" s="716" t="n"/>
      <c r="K46" s="716" t="n"/>
      <c r="L46" s="716" t="n"/>
      <c r="M46" s="716" t="n"/>
      <c r="N46" s="716" t="n"/>
      <c r="O46" s="716" t="n"/>
      <c r="P46" s="716" t="n"/>
      <c r="Q46" s="716" t="n"/>
      <c r="R46" s="1103" t="n"/>
      <c r="S46" s="13" t="n"/>
      <c r="T46" s="716" t="n"/>
      <c r="U46" s="716" t="n"/>
      <c r="V46" s="716" t="n"/>
      <c r="W46" s="716" t="n"/>
      <c r="X46" s="270" t="inlineStr">
        <is>
          <t>misk</t>
        </is>
      </c>
      <c r="Y46" s="296">
        <f>IF(_epmOfflineCondition_,"ZM04101",EPMOlapMemberO(Y$29,"[C_MISK].[PARENTH1].[ZM04101]","ZM04101 - 销售产量","","000"))</f>
        <v/>
      </c>
      <c r="Z46" s="296">
        <f>IF(_epmOfflineCondition_,"ZM04102",EPMOlapMemberO(Z$29,"[C_MISK].[PARENTH1].[ZM04102]","ZM04102 - 结算价格(不含税）","","000"))</f>
        <v/>
      </c>
      <c r="AA46" s="296">
        <f>IF(_epmOfflineCondition_,"ZM04103",EPMOlapMemberO(AA$29,"[C_MISK].[PARENTH1].[ZM04103]","ZM04103 - 营业收入","","000"))</f>
        <v/>
      </c>
      <c r="AB46" s="296">
        <f>IF(_epmOfflineCondition_,"ZM04101",EPMOlapMemberO(AB$29,"[C_MISK].[PARENTH1].[ZM04101]","ZM04101 - 销售产量","","000"))</f>
        <v/>
      </c>
      <c r="AC46" s="296">
        <f>IF(_epmOfflineCondition_,"ZM04102",EPMOlapMemberO(AC$29,"[C_MISK].[PARENTH1].[ZM04102]","ZM04102 - 结算价格(不含税）","","000"))</f>
        <v/>
      </c>
      <c r="AD46" s="296">
        <f>IF(_epmOfflineCondition_,"ZM04103",EPMOlapMemberO(AD$29,"[C_MISK].[PARENTH1].[ZM04103]","ZM04103 - 营业收入","","000"))</f>
        <v/>
      </c>
      <c r="AE46" s="296" t="n"/>
      <c r="AF46" s="296" t="n"/>
      <c r="AG46" s="296" t="n"/>
      <c r="AH46" s="296">
        <f>IF(_epmOfflineCondition_,"ZM04104",EPMOlapMemberO(AH$29,"[C_MISK].[PARENTH1].[ZM04104]","ZM04104 - 其中：新投产影响","","000"))</f>
        <v/>
      </c>
      <c r="AI46" s="306">
        <f>IF(_epmOfflineCondition_,"ZM04105",EPMOlapMemberO(AI$29,"[C_MISK].[PARENTH1].[ZM04105]","ZM04105 - 价格因素影响","","000"))</f>
        <v/>
      </c>
      <c r="AJ46" s="716" t="n"/>
      <c r="AK46" s="716" t="n"/>
      <c r="AL46" s="716" t="n"/>
      <c r="AM46" s="716" t="n"/>
      <c r="AN46" s="716" t="n"/>
    </row>
    <row r="47" ht="13.5" customFormat="1" customHeight="1" s="716">
      <c r="A47" s="716" t="n"/>
      <c r="B47" s="716" t="n"/>
      <c r="C47" s="716" t="n"/>
      <c r="D47" s="716" t="n"/>
      <c r="E47" s="716" t="n"/>
      <c r="F47" s="716" t="n"/>
      <c r="G47" s="716" t="n"/>
      <c r="H47" s="716" t="n"/>
      <c r="I47" s="716" t="n"/>
      <c r="J47" s="716" t="n"/>
      <c r="K47" s="716" t="n"/>
      <c r="L47" s="716" t="n"/>
      <c r="M47" s="716" t="n"/>
      <c r="N47" s="716" t="n"/>
      <c r="O47" s="716" t="n"/>
      <c r="P47" s="716" t="n"/>
      <c r="Q47" s="716" t="n"/>
      <c r="R47" s="1103" t="n"/>
      <c r="S47" s="13" t="n"/>
      <c r="T47" s="716" t="n"/>
      <c r="U47" s="271" t="n"/>
      <c r="V47" s="271">
        <f>IF(_epmOfflineCondition_,"",EPMOlapMemberO(U47,"[C_ACCOUNT].[PARENTH1].[A030]","A030 - 发电企业其他费用表-合计","","000"))</f>
        <v/>
      </c>
      <c r="W47" s="716" t="n"/>
      <c r="X47" s="1457" t="inlineStr">
        <is>
          <t>售电</t>
        </is>
      </c>
      <c r="Y47" s="1458">
        <f>"——"</f>
        <v/>
      </c>
      <c r="Z47" s="1458">
        <f>"——"</f>
        <v/>
      </c>
      <c r="AA47" s="1458">
        <f>"——"</f>
        <v/>
      </c>
      <c r="AB47" s="1458">
        <f>"——"</f>
        <v/>
      </c>
      <c r="AC47" s="1458">
        <f>"——"</f>
        <v/>
      </c>
      <c r="AD47" s="1458">
        <f>"——"</f>
        <v/>
      </c>
      <c r="AE47" s="1458">
        <f>"——"</f>
        <v/>
      </c>
      <c r="AF47" s="1458">
        <f>"——"</f>
        <v/>
      </c>
      <c r="AG47" s="1458">
        <f>"——"</f>
        <v/>
      </c>
      <c r="AH47" s="1458">
        <f>"——"</f>
        <v/>
      </c>
      <c r="AI47" s="1459">
        <f>"——"</f>
        <v/>
      </c>
      <c r="AJ47" s="716" t="n"/>
      <c r="AK47" s="716" t="n"/>
      <c r="AL47" s="716" t="n"/>
      <c r="AM47" s="716" t="n"/>
      <c r="AN47" s="716" t="n"/>
    </row>
    <row r="48" ht="16.5" customFormat="1" customHeight="1" s="716">
      <c r="A48" s="716" t="n"/>
      <c r="B48" s="716" t="n"/>
      <c r="C48" s="716" t="n"/>
      <c r="D48" s="716" t="n"/>
      <c r="E48" s="716" t="n"/>
      <c r="F48" s="716" t="n"/>
      <c r="G48" s="716" t="n"/>
      <c r="H48" s="716" t="n"/>
      <c r="I48" s="716" t="n"/>
      <c r="J48" s="716" t="n"/>
      <c r="K48" s="716" t="n"/>
      <c r="L48" s="716" t="n"/>
      <c r="M48" s="716" t="n"/>
      <c r="N48" s="716" t="n"/>
      <c r="O48" s="716" t="n"/>
      <c r="P48" s="716" t="n"/>
      <c r="Q48" s="716" t="n"/>
      <c r="R48" s="1103" t="n"/>
      <c r="S48" s="13" t="n"/>
      <c r="T48" s="716" t="n"/>
      <c r="U48" s="273" t="inlineStr">
        <is>
          <t>A0900101</t>
        </is>
      </c>
      <c r="V48" s="274">
        <f>IF(_epmOfflineCondition_,"A0900101",EPMOlapMemberO(U48,"[C_ACCOUNT].[PARENTH1].[A0900101]","A0900101 - 售电—燃煤","","000"))</f>
        <v/>
      </c>
      <c r="W48" s="462" t="n"/>
      <c r="X48" s="1460" t="inlineStr">
        <is>
          <t xml:space="preserve">    售电—燃煤</t>
        </is>
      </c>
      <c r="Y48" s="1461">
        <f>IF(_epmOfflineCondition_,0,EPMRetrieveData(,$U$57,$U58,$Y$42,$Y$43,$Y$44,$Y$45,$D$21,$D$22,$D$23,$D$25,$D$26,$D$27,$D$28))</f>
        <v/>
      </c>
      <c r="Z48" s="1462">
        <f>IFERROR(AA48/Y48,"")</f>
        <v/>
      </c>
      <c r="AA48" s="1461">
        <f>IF(_epmOfflineCondition_,0,EPMRetrieveData(,$U$66,$U58,$Y$42,$Y$43,$Y$44,$Y$45,$D$21,$D$22,$D$23,$D$25,$D$26,$D$27,$D$28))</f>
        <v/>
      </c>
      <c r="AB48" s="1461">
        <f>IF(_epmOfflineCondition_,0,EPMRetrieveData(,$U$57,$U58,$AB$42,$AB$43,$AB$44,$AB$45,$D$21,$D$22,$D$23,$D$25,$D$26,$D$27,$D$28))</f>
        <v/>
      </c>
      <c r="AC48" s="1462">
        <f>IFERROR(AD48/AB48,"")</f>
        <v/>
      </c>
      <c r="AD48" s="1462" t="n"/>
      <c r="AE48" s="1463">
        <f>AA48-AD48</f>
        <v/>
      </c>
      <c r="AF48" s="1464">
        <f>IFERROR(AE48/AD48,"")</f>
        <v/>
      </c>
      <c r="AG48" s="1464">
        <f>IFERROR(AC48*(Y48-AB48),"")</f>
        <v/>
      </c>
      <c r="AH48" s="1465" t="n"/>
      <c r="AI48" s="1466">
        <f>IFERROR(Y48*(Z48-AC48),"")</f>
        <v/>
      </c>
      <c r="AJ48" s="716" t="n"/>
      <c r="AK48" s="716" t="n"/>
      <c r="AL48" s="716" t="n"/>
      <c r="AM48" s="716" t="n"/>
      <c r="AN48" s="716" t="n"/>
    </row>
    <row r="49" ht="16.5" customFormat="1" customHeight="1" s="716">
      <c r="A49" s="716" t="n"/>
      <c r="B49" s="716" t="n"/>
      <c r="C49" s="716" t="n"/>
      <c r="D49" s="716" t="n"/>
      <c r="E49" s="716" t="n"/>
      <c r="F49" s="716" t="n"/>
      <c r="G49" s="716" t="n"/>
      <c r="H49" s="716" t="n"/>
      <c r="I49" s="716" t="n"/>
      <c r="J49" s="716" t="n"/>
      <c r="K49" s="716" t="n"/>
      <c r="L49" s="716" t="n"/>
      <c r="M49" s="716" t="n"/>
      <c r="N49" s="716" t="n"/>
      <c r="O49" s="716" t="n"/>
      <c r="P49" s="716" t="n"/>
      <c r="Q49" s="716" t="n"/>
      <c r="R49" s="1103" t="n"/>
      <c r="S49" s="13" t="n"/>
      <c r="T49" s="716" t="n"/>
      <c r="U49" s="274" t="inlineStr">
        <is>
          <t>A0900102</t>
        </is>
      </c>
      <c r="V49" s="274">
        <f>IF(_epmOfflineCondition_,"A0900102",EPMOlapMemberO(U49,"[C_ACCOUNT].[PARENTH1].[A0900102]","A0900102 - 售电—燃气","","000"))</f>
        <v/>
      </c>
      <c r="W49" s="462" t="n"/>
      <c r="X49" s="1460" t="inlineStr">
        <is>
          <t xml:space="preserve">    售电—燃气</t>
        </is>
      </c>
      <c r="Y49" s="1461">
        <f>IF(_epmOfflineCondition_,0,EPMRetrieveData(,$U$57,$U59,$Y$42,$Y$43,$Y$44,$Y$45,$D$21,$D$22,$D$23,$D$25,$D$26,$D$27,$D$28))</f>
        <v/>
      </c>
      <c r="Z49" s="1462">
        <f>IFERROR(AA49/Y49,"")</f>
        <v/>
      </c>
      <c r="AA49" s="1461">
        <f>IF(_epmOfflineCondition_,0,EPMRetrieveData(,$U$66,$U59,$Y$42,$Y$43,$Y$44,$Y$45,$D$21,$D$22,$D$23,$D$25,$D$26,$D$27,$D$28))</f>
        <v/>
      </c>
      <c r="AB49" s="1461">
        <f>IF(_epmOfflineCondition_,0,EPMRetrieveData(,$U$57,$U59,$AB$42,$AB$43,$AB$44,$AB$45,$D$21,$D$22,$D$23,$D$25,$D$26,$D$27,$D$28))</f>
        <v/>
      </c>
      <c r="AC49" s="1462">
        <f>IFERROR(AD49/AB49,"")</f>
        <v/>
      </c>
      <c r="AD49" s="1462" t="n"/>
      <c r="AE49" s="1463">
        <f>AA49-AD49</f>
        <v/>
      </c>
      <c r="AF49" s="1464">
        <f>IFERROR(AE49/AD49,"")</f>
        <v/>
      </c>
      <c r="AG49" s="1464">
        <f>IFERROR(AC49*(Y49-AB49),"")</f>
        <v/>
      </c>
      <c r="AH49" s="1465" t="n"/>
      <c r="AI49" s="1466">
        <f>IFERROR(Y49*(Z49-AC49),"")</f>
        <v/>
      </c>
      <c r="AJ49" s="716" t="n"/>
      <c r="AK49" s="716" t="n"/>
      <c r="AL49" s="716" t="n"/>
      <c r="AM49" s="716" t="n"/>
      <c r="AN49" s="716" t="n"/>
    </row>
    <row r="50" ht="16.5" customFormat="1" customHeight="1" s="716">
      <c r="A50" s="716" t="n"/>
      <c r="B50" s="716" t="n"/>
      <c r="C50" s="716" t="n"/>
      <c r="D50" s="716" t="n"/>
      <c r="E50" s="716" t="n"/>
      <c r="F50" s="716" t="n"/>
      <c r="G50" s="716" t="n"/>
      <c r="H50" s="716" t="n"/>
      <c r="I50" s="716" t="n"/>
      <c r="J50" s="716" t="n"/>
      <c r="K50" s="716" t="n"/>
      <c r="L50" s="716" t="n"/>
      <c r="M50" s="716" t="n"/>
      <c r="N50" s="716" t="n"/>
      <c r="O50" s="716" t="n"/>
      <c r="P50" s="716" t="n"/>
      <c r="Q50" s="716" t="n"/>
      <c r="R50" s="1103" t="n"/>
      <c r="S50" s="13" t="n"/>
      <c r="T50" s="716" t="n"/>
      <c r="U50" s="276" t="inlineStr">
        <is>
          <t>A0900103</t>
        </is>
      </c>
      <c r="V50" s="274">
        <f>IF(_epmOfflineCondition_,"A0900103",EPMOlapMemberO(U50,"[C_ACCOUNT].[PARENTH1].[A0900103]","A0900103 - 售电—水电","","000"))</f>
        <v/>
      </c>
      <c r="W50" s="462" t="n"/>
      <c r="X50" s="1460" t="inlineStr">
        <is>
          <t xml:space="preserve">    售电—水电</t>
        </is>
      </c>
      <c r="Y50" s="1461">
        <f>IF(_epmOfflineCondition_,0,EPMRetrieveData(,$U$57,$U60,$Y$42,$Y$43,$Y$44,$Y$45,$D$21,$D$22,$D$23,$D$25,$D$26,$D$27,$D$28))</f>
        <v/>
      </c>
      <c r="Z50" s="1462">
        <f>IFERROR(AA50/Y50,"")</f>
        <v/>
      </c>
      <c r="AA50" s="1461">
        <f>IF(_epmOfflineCondition_,0,EPMRetrieveData(,$U$66,$U60,$Y$42,$Y$43,$Y$44,$Y$45,$D$21,$D$22,$D$23,$D$25,$D$26,$D$27,$D$28))</f>
        <v/>
      </c>
      <c r="AB50" s="1461">
        <f>IF(_epmOfflineCondition_,0,EPMRetrieveData(,$U$57,$U60,$AB$42,$AB$43,$AB$44,$AB$45,$D$21,$D$22,$D$23,$D$25,$D$26,$D$27,$D$28))</f>
        <v/>
      </c>
      <c r="AC50" s="1462">
        <f>IFERROR(AD50/AB50,"")</f>
        <v/>
      </c>
      <c r="AD50" s="1462" t="n"/>
      <c r="AE50" s="1463">
        <f>AA50-AD50</f>
        <v/>
      </c>
      <c r="AF50" s="1464">
        <f>IFERROR(AE50/AD50,"")</f>
        <v/>
      </c>
      <c r="AG50" s="1464">
        <f>IFERROR(AC50*(Y50-AB50),"")</f>
        <v/>
      </c>
      <c r="AH50" s="1465" t="n"/>
      <c r="AI50" s="1466">
        <f>IFERROR(Y50*(Z50-AC50),"")</f>
        <v/>
      </c>
      <c r="AJ50" s="716" t="n"/>
      <c r="AK50" s="716" t="n"/>
      <c r="AL50" s="716" t="n"/>
      <c r="AM50" s="716" t="n"/>
      <c r="AN50" s="716" t="n"/>
    </row>
    <row r="51" ht="16.5" customFormat="1" customHeight="1" s="716">
      <c r="A51" s="716" t="n"/>
      <c r="B51" s="716" t="n"/>
      <c r="C51" s="716" t="n"/>
      <c r="D51" s="716" t="n"/>
      <c r="E51" s="716" t="n"/>
      <c r="F51" s="716" t="n"/>
      <c r="G51" s="716" t="n"/>
      <c r="H51" s="716" t="n"/>
      <c r="I51" s="716" t="n"/>
      <c r="J51" s="716" t="n"/>
      <c r="K51" s="716" t="n"/>
      <c r="L51" s="716" t="n"/>
      <c r="M51" s="716" t="n"/>
      <c r="N51" s="716" t="n"/>
      <c r="O51" s="716" t="n"/>
      <c r="P51" s="716" t="n"/>
      <c r="Q51" s="716" t="n"/>
      <c r="R51" s="1103" t="n"/>
      <c r="S51" s="13" t="n"/>
      <c r="T51" s="716" t="n"/>
      <c r="U51" s="276" t="inlineStr">
        <is>
          <t>A0900104</t>
        </is>
      </c>
      <c r="V51" s="274">
        <f>IF(_epmOfflineCondition_,"A0900104",EPMOlapMemberO(U51,"[C_ACCOUNT].[PARENTH1].[A0900104]","A0900104 - 售电—风电","","000"))</f>
        <v/>
      </c>
      <c r="W51" s="462" t="n"/>
      <c r="X51" s="1467" t="inlineStr">
        <is>
          <t xml:space="preserve">    售电—风电</t>
        </is>
      </c>
      <c r="Y51" s="1461">
        <f>IF(_epmOfflineCondition_,313523.37,EPMRetrieveData(,$U$57,$U61,$Y$42,$Y$43,$Y$44,$Y$45,$D$21,$D$22,$D$23,$D$25,$D$26,$D$27,$D$28))</f>
        <v/>
      </c>
      <c r="Z51" s="1462">
        <f>IFERROR(AA51/Y51,"")</f>
        <v/>
      </c>
      <c r="AA51" s="1461">
        <f>IF(_epmOfflineCondition_,94272738.5,EPMRetrieveData(,$U$66,$U61,$Y$42,$Y$43,$Y$44,$Y$45,$D$21,$D$22,$D$23,$D$25,$D$26,$D$27,$D$28))</f>
        <v/>
      </c>
      <c r="AB51" s="1461">
        <f>IF(_epmOfflineCondition_,92590.766,EPMRetrieveData(,$U$57,$U61,$AB$42,$AB$43,$AB$44,$AB$45,$D$21,$D$22,$D$23,$D$25,$D$26,$D$27,$D$28))</f>
        <v/>
      </c>
      <c r="AC51" s="1462">
        <f>IFERROR(AD51/AB51,"")</f>
        <v/>
      </c>
      <c r="AD51" s="1462" t="inlineStr"/>
      <c r="AE51" s="1463">
        <f>AA51-AD51</f>
        <v/>
      </c>
      <c r="AF51" s="1464">
        <f>IFERROR(AE51/AD51,"")</f>
        <v/>
      </c>
      <c r="AG51" s="1464">
        <f>IFERROR(AC51*(Y51-AB51),"")</f>
        <v/>
      </c>
      <c r="AH51" s="1465" t="n"/>
      <c r="AI51" s="1466">
        <f>IFERROR(Y51*(Z51-AC51),"")</f>
        <v/>
      </c>
      <c r="AJ51" s="716" t="n"/>
      <c r="AK51" s="716" t="n"/>
      <c r="AL51" s="716" t="n"/>
      <c r="AM51" s="716" t="n"/>
      <c r="AN51" s="716" t="n"/>
    </row>
    <row r="52" ht="16.5" customFormat="1" customHeight="1" s="716">
      <c r="A52" s="716" t="n"/>
      <c r="B52" s="716" t="n"/>
      <c r="C52" s="716" t="n"/>
      <c r="D52" s="716" t="n"/>
      <c r="E52" s="716" t="n"/>
      <c r="F52" s="716" t="n"/>
      <c r="G52" s="716" t="n"/>
      <c r="H52" s="716" t="n"/>
      <c r="I52" s="716" t="n"/>
      <c r="J52" s="716" t="n"/>
      <c r="K52" s="716" t="n"/>
      <c r="L52" s="716" t="n"/>
      <c r="M52" s="716" t="n"/>
      <c r="N52" s="716" t="n"/>
      <c r="O52" s="716" t="n"/>
      <c r="P52" s="716" t="n"/>
      <c r="Q52" s="716" t="n"/>
      <c r="R52" s="1103" t="n"/>
      <c r="S52" s="13" t="n"/>
      <c r="T52" s="716" t="n"/>
      <c r="U52" s="276" t="inlineStr">
        <is>
          <t>A0900105</t>
        </is>
      </c>
      <c r="V52" s="274">
        <f>IF(_epmOfflineCondition_,"A0900105",EPMOlapMemberO(U52,"[C_ACCOUNT].[PARENTH1].[A0900105]","A0900105 - 售电—光伏","","000"))</f>
        <v/>
      </c>
      <c r="W52" s="462" t="n"/>
      <c r="X52" s="1467" t="inlineStr">
        <is>
          <t xml:space="preserve">    售电—光伏</t>
        </is>
      </c>
      <c r="Y52" s="1461">
        <f>IF(_epmOfflineCondition_,0,EPMRetrieveData(,$U$57,$U62,$Y$42,$Y$43,$Y$44,$Y$45,$D$21,$D$22,$D$23,$D$25,$D$26,$D$27,$D$28))</f>
        <v/>
      </c>
      <c r="Z52" s="1462">
        <f>IFERROR(AA52/Y52,"")</f>
        <v/>
      </c>
      <c r="AA52" s="1461">
        <f>IF(_epmOfflineCondition_,0,EPMRetrieveData(,$U$66,$U62,$Y$42,$Y$43,$Y$44,$Y$45,$D$21,$D$22,$D$23,$D$25,$D$26,$D$27,$D$28))</f>
        <v/>
      </c>
      <c r="AB52" s="1461">
        <f>IF(_epmOfflineCondition_,0,EPMRetrieveData(,$U$57,$U62,$AB$42,$AB$43,$AB$44,$AB$45,$D$21,$D$22,$D$23,$D$25,$D$26,$D$27,$D$28))</f>
        <v/>
      </c>
      <c r="AC52" s="1462">
        <f>IFERROR(AD52/AB52,"")</f>
        <v/>
      </c>
      <c r="AD52" s="1462" t="n"/>
      <c r="AE52" s="1463">
        <f>AA52-AD52</f>
        <v/>
      </c>
      <c r="AF52" s="1464">
        <f>IFERROR(AE52/AD52,"")</f>
        <v/>
      </c>
      <c r="AG52" s="1464">
        <f>IFERROR(AC52*(Y52-AB52),"")</f>
        <v/>
      </c>
      <c r="AH52" s="1465" t="n"/>
      <c r="AI52" s="1466">
        <f>IFERROR(Y52*(Z52-AC52),"")</f>
        <v/>
      </c>
      <c r="AJ52" s="716" t="n"/>
      <c r="AK52" s="716" t="n"/>
      <c r="AL52" s="716" t="n"/>
      <c r="AM52" s="716" t="n"/>
      <c r="AN52" s="716" t="n"/>
    </row>
    <row r="53" ht="16.5" customFormat="1" customHeight="1" s="716">
      <c r="A53" s="716" t="n"/>
      <c r="B53" s="716" t="n"/>
      <c r="C53" s="716" t="n"/>
      <c r="D53" s="716" t="n"/>
      <c r="E53" s="716" t="n"/>
      <c r="F53" s="716" t="n"/>
      <c r="G53" s="716" t="n"/>
      <c r="H53" s="716" t="n"/>
      <c r="I53" s="716" t="n"/>
      <c r="J53" s="716" t="n"/>
      <c r="K53" s="716" t="n"/>
      <c r="L53" s="716" t="n"/>
      <c r="M53" s="716" t="n"/>
      <c r="N53" s="716" t="n"/>
      <c r="O53" s="716" t="n"/>
      <c r="P53" s="716" t="n"/>
      <c r="Q53" s="716" t="n"/>
      <c r="R53" s="1103" t="n"/>
      <c r="S53" s="13" t="n"/>
      <c r="T53" s="716" t="n"/>
      <c r="U53" s="276" t="inlineStr">
        <is>
          <t>A09001</t>
        </is>
      </c>
      <c r="V53" s="273">
        <f>IF(_epmOfflineCondition_,"A09001",EPMOlapMemberO(U53,"[C_ACCOUNT].[PARENTH1].[A09001]","A09001 - 售电合计","","000"))</f>
        <v/>
      </c>
      <c r="W53" s="462" t="n"/>
      <c r="X53" s="1468" t="inlineStr">
        <is>
          <t>售电合计</t>
        </is>
      </c>
      <c r="Y53" s="1461">
        <f>SUM(Y48:Y52)</f>
        <v/>
      </c>
      <c r="Z53" s="1462">
        <f>IFERROR(AA53/Y53,"")</f>
        <v/>
      </c>
      <c r="AA53" s="1463">
        <f>SUM(AA48:AA52)</f>
        <v/>
      </c>
      <c r="AB53" s="1461">
        <f>SUM(AB48:AB52)</f>
        <v/>
      </c>
      <c r="AC53" s="1463">
        <f>SUM(AC48:AC52)</f>
        <v/>
      </c>
      <c r="AD53" s="1463">
        <f>SUM(AD48:AD52)</f>
        <v/>
      </c>
      <c r="AE53" s="1463">
        <f>SUM(AE48:AE52)</f>
        <v/>
      </c>
      <c r="AF53" s="1463">
        <f>SUM(AF48:AF52)</f>
        <v/>
      </c>
      <c r="AG53" s="1463">
        <f>SUM(AG48:AG52)</f>
        <v/>
      </c>
      <c r="AH53" s="1463">
        <f>SUM(AH48:AH52)</f>
        <v/>
      </c>
      <c r="AI53" s="1469">
        <f>SUM(AI48:AI52)</f>
        <v/>
      </c>
      <c r="AJ53" s="716" t="n"/>
      <c r="AK53" s="716" t="n"/>
      <c r="AL53" s="716" t="n"/>
      <c r="AM53" s="716" t="n"/>
      <c r="AN53" s="716" t="n"/>
    </row>
    <row r="54" ht="16.5" customFormat="1" customHeight="1" s="716">
      <c r="A54" s="716" t="n"/>
      <c r="B54" s="716" t="n"/>
      <c r="C54" s="716" t="n"/>
      <c r="D54" s="716" t="n"/>
      <c r="E54" s="716" t="n"/>
      <c r="F54" s="716" t="n"/>
      <c r="G54" s="716" t="n"/>
      <c r="H54" s="716" t="n"/>
      <c r="I54" s="716" t="n"/>
      <c r="J54" s="716" t="n"/>
      <c r="K54" s="716" t="n"/>
      <c r="L54" s="716" t="n"/>
      <c r="M54" s="716" t="n"/>
      <c r="N54" s="716" t="n"/>
      <c r="O54" s="716" t="n"/>
      <c r="P54" s="716" t="n"/>
      <c r="Q54" s="716" t="n"/>
      <c r="R54" s="1103" t="n"/>
      <c r="S54" s="13" t="n"/>
      <c r="T54" s="716" t="n"/>
      <c r="U54" s="276" t="inlineStr">
        <is>
          <t>A09002</t>
        </is>
      </c>
      <c r="V54" s="273">
        <f>IF(_epmOfflineCondition_,"A09002",EPMOlapMemberO(U54,"[C_ACCOUNT].[PARENTH1].[A09002]","A09002 - 售热","","000"))</f>
        <v/>
      </c>
      <c r="W54" s="462" t="n"/>
      <c r="X54" s="1470" t="inlineStr">
        <is>
          <t>售热</t>
        </is>
      </c>
      <c r="Y54" s="1471">
        <f>IF(_epmOfflineCondition_,0,EPMRetrieveData(,$U63,$U$64,$Y$42,$Y$43,$Y$44,$Y$45,$D$21,$D$22,$D$23,$D$25,$D$26,$D$27,$D$28))</f>
        <v/>
      </c>
      <c r="Z54" s="1472">
        <f>IFERROR(AA54/Y54,"")</f>
        <v/>
      </c>
      <c r="AA54" s="1473">
        <f>IF(_epmOfflineCondition_,0,EPMRetrieveData(,$U$67,$U64,$Y$42,$Y$43,$Y$44,$Y$45,$D$21,$D$22,$D$23,$D$25,$D$26,$D$27,$D$28))</f>
        <v/>
      </c>
      <c r="AB54" s="1471">
        <f>IF(_epmOfflineCondition_,0,EPMRetrieveData(,$U63,$U$64,$AB$42,$AB$43,$AB$44,$AB$45,$D$21,$D$22,$D$23,$D$25,$D$26,$D$27,$D$28))</f>
        <v/>
      </c>
      <c r="AC54" s="1472">
        <f>IFERROR(AD54/AB54,"")</f>
        <v/>
      </c>
      <c r="AD54" s="1472" t="n"/>
      <c r="AE54" s="1474">
        <f>AA54-AD54</f>
        <v/>
      </c>
      <c r="AF54" s="1475">
        <f>IFERROR(AE54/AD54,"")</f>
        <v/>
      </c>
      <c r="AG54" s="1475">
        <f>IFERROR(AC54*(Y54-AB54),"")</f>
        <v/>
      </c>
      <c r="AH54" s="1476" t="n"/>
      <c r="AI54" s="1477">
        <f>IFERROR(Y54*(Z54-AC54),"")</f>
        <v/>
      </c>
      <c r="AJ54" s="716" t="n"/>
      <c r="AK54" s="716" t="n"/>
      <c r="AL54" s="716" t="n"/>
      <c r="AM54" s="716" t="n"/>
      <c r="AN54" s="716" t="n"/>
    </row>
    <row r="55">
      <c r="A55" s="13" t="n"/>
      <c r="B55" s="13" t="n"/>
      <c r="C55" s="13" t="n"/>
      <c r="D55" s="13" t="n"/>
      <c r="E55" s="13" t="n"/>
      <c r="F55" s="13" t="n"/>
      <c r="G55" s="13" t="n"/>
      <c r="H55" s="13" t="n"/>
      <c r="I55" s="13" t="n"/>
      <c r="J55" s="13" t="n"/>
      <c r="K55" s="13" t="n"/>
      <c r="L55" s="13" t="n"/>
      <c r="M55" s="13" t="n"/>
      <c r="N55" s="13" t="n"/>
      <c r="O55" s="13" t="n"/>
      <c r="P55" s="13" t="n"/>
      <c r="Q55" s="13" t="n"/>
      <c r="R55" s="1103" t="n"/>
      <c r="S55" s="13" t="n"/>
      <c r="T55" s="13" t="n"/>
      <c r="U55" s="13" t="n"/>
      <c r="V55" s="13" t="n"/>
      <c r="W55" s="13" t="n"/>
      <c r="X55" s="171" t="n"/>
      <c r="Y55" s="13" t="n"/>
      <c r="Z55" s="13" t="n"/>
      <c r="AA55" s="13" t="n"/>
      <c r="AB55" s="13" t="n"/>
      <c r="AC55" s="13" t="n"/>
      <c r="AD55" s="13" t="n"/>
      <c r="AE55" s="13" t="n"/>
      <c r="AF55" s="13" t="n"/>
      <c r="AG55" s="13" t="n"/>
      <c r="AH55" s="13" t="n"/>
      <c r="AI55" s="13" t="n"/>
      <c r="AJ55" s="13" t="n"/>
      <c r="AK55" s="13" t="n"/>
      <c r="AL55" s="13" t="n"/>
      <c r="AM55" s="13" t="n"/>
      <c r="AN55" s="13" t="n"/>
    </row>
    <row r="56">
      <c r="A56" s="13" t="n"/>
      <c r="B56" s="13" t="n"/>
      <c r="C56" s="13" t="n"/>
      <c r="D56" s="13" t="n"/>
      <c r="E56" s="13" t="n"/>
      <c r="F56" s="13" t="n"/>
      <c r="G56" s="13" t="n"/>
      <c r="H56" s="13" t="n"/>
      <c r="I56" s="13" t="n"/>
      <c r="J56" s="13" t="n"/>
      <c r="K56" s="13" t="n"/>
      <c r="L56" s="13" t="n"/>
      <c r="M56" s="13" t="n"/>
      <c r="N56" s="13" t="n"/>
      <c r="O56" s="13" t="n"/>
      <c r="P56" s="13" t="n"/>
      <c r="Q56" s="13" t="n"/>
      <c r="R56" s="1103" t="n"/>
      <c r="S56" s="13" t="n"/>
      <c r="T56" s="1478" t="inlineStr">
        <is>
          <t>取自收入明细表（发电企业）</t>
        </is>
      </c>
      <c r="U56" s="249" t="n"/>
      <c r="V56" s="13" t="n"/>
      <c r="W56" s="13" t="n"/>
      <c r="X56" s="171" t="n"/>
      <c r="Y56" s="13" t="n"/>
      <c r="Z56" s="13" t="n"/>
      <c r="AA56" s="13" t="n"/>
      <c r="AB56" s="13" t="n"/>
      <c r="AC56" s="13" t="n"/>
      <c r="AD56" s="13" t="n"/>
      <c r="AE56" s="13" t="n"/>
      <c r="AF56" s="13" t="n"/>
      <c r="AG56" s="13" t="n"/>
      <c r="AH56" s="13" t="n"/>
      <c r="AI56" s="13" t="n"/>
      <c r="AJ56" s="13" t="n"/>
      <c r="AK56" s="13" t="n"/>
      <c r="AL56" s="13" t="n"/>
      <c r="AM56" s="13" t="n"/>
      <c r="AN56" s="13" t="n"/>
    </row>
    <row r="57">
      <c r="A57" s="13" t="n"/>
      <c r="B57" s="13" t="n"/>
      <c r="C57" s="13" t="n"/>
      <c r="D57" s="13" t="n"/>
      <c r="E57" s="13" t="n"/>
      <c r="F57" s="13" t="n"/>
      <c r="G57" s="13" t="n"/>
      <c r="H57" s="13" t="n"/>
      <c r="I57" s="13" t="n"/>
      <c r="J57" s="13" t="n"/>
      <c r="K57" s="13" t="n"/>
      <c r="L57" s="13" t="n"/>
      <c r="M57" s="13" t="n"/>
      <c r="N57" s="13" t="n"/>
      <c r="O57" s="13" t="n"/>
      <c r="P57" s="13" t="n"/>
      <c r="Q57" s="13" t="n"/>
      <c r="R57" s="13" t="n"/>
      <c r="S57" s="13" t="n"/>
      <c r="T57" s="1478" t="inlineStr">
        <is>
          <t>上网电量（售电量）</t>
        </is>
      </c>
      <c r="U57" s="249" t="inlineStr">
        <is>
          <t>A0270201</t>
        </is>
      </c>
      <c r="V57" s="13" t="n"/>
      <c r="W57" s="13" t="n"/>
      <c r="X57" s="171" t="n"/>
      <c r="Y57" s="13" t="n"/>
      <c r="Z57" s="13" t="n"/>
      <c r="AA57" s="13" t="n"/>
      <c r="AB57" s="13" t="n"/>
      <c r="AC57" s="13" t="n"/>
      <c r="AD57" s="13" t="n"/>
      <c r="AE57" s="13" t="n"/>
      <c r="AF57" s="13" t="n"/>
      <c r="AG57" s="13" t="n"/>
      <c r="AH57" s="13" t="n"/>
      <c r="AI57" s="13" t="n"/>
      <c r="AJ57" s="13" t="n"/>
      <c r="AK57" s="13" t="n"/>
      <c r="AL57" s="13" t="n"/>
      <c r="AM57" s="13" t="n"/>
      <c r="AN57" s="13" t="n"/>
    </row>
    <row r="58">
      <c r="A58" s="13" t="n"/>
      <c r="B58" s="13" t="n"/>
      <c r="C58" s="13" t="n"/>
      <c r="D58" s="13" t="n"/>
      <c r="E58" s="13" t="n"/>
      <c r="F58" s="13" t="n"/>
      <c r="G58" s="13" t="n"/>
      <c r="H58" s="13" t="n"/>
      <c r="I58" s="13" t="n"/>
      <c r="J58" s="13" t="n"/>
      <c r="K58" s="13" t="n"/>
      <c r="L58" s="13" t="n"/>
      <c r="M58" s="13" t="n"/>
      <c r="N58" s="13" t="n"/>
      <c r="O58" s="13" t="n"/>
      <c r="P58" s="13" t="n"/>
      <c r="Q58" s="13" t="n"/>
      <c r="R58" s="13" t="n"/>
      <c r="S58" s="13" t="n"/>
      <c r="T58" s="1478" t="inlineStr">
        <is>
          <t xml:space="preserve"> 其中：火电</t>
        </is>
      </c>
      <c r="U58" s="249" t="inlineStr">
        <is>
          <t>ZM0300101</t>
        </is>
      </c>
      <c r="V58" s="13" t="n"/>
      <c r="W58" s="13" t="n"/>
      <c r="X58" s="171" t="n"/>
      <c r="Y58" s="13" t="n"/>
      <c r="Z58" s="13" t="n"/>
      <c r="AA58" s="13" t="n"/>
      <c r="AB58" s="13" t="n"/>
      <c r="AC58" s="13" t="n"/>
      <c r="AD58" s="13" t="n"/>
      <c r="AE58" s="13" t="n"/>
      <c r="AF58" s="13" t="n"/>
      <c r="AG58" s="13" t="n"/>
      <c r="AH58" s="13" t="n"/>
      <c r="AI58" s="13" t="n"/>
      <c r="AJ58" s="13" t="n"/>
      <c r="AK58" s="13" t="n"/>
      <c r="AL58" s="13" t="n"/>
      <c r="AM58" s="13" t="n"/>
      <c r="AN58" s="13" t="n"/>
    </row>
    <row r="59">
      <c r="A59" s="13" t="n"/>
      <c r="B59" s="13" t="n"/>
      <c r="C59" s="13" t="n"/>
      <c r="D59" s="13" t="n"/>
      <c r="E59" s="13" t="n"/>
      <c r="F59" s="13" t="n"/>
      <c r="G59" s="13" t="n"/>
      <c r="H59" s="13" t="n"/>
      <c r="I59" s="13" t="n"/>
      <c r="J59" s="13" t="n"/>
      <c r="K59" s="13" t="n"/>
      <c r="L59" s="13" t="n"/>
      <c r="M59" s="13" t="n"/>
      <c r="N59" s="13" t="n"/>
      <c r="O59" s="13" t="n"/>
      <c r="P59" s="13" t="n"/>
      <c r="Q59" s="13" t="n"/>
      <c r="R59" s="13" t="n"/>
      <c r="S59" s="13" t="n"/>
      <c r="T59" s="1479" t="inlineStr">
        <is>
          <t xml:space="preserve">          燃气</t>
        </is>
      </c>
      <c r="U59" s="249" t="inlineStr">
        <is>
          <t>ZM0300104</t>
        </is>
      </c>
      <c r="V59" s="13" t="n"/>
      <c r="W59" s="13" t="n"/>
      <c r="X59" s="171" t="n"/>
      <c r="Y59" s="13" t="n"/>
      <c r="Z59" s="13" t="n"/>
      <c r="AA59" s="13" t="n"/>
      <c r="AB59" s="13" t="n"/>
      <c r="AC59" s="13" t="n"/>
      <c r="AD59" s="13" t="n"/>
      <c r="AE59" s="13" t="n"/>
      <c r="AF59" s="13" t="n"/>
      <c r="AG59" s="13" t="n"/>
      <c r="AH59" s="13" t="n"/>
      <c r="AI59" s="13" t="n"/>
      <c r="AJ59" s="13" t="n"/>
      <c r="AK59" s="13" t="n"/>
      <c r="AL59" s="13" t="n"/>
      <c r="AM59" s="13" t="n"/>
      <c r="AN59" s="13" t="n"/>
    </row>
    <row r="60">
      <c r="A60" s="13" t="n"/>
      <c r="B60" s="13" t="n"/>
      <c r="C60" s="13" t="n"/>
      <c r="D60" s="13" t="n"/>
      <c r="E60" s="13" t="n"/>
      <c r="F60" s="13" t="n"/>
      <c r="G60" s="13" t="n"/>
      <c r="H60" s="13" t="n"/>
      <c r="I60" s="13" t="n"/>
      <c r="J60" s="13" t="n"/>
      <c r="K60" s="13" t="n"/>
      <c r="L60" s="13" t="n"/>
      <c r="M60" s="13" t="n"/>
      <c r="N60" s="13" t="n"/>
      <c r="O60" s="13" t="n"/>
      <c r="P60" s="13" t="n"/>
      <c r="Q60" s="13" t="n"/>
      <c r="R60" s="13" t="n"/>
      <c r="S60" s="13" t="n"/>
      <c r="T60" s="1478" t="inlineStr">
        <is>
          <t xml:space="preserve">          水电</t>
        </is>
      </c>
      <c r="U60" s="249" t="inlineStr">
        <is>
          <t>ZM0300105</t>
        </is>
      </c>
      <c r="V60" s="13" t="n"/>
      <c r="W60" s="13" t="n"/>
      <c r="X60" s="171" t="n"/>
      <c r="Y60" s="13" t="n"/>
      <c r="Z60" s="13" t="n"/>
      <c r="AA60" s="13" t="n"/>
      <c r="AB60" s="13" t="n"/>
      <c r="AC60" s="13" t="n"/>
      <c r="AD60" s="13" t="n"/>
      <c r="AE60" s="13" t="n"/>
      <c r="AF60" s="13" t="n"/>
      <c r="AG60" s="13" t="n"/>
      <c r="AH60" s="13" t="n"/>
      <c r="AI60" s="13" t="n"/>
      <c r="AJ60" s="13" t="n"/>
      <c r="AK60" s="13" t="n"/>
      <c r="AL60" s="13" t="n"/>
      <c r="AM60" s="13" t="n"/>
      <c r="AN60" s="13" t="n"/>
    </row>
    <row r="61">
      <c r="A61" s="13" t="n"/>
      <c r="B61" s="13" t="n"/>
      <c r="C61" s="13" t="n"/>
      <c r="D61" s="13" t="n"/>
      <c r="E61" s="13" t="n"/>
      <c r="F61" s="13" t="n"/>
      <c r="G61" s="13" t="n"/>
      <c r="H61" s="13" t="n"/>
      <c r="I61" s="13" t="n"/>
      <c r="J61" s="13" t="n"/>
      <c r="K61" s="13" t="n"/>
      <c r="L61" s="13" t="n"/>
      <c r="M61" s="13" t="n"/>
      <c r="N61" s="13" t="n"/>
      <c r="O61" s="13" t="n"/>
      <c r="P61" s="13" t="n"/>
      <c r="Q61" s="13" t="n"/>
      <c r="R61" s="13" t="n"/>
      <c r="S61" s="13" t="n"/>
      <c r="T61" s="1478" t="inlineStr">
        <is>
          <t xml:space="preserve">          风力</t>
        </is>
      </c>
      <c r="U61" s="249" t="inlineStr">
        <is>
          <t>ZM0300102</t>
        </is>
      </c>
      <c r="V61" s="13" t="n"/>
      <c r="W61" s="13" t="n"/>
      <c r="X61" s="171" t="n"/>
      <c r="Y61" s="13" t="n"/>
      <c r="Z61" s="13" t="n"/>
      <c r="AA61" s="13" t="n"/>
      <c r="AB61" s="13" t="n"/>
      <c r="AC61" s="13" t="n"/>
      <c r="AD61" s="13" t="n"/>
      <c r="AE61" s="13" t="n"/>
      <c r="AF61" s="13" t="n"/>
      <c r="AG61" s="13" t="n"/>
      <c r="AH61" s="13" t="n"/>
      <c r="AI61" s="13" t="n"/>
      <c r="AJ61" s="13" t="n"/>
      <c r="AK61" s="13" t="n"/>
      <c r="AL61" s="13" t="n"/>
      <c r="AM61" s="13" t="n"/>
      <c r="AN61" s="13" t="n"/>
    </row>
    <row r="62">
      <c r="A62" s="13" t="n"/>
      <c r="B62" s="13" t="n"/>
      <c r="C62" s="13" t="n"/>
      <c r="D62" s="13" t="n"/>
      <c r="E62" s="13" t="n"/>
      <c r="F62" s="13" t="n"/>
      <c r="G62" s="13" t="n"/>
      <c r="H62" s="13" t="n"/>
      <c r="I62" s="13" t="n"/>
      <c r="J62" s="13" t="n"/>
      <c r="K62" s="13" t="n"/>
      <c r="L62" s="13" t="n"/>
      <c r="M62" s="13" t="n"/>
      <c r="N62" s="13" t="n"/>
      <c r="O62" s="13" t="n"/>
      <c r="P62" s="13" t="n"/>
      <c r="Q62" s="13" t="n"/>
      <c r="R62" s="13" t="n"/>
      <c r="S62" s="13" t="n"/>
      <c r="T62" s="1478" t="inlineStr">
        <is>
          <t xml:space="preserve">          光伏</t>
        </is>
      </c>
      <c r="U62" s="249" t="inlineStr">
        <is>
          <t>ZM0300103</t>
        </is>
      </c>
      <c r="V62" s="13" t="n"/>
      <c r="W62" s="13" t="n"/>
      <c r="X62" s="171" t="n"/>
      <c r="Y62" s="13" t="n"/>
      <c r="Z62" s="13" t="n"/>
      <c r="AA62" s="13" t="n"/>
      <c r="AB62" s="13" t="n"/>
      <c r="AC62" s="13" t="n"/>
      <c r="AD62" s="13" t="n"/>
      <c r="AE62" s="13" t="n"/>
      <c r="AF62" s="13" t="n"/>
      <c r="AG62" s="13" t="n"/>
      <c r="AH62" s="13" t="n"/>
      <c r="AI62" s="13" t="n"/>
      <c r="AJ62" s="13" t="n"/>
      <c r="AK62" s="13" t="n"/>
      <c r="AL62" s="13" t="n"/>
      <c r="AM62" s="13" t="n"/>
      <c r="AN62" s="13" t="n"/>
    </row>
    <row r="63">
      <c r="A63" s="13" t="n"/>
      <c r="B63" s="13" t="n"/>
      <c r="C63" s="13" t="n"/>
      <c r="D63" s="13" t="n"/>
      <c r="E63" s="13" t="n"/>
      <c r="F63" s="13" t="n"/>
      <c r="G63" s="13" t="n"/>
      <c r="H63" s="13" t="n"/>
      <c r="I63" s="13" t="n"/>
      <c r="J63" s="13" t="n"/>
      <c r="K63" s="13" t="n"/>
      <c r="L63" s="13" t="n"/>
      <c r="M63" s="13" t="n"/>
      <c r="N63" s="13" t="n"/>
      <c r="O63" s="13" t="n"/>
      <c r="P63" s="13" t="n"/>
      <c r="Q63" s="13" t="n"/>
      <c r="R63" s="13" t="n"/>
      <c r="S63" s="13" t="n"/>
      <c r="T63" s="1478" t="inlineStr">
        <is>
          <t>售热量</t>
        </is>
      </c>
      <c r="U63" s="249" t="inlineStr">
        <is>
          <t>A027020301</t>
        </is>
      </c>
      <c r="V63" s="13" t="n"/>
      <c r="W63" s="13" t="n"/>
      <c r="X63" s="171" t="n"/>
      <c r="Y63" s="13" t="n"/>
      <c r="Z63" s="13" t="n"/>
      <c r="AA63" s="13" t="n"/>
      <c r="AB63" s="13" t="n"/>
      <c r="AC63" s="13" t="n"/>
      <c r="AD63" s="13" t="n"/>
      <c r="AE63" s="13" t="n"/>
      <c r="AF63" s="13" t="n"/>
      <c r="AG63" s="13" t="n"/>
      <c r="AH63" s="13" t="n"/>
      <c r="AI63" s="13" t="n"/>
      <c r="AJ63" s="13" t="n"/>
      <c r="AK63" s="13" t="n"/>
      <c r="AL63" s="13" t="n"/>
      <c r="AM63" s="13" t="n"/>
      <c r="AN63" s="13" t="n"/>
    </row>
    <row r="64">
      <c r="A64" s="13" t="n"/>
      <c r="B64" s="13" t="n"/>
      <c r="C64" s="13" t="n"/>
      <c r="D64" s="13" t="n"/>
      <c r="E64" s="13" t="n"/>
      <c r="F64" s="13" t="n"/>
      <c r="G64" s="13" t="n"/>
      <c r="H64" s="13" t="n"/>
      <c r="I64" s="13" t="n"/>
      <c r="J64" s="13" t="n"/>
      <c r="K64" s="13" t="n"/>
      <c r="L64" s="13" t="n"/>
      <c r="M64" s="13" t="n"/>
      <c r="N64" s="13" t="n"/>
      <c r="O64" s="13" t="n"/>
      <c r="P64" s="13" t="n"/>
      <c r="Q64" s="13" t="n"/>
      <c r="R64" s="13" t="n"/>
      <c r="S64" s="13" t="n"/>
      <c r="T64" s="1478" t="n"/>
      <c r="U64" s="249" t="inlineStr">
        <is>
          <t>ZM030</t>
        </is>
      </c>
      <c r="V64" s="13" t="n"/>
      <c r="W64" s="13" t="n"/>
      <c r="X64" s="171" t="n"/>
      <c r="Y64" s="13" t="n"/>
      <c r="Z64" s="13" t="n"/>
      <c r="AA64" s="13" t="n"/>
      <c r="AB64" s="13" t="n"/>
      <c r="AC64" s="13" t="n"/>
      <c r="AD64" s="13" t="n"/>
      <c r="AE64" s="13" t="n"/>
      <c r="AF64" s="13" t="n"/>
      <c r="AG64" s="13" t="n"/>
      <c r="AH64" s="13" t="n"/>
      <c r="AI64" s="13" t="n"/>
      <c r="AJ64" s="13" t="n"/>
      <c r="AK64" s="13" t="n"/>
      <c r="AL64" s="13" t="n"/>
      <c r="AM64" s="13" t="n"/>
      <c r="AN64" s="13" t="n"/>
    </row>
    <row r="65">
      <c r="A65" s="13" t="n"/>
      <c r="B65" s="13" t="n"/>
      <c r="C65" s="13" t="n"/>
      <c r="D65" s="13" t="n"/>
      <c r="E65" s="13" t="n"/>
      <c r="F65" s="13" t="n"/>
      <c r="G65" s="13" t="n"/>
      <c r="H65" s="13" t="n"/>
      <c r="I65" s="13" t="n"/>
      <c r="J65" s="13" t="n"/>
      <c r="K65" s="13" t="n"/>
      <c r="L65" s="13" t="n"/>
      <c r="M65" s="13" t="n"/>
      <c r="N65" s="13" t="n"/>
      <c r="O65" s="13" t="n"/>
      <c r="P65" s="13" t="n"/>
      <c r="Q65" s="13" t="n"/>
      <c r="R65" s="13" t="n"/>
      <c r="S65" s="13" t="n"/>
      <c r="T65" s="1478" t="n"/>
      <c r="U65" s="249" t="n"/>
      <c r="V65" s="13" t="n"/>
      <c r="W65" s="13" t="n"/>
      <c r="X65" s="171" t="n"/>
      <c r="Y65" s="13" t="n"/>
      <c r="Z65" s="13" t="n"/>
      <c r="AA65" s="13" t="n"/>
      <c r="AB65" s="13" t="n"/>
      <c r="AC65" s="13" t="n"/>
      <c r="AD65" s="13" t="n"/>
      <c r="AE65" s="13" t="n"/>
      <c r="AF65" s="13" t="n"/>
      <c r="AG65" s="13" t="n"/>
      <c r="AH65" s="13" t="n"/>
      <c r="AI65" s="13" t="n"/>
      <c r="AJ65" s="13" t="n"/>
      <c r="AK65" s="13" t="n"/>
      <c r="AL65" s="13" t="n"/>
      <c r="AM65" s="13" t="n"/>
      <c r="AN65" s="13" t="n"/>
    </row>
    <row r="66">
      <c r="A66" s="13" t="n"/>
      <c r="B66" s="13" t="n"/>
      <c r="C66" s="13" t="n"/>
      <c r="D66" s="13" t="n"/>
      <c r="E66" s="13" t="n"/>
      <c r="F66" s="13" t="n"/>
      <c r="G66" s="13" t="n"/>
      <c r="H66" s="13" t="n"/>
      <c r="I66" s="13" t="n"/>
      <c r="J66" s="13" t="n"/>
      <c r="K66" s="13" t="n"/>
      <c r="L66" s="13" t="n"/>
      <c r="M66" s="13" t="n"/>
      <c r="N66" s="13" t="n"/>
      <c r="O66" s="13" t="n"/>
      <c r="P66" s="13" t="n"/>
      <c r="Q66" s="13" t="n"/>
      <c r="R66" s="13" t="n"/>
      <c r="S66" s="13" t="n"/>
      <c r="T66" s="1478">
        <f>IF(_epmOfflineCondition_," 售电收入",EPMMemberDesc(U66))</f>
        <v/>
      </c>
      <c r="U66" s="249" t="inlineStr">
        <is>
          <t>A0270101</t>
        </is>
      </c>
      <c r="V66" s="13" t="n"/>
      <c r="W66" s="13" t="n"/>
      <c r="X66" s="171" t="n"/>
      <c r="Y66" s="13" t="n"/>
      <c r="Z66" s="13" t="n"/>
      <c r="AA66" s="13" t="n"/>
      <c r="AB66" s="13" t="n"/>
      <c r="AC66" s="13" t="n"/>
      <c r="AD66" s="13" t="n"/>
      <c r="AE66" s="13" t="n"/>
      <c r="AF66" s="13" t="n"/>
      <c r="AG66" s="13" t="n"/>
      <c r="AH66" s="13" t="n"/>
      <c r="AI66" s="13" t="n"/>
      <c r="AJ66" s="13" t="n"/>
      <c r="AK66" s="13" t="n"/>
      <c r="AL66" s="13" t="n"/>
      <c r="AM66" s="13" t="n"/>
      <c r="AN66" s="13" t="n"/>
    </row>
    <row r="67">
      <c r="A67" s="13" t="n"/>
      <c r="B67" s="13" t="n"/>
      <c r="C67" s="13" t="n"/>
      <c r="D67" s="13" t="n"/>
      <c r="E67" s="13" t="n"/>
      <c r="F67" s="13" t="n"/>
      <c r="G67" s="13" t="n"/>
      <c r="H67" s="13" t="n"/>
      <c r="I67" s="13" t="n"/>
      <c r="J67" s="13" t="n"/>
      <c r="K67" s="13" t="n"/>
      <c r="L67" s="13" t="n"/>
      <c r="M67" s="13" t="n"/>
      <c r="N67" s="13" t="n"/>
      <c r="O67" s="13" t="n"/>
      <c r="P67" s="13" t="n"/>
      <c r="Q67" s="13" t="n"/>
      <c r="R67" s="13" t="n"/>
      <c r="S67" s="13" t="n"/>
      <c r="T67" s="1478">
        <f>IF(_epmOfflineCondition_," 售热收入",EPMMemberDesc(U67))</f>
        <v/>
      </c>
      <c r="U67" s="249" t="inlineStr">
        <is>
          <t>A0270102</t>
        </is>
      </c>
      <c r="V67" s="13" t="n"/>
      <c r="W67" s="13" t="n"/>
      <c r="X67" s="171" t="n"/>
      <c r="Y67" s="13" t="n"/>
      <c r="Z67" s="13" t="n"/>
      <c r="AA67" s="13" t="n"/>
      <c r="AB67" s="13" t="n"/>
      <c r="AC67" s="13" t="n"/>
      <c r="AD67" s="13" t="n"/>
      <c r="AE67" s="13" t="n"/>
      <c r="AF67" s="13" t="n"/>
      <c r="AG67" s="13" t="n"/>
      <c r="AH67" s="13" t="n"/>
      <c r="AI67" s="13" t="n"/>
      <c r="AJ67" s="13" t="n"/>
      <c r="AK67" s="13" t="n"/>
      <c r="AL67" s="13" t="n"/>
      <c r="AM67" s="13" t="n"/>
      <c r="AN67" s="13" t="n"/>
    </row>
    <row r="68">
      <c r="A68" s="13" t="n"/>
      <c r="B68" s="13" t="n"/>
      <c r="C68" s="13" t="n"/>
      <c r="D68" s="13" t="n"/>
      <c r="E68" s="13" t="n"/>
      <c r="F68" s="13" t="n"/>
      <c r="G68" s="13" t="n"/>
      <c r="H68" s="13" t="n"/>
      <c r="I68" s="13" t="n"/>
      <c r="J68" s="13" t="n"/>
      <c r="K68" s="13" t="n"/>
      <c r="L68" s="13" t="n"/>
      <c r="M68" s="13" t="n"/>
      <c r="N68" s="13" t="n"/>
      <c r="O68" s="13" t="n"/>
      <c r="P68" s="13" t="n"/>
      <c r="Q68" s="13" t="n"/>
      <c r="R68" s="13" t="n"/>
      <c r="S68" s="13" t="n"/>
      <c r="T68" s="1478" t="n"/>
      <c r="U68" s="249" t="n"/>
      <c r="V68" s="13" t="n"/>
      <c r="W68" s="13" t="n"/>
      <c r="X68" s="171" t="n"/>
      <c r="Y68" s="13" t="n"/>
      <c r="Z68" s="13" t="n"/>
      <c r="AA68" s="13" t="n"/>
      <c r="AB68" s="13" t="n"/>
      <c r="AC68" s="13" t="n"/>
      <c r="AD68" s="13" t="n"/>
      <c r="AE68" s="13" t="n"/>
      <c r="AF68" s="13" t="n"/>
      <c r="AG68" s="13" t="n"/>
      <c r="AH68" s="13" t="n"/>
      <c r="AI68" s="13" t="n"/>
      <c r="AJ68" s="13" t="n"/>
      <c r="AK68" s="13" t="n"/>
      <c r="AL68" s="13" t="n"/>
      <c r="AM68" s="13" t="n"/>
      <c r="AN68" s="13" t="n"/>
    </row>
    <row r="69">
      <c r="A69" s="13" t="n"/>
      <c r="B69" s="13" t="n"/>
      <c r="C69" s="13" t="n"/>
      <c r="D69" s="13" t="n"/>
      <c r="E69" s="13" t="n"/>
      <c r="F69" s="13" t="n"/>
      <c r="G69" s="13" t="n"/>
      <c r="H69" s="13" t="n"/>
      <c r="I69" s="13" t="n"/>
      <c r="J69" s="13" t="n"/>
      <c r="K69" s="13" t="n"/>
      <c r="L69" s="13" t="n"/>
      <c r="M69" s="13" t="n"/>
      <c r="N69" s="13" t="n"/>
      <c r="O69" s="13" t="n"/>
      <c r="P69" s="13" t="n"/>
      <c r="Q69" s="13" t="n"/>
      <c r="R69" s="13" t="n"/>
      <c r="S69" s="13" t="n"/>
      <c r="T69" s="1478" t="n"/>
      <c r="U69" s="249" t="n"/>
      <c r="V69" s="13" t="n"/>
      <c r="W69" s="13" t="n"/>
      <c r="X69" s="171" t="n"/>
      <c r="Y69" s="13" t="n"/>
      <c r="Z69" s="13" t="n"/>
      <c r="AA69" s="13" t="n"/>
      <c r="AB69" s="13" t="n"/>
      <c r="AC69" s="13" t="n"/>
      <c r="AD69" s="13" t="n"/>
      <c r="AE69" s="13" t="n"/>
      <c r="AF69" s="13" t="n"/>
      <c r="AG69" s="13" t="n"/>
      <c r="AH69" s="13" t="n"/>
      <c r="AI69" s="13" t="n"/>
      <c r="AJ69" s="13" t="n"/>
      <c r="AK69" s="13" t="n"/>
      <c r="AL69" s="13" t="n"/>
      <c r="AM69" s="13" t="n"/>
      <c r="AN69" s="13" t="n"/>
    </row>
    <row r="70">
      <c r="A70" s="13" t="n"/>
      <c r="B70" s="13" t="n"/>
      <c r="C70" s="13" t="n"/>
      <c r="D70" s="13" t="n"/>
      <c r="E70" s="13" t="n"/>
      <c r="F70" s="13" t="n"/>
      <c r="G70" s="13" t="n"/>
      <c r="H70" s="13" t="n"/>
      <c r="I70" s="13" t="n"/>
      <c r="J70" s="13" t="n"/>
      <c r="K70" s="13" t="n"/>
      <c r="L70" s="13" t="n"/>
      <c r="M70" s="13" t="n"/>
      <c r="N70" s="13" t="n"/>
      <c r="O70" s="13" t="n"/>
      <c r="P70" s="13" t="n"/>
      <c r="Q70" s="13" t="n"/>
      <c r="R70" s="13" t="n"/>
      <c r="S70" s="13" t="n"/>
      <c r="T70" s="1478" t="n"/>
      <c r="U70" s="249" t="n"/>
      <c r="V70" s="13" t="n"/>
      <c r="W70" s="13" t="n"/>
      <c r="X70" s="171" t="n"/>
      <c r="Y70" s="13" t="n"/>
      <c r="Z70" s="13" t="n"/>
      <c r="AA70" s="13" t="n"/>
      <c r="AB70" s="13" t="n"/>
      <c r="AC70" s="13" t="n"/>
      <c r="AD70" s="13" t="n"/>
      <c r="AE70" s="13" t="n"/>
      <c r="AF70" s="13" t="n"/>
      <c r="AG70" s="13" t="n"/>
      <c r="AH70" s="13" t="n"/>
      <c r="AI70" s="13" t="n"/>
      <c r="AJ70" s="13" t="n"/>
      <c r="AK70" s="13" t="n"/>
      <c r="AL70" s="13" t="n"/>
      <c r="AM70" s="13" t="n"/>
      <c r="AN70" s="13" t="n"/>
    </row>
    <row r="71">
      <c r="A71" s="13" t="n"/>
      <c r="B71" s="13" t="n"/>
      <c r="C71" s="13" t="n"/>
      <c r="D71" s="13" t="n"/>
      <c r="E71" s="13" t="n"/>
      <c r="F71" s="13" t="n"/>
      <c r="G71" s="13" t="n"/>
      <c r="H71" s="13" t="n"/>
      <c r="I71" s="13" t="n"/>
      <c r="J71" s="13" t="n"/>
      <c r="K71" s="13" t="n"/>
      <c r="L71" s="13" t="n"/>
      <c r="M71" s="13" t="n"/>
      <c r="N71" s="13" t="n"/>
      <c r="O71" s="13" t="n"/>
      <c r="P71" s="13" t="n"/>
      <c r="Q71" s="13" t="n"/>
      <c r="R71" s="13" t="n"/>
      <c r="S71" s="1103" t="n"/>
      <c r="T71" s="13" t="n"/>
      <c r="U71" s="171" t="n"/>
      <c r="V71" s="13" t="n"/>
      <c r="W71" s="13" t="n"/>
      <c r="X71" s="171" t="n"/>
      <c r="Y71" s="13" t="n"/>
      <c r="Z71" s="13" t="n"/>
      <c r="AA71" s="13" t="n"/>
      <c r="AB71" s="13" t="n"/>
      <c r="AC71" s="13" t="n"/>
      <c r="AD71" s="13" t="n"/>
      <c r="AE71" s="13" t="n"/>
      <c r="AF71" s="13" t="n"/>
      <c r="AG71" s="13" t="n"/>
      <c r="AH71" s="13" t="n"/>
      <c r="AI71" s="13" t="n"/>
      <c r="AJ71" s="13" t="n"/>
      <c r="AK71" s="13" t="n"/>
      <c r="AL71" s="13" t="n"/>
      <c r="AM71" s="13" t="n"/>
      <c r="AN71" s="13" t="n"/>
    </row>
  </sheetData>
  <sheetProtection selectLockedCells="0" selectUnlockedCells="0" algorithmName="SHA-512" sheet="1" objects="0" insertRows="1" insertHyperlinks="1" autoFilter="1" scenarios="1" formatColumns="1" deleteColumns="1" insertColumns="1" pivotTables="1" deleteRows="1" formatCells="1" saltValue="LYS9wi+0l+Hke9RZb3bcCg==" formatRows="1" sort="1" spinCount="100000" hashValue="UvEkw9VRSJsEb1SbtBPfEkznEojNWcsHlOMdUfFyt1IuQ+fh5U1eYJr2FMJ41Zp+cVKy1NTK43b+kLx8pap5Rw=="/>
  <mergeCells count="16">
    <mergeCell ref="H2:J2"/>
    <mergeCell ref="D16:E16"/>
    <mergeCell ref="Y39:AA39"/>
    <mergeCell ref="AB39:AD39"/>
    <mergeCell ref="AE39:AF39"/>
    <mergeCell ref="AG39:AI39"/>
    <mergeCell ref="AG40:AH40"/>
    <mergeCell ref="X39:X41"/>
    <mergeCell ref="Y40:Y41"/>
    <mergeCell ref="Z40:Z41"/>
    <mergeCell ref="AA40:AA41"/>
    <mergeCell ref="AB40:AB41"/>
    <mergeCell ref="AC40:AC41"/>
    <mergeCell ref="AD40:AD41"/>
    <mergeCell ref="AE40:AE41"/>
    <mergeCell ref="AF40:AF41"/>
  </mergeCells>
  <dataValidations count="1">
    <dataValidation sqref="AA37" showErrorMessage="1" showInputMessage="1" allowBlank="1" type="list">
      <formula1>$I$19:$I$21</formula1>
    </dataValidation>
  </dataValidations>
  <pageMargins left="0.7" right="0.7" top="0.75" bottom="0.75" header="0.3" footer="0.3"/>
  <pageSetup orientation="portrait" paperSize="9"/>
  <drawing xmlns:r="http://schemas.openxmlformats.org/officeDocument/2006/relationships" r:id="rId1"/>
</worksheet>
</file>

<file path=xl/worksheets/sheet41.xml><?xml version="1.0" encoding="utf-8"?>
<worksheet xmlns="http://schemas.openxmlformats.org/spreadsheetml/2006/main">
  <sheetPr codeName="Sheet48">
    <outlinePr summaryBelow="1" summaryRight="1"/>
    <pageSetUpPr/>
  </sheetPr>
  <dimension ref="A1:AU205"/>
  <sheetViews>
    <sheetView topLeftCell="W71" zoomScale="85" zoomScaleNormal="85" workbookViewId="0">
      <selection activeCell="AB90" sqref="AB90"/>
    </sheetView>
  </sheetViews>
  <sheetFormatPr baseColWidth="8" defaultColWidth="8.625" defaultRowHeight="16.8"/>
  <cols>
    <col hidden="1" width="8" customWidth="1" style="13" min="1" max="1"/>
    <col hidden="1" width="15.375" customWidth="1" style="13" min="2" max="2"/>
    <col hidden="1" width="13.75" customWidth="1" style="13" min="3" max="3"/>
    <col hidden="1" width="12.125" customWidth="1" style="13" min="4" max="4"/>
    <col hidden="1" width="7.5" customWidth="1" style="13" min="5" max="5"/>
    <col hidden="1" width="7.75" customWidth="1" style="13" min="6" max="7"/>
    <col hidden="1" width="8.375" customWidth="1" style="13" min="8" max="8"/>
    <col hidden="1" width="7.75" customWidth="1" style="13" min="9" max="9"/>
    <col hidden="1" width="11.125" customWidth="1" style="13" min="10" max="10"/>
    <col hidden="1" width="12" customWidth="1" style="13" min="11" max="11"/>
    <col hidden="1" width="12.75" customWidth="1" style="13" min="12" max="12"/>
    <col hidden="1" width="7.75" customWidth="1" style="13" min="13" max="16"/>
    <col hidden="1" width="25.75" customWidth="1" style="13" min="17" max="17"/>
    <col hidden="1" width="16" customWidth="1" style="13" min="18" max="18"/>
    <col hidden="1" width="16.5" customWidth="1" style="1103" min="19" max="19"/>
    <col hidden="1" width="26.125" customWidth="1" style="13" min="20" max="20"/>
    <col hidden="1" width="13.75" customWidth="1" style="13" min="21" max="21"/>
    <col hidden="1" width="15.625" customWidth="1" style="13" min="22" max="22"/>
    <col width="3.125" customWidth="1" style="13" min="23" max="23"/>
    <col width="28.125" customWidth="1" style="171" min="24" max="24"/>
    <col width="11.25" customWidth="1" style="13" min="25" max="25"/>
    <col width="27.25" customWidth="1" style="13" min="26" max="46"/>
    <col hidden="1" width="38.75" customWidth="1" style="13" min="47" max="47"/>
    <col width="8.625" customWidth="1" style="13" min="48" max="16384"/>
  </cols>
  <sheetData>
    <row r="1" hidden="1" outlineLevel="1" s="1181">
      <c r="A1" s="172" t="inlineStr">
        <is>
          <t>维度清单</t>
        </is>
      </c>
      <c r="B1" s="462" t="n"/>
      <c r="C1" s="173" t="n"/>
      <c r="D1" s="173" t="n"/>
      <c r="E1" s="716" t="n"/>
      <c r="AD1" s="220" t="n"/>
    </row>
    <row r="2" hidden="1" outlineLevel="1" s="1181">
      <c r="A2" s="174" t="inlineStr">
        <is>
          <t>维度类型</t>
        </is>
      </c>
      <c r="B2" s="174" t="inlineStr">
        <is>
          <t>维度</t>
        </is>
      </c>
      <c r="C2" s="174" t="inlineStr">
        <is>
          <t>维度CV值</t>
        </is>
      </c>
      <c r="D2" s="174" t="inlineStr">
        <is>
          <t>描述</t>
        </is>
      </c>
      <c r="E2" s="174" t="inlineStr">
        <is>
          <t>备注</t>
        </is>
      </c>
      <c r="H2" s="183" t="inlineStr">
        <is>
          <t>TIME</t>
        </is>
      </c>
      <c r="I2" s="1182" t="n"/>
      <c r="J2" s="1183" t="n"/>
      <c r="AD2" s="220" t="n"/>
    </row>
    <row r="3" hidden="1" outlineLevel="1" s="1181">
      <c r="A3" s="175" t="inlineStr">
        <is>
          <t>A</t>
        </is>
      </c>
      <c r="B3" s="176">
        <f>IF(_epmOfflineCondition_,"C_ACCOUNT",EPMDimensionType(,A3))</f>
        <v/>
      </c>
      <c r="C3" s="176">
        <f>IF(_epmOfflineCondition_,"A_ALL",IF(B3="","",EPMContextMember(,B3)))</f>
        <v/>
      </c>
      <c r="D3" s="176">
        <f>IF(_epmOfflineCondition_,"所有科目",EPMMemberDesc(C3))</f>
        <v/>
      </c>
      <c r="E3" s="176" t="n"/>
      <c r="H3" s="184" t="inlineStr">
        <is>
          <t>年变量</t>
        </is>
      </c>
      <c r="I3" s="184">
        <f>IF(_epmOfflineCondition_,"2025",EPMMemberProperty(,EPMContextMember(,"C_TIME"),"YEAR"))</f>
        <v/>
      </c>
      <c r="J3" s="184">
        <f>$I$3&amp;".12"</f>
        <v/>
      </c>
      <c r="AD3" s="220" t="n"/>
    </row>
    <row r="4" hidden="1" outlineLevel="1" s="1181">
      <c r="A4" s="175" t="inlineStr">
        <is>
          <t>C</t>
        </is>
      </c>
      <c r="B4" s="176">
        <f>IF(_epmOfflineCondition_,"C_CATEGORY",EPMDimensionType(,A4))</f>
        <v/>
      </c>
      <c r="C4" s="176">
        <f>IF(_epmOfflineCondition_,"C1001",IF(B4="","",EPMContextMember(,B4)))</f>
        <v/>
      </c>
      <c r="D4" s="176">
        <f>IF(_epmOfflineCondition_,"实际数/决算数",EPMMemberDesc(C4))</f>
        <v/>
      </c>
      <c r="E4" s="176" t="n"/>
      <c r="H4" s="184" t="inlineStr">
        <is>
          <t>预算年</t>
        </is>
      </c>
      <c r="I4" s="184">
        <f>"V_"&amp;$I$3</f>
        <v/>
      </c>
      <c r="J4" s="184">
        <f>$I$3&amp;".TOTAL"</f>
        <v/>
      </c>
      <c r="AD4" s="220" t="n"/>
    </row>
    <row r="5" hidden="1" outlineLevel="1" s="1181">
      <c r="A5" s="175" t="inlineStr">
        <is>
          <t>T</t>
        </is>
      </c>
      <c r="B5" s="176">
        <f>IF(_epmOfflineCondition_,"C_TIME",EPMDimensionType(,A5))</f>
        <v/>
      </c>
      <c r="C5" s="176">
        <f>IF(_epmOfflineCondition_,"2025.03",IF(B5="","",EPMContextMember(,B5)))</f>
        <v/>
      </c>
      <c r="D5" s="176">
        <f>IF(_epmOfflineCondition_,"2025.03",EPMMemberDesc(C5))</f>
        <v/>
      </c>
      <c r="E5" s="176" t="n"/>
      <c r="H5" s="184" t="inlineStr">
        <is>
          <t>前一年</t>
        </is>
      </c>
      <c r="I5" s="184">
        <f>"V_"&amp;$I$3-1</f>
        <v/>
      </c>
      <c r="J5" s="184">
        <f>$I$3-1&amp;".TOTAL"</f>
        <v/>
      </c>
      <c r="AD5" s="220" t="n"/>
    </row>
    <row r="6" hidden="1" outlineLevel="1" s="1181">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H6" s="184" t="inlineStr">
        <is>
          <t>前两年</t>
        </is>
      </c>
      <c r="I6" s="184">
        <f>"V_"&amp;$I$3-2</f>
        <v/>
      </c>
      <c r="J6" s="184">
        <f>$I$3-2&amp;".TOTAL"</f>
        <v/>
      </c>
      <c r="AD6" s="220" t="n"/>
    </row>
    <row r="7" hidden="1" outlineLevel="1" s="1181">
      <c r="A7" s="175" t="inlineStr">
        <is>
          <t>R</t>
        </is>
      </c>
      <c r="B7" s="176">
        <f>IF(_epmOfflineCondition_,"C_RPTCURRENCY",EPMDimensionType(,A7))</f>
        <v/>
      </c>
      <c r="C7" s="176">
        <f>IF(_epmOfflineCondition_,"CNY",IF(B7="","",EPMContextMember(,B7)))</f>
        <v/>
      </c>
      <c r="D7" s="176">
        <f>IF(_epmOfflineCondition_,"人民币",EPMMemberDesc(C7))</f>
        <v/>
      </c>
      <c r="E7" s="176" t="n"/>
      <c r="AD7" s="220" t="n"/>
    </row>
    <row r="8" hidden="1" outlineLevel="1" s="1181">
      <c r="A8" s="175" t="inlineStr">
        <is>
          <t>D</t>
        </is>
      </c>
      <c r="B8" s="176">
        <f>IF(_epmOfflineCondition_,"C_AUDITTRAIL",EPMDimensionType(,A8))</f>
        <v/>
      </c>
      <c r="C8" s="176">
        <f>IF(_epmOfflineCondition_,"DALL",IF(B8="","",EPMContextMember(,B8)))</f>
        <v/>
      </c>
      <c r="D8" s="176">
        <f>IF(_epmOfflineCondition_,"合并后",EPMMemberDesc(C8))</f>
        <v/>
      </c>
      <c r="E8" s="176" t="n"/>
      <c r="H8" s="184" t="inlineStr">
        <is>
          <t>本月</t>
        </is>
      </c>
      <c r="I8" s="184">
        <f>IF(_epmOfflineCondition_,"03",RIGHT("0"&amp;EPMMemberProperty(,EPMContextMember(,"C_TIME"),"MONTHNUM"),2))</f>
        <v/>
      </c>
      <c r="AD8" s="220" t="n"/>
    </row>
    <row r="9" hidden="1" outlineLevel="1" s="1181">
      <c r="A9" s="175" t="inlineStr">
        <is>
          <t>S</t>
        </is>
      </c>
      <c r="B9" s="176">
        <f>IF(_epmOfflineCondition_,"C_FLOW",EPMDimensionType(,A9))</f>
        <v/>
      </c>
      <c r="C9" s="176">
        <f>IF(_epmOfflineCondition_,"FTOTAL",IF(B9="","",EPMContextMember(,B9)))</f>
        <v/>
      </c>
      <c r="D9" s="176">
        <f>IF(_epmOfflineCondition_,"全部变动",EPMMemberDesc(C9))</f>
        <v/>
      </c>
      <c r="E9" s="176" t="n"/>
      <c r="H9" s="184" t="inlineStr">
        <is>
          <t>上月</t>
        </is>
      </c>
      <c r="I9" s="188">
        <f>RIGHT("0"&amp;IF(I8="01",12,I8-1),2)</f>
        <v/>
      </c>
      <c r="AD9" s="220" t="n"/>
    </row>
    <row r="10" hidden="1" outlineLevel="1" s="1181">
      <c r="A10" s="175" t="inlineStr">
        <is>
          <t>I</t>
        </is>
      </c>
      <c r="B10" s="176">
        <f>IF(_epmOfflineCondition_,"C_INTERCO",EPMDimensionType(,A10))</f>
        <v/>
      </c>
      <c r="C10" s="176">
        <f>IF(_epmOfflineCondition_,"I_DUMMY",IF(B10="","",EPMContextMember(,B10)))</f>
        <v/>
      </c>
      <c r="D10" s="176">
        <f>IF(_epmOfflineCondition_,"贸易伙伴无关",EPMMemberDesc(C10))</f>
        <v/>
      </c>
      <c r="E10" s="176" t="n"/>
      <c r="H10" s="184" t="inlineStr">
        <is>
          <t>上年</t>
        </is>
      </c>
      <c r="I10" s="188">
        <f>$I$3-1</f>
        <v/>
      </c>
      <c r="AD10" s="220" t="n"/>
    </row>
    <row r="11" hidden="1" outlineLevel="1" s="1181">
      <c r="A11" s="175" t="inlineStr">
        <is>
          <t>G</t>
        </is>
      </c>
      <c r="B11" s="176">
        <f>IF(_epmOfflineCondition_,"C_SCOPE",EPMDimensionType(,A11))</f>
        <v/>
      </c>
      <c r="C11" s="176">
        <f>IF(_epmOfflineCondition_,"G_DUMMY",IF(B11="","",EPMContextMember(,B11)))</f>
        <v/>
      </c>
      <c r="D11" s="176">
        <f>IF(_epmOfflineCondition_,"合并范围无关",EPMMemberDesc(C11))</f>
        <v/>
      </c>
      <c r="E11" s="176">
        <f>IF(OR(RIGHT(C11,1)="P",RIGHT(C11,1)="S"),LEFT(C11,LEN(C11)-1),C11)</f>
        <v/>
      </c>
      <c r="F11" s="185" t="inlineStr">
        <is>
          <t>判断属性</t>
        </is>
      </c>
      <c r="H11" s="184" t="inlineStr">
        <is>
          <t xml:space="preserve">本年月 </t>
        </is>
      </c>
      <c r="I11" s="184">
        <f>I3&amp;"."&amp;I8</f>
        <v/>
      </c>
      <c r="AD11" s="220" t="n"/>
    </row>
    <row r="12" hidden="1" outlineLevel="1" s="1181">
      <c r="A12" s="175" t="inlineStr">
        <is>
          <t>U8</t>
        </is>
      </c>
      <c r="B12" s="176">
        <f>IF(_epmOfflineCondition_,"C_PROJECT",EPMDimensionType(,A12))</f>
        <v/>
      </c>
      <c r="C12" s="176">
        <f>IF(_epmOfflineCondition_,"ZP_ALL",IF(B12="","",EPMContextMember(,B12)))</f>
        <v/>
      </c>
      <c r="D12" s="176">
        <f>IF(_epmOfflineCondition_,"项目合计",EPMMemberDesc(C12))</f>
        <v/>
      </c>
      <c r="E12" s="176" t="n"/>
      <c r="F12" s="185">
        <f>E11</f>
        <v/>
      </c>
      <c r="H12" s="184" t="inlineStr">
        <is>
          <t>上年月</t>
        </is>
      </c>
      <c r="I12" s="184">
        <f>IF(I8="01",I10&amp;"."&amp;I9,I3&amp;"."&amp;I9)</f>
        <v/>
      </c>
      <c r="AD12" s="220" t="n"/>
    </row>
    <row r="13" hidden="1" outlineLevel="1" s="1181">
      <c r="A13" s="175" t="inlineStr">
        <is>
          <t>U9</t>
        </is>
      </c>
      <c r="B13" s="176">
        <f>IF(_epmOfflineCondition_,"C_ITEM",EPMDimensionType(,A13))</f>
        <v/>
      </c>
      <c r="C13" s="176">
        <f>IF(_epmOfflineCondition_,"ZI_ALL",IF(B13="","",EPMContextMember(,B13)))</f>
        <v/>
      </c>
      <c r="D13" s="176">
        <f>IF(_epmOfflineCondition_,"全部ITEM",EPMMemberDesc(C13))</f>
        <v/>
      </c>
      <c r="E13" s="186" t="n"/>
      <c r="F13" s="185">
        <f>IF(_epmOfflineCondition_,"E_DUMMY",EPMMemberProperty(,F12,"GENTITY"))</f>
        <v/>
      </c>
      <c r="H13" s="184" t="inlineStr">
        <is>
          <t xml:space="preserve">上年同期 </t>
        </is>
      </c>
      <c r="I13" s="184">
        <f>I10&amp;"."&amp;I8</f>
        <v/>
      </c>
      <c r="AD13" s="220" t="n"/>
    </row>
    <row r="14" hidden="1" outlineLevel="1" s="1181">
      <c r="A14" s="175" t="inlineStr">
        <is>
          <t>U10</t>
        </is>
      </c>
      <c r="B14" s="176">
        <f>IF(_epmOfflineCondition_,"C_MISK",EPMDimensionType(,A14))</f>
        <v/>
      </c>
      <c r="C14" s="176">
        <f>IF(_epmOfflineCondition_,"ZM_ALL",IF(B14="","",EPMContextMember(,B14)))</f>
        <v/>
      </c>
      <c r="D14" s="176">
        <f>IF(_epmOfflineCondition_,"ALL",EPMMemberDesc(C14))</f>
        <v/>
      </c>
      <c r="E14" s="186" t="n"/>
      <c r="F14" s="185">
        <f>IF(F12="G_DUMMY",C6,F13)</f>
        <v/>
      </c>
      <c r="AD14" s="220" t="n"/>
    </row>
    <row r="15" hidden="1" outlineLevel="1" s="1181">
      <c r="B15" s="1103" t="n"/>
      <c r="C15" s="1103" t="n"/>
      <c r="D15" s="1103" t="n"/>
      <c r="AD15" s="220" t="n"/>
    </row>
    <row r="16" hidden="1" outlineLevel="1" s="1181">
      <c r="D16" s="174" t="inlineStr">
        <is>
          <t>页轴</t>
        </is>
      </c>
      <c r="E16" s="1183" t="n"/>
      <c r="AD16" s="220" t="n"/>
    </row>
    <row r="17" hidden="1" outlineLevel="1" s="1181">
      <c r="A17" s="174" t="inlineStr">
        <is>
          <t>维度类型</t>
        </is>
      </c>
      <c r="B17" s="174" t="inlineStr">
        <is>
          <t>维度</t>
        </is>
      </c>
      <c r="C17" s="178" t="inlineStr">
        <is>
          <t>页轴替换</t>
        </is>
      </c>
      <c r="D17" s="174" t="inlineStr">
        <is>
          <t>报表001</t>
        </is>
      </c>
      <c r="E17" s="174" t="inlineStr">
        <is>
          <t>报表002</t>
        </is>
      </c>
      <c r="AD17" s="220" t="n"/>
    </row>
    <row r="18" hidden="1" outlineLevel="1" s="1181">
      <c r="A18" s="175" t="inlineStr">
        <is>
          <t>A</t>
        </is>
      </c>
      <c r="B18" s="176">
        <f>IF(_epmOfflineCondition_,"C_ACCOUNT",EPMDimensionType(,A18))</f>
        <v/>
      </c>
      <c r="C18" s="182" t="inlineStr">
        <is>
          <t>A_NOUSED</t>
        </is>
      </c>
      <c r="D18" s="180" t="n"/>
      <c r="E18" s="180" t="n"/>
      <c r="I18" s="180" t="inlineStr">
        <is>
          <t>选择的值</t>
        </is>
      </c>
      <c r="J18" s="180">
        <f>VLOOKUP(AA37,I19:J21,2,FALSE)</f>
        <v/>
      </c>
      <c r="AD18" s="220" t="n"/>
    </row>
    <row r="19" hidden="1" outlineLevel="1" s="1181">
      <c r="A19" s="175" t="inlineStr">
        <is>
          <t>C</t>
        </is>
      </c>
      <c r="B19" s="176">
        <f>IF(_epmOfflineCondition_,"C_CATEGORY",EPMDimensionType(,A19))</f>
        <v/>
      </c>
      <c r="C19" s="182" t="inlineStr">
        <is>
          <t>C_DUMMY</t>
        </is>
      </c>
      <c r="D19" s="180" t="n"/>
      <c r="E19" s="180" t="n"/>
      <c r="I19" s="180" t="inlineStr">
        <is>
          <t>单体录入</t>
        </is>
      </c>
      <c r="J19" s="180" t="inlineStr">
        <is>
          <t>D1110</t>
        </is>
      </c>
      <c r="AD19" s="220" t="n"/>
    </row>
    <row r="20" hidden="1" outlineLevel="1" s="1181">
      <c r="A20" s="175" t="inlineStr">
        <is>
          <t>T</t>
        </is>
      </c>
      <c r="B20" s="176">
        <f>IF(_epmOfflineCondition_,"C_TIME",EPMDimensionType(,A20))</f>
        <v/>
      </c>
      <c r="C20" s="672" t="inlineStr">
        <is>
          <t>T_DUMMY</t>
        </is>
      </c>
      <c r="D20" s="180" t="n"/>
      <c r="E20" s="180" t="n"/>
      <c r="I20" s="180" t="inlineStr">
        <is>
          <t>合并调整</t>
        </is>
      </c>
      <c r="J20" s="180" t="inlineStr">
        <is>
          <t>DELIM_IPT_IC_BP_99</t>
        </is>
      </c>
      <c r="AD20" s="220" t="n"/>
    </row>
    <row r="21" hidden="1" outlineLevel="1" s="1181">
      <c r="A21" s="175" t="inlineStr">
        <is>
          <t>E</t>
        </is>
      </c>
      <c r="B21" s="176">
        <f>IF(_epmOfflineCondition_,"C_ENTITY",EPMDimensionType(,A21))</f>
        <v/>
      </c>
      <c r="C21" s="672">
        <f>IF(_epmOfflineCondition_,"E100787",IF(B21="","",EPMContextMember(,B21)))</f>
        <v/>
      </c>
      <c r="D21" s="182">
        <f>IF(_epmOfflineCondition_,"E100787",EPMOlapMemberO(C21,"[C_ENTITY].[PARENTH1].[E100787]","E100787 - 内蒙古京能苏尼特风力发电有限公司（内蒙古分公司）","","000"))</f>
        <v/>
      </c>
      <c r="E21" s="180" t="n"/>
      <c r="I21" s="180" t="inlineStr">
        <is>
          <t>合并查询</t>
        </is>
      </c>
      <c r="J21" s="180" t="inlineStr">
        <is>
          <t>DALL</t>
        </is>
      </c>
      <c r="AD21" s="220" t="n"/>
    </row>
    <row r="22" hidden="1" outlineLevel="1" s="1181">
      <c r="A22" s="175" t="inlineStr">
        <is>
          <t>R</t>
        </is>
      </c>
      <c r="B22" s="176">
        <f>IF(_epmOfflineCondition_,"C_RPTCURRENCY",EPMDimensionType(,A22))</f>
        <v/>
      </c>
      <c r="C22" s="672">
        <f>IF(E11="G_DUMMY","LC","CNY")</f>
        <v/>
      </c>
      <c r="D22" s="182">
        <f>C22</f>
        <v/>
      </c>
      <c r="E22" s="180" t="n"/>
      <c r="AD22" s="220" t="n"/>
    </row>
    <row r="23" hidden="1" outlineLevel="1" s="1181">
      <c r="A23" s="175" t="inlineStr">
        <is>
          <t>D</t>
        </is>
      </c>
      <c r="B23" s="176">
        <f>IF(_epmOfflineCondition_,"C_AUDITTRAIL",EPMDimensionType(,A23))</f>
        <v/>
      </c>
      <c r="C23" s="672">
        <f>J18</f>
        <v/>
      </c>
      <c r="D23" s="182">
        <f>C23</f>
        <v/>
      </c>
      <c r="E23" s="182" t="inlineStr">
        <is>
          <t>D1201</t>
        </is>
      </c>
      <c r="U23" s="271" t="n"/>
      <c r="V23" s="271" t="n"/>
      <c r="AD23" s="220" t="n"/>
    </row>
    <row r="24" hidden="1" outlineLevel="1" s="1181">
      <c r="A24" s="175" t="inlineStr">
        <is>
          <t>S</t>
        </is>
      </c>
      <c r="B24" s="176">
        <f>IF(_epmOfflineCondition_,"C_FLOW",EPMDimensionType(,A24))</f>
        <v/>
      </c>
      <c r="C24" s="672">
        <f>IF(_epmOfflineCondition_,"FTOTAL",IF(B24="","",EPMContextMember(,B24)))</f>
        <v/>
      </c>
      <c r="D24" s="180" t="n"/>
      <c r="E24" s="180" t="n"/>
      <c r="U24" s="271" t="n"/>
      <c r="V24" s="271" t="n"/>
      <c r="AD24" s="220" t="n"/>
    </row>
    <row r="25" hidden="1" outlineLevel="1" s="1181">
      <c r="A25" s="175" t="inlineStr">
        <is>
          <t>I</t>
        </is>
      </c>
      <c r="B25" s="176">
        <f>IF(_epmOfflineCondition_,"C_INTERCO",EPMDimensionType(,A25))</f>
        <v/>
      </c>
      <c r="C25" s="672" t="inlineStr">
        <is>
          <t>I_DUMMY</t>
        </is>
      </c>
      <c r="D25" s="182">
        <f>IF(_epmOfflineCondition_,"I_DUMMY",EPMOlapMemberO(C25,"[C_INTERCO].[PARENTH1].[I_DUMMY]","I_DUMMY - 贸易伙伴无关","","000"))</f>
        <v/>
      </c>
      <c r="E25" s="180" t="n"/>
      <c r="U25" s="271" t="n"/>
      <c r="V25" s="271" t="n"/>
      <c r="Z25" s="178" t="inlineStr">
        <is>
          <t>C1001</t>
        </is>
      </c>
      <c r="AA25" s="178" t="inlineStr">
        <is>
          <t>C1001</t>
        </is>
      </c>
      <c r="AB25" s="178" t="inlineStr">
        <is>
          <t>C1001</t>
        </is>
      </c>
      <c r="AC25" s="178" t="n"/>
      <c r="AD25" s="178" t="n"/>
      <c r="AE25" s="178" t="inlineStr">
        <is>
          <t>C1001</t>
        </is>
      </c>
      <c r="AF25" s="178" t="n"/>
      <c r="AG25" s="178" t="n"/>
      <c r="AH25" s="178" t="inlineStr">
        <is>
          <t>C1001</t>
        </is>
      </c>
      <c r="AI25" s="178" t="n"/>
      <c r="AJ25" s="178" t="n"/>
      <c r="AK25" s="221" t="inlineStr">
        <is>
          <t>C3003</t>
        </is>
      </c>
      <c r="AL25" s="221" t="n"/>
      <c r="AM25" s="221" t="n"/>
      <c r="AN25" s="221" t="inlineStr">
        <is>
          <t>C3003</t>
        </is>
      </c>
      <c r="AO25" s="221" t="n"/>
      <c r="AP25" s="221" t="n"/>
      <c r="AQ25" s="221" t="inlineStr">
        <is>
          <t>C3003</t>
        </is>
      </c>
      <c r="AR25" s="221" t="n"/>
      <c r="AS25" s="221" t="n"/>
      <c r="AT25" s="221" t="n"/>
      <c r="AU25" s="178" t="inlineStr">
        <is>
          <t>C1001</t>
        </is>
      </c>
    </row>
    <row r="26" hidden="1" outlineLevel="1" s="1181">
      <c r="A26" s="175" t="inlineStr">
        <is>
          <t>G</t>
        </is>
      </c>
      <c r="B26" s="176">
        <f>IF(_epmOfflineCondition_,"C_SCOPE",EPMDimensionType(,A26))</f>
        <v/>
      </c>
      <c r="C26" s="182">
        <f>E11</f>
        <v/>
      </c>
      <c r="D26" s="182">
        <f>IF(_epmOfflineCondition_,"G_DUMMY",EPMOlapMemberO(C26,"[C_SCOPE].[PARENTH1].[G_DUMMY]","G_DUMMY - 合并范围无关","","000"))</f>
        <v/>
      </c>
      <c r="E26" s="180" t="n"/>
      <c r="U26" s="271" t="n"/>
      <c r="V26" s="271" t="n"/>
      <c r="Z26" s="178">
        <f>$I$11</f>
        <v/>
      </c>
      <c r="AA26" s="178">
        <f>$I$11</f>
        <v/>
      </c>
      <c r="AB26" s="200">
        <f>$I$13</f>
        <v/>
      </c>
      <c r="AC26" s="178" t="n"/>
      <c r="AD26" s="178" t="n"/>
      <c r="AE26" s="200">
        <f>$I$12</f>
        <v/>
      </c>
      <c r="AF26" s="200" t="n"/>
      <c r="AG26" s="178" t="n"/>
      <c r="AH26" s="200">
        <f>$I$13</f>
        <v/>
      </c>
      <c r="AI26" s="200" t="n"/>
      <c r="AJ26" s="200" t="n"/>
      <c r="AK26" s="221">
        <f>$I$11</f>
        <v/>
      </c>
      <c r="AL26" s="221" t="n"/>
      <c r="AM26" s="438" t="n"/>
      <c r="AN26" s="221">
        <f>$I$11</f>
        <v/>
      </c>
      <c r="AO26" s="438" t="n"/>
      <c r="AP26" s="438" t="n"/>
      <c r="AQ26" s="221">
        <f>$I$11</f>
        <v/>
      </c>
      <c r="AR26" s="221" t="n"/>
      <c r="AS26" s="438" t="n"/>
      <c r="AT26" s="438" t="n"/>
      <c r="AU26" s="200">
        <f>$I$12</f>
        <v/>
      </c>
    </row>
    <row r="27" hidden="1" outlineLevel="1" s="1181">
      <c r="A27" s="175" t="inlineStr">
        <is>
          <t>U8</t>
        </is>
      </c>
      <c r="B27" s="176">
        <f>IF(_epmOfflineCondition_,"C_PROJECT",EPMDimensionType(,A27))</f>
        <v/>
      </c>
      <c r="C27" s="180" t="inlineStr">
        <is>
          <t>ZP_DUMMY</t>
        </is>
      </c>
      <c r="D27" s="182">
        <f>IF(_epmOfflineCondition_,"ZP_DUMMY",EPMOlapMemberO(C27,"[C_PROJECT].[PARENTH1].[ZP_DUMMY]","ZP_DUMMY - 项目无关","","000"))</f>
        <v/>
      </c>
      <c r="E27" s="180" t="n"/>
      <c r="U27" s="271" t="n"/>
      <c r="V27" s="271" t="n"/>
      <c r="X27" s="13" t="n"/>
      <c r="Z27" s="200" t="inlineStr">
        <is>
          <t>YTD</t>
        </is>
      </c>
      <c r="AA27" s="200" t="inlineStr">
        <is>
          <t>YTD</t>
        </is>
      </c>
      <c r="AB27" s="200" t="inlineStr">
        <is>
          <t>YTD</t>
        </is>
      </c>
      <c r="AC27" s="200" t="n"/>
      <c r="AD27" s="200" t="n"/>
      <c r="AE27" s="200" t="inlineStr">
        <is>
          <t>YTD</t>
        </is>
      </c>
      <c r="AF27" s="200" t="n"/>
      <c r="AG27" s="200" t="n"/>
      <c r="AH27" s="200" t="inlineStr">
        <is>
          <t>YTD</t>
        </is>
      </c>
      <c r="AI27" s="200" t="n"/>
      <c r="AJ27" s="200" t="n"/>
      <c r="AK27" s="228" t="inlineStr">
        <is>
          <t>Periodic</t>
        </is>
      </c>
      <c r="AL27" s="438" t="n"/>
      <c r="AM27" s="438" t="n"/>
      <c r="AN27" s="228" t="inlineStr">
        <is>
          <t>Periodic</t>
        </is>
      </c>
      <c r="AO27" s="438" t="n"/>
      <c r="AP27" s="438" t="n"/>
      <c r="AQ27" s="228" t="inlineStr">
        <is>
          <t>YTD</t>
        </is>
      </c>
      <c r="AR27" s="228" t="n"/>
      <c r="AS27" s="438" t="n"/>
      <c r="AT27" s="438" t="n"/>
      <c r="AU27" s="200" t="inlineStr">
        <is>
          <t>YTD</t>
        </is>
      </c>
    </row>
    <row r="28" hidden="1" outlineLevel="1" s="1181">
      <c r="A28" s="175" t="inlineStr">
        <is>
          <t>U9</t>
        </is>
      </c>
      <c r="B28" s="176">
        <f>IF(_epmOfflineCondition_,"C_ITEM",EPMDimensionType(,A28))</f>
        <v/>
      </c>
      <c r="C28" s="180" t="inlineStr">
        <is>
          <t>ZI_DUMMY</t>
        </is>
      </c>
      <c r="D28" s="182">
        <f>IF(_epmOfflineCondition_,"ZI_DUMMY",EPMOlapMemberO(C28,"[C_ITEM].[PARENTH1].[ZI_DUMMY]","ZI_DUMMY - 与子项无关","","000"))</f>
        <v/>
      </c>
      <c r="E28" s="180" t="n"/>
      <c r="S28" s="13" t="n"/>
      <c r="U28" s="271" t="n"/>
      <c r="V28" s="271" t="n"/>
      <c r="Z28" s="200" t="inlineStr">
        <is>
          <t>F20</t>
        </is>
      </c>
      <c r="AA28" s="200" t="inlineStr">
        <is>
          <t>F20</t>
        </is>
      </c>
      <c r="AB28" s="200" t="inlineStr">
        <is>
          <t>F20</t>
        </is>
      </c>
      <c r="AC28" s="200" t="n"/>
      <c r="AD28" s="200" t="n"/>
      <c r="AE28" s="200" t="inlineStr">
        <is>
          <t>F20</t>
        </is>
      </c>
      <c r="AF28" s="200" t="n"/>
      <c r="AG28" s="200" t="n"/>
      <c r="AH28" s="200" t="inlineStr">
        <is>
          <t>F20</t>
        </is>
      </c>
      <c r="AI28" s="200" t="n"/>
      <c r="AJ28" s="200" t="n"/>
      <c r="AK28" s="438" t="inlineStr">
        <is>
          <t>F20</t>
        </is>
      </c>
      <c r="AL28" s="438" t="n"/>
      <c r="AM28" s="438" t="n"/>
      <c r="AN28" s="438" t="inlineStr">
        <is>
          <t>F20</t>
        </is>
      </c>
      <c r="AO28" s="438" t="n"/>
      <c r="AP28" s="438" t="n"/>
      <c r="AQ28" s="438" t="inlineStr">
        <is>
          <t>F20</t>
        </is>
      </c>
      <c r="AR28" s="438" t="n"/>
      <c r="AS28" s="438" t="n"/>
      <c r="AT28" s="438" t="n"/>
      <c r="AU28" s="200" t="inlineStr">
        <is>
          <t>F20</t>
        </is>
      </c>
    </row>
    <row r="29" hidden="1" outlineLevel="1" s="1181">
      <c r="A29" s="175" t="inlineStr">
        <is>
          <t>U10</t>
        </is>
      </c>
      <c r="B29" s="176">
        <f>IF(_epmOfflineCondition_,"C_MISK",EPMDimensionType(,A29))</f>
        <v/>
      </c>
      <c r="C29" s="672" t="inlineStr">
        <is>
          <t>ZM_DUMMY</t>
        </is>
      </c>
      <c r="D29" s="182" t="n"/>
      <c r="E29" s="180" t="n"/>
      <c r="U29" s="271" t="n"/>
      <c r="V29" s="271" t="n"/>
      <c r="Z29" s="178" t="inlineStr">
        <is>
          <t>ZM09901</t>
        </is>
      </c>
      <c r="AA29" s="178" t="inlineStr">
        <is>
          <t>ZM09902</t>
        </is>
      </c>
      <c r="AB29" s="178" t="inlineStr">
        <is>
          <t>ZM09902</t>
        </is>
      </c>
      <c r="AC29" s="178" t="n"/>
      <c r="AD29" s="178" t="n"/>
      <c r="AE29" s="178" t="inlineStr">
        <is>
          <t>ZM09901</t>
        </is>
      </c>
      <c r="AF29" s="178" t="n"/>
      <c r="AG29" s="178" t="n"/>
      <c r="AH29" s="178" t="inlineStr">
        <is>
          <t>ZM09901</t>
        </is>
      </c>
      <c r="AI29" s="178" t="n"/>
      <c r="AJ29" s="178" t="n"/>
      <c r="AK29" s="229" t="inlineStr">
        <is>
          <t>ZM09901</t>
        </is>
      </c>
      <c r="AL29" s="221" t="n"/>
      <c r="AM29" s="221" t="n"/>
      <c r="AN29" s="229" t="inlineStr">
        <is>
          <t>ZM09901</t>
        </is>
      </c>
      <c r="AO29" s="221" t="n"/>
      <c r="AP29" s="221" t="n"/>
      <c r="AQ29" s="229" t="inlineStr">
        <is>
          <t>ZM09902</t>
        </is>
      </c>
      <c r="AR29" s="229" t="n"/>
      <c r="AS29" s="221" t="n"/>
      <c r="AT29" s="221" t="n"/>
      <c r="AU29" s="178" t="inlineStr">
        <is>
          <t>ZM09902</t>
        </is>
      </c>
    </row>
    <row r="30" hidden="1" outlineLevel="1" s="1181">
      <c r="A30" s="175" t="n"/>
      <c r="B30" s="175">
        <f>IF(_epmOfflineCondition_,"",EPMDimensionType(,A30))</f>
        <v/>
      </c>
      <c r="C30" s="182" t="inlineStr">
        <is>
          <t>PERIODIC</t>
        </is>
      </c>
      <c r="D30" s="180" t="n"/>
      <c r="E30" s="180" t="n"/>
      <c r="S30" s="13" t="n"/>
      <c r="U30" s="271" t="n"/>
      <c r="V30" s="271" t="n"/>
      <c r="Z30" s="13">
        <f>$C$22</f>
        <v/>
      </c>
      <c r="AA30" s="13">
        <f>$C$22</f>
        <v/>
      </c>
      <c r="AB30" s="13">
        <f>$C$22</f>
        <v/>
      </c>
      <c r="AD30" s="220" t="n"/>
      <c r="AE30" s="221">
        <f>$C$22</f>
        <v/>
      </c>
      <c r="AH30" s="221">
        <f>$C$22</f>
        <v/>
      </c>
      <c r="AK30" s="221" t="inlineStr">
        <is>
          <t>CNY</t>
        </is>
      </c>
      <c r="AL30" s="438" t="n"/>
      <c r="AM30" s="438" t="n"/>
      <c r="AN30" s="221" t="inlineStr">
        <is>
          <t>CNY</t>
        </is>
      </c>
      <c r="AO30" s="438" t="n"/>
      <c r="AP30" s="438" t="n"/>
      <c r="AQ30" s="221" t="inlineStr">
        <is>
          <t>CNY</t>
        </is>
      </c>
      <c r="AR30" s="221" t="n"/>
      <c r="AS30" s="438" t="n"/>
      <c r="AT30" s="438" t="n"/>
      <c r="AU30" s="221">
        <f>$C$22</f>
        <v/>
      </c>
    </row>
    <row r="31" hidden="1" outlineLevel="1" s="1181">
      <c r="B31" s="1103" t="n"/>
      <c r="C31" s="1103" t="n"/>
      <c r="D31" s="1103" t="n"/>
      <c r="S31" s="13" t="n"/>
      <c r="U31" s="271" t="n"/>
      <c r="V31" s="271" t="n"/>
      <c r="Z31" s="13">
        <f>$J$18</f>
        <v/>
      </c>
      <c r="AA31" s="13">
        <f>$J$18</f>
        <v/>
      </c>
      <c r="AB31" s="13">
        <f>$J$18</f>
        <v/>
      </c>
      <c r="AD31" s="220" t="n"/>
      <c r="AE31" s="13">
        <f>$J$18</f>
        <v/>
      </c>
      <c r="AH31" s="13">
        <f>$J$18</f>
        <v/>
      </c>
      <c r="AK31" s="13" t="inlineStr">
        <is>
          <t>D1201</t>
        </is>
      </c>
      <c r="AN31" s="13" t="inlineStr">
        <is>
          <t>D1201</t>
        </is>
      </c>
      <c r="AQ31" s="13" t="inlineStr">
        <is>
          <t>D1201</t>
        </is>
      </c>
      <c r="AU31" s="13">
        <f>$J$18</f>
        <v/>
      </c>
    </row>
    <row r="32" hidden="1" outlineLevel="1" ht="15.75" customHeight="1" s="1181">
      <c r="B32" s="1103" t="n"/>
      <c r="C32" s="1103" t="n"/>
      <c r="D32" s="1103" t="n"/>
      <c r="S32" s="13" t="n"/>
      <c r="AD32" s="220" t="n"/>
    </row>
    <row r="33" collapsed="1" ht="6" customHeight="1" s="1181">
      <c r="B33" s="1103" t="n"/>
      <c r="C33" s="1103" t="n"/>
      <c r="D33" s="1103" t="n"/>
      <c r="S33" s="13" t="n"/>
      <c r="AD33" s="220" t="n"/>
    </row>
    <row r="34" ht="10.5" customHeight="1" s="1181">
      <c r="B34" s="1103" t="n"/>
      <c r="C34" s="1103" t="n"/>
      <c r="D34" s="1103" t="n"/>
      <c r="S34" s="13" t="n"/>
      <c r="AD34" s="220" t="n"/>
    </row>
    <row r="35" ht="32.25" customHeight="1" s="1181">
      <c r="AB35" s="201" t="inlineStr">
        <is>
          <t>生产业务指标表（发电企业）</t>
        </is>
      </c>
    </row>
    <row r="36" customFormat="1" s="716">
      <c r="S36" s="462" t="n"/>
      <c r="X36" s="190">
        <f>IF(_epmOfflineCondition_,"编制单位：内蒙古京能苏尼特风力发电有限公司（内蒙古分公司）","编制单位："&amp;EPMMemberDesc($D$6))</f>
        <v/>
      </c>
      <c r="Z36" s="202" t="inlineStr">
        <is>
          <t>🔺外币单位请直接填写折算后的人民币数。</t>
        </is>
      </c>
      <c r="AA36" s="203" t="n"/>
      <c r="AU36" s="203" t="n"/>
    </row>
    <row r="37" ht="15.2" customFormat="1" customHeight="1" s="716">
      <c r="S37" s="462" t="n"/>
      <c r="X37" s="190">
        <f>"编制月份："&amp;$I$3&amp;"年"&amp;$I$8&amp;"月"</f>
        <v/>
      </c>
      <c r="Z37" s="204" t="inlineStr">
        <is>
          <t>审计线索：</t>
        </is>
      </c>
      <c r="AA37" s="205" t="inlineStr">
        <is>
          <t>单体录入</t>
        </is>
      </c>
      <c r="AD37" s="1480" t="n"/>
      <c r="AE37" s="223" t="inlineStr">
        <is>
          <t>金额单位：元</t>
        </is>
      </c>
    </row>
    <row r="38" ht="10.35" customFormat="1" customHeight="1" s="716">
      <c r="S38" s="462" t="n"/>
      <c r="X38" s="190" t="n"/>
      <c r="AA38" s="203" t="n"/>
      <c r="AU38" s="203" t="n"/>
    </row>
    <row r="39" ht="16.5" customFormat="1" customHeight="1" s="716">
      <c r="S39" s="462" t="n"/>
      <c r="X39" s="1481" t="inlineStr">
        <is>
          <t>项      目</t>
        </is>
      </c>
      <c r="Y39" s="1482" t="inlineStr">
        <is>
          <t>单位</t>
        </is>
      </c>
      <c r="Z39" s="1483" t="inlineStr">
        <is>
          <t>本年实际</t>
        </is>
      </c>
      <c r="AA39" s="1484" t="n"/>
      <c r="AB39" s="1485" t="inlineStr">
        <is>
          <t>本年累计对比上年同期累计</t>
        </is>
      </c>
      <c r="AC39" s="1401" t="n"/>
      <c r="AD39" s="1402" t="n"/>
      <c r="AE39" s="1485" t="inlineStr">
        <is>
          <t>本月对比上月</t>
        </is>
      </c>
      <c r="AF39" s="1401" t="n"/>
      <c r="AG39" s="1402" t="n"/>
      <c r="AH39" s="1485" t="inlineStr">
        <is>
          <t>本月对比上年同期</t>
        </is>
      </c>
      <c r="AI39" s="1401" t="n"/>
      <c r="AJ39" s="1402" t="n"/>
      <c r="AK39" s="1485" t="inlineStr">
        <is>
          <t>本月预算完成情况</t>
        </is>
      </c>
      <c r="AL39" s="1401" t="n"/>
      <c r="AM39" s="1402" t="n"/>
      <c r="AN39" s="1485" t="inlineStr">
        <is>
          <t>进度预算完成情况</t>
        </is>
      </c>
      <c r="AO39" s="1401" t="n"/>
      <c r="AP39" s="1402" t="n"/>
      <c r="AQ39" s="1486" t="inlineStr">
        <is>
          <t>年度预算完成情况</t>
        </is>
      </c>
      <c r="AR39" s="1401" t="n"/>
      <c r="AS39" s="1401" t="n"/>
      <c r="AT39" s="1451" t="n"/>
      <c r="AU39" s="1487" t="inlineStr">
        <is>
          <t>本年累计(截止到上月累计数）,用于计算本月数，隐藏。</t>
        </is>
      </c>
    </row>
    <row r="40" ht="16.35" customFormat="1" customHeight="1" s="716">
      <c r="S40" s="462" t="n"/>
      <c r="X40" s="1276" t="n"/>
      <c r="Y40" s="1488" t="n"/>
      <c r="Z40" s="1489" t="inlineStr">
        <is>
          <t>本月数</t>
        </is>
      </c>
      <c r="AA40" s="1489" t="inlineStr">
        <is>
          <t>本年累计</t>
        </is>
      </c>
      <c r="AB40" s="1489" t="inlineStr">
        <is>
          <t>上年同期累计</t>
        </is>
      </c>
      <c r="AC40" s="1489" t="inlineStr">
        <is>
          <t>增减额</t>
        </is>
      </c>
      <c r="AD40" s="1489" t="inlineStr">
        <is>
          <t>增减%</t>
        </is>
      </c>
      <c r="AE40" s="1489" t="inlineStr">
        <is>
          <t>上月数</t>
        </is>
      </c>
      <c r="AF40" s="1489" t="inlineStr">
        <is>
          <t>增减额</t>
        </is>
      </c>
      <c r="AG40" s="1489" t="inlineStr">
        <is>
          <t>增减%</t>
        </is>
      </c>
      <c r="AH40" s="1489" t="inlineStr">
        <is>
          <t>上年同期</t>
        </is>
      </c>
      <c r="AI40" s="1489" t="inlineStr">
        <is>
          <t>增减额</t>
        </is>
      </c>
      <c r="AJ40" s="1489" t="inlineStr">
        <is>
          <t>增减%</t>
        </is>
      </c>
      <c r="AK40" s="1489" t="inlineStr">
        <is>
          <t>月度预算</t>
        </is>
      </c>
      <c r="AL40" s="1489" t="inlineStr">
        <is>
          <t>增减额</t>
        </is>
      </c>
      <c r="AM40" s="1489" t="inlineStr">
        <is>
          <t>完成预算%</t>
        </is>
      </c>
      <c r="AN40" s="1489" t="inlineStr">
        <is>
          <t>进度预算</t>
        </is>
      </c>
      <c r="AO40" s="1489" t="inlineStr">
        <is>
          <t>增减额</t>
        </is>
      </c>
      <c r="AP40" s="1489" t="inlineStr">
        <is>
          <t>完成预算%</t>
        </is>
      </c>
      <c r="AQ40" s="1489" t="inlineStr">
        <is>
          <t>本年预算数</t>
        </is>
      </c>
      <c r="AR40" s="1489" t="inlineStr">
        <is>
          <t>本年预算数</t>
        </is>
      </c>
      <c r="AS40" s="1489" t="inlineStr">
        <is>
          <t>增减额</t>
        </is>
      </c>
      <c r="AT40" s="1490" t="inlineStr">
        <is>
          <t>完成预算%</t>
        </is>
      </c>
      <c r="AU40" s="1491" t="n"/>
    </row>
    <row r="41" hidden="1" outlineLevel="1" ht="16.5" customFormat="1" customHeight="1" s="716">
      <c r="S41" s="462" t="n"/>
      <c r="X41" s="192" t="n"/>
      <c r="Y41" s="197" t="n"/>
      <c r="Z41" s="1492" t="n"/>
      <c r="AA41" s="1492" t="n"/>
      <c r="AB41" s="1492" t="n"/>
      <c r="AC41" s="1492" t="n"/>
      <c r="AD41" s="1492" t="n"/>
      <c r="AE41" s="1492" t="n"/>
      <c r="AF41" s="1492" t="n"/>
      <c r="AG41" s="1492" t="n"/>
      <c r="AH41" s="1492" t="n"/>
      <c r="AI41" s="1492" t="n"/>
      <c r="AJ41" s="1492" t="n"/>
      <c r="AK41" s="1492" t="n"/>
      <c r="AL41" s="1492" t="n"/>
      <c r="AM41" s="1492" t="n"/>
      <c r="AN41" s="1492" t="n"/>
      <c r="AO41" s="1492" t="n"/>
      <c r="AP41" s="1492" t="n"/>
      <c r="AQ41" s="1492" t="n"/>
      <c r="AR41" s="1492" t="n"/>
      <c r="AS41" s="1492" t="n"/>
      <c r="AT41" s="1493" t="n"/>
      <c r="AU41" s="1494" t="n"/>
    </row>
    <row r="42" hidden="1" outlineLevel="1" ht="16.5" customFormat="1" customHeight="1" s="716">
      <c r="S42" s="462" t="n"/>
      <c r="X42" s="538" t="inlineStr">
        <is>
          <t>measures</t>
        </is>
      </c>
      <c r="Y42" s="197" t="n"/>
      <c r="Z42" s="451">
        <f>IF(_epmOfflineCondition_,"YTD",EPMOlapMemberO(Z$27,"[MEASURES].[].[YTD]","YTD - Year To Date","","000"))</f>
        <v/>
      </c>
      <c r="AA42" s="451">
        <f>IF(_epmOfflineCondition_,"YTD",EPMOlapMemberO(AA$27,"[MEASURES].[].[YTD]","YTD - Year To Date","","000"))</f>
        <v/>
      </c>
      <c r="AB42" s="451">
        <f>IF(_epmOfflineCondition_,"YTD",EPMOlapMemberO(AB$27,"[MEASURES].[].[YTD]","YTD - Year To Date","","000"))</f>
        <v/>
      </c>
      <c r="AC42" s="1492" t="n"/>
      <c r="AD42" s="1492" t="n"/>
      <c r="AE42" s="451">
        <f>IF(_epmOfflineCondition_,"YTD",EPMOlapMemberO(AE$27,"[MEASURES].[].[YTD]","YTD - Year To Date","","000"))</f>
        <v/>
      </c>
      <c r="AF42" s="1492" t="n"/>
      <c r="AG42" s="1492" t="n"/>
      <c r="AH42" s="451">
        <f>IF(_epmOfflineCondition_,"YTD",EPMOlapMemberO(AH$27,"[MEASURES].[].[YTD]","YTD - Year To Date","","000"))</f>
        <v/>
      </c>
      <c r="AI42" s="1492" t="n"/>
      <c r="AJ42" s="1492" t="n"/>
      <c r="AK42" s="451">
        <f>IF(_epmOfflineCondition_,"Periodic",EPMOlapMemberO(AK$27,"[MEASURES].[].[PERIODIC]","PERIODIC - Periodic","","000"))</f>
        <v/>
      </c>
      <c r="AL42" s="1492" t="n"/>
      <c r="AM42" s="1492" t="n"/>
      <c r="AN42" s="451">
        <f>IF(_epmOfflineCondition_,"Periodic",EPMOlapMemberO(AN$27,"[MEASURES].[].[PERIODIC]","PERIODIC - Periodic","","000"))</f>
        <v/>
      </c>
      <c r="AO42" s="1492" t="n"/>
      <c r="AP42" s="1492" t="n"/>
      <c r="AQ42" s="451">
        <f>IF(_epmOfflineCondition_,"YTD",EPMOlapMemberO(AQ$27,"[MEASURES].[].[YTD]","YTD - Year To Date","","000"))</f>
        <v/>
      </c>
      <c r="AR42" s="451" t="n"/>
      <c r="AS42" s="1492" t="n"/>
      <c r="AT42" s="1493" t="n"/>
      <c r="AU42" s="451">
        <f>IF(_epmOfflineCondition_,"YTD",EPMOlapMemberO(AU$27,"[MEASURES].[].[YTD]","YTD - Year To Date","","000"))</f>
        <v/>
      </c>
    </row>
    <row r="43" hidden="1" outlineLevel="1" ht="16.5" customFormat="1" customHeight="1" s="716">
      <c r="S43" s="462" t="n"/>
      <c r="X43" s="538" t="inlineStr">
        <is>
          <t>time</t>
        </is>
      </c>
      <c r="Y43" s="197" t="n"/>
      <c r="Z43" s="451">
        <f>IF(_epmOfflineCondition_,"2025.03",EPMOlapMemberO(Z$26,"[C_TIME].[PARENTH1].[2025.03]","2025.03 - 2025.03","","000"))</f>
        <v/>
      </c>
      <c r="AA43" s="451">
        <f>IF(_epmOfflineCondition_,"2025.03",EPMOlapMemberO(AA$26,"[C_TIME].[PARENTH1].[2025.03]","2025.03 - 2025.03","","000"))</f>
        <v/>
      </c>
      <c r="AB43" s="451">
        <f>IF(_epmOfflineCondition_,"2024.03",EPMOlapMemberO(AB$26,"[C_TIME].[PARENTH1].[2024.03]","2024.03 - 2024.03","","000"))</f>
        <v/>
      </c>
      <c r="AC43" s="1492" t="n"/>
      <c r="AD43" s="1492" t="n"/>
      <c r="AE43" s="451">
        <f>IF(_epmOfflineCondition_,"2025.02",EPMOlapMemberO(AE$26,"[C_TIME].[PARENTH1].[2025.02]","2025.02 - 2025.02","","000"))</f>
        <v/>
      </c>
      <c r="AF43" s="1492" t="n"/>
      <c r="AG43" s="1492" t="n"/>
      <c r="AH43" s="451">
        <f>IF(_epmOfflineCondition_,"2024.03",EPMOlapMemberO(AH$26,"[C_TIME].[PARENTH1].[2024.03]","2024.03 - 2024.03","","000"))</f>
        <v/>
      </c>
      <c r="AI43" s="1492" t="n"/>
      <c r="AJ43" s="1492" t="n"/>
      <c r="AK43" s="451">
        <f>IF(_epmOfflineCondition_,"2025.03",EPMOlapMemberO(AK$26,"[C_TIME].[PARENTH1].[2025.03]","2025.03 - 2025.03","","000"))</f>
        <v/>
      </c>
      <c r="AL43" s="1492" t="n"/>
      <c r="AM43" s="1492" t="n"/>
      <c r="AN43" s="451">
        <f>IF(_epmOfflineCondition_,"2025.03",EPMOlapMemberO(AN$26,"[C_TIME].[PARENTH1].[2025.03]","2025.03 - 2025.03","","000"))</f>
        <v/>
      </c>
      <c r="AO43" s="1492" t="n"/>
      <c r="AP43" s="1492" t="n"/>
      <c r="AQ43" s="451">
        <f>IF(_epmOfflineCondition_,"2025.03",EPMOlapMemberO(AQ$26,"[C_TIME].[PARENTH1].[2025.03]","2025.03 - 2025.03","","000"))</f>
        <v/>
      </c>
      <c r="AR43" s="451" t="n"/>
      <c r="AS43" s="1492" t="n"/>
      <c r="AT43" s="1493" t="n"/>
      <c r="AU43" s="451">
        <f>IF(_epmOfflineCondition_,"2025.02",EPMOlapMemberO(AU$26,"[C_TIME].[PARENTH1].[2025.02]","2025.02 - 2025.02","","000"))</f>
        <v/>
      </c>
    </row>
    <row r="44" hidden="1" outlineLevel="1" ht="15.2" customFormat="1" customHeight="1" s="716">
      <c r="S44" s="462" t="n"/>
      <c r="U44" s="194" t="n"/>
      <c r="V44" s="194" t="n"/>
      <c r="X44" s="538" t="inlineStr">
        <is>
          <t>category</t>
        </is>
      </c>
      <c r="Y44" s="204" t="n"/>
      <c r="Z44" s="767">
        <f>IF(_epmOfflineCondition_,"C1001",EPMOlapMemberO(Z$25,"[C_CATEGORY].[PARENTH1].[C1001]","C1001 - 实际数/决算数","","000"))</f>
        <v/>
      </c>
      <c r="AA44" s="767">
        <f>IF(_epmOfflineCondition_,"C1001",EPMOlapMemberO(AA$25,"[C_CATEGORY].[PARENTH1].[C1001]","C1001 - 实际数/决算数","","000"))</f>
        <v/>
      </c>
      <c r="AB44" s="767">
        <f>IF(_epmOfflineCondition_,"C1001",EPMOlapMemberO(AB$25,"[C_CATEGORY].[PARENTH1].[C1001]","C1001 - 实际数/决算数","","000"))</f>
        <v/>
      </c>
      <c r="AC44" s="204" t="n"/>
      <c r="AD44" s="204" t="n"/>
      <c r="AE44" s="767">
        <f>IF(_epmOfflineCondition_,"C1001",EPMOlapMemberO(AE$25,"[C_CATEGORY].[PARENTH1].[C1001]","C1001 - 实际数/决算数","","000"))</f>
        <v/>
      </c>
      <c r="AF44" s="204" t="n"/>
      <c r="AG44" s="204" t="n"/>
      <c r="AH44" s="767">
        <f>IF(_epmOfflineCondition_,"C1001",EPMOlapMemberO(AH$25,"[C_CATEGORY].[PARENTH1].[C1001]","C1001 - 实际数/决算数","","000"))</f>
        <v/>
      </c>
      <c r="AI44" s="204" t="n"/>
      <c r="AJ44" s="204" t="n"/>
      <c r="AK44" s="767">
        <f>IF(_epmOfflineCondition_,"C3003",EPMOlapMemberO(AK$25,"[C_CATEGORY].[PARENTH1].[C3003]","C3003 - 进度预算（原""预算数（分解版）"")","","000"))</f>
        <v/>
      </c>
      <c r="AL44" s="204" t="n"/>
      <c r="AM44" s="204" t="n"/>
      <c r="AN44" s="767">
        <f>IF(_epmOfflineCondition_,"C3003",EPMOlapMemberO(AN$25,"[C_CATEGORY].[PARENTH1].[C3003]","C3003 - 进度预算（原""预算数（分解版）"")","","000"))</f>
        <v/>
      </c>
      <c r="AO44" s="182" t="n"/>
      <c r="AP44" s="182" t="n"/>
      <c r="AQ44" s="767">
        <f>IF(_epmOfflineCondition_,"C3003",EPMOlapMemberO(AQ$25,"[C_CATEGORY].[PARENTH1].[C3003]","C3003 - 进度预算（原""预算数（分解版）"")","","000"))</f>
        <v/>
      </c>
      <c r="AR44" s="767" t="n"/>
      <c r="AS44" s="182" t="n"/>
      <c r="AT44" s="899" t="n"/>
      <c r="AU44" s="767">
        <f>IF(_epmOfflineCondition_,"C1001",EPMOlapMemberO(AU$25,"[C_CATEGORY].[PARENTH1].[C1001]","C1001 - 实际数/决算数","","000"))</f>
        <v/>
      </c>
    </row>
    <row r="45" hidden="1" outlineLevel="1" ht="14.25" customFormat="1" customHeight="1" s="462">
      <c r="U45" s="194" t="n"/>
      <c r="V45" s="194" t="n"/>
      <c r="X45" s="538" t="inlineStr">
        <is>
          <t>FLow</t>
        </is>
      </c>
      <c r="Y45" s="214" t="n"/>
      <c r="Z45" s="215">
        <f>IF(_epmOfflineCondition_,"F20",EPMOlapMemberO(Z$28,"[C_FLOW].[PARENTH1].[F20]","F20 - 本期增加","","000"))</f>
        <v/>
      </c>
      <c r="AA45" s="215">
        <f>IF(_epmOfflineCondition_,"F20",EPMOlapMemberO(AA$28,"[C_FLOW].[PARENTH1].[F20]","F20 - 本期增加","","000"))</f>
        <v/>
      </c>
      <c r="AB45" s="215">
        <f>IF(_epmOfflineCondition_,"F20",EPMOlapMemberO(AB$28,"[C_FLOW].[PARENTH1].[F20]","F20 - 本期增加","","000"))</f>
        <v/>
      </c>
      <c r="AC45" s="214" t="n"/>
      <c r="AD45" s="214" t="n"/>
      <c r="AE45" s="215">
        <f>IF(_epmOfflineCondition_,"F20",EPMOlapMemberO(AE$28,"[C_FLOW].[PARENTH1].[F20]","F20 - 本期增加","","000"))</f>
        <v/>
      </c>
      <c r="AF45" s="214" t="n"/>
      <c r="AG45" s="214" t="n"/>
      <c r="AH45" s="215">
        <f>IF(_epmOfflineCondition_,"F20",EPMOlapMemberO(AH$28,"[C_FLOW].[PARENTH1].[F20]","F20 - 本期增加","","000"))</f>
        <v/>
      </c>
      <c r="AI45" s="214" t="n"/>
      <c r="AJ45" s="214" t="n"/>
      <c r="AK45" s="215">
        <f>IF(_epmOfflineCondition_,"F20",EPMOlapMemberO(AK$28,"[C_FLOW].[PARENTH1].[F20]","F20 - 本期增加","","000"))</f>
        <v/>
      </c>
      <c r="AL45" s="214" t="n"/>
      <c r="AM45" s="214" t="n"/>
      <c r="AN45" s="215">
        <f>IF(_epmOfflineCondition_,"F20",EPMOlapMemberO(AN$28,"[C_FLOW].[PARENTH1].[F20]","F20 - 本期增加","","000"))</f>
        <v/>
      </c>
      <c r="AO45" s="182" t="n"/>
      <c r="AP45" s="182" t="n"/>
      <c r="AQ45" s="215">
        <f>IF(_epmOfflineCondition_,"F20",EPMOlapMemberO(AQ$28,"[C_FLOW].[PARENTH1].[F20]","F20 - 本期增加","","000"))</f>
        <v/>
      </c>
      <c r="AR45" s="215" t="n"/>
      <c r="AS45" s="182" t="n"/>
      <c r="AT45" s="899" t="n"/>
      <c r="AU45" s="215">
        <f>IF(_epmOfflineCondition_,"F20",EPMOlapMemberO(AU$28,"[C_FLOW].[PARENTH1].[F20]","F20 - 本期增加","","000"))</f>
        <v/>
      </c>
    </row>
    <row r="46" hidden="1" outlineLevel="1" ht="14.25" customFormat="1" customHeight="1" s="716">
      <c r="S46" s="462" t="n"/>
      <c r="U46" s="194" t="n"/>
      <c r="V46" s="194" t="n"/>
      <c r="X46" s="538" t="inlineStr">
        <is>
          <t>misk</t>
        </is>
      </c>
      <c r="Y46" s="204" t="n"/>
      <c r="Z46" s="767">
        <f>IF(_epmOfflineCondition_,"ZM09901",EPMOlapMemberO(Z$29,"[C_MISK].[PARENTH1].[ZM09901]","ZM09901 - 本月数","","000"))</f>
        <v/>
      </c>
      <c r="AA46" s="767">
        <f>IF(_epmOfflineCondition_,"ZM09902",EPMOlapMemberO(AA$29,"[C_MISK].[PARENTH1].[ZM09902]","ZM09902 - 本年累计","","000"))</f>
        <v/>
      </c>
      <c r="AB46" s="767">
        <f>IF(_epmOfflineCondition_,"ZM09902",EPMOlapMemberO(AB$29,"[C_MISK].[PARENTH1].[ZM09902]","ZM09902 - 本年累计","","000"))</f>
        <v/>
      </c>
      <c r="AC46" s="204" t="n"/>
      <c r="AD46" s="204" t="n"/>
      <c r="AE46" s="767">
        <f>IF(_epmOfflineCondition_,"ZM09901",EPMOlapMemberO(AE$29,"[C_MISK].[PARENTH1].[ZM09901]","ZM09901 - 本月数","","000"))</f>
        <v/>
      </c>
      <c r="AF46" s="204" t="n"/>
      <c r="AG46" s="204" t="n"/>
      <c r="AH46" s="767">
        <f>IF(_epmOfflineCondition_,"ZM09901",EPMOlapMemberO(AH$29,"[C_MISK].[PARENTH1].[ZM09901]","ZM09901 - 本月数","","000"))</f>
        <v/>
      </c>
      <c r="AI46" s="204" t="n"/>
      <c r="AJ46" s="204" t="n"/>
      <c r="AK46" s="767">
        <f>IF(_epmOfflineCondition_,"ZM09901",EPMOlapMemberO(AK$29,"[C_MISK].[PARENTH1].[ZM09901]","ZM09901 - 本月数","","000"))</f>
        <v/>
      </c>
      <c r="AL46" s="204" t="n"/>
      <c r="AM46" s="204" t="n"/>
      <c r="AN46" s="767">
        <f>IF(_epmOfflineCondition_,"ZM09901",EPMOlapMemberO(AN$29,"[C_MISK].[PARENTH1].[ZM09901]","ZM09901 - 本月数","","000"))</f>
        <v/>
      </c>
      <c r="AO46" s="182" t="n"/>
      <c r="AP46" s="182" t="n"/>
      <c r="AQ46" s="767">
        <f>IF(_epmOfflineCondition_,"ZM09902",EPMOlapMemberO(AQ$29,"[C_MISK].[PARENTH1].[ZM09902]","ZM09902 - 本年累计","","000"))</f>
        <v/>
      </c>
      <c r="AR46" s="767" t="n"/>
      <c r="AS46" s="182" t="n"/>
      <c r="AT46" s="899" t="n"/>
      <c r="AU46" s="767">
        <f>IF(_epmOfflineCondition_,"ZM09902",EPMOlapMemberO(AU$29,"[C_MISK].[PARENTH1].[ZM09902]","ZM09902 - 本年累计","","000"))</f>
        <v/>
      </c>
    </row>
    <row r="47" hidden="1" outlineLevel="1" ht="13.5" customFormat="1" customHeight="1" s="716">
      <c r="S47" s="462" t="n"/>
      <c r="X47" s="538" t="inlineStr">
        <is>
          <t>币种</t>
        </is>
      </c>
      <c r="Y47" s="204" t="n"/>
      <c r="Z47" s="767">
        <f>IF(_epmOfflineCondition_,"LC",EPMOlapMemberO(Z30,"[C_RPTCURRENCY].[].[LC]","LC - 本位币","","000"))</f>
        <v/>
      </c>
      <c r="AA47" s="767">
        <f>IF(_epmOfflineCondition_,"LC",EPMOlapMemberO(AA30,"[C_RPTCURRENCY].[].[LC]","LC - 本位币","","000"))</f>
        <v/>
      </c>
      <c r="AB47" s="767">
        <f>IF(_epmOfflineCondition_,"LC",EPMOlapMemberO(AB30,"[C_RPTCURRENCY].[].[LC]","LC - 本位币","","000"))</f>
        <v/>
      </c>
      <c r="AC47" s="204" t="n"/>
      <c r="AD47" s="204" t="n"/>
      <c r="AE47" s="767">
        <f>IF(_epmOfflineCondition_,"LC",EPMOlapMemberO(AE30,"[C_RPTCURRENCY].[].[LC]","LC - 本位币","","000"))</f>
        <v/>
      </c>
      <c r="AF47" s="204" t="n"/>
      <c r="AG47" s="204" t="n"/>
      <c r="AH47" s="767">
        <f>IF(_epmOfflineCondition_,"LC",EPMOlapMemberO(AH30,"[C_RPTCURRENCY].[].[LC]","LC - 本位币","","000"))</f>
        <v/>
      </c>
      <c r="AI47" s="204" t="n"/>
      <c r="AJ47" s="204" t="n"/>
      <c r="AK47" s="767">
        <f>IF(_epmOfflineCondition_,"CNY",EPMOlapMemberO(AK30,"[C_RPTCURRENCY].[].[CNY]","CNY - 人民币","","000"))</f>
        <v/>
      </c>
      <c r="AL47" s="204" t="n"/>
      <c r="AM47" s="204" t="n"/>
      <c r="AN47" s="767">
        <f>IF(_epmOfflineCondition_,"CNY",EPMOlapMemberO(AN30,"[C_RPTCURRENCY].[].[CNY]","CNY - 人民币","","000"))</f>
        <v/>
      </c>
      <c r="AO47" s="182" t="n"/>
      <c r="AP47" s="182" t="n"/>
      <c r="AQ47" s="767">
        <f>IF(_epmOfflineCondition_,"CNY",EPMOlapMemberO(AQ30,"[C_RPTCURRENCY].[].[CNY]","CNY - 人民币","","000"))</f>
        <v/>
      </c>
      <c r="AR47" s="767" t="n"/>
      <c r="AS47" s="182" t="n"/>
      <c r="AT47" s="899" t="n"/>
      <c r="AU47" s="767">
        <f>IF(_epmOfflineCondition_,"LC",EPMOlapMemberO(AU30,"[C_RPTCURRENCY].[].[LC]","LC - 本位币","","000"))</f>
        <v/>
      </c>
    </row>
    <row r="48" hidden="1" outlineLevel="1" ht="13.5" customFormat="1" customHeight="1" s="716">
      <c r="S48" s="462" t="n"/>
      <c r="X48" s="538" t="inlineStr">
        <is>
          <t>审计线索</t>
        </is>
      </c>
      <c r="Y48" s="204" t="n"/>
      <c r="Z48" s="767">
        <f>IF(_epmOfflineCondition_,"D1110",EPMOlapMemberO(Z31,"[C_AUDITTRAIL].[PARENTH1].[D1110]","D1110 - 平台表单手工输入","","000"))</f>
        <v/>
      </c>
      <c r="AA48" s="767">
        <f>IF(_epmOfflineCondition_,"D1110",EPMOlapMemberO(AA31,"[C_AUDITTRAIL].[PARENTH1].[D1110]","D1110 - 平台表单手工输入","","000"))</f>
        <v/>
      </c>
      <c r="AB48" s="767">
        <f>IF(_epmOfflineCondition_,"D1110",EPMOlapMemberO(AB31,"[C_AUDITTRAIL].[PARENTH1].[D1110]","D1110 - 平台表单手工输入","","000"))</f>
        <v/>
      </c>
      <c r="AC48" s="204" t="n"/>
      <c r="AD48" s="204" t="n"/>
      <c r="AE48" s="767">
        <f>IF(_epmOfflineCondition_,"D1110",EPMOlapMemberO(AE31,"[C_AUDITTRAIL].[PARENTH1].[D1110]","D1110 - 平台表单手工输入","","000"))</f>
        <v/>
      </c>
      <c r="AF48" s="204" t="n"/>
      <c r="AG48" s="204" t="n"/>
      <c r="AH48" s="767">
        <f>IF(_epmOfflineCondition_,"D1110",EPMOlapMemberO(AH31,"[C_AUDITTRAIL].[PARENTH1].[D1110]","D1110 - 平台表单手工输入","","000"))</f>
        <v/>
      </c>
      <c r="AI48" s="204" t="n"/>
      <c r="AJ48" s="204" t="n"/>
      <c r="AK48" s="767">
        <f>IF(_epmOfflineCondition_,"D1201",EPMOlapMemberO(AK31,"[C_AUDITTRAIL].[PARENTH1].[D1201]","D1201 - 来自预算","","000"))</f>
        <v/>
      </c>
      <c r="AL48" s="204" t="n"/>
      <c r="AM48" s="204" t="n"/>
      <c r="AN48" s="767">
        <f>IF(_epmOfflineCondition_,"D1201",EPMOlapMemberO(AN31,"[C_AUDITTRAIL].[PARENTH1].[D1201]","D1201 - 来自预算","","000"))</f>
        <v/>
      </c>
      <c r="AO48" s="182" t="n"/>
      <c r="AP48" s="182" t="n"/>
      <c r="AQ48" s="767">
        <f>IF(_epmOfflineCondition_,"D1201",EPMOlapMemberO(AQ31,"[C_AUDITTRAIL].[PARENTH1].[D1201]","D1201 - 来自预算","","000"))</f>
        <v/>
      </c>
      <c r="AR48" s="767" t="n"/>
      <c r="AS48" s="182" t="n"/>
      <c r="AT48" s="899" t="n"/>
      <c r="AU48" s="767">
        <f>IF(_epmOfflineCondition_,"D1110",EPMOlapMemberO(AU31,"[C_AUDITTRAIL].[PARENTH1].[D1110]","D1110 - 平台表单手工输入","","000"))</f>
        <v/>
      </c>
    </row>
    <row r="49" hidden="1" outlineLevel="1" ht="13.5" customFormat="1" customHeight="1" s="716">
      <c r="S49" s="462" t="n"/>
      <c r="X49" s="195" t="n"/>
      <c r="Y49" s="216" t="n"/>
      <c r="Z49" s="204" t="n"/>
      <c r="AA49" s="204" t="n"/>
      <c r="AB49" s="204" t="n"/>
      <c r="AC49" s="204" t="n"/>
      <c r="AD49" s="204" t="n"/>
      <c r="AE49" s="204" t="n"/>
      <c r="AF49" s="204" t="n"/>
      <c r="AG49" s="204" t="n"/>
      <c r="AH49" s="204" t="n"/>
      <c r="AI49" s="204" t="n"/>
      <c r="AJ49" s="204" t="n"/>
      <c r="AK49" s="204" t="n"/>
      <c r="AL49" s="204" t="n"/>
      <c r="AM49" s="204" t="n"/>
      <c r="AN49" s="204" t="n"/>
      <c r="AO49" s="182" t="n"/>
      <c r="AP49" s="182" t="n"/>
      <c r="AQ49" s="182" t="n"/>
      <c r="AR49" s="182" t="n"/>
      <c r="AS49" s="182" t="n"/>
      <c r="AT49" s="899" t="n"/>
      <c r="AU49" s="239" t="n"/>
    </row>
    <row r="50" collapsed="1" ht="13.5" customFormat="1" customHeight="1" s="716">
      <c r="S50" s="462">
        <f>IF(_epmOfflineCondition_," 发电量",EPMMemberDesc(U50))</f>
        <v/>
      </c>
      <c r="U50" s="197" t="inlineStr">
        <is>
          <t>A03401</t>
        </is>
      </c>
      <c r="V50" s="197">
        <f>IF(_epmOfflineCondition_,"A03401",EPMOlapMemberO(U50,"[C_ACCOUNT].[PARENTH1].[A03401]","A03401 -  发电量","","000"))</f>
        <v/>
      </c>
      <c r="X50" s="1495" t="inlineStr">
        <is>
          <t>发电量</t>
        </is>
      </c>
      <c r="Y50" s="1496" t="inlineStr">
        <is>
          <t>千千瓦时</t>
        </is>
      </c>
      <c r="Z50" s="1497">
        <f>SUM(Z51:Z56)</f>
        <v/>
      </c>
      <c r="AA50" s="1497">
        <f>SUM(AA51:AA56)</f>
        <v/>
      </c>
      <c r="AB50" s="1497" t="inlineStr"/>
      <c r="AC50" s="1497">
        <f>IFERROR(AA50-AB50,0)</f>
        <v/>
      </c>
      <c r="AD50" s="1498">
        <f>IFERROR(100*AC50/AB50,"")</f>
        <v/>
      </c>
      <c r="AE50" s="1497" t="inlineStr"/>
      <c r="AF50" s="1497">
        <f>Z50-AE50</f>
        <v/>
      </c>
      <c r="AG50" s="1497">
        <f>IFERROR(100*AF50/AE50,"")</f>
        <v/>
      </c>
      <c r="AH50" s="1497" t="inlineStr"/>
      <c r="AI50" s="1497">
        <f>Z50-AH50</f>
        <v/>
      </c>
      <c r="AJ50" s="1497">
        <f>IFERROR(100*AI50/AH50,"")</f>
        <v/>
      </c>
      <c r="AK50" s="1497">
        <f>SUM(AK51:AK56)</f>
        <v/>
      </c>
      <c r="AL50" s="1497">
        <f>AK50-Z50</f>
        <v/>
      </c>
      <c r="AM50" s="1497">
        <f>IFERROR(100*AL50/AK50,"")</f>
        <v/>
      </c>
      <c r="AN50" s="1497">
        <f>SUM(AN51:AN56)</f>
        <v/>
      </c>
      <c r="AO50" s="1497">
        <f>AN50-AA50</f>
        <v/>
      </c>
      <c r="AP50" s="1497">
        <f>IFERROR(100*AO50/AN50,"")</f>
        <v/>
      </c>
      <c r="AQ50" s="1497" t="n"/>
      <c r="AR50" s="1497">
        <f>-AQ50*10</f>
        <v/>
      </c>
      <c r="AS50" s="1497">
        <f>AA50-AR50</f>
        <v/>
      </c>
      <c r="AT50" s="1499">
        <f>IFERROR(100*AS50/AQ50,"")</f>
        <v/>
      </c>
      <c r="AU50" s="1500" t="inlineStr"/>
    </row>
    <row r="51" ht="16.35" customFormat="1" customHeight="1" s="716">
      <c r="S51" s="462">
        <f>IF(_epmOfflineCondition_,"   其中：火电",EPMMemberDesc(U51))</f>
        <v/>
      </c>
      <c r="U51" s="197" t="inlineStr">
        <is>
          <t>A0340101</t>
        </is>
      </c>
      <c r="V51" s="199">
        <f>IF(_epmOfflineCondition_,"A0340101",EPMOlapMemberO(U51,"[C_ACCOUNT].[PARENTH1].[A0340101]","A0340101 -    其中：火电","","000"))</f>
        <v/>
      </c>
      <c r="W51" s="462" t="n"/>
      <c r="X51" s="1495" t="inlineStr">
        <is>
          <t xml:space="preserve">  其中：火电</t>
        </is>
      </c>
      <c r="Y51" s="1496" t="inlineStr">
        <is>
          <t>千千瓦时</t>
        </is>
      </c>
      <c r="Z51" s="1497">
        <f>IF($I$8="01",AA51,AA51-AU51)</f>
        <v/>
      </c>
      <c r="AA51" s="1501" t="n"/>
      <c r="AB51" s="1497" t="n"/>
      <c r="AC51" s="1497">
        <f>IFERROR(AA51-AB51,0)</f>
        <v/>
      </c>
      <c r="AD51" s="1498">
        <f>IFERROR(100*AC51/AB51,"")</f>
        <v/>
      </c>
      <c r="AE51" s="1497" t="n"/>
      <c r="AF51" s="1497">
        <f>Z51-AE51</f>
        <v/>
      </c>
      <c r="AG51" s="1497">
        <f>IFERROR(100*AF51/AE51,"")</f>
        <v/>
      </c>
      <c r="AH51" s="1497" t="n"/>
      <c r="AI51" s="1497">
        <f>Z51-AH51</f>
        <v/>
      </c>
      <c r="AJ51" s="1497">
        <f>IFERROR(100*AI51/AH51,"")</f>
        <v/>
      </c>
      <c r="AK51" s="1497">
        <f>IF(_epmOfflineCondition_,0,EPMRetrieveData(,AK$25,AK$26,AK$27,AK$28,AK$29,AK$30,$U51,$E$23,$D$25,$D$26,$D$27,$C$21,$D$28))</f>
        <v/>
      </c>
      <c r="AL51" s="1497">
        <f>AK51-Z51</f>
        <v/>
      </c>
      <c r="AM51" s="1497">
        <f>IFERROR(100*AL51/AK51,"")</f>
        <v/>
      </c>
      <c r="AN51" s="1497">
        <f>IF(_epmOfflineCondition_,0,EPMRetrieveData(,AN$25,AN$26,AN$27,AN$28,AN$29,AN$30,$U51,$E$23,$D$25,$D$26,$D$27,$C$21,$D$28))</f>
        <v/>
      </c>
      <c r="AO51" s="1497">
        <f>AN51-AA51</f>
        <v/>
      </c>
      <c r="AP51" s="1497">
        <f>IFERROR(100*AO51/AN51,"")</f>
        <v/>
      </c>
      <c r="AQ51" s="1497" t="n"/>
      <c r="AR51" s="1497">
        <f>-AQ51*10</f>
        <v/>
      </c>
      <c r="AS51" s="1497">
        <f>AA51-AR51</f>
        <v/>
      </c>
      <c r="AT51" s="1499">
        <f>IFERROR(100*AS51/AQ51,"")</f>
        <v/>
      </c>
      <c r="AU51" s="1500" t="n"/>
    </row>
    <row r="52" ht="16.35" customFormat="1" customHeight="1" s="716">
      <c r="S52" s="462">
        <f>IF(_epmOfflineCondition_,"         风电",EPMMemberDesc(U52))</f>
        <v/>
      </c>
      <c r="U52" s="197" t="inlineStr">
        <is>
          <t>A0340102</t>
        </is>
      </c>
      <c r="V52" s="199">
        <f>IF(_epmOfflineCondition_,"A0340102",EPMOlapMemberO(U52,"[C_ACCOUNT].[PARENTH1].[A0340102]","A0340102 -          风电","","000"))</f>
        <v/>
      </c>
      <c r="W52" s="462" t="n"/>
      <c r="X52" s="1495" t="inlineStr">
        <is>
          <t xml:space="preserve">        风电</t>
        </is>
      </c>
      <c r="Y52" s="1496" t="inlineStr">
        <is>
          <t>千千瓦时</t>
        </is>
      </c>
      <c r="Z52" s="1497">
        <f>IF($I$8="01",AA52,AA52-AU52)</f>
        <v/>
      </c>
      <c r="AA52" s="1501" t="inlineStr"/>
      <c r="AB52" s="1497" t="inlineStr"/>
      <c r="AC52" s="1497">
        <f>IFERROR(AA52-AB52,0)</f>
        <v/>
      </c>
      <c r="AD52" s="1498">
        <f>IFERROR(100*AC52/AB52,"")</f>
        <v/>
      </c>
      <c r="AE52" s="1497" t="inlineStr"/>
      <c r="AF52" s="1497">
        <f>Z52-AE52</f>
        <v/>
      </c>
      <c r="AG52" s="1497">
        <f>IFERROR(100*AF52/AE52,"")</f>
        <v/>
      </c>
      <c r="AH52" s="1497" t="inlineStr"/>
      <c r="AI52" s="1497">
        <f>Z52-AH52</f>
        <v/>
      </c>
      <c r="AJ52" s="1497">
        <f>IFERROR(100*AI52/AH52,"")</f>
        <v/>
      </c>
      <c r="AK52" s="1497">
        <f>IF(_epmOfflineCondition_,0,EPMRetrieveData(,AK$25,AK$26,AK$27,AK$28,AK$29,AK$30,$U52,$E$23,$D$25,$D$26,$D$27,$C$21,$D$28))</f>
        <v/>
      </c>
      <c r="AL52" s="1497">
        <f>AK52-Z52</f>
        <v/>
      </c>
      <c r="AM52" s="1497">
        <f>IFERROR(100*AL52/AK52,"")</f>
        <v/>
      </c>
      <c r="AN52" s="1497">
        <f>IF(_epmOfflineCondition_,0,EPMRetrieveData(,AN$25,AN$26,AN$27,AN$28,AN$29,AN$30,$U52,$E$23,$D$25,$D$26,$D$27,$C$21,$D$28))</f>
        <v/>
      </c>
      <c r="AO52" s="1497">
        <f>AN52-AA52</f>
        <v/>
      </c>
      <c r="AP52" s="1497">
        <f>IFERROR(100*AO52/AN52,"")</f>
        <v/>
      </c>
      <c r="AQ52" s="1497" t="n"/>
      <c r="AR52" s="1497">
        <f>-AQ52*10</f>
        <v/>
      </c>
      <c r="AS52" s="1497">
        <f>AA52-AR52</f>
        <v/>
      </c>
      <c r="AT52" s="1499">
        <f>IFERROR(100*AS52/AQ52,"")</f>
        <v/>
      </c>
      <c r="AU52" s="1500" t="inlineStr"/>
    </row>
    <row r="53" ht="16.35" customFormat="1" customHeight="1" s="716">
      <c r="S53" s="462">
        <f>IF(_epmOfflineCondition_,"         光伏",EPMMemberDesc(U53))</f>
        <v/>
      </c>
      <c r="U53" s="197" t="inlineStr">
        <is>
          <t>A0340103</t>
        </is>
      </c>
      <c r="V53" s="199">
        <f>IF(_epmOfflineCondition_,"A0340103",EPMOlapMemberO(U53,"[C_ACCOUNT].[PARENTH1].[A0340103]","A0340103 -          光伏","","000"))</f>
        <v/>
      </c>
      <c r="W53" s="462" t="n"/>
      <c r="X53" s="1495" t="inlineStr">
        <is>
          <t xml:space="preserve">        光伏</t>
        </is>
      </c>
      <c r="Y53" s="1496" t="inlineStr">
        <is>
          <t>千千瓦时</t>
        </is>
      </c>
      <c r="Z53" s="1497">
        <f>IF($I$8="01",AA53,AA53-AU53)</f>
        <v/>
      </c>
      <c r="AA53" s="1501" t="n"/>
      <c r="AB53" s="1497" t="n"/>
      <c r="AC53" s="1497">
        <f>IFERROR(AA53-AB53,0)</f>
        <v/>
      </c>
      <c r="AD53" s="1498">
        <f>IFERROR(100*AC53/AB53,"")</f>
        <v/>
      </c>
      <c r="AE53" s="1497" t="n"/>
      <c r="AF53" s="1497">
        <f>Z53-AE53</f>
        <v/>
      </c>
      <c r="AG53" s="1497">
        <f>IFERROR(100*AF53/AE53,"")</f>
        <v/>
      </c>
      <c r="AH53" s="1497" t="n"/>
      <c r="AI53" s="1497">
        <f>Z53-AH53</f>
        <v/>
      </c>
      <c r="AJ53" s="1497">
        <f>IFERROR(100*AI53/AH53,"")</f>
        <v/>
      </c>
      <c r="AK53" s="1497">
        <f>IF(_epmOfflineCondition_,0,EPMRetrieveData(,AK$25,AK$26,AK$27,AK$28,AK$29,AK$30,$U53,$E$23,$D$25,$D$26,$D$27,$C$21,$D$28))</f>
        <v/>
      </c>
      <c r="AL53" s="1497">
        <f>AK53-Z53</f>
        <v/>
      </c>
      <c r="AM53" s="1497">
        <f>IFERROR(100*AL53/AK53,"")</f>
        <v/>
      </c>
      <c r="AN53" s="1497">
        <f>IF(_epmOfflineCondition_,0,EPMRetrieveData(,AN$25,AN$26,AN$27,AN$28,AN$29,AN$30,$U53,$E$23,$D$25,$D$26,$D$27,$C$21,$D$28))</f>
        <v/>
      </c>
      <c r="AO53" s="1497">
        <f>AN53-AA53</f>
        <v/>
      </c>
      <c r="AP53" s="1497">
        <f>IFERROR(100*AO53/AN53,"")</f>
        <v/>
      </c>
      <c r="AQ53" s="1497" t="n"/>
      <c r="AR53" s="1497">
        <f>-AQ53*10</f>
        <v/>
      </c>
      <c r="AS53" s="1497">
        <f>AA53-AR53</f>
        <v/>
      </c>
      <c r="AT53" s="1499">
        <f>IFERROR(100*AS53/AQ53,"")</f>
        <v/>
      </c>
      <c r="AU53" s="1500" t="n"/>
    </row>
    <row r="54" ht="16.35" customFormat="1" customHeight="1" s="716">
      <c r="S54" s="462">
        <f>IF(_epmOfflineCondition_,"         燃气",EPMMemberDesc(U54))</f>
        <v/>
      </c>
      <c r="U54" s="197" t="inlineStr">
        <is>
          <t>A0340104</t>
        </is>
      </c>
      <c r="V54" s="199">
        <f>IF(_epmOfflineCondition_,"A0340104",EPMOlapMemberO(U54,"[C_ACCOUNT].[PARENTH1].[A0340104]","A0340104 -          燃气","","000"))</f>
        <v/>
      </c>
      <c r="W54" s="462" t="n"/>
      <c r="X54" s="1495" t="inlineStr">
        <is>
          <t xml:space="preserve">        燃气</t>
        </is>
      </c>
      <c r="Y54" s="1496" t="inlineStr">
        <is>
          <t>千千瓦时</t>
        </is>
      </c>
      <c r="Z54" s="1497">
        <f>IF($I$8="01",AA54,AA54-AU54)</f>
        <v/>
      </c>
      <c r="AA54" s="1501" t="n"/>
      <c r="AB54" s="1497" t="n"/>
      <c r="AC54" s="1497">
        <f>IFERROR(AA54-AB54,0)</f>
        <v/>
      </c>
      <c r="AD54" s="1498">
        <f>IFERROR(100*AC54/AB54,"")</f>
        <v/>
      </c>
      <c r="AE54" s="1497" t="n"/>
      <c r="AF54" s="1497">
        <f>Z54-AE54</f>
        <v/>
      </c>
      <c r="AG54" s="1497">
        <f>IFERROR(100*AF54/AE54,"")</f>
        <v/>
      </c>
      <c r="AH54" s="1497" t="n"/>
      <c r="AI54" s="1497">
        <f>Z54-AH54</f>
        <v/>
      </c>
      <c r="AJ54" s="1497">
        <f>IFERROR(100*AI54/AH54,"")</f>
        <v/>
      </c>
      <c r="AK54" s="1497">
        <f>IF(_epmOfflineCondition_,0,EPMRetrieveData(,AK$25,AK$26,AK$27,AK$28,AK$29,AK$30,$U54,$E$23,$D$25,$D$26,$D$27,$C$21,$D$28))</f>
        <v/>
      </c>
      <c r="AL54" s="1497">
        <f>AK54-Z54</f>
        <v/>
      </c>
      <c r="AM54" s="1497">
        <f>IFERROR(100*AL54/AK54,"")</f>
        <v/>
      </c>
      <c r="AN54" s="1497">
        <f>IF(_epmOfflineCondition_,0,EPMRetrieveData(,AN$25,AN$26,AN$27,AN$28,AN$29,AN$30,$U54,$E$23,$D$25,$D$26,$D$27,$C$21,$D$28))</f>
        <v/>
      </c>
      <c r="AO54" s="1497">
        <f>AN54-AA54</f>
        <v/>
      </c>
      <c r="AP54" s="1497">
        <f>IFERROR(100*AO54/AN54,"")</f>
        <v/>
      </c>
      <c r="AQ54" s="1497" t="n"/>
      <c r="AR54" s="1497">
        <f>-AQ54*10</f>
        <v/>
      </c>
      <c r="AS54" s="1497">
        <f>AA54-AR54</f>
        <v/>
      </c>
      <c r="AT54" s="1499">
        <f>IFERROR(100*AS54/AQ54,"")</f>
        <v/>
      </c>
      <c r="AU54" s="1500" t="n"/>
    </row>
    <row r="55" ht="16.35" customFormat="1" customHeight="1" s="716">
      <c r="S55" s="462">
        <f>IF(_epmOfflineCondition_,"         水电",EPMMemberDesc(U55))</f>
        <v/>
      </c>
      <c r="U55" s="197" t="inlineStr">
        <is>
          <t>A0340105</t>
        </is>
      </c>
      <c r="V55" s="199">
        <f>IF(_epmOfflineCondition_,"A0340105",EPMOlapMemberO(U55,"[C_ACCOUNT].[PARENTH1].[A0340105]","A0340105 -          水电","","000"))</f>
        <v/>
      </c>
      <c r="W55" s="462" t="n"/>
      <c r="X55" s="1495" t="inlineStr">
        <is>
          <t xml:space="preserve">        水电</t>
        </is>
      </c>
      <c r="Y55" s="1496" t="inlineStr">
        <is>
          <t>千千瓦时</t>
        </is>
      </c>
      <c r="Z55" s="1497">
        <f>IF($I$8="01",AA55,AA55-AU55)</f>
        <v/>
      </c>
      <c r="AA55" s="1501" t="n"/>
      <c r="AB55" s="1497" t="n"/>
      <c r="AC55" s="1497">
        <f>IFERROR(AA55-AB55,0)</f>
        <v/>
      </c>
      <c r="AD55" s="1498">
        <f>IFERROR(100*AC55/AB55,"")</f>
        <v/>
      </c>
      <c r="AE55" s="1497" t="n"/>
      <c r="AF55" s="1497">
        <f>Z55-AE55</f>
        <v/>
      </c>
      <c r="AG55" s="1497">
        <f>IFERROR(100*AF55/AE55,"")</f>
        <v/>
      </c>
      <c r="AH55" s="1497" t="n"/>
      <c r="AI55" s="1497">
        <f>Z55-AH55</f>
        <v/>
      </c>
      <c r="AJ55" s="1497">
        <f>IFERROR(100*AI55/AH55,"")</f>
        <v/>
      </c>
      <c r="AK55" s="1497">
        <f>IF(_epmOfflineCondition_,0,EPMRetrieveData(,AK$25,AK$26,AK$27,AK$28,AK$29,AK$30,$U55,$E$23,$D$25,$D$26,$D$27,$C$21,$D$28))</f>
        <v/>
      </c>
      <c r="AL55" s="1497">
        <f>AK55-Z55</f>
        <v/>
      </c>
      <c r="AM55" s="1497">
        <f>IFERROR(100*AL55/AK55,"")</f>
        <v/>
      </c>
      <c r="AN55" s="1497">
        <f>IF(_epmOfflineCondition_,0,EPMRetrieveData(,AN$25,AN$26,AN$27,AN$28,AN$29,AN$30,$U55,$E$23,$D$25,$D$26,$D$27,$C$21,$D$28))</f>
        <v/>
      </c>
      <c r="AO55" s="1497">
        <f>AN55-AA55</f>
        <v/>
      </c>
      <c r="AP55" s="1497">
        <f>IFERROR(100*AO55/AN55,"")</f>
        <v/>
      </c>
      <c r="AQ55" s="1497" t="n"/>
      <c r="AR55" s="1497">
        <f>-AQ55*10</f>
        <v/>
      </c>
      <c r="AS55" s="1497">
        <f>AA55-AR55</f>
        <v/>
      </c>
      <c r="AT55" s="1499">
        <f>IFERROR(100*AS55/AQ55,"")</f>
        <v/>
      </c>
      <c r="AU55" s="1500" t="n"/>
    </row>
    <row r="56" ht="16.35" customFormat="1" customHeight="1" s="716">
      <c r="S56" s="462">
        <f>IF(_epmOfflineCondition_,"         其他",EPMMemberDesc(U56))</f>
        <v/>
      </c>
      <c r="U56" s="197" t="inlineStr">
        <is>
          <t>A0340106</t>
        </is>
      </c>
      <c r="V56" s="199">
        <f>IF(_epmOfflineCondition_,"A0340106",EPMOlapMemberO(U56,"[C_ACCOUNT].[PARENTH1].[A0340106]","A0340106 -          其他","","000"))</f>
        <v/>
      </c>
      <c r="W56" s="462" t="n"/>
      <c r="X56" s="1495" t="inlineStr">
        <is>
          <t xml:space="preserve">        其他</t>
        </is>
      </c>
      <c r="Y56" s="1496" t="inlineStr">
        <is>
          <t>千千瓦时</t>
        </is>
      </c>
      <c r="Z56" s="1497">
        <f>IF($I$8="01",AA56,AA56-AU56)</f>
        <v/>
      </c>
      <c r="AA56" s="1501" t="n"/>
      <c r="AB56" s="1497" t="n"/>
      <c r="AC56" s="1497">
        <f>IFERROR(AA56-AB56,0)</f>
        <v/>
      </c>
      <c r="AD56" s="1498">
        <f>IFERROR(100*AC56/AB56,"")</f>
        <v/>
      </c>
      <c r="AE56" s="1497" t="n"/>
      <c r="AF56" s="1497">
        <f>Z56-AE56</f>
        <v/>
      </c>
      <c r="AG56" s="1497">
        <f>IFERROR(100*AF56/AE56,"")</f>
        <v/>
      </c>
      <c r="AH56" s="1497" t="n"/>
      <c r="AI56" s="1497">
        <f>Z56-AH56</f>
        <v/>
      </c>
      <c r="AJ56" s="1497">
        <f>IFERROR(100*AI56/AH56,"")</f>
        <v/>
      </c>
      <c r="AK56" s="1497">
        <f>IF(_epmOfflineCondition_,0,EPMRetrieveData(,AK$25,AK$26,AK$27,AK$28,AK$29,AK$30,$U56,$E$23,$D$25,$D$26,$D$27,$C$21,$D$28))</f>
        <v/>
      </c>
      <c r="AL56" s="1497">
        <f>AK56-Z56</f>
        <v/>
      </c>
      <c r="AM56" s="1497">
        <f>IFERROR(100*AL56/AK56,"")</f>
        <v/>
      </c>
      <c r="AN56" s="1497">
        <f>IF(_epmOfflineCondition_,0,EPMRetrieveData(,AN$25,AN$26,AN$27,AN$28,AN$29,AN$30,$U56,$E$23,$D$25,$D$26,$D$27,$C$21,$D$28))</f>
        <v/>
      </c>
      <c r="AO56" s="1497">
        <f>AN56-AA56</f>
        <v/>
      </c>
      <c r="AP56" s="1497">
        <f>IFERROR(100*AO56/AN56,"")</f>
        <v/>
      </c>
      <c r="AQ56" s="1497" t="n"/>
      <c r="AR56" s="1497">
        <f>-AQ56*10</f>
        <v/>
      </c>
      <c r="AS56" s="1497">
        <f>AA56-AR56</f>
        <v/>
      </c>
      <c r="AT56" s="1499">
        <f>IFERROR(100*AS56/AQ56,"")</f>
        <v/>
      </c>
      <c r="AU56" s="1500" t="n"/>
    </row>
    <row r="57" ht="16.35" customFormat="1" customHeight="1" s="716">
      <c r="S57" s="462">
        <f>IF(_epmOfflineCondition_," 期末发电设备容量",EPMMemberDesc(U57))</f>
        <v/>
      </c>
      <c r="U57" s="197" t="inlineStr">
        <is>
          <t>A03402</t>
        </is>
      </c>
      <c r="V57" s="197">
        <f>IF(_epmOfflineCondition_,"A03402",EPMOlapMemberO(U57,"[C_ACCOUNT].[PARENTH1].[A03402]","A03402 -  期末发电设备容量","","000"))</f>
        <v/>
      </c>
      <c r="W57" s="462" t="n"/>
      <c r="X57" s="1495" t="inlineStr">
        <is>
          <t>期末发电设备容量</t>
        </is>
      </c>
      <c r="Y57" s="1496" t="inlineStr">
        <is>
          <t>千千瓦</t>
        </is>
      </c>
      <c r="Z57" s="1497">
        <f>SUM(Z58:Z63)</f>
        <v/>
      </c>
      <c r="AA57" s="1497">
        <f>SUM(AA58:AA63)</f>
        <v/>
      </c>
      <c r="AB57" s="1497" t="n"/>
      <c r="AC57" s="1497">
        <f>IFERROR(AA57-AB57,0)</f>
        <v/>
      </c>
      <c r="AD57" s="1498">
        <f>IFERROR(100*AC57/AB57,"")</f>
        <v/>
      </c>
      <c r="AE57" s="1497" t="inlineStr"/>
      <c r="AF57" s="1497">
        <f>Z57-AE57</f>
        <v/>
      </c>
      <c r="AG57" s="1497">
        <f>IFERROR(100*AF57/AE57,"")</f>
        <v/>
      </c>
      <c r="AH57" s="1497" t="n"/>
      <c r="AI57" s="1497">
        <f>Z57-AH57</f>
        <v/>
      </c>
      <c r="AJ57" s="1497">
        <f>IFERROR(100*AI57/AH57,"")</f>
        <v/>
      </c>
      <c r="AK57" s="1497">
        <f>SUM(AK58:AK63)</f>
        <v/>
      </c>
      <c r="AL57" s="1497">
        <f>AK57-Z57</f>
        <v/>
      </c>
      <c r="AM57" s="1497">
        <f>IFERROR(100*AL57/AK57,"")</f>
        <v/>
      </c>
      <c r="AN57" s="1497">
        <f>SUM(AN58:AN63)</f>
        <v/>
      </c>
      <c r="AO57" s="1497">
        <f>AN57-AA57</f>
        <v/>
      </c>
      <c r="AP57" s="1497">
        <f>IFERROR(100*AO57/AN57,"")</f>
        <v/>
      </c>
      <c r="AQ57" s="1497" t="n"/>
      <c r="AR57" s="1497">
        <f>-AQ57*10</f>
        <v/>
      </c>
      <c r="AS57" s="1497">
        <f>AA57-AR57</f>
        <v/>
      </c>
      <c r="AT57" s="1499">
        <f>IFERROR(100*AS57/AQ57,"")</f>
        <v/>
      </c>
      <c r="AU57" s="1500" t="inlineStr"/>
    </row>
    <row r="58" ht="16.35" customFormat="1" customHeight="1" s="716">
      <c r="S58" s="462">
        <f>IF(_epmOfflineCondition_,"   其中：火电",EPMMemberDesc(U58))</f>
        <v/>
      </c>
      <c r="U58" s="197" t="inlineStr">
        <is>
          <t>A0340201</t>
        </is>
      </c>
      <c r="V58" s="199">
        <f>IF(_epmOfflineCondition_,"A0340201",EPMOlapMemberO(U58,"[C_ACCOUNT].[PARENTH1].[A0340201]","A0340201 -    其中：火电","","000"))</f>
        <v/>
      </c>
      <c r="W58" s="462" t="n"/>
      <c r="X58" s="1495" t="inlineStr">
        <is>
          <t xml:space="preserve">  其中：火电</t>
        </is>
      </c>
      <c r="Y58" s="1496" t="inlineStr">
        <is>
          <t>千千瓦</t>
        </is>
      </c>
      <c r="Z58" s="1497">
        <f>AA58</f>
        <v/>
      </c>
      <c r="AA58" s="1501" t="n"/>
      <c r="AB58" s="1497" t="n"/>
      <c r="AC58" s="1497">
        <f>IFERROR(AA58-AB58,0)</f>
        <v/>
      </c>
      <c r="AD58" s="1498">
        <f>IFERROR(100*AC58/AB58,"")</f>
        <v/>
      </c>
      <c r="AE58" s="1497" t="n"/>
      <c r="AF58" s="1497">
        <f>Z58-AE58</f>
        <v/>
      </c>
      <c r="AG58" s="1497">
        <f>IFERROR(100*AF58/AE58,"")</f>
        <v/>
      </c>
      <c r="AH58" s="1497" t="n"/>
      <c r="AI58" s="1497">
        <f>Z58-AH58</f>
        <v/>
      </c>
      <c r="AJ58" s="1497">
        <f>IFERROR(100*AI58/AH58,"")</f>
        <v/>
      </c>
      <c r="AK58" s="1497">
        <f>IF(_epmOfflineCondition_,0,EPMRetrieveData(,AK$25,AK$26,AK$27,AK$28,AK$29,AK$30,$U58,$E$23,$D$25,$D$26,$D$27,$C$21,$D$28))</f>
        <v/>
      </c>
      <c r="AL58" s="1497">
        <f>AK58-Z58</f>
        <v/>
      </c>
      <c r="AM58" s="1497">
        <f>IFERROR(100*AL58/AK58,"")</f>
        <v/>
      </c>
      <c r="AN58" s="1497">
        <f>IF(_epmOfflineCondition_,0,EPMRetrieveData(,AN$25,AN$26,AN$27,AN$28,AN$29,AN$30,$U58,$E$23,$D$25,$D$26,$D$27,$C$21,$D$28))</f>
        <v/>
      </c>
      <c r="AO58" s="1497">
        <f>AN58-AA58</f>
        <v/>
      </c>
      <c r="AP58" s="1497">
        <f>IFERROR(100*AO58/AN58,"")</f>
        <v/>
      </c>
      <c r="AQ58" s="1497" t="n"/>
      <c r="AR58" s="1497">
        <f>-AQ58*10</f>
        <v/>
      </c>
      <c r="AS58" s="1497">
        <f>AA58-AR58</f>
        <v/>
      </c>
      <c r="AT58" s="1499">
        <f>IFERROR(100*AS58/AQ58,"")</f>
        <v/>
      </c>
      <c r="AU58" s="1500" t="n"/>
    </row>
    <row r="59" ht="16.35" customFormat="1" customHeight="1" s="716">
      <c r="S59" s="462">
        <f>IF(_epmOfflineCondition_,"         风电",EPMMemberDesc(U59))</f>
        <v/>
      </c>
      <c r="U59" s="197" t="inlineStr">
        <is>
          <t>A0340202</t>
        </is>
      </c>
      <c r="V59" s="199">
        <f>IF(_epmOfflineCondition_,"A0340202",EPMOlapMemberO(U59,"[C_ACCOUNT].[PARENTH1].[A0340202]","A0340202 -          风电","","000"))</f>
        <v/>
      </c>
      <c r="W59" s="462" t="n"/>
      <c r="X59" s="1495" t="inlineStr">
        <is>
          <t xml:space="preserve">        风电</t>
        </is>
      </c>
      <c r="Y59" s="1496" t="inlineStr">
        <is>
          <t>千千瓦</t>
        </is>
      </c>
      <c r="Z59" s="1497">
        <f>AA59</f>
        <v/>
      </c>
      <c r="AA59" s="1501" t="inlineStr"/>
      <c r="AB59" s="1497" t="n"/>
      <c r="AC59" s="1497">
        <f>IFERROR(AA59-AB59,0)</f>
        <v/>
      </c>
      <c r="AD59" s="1498">
        <f>IFERROR(100*AC59/AB59,"")</f>
        <v/>
      </c>
      <c r="AE59" s="1497" t="inlineStr"/>
      <c r="AF59" s="1497">
        <f>Z59-AE59</f>
        <v/>
      </c>
      <c r="AG59" s="1497">
        <f>IFERROR(100*AF59/AE59,"")</f>
        <v/>
      </c>
      <c r="AH59" s="1497" t="n"/>
      <c r="AI59" s="1497">
        <f>Z59-AH59</f>
        <v/>
      </c>
      <c r="AJ59" s="1497">
        <f>IFERROR(100*AI59/AH59,"")</f>
        <v/>
      </c>
      <c r="AK59" s="1497">
        <f>IF(_epmOfflineCondition_,0,EPMRetrieveData(,AK$25,AK$26,AK$27,AK$28,AK$29,AK$30,$U59,$E$23,$D$25,$D$26,$D$27,$C$21,$D$28))</f>
        <v/>
      </c>
      <c r="AL59" s="1497">
        <f>AK59-Z59</f>
        <v/>
      </c>
      <c r="AM59" s="1497">
        <f>IFERROR(100*AL59/AK59,"")</f>
        <v/>
      </c>
      <c r="AN59" s="1497">
        <f>IF(_epmOfflineCondition_,0,EPMRetrieveData(,AN$25,AN$26,AN$27,AN$28,AN$29,AN$30,$U59,$E$23,$D$25,$D$26,$D$27,$C$21,$D$28))</f>
        <v/>
      </c>
      <c r="AO59" s="1497">
        <f>AN59-AA59</f>
        <v/>
      </c>
      <c r="AP59" s="1497">
        <f>IFERROR(100*AO59/AN59,"")</f>
        <v/>
      </c>
      <c r="AQ59" s="1497" t="n"/>
      <c r="AR59" s="1497">
        <f>-AQ59*10</f>
        <v/>
      </c>
      <c r="AS59" s="1497">
        <f>AA59-AR59</f>
        <v/>
      </c>
      <c r="AT59" s="1499">
        <f>IFERROR(100*AS59/AQ59,"")</f>
        <v/>
      </c>
      <c r="AU59" s="1500" t="inlineStr"/>
    </row>
    <row r="60" ht="16.35" customFormat="1" customHeight="1" s="716">
      <c r="S60" s="462">
        <f>IF(_epmOfflineCondition_,"         光伏",EPMMemberDesc(U60))</f>
        <v/>
      </c>
      <c r="U60" s="197" t="inlineStr">
        <is>
          <t>A0340203</t>
        </is>
      </c>
      <c r="V60" s="199">
        <f>IF(_epmOfflineCondition_,"A0340203",EPMOlapMemberO(U60,"[C_ACCOUNT].[PARENTH1].[A0340203]","A0340203 -          光伏","","000"))</f>
        <v/>
      </c>
      <c r="W60" s="462" t="n"/>
      <c r="X60" s="1495" t="inlineStr">
        <is>
          <t xml:space="preserve">        光伏</t>
        </is>
      </c>
      <c r="Y60" s="1496" t="inlineStr">
        <is>
          <t>千千瓦</t>
        </is>
      </c>
      <c r="Z60" s="1497">
        <f>AA60</f>
        <v/>
      </c>
      <c r="AA60" s="1501" t="n"/>
      <c r="AB60" s="1497" t="n"/>
      <c r="AC60" s="1497">
        <f>IFERROR(AA60-AB60,0)</f>
        <v/>
      </c>
      <c r="AD60" s="1498">
        <f>IFERROR(100*AC60/AB60,"")</f>
        <v/>
      </c>
      <c r="AE60" s="1497" t="n"/>
      <c r="AF60" s="1497">
        <f>Z60-AE60</f>
        <v/>
      </c>
      <c r="AG60" s="1497">
        <f>IFERROR(100*AF60/AE60,"")</f>
        <v/>
      </c>
      <c r="AH60" s="1497" t="n"/>
      <c r="AI60" s="1497">
        <f>Z60-AH60</f>
        <v/>
      </c>
      <c r="AJ60" s="1497">
        <f>IFERROR(100*AI60/AH60,"")</f>
        <v/>
      </c>
      <c r="AK60" s="1497">
        <f>IF(_epmOfflineCondition_,0,EPMRetrieveData(,AK$25,AK$26,AK$27,AK$28,AK$29,AK$30,$U60,$E$23,$D$25,$D$26,$D$27,$C$21,$D$28))</f>
        <v/>
      </c>
      <c r="AL60" s="1497">
        <f>AK60-Z60</f>
        <v/>
      </c>
      <c r="AM60" s="1497">
        <f>IFERROR(100*AL60/AK60,"")</f>
        <v/>
      </c>
      <c r="AN60" s="1497">
        <f>IF(_epmOfflineCondition_,0,EPMRetrieveData(,AN$25,AN$26,AN$27,AN$28,AN$29,AN$30,$U60,$E$23,$D$25,$D$26,$D$27,$C$21,$D$28))</f>
        <v/>
      </c>
      <c r="AO60" s="1497">
        <f>AN60-AA60</f>
        <v/>
      </c>
      <c r="AP60" s="1497">
        <f>IFERROR(100*AO60/AN60,"")</f>
        <v/>
      </c>
      <c r="AQ60" s="1497" t="n"/>
      <c r="AR60" s="1497">
        <f>-AQ60*10</f>
        <v/>
      </c>
      <c r="AS60" s="1497">
        <f>AA60-AR60</f>
        <v/>
      </c>
      <c r="AT60" s="1499">
        <f>IFERROR(100*AS60/AQ60,"")</f>
        <v/>
      </c>
      <c r="AU60" s="1500" t="n"/>
    </row>
    <row r="61">
      <c r="S61" s="462">
        <f>IF(_epmOfflineCondition_,"         燃气",EPMMemberDesc(U61))</f>
        <v/>
      </c>
      <c r="U61" s="197" t="inlineStr">
        <is>
          <t>A0340204</t>
        </is>
      </c>
      <c r="V61" s="199">
        <f>IF(_epmOfflineCondition_,"A0340204",EPMOlapMemberO(U61,"[C_ACCOUNT].[PARENTH1].[A0340204]","A0340204 -          燃气","","000"))</f>
        <v/>
      </c>
      <c r="X61" s="1495" t="inlineStr">
        <is>
          <t xml:space="preserve">        燃气</t>
        </is>
      </c>
      <c r="Y61" s="1496" t="inlineStr">
        <is>
          <t>千千瓦</t>
        </is>
      </c>
      <c r="Z61" s="1497">
        <f>AA61</f>
        <v/>
      </c>
      <c r="AA61" s="1501" t="n"/>
      <c r="AB61" s="1497" t="n"/>
      <c r="AC61" s="1497">
        <f>IFERROR(AA61-AB61,0)</f>
        <v/>
      </c>
      <c r="AD61" s="1498">
        <f>IFERROR(100*AC61/AB61,"")</f>
        <v/>
      </c>
      <c r="AE61" s="1497" t="n"/>
      <c r="AF61" s="1497">
        <f>Z61-AE61</f>
        <v/>
      </c>
      <c r="AG61" s="1497">
        <f>IFERROR(100*AF61/AE61,"")</f>
        <v/>
      </c>
      <c r="AH61" s="1497" t="n"/>
      <c r="AI61" s="1497">
        <f>Z61-AH61</f>
        <v/>
      </c>
      <c r="AJ61" s="1497">
        <f>IFERROR(100*AI61/AH61,"")</f>
        <v/>
      </c>
      <c r="AK61" s="1497">
        <f>IF(_epmOfflineCondition_,0,EPMRetrieveData(,AK$25,AK$26,AK$27,AK$28,AK$29,AK$30,$U61,$E$23,$D$25,$D$26,$D$27,$C$21,$D$28))</f>
        <v/>
      </c>
      <c r="AL61" s="1497">
        <f>AK61-Z61</f>
        <v/>
      </c>
      <c r="AM61" s="1497">
        <f>IFERROR(100*AL61/AK61,"")</f>
        <v/>
      </c>
      <c r="AN61" s="1497">
        <f>IF(_epmOfflineCondition_,0,EPMRetrieveData(,AN$25,AN$26,AN$27,AN$28,AN$29,AN$30,$U61,$E$23,$D$25,$D$26,$D$27,$C$21,$D$28))</f>
        <v/>
      </c>
      <c r="AO61" s="1497">
        <f>AN61-AA61</f>
        <v/>
      </c>
      <c r="AP61" s="1497">
        <f>IFERROR(100*AO61/AN61,"")</f>
        <v/>
      </c>
      <c r="AQ61" s="1497" t="n"/>
      <c r="AR61" s="1497">
        <f>-AQ61*10</f>
        <v/>
      </c>
      <c r="AS61" s="1497">
        <f>AA61-AR61</f>
        <v/>
      </c>
      <c r="AT61" s="1499">
        <f>IFERROR(100*AS61/AQ61,"")</f>
        <v/>
      </c>
      <c r="AU61" s="1500" t="n"/>
    </row>
    <row r="62">
      <c r="S62" s="462">
        <f>IF(_epmOfflineCondition_,"         水电",EPMMemberDesc(U62))</f>
        <v/>
      </c>
      <c r="U62" s="197" t="inlineStr">
        <is>
          <t>A0340205</t>
        </is>
      </c>
      <c r="V62" s="199">
        <f>IF(_epmOfflineCondition_,"A0340205",EPMOlapMemberO(U62,"[C_ACCOUNT].[PARENTH1].[A0340205]","A0340205 -          水电","","000"))</f>
        <v/>
      </c>
      <c r="X62" s="1495" t="inlineStr">
        <is>
          <t xml:space="preserve">        水电</t>
        </is>
      </c>
      <c r="Y62" s="1496" t="inlineStr">
        <is>
          <t>千千瓦</t>
        </is>
      </c>
      <c r="Z62" s="1497">
        <f>AA62</f>
        <v/>
      </c>
      <c r="AA62" s="1501" t="n"/>
      <c r="AB62" s="1497" t="n"/>
      <c r="AC62" s="1497">
        <f>IFERROR(AA62-AB62,0)</f>
        <v/>
      </c>
      <c r="AD62" s="1498">
        <f>IFERROR(100*AC62/AB62,"")</f>
        <v/>
      </c>
      <c r="AE62" s="1497" t="n"/>
      <c r="AF62" s="1497">
        <f>Z62-AE62</f>
        <v/>
      </c>
      <c r="AG62" s="1497">
        <f>IFERROR(100*AF62/AE62,"")</f>
        <v/>
      </c>
      <c r="AH62" s="1497" t="n"/>
      <c r="AI62" s="1497">
        <f>Z62-AH62</f>
        <v/>
      </c>
      <c r="AJ62" s="1497">
        <f>IFERROR(100*AI62/AH62,"")</f>
        <v/>
      </c>
      <c r="AK62" s="1497">
        <f>IF(_epmOfflineCondition_,0,EPMRetrieveData(,AK$25,AK$26,AK$27,AK$28,AK$29,AK$30,$U62,$E$23,$D$25,$D$26,$D$27,$C$21,$D$28))</f>
        <v/>
      </c>
      <c r="AL62" s="1497">
        <f>AK62-Z62</f>
        <v/>
      </c>
      <c r="AM62" s="1497">
        <f>IFERROR(100*AL62/AK62,"")</f>
        <v/>
      </c>
      <c r="AN62" s="1497">
        <f>IF(_epmOfflineCondition_,0,EPMRetrieveData(,AN$25,AN$26,AN$27,AN$28,AN$29,AN$30,$U62,$E$23,$D$25,$D$26,$D$27,$C$21,$D$28))</f>
        <v/>
      </c>
      <c r="AO62" s="1497">
        <f>AN62-AA62</f>
        <v/>
      </c>
      <c r="AP62" s="1497">
        <f>IFERROR(100*AO62/AN62,"")</f>
        <v/>
      </c>
      <c r="AQ62" s="1497" t="n"/>
      <c r="AR62" s="1497">
        <f>-AQ62*10</f>
        <v/>
      </c>
      <c r="AS62" s="1497">
        <f>AA62-AR62</f>
        <v/>
      </c>
      <c r="AT62" s="1499">
        <f>IFERROR(100*AS62/AQ62,"")</f>
        <v/>
      </c>
      <c r="AU62" s="1500" t="n"/>
    </row>
    <row r="63">
      <c r="S63" s="462">
        <f>IF(_epmOfflineCondition_,"         其他",EPMMemberDesc(U63))</f>
        <v/>
      </c>
      <c r="U63" s="197" t="inlineStr">
        <is>
          <t>A0340206</t>
        </is>
      </c>
      <c r="V63" s="199">
        <f>IF(_epmOfflineCondition_,"A0340206",EPMOlapMemberO(U63,"[C_ACCOUNT].[PARENTH1].[A0340206]","A0340206 -          其他","","000"))</f>
        <v/>
      </c>
      <c r="X63" s="1495" t="inlineStr">
        <is>
          <t xml:space="preserve">        其他</t>
        </is>
      </c>
      <c r="Y63" s="1496" t="inlineStr">
        <is>
          <t>千千瓦</t>
        </is>
      </c>
      <c r="Z63" s="1497">
        <f>AA63</f>
        <v/>
      </c>
      <c r="AA63" s="1501" t="n"/>
      <c r="AB63" s="1497" t="n"/>
      <c r="AC63" s="1497">
        <f>IFERROR(AA63-AB63,0)</f>
        <v/>
      </c>
      <c r="AD63" s="1498">
        <f>IFERROR(100*AC63/AB63,"")</f>
        <v/>
      </c>
      <c r="AE63" s="1497" t="n"/>
      <c r="AF63" s="1497">
        <f>Z63-AE63</f>
        <v/>
      </c>
      <c r="AG63" s="1497">
        <f>IFERROR(100*AF63/AE63,"")</f>
        <v/>
      </c>
      <c r="AH63" s="1497" t="n"/>
      <c r="AI63" s="1497">
        <f>Z63-AH63</f>
        <v/>
      </c>
      <c r="AJ63" s="1497">
        <f>IFERROR(100*AI63/AH63,"")</f>
        <v/>
      </c>
      <c r="AK63" s="1497">
        <f>IF(_epmOfflineCondition_,0,EPMRetrieveData(,AK$25,AK$26,AK$27,AK$28,AK$29,AK$30,$U63,$E$23,$D$25,$D$26,$D$27,$C$21,$D$28))</f>
        <v/>
      </c>
      <c r="AL63" s="1497">
        <f>AK63-Z63</f>
        <v/>
      </c>
      <c r="AM63" s="1497">
        <f>IFERROR(100*AL63/AK63,"")</f>
        <v/>
      </c>
      <c r="AN63" s="1497">
        <f>IF(_epmOfflineCondition_,0,EPMRetrieveData(,AN$25,AN$26,AN$27,AN$28,AN$29,AN$30,$U63,$E$23,$D$25,$D$26,$D$27,$C$21,$D$28))</f>
        <v/>
      </c>
      <c r="AO63" s="1497">
        <f>AN63-AA63</f>
        <v/>
      </c>
      <c r="AP63" s="1497">
        <f>IFERROR(100*AO63/AN63,"")</f>
        <v/>
      </c>
      <c r="AQ63" s="1497" t="n"/>
      <c r="AR63" s="1497">
        <f>-AQ63*10</f>
        <v/>
      </c>
      <c r="AS63" s="1497">
        <f>AA63-AR63</f>
        <v/>
      </c>
      <c r="AT63" s="1499">
        <f>IFERROR(100*AS63/AQ63,"")</f>
        <v/>
      </c>
      <c r="AU63" s="1500" t="n"/>
    </row>
    <row r="64">
      <c r="S64" s="462">
        <f>IF(_epmOfflineCondition_," 发电设备平均利用小时",EPMMemberDesc(U64))</f>
        <v/>
      </c>
      <c r="U64" s="197" t="inlineStr">
        <is>
          <t>A03403</t>
        </is>
      </c>
      <c r="V64" s="197">
        <f>IF(_epmOfflineCondition_,"A03403",EPMOlapMemberO(U64,"[C_ACCOUNT].[PARENTH1].[A03403]","A03403 -  发电设备平均利用小时","","000"))</f>
        <v/>
      </c>
      <c r="X64" s="1495" t="inlineStr">
        <is>
          <t>发电设备平均利用小时</t>
        </is>
      </c>
      <c r="Y64" s="1496" t="inlineStr">
        <is>
          <t>小时</t>
        </is>
      </c>
      <c r="Z64" s="1497">
        <f>IFERROR(Z50/Z57,0)</f>
        <v/>
      </c>
      <c r="AA64" s="1497">
        <f>IFERROR(AA50/AA57,0)</f>
        <v/>
      </c>
      <c r="AB64" s="1497">
        <f>IFERROR(AB50/AB57,0)</f>
        <v/>
      </c>
      <c r="AC64" s="1497">
        <f>IFERROR(AA64-AB64,0)</f>
        <v/>
      </c>
      <c r="AD64" s="1498">
        <f>IFERROR(100*AC64/AB64,"")</f>
        <v/>
      </c>
      <c r="AE64" s="1497">
        <f>IFERROR(AE50/AE57,0)</f>
        <v/>
      </c>
      <c r="AF64" s="1497">
        <f>Z64-AE64</f>
        <v/>
      </c>
      <c r="AG64" s="1497">
        <f>IFERROR(100*AF64/AE64,"")</f>
        <v/>
      </c>
      <c r="AH64" s="1497" t="n"/>
      <c r="AI64" s="1497">
        <f>Z64-AH64</f>
        <v/>
      </c>
      <c r="AJ64" s="1497">
        <f>IFERROR(100*AI64/AH64,"")</f>
        <v/>
      </c>
      <c r="AK64" s="1497">
        <f>IFERROR(AK50/AK57,0)</f>
        <v/>
      </c>
      <c r="AL64" s="1497">
        <f>AK64-Z64</f>
        <v/>
      </c>
      <c r="AM64" s="1497">
        <f>IFERROR(100*AL64/AK64,"")</f>
        <v/>
      </c>
      <c r="AN64" s="1497">
        <f>IFERROR(AN50/AN57,0)</f>
        <v/>
      </c>
      <c r="AO64" s="1497">
        <f>AN64-AA64</f>
        <v/>
      </c>
      <c r="AP64" s="1497">
        <f>IFERROR(100*AO64/AN64,"")</f>
        <v/>
      </c>
      <c r="AQ64" s="1497" t="n"/>
      <c r="AR64" s="1497">
        <f>-AQ64</f>
        <v/>
      </c>
      <c r="AS64" s="1497">
        <f>AA64-AR64</f>
        <v/>
      </c>
      <c r="AT64" s="1499">
        <f>IFERROR(100*AS64/AQ64,"")</f>
        <v/>
      </c>
      <c r="AU64" s="1500" t="inlineStr"/>
    </row>
    <row r="65">
      <c r="S65" s="462">
        <f>IF(_epmOfflineCondition_,"   其中：火电",EPMMemberDesc(U65))</f>
        <v/>
      </c>
      <c r="U65" s="197" t="inlineStr">
        <is>
          <t>A03404</t>
        </is>
      </c>
      <c r="V65" s="197">
        <f>IF(_epmOfflineCondition_,"A03404",EPMOlapMemberO(U65,"[C_ACCOUNT].[PARENTH1].[A03404]","A03404 -    其中：火电","","000"))</f>
        <v/>
      </c>
      <c r="X65" s="1495" t="inlineStr">
        <is>
          <t xml:space="preserve">  其中：火电</t>
        </is>
      </c>
      <c r="Y65" s="1496" t="inlineStr">
        <is>
          <t>小时</t>
        </is>
      </c>
      <c r="Z65" s="1497">
        <f>IFERROR(Z51/Z58,0)</f>
        <v/>
      </c>
      <c r="AA65" s="1497">
        <f>IFERROR(AA51/AA58,0)</f>
        <v/>
      </c>
      <c r="AB65" s="1497">
        <f>IFERROR(AB51/AB58,0)</f>
        <v/>
      </c>
      <c r="AC65" s="1497">
        <f>IFERROR(AA65-AB65,0)</f>
        <v/>
      </c>
      <c r="AD65" s="1498">
        <f>IFERROR(100*AC65/AB65,"")</f>
        <v/>
      </c>
      <c r="AE65" s="1497">
        <f>IFERROR(AE51/AE58,0)</f>
        <v/>
      </c>
      <c r="AF65" s="1497">
        <f>Z65-AE65</f>
        <v/>
      </c>
      <c r="AG65" s="1497">
        <f>IFERROR(100*AF65/AE65,"")</f>
        <v/>
      </c>
      <c r="AH65" s="1497" t="n"/>
      <c r="AI65" s="1497">
        <f>Z65-AH65</f>
        <v/>
      </c>
      <c r="AJ65" s="1497">
        <f>IFERROR(100*AI65/AH65,"")</f>
        <v/>
      </c>
      <c r="AK65" s="1497">
        <f>IFERROR(AK51/AK58,0)</f>
        <v/>
      </c>
      <c r="AL65" s="1497">
        <f>AK65-Z65</f>
        <v/>
      </c>
      <c r="AM65" s="1497">
        <f>IFERROR(100*AL65/AK65,"")</f>
        <v/>
      </c>
      <c r="AN65" s="1497">
        <f>IFERROR(AN51/AN58,0)</f>
        <v/>
      </c>
      <c r="AO65" s="1497">
        <f>AN65-AA65</f>
        <v/>
      </c>
      <c r="AP65" s="1497">
        <f>IFERROR(100*AO65/AN65,"")</f>
        <v/>
      </c>
      <c r="AQ65" s="1497" t="n"/>
      <c r="AR65" s="1497">
        <f>-AQ65</f>
        <v/>
      </c>
      <c r="AS65" s="1497">
        <f>AA65-AR65</f>
        <v/>
      </c>
      <c r="AT65" s="1499">
        <f>IFERROR(100*AS65/AQ65,"")</f>
        <v/>
      </c>
      <c r="AU65" s="1500" t="n"/>
    </row>
    <row r="66">
      <c r="S66" s="462">
        <f>IF(_epmOfflineCondition_,"         风电",EPMMemberDesc(U66))</f>
        <v/>
      </c>
      <c r="U66" s="197" t="inlineStr">
        <is>
          <t>A03405</t>
        </is>
      </c>
      <c r="V66" s="197">
        <f>IF(_epmOfflineCondition_,"A03405",EPMOlapMemberO(U66,"[C_ACCOUNT].[PARENTH1].[A03405]","A03405 -          风电","","000"))</f>
        <v/>
      </c>
      <c r="X66" s="1495" t="inlineStr">
        <is>
          <t xml:space="preserve">        风电</t>
        </is>
      </c>
      <c r="Y66" s="1496" t="inlineStr">
        <is>
          <t>小时</t>
        </is>
      </c>
      <c r="Z66" s="1497">
        <f>IFERROR(Z52/Z59,0)</f>
        <v/>
      </c>
      <c r="AA66" s="1497">
        <f>IFERROR(AA52/AA59,0)</f>
        <v/>
      </c>
      <c r="AB66" s="1497">
        <f>IFERROR(AB52/AB59,0)</f>
        <v/>
      </c>
      <c r="AC66" s="1497">
        <f>IFERROR(AA66-AB66,0)</f>
        <v/>
      </c>
      <c r="AD66" s="1498">
        <f>IFERROR(100*AC66/AB66,"")</f>
        <v/>
      </c>
      <c r="AE66" s="1497">
        <f>IFERROR(AE52/AE59,0)</f>
        <v/>
      </c>
      <c r="AF66" s="1497">
        <f>Z66-AE66</f>
        <v/>
      </c>
      <c r="AG66" s="1497">
        <f>IFERROR(100*AF66/AE66,"")</f>
        <v/>
      </c>
      <c r="AH66" s="1497" t="n"/>
      <c r="AI66" s="1497">
        <f>Z66-AH66</f>
        <v/>
      </c>
      <c r="AJ66" s="1497">
        <f>IFERROR(100*AI66/AH66,"")</f>
        <v/>
      </c>
      <c r="AK66" s="1497">
        <f>IFERROR(AK52/AK59,0)</f>
        <v/>
      </c>
      <c r="AL66" s="1497">
        <f>AK66-Z66</f>
        <v/>
      </c>
      <c r="AM66" s="1497">
        <f>IFERROR(100*AL66/AK66,"")</f>
        <v/>
      </c>
      <c r="AN66" s="1497">
        <f>IFERROR(AN52/AN59,0)</f>
        <v/>
      </c>
      <c r="AO66" s="1497">
        <f>AN66-AA66</f>
        <v/>
      </c>
      <c r="AP66" s="1497">
        <f>IFERROR(100*AO66/AN66,"")</f>
        <v/>
      </c>
      <c r="AQ66" s="1497" t="n"/>
      <c r="AR66" s="1497">
        <f>-AQ66</f>
        <v/>
      </c>
      <c r="AS66" s="1497">
        <f>AA66-AR66</f>
        <v/>
      </c>
      <c r="AT66" s="1499">
        <f>IFERROR(100*AS66/AQ66,"")</f>
        <v/>
      </c>
      <c r="AU66" s="1500" t="inlineStr"/>
    </row>
    <row r="67">
      <c r="S67" s="462">
        <f>IF(_epmOfflineCondition_,"         光伏",EPMMemberDesc(U67))</f>
        <v/>
      </c>
      <c r="U67" s="197" t="inlineStr">
        <is>
          <t>A03406</t>
        </is>
      </c>
      <c r="V67" s="197">
        <f>IF(_epmOfflineCondition_,"A03406",EPMOlapMemberO(U67,"[C_ACCOUNT].[PARENTH1].[A03406]","A03406 -          光伏","","000"))</f>
        <v/>
      </c>
      <c r="X67" s="1495" t="inlineStr">
        <is>
          <t xml:space="preserve">        光伏</t>
        </is>
      </c>
      <c r="Y67" s="1496" t="inlineStr">
        <is>
          <t>小时</t>
        </is>
      </c>
      <c r="Z67" s="1497">
        <f>IFERROR(Z53/Z60,0)</f>
        <v/>
      </c>
      <c r="AA67" s="1497">
        <f>IFERROR(AA53/AA60,0)</f>
        <v/>
      </c>
      <c r="AB67" s="1497">
        <f>IFERROR(AB53/AB60,0)</f>
        <v/>
      </c>
      <c r="AC67" s="1497">
        <f>IFERROR(AA67-AB67,0)</f>
        <v/>
      </c>
      <c r="AD67" s="1498">
        <f>IFERROR(100*AC67/AB67,"")</f>
        <v/>
      </c>
      <c r="AE67" s="1497">
        <f>IFERROR(AE53/AE60,0)</f>
        <v/>
      </c>
      <c r="AF67" s="1497">
        <f>Z67-AE67</f>
        <v/>
      </c>
      <c r="AG67" s="1497">
        <f>IFERROR(100*AF67/AE67,"")</f>
        <v/>
      </c>
      <c r="AH67" s="1497" t="n"/>
      <c r="AI67" s="1497">
        <f>Z67-AH67</f>
        <v/>
      </c>
      <c r="AJ67" s="1497">
        <f>IFERROR(100*AI67/AH67,"")</f>
        <v/>
      </c>
      <c r="AK67" s="1497">
        <f>IFERROR(AK53/AK60,0)</f>
        <v/>
      </c>
      <c r="AL67" s="1497">
        <f>AK67-Z67</f>
        <v/>
      </c>
      <c r="AM67" s="1497">
        <f>IFERROR(100*AL67/AK67,"")</f>
        <v/>
      </c>
      <c r="AN67" s="1497">
        <f>IFERROR(AN53/AN60,0)</f>
        <v/>
      </c>
      <c r="AO67" s="1497">
        <f>AN67-AA67</f>
        <v/>
      </c>
      <c r="AP67" s="1497">
        <f>IFERROR(100*AO67/AN67,"")</f>
        <v/>
      </c>
      <c r="AQ67" s="1497" t="n"/>
      <c r="AR67" s="1497">
        <f>-AQ67</f>
        <v/>
      </c>
      <c r="AS67" s="1497">
        <f>AA67-AR67</f>
        <v/>
      </c>
      <c r="AT67" s="1499">
        <f>IFERROR(100*AS67/AQ67,"")</f>
        <v/>
      </c>
      <c r="AU67" s="1500" t="n"/>
    </row>
    <row r="68">
      <c r="S68" s="462">
        <f>IF(_epmOfflineCondition_,"         燃气",EPMMemberDesc(U68))</f>
        <v/>
      </c>
      <c r="U68" s="197" t="inlineStr">
        <is>
          <t>A03407</t>
        </is>
      </c>
      <c r="V68" s="197">
        <f>IF(_epmOfflineCondition_,"A03407",EPMOlapMemberO(U68,"[C_ACCOUNT].[PARENTH1].[A03407]","A03407 -          燃气","","000"))</f>
        <v/>
      </c>
      <c r="X68" s="1495" t="inlineStr">
        <is>
          <t xml:space="preserve">        燃气</t>
        </is>
      </c>
      <c r="Y68" s="1496" t="inlineStr">
        <is>
          <t>小时</t>
        </is>
      </c>
      <c r="Z68" s="1497">
        <f>IFERROR(Z54/Z61,0)</f>
        <v/>
      </c>
      <c r="AA68" s="1497">
        <f>IFERROR(AA54/AA61,0)</f>
        <v/>
      </c>
      <c r="AB68" s="1497">
        <f>IFERROR(AB54/AB61,0)</f>
        <v/>
      </c>
      <c r="AC68" s="1497">
        <f>IFERROR(AA68-AB68,0)</f>
        <v/>
      </c>
      <c r="AD68" s="1498">
        <f>IFERROR(100*AC68/AB68,"")</f>
        <v/>
      </c>
      <c r="AE68" s="1497">
        <f>IFERROR(AE54/AE61,0)</f>
        <v/>
      </c>
      <c r="AF68" s="1497">
        <f>Z68-AE68</f>
        <v/>
      </c>
      <c r="AG68" s="1497">
        <f>IFERROR(100*AF68/AE68,"")</f>
        <v/>
      </c>
      <c r="AH68" s="1497" t="n"/>
      <c r="AI68" s="1497">
        <f>Z68-AH68</f>
        <v/>
      </c>
      <c r="AJ68" s="1497">
        <f>IFERROR(100*AI68/AH68,"")</f>
        <v/>
      </c>
      <c r="AK68" s="1497">
        <f>IFERROR(AK54/AK61,0)</f>
        <v/>
      </c>
      <c r="AL68" s="1497">
        <f>AK68-Z68</f>
        <v/>
      </c>
      <c r="AM68" s="1497">
        <f>IFERROR(100*AL68/AK68,"")</f>
        <v/>
      </c>
      <c r="AN68" s="1497">
        <f>IFERROR(AN54/AN61,0)</f>
        <v/>
      </c>
      <c r="AO68" s="1497">
        <f>AN68-AA68</f>
        <v/>
      </c>
      <c r="AP68" s="1497">
        <f>IFERROR(100*AO68/AN68,"")</f>
        <v/>
      </c>
      <c r="AQ68" s="1497" t="n"/>
      <c r="AR68" s="1497">
        <f>-AQ68</f>
        <v/>
      </c>
      <c r="AS68" s="1497">
        <f>AA68-AR68</f>
        <v/>
      </c>
      <c r="AT68" s="1499">
        <f>IFERROR(100*AS68/AQ68,"")</f>
        <v/>
      </c>
      <c r="AU68" s="1500" t="n"/>
    </row>
    <row r="69">
      <c r="S69" s="462">
        <f>IF(_epmOfflineCondition_,"         水电",EPMMemberDesc(U69))</f>
        <v/>
      </c>
      <c r="U69" s="197" t="inlineStr">
        <is>
          <t>A03408</t>
        </is>
      </c>
      <c r="V69" s="197">
        <f>IF(_epmOfflineCondition_,"A03408",EPMOlapMemberO(U69,"[C_ACCOUNT].[PARENTH1].[A03408]","A03408 -          水电","","000"))</f>
        <v/>
      </c>
      <c r="X69" s="1495" t="inlineStr">
        <is>
          <t xml:space="preserve">        水电</t>
        </is>
      </c>
      <c r="Y69" s="1496" t="inlineStr">
        <is>
          <t>小时</t>
        </is>
      </c>
      <c r="Z69" s="1497">
        <f>IFERROR(Z55/Z62,0)</f>
        <v/>
      </c>
      <c r="AA69" s="1497">
        <f>IFERROR(AA55/AA62,0)</f>
        <v/>
      </c>
      <c r="AB69" s="1497">
        <f>IFERROR(AB55/AB62,0)</f>
        <v/>
      </c>
      <c r="AC69" s="1497">
        <f>IFERROR(AA69-AB69,0)</f>
        <v/>
      </c>
      <c r="AD69" s="1498">
        <f>IFERROR(100*AC69/AB69,"")</f>
        <v/>
      </c>
      <c r="AE69" s="1497">
        <f>IFERROR(AE55/AE62,0)</f>
        <v/>
      </c>
      <c r="AF69" s="1497">
        <f>Z69-AE69</f>
        <v/>
      </c>
      <c r="AG69" s="1497">
        <f>IFERROR(100*AF69/AE69,"")</f>
        <v/>
      </c>
      <c r="AH69" s="1497" t="n"/>
      <c r="AI69" s="1497">
        <f>Z69-AH69</f>
        <v/>
      </c>
      <c r="AJ69" s="1497">
        <f>IFERROR(100*AI69/AH69,"")</f>
        <v/>
      </c>
      <c r="AK69" s="1497">
        <f>IFERROR(AK55/AK62,0)</f>
        <v/>
      </c>
      <c r="AL69" s="1497">
        <f>AK69-Z69</f>
        <v/>
      </c>
      <c r="AM69" s="1497">
        <f>IFERROR(100*AL69/AK69,"")</f>
        <v/>
      </c>
      <c r="AN69" s="1497">
        <f>IFERROR(AN55/AN62,0)</f>
        <v/>
      </c>
      <c r="AO69" s="1497">
        <f>AN69-AA69</f>
        <v/>
      </c>
      <c r="AP69" s="1497">
        <f>IFERROR(100*AO69/AN69,"")</f>
        <v/>
      </c>
      <c r="AQ69" s="1497" t="n"/>
      <c r="AR69" s="1497">
        <f>-AQ69</f>
        <v/>
      </c>
      <c r="AS69" s="1497">
        <f>AA69-AR69</f>
        <v/>
      </c>
      <c r="AT69" s="1499">
        <f>IFERROR(100*AS69/AQ69,"")</f>
        <v/>
      </c>
      <c r="AU69" s="1500" t="n"/>
    </row>
    <row r="70">
      <c r="S70" s="462">
        <f>IF(_epmOfflineCondition_,"         其他",EPMMemberDesc(U70))</f>
        <v/>
      </c>
      <c r="U70" s="197" t="inlineStr">
        <is>
          <t>A03409</t>
        </is>
      </c>
      <c r="V70" s="197">
        <f>IF(_epmOfflineCondition_,"A03409",EPMOlapMemberO(U70,"[C_ACCOUNT].[PARENTH1].[A03409]","A03409 -          其他","","000"))</f>
        <v/>
      </c>
      <c r="X70" s="1495" t="inlineStr">
        <is>
          <t xml:space="preserve">        其他</t>
        </is>
      </c>
      <c r="Y70" s="1496" t="inlineStr">
        <is>
          <t>小时</t>
        </is>
      </c>
      <c r="Z70" s="1497">
        <f>IFERROR(Z56/Z63,0)</f>
        <v/>
      </c>
      <c r="AA70" s="1497">
        <f>IFERROR(AA56/AA63,0)</f>
        <v/>
      </c>
      <c r="AB70" s="1497">
        <f>IFERROR(AB56/AB63,0)</f>
        <v/>
      </c>
      <c r="AC70" s="1497">
        <f>IFERROR(AA70-AB70,0)</f>
        <v/>
      </c>
      <c r="AD70" s="1498">
        <f>IFERROR(100*AC70/AB70,"")</f>
        <v/>
      </c>
      <c r="AE70" s="1497">
        <f>IFERROR(AE56/AE63,0)</f>
        <v/>
      </c>
      <c r="AF70" s="1497">
        <f>Z70-AE70</f>
        <v/>
      </c>
      <c r="AG70" s="1497">
        <f>IFERROR(100*AF70/AE70,"")</f>
        <v/>
      </c>
      <c r="AH70" s="1497" t="n"/>
      <c r="AI70" s="1497">
        <f>Z70-AH70</f>
        <v/>
      </c>
      <c r="AJ70" s="1497">
        <f>IFERROR(100*AI70/AH70,"")</f>
        <v/>
      </c>
      <c r="AK70" s="1497">
        <f>IFERROR(AK56/AK63,0)</f>
        <v/>
      </c>
      <c r="AL70" s="1497">
        <f>AK70-Z70</f>
        <v/>
      </c>
      <c r="AM70" s="1497">
        <f>IFERROR(100*AL70/AK70,"")</f>
        <v/>
      </c>
      <c r="AN70" s="1497">
        <f>IFERROR(AN56/AN63,0)</f>
        <v/>
      </c>
      <c r="AO70" s="1497">
        <f>AN70-AA70</f>
        <v/>
      </c>
      <c r="AP70" s="1497">
        <f>IFERROR(100*AO70/AN70,"")</f>
        <v/>
      </c>
      <c r="AQ70" s="1497" t="n"/>
      <c r="AR70" s="1497">
        <f>-AQ70</f>
        <v/>
      </c>
      <c r="AS70" s="1497">
        <f>AA70-AR70</f>
        <v/>
      </c>
      <c r="AT70" s="1499">
        <f>IFERROR(100*AS70/AQ70,"")</f>
        <v/>
      </c>
      <c r="AU70" s="1500" t="n"/>
    </row>
    <row r="71">
      <c r="S71" s="462">
        <f>IF(_epmOfflineCondition_," 发电厂用电量",EPMMemberDesc(U71))</f>
        <v/>
      </c>
      <c r="U71" s="197" t="inlineStr">
        <is>
          <t>A03410</t>
        </is>
      </c>
      <c r="V71" s="197">
        <f>IF(_epmOfflineCondition_,"A03410",EPMOlapMemberO(U71,"[C_ACCOUNT].[PARENTH1].[A03410]","A03410 -  发电厂用电量","","000"))</f>
        <v/>
      </c>
      <c r="X71" s="1495" t="inlineStr">
        <is>
          <t>发电厂用电量</t>
        </is>
      </c>
      <c r="Y71" s="1496" t="inlineStr">
        <is>
          <t>千千瓦时</t>
        </is>
      </c>
      <c r="Z71" s="1497">
        <f>SUM(Z72:Z77)</f>
        <v/>
      </c>
      <c r="AA71" s="1497">
        <f>SUM(AA72:AA77)</f>
        <v/>
      </c>
      <c r="AB71" s="1497" t="inlineStr"/>
      <c r="AC71" s="1497">
        <f>IFERROR(AA71-AB71,0)</f>
        <v/>
      </c>
      <c r="AD71" s="1498">
        <f>IFERROR(100*AC71/AB71,"")</f>
        <v/>
      </c>
      <c r="AE71" s="1497" t="inlineStr"/>
      <c r="AF71" s="1497">
        <f>Z71-AE71</f>
        <v/>
      </c>
      <c r="AG71" s="1497">
        <f>IFERROR(100*AF71/AE71,"")</f>
        <v/>
      </c>
      <c r="AH71" s="1497" t="inlineStr"/>
      <c r="AI71" s="1497">
        <f>Z71-AH71</f>
        <v/>
      </c>
      <c r="AJ71" s="1497">
        <f>IFERROR(100*AI71/AH71,"")</f>
        <v/>
      </c>
      <c r="AK71" s="1497">
        <f>SUM(AK72:AK77)</f>
        <v/>
      </c>
      <c r="AL71" s="1497">
        <f>AK71-Z71</f>
        <v/>
      </c>
      <c r="AM71" s="1497">
        <f>IFERROR(100*AL71/AK71,"")</f>
        <v/>
      </c>
      <c r="AN71" s="1497">
        <f>SUM(AN72:AN77)</f>
        <v/>
      </c>
      <c r="AO71" s="1497">
        <f>AN71-AA71</f>
        <v/>
      </c>
      <c r="AP71" s="1497">
        <f>IFERROR(100*AO71/AN71,"")</f>
        <v/>
      </c>
      <c r="AQ71" s="1497" t="n"/>
      <c r="AR71" s="1497">
        <f>-AQ71*10</f>
        <v/>
      </c>
      <c r="AS71" s="1497">
        <f>AA71-AR71</f>
        <v/>
      </c>
      <c r="AT71" s="1499">
        <f>IFERROR(100*AS71/AQ71,"")</f>
        <v/>
      </c>
      <c r="AU71" s="1500" t="inlineStr"/>
    </row>
    <row r="72">
      <c r="S72" s="462">
        <f>IF(_epmOfflineCondition_,"   其中：火电",EPMMemberDesc(U72))</f>
        <v/>
      </c>
      <c r="U72" s="197" t="inlineStr">
        <is>
          <t>A0341001</t>
        </is>
      </c>
      <c r="V72" s="199">
        <f>IF(_epmOfflineCondition_,"A0341001",EPMOlapMemberO(U72,"[C_ACCOUNT].[PARENTH1].[A0341001]","A0341001 -    其中：火电","","000"))</f>
        <v/>
      </c>
      <c r="X72" s="1495" t="inlineStr">
        <is>
          <t xml:space="preserve">  其中：火电</t>
        </is>
      </c>
      <c r="Y72" s="1496" t="inlineStr">
        <is>
          <t>千千瓦时</t>
        </is>
      </c>
      <c r="Z72" s="1497">
        <f>IF($I$8="01",AA72,AA72-AU72)</f>
        <v/>
      </c>
      <c r="AA72" s="1501" t="n"/>
      <c r="AB72" s="1497" t="n"/>
      <c r="AC72" s="1497">
        <f>IFERROR(AA72-AB72,0)</f>
        <v/>
      </c>
      <c r="AD72" s="1498">
        <f>IFERROR(100*AC72/AB72,"")</f>
        <v/>
      </c>
      <c r="AE72" s="1497" t="n"/>
      <c r="AF72" s="1497">
        <f>Z72-AE72</f>
        <v/>
      </c>
      <c r="AG72" s="1497">
        <f>IFERROR(100*AF72/AE72,"")</f>
        <v/>
      </c>
      <c r="AH72" s="1497" t="n"/>
      <c r="AI72" s="1497">
        <f>Z72-AH72</f>
        <v/>
      </c>
      <c r="AJ72" s="1497">
        <f>IFERROR(100*AI72/AH72,"")</f>
        <v/>
      </c>
      <c r="AK72" s="1497">
        <f>IF(_epmOfflineCondition_,0,EPMRetrieveData(,AK$25,AK$26,AK$27,AK$28,AK$29,AK$30,$U72,$E$23,$D$25,$D$26,$D$27,$C$21,$D$28))</f>
        <v/>
      </c>
      <c r="AL72" s="1497">
        <f>AK72-Z72</f>
        <v/>
      </c>
      <c r="AM72" s="1497">
        <f>IFERROR(100*AL72/AK72,"")</f>
        <v/>
      </c>
      <c r="AN72" s="1497">
        <f>IF(_epmOfflineCondition_,0,EPMRetrieveData(,AN$25,AN$26,AN$27,AN$28,AN$29,AN$30,$U72,$E$23,$D$25,$D$26,$D$27,$C$21,$D$28))</f>
        <v/>
      </c>
      <c r="AO72" s="1497">
        <f>AN72-AA72</f>
        <v/>
      </c>
      <c r="AP72" s="1497">
        <f>IFERROR(100*AO72/AN72,"")</f>
        <v/>
      </c>
      <c r="AQ72" s="1497" t="n"/>
      <c r="AR72" s="1497">
        <f>-AQ72*10</f>
        <v/>
      </c>
      <c r="AS72" s="1497">
        <f>AA72-AR72</f>
        <v/>
      </c>
      <c r="AT72" s="1499">
        <f>IFERROR(100*AS72/AQ72,"")</f>
        <v/>
      </c>
      <c r="AU72" s="1500" t="n"/>
    </row>
    <row r="73">
      <c r="S73" s="462">
        <f>IF(_epmOfflineCondition_,"         风电",EPMMemberDesc(U73))</f>
        <v/>
      </c>
      <c r="U73" s="197" t="inlineStr">
        <is>
          <t>A0341002</t>
        </is>
      </c>
      <c r="V73" s="199">
        <f>IF(_epmOfflineCondition_,"A0341002",EPMOlapMemberO(U73,"[C_ACCOUNT].[PARENTH1].[A0341002]","A0341002 -          风电","","000"))</f>
        <v/>
      </c>
      <c r="X73" s="1495" t="inlineStr">
        <is>
          <t xml:space="preserve">        风电</t>
        </is>
      </c>
      <c r="Y73" s="1496" t="inlineStr">
        <is>
          <t>千千瓦时</t>
        </is>
      </c>
      <c r="Z73" s="1497">
        <f>IF($I$8="01",AA73,AA73-AU73)</f>
        <v/>
      </c>
      <c r="AA73" s="1501" t="inlineStr"/>
      <c r="AB73" s="1497" t="inlineStr"/>
      <c r="AC73" s="1497">
        <f>IFERROR(AA73-AB73,0)</f>
        <v/>
      </c>
      <c r="AD73" s="1498">
        <f>IFERROR(100*AC73/AB73,"")</f>
        <v/>
      </c>
      <c r="AE73" s="1497" t="inlineStr"/>
      <c r="AF73" s="1497">
        <f>Z73-AE73</f>
        <v/>
      </c>
      <c r="AG73" s="1497">
        <f>IFERROR(100*AF73/AE73,"")</f>
        <v/>
      </c>
      <c r="AH73" s="1497" t="inlineStr"/>
      <c r="AI73" s="1497">
        <f>Z73-AH73</f>
        <v/>
      </c>
      <c r="AJ73" s="1497">
        <f>IFERROR(100*AI73/AH73,"")</f>
        <v/>
      </c>
      <c r="AK73" s="1497">
        <f>IF(_epmOfflineCondition_,0,EPMRetrieveData(,AK$25,AK$26,AK$27,AK$28,AK$29,AK$30,$U73,$E$23,$D$25,$D$26,$D$27,$C$21,$D$28))</f>
        <v/>
      </c>
      <c r="AL73" s="1497">
        <f>AK73-Z73</f>
        <v/>
      </c>
      <c r="AM73" s="1497">
        <f>IFERROR(100*AL73/AK73,"")</f>
        <v/>
      </c>
      <c r="AN73" s="1497">
        <f>IF(_epmOfflineCondition_,0,EPMRetrieveData(,AN$25,AN$26,AN$27,AN$28,AN$29,AN$30,$U73,$E$23,$D$25,$D$26,$D$27,$C$21,$D$28))</f>
        <v/>
      </c>
      <c r="AO73" s="1497">
        <f>AN73-AA73</f>
        <v/>
      </c>
      <c r="AP73" s="1497">
        <f>IFERROR(100*AO73/AN73,"")</f>
        <v/>
      </c>
      <c r="AQ73" s="1497" t="n"/>
      <c r="AR73" s="1497">
        <f>-AQ73*10</f>
        <v/>
      </c>
      <c r="AS73" s="1497">
        <f>AA73-AR73</f>
        <v/>
      </c>
      <c r="AT73" s="1499">
        <f>IFERROR(100*AS73/AQ73,"")</f>
        <v/>
      </c>
      <c r="AU73" s="1500" t="inlineStr"/>
    </row>
    <row r="74">
      <c r="S74" s="462">
        <f>IF(_epmOfflineCondition_,"         光伏",EPMMemberDesc(U74))</f>
        <v/>
      </c>
      <c r="U74" s="197" t="inlineStr">
        <is>
          <t>A0341003</t>
        </is>
      </c>
      <c r="V74" s="199">
        <f>IF(_epmOfflineCondition_,"A0341003",EPMOlapMemberO(U74,"[C_ACCOUNT].[PARENTH1].[A0341003]","A0341003 -          光伏","","000"))</f>
        <v/>
      </c>
      <c r="X74" s="1495" t="inlineStr">
        <is>
          <t xml:space="preserve">        光伏</t>
        </is>
      </c>
      <c r="Y74" s="1496" t="inlineStr">
        <is>
          <t>千千瓦时</t>
        </is>
      </c>
      <c r="Z74" s="1497">
        <f>IF($I$8="01",AA74,AA74-AU74)</f>
        <v/>
      </c>
      <c r="AA74" s="1501" t="n"/>
      <c r="AB74" s="1497" t="n"/>
      <c r="AC74" s="1497">
        <f>IFERROR(AA74-AB74,0)</f>
        <v/>
      </c>
      <c r="AD74" s="1498">
        <f>IFERROR(100*AC74/AB74,"")</f>
        <v/>
      </c>
      <c r="AE74" s="1497" t="n"/>
      <c r="AF74" s="1497">
        <f>Z74-AE74</f>
        <v/>
      </c>
      <c r="AG74" s="1497">
        <f>IFERROR(100*AF74/AE74,"")</f>
        <v/>
      </c>
      <c r="AH74" s="1497" t="n"/>
      <c r="AI74" s="1497">
        <f>Z74-AH74</f>
        <v/>
      </c>
      <c r="AJ74" s="1497">
        <f>IFERROR(100*AI74/AH74,"")</f>
        <v/>
      </c>
      <c r="AK74" s="1497">
        <f>IF(_epmOfflineCondition_,0,EPMRetrieveData(,AK$25,AK$26,AK$27,AK$28,AK$29,AK$30,$U74,$E$23,$D$25,$D$26,$D$27,$C$21,$D$28))</f>
        <v/>
      </c>
      <c r="AL74" s="1497">
        <f>AK74-Z74</f>
        <v/>
      </c>
      <c r="AM74" s="1497">
        <f>IFERROR(100*AL74/AK74,"")</f>
        <v/>
      </c>
      <c r="AN74" s="1497">
        <f>IF(_epmOfflineCondition_,0,EPMRetrieveData(,AN$25,AN$26,AN$27,AN$28,AN$29,AN$30,$U74,$E$23,$D$25,$D$26,$D$27,$C$21,$D$28))</f>
        <v/>
      </c>
      <c r="AO74" s="1497">
        <f>AN74-AA74</f>
        <v/>
      </c>
      <c r="AP74" s="1497">
        <f>IFERROR(100*AO74/AN74,"")</f>
        <v/>
      </c>
      <c r="AQ74" s="1497" t="n"/>
      <c r="AR74" s="1497">
        <f>-AQ74*10</f>
        <v/>
      </c>
      <c r="AS74" s="1497">
        <f>AA74-AR74</f>
        <v/>
      </c>
      <c r="AT74" s="1499">
        <f>IFERROR(100*AS74/AQ74,"")</f>
        <v/>
      </c>
      <c r="AU74" s="1500" t="n"/>
    </row>
    <row r="75">
      <c r="S75" s="462">
        <f>IF(_epmOfflineCondition_,"         燃气",EPMMemberDesc(U75))</f>
        <v/>
      </c>
      <c r="U75" s="197" t="inlineStr">
        <is>
          <t>A0341004</t>
        </is>
      </c>
      <c r="V75" s="199">
        <f>IF(_epmOfflineCondition_,"A0341004",EPMOlapMemberO(U75,"[C_ACCOUNT].[PARENTH1].[A0341004]","A0341004 -          燃气","","000"))</f>
        <v/>
      </c>
      <c r="X75" s="1495" t="inlineStr">
        <is>
          <t xml:space="preserve">        燃气</t>
        </is>
      </c>
      <c r="Y75" s="1496" t="inlineStr">
        <is>
          <t>千千瓦时</t>
        </is>
      </c>
      <c r="Z75" s="1497">
        <f>IF($I$8="01",AA75,AA75-AU75)</f>
        <v/>
      </c>
      <c r="AA75" s="1501" t="n"/>
      <c r="AB75" s="1497" t="n"/>
      <c r="AC75" s="1497">
        <f>IFERROR(AA75-AB75,0)</f>
        <v/>
      </c>
      <c r="AD75" s="1498">
        <f>IFERROR(100*AC75/AB75,"")</f>
        <v/>
      </c>
      <c r="AE75" s="1497" t="n"/>
      <c r="AF75" s="1497">
        <f>Z75-AE75</f>
        <v/>
      </c>
      <c r="AG75" s="1497">
        <f>IFERROR(100*AF75/AE75,"")</f>
        <v/>
      </c>
      <c r="AH75" s="1497" t="n"/>
      <c r="AI75" s="1497">
        <f>Z75-AH75</f>
        <v/>
      </c>
      <c r="AJ75" s="1497">
        <f>IFERROR(100*AI75/AH75,"")</f>
        <v/>
      </c>
      <c r="AK75" s="1497">
        <f>IF(_epmOfflineCondition_,0,EPMRetrieveData(,AK$25,AK$26,AK$27,AK$28,AK$29,AK$30,$U75,$E$23,$D$25,$D$26,$D$27,$C$21,$D$28))</f>
        <v/>
      </c>
      <c r="AL75" s="1497">
        <f>AK75-Z75</f>
        <v/>
      </c>
      <c r="AM75" s="1497">
        <f>IFERROR(100*AL75/AK75,"")</f>
        <v/>
      </c>
      <c r="AN75" s="1497">
        <f>IF(_epmOfflineCondition_,0,EPMRetrieveData(,AN$25,AN$26,AN$27,AN$28,AN$29,AN$30,$U75,$E$23,$D$25,$D$26,$D$27,$C$21,$D$28))</f>
        <v/>
      </c>
      <c r="AO75" s="1497">
        <f>AN75-AA75</f>
        <v/>
      </c>
      <c r="AP75" s="1497">
        <f>IFERROR(100*AO75/AN75,"")</f>
        <v/>
      </c>
      <c r="AQ75" s="1497" t="n"/>
      <c r="AR75" s="1497">
        <f>-AQ75*10</f>
        <v/>
      </c>
      <c r="AS75" s="1497">
        <f>AA75-AR75</f>
        <v/>
      </c>
      <c r="AT75" s="1499">
        <f>IFERROR(100*AS75/AQ75,"")</f>
        <v/>
      </c>
      <c r="AU75" s="1500" t="n"/>
    </row>
    <row r="76">
      <c r="S76" s="462">
        <f>IF(_epmOfflineCondition_,"         水电",EPMMemberDesc(U76))</f>
        <v/>
      </c>
      <c r="U76" s="197" t="inlineStr">
        <is>
          <t>A0341005</t>
        </is>
      </c>
      <c r="V76" s="199">
        <f>IF(_epmOfflineCondition_,"A0341005",EPMOlapMemberO(U76,"[C_ACCOUNT].[PARENTH1].[A0341005]","A0341005 -          水电","","000"))</f>
        <v/>
      </c>
      <c r="X76" s="1495" t="inlineStr">
        <is>
          <t xml:space="preserve">        水电</t>
        </is>
      </c>
      <c r="Y76" s="1496" t="inlineStr">
        <is>
          <t>千千瓦时</t>
        </is>
      </c>
      <c r="Z76" s="1497">
        <f>IF($I$8="01",AA76,AA76-AU76)</f>
        <v/>
      </c>
      <c r="AA76" s="1501" t="n"/>
      <c r="AB76" s="1497" t="n"/>
      <c r="AC76" s="1497">
        <f>IFERROR(AA76-AB76,0)</f>
        <v/>
      </c>
      <c r="AD76" s="1498">
        <f>IFERROR(100*AC76/AB76,"")</f>
        <v/>
      </c>
      <c r="AE76" s="1497" t="n"/>
      <c r="AF76" s="1497">
        <f>Z76-AE76</f>
        <v/>
      </c>
      <c r="AG76" s="1497">
        <f>IFERROR(100*AF76/AE76,"")</f>
        <v/>
      </c>
      <c r="AH76" s="1497" t="n"/>
      <c r="AI76" s="1497">
        <f>Z76-AH76</f>
        <v/>
      </c>
      <c r="AJ76" s="1497">
        <f>IFERROR(100*AI76/AH76,"")</f>
        <v/>
      </c>
      <c r="AK76" s="1497">
        <f>IF(_epmOfflineCondition_,0,EPMRetrieveData(,AK$25,AK$26,AK$27,AK$28,AK$29,AK$30,$U76,$E$23,$D$25,$D$26,$D$27,$C$21,$D$28))</f>
        <v/>
      </c>
      <c r="AL76" s="1497">
        <f>AK76-Z76</f>
        <v/>
      </c>
      <c r="AM76" s="1497">
        <f>IFERROR(100*AL76/AK76,"")</f>
        <v/>
      </c>
      <c r="AN76" s="1497">
        <f>IF(_epmOfflineCondition_,0,EPMRetrieveData(,AN$25,AN$26,AN$27,AN$28,AN$29,AN$30,$U76,$E$23,$D$25,$D$26,$D$27,$C$21,$D$28))</f>
        <v/>
      </c>
      <c r="AO76" s="1497">
        <f>AN76-AA76</f>
        <v/>
      </c>
      <c r="AP76" s="1497">
        <f>IFERROR(100*AO76/AN76,"")</f>
        <v/>
      </c>
      <c r="AQ76" s="1497" t="n"/>
      <c r="AR76" s="1497">
        <f>-AQ76*10</f>
        <v/>
      </c>
      <c r="AS76" s="1497">
        <f>AA76-AR76</f>
        <v/>
      </c>
      <c r="AT76" s="1499">
        <f>IFERROR(100*AS76/AQ76,"")</f>
        <v/>
      </c>
      <c r="AU76" s="1500" t="n"/>
    </row>
    <row r="77">
      <c r="S77" s="462">
        <f>IF(_epmOfflineCondition_,"         其他",EPMMemberDesc(U77))</f>
        <v/>
      </c>
      <c r="U77" s="197" t="inlineStr">
        <is>
          <t>A0341006</t>
        </is>
      </c>
      <c r="V77" s="199">
        <f>IF(_epmOfflineCondition_,"A0341006",EPMOlapMemberO(U77,"[C_ACCOUNT].[PARENTH1].[A0341006]","A0341006 -          其他","","000"))</f>
        <v/>
      </c>
      <c r="X77" s="1495" t="inlineStr">
        <is>
          <t xml:space="preserve">        其他</t>
        </is>
      </c>
      <c r="Y77" s="1496" t="inlineStr">
        <is>
          <t>千千瓦时</t>
        </is>
      </c>
      <c r="Z77" s="1497">
        <f>IF($I$8="01",AA77,AA77-AU77)</f>
        <v/>
      </c>
      <c r="AA77" s="1501" t="n"/>
      <c r="AB77" s="1497" t="n"/>
      <c r="AC77" s="1497">
        <f>IFERROR(AA77-AB77,0)</f>
        <v/>
      </c>
      <c r="AD77" s="1498">
        <f>IFERROR(100*AC77/AB77,"")</f>
        <v/>
      </c>
      <c r="AE77" s="1497" t="n"/>
      <c r="AF77" s="1497">
        <f>Z77-AE77</f>
        <v/>
      </c>
      <c r="AG77" s="1497">
        <f>IFERROR(100*AF77/AE77,"")</f>
        <v/>
      </c>
      <c r="AH77" s="1497" t="n"/>
      <c r="AI77" s="1497">
        <f>Z77-AH77</f>
        <v/>
      </c>
      <c r="AJ77" s="1497">
        <f>IFERROR(100*AI77/AH77,"")</f>
        <v/>
      </c>
      <c r="AK77" s="1497">
        <f>IF(_epmOfflineCondition_,0,EPMRetrieveData(,AK$25,AK$26,AK$27,AK$28,AK$29,AK$30,$U77,$E$23,$D$25,$D$26,$D$27,$C$21,$D$28))</f>
        <v/>
      </c>
      <c r="AL77" s="1497">
        <f>AK77-Z77</f>
        <v/>
      </c>
      <c r="AM77" s="1497">
        <f>IFERROR(100*AL77/AK77,"")</f>
        <v/>
      </c>
      <c r="AN77" s="1497">
        <f>IF(_epmOfflineCondition_,0,EPMRetrieveData(,AN$25,AN$26,AN$27,AN$28,AN$29,AN$30,$U77,$E$23,$D$25,$D$26,$D$27,$C$21,$D$28))</f>
        <v/>
      </c>
      <c r="AO77" s="1497">
        <f>AN77-AA77</f>
        <v/>
      </c>
      <c r="AP77" s="1497">
        <f>IFERROR(100*AO77/AN77,"")</f>
        <v/>
      </c>
      <c r="AQ77" s="1497" t="n"/>
      <c r="AR77" s="1497">
        <f>-AQ77*10</f>
        <v/>
      </c>
      <c r="AS77" s="1497">
        <f>AA77-AR77</f>
        <v/>
      </c>
      <c r="AT77" s="1499">
        <f>IFERROR(100*AS77/AQ77,"")</f>
        <v/>
      </c>
      <c r="AU77" s="1500" t="n"/>
    </row>
    <row r="78">
      <c r="S78" s="462">
        <f>IF(_epmOfflineCondition_," 供热厂用电量",EPMMemberDesc(U78))</f>
        <v/>
      </c>
      <c r="U78" s="197" t="inlineStr">
        <is>
          <t>A03411</t>
        </is>
      </c>
      <c r="V78" s="197">
        <f>IF(_epmOfflineCondition_,"A03411",EPMOlapMemberO(U78,"[C_ACCOUNT].[PARENTH1].[A03411]","A03411 -  供热厂用电量","","000"))</f>
        <v/>
      </c>
      <c r="X78" s="1495" t="inlineStr">
        <is>
          <t>供热厂用电量</t>
        </is>
      </c>
      <c r="Y78" s="1496" t="inlineStr">
        <is>
          <t>千千瓦时</t>
        </is>
      </c>
      <c r="Z78" s="1497">
        <f>SUM(Z79:Z80)</f>
        <v/>
      </c>
      <c r="AA78" s="1497">
        <f>SUM(AA79:AA80)</f>
        <v/>
      </c>
      <c r="AB78" s="1497" t="n"/>
      <c r="AC78" s="1497">
        <f>IFERROR(AA78-AB78,0)</f>
        <v/>
      </c>
      <c r="AD78" s="1498">
        <f>IFERROR(100*AC78/AB78,"")</f>
        <v/>
      </c>
      <c r="AE78" s="1497" t="n"/>
      <c r="AF78" s="1497">
        <f>Z78-AE78</f>
        <v/>
      </c>
      <c r="AG78" s="1497">
        <f>IFERROR(100*AF78/AE78,"")</f>
        <v/>
      </c>
      <c r="AH78" s="1497" t="n"/>
      <c r="AI78" s="1497">
        <f>Z78-AH78</f>
        <v/>
      </c>
      <c r="AJ78" s="1497">
        <f>IFERROR(100*AI78/AH78,"")</f>
        <v/>
      </c>
      <c r="AK78" s="1497">
        <f>SUM(AK79:AK80)</f>
        <v/>
      </c>
      <c r="AL78" s="1497">
        <f>AK78-Z78</f>
        <v/>
      </c>
      <c r="AM78" s="1497">
        <f>IFERROR(100*AL78/AK78,"")</f>
        <v/>
      </c>
      <c r="AN78" s="1497">
        <f>SUM(AN79:AN80)</f>
        <v/>
      </c>
      <c r="AO78" s="1497">
        <f>AN78-AA78</f>
        <v/>
      </c>
      <c r="AP78" s="1497">
        <f>IFERROR(100*AO78/AN78,"")</f>
        <v/>
      </c>
      <c r="AQ78" s="1497" t="n"/>
      <c r="AR78" s="1497">
        <f>-AQ78*10</f>
        <v/>
      </c>
      <c r="AS78" s="1497">
        <f>AA78-AR78</f>
        <v/>
      </c>
      <c r="AT78" s="1499">
        <f>IFERROR(100*AS78/AQ78,"")</f>
        <v/>
      </c>
      <c r="AU78" s="1500" t="n"/>
    </row>
    <row r="79">
      <c r="S79" s="462">
        <f>IF(_epmOfflineCondition_,"   其中：燃煤",EPMMemberDesc(U79))</f>
        <v/>
      </c>
      <c r="U79" s="197" t="inlineStr">
        <is>
          <t>A0341101</t>
        </is>
      </c>
      <c r="V79" s="199">
        <f>IF(_epmOfflineCondition_,"A0341101",EPMOlapMemberO(U79,"[C_ACCOUNT].[PARENTH1].[A0341101]","A0341101 -    其中：燃煤","","000"))</f>
        <v/>
      </c>
      <c r="X79" s="1495" t="inlineStr">
        <is>
          <t xml:space="preserve">  其中：燃煤</t>
        </is>
      </c>
      <c r="Y79" s="1496" t="inlineStr">
        <is>
          <t>千千瓦时</t>
        </is>
      </c>
      <c r="Z79" s="1497">
        <f>IF($I$8="01",AA79,AA79-AU79)</f>
        <v/>
      </c>
      <c r="AA79" s="1501" t="n"/>
      <c r="AB79" s="1497" t="n"/>
      <c r="AC79" s="1497">
        <f>IFERROR(AA79-AB79,0)</f>
        <v/>
      </c>
      <c r="AD79" s="1498">
        <f>IFERROR(100*AC79/AB79,"")</f>
        <v/>
      </c>
      <c r="AE79" s="1497" t="n"/>
      <c r="AF79" s="1497">
        <f>Z79-AE79</f>
        <v/>
      </c>
      <c r="AG79" s="1497">
        <f>IFERROR(100*AF79/AE79,"")</f>
        <v/>
      </c>
      <c r="AH79" s="1497" t="n"/>
      <c r="AI79" s="1497">
        <f>Z79-AH79</f>
        <v/>
      </c>
      <c r="AJ79" s="1497">
        <f>IFERROR(100*AI79/AH79,"")</f>
        <v/>
      </c>
      <c r="AK79" s="1497">
        <f>IF(_epmOfflineCondition_,0,EPMRetrieveData(,AK$25,AK$26,AK$27,AK$28,AK$29,AK$30,$U79,$E$23,$D$25,$D$26,$D$27,$C$21,$D$28))</f>
        <v/>
      </c>
      <c r="AL79" s="1497">
        <f>AK79-Z79</f>
        <v/>
      </c>
      <c r="AM79" s="1497">
        <f>IFERROR(100*AL79/AK79,"")</f>
        <v/>
      </c>
      <c r="AN79" s="1497">
        <f>IF(_epmOfflineCondition_,0,EPMRetrieveData(,AN$25,AN$26,AN$27,AN$28,AN$29,AN$30,$U79,$E$23,$D$25,$D$26,$D$27,$C$21,$D$28))</f>
        <v/>
      </c>
      <c r="AO79" s="1497">
        <f>AN79-AA79</f>
        <v/>
      </c>
      <c r="AP79" s="1497">
        <f>IFERROR(100*AO79/AN79,"")</f>
        <v/>
      </c>
      <c r="AQ79" s="1497" t="n"/>
      <c r="AR79" s="1497">
        <f>-AQ79*10</f>
        <v/>
      </c>
      <c r="AS79" s="1497">
        <f>AA79-AR79</f>
        <v/>
      </c>
      <c r="AT79" s="1499">
        <f>IFERROR(100*AS79/AQ79,"")</f>
        <v/>
      </c>
      <c r="AU79" s="1500" t="n"/>
    </row>
    <row r="80">
      <c r="S80" s="462">
        <f>IF(_epmOfflineCondition_,"         燃气",EPMMemberDesc(U80))</f>
        <v/>
      </c>
      <c r="U80" s="197" t="inlineStr">
        <is>
          <t>A0341102</t>
        </is>
      </c>
      <c r="V80" s="199">
        <f>IF(_epmOfflineCondition_,"A0341102",EPMOlapMemberO(U80,"[C_ACCOUNT].[PARENTH1].[A0341102]","A0341102 -          燃气","","000"))</f>
        <v/>
      </c>
      <c r="X80" s="1495" t="inlineStr">
        <is>
          <t xml:space="preserve">        燃气</t>
        </is>
      </c>
      <c r="Y80" s="1496" t="inlineStr">
        <is>
          <t>千千瓦时</t>
        </is>
      </c>
      <c r="Z80" s="1497">
        <f>IF($I$8="01",AA80,AA80-AU80)</f>
        <v/>
      </c>
      <c r="AA80" s="1501" t="n"/>
      <c r="AB80" s="1497" t="n"/>
      <c r="AC80" s="1497">
        <f>IFERROR(AA80-AB80,0)</f>
        <v/>
      </c>
      <c r="AD80" s="1498">
        <f>IFERROR(100*AC80/AB80,"")</f>
        <v/>
      </c>
      <c r="AE80" s="1497" t="n"/>
      <c r="AF80" s="1497">
        <f>Z80-AE80</f>
        <v/>
      </c>
      <c r="AG80" s="1497">
        <f>IFERROR(100*AF80/AE80,"")</f>
        <v/>
      </c>
      <c r="AH80" s="1497" t="n"/>
      <c r="AI80" s="1497">
        <f>Z80-AH80</f>
        <v/>
      </c>
      <c r="AJ80" s="1497">
        <f>IFERROR(100*AI80/AH80,"")</f>
        <v/>
      </c>
      <c r="AK80" s="1497">
        <f>IF(_epmOfflineCondition_,0,EPMRetrieveData(,AK$25,AK$26,AK$27,AK$28,AK$29,AK$30,$U80,$E$23,$D$25,$D$26,$D$27,$C$21,$D$28))</f>
        <v/>
      </c>
      <c r="AL80" s="1497">
        <f>AK80-Z80</f>
        <v/>
      </c>
      <c r="AM80" s="1497">
        <f>IFERROR(100*AL80/AK80,"")</f>
        <v/>
      </c>
      <c r="AN80" s="1497">
        <f>IF(_epmOfflineCondition_,0,EPMRetrieveData(,AN$25,AN$26,AN$27,AN$28,AN$29,AN$30,$U80,$E$23,$D$25,$D$26,$D$27,$C$21,$D$28))</f>
        <v/>
      </c>
      <c r="AO80" s="1497">
        <f>AN80-AA80</f>
        <v/>
      </c>
      <c r="AP80" s="1497">
        <f>IFERROR(100*AO80/AN80,"")</f>
        <v/>
      </c>
      <c r="AQ80" s="1497" t="n"/>
      <c r="AR80" s="1497">
        <f>-AQ80*10</f>
        <v/>
      </c>
      <c r="AS80" s="1497">
        <f>AA80-AR80</f>
        <v/>
      </c>
      <c r="AT80" s="1499">
        <f>IFERROR(100*AS80/AQ80,"")</f>
        <v/>
      </c>
      <c r="AU80" s="1500" t="n"/>
    </row>
    <row r="81">
      <c r="S81" s="462">
        <f>IF(_epmOfflineCondition_," 发电厂用电率",EPMMemberDesc(U81))</f>
        <v/>
      </c>
      <c r="U81" s="197" t="inlineStr">
        <is>
          <t>A03413</t>
        </is>
      </c>
      <c r="V81" s="197">
        <f>IF(_epmOfflineCondition_,"A03413",EPMOlapMemberO(U81,"[C_ACCOUNT].[PARENTH1].[A03413]","A03413 -  发电厂用电率","","000"))</f>
        <v/>
      </c>
      <c r="X81" s="1495" t="inlineStr">
        <is>
          <t>发电厂用电率</t>
        </is>
      </c>
      <c r="Y81" s="1496" t="inlineStr">
        <is>
          <t>%</t>
        </is>
      </c>
      <c r="Z81" s="1497">
        <f>IFERROR(Z71/Z50*100,0)</f>
        <v/>
      </c>
      <c r="AA81" s="1497">
        <f>IFERROR(AA71/AA50*100,0)</f>
        <v/>
      </c>
      <c r="AB81" s="1497" t="inlineStr"/>
      <c r="AC81" s="1497">
        <f>IFERROR(AA81-AB81,0)</f>
        <v/>
      </c>
      <c r="AD81" s="1498">
        <f>IFERROR(100*AC81/AB81,"")</f>
        <v/>
      </c>
      <c r="AE81" s="1497" t="inlineStr"/>
      <c r="AF81" s="1497">
        <f>Z81-AE81</f>
        <v/>
      </c>
      <c r="AG81" s="1497">
        <f>IFERROR(100*AF81/AE81,"")</f>
        <v/>
      </c>
      <c r="AH81" s="1497" t="inlineStr"/>
      <c r="AI81" s="1497">
        <f>Z81-AH81</f>
        <v/>
      </c>
      <c r="AJ81" s="1497">
        <f>IFERROR(100*AI81/AH81,"")</f>
        <v/>
      </c>
      <c r="AK81" s="1497">
        <f>IFERROR(AK71/AK50*100,0)</f>
        <v/>
      </c>
      <c r="AL81" s="1497">
        <f>AK81-Z81</f>
        <v/>
      </c>
      <c r="AM81" s="1497">
        <f>IFERROR(100*AL81/AK81,"")</f>
        <v/>
      </c>
      <c r="AN81" s="1497">
        <f>IFERROR(AN71/AN50*100,0)</f>
        <v/>
      </c>
      <c r="AO81" s="1497">
        <f>AN81-AA81</f>
        <v/>
      </c>
      <c r="AP81" s="1497">
        <f>IFERROR(100*AO81/AN81,"")</f>
        <v/>
      </c>
      <c r="AQ81" s="1497" t="n"/>
      <c r="AR81" s="1497">
        <f>-AQ81</f>
        <v/>
      </c>
      <c r="AS81" s="1497">
        <f>AA81-AR81</f>
        <v/>
      </c>
      <c r="AT81" s="1499">
        <f>IFERROR(100*AS81/AQ81,"")</f>
        <v/>
      </c>
      <c r="AU81" s="1500" t="inlineStr"/>
    </row>
    <row r="82">
      <c r="S82" s="462">
        <f>IF(_epmOfflineCondition_,"   其中：火电",EPMMemberDesc(U82))</f>
        <v/>
      </c>
      <c r="U82" s="197" t="inlineStr">
        <is>
          <t>A03414</t>
        </is>
      </c>
      <c r="V82" s="197">
        <f>IF(_epmOfflineCondition_,"A03414",EPMOlapMemberO(U82,"[C_ACCOUNT].[PARENTH1].[A03414]","A03414 -    其中：火电","","000"))</f>
        <v/>
      </c>
      <c r="X82" s="1495" t="inlineStr">
        <is>
          <t xml:space="preserve">  其中：火电</t>
        </is>
      </c>
      <c r="Y82" s="1496" t="inlineStr">
        <is>
          <t>%</t>
        </is>
      </c>
      <c r="Z82" s="1497">
        <f>IFERROR(Z72/Z51*100,0)</f>
        <v/>
      </c>
      <c r="AA82" s="1497">
        <f>IFERROR(AA72/AA51*100,0)</f>
        <v/>
      </c>
      <c r="AB82" s="1497" t="n"/>
      <c r="AC82" s="1497">
        <f>IFERROR(AA82-AB82,0)</f>
        <v/>
      </c>
      <c r="AD82" s="1498">
        <f>IFERROR(100*AC82/AB82,"")</f>
        <v/>
      </c>
      <c r="AE82" s="1497" t="n"/>
      <c r="AF82" s="1497">
        <f>Z82-AE82</f>
        <v/>
      </c>
      <c r="AG82" s="1497">
        <f>IFERROR(100*AF82/AE82,"")</f>
        <v/>
      </c>
      <c r="AH82" s="1497" t="n"/>
      <c r="AI82" s="1497">
        <f>Z82-AH82</f>
        <v/>
      </c>
      <c r="AJ82" s="1497">
        <f>IFERROR(100*AI82/AH82,"")</f>
        <v/>
      </c>
      <c r="AK82" s="1497">
        <f>IFERROR(AK72/AK51*100,0)</f>
        <v/>
      </c>
      <c r="AL82" s="1497">
        <f>AK82-Z82</f>
        <v/>
      </c>
      <c r="AM82" s="1497">
        <f>IFERROR(100*AL82/AK82,"")</f>
        <v/>
      </c>
      <c r="AN82" s="1497">
        <f>IFERROR(AN72/AN51*100,0)</f>
        <v/>
      </c>
      <c r="AO82" s="1497">
        <f>AN82-AA82</f>
        <v/>
      </c>
      <c r="AP82" s="1497">
        <f>IFERROR(100*AO82/AN82,"")</f>
        <v/>
      </c>
      <c r="AQ82" s="1497" t="n"/>
      <c r="AR82" s="1497">
        <f>-AQ82</f>
        <v/>
      </c>
      <c r="AS82" s="1497">
        <f>AA82-AR82</f>
        <v/>
      </c>
      <c r="AT82" s="1499">
        <f>IFERROR(100*AS82/AQ82,"")</f>
        <v/>
      </c>
      <c r="AU82" s="1500" t="n"/>
    </row>
    <row r="83">
      <c r="S83" s="462">
        <f>IF(_epmOfflineCondition_,"         风电",EPMMemberDesc(U83))</f>
        <v/>
      </c>
      <c r="U83" s="197" t="inlineStr">
        <is>
          <t>A03415</t>
        </is>
      </c>
      <c r="V83" s="197">
        <f>IF(_epmOfflineCondition_,"A03415",EPMOlapMemberO(U83,"[C_ACCOUNT].[PARENTH1].[A03415]","A03415 -          风电","","000"))</f>
        <v/>
      </c>
      <c r="X83" s="1495" t="inlineStr">
        <is>
          <t xml:space="preserve">        风电</t>
        </is>
      </c>
      <c r="Y83" s="1496" t="inlineStr">
        <is>
          <t>%</t>
        </is>
      </c>
      <c r="Z83" s="1497">
        <f>IFERROR(Z73/Z52*100,0)</f>
        <v/>
      </c>
      <c r="AA83" s="1497">
        <f>IFERROR(AA73/AA52*100,0)</f>
        <v/>
      </c>
      <c r="AB83" s="1497" t="inlineStr"/>
      <c r="AC83" s="1497">
        <f>IFERROR(AA83-AB83,0)</f>
        <v/>
      </c>
      <c r="AD83" s="1498">
        <f>IFERROR(100*AC83/AB83,"")</f>
        <v/>
      </c>
      <c r="AE83" s="1497" t="inlineStr"/>
      <c r="AF83" s="1497">
        <f>Z83-AE83</f>
        <v/>
      </c>
      <c r="AG83" s="1497">
        <f>IFERROR(100*AF83/AE83,"")</f>
        <v/>
      </c>
      <c r="AH83" s="1497" t="inlineStr"/>
      <c r="AI83" s="1497">
        <f>Z83-AH83</f>
        <v/>
      </c>
      <c r="AJ83" s="1497">
        <f>IFERROR(100*AI83/AH83,"")</f>
        <v/>
      </c>
      <c r="AK83" s="1497">
        <f>IFERROR(AK73/AK52*100,0)</f>
        <v/>
      </c>
      <c r="AL83" s="1497">
        <f>AK83-Z83</f>
        <v/>
      </c>
      <c r="AM83" s="1497">
        <f>IFERROR(100*AL83/AK83,"")</f>
        <v/>
      </c>
      <c r="AN83" s="1497">
        <f>IFERROR(AN73/AN52*100,0)</f>
        <v/>
      </c>
      <c r="AO83" s="1497">
        <f>AN83-AA83</f>
        <v/>
      </c>
      <c r="AP83" s="1497">
        <f>IFERROR(100*AO83/AN83,"")</f>
        <v/>
      </c>
      <c r="AQ83" s="1497" t="n"/>
      <c r="AR83" s="1497">
        <f>-AQ83</f>
        <v/>
      </c>
      <c r="AS83" s="1497">
        <f>AA83-AR83</f>
        <v/>
      </c>
      <c r="AT83" s="1499">
        <f>IFERROR(100*AS83/AQ83,"")</f>
        <v/>
      </c>
      <c r="AU83" s="1500" t="inlineStr"/>
    </row>
    <row r="84">
      <c r="S84" s="462">
        <f>IF(_epmOfflineCondition_,"         光伏",EPMMemberDesc(U84))</f>
        <v/>
      </c>
      <c r="U84" s="197" t="inlineStr">
        <is>
          <t>A03416</t>
        </is>
      </c>
      <c r="V84" s="197">
        <f>IF(_epmOfflineCondition_,"A03416",EPMOlapMemberO(U84,"[C_ACCOUNT].[PARENTH1].[A03416]","A03416 -          光伏","","000"))</f>
        <v/>
      </c>
      <c r="X84" s="1495" t="inlineStr">
        <is>
          <t xml:space="preserve">        光伏</t>
        </is>
      </c>
      <c r="Y84" s="1496" t="inlineStr">
        <is>
          <t>%</t>
        </is>
      </c>
      <c r="Z84" s="1497">
        <f>IFERROR(Z74/Z53*100,0)</f>
        <v/>
      </c>
      <c r="AA84" s="1497">
        <f>IFERROR(AA74/AA53*100,0)</f>
        <v/>
      </c>
      <c r="AB84" s="1497" t="n"/>
      <c r="AC84" s="1497">
        <f>IFERROR(AA84-AB84,0)</f>
        <v/>
      </c>
      <c r="AD84" s="1498">
        <f>IFERROR(100*AC84/AB84,"")</f>
        <v/>
      </c>
      <c r="AE84" s="1497" t="n"/>
      <c r="AF84" s="1497">
        <f>Z84-AE84</f>
        <v/>
      </c>
      <c r="AG84" s="1497">
        <f>IFERROR(100*AF84/AE84,"")</f>
        <v/>
      </c>
      <c r="AH84" s="1497" t="n"/>
      <c r="AI84" s="1497">
        <f>Z84-AH84</f>
        <v/>
      </c>
      <c r="AJ84" s="1497">
        <f>IFERROR(100*AI84/AH84,"")</f>
        <v/>
      </c>
      <c r="AK84" s="1497">
        <f>IFERROR(AK74/AK53*100,0)</f>
        <v/>
      </c>
      <c r="AL84" s="1497">
        <f>AK84-Z84</f>
        <v/>
      </c>
      <c r="AM84" s="1497">
        <f>IFERROR(100*AL84/AK84,"")</f>
        <v/>
      </c>
      <c r="AN84" s="1497">
        <f>IFERROR(AN74/AN53*100,0)</f>
        <v/>
      </c>
      <c r="AO84" s="1497">
        <f>AN84-AA84</f>
        <v/>
      </c>
      <c r="AP84" s="1497">
        <f>IFERROR(100*AO84/AN84,"")</f>
        <v/>
      </c>
      <c r="AQ84" s="1497" t="n"/>
      <c r="AR84" s="1497">
        <f>-AQ84</f>
        <v/>
      </c>
      <c r="AS84" s="1497">
        <f>AA84-AR84</f>
        <v/>
      </c>
      <c r="AT84" s="1499">
        <f>IFERROR(100*AS84/AQ84,"")</f>
        <v/>
      </c>
      <c r="AU84" s="1500" t="n"/>
    </row>
    <row r="85">
      <c r="S85" s="462">
        <f>IF(_epmOfflineCondition_,"         燃气",EPMMemberDesc(U85))</f>
        <v/>
      </c>
      <c r="U85" s="197" t="inlineStr">
        <is>
          <t>A03417</t>
        </is>
      </c>
      <c r="V85" s="197">
        <f>IF(_epmOfflineCondition_,"A03417",EPMOlapMemberO(U85,"[C_ACCOUNT].[PARENTH1].[A03417]","A03417 -          燃气","","000"))</f>
        <v/>
      </c>
      <c r="X85" s="1495" t="inlineStr">
        <is>
          <t xml:space="preserve">        燃气</t>
        </is>
      </c>
      <c r="Y85" s="1496" t="inlineStr">
        <is>
          <t>%</t>
        </is>
      </c>
      <c r="Z85" s="1497">
        <f>IFERROR(Z75/Z54*100,0)</f>
        <v/>
      </c>
      <c r="AA85" s="1497">
        <f>IFERROR(AA75/AA54*100,0)</f>
        <v/>
      </c>
      <c r="AB85" s="1497" t="n"/>
      <c r="AC85" s="1497">
        <f>IFERROR(AA85-AB85,0)</f>
        <v/>
      </c>
      <c r="AD85" s="1498">
        <f>IFERROR(100*AC85/AB85,"")</f>
        <v/>
      </c>
      <c r="AE85" s="1497" t="n"/>
      <c r="AF85" s="1497">
        <f>Z85-AE85</f>
        <v/>
      </c>
      <c r="AG85" s="1497">
        <f>IFERROR(100*AF85/AE85,"")</f>
        <v/>
      </c>
      <c r="AH85" s="1497" t="n"/>
      <c r="AI85" s="1497">
        <f>Z85-AH85</f>
        <v/>
      </c>
      <c r="AJ85" s="1497">
        <f>IFERROR(100*AI85/AH85,"")</f>
        <v/>
      </c>
      <c r="AK85" s="1497">
        <f>IFERROR(AK75/AK54*100,0)</f>
        <v/>
      </c>
      <c r="AL85" s="1497">
        <f>AK85-Z85</f>
        <v/>
      </c>
      <c r="AM85" s="1497">
        <f>IFERROR(100*AL85/AK85,"")</f>
        <v/>
      </c>
      <c r="AN85" s="1497">
        <f>IFERROR(AN75/AN54*100,0)</f>
        <v/>
      </c>
      <c r="AO85" s="1497">
        <f>AN85-AA85</f>
        <v/>
      </c>
      <c r="AP85" s="1497">
        <f>IFERROR(100*AO85/AN85,"")</f>
        <v/>
      </c>
      <c r="AQ85" s="1497" t="n"/>
      <c r="AR85" s="1497">
        <f>-AQ85</f>
        <v/>
      </c>
      <c r="AS85" s="1497">
        <f>AA85-AR85</f>
        <v/>
      </c>
      <c r="AT85" s="1499">
        <f>IFERROR(100*AS85/AQ85,"")</f>
        <v/>
      </c>
      <c r="AU85" s="1500" t="n"/>
    </row>
    <row r="86">
      <c r="S86" s="462">
        <f>IF(_epmOfflineCondition_,"         水电",EPMMemberDesc(U86))</f>
        <v/>
      </c>
      <c r="U86" s="197" t="inlineStr">
        <is>
          <t>A03418</t>
        </is>
      </c>
      <c r="V86" s="197">
        <f>IF(_epmOfflineCondition_,"A03418",EPMOlapMemberO(U86,"[C_ACCOUNT].[PARENTH1].[A03418]","A03418 -          水电","","000"))</f>
        <v/>
      </c>
      <c r="X86" s="1495" t="inlineStr">
        <is>
          <t xml:space="preserve">        水电</t>
        </is>
      </c>
      <c r="Y86" s="1496" t="inlineStr">
        <is>
          <t>%</t>
        </is>
      </c>
      <c r="Z86" s="1497">
        <f>IFERROR(Z76/Z55*100,0)</f>
        <v/>
      </c>
      <c r="AA86" s="1497">
        <f>IFERROR(AA76/AA55*100,0)</f>
        <v/>
      </c>
      <c r="AB86" s="1497" t="n"/>
      <c r="AC86" s="1497">
        <f>IFERROR(AA86-AB86,0)</f>
        <v/>
      </c>
      <c r="AD86" s="1498">
        <f>IFERROR(100*AC86/AB86,"")</f>
        <v/>
      </c>
      <c r="AE86" s="1497" t="n"/>
      <c r="AF86" s="1497">
        <f>Z86-AE86</f>
        <v/>
      </c>
      <c r="AG86" s="1497">
        <f>IFERROR(100*AF86/AE86,"")</f>
        <v/>
      </c>
      <c r="AH86" s="1497" t="n"/>
      <c r="AI86" s="1497">
        <f>Z86-AH86</f>
        <v/>
      </c>
      <c r="AJ86" s="1497">
        <f>IFERROR(100*AI86/AH86,"")</f>
        <v/>
      </c>
      <c r="AK86" s="1497">
        <f>IFERROR(AK76/AK55*100,0)</f>
        <v/>
      </c>
      <c r="AL86" s="1497">
        <f>AK86-Z86</f>
        <v/>
      </c>
      <c r="AM86" s="1497">
        <f>IFERROR(100*AL86/AK86,"")</f>
        <v/>
      </c>
      <c r="AN86" s="1497">
        <f>IFERROR(AN76/AN55*100,0)</f>
        <v/>
      </c>
      <c r="AO86" s="1497">
        <f>AN86-AA86</f>
        <v/>
      </c>
      <c r="AP86" s="1497">
        <f>IFERROR(100*AO86/AN86,"")</f>
        <v/>
      </c>
      <c r="AQ86" s="1497" t="n"/>
      <c r="AR86" s="1497">
        <f>-AQ86</f>
        <v/>
      </c>
      <c r="AS86" s="1497">
        <f>AA86-AR86</f>
        <v/>
      </c>
      <c r="AT86" s="1499">
        <f>IFERROR(100*AS86/AQ86,"")</f>
        <v/>
      </c>
      <c r="AU86" s="1500" t="n"/>
    </row>
    <row r="87">
      <c r="S87" s="462">
        <f>IF(_epmOfflineCondition_,"         其他",EPMMemberDesc(U87))</f>
        <v/>
      </c>
      <c r="U87" s="197" t="inlineStr">
        <is>
          <t>A03419</t>
        </is>
      </c>
      <c r="V87" s="197">
        <f>IF(_epmOfflineCondition_,"A03419",EPMOlapMemberO(U87,"[C_ACCOUNT].[PARENTH1].[A03419]","A03419 -          其他","","000"))</f>
        <v/>
      </c>
      <c r="X87" s="1495" t="inlineStr">
        <is>
          <t xml:space="preserve">        其他</t>
        </is>
      </c>
      <c r="Y87" s="1496" t="inlineStr">
        <is>
          <t>%</t>
        </is>
      </c>
      <c r="Z87" s="1497">
        <f>IFERROR(Z77/Z56*100,0)</f>
        <v/>
      </c>
      <c r="AA87" s="1497">
        <f>IFERROR(AA77/AA56*100,0)</f>
        <v/>
      </c>
      <c r="AB87" s="1497" t="n"/>
      <c r="AC87" s="1497">
        <f>IFERROR(AA87-AB87,0)</f>
        <v/>
      </c>
      <c r="AD87" s="1498">
        <f>IFERROR(100*AC87/AB87,"")</f>
        <v/>
      </c>
      <c r="AE87" s="1497" t="n"/>
      <c r="AF87" s="1497">
        <f>Z87-AE87</f>
        <v/>
      </c>
      <c r="AG87" s="1497">
        <f>IFERROR(100*AF87/AE87,"")</f>
        <v/>
      </c>
      <c r="AH87" s="1497" t="n"/>
      <c r="AI87" s="1497">
        <f>Z87-AH87</f>
        <v/>
      </c>
      <c r="AJ87" s="1497">
        <f>IFERROR(100*AI87/AH87,"")</f>
        <v/>
      </c>
      <c r="AK87" s="1497">
        <f>IFERROR(AK77/AK56*100,0)</f>
        <v/>
      </c>
      <c r="AL87" s="1497">
        <f>AK87-Z87</f>
        <v/>
      </c>
      <c r="AM87" s="1497">
        <f>IFERROR(100*AL87/AK87,"")</f>
        <v/>
      </c>
      <c r="AN87" s="1497">
        <f>IFERROR(AN77/AN56*100,0)</f>
        <v/>
      </c>
      <c r="AO87" s="1497">
        <f>AN87-AA87</f>
        <v/>
      </c>
      <c r="AP87" s="1497">
        <f>IFERROR(100*AO87/AN87,"")</f>
        <v/>
      </c>
      <c r="AQ87" s="1497" t="n"/>
      <c r="AR87" s="1497">
        <f>-AQ87</f>
        <v/>
      </c>
      <c r="AS87" s="1497">
        <f>AA87-AR87</f>
        <v/>
      </c>
      <c r="AT87" s="1499">
        <f>IFERROR(100*AS87/AQ87,"")</f>
        <v/>
      </c>
      <c r="AU87" s="1500" t="n"/>
    </row>
    <row r="88">
      <c r="S88" s="462">
        <f>IF(_epmOfflineCondition_," 供热厂用电率",EPMMemberDesc(U88))</f>
        <v/>
      </c>
      <c r="U88" s="197" t="inlineStr">
        <is>
          <t>A03420</t>
        </is>
      </c>
      <c r="V88" s="197">
        <f>IF(_epmOfflineCondition_,"A03420",EPMOlapMemberO(U88,"[C_ACCOUNT].[PARENTH1].[A03420]","A03420 -  供热厂用电率","","000"))</f>
        <v/>
      </c>
      <c r="X88" s="1495" t="inlineStr">
        <is>
          <t>供热厂用电率</t>
        </is>
      </c>
      <c r="Y88" s="1496" t="inlineStr">
        <is>
          <t>千瓦时/吉焦</t>
        </is>
      </c>
      <c r="Z88" s="1497">
        <f>IFERROR(Z78*1000/Z119,0)</f>
        <v/>
      </c>
      <c r="AA88" s="1497">
        <f>IFERROR(AA78*1000/AA119,0)</f>
        <v/>
      </c>
      <c r="AB88" s="1497" t="n"/>
      <c r="AC88" s="1497">
        <f>IFERROR(AA88-AB88,0)</f>
        <v/>
      </c>
      <c r="AD88" s="1498">
        <f>IFERROR(100*AC88/AB88,"")</f>
        <v/>
      </c>
      <c r="AE88" s="1497" t="n"/>
      <c r="AF88" s="1497">
        <f>Z88-AE88</f>
        <v/>
      </c>
      <c r="AG88" s="1497">
        <f>IFERROR(100*AF88/AE88,"")</f>
        <v/>
      </c>
      <c r="AH88" s="1497" t="n"/>
      <c r="AI88" s="1497">
        <f>Z88-AH88</f>
        <v/>
      </c>
      <c r="AJ88" s="1497">
        <f>IFERROR(100*AI88/AH88,"")</f>
        <v/>
      </c>
      <c r="AK88" s="1497">
        <f>IFERROR(AK78*1000/AK119,0)</f>
        <v/>
      </c>
      <c r="AL88" s="1497">
        <f>AK88-Z88</f>
        <v/>
      </c>
      <c r="AM88" s="1497">
        <f>IFERROR(100*AL88/AK88,"")</f>
        <v/>
      </c>
      <c r="AN88" s="1497">
        <f>IFERROR(AN78*1000/AN119,0)</f>
        <v/>
      </c>
      <c r="AO88" s="1497">
        <f>AN88-AA88</f>
        <v/>
      </c>
      <c r="AP88" s="1497">
        <f>IFERROR(100*AO88/AN88,"")</f>
        <v/>
      </c>
      <c r="AQ88" s="1497" t="n"/>
      <c r="AR88" s="1497">
        <f>-AQ88</f>
        <v/>
      </c>
      <c r="AS88" s="1497">
        <f>AA88-AR88</f>
        <v/>
      </c>
      <c r="AT88" s="1499">
        <f>IFERROR(100*AS88/AQ88,"")</f>
        <v/>
      </c>
      <c r="AU88" s="1500" t="n"/>
    </row>
    <row r="89">
      <c r="S89" s="462">
        <f>IF(_epmOfflineCondition_,"   其中：燃煤",EPMMemberDesc(U89))</f>
        <v/>
      </c>
      <c r="U89" s="197" t="inlineStr">
        <is>
          <t>A03421</t>
        </is>
      </c>
      <c r="V89" s="197">
        <f>IF(_epmOfflineCondition_,"A03421",EPMOlapMemberO(U89,"[C_ACCOUNT].[PARENTH1].[A03421]","A03421 -    其中：燃煤","","000"))</f>
        <v/>
      </c>
      <c r="X89" s="1495" t="inlineStr">
        <is>
          <t xml:space="preserve">  其中：燃煤</t>
        </is>
      </c>
      <c r="Y89" s="1496" t="inlineStr">
        <is>
          <t>千瓦时/吉焦</t>
        </is>
      </c>
      <c r="Z89" s="1497">
        <f>IFERROR(Z79*1000/Z120,0)</f>
        <v/>
      </c>
      <c r="AA89" s="1497">
        <f>IFERROR(AA79*1000/AA120,0)</f>
        <v/>
      </c>
      <c r="AB89" s="1497" t="n"/>
      <c r="AC89" s="1497">
        <f>IFERROR(AA89-AB89,0)</f>
        <v/>
      </c>
      <c r="AD89" s="1498">
        <f>IFERROR(100*AC89/AB89,"")</f>
        <v/>
      </c>
      <c r="AE89" s="1497" t="n"/>
      <c r="AF89" s="1497">
        <f>Z89-AE89</f>
        <v/>
      </c>
      <c r="AG89" s="1497">
        <f>IFERROR(100*AF89/AE89,"")</f>
        <v/>
      </c>
      <c r="AH89" s="1497" t="n"/>
      <c r="AI89" s="1497">
        <f>Z89-AH89</f>
        <v/>
      </c>
      <c r="AJ89" s="1497">
        <f>IFERROR(100*AI89/AH89,"")</f>
        <v/>
      </c>
      <c r="AK89" s="1497">
        <f>IFERROR(AK79*1000/AK120,0)</f>
        <v/>
      </c>
      <c r="AL89" s="1497">
        <f>AK89-Z89</f>
        <v/>
      </c>
      <c r="AM89" s="1497">
        <f>IFERROR(100*AL89/AK89,"")</f>
        <v/>
      </c>
      <c r="AN89" s="1497">
        <f>IFERROR(AN79*1000/AN120,0)</f>
        <v/>
      </c>
      <c r="AO89" s="1497">
        <f>AN89-AA89</f>
        <v/>
      </c>
      <c r="AP89" s="1497">
        <f>IFERROR(100*AO89/AN89,"")</f>
        <v/>
      </c>
      <c r="AQ89" s="1497" t="n"/>
      <c r="AR89" s="1497">
        <f>-AQ89</f>
        <v/>
      </c>
      <c r="AS89" s="1497">
        <f>AA89-AR89</f>
        <v/>
      </c>
      <c r="AT89" s="1499">
        <f>IFERROR(100*AS89/AQ89,"")</f>
        <v/>
      </c>
      <c r="AU89" s="1500" t="n"/>
    </row>
    <row r="90">
      <c r="S90" s="462">
        <f>IF(_epmOfflineCondition_,"         燃气",EPMMemberDesc(U90))</f>
        <v/>
      </c>
      <c r="U90" s="197" t="inlineStr">
        <is>
          <t>A03422</t>
        </is>
      </c>
      <c r="V90" s="197">
        <f>IF(_epmOfflineCondition_,"A03422",EPMOlapMemberO(U90,"[C_ACCOUNT].[PARENTH1].[A03422]","A03422 -          燃气","","000"))</f>
        <v/>
      </c>
      <c r="X90" s="1495" t="inlineStr">
        <is>
          <t xml:space="preserve">        燃气</t>
        </is>
      </c>
      <c r="Y90" s="1496" t="inlineStr">
        <is>
          <t>千瓦时/吉焦</t>
        </is>
      </c>
      <c r="Z90" s="1497">
        <f>IFERROR(Z80*1000/Z121,0)</f>
        <v/>
      </c>
      <c r="AA90" s="1497">
        <f>IFERROR(AA80*1000/AA121,0)</f>
        <v/>
      </c>
      <c r="AB90" s="1497" t="n"/>
      <c r="AC90" s="1497">
        <f>IFERROR(AA90-AB90,0)</f>
        <v/>
      </c>
      <c r="AD90" s="1498">
        <f>IFERROR(100*AC90/AB90,"")</f>
        <v/>
      </c>
      <c r="AE90" s="1497" t="n"/>
      <c r="AF90" s="1497">
        <f>Z90-AE90</f>
        <v/>
      </c>
      <c r="AG90" s="1497">
        <f>IFERROR(100*AF90/AE90,"")</f>
        <v/>
      </c>
      <c r="AH90" s="1497" t="n"/>
      <c r="AI90" s="1497">
        <f>Z90-AH90</f>
        <v/>
      </c>
      <c r="AJ90" s="1497">
        <f>IFERROR(100*AI90/AH90,"")</f>
        <v/>
      </c>
      <c r="AK90" s="1497">
        <f>IFERROR(AK80*1000/AK121,0)</f>
        <v/>
      </c>
      <c r="AL90" s="1497">
        <f>AK90-Z90</f>
        <v/>
      </c>
      <c r="AM90" s="1497">
        <f>IFERROR(100*AL90/AK90,"")</f>
        <v/>
      </c>
      <c r="AN90" s="1497">
        <f>IFERROR(AN80*1000/AN121,0)</f>
        <v/>
      </c>
      <c r="AO90" s="1497">
        <f>AN90-AA90</f>
        <v/>
      </c>
      <c r="AP90" s="1497">
        <f>IFERROR(100*AO90/AN90,"")</f>
        <v/>
      </c>
      <c r="AQ90" s="1497" t="n"/>
      <c r="AR90" s="1497">
        <f>-AQ90</f>
        <v/>
      </c>
      <c r="AS90" s="1497">
        <f>AA90-AR90</f>
        <v/>
      </c>
      <c r="AT90" s="1499">
        <f>IFERROR(100*AS90/AQ90,"")</f>
        <v/>
      </c>
      <c r="AU90" s="1500" t="n"/>
    </row>
    <row r="91">
      <c r="S91" s="462">
        <f>IF(_epmOfflineCondition_," 综合厂用电率",EPMMemberDesc(U91))</f>
        <v/>
      </c>
      <c r="U91" s="197" t="inlineStr">
        <is>
          <t>A03423</t>
        </is>
      </c>
      <c r="V91" s="197">
        <f>IF(_epmOfflineCondition_,"A03423",EPMOlapMemberO(U91,"[C_ACCOUNT].[PARENTH1].[A03423]","A03423 -  综合厂用电率","","000"))</f>
        <v/>
      </c>
      <c r="X91" s="1495" t="inlineStr">
        <is>
          <t>综合厂用电率</t>
        </is>
      </c>
      <c r="Y91" s="1496" t="inlineStr">
        <is>
          <t>%</t>
        </is>
      </c>
      <c r="Z91" s="1497">
        <f>IFERROR((Z50+Z105-Z112-Z98)/Z50*100,0)</f>
        <v/>
      </c>
      <c r="AA91" s="1497">
        <f>IFERROR((AA50+AA105-AA112-AA98)/AA50*100,0)</f>
        <v/>
      </c>
      <c r="AB91" s="1497" t="inlineStr"/>
      <c r="AC91" s="1497">
        <f>IFERROR((AC50+AC105-AC112-AC98)/AC50*100,0)</f>
        <v/>
      </c>
      <c r="AD91" s="1498">
        <f>IFERROR(100*AC91/AB91,"")</f>
        <v/>
      </c>
      <c r="AE91" s="1497" t="inlineStr"/>
      <c r="AF91" s="1497">
        <f>IFERROR((AF50+AF105-AF112-AF98)/AF50*100,0)</f>
        <v/>
      </c>
      <c r="AG91" s="1497">
        <f>IFERROR(100*AF91/AE91,"")</f>
        <v/>
      </c>
      <c r="AH91" s="1497" t="inlineStr"/>
      <c r="AI91" s="1497">
        <f>IFERROR((AI50+AI105-AI112-AI98)/AI50*100,0)</f>
        <v/>
      </c>
      <c r="AJ91" s="1497">
        <f>IFERROR(100*AI91/AH91,"")</f>
        <v/>
      </c>
      <c r="AK91" s="1497">
        <f>IFERROR((AK50+AK105-AK112-AK98)/AK50*100,0)</f>
        <v/>
      </c>
      <c r="AL91" s="1497">
        <f>IFERROR((AL50+AL105-AL112-AL98)/AL50*100,0)</f>
        <v/>
      </c>
      <c r="AM91" s="1497">
        <f>IFERROR(100*AL91/AK91,"")</f>
        <v/>
      </c>
      <c r="AN91" s="1497">
        <f>IFERROR((AN50+AN105-AN112-AN98)/AN50*100,0)</f>
        <v/>
      </c>
      <c r="AO91" s="1497">
        <f>IFERROR((AO50+AO105-AO112-AO98)/AO50*100,0)</f>
        <v/>
      </c>
      <c r="AP91" s="1497">
        <f>IFERROR(100*AO91/AN91,"")</f>
        <v/>
      </c>
      <c r="AQ91" s="1497" t="n"/>
      <c r="AR91" s="1497">
        <f>-AQ91</f>
        <v/>
      </c>
      <c r="AS91" s="1497">
        <f>AA91-AR91</f>
        <v/>
      </c>
      <c r="AT91" s="1499">
        <f>IFERROR(100*AS91/AQ91,"")</f>
        <v/>
      </c>
      <c r="AU91" s="243" t="inlineStr"/>
    </row>
    <row r="92">
      <c r="S92" s="462">
        <f>IF(_epmOfflineCondition_,"   其中：火电",EPMMemberDesc(U92))</f>
        <v/>
      </c>
      <c r="U92" s="197" t="inlineStr">
        <is>
          <t>A03424</t>
        </is>
      </c>
      <c r="V92" s="197">
        <f>IF(_epmOfflineCondition_,"A03424",EPMOlapMemberO(U92,"[C_ACCOUNT].[PARENTH1].[A03424]","A03424 -    其中：火电","","000"))</f>
        <v/>
      </c>
      <c r="X92" s="1495" t="inlineStr">
        <is>
          <t xml:space="preserve">  其中：火电</t>
        </is>
      </c>
      <c r="Y92" s="1496" t="inlineStr">
        <is>
          <t>%</t>
        </is>
      </c>
      <c r="Z92" s="1497">
        <f>IFERROR((Z51+Z106-Z113-Z99)/Z51*100,0)</f>
        <v/>
      </c>
      <c r="AA92" s="1497">
        <f>IFERROR((AA51+AA106-AA113-AA99)/AA51*100,0)</f>
        <v/>
      </c>
      <c r="AB92" s="1497" t="n"/>
      <c r="AC92" s="1497">
        <f>IFERROR(AA92-AB92,0)</f>
        <v/>
      </c>
      <c r="AD92" s="1498">
        <f>IFERROR(100*AC92/AB92,"")</f>
        <v/>
      </c>
      <c r="AE92" s="1497" t="n"/>
      <c r="AF92" s="1497">
        <f>Z92-AE92</f>
        <v/>
      </c>
      <c r="AG92" s="1497">
        <f>IFERROR(100*AF92/AE92,"")</f>
        <v/>
      </c>
      <c r="AH92" s="1497" t="n"/>
      <c r="AI92" s="1497">
        <f>Z92-AH92</f>
        <v/>
      </c>
      <c r="AJ92" s="1497">
        <f>IFERROR(100*AI92/AH92,"")</f>
        <v/>
      </c>
      <c r="AK92" s="1497">
        <f>IFERROR((AK51+AK106-AK113-AK99)/AK51*100,0)</f>
        <v/>
      </c>
      <c r="AL92" s="1497">
        <f>AK92-Z92</f>
        <v/>
      </c>
      <c r="AM92" s="1497">
        <f>IFERROR(100*AL92/AK92,"")</f>
        <v/>
      </c>
      <c r="AN92" s="1497">
        <f>IFERROR((AN51+AN106-AN113-AN99)/AN51*100,0)</f>
        <v/>
      </c>
      <c r="AO92" s="1497">
        <f>AN92-AA92</f>
        <v/>
      </c>
      <c r="AP92" s="1497">
        <f>IFERROR(100*AO92/AN92,"")</f>
        <v/>
      </c>
      <c r="AQ92" s="1497" t="n"/>
      <c r="AR92" s="1497">
        <f>-AQ92</f>
        <v/>
      </c>
      <c r="AS92" s="1497">
        <f>AA92-AR92</f>
        <v/>
      </c>
      <c r="AT92" s="1499">
        <f>IFERROR(100*AS92/AQ92,"")</f>
        <v/>
      </c>
      <c r="AU92" s="243" t="n"/>
    </row>
    <row r="93">
      <c r="S93" s="462">
        <f>IF(_epmOfflineCondition_,"         风电",EPMMemberDesc(U93))</f>
        <v/>
      </c>
      <c r="U93" s="197" t="inlineStr">
        <is>
          <t>A03425</t>
        </is>
      </c>
      <c r="V93" s="197">
        <f>IF(_epmOfflineCondition_,"A03425",EPMOlapMemberO(U93,"[C_ACCOUNT].[PARENTH1].[A03425]","A03425 -          风电","","000"))</f>
        <v/>
      </c>
      <c r="X93" s="1495" t="inlineStr">
        <is>
          <t xml:space="preserve">        风电</t>
        </is>
      </c>
      <c r="Y93" s="1496" t="inlineStr">
        <is>
          <t>%</t>
        </is>
      </c>
      <c r="Z93" s="1497">
        <f>IFERROR((Z52+Z107-Z114)/Z52*100,0)</f>
        <v/>
      </c>
      <c r="AA93" s="1497">
        <f>IFERROR((AA52+AA107-AA114-AA100)/AA52*100,0)</f>
        <v/>
      </c>
      <c r="AB93" s="1497" t="inlineStr"/>
      <c r="AC93" s="1497">
        <f>IFERROR(AA93-AB93,0)</f>
        <v/>
      </c>
      <c r="AD93" s="1498">
        <f>IFERROR(100*AC93/AB93,"")</f>
        <v/>
      </c>
      <c r="AE93" s="1497" t="inlineStr"/>
      <c r="AF93" s="1497">
        <f>Z93-AE93</f>
        <v/>
      </c>
      <c r="AG93" s="1497">
        <f>IFERROR(100*AF93/AE93,"")</f>
        <v/>
      </c>
      <c r="AH93" s="1497" t="inlineStr"/>
      <c r="AI93" s="1497">
        <f>Z93-AH93</f>
        <v/>
      </c>
      <c r="AJ93" s="1497">
        <f>IFERROR(100*AI93/AH93,"")</f>
        <v/>
      </c>
      <c r="AK93" s="1497">
        <f>IFERROR((AK52+AK107-AK114-AK100)/AK52*100,0)</f>
        <v/>
      </c>
      <c r="AL93" s="1497">
        <f>AK93-Z93</f>
        <v/>
      </c>
      <c r="AM93" s="1497">
        <f>IFERROR(100*AL93/AK93,"")</f>
        <v/>
      </c>
      <c r="AN93" s="1497">
        <f>IFERROR((AN52+AN107-AN114-AN100)/AN52*100,0)</f>
        <v/>
      </c>
      <c r="AO93" s="1497">
        <f>AN93-AA93</f>
        <v/>
      </c>
      <c r="AP93" s="1497">
        <f>IFERROR(100*AO93/AN93,"")</f>
        <v/>
      </c>
      <c r="AQ93" s="1497" t="n"/>
      <c r="AR93" s="1497">
        <f>-AQ93</f>
        <v/>
      </c>
      <c r="AS93" s="1497">
        <f>AA93-AR93</f>
        <v/>
      </c>
      <c r="AT93" s="1499">
        <f>IFERROR(100*AS93/AQ93,"")</f>
        <v/>
      </c>
      <c r="AU93" s="243" t="inlineStr"/>
    </row>
    <row r="94">
      <c r="S94" s="462">
        <f>IF(_epmOfflineCondition_,"         光伏",EPMMemberDesc(U94))</f>
        <v/>
      </c>
      <c r="U94" s="197" t="inlineStr">
        <is>
          <t>A03426</t>
        </is>
      </c>
      <c r="V94" s="197">
        <f>IF(_epmOfflineCondition_,"A03426",EPMOlapMemberO(U94,"[C_ACCOUNT].[PARENTH1].[A03426]","A03426 -          光伏","","000"))</f>
        <v/>
      </c>
      <c r="X94" s="1495" t="inlineStr">
        <is>
          <t xml:space="preserve">        光伏</t>
        </is>
      </c>
      <c r="Y94" s="1496" t="inlineStr">
        <is>
          <t>%</t>
        </is>
      </c>
      <c r="Z94" s="1497">
        <f>IFERROR((Z53+Z108-Z115-Z100)/Z53*100,0)</f>
        <v/>
      </c>
      <c r="AA94" s="1497">
        <f>IFERROR((AA53+AA108-AA115-AA101)/AA53*100,0)</f>
        <v/>
      </c>
      <c r="AB94" s="1497" t="n"/>
      <c r="AC94" s="1497">
        <f>IFERROR(AA94-AB94,0)</f>
        <v/>
      </c>
      <c r="AD94" s="1498">
        <f>IFERROR(100*AC94/AB94,"")</f>
        <v/>
      </c>
      <c r="AE94" s="1497" t="n"/>
      <c r="AF94" s="1497">
        <f>Z94-AE94</f>
        <v/>
      </c>
      <c r="AG94" s="1497">
        <f>IFERROR(100*AF94/AE94,"")</f>
        <v/>
      </c>
      <c r="AH94" s="1497" t="n"/>
      <c r="AI94" s="1497">
        <f>Z94-AH94</f>
        <v/>
      </c>
      <c r="AJ94" s="1497">
        <f>IFERROR(100*AI94/AH94,"")</f>
        <v/>
      </c>
      <c r="AK94" s="1497">
        <f>IFERROR((AK53+AK108-AK115-AK101)/AK53*100,0)</f>
        <v/>
      </c>
      <c r="AL94" s="1497">
        <f>AK94-Z94</f>
        <v/>
      </c>
      <c r="AM94" s="1497">
        <f>IFERROR(100*AL94/AK94,"")</f>
        <v/>
      </c>
      <c r="AN94" s="1497">
        <f>IFERROR((AN53+AN108-AN115-AN101)/AN53*100,0)</f>
        <v/>
      </c>
      <c r="AO94" s="1497">
        <f>AN94-AA94</f>
        <v/>
      </c>
      <c r="AP94" s="1497">
        <f>IFERROR(100*AO94/AN94,"")</f>
        <v/>
      </c>
      <c r="AQ94" s="1497" t="n"/>
      <c r="AR94" s="1497">
        <f>-AQ94</f>
        <v/>
      </c>
      <c r="AS94" s="1497">
        <f>AA94-AR94</f>
        <v/>
      </c>
      <c r="AT94" s="1499">
        <f>IFERROR(100*AS94/AQ94,"")</f>
        <v/>
      </c>
      <c r="AU94" s="243" t="n"/>
    </row>
    <row r="95">
      <c r="S95" s="462">
        <f>IF(_epmOfflineCondition_,"         燃气",EPMMemberDesc(U95))</f>
        <v/>
      </c>
      <c r="U95" s="197" t="inlineStr">
        <is>
          <t>A03427</t>
        </is>
      </c>
      <c r="V95" s="197">
        <f>IF(_epmOfflineCondition_,"A03427",EPMOlapMemberO(U95,"[C_ACCOUNT].[PARENTH1].[A03427]","A03427 -          燃气","","000"))</f>
        <v/>
      </c>
      <c r="X95" s="1495" t="inlineStr">
        <is>
          <t xml:space="preserve">        燃气</t>
        </is>
      </c>
      <c r="Y95" s="1496" t="inlineStr">
        <is>
          <t>%</t>
        </is>
      </c>
      <c r="Z95" s="1497">
        <f>IFERROR((Z54+Z109-Z116-Z102)/Z54*100,0)</f>
        <v/>
      </c>
      <c r="AA95" s="1497">
        <f>IFERROR((AA54+AA109-AA116-AA102)/AA54*100,0)</f>
        <v/>
      </c>
      <c r="AB95" s="1497" t="n"/>
      <c r="AC95" s="1497">
        <f>IFERROR(AA95-AB95,0)</f>
        <v/>
      </c>
      <c r="AD95" s="1498">
        <f>IFERROR(100*AC95/AB95,"")</f>
        <v/>
      </c>
      <c r="AE95" s="1497" t="n"/>
      <c r="AF95" s="1497">
        <f>Z95-AE95</f>
        <v/>
      </c>
      <c r="AG95" s="1497">
        <f>IFERROR(100*AF95/AE95,"")</f>
        <v/>
      </c>
      <c r="AH95" s="1497" t="n"/>
      <c r="AI95" s="1497">
        <f>Z95-AH95</f>
        <v/>
      </c>
      <c r="AJ95" s="1497">
        <f>IFERROR(100*AI95/AH95,"")</f>
        <v/>
      </c>
      <c r="AK95" s="1497">
        <f>IFERROR((AK54+AK109-AK116-AK102)/AK54*100,0)</f>
        <v/>
      </c>
      <c r="AL95" s="1497">
        <f>AK95-Z95</f>
        <v/>
      </c>
      <c r="AM95" s="1497">
        <f>IFERROR(100*AL95/AK95,"")</f>
        <v/>
      </c>
      <c r="AN95" s="1497">
        <f>IFERROR((AN54+AN109-AN116-AN102)/AN54*100,0)</f>
        <v/>
      </c>
      <c r="AO95" s="1497">
        <f>AN95-AA95</f>
        <v/>
      </c>
      <c r="AP95" s="1497">
        <f>IFERROR(100*AO95/AN95,"")</f>
        <v/>
      </c>
      <c r="AQ95" s="1497" t="n"/>
      <c r="AR95" s="1497">
        <f>-AQ95</f>
        <v/>
      </c>
      <c r="AS95" s="1497">
        <f>AA95-AR95</f>
        <v/>
      </c>
      <c r="AT95" s="1499">
        <f>IFERROR(100*AS95/AQ95,"")</f>
        <v/>
      </c>
      <c r="AU95" s="243" t="n"/>
    </row>
    <row r="96">
      <c r="S96" s="462">
        <f>IF(_epmOfflineCondition_,"         水电",EPMMemberDesc(U96))</f>
        <v/>
      </c>
      <c r="U96" s="197" t="inlineStr">
        <is>
          <t>A03428</t>
        </is>
      </c>
      <c r="V96" s="197">
        <f>IF(_epmOfflineCondition_,"A03428",EPMOlapMemberO(U96,"[C_ACCOUNT].[PARENTH1].[A03428]","A03428 -          水电","","000"))</f>
        <v/>
      </c>
      <c r="X96" s="1495" t="inlineStr">
        <is>
          <t xml:space="preserve">        水电</t>
        </is>
      </c>
      <c r="Y96" s="1496" t="inlineStr">
        <is>
          <t>%</t>
        </is>
      </c>
      <c r="Z96" s="1497">
        <f>IFERROR((Z55+Z110-Z117-Z103)/Z55*100,0)</f>
        <v/>
      </c>
      <c r="AA96" s="1497">
        <f>IFERROR((AA55+AA110-AA117-AA103)/AA55*100,0)</f>
        <v/>
      </c>
      <c r="AB96" s="1497" t="n"/>
      <c r="AC96" s="1497">
        <f>IFERROR(AA96-AB96,0)</f>
        <v/>
      </c>
      <c r="AD96" s="1498">
        <f>IFERROR(100*AC96/AB96,"")</f>
        <v/>
      </c>
      <c r="AE96" s="1497" t="n"/>
      <c r="AF96" s="1497">
        <f>Z96-AE96</f>
        <v/>
      </c>
      <c r="AG96" s="1497">
        <f>IFERROR(100*AF96/AE96,"")</f>
        <v/>
      </c>
      <c r="AH96" s="1497" t="n"/>
      <c r="AI96" s="1497">
        <f>Z96-AH96</f>
        <v/>
      </c>
      <c r="AJ96" s="1497">
        <f>IFERROR(100*AI96/AH96,"")</f>
        <v/>
      </c>
      <c r="AK96" s="1497">
        <f>IFERROR((AK55+AK110-AK117-AK103)/AK55*100,0)</f>
        <v/>
      </c>
      <c r="AL96" s="1497">
        <f>AK96-Z96</f>
        <v/>
      </c>
      <c r="AM96" s="1497">
        <f>IFERROR(100*AL96/AK96,"")</f>
        <v/>
      </c>
      <c r="AN96" s="1497">
        <f>IFERROR((AN55+AN110-AN117-AN103)/AN55*100,0)</f>
        <v/>
      </c>
      <c r="AO96" s="1497">
        <f>AN96-AA96</f>
        <v/>
      </c>
      <c r="AP96" s="1497">
        <f>IFERROR(100*AO96/AN96,"")</f>
        <v/>
      </c>
      <c r="AQ96" s="1497" t="n"/>
      <c r="AR96" s="1497">
        <f>-AQ96</f>
        <v/>
      </c>
      <c r="AS96" s="1497">
        <f>AA96-AR96</f>
        <v/>
      </c>
      <c r="AT96" s="1499">
        <f>IFERROR(100*AS96/AQ96,"")</f>
        <v/>
      </c>
      <c r="AU96" s="243" t="n"/>
    </row>
    <row r="97">
      <c r="S97" s="462">
        <f>IF(_epmOfflineCondition_,"         其他",EPMMemberDesc(U97))</f>
        <v/>
      </c>
      <c r="U97" s="197" t="inlineStr">
        <is>
          <t>A03429</t>
        </is>
      </c>
      <c r="V97" s="197">
        <f>IF(_epmOfflineCondition_,"A03429",EPMOlapMemberO(U97,"[C_ACCOUNT].[PARENTH1].[A03429]","A03429 -          其他","","000"))</f>
        <v/>
      </c>
      <c r="X97" s="1495" t="inlineStr">
        <is>
          <t xml:space="preserve">        其他</t>
        </is>
      </c>
      <c r="Y97" s="1496" t="inlineStr">
        <is>
          <t>%</t>
        </is>
      </c>
      <c r="Z97" s="1497">
        <f>IFERROR((Z56+Z111-Z118-Z104)/Z56*100,0)</f>
        <v/>
      </c>
      <c r="AA97" s="1497">
        <f>IFERROR((AA56+AA111-AA118-AA104)/AA56*100,0)</f>
        <v/>
      </c>
      <c r="AB97" s="1497" t="n"/>
      <c r="AC97" s="1497">
        <f>IFERROR(AA97-AB97,0)</f>
        <v/>
      </c>
      <c r="AD97" s="1498">
        <f>IFERROR(100*AC97/AB97,"")</f>
        <v/>
      </c>
      <c r="AE97" s="1497" t="n"/>
      <c r="AF97" s="1497">
        <f>Z97-AE97</f>
        <v/>
      </c>
      <c r="AG97" s="1497">
        <f>IFERROR(100*AF97/AE97,"")</f>
        <v/>
      </c>
      <c r="AH97" s="1497" t="n"/>
      <c r="AI97" s="1497">
        <f>Z97-AH97</f>
        <v/>
      </c>
      <c r="AJ97" s="1497">
        <f>IFERROR(100*AI97/AH97,"")</f>
        <v/>
      </c>
      <c r="AK97" s="1497">
        <f>IFERROR((AK56+AK111-AK118-AK104)/AK56*100,0)</f>
        <v/>
      </c>
      <c r="AL97" s="1497">
        <f>AK97-Z97</f>
        <v/>
      </c>
      <c r="AM97" s="1497">
        <f>IFERROR(100*AL97/AK97,"")</f>
        <v/>
      </c>
      <c r="AN97" s="1497">
        <f>IFERROR((AN56+AN111-AN118-AN104)/AN56*100,0)</f>
        <v/>
      </c>
      <c r="AO97" s="1497">
        <f>AN97-AA97</f>
        <v/>
      </c>
      <c r="AP97" s="1497">
        <f>IFERROR(100*AO97/AN97,"")</f>
        <v/>
      </c>
      <c r="AQ97" s="1497" t="n"/>
      <c r="AR97" s="1497">
        <f>-AQ97</f>
        <v/>
      </c>
      <c r="AS97" s="1497">
        <f>AA97-AR97</f>
        <v/>
      </c>
      <c r="AT97" s="1499">
        <f>IFERROR(100*AS97/AQ97,"")</f>
        <v/>
      </c>
      <c r="AU97" s="243" t="n"/>
    </row>
    <row r="98">
      <c r="S98" s="462">
        <f>IF(_epmOfflineCondition_," 变损及其他耗用电量",EPMMemberDesc(U98))</f>
        <v/>
      </c>
      <c r="U98" s="197" t="inlineStr">
        <is>
          <t>A03430</t>
        </is>
      </c>
      <c r="V98" s="197">
        <f>IF(_epmOfflineCondition_,"A03430",EPMOlapMemberO(U98,"[C_ACCOUNT].[PARENTH1].[A03430]","A03430 -  变损及其他耗用电量","","000"))</f>
        <v/>
      </c>
      <c r="X98" s="1495" t="inlineStr">
        <is>
          <t>其他耗用电量</t>
        </is>
      </c>
      <c r="Y98" s="1496" t="inlineStr">
        <is>
          <t>千千瓦时</t>
        </is>
      </c>
      <c r="Z98" s="1497">
        <f>SUM(Z99:Z104)</f>
        <v/>
      </c>
      <c r="AA98" s="1497">
        <f>SUM(AA99:AA104)</f>
        <v/>
      </c>
      <c r="AB98" s="1497" t="n"/>
      <c r="AC98" s="1497">
        <f>IFERROR(AA98-AB98,0)</f>
        <v/>
      </c>
      <c r="AD98" s="1498">
        <f>IFERROR(100*AC98/AB98,"")</f>
        <v/>
      </c>
      <c r="AE98" s="1497" t="n"/>
      <c r="AF98" s="1497">
        <f>Z98-AE98</f>
        <v/>
      </c>
      <c r="AG98" s="1497">
        <f>IFERROR(100*AF98/AE98,"")</f>
        <v/>
      </c>
      <c r="AH98" s="1497" t="n"/>
      <c r="AI98" s="1497">
        <f>Z98-AH98</f>
        <v/>
      </c>
      <c r="AJ98" s="1497">
        <f>IFERROR(100*AI98/AH98,"")</f>
        <v/>
      </c>
      <c r="AK98" s="1497">
        <f>SUM(AK99:AK104)</f>
        <v/>
      </c>
      <c r="AL98" s="1497">
        <f>AK98-Z98</f>
        <v/>
      </c>
      <c r="AM98" s="1497">
        <f>IFERROR(100*AL98/AK98,"")</f>
        <v/>
      </c>
      <c r="AN98" s="1497">
        <f>SUM(AN99:AN104)</f>
        <v/>
      </c>
      <c r="AO98" s="1497">
        <f>AN98-AA98</f>
        <v/>
      </c>
      <c r="AP98" s="1497">
        <f>IFERROR(100*AO98/AN98,"")</f>
        <v/>
      </c>
      <c r="AQ98" s="1497" t="n"/>
      <c r="AR98" s="1497">
        <f>-AQ98*10</f>
        <v/>
      </c>
      <c r="AS98" s="1497">
        <f>AA98-AR98</f>
        <v/>
      </c>
      <c r="AT98" s="1499">
        <f>IFERROR(100*AS98/AQ98,"")</f>
        <v/>
      </c>
      <c r="AU98" s="1500" t="n"/>
    </row>
    <row r="99">
      <c r="S99" s="462">
        <f>IF(_epmOfflineCondition_,"   其中：火电",EPMMemberDesc(U99))</f>
        <v/>
      </c>
      <c r="U99" s="197" t="inlineStr">
        <is>
          <t>A0343001</t>
        </is>
      </c>
      <c r="V99" s="199">
        <f>IF(_epmOfflineCondition_,"A0343001",EPMOlapMemberO(U99,"[C_ACCOUNT].[PARENTH1].[A0343001]","A0343001 -    其中：火电","","000"))</f>
        <v/>
      </c>
      <c r="X99" s="1495" t="inlineStr">
        <is>
          <t xml:space="preserve">  其中：火电</t>
        </is>
      </c>
      <c r="Y99" s="1496" t="inlineStr">
        <is>
          <t>千千瓦时</t>
        </is>
      </c>
      <c r="Z99" s="1497">
        <f>IF($I$8="01",AA99,AA99-AU99)</f>
        <v/>
      </c>
      <c r="AA99" s="1502" t="n"/>
      <c r="AB99" s="1497" t="n"/>
      <c r="AC99" s="1497">
        <f>IFERROR(AA99-AB99,0)</f>
        <v/>
      </c>
      <c r="AD99" s="1498">
        <f>IFERROR(100*AC99/AB99,"")</f>
        <v/>
      </c>
      <c r="AE99" s="1497" t="n"/>
      <c r="AF99" s="1497">
        <f>Z99-AE99</f>
        <v/>
      </c>
      <c r="AG99" s="1497">
        <f>IFERROR(100*AF99/AE99,"")</f>
        <v/>
      </c>
      <c r="AH99" s="1497" t="n"/>
      <c r="AI99" s="1497">
        <f>Z99-AH99</f>
        <v/>
      </c>
      <c r="AJ99" s="1497">
        <f>IFERROR(100*AI99/AH99,"")</f>
        <v/>
      </c>
      <c r="AK99" s="1497">
        <f>IF(_epmOfflineCondition_,0,EPMRetrieveData(,AK$25,AK$26,AK$27,AK$28,AK$29,AK$30,$U99,$E$23,$D$25,$D$26,$D$27,$C$21,$D$28))</f>
        <v/>
      </c>
      <c r="AL99" s="1497">
        <f>AK99-Z99</f>
        <v/>
      </c>
      <c r="AM99" s="1497">
        <f>IFERROR(100*AL99/AK99,"")</f>
        <v/>
      </c>
      <c r="AN99" s="1497">
        <f>IF(_epmOfflineCondition_,0,EPMRetrieveData(,AN$25,AN$26,AN$27,AN$28,AN$29,AN$30,$U99,$E$23,$D$25,$D$26,$D$27,$C$21,$D$28))</f>
        <v/>
      </c>
      <c r="AO99" s="1497">
        <f>AN99-AA99</f>
        <v/>
      </c>
      <c r="AP99" s="1497">
        <f>IFERROR(100*AO99/AN99,"")</f>
        <v/>
      </c>
      <c r="AQ99" s="1497" t="n"/>
      <c r="AR99" s="1497">
        <f>-AQ99*10</f>
        <v/>
      </c>
      <c r="AS99" s="1497">
        <f>AA99-AR99</f>
        <v/>
      </c>
      <c r="AT99" s="1499">
        <f>IFERROR(100*AS99/AQ99,"")</f>
        <v/>
      </c>
      <c r="AU99" s="1500" t="n"/>
    </row>
    <row r="100">
      <c r="S100" s="462">
        <f>IF(_epmOfflineCondition_,"         风电",EPMMemberDesc(U100))</f>
        <v/>
      </c>
      <c r="U100" s="197" t="inlineStr">
        <is>
          <t>A0343002</t>
        </is>
      </c>
      <c r="V100" s="199">
        <f>IF(_epmOfflineCondition_,"A0343002",EPMOlapMemberO(U100,"[C_ACCOUNT].[PARENTH1].[A0343002]","A0343002 -          风电","","000"))</f>
        <v/>
      </c>
      <c r="X100" s="1495" t="inlineStr">
        <is>
          <t xml:space="preserve">        风电</t>
        </is>
      </c>
      <c r="Y100" s="1496" t="inlineStr">
        <is>
          <t>千千瓦时</t>
        </is>
      </c>
      <c r="Z100" s="1497">
        <f>IF($I$8="01",AA100,AA100-AU100)</f>
        <v/>
      </c>
      <c r="AA100" s="1502" t="n"/>
      <c r="AB100" s="1497" t="n"/>
      <c r="AC100" s="1497">
        <f>IFERROR(AA100-AB100,0)</f>
        <v/>
      </c>
      <c r="AD100" s="1498">
        <f>IFERROR(100*AC100/AB100,"")</f>
        <v/>
      </c>
      <c r="AE100" s="1497" t="n"/>
      <c r="AF100" s="1497">
        <f>Z100-AE100</f>
        <v/>
      </c>
      <c r="AG100" s="1497">
        <f>IFERROR(100*AF100/AE100,"")</f>
        <v/>
      </c>
      <c r="AH100" s="1497" t="n"/>
      <c r="AI100" s="1497">
        <f>Z100-AH100</f>
        <v/>
      </c>
      <c r="AJ100" s="1497">
        <f>IFERROR(100*AI100/AH100,"")</f>
        <v/>
      </c>
      <c r="AK100" s="1497">
        <f>IF(_epmOfflineCondition_,0,EPMRetrieveData(,AK$25,AK$26,AK$27,AK$28,AK$29,AK$30,$U100,$E$23,$D$25,$D$26,$D$27,$C$21,$D$28))</f>
        <v/>
      </c>
      <c r="AL100" s="1497">
        <f>AK100-Z100</f>
        <v/>
      </c>
      <c r="AM100" s="1497">
        <f>IFERROR(100*AL100/AK100,"")</f>
        <v/>
      </c>
      <c r="AN100" s="1497">
        <f>IF(_epmOfflineCondition_,0,EPMRetrieveData(,AN$25,AN$26,AN$27,AN$28,AN$29,AN$30,$U100,$E$23,$D$25,$D$26,$D$27,$C$21,$D$28))</f>
        <v/>
      </c>
      <c r="AO100" s="1497">
        <f>AN100-AA100</f>
        <v/>
      </c>
      <c r="AP100" s="1497">
        <f>IFERROR(100*AO100/AN100,"")</f>
        <v/>
      </c>
      <c r="AQ100" s="1497" t="n"/>
      <c r="AR100" s="1497">
        <f>-AQ100*10</f>
        <v/>
      </c>
      <c r="AS100" s="1497">
        <f>AA100-AR100</f>
        <v/>
      </c>
      <c r="AT100" s="1499">
        <f>IFERROR(100*AS100/AQ100,"")</f>
        <v/>
      </c>
      <c r="AU100" s="1500" t="n"/>
    </row>
    <row r="101">
      <c r="S101" s="462">
        <f>IF(_epmOfflineCondition_,"         光伏",EPMMemberDesc(U101))</f>
        <v/>
      </c>
      <c r="U101" s="197" t="inlineStr">
        <is>
          <t>A0343003</t>
        </is>
      </c>
      <c r="V101" s="199">
        <f>IF(_epmOfflineCondition_,"A0343003",EPMOlapMemberO(U101,"[C_ACCOUNT].[PARENTH1].[A0343003]","A0343003 -          光伏","","000"))</f>
        <v/>
      </c>
      <c r="X101" s="1495" t="inlineStr">
        <is>
          <t xml:space="preserve">        光伏</t>
        </is>
      </c>
      <c r="Y101" s="1496" t="inlineStr">
        <is>
          <t>千千瓦时</t>
        </is>
      </c>
      <c r="Z101" s="1497">
        <f>IF($I$8="01",AA101,AA101-AU101)</f>
        <v/>
      </c>
      <c r="AA101" s="1502" t="n"/>
      <c r="AB101" s="1497" t="n"/>
      <c r="AC101" s="1497">
        <f>IFERROR(AA101-AB101,0)</f>
        <v/>
      </c>
      <c r="AD101" s="1498">
        <f>IFERROR(100*AC101/AB101,"")</f>
        <v/>
      </c>
      <c r="AE101" s="1497" t="n"/>
      <c r="AF101" s="1497">
        <f>Z101-AE101</f>
        <v/>
      </c>
      <c r="AG101" s="1497">
        <f>IFERROR(100*AF101/AE101,"")</f>
        <v/>
      </c>
      <c r="AH101" s="1497" t="n"/>
      <c r="AI101" s="1497">
        <f>Z101-AH101</f>
        <v/>
      </c>
      <c r="AJ101" s="1497">
        <f>IFERROR(100*AI101/AH101,"")</f>
        <v/>
      </c>
      <c r="AK101" s="1497">
        <f>IF(_epmOfflineCondition_,0,EPMRetrieveData(,AK$25,AK$26,AK$27,AK$28,AK$29,AK$30,$U101,$E$23,$D$25,$D$26,$D$27,$C$21,$D$28))</f>
        <v/>
      </c>
      <c r="AL101" s="1497">
        <f>AK101-Z101</f>
        <v/>
      </c>
      <c r="AM101" s="1497">
        <f>IFERROR(100*AL101/AK101,"")</f>
        <v/>
      </c>
      <c r="AN101" s="1497">
        <f>IF(_epmOfflineCondition_,0,EPMRetrieveData(,AN$25,AN$26,AN$27,AN$28,AN$29,AN$30,$U101,$E$23,$D$25,$D$26,$D$27,$C$21,$D$28))</f>
        <v/>
      </c>
      <c r="AO101" s="1497">
        <f>AN101-AA101</f>
        <v/>
      </c>
      <c r="AP101" s="1497">
        <f>IFERROR(100*AO101/AN101,"")</f>
        <v/>
      </c>
      <c r="AQ101" s="1497" t="n"/>
      <c r="AR101" s="1497">
        <f>-AQ101*10</f>
        <v/>
      </c>
      <c r="AS101" s="1497">
        <f>AA101-AR101</f>
        <v/>
      </c>
      <c r="AT101" s="1499">
        <f>IFERROR(100*AS101/AQ101,"")</f>
        <v/>
      </c>
      <c r="AU101" s="1500" t="n"/>
    </row>
    <row r="102">
      <c r="S102" s="462">
        <f>IF(_epmOfflineCondition_,"         燃气",EPMMemberDesc(U102))</f>
        <v/>
      </c>
      <c r="U102" s="197" t="inlineStr">
        <is>
          <t>A0343004</t>
        </is>
      </c>
      <c r="V102" s="199">
        <f>IF(_epmOfflineCondition_,"A0343004",EPMOlapMemberO(U102,"[C_ACCOUNT].[PARENTH1].[A0343004]","A0343004 -          燃气","","000"))</f>
        <v/>
      </c>
      <c r="X102" s="1495" t="inlineStr">
        <is>
          <t xml:space="preserve">        燃气</t>
        </is>
      </c>
      <c r="Y102" s="1496" t="inlineStr">
        <is>
          <t>千千瓦时</t>
        </is>
      </c>
      <c r="Z102" s="1497">
        <f>IF($I$8="01",AA102,AA102-AU102)</f>
        <v/>
      </c>
      <c r="AA102" s="1502" t="n"/>
      <c r="AB102" s="1497" t="n"/>
      <c r="AC102" s="1497">
        <f>IFERROR(AA102-AB102,0)</f>
        <v/>
      </c>
      <c r="AD102" s="1498">
        <f>IFERROR(100*AC102/AB102,"")</f>
        <v/>
      </c>
      <c r="AE102" s="1497" t="n"/>
      <c r="AF102" s="1497">
        <f>Z102-AE102</f>
        <v/>
      </c>
      <c r="AG102" s="1497">
        <f>IFERROR(100*AF102/AE102,"")</f>
        <v/>
      </c>
      <c r="AH102" s="1497" t="n"/>
      <c r="AI102" s="1497">
        <f>Z102-AH102</f>
        <v/>
      </c>
      <c r="AJ102" s="1497">
        <f>IFERROR(100*AI102/AH102,"")</f>
        <v/>
      </c>
      <c r="AK102" s="1497">
        <f>IF(_epmOfflineCondition_,0,EPMRetrieveData(,AK$25,AK$26,AK$27,AK$28,AK$29,AK$30,$U102,$E$23,$D$25,$D$26,$D$27,$C$21,$D$28))</f>
        <v/>
      </c>
      <c r="AL102" s="1497">
        <f>AK102-Z102</f>
        <v/>
      </c>
      <c r="AM102" s="1497">
        <f>IFERROR(100*AL102/AK102,"")</f>
        <v/>
      </c>
      <c r="AN102" s="1497">
        <f>IF(_epmOfflineCondition_,0,EPMRetrieveData(,AN$25,AN$26,AN$27,AN$28,AN$29,AN$30,$U102,$E$23,$D$25,$D$26,$D$27,$C$21,$D$28))</f>
        <v/>
      </c>
      <c r="AO102" s="1497">
        <f>AN102-AA102</f>
        <v/>
      </c>
      <c r="AP102" s="1497">
        <f>IFERROR(100*AO102/AN102,"")</f>
        <v/>
      </c>
      <c r="AQ102" s="1497" t="n"/>
      <c r="AR102" s="1497">
        <f>-AQ102*10</f>
        <v/>
      </c>
      <c r="AS102" s="1497">
        <f>AA102-AR102</f>
        <v/>
      </c>
      <c r="AT102" s="1499">
        <f>IFERROR(100*AS102/AQ102,"")</f>
        <v/>
      </c>
      <c r="AU102" s="1500" t="n"/>
    </row>
    <row r="103">
      <c r="S103" s="462">
        <f>IF(_epmOfflineCondition_,"         水电",EPMMemberDesc(U103))</f>
        <v/>
      </c>
      <c r="U103" s="197" t="inlineStr">
        <is>
          <t>A0343005</t>
        </is>
      </c>
      <c r="V103" s="199">
        <f>IF(_epmOfflineCondition_,"A0343005",EPMOlapMemberO(U103,"[C_ACCOUNT].[PARENTH1].[A0343005]","A0343005 -          水电","","000"))</f>
        <v/>
      </c>
      <c r="X103" s="1495" t="inlineStr">
        <is>
          <t xml:space="preserve">        水电</t>
        </is>
      </c>
      <c r="Y103" s="1496" t="inlineStr">
        <is>
          <t>千千瓦时</t>
        </is>
      </c>
      <c r="Z103" s="1497">
        <f>IF($I$8="01",AA103,AA103-AU103)</f>
        <v/>
      </c>
      <c r="AA103" s="1502" t="n"/>
      <c r="AB103" s="1497" t="n"/>
      <c r="AC103" s="1497">
        <f>IFERROR(AA103-AB103,0)</f>
        <v/>
      </c>
      <c r="AD103" s="1498">
        <f>IFERROR(100*AC103/AB103,"")</f>
        <v/>
      </c>
      <c r="AE103" s="1497" t="n"/>
      <c r="AF103" s="1497">
        <f>Z103-AE103</f>
        <v/>
      </c>
      <c r="AG103" s="1497">
        <f>IFERROR(100*AF103/AE103,"")</f>
        <v/>
      </c>
      <c r="AH103" s="1497" t="n"/>
      <c r="AI103" s="1497">
        <f>Z103-AH103</f>
        <v/>
      </c>
      <c r="AJ103" s="1497">
        <f>IFERROR(100*AI103/AH103,"")</f>
        <v/>
      </c>
      <c r="AK103" s="1497">
        <f>IF(_epmOfflineCondition_,0,EPMRetrieveData(,AK$25,AK$26,AK$27,AK$28,AK$29,AK$30,$U103,$E$23,$D$25,$D$26,$D$27,$C$21,$D$28))</f>
        <v/>
      </c>
      <c r="AL103" s="1497">
        <f>AK103-Z103</f>
        <v/>
      </c>
      <c r="AM103" s="1497">
        <f>IFERROR(100*AL103/AK103,"")</f>
        <v/>
      </c>
      <c r="AN103" s="1497">
        <f>IF(_epmOfflineCondition_,0,EPMRetrieveData(,AN$25,AN$26,AN$27,AN$28,AN$29,AN$30,$U103,$E$23,$D$25,$D$26,$D$27,$C$21,$D$28))</f>
        <v/>
      </c>
      <c r="AO103" s="1497">
        <f>AN103-AA103</f>
        <v/>
      </c>
      <c r="AP103" s="1497">
        <f>IFERROR(100*AO103/AN103,"")</f>
        <v/>
      </c>
      <c r="AQ103" s="1497" t="n"/>
      <c r="AR103" s="1497">
        <f>-AQ103*10</f>
        <v/>
      </c>
      <c r="AS103" s="1497">
        <f>AA103-AR103</f>
        <v/>
      </c>
      <c r="AT103" s="1499">
        <f>IFERROR(100*AS103/AQ103,"")</f>
        <v/>
      </c>
      <c r="AU103" s="1500" t="n"/>
    </row>
    <row r="104">
      <c r="S104" s="462">
        <f>IF(_epmOfflineCondition_,"         其他",EPMMemberDesc(U104))</f>
        <v/>
      </c>
      <c r="U104" s="197" t="inlineStr">
        <is>
          <t>A0343006</t>
        </is>
      </c>
      <c r="V104" s="199">
        <f>IF(_epmOfflineCondition_,"A0343006",EPMOlapMemberO(U104,"[C_ACCOUNT].[PARENTH1].[A0343006]","A0343006 -          其他","","000"))</f>
        <v/>
      </c>
      <c r="X104" s="1495" t="inlineStr">
        <is>
          <t xml:space="preserve">        其他</t>
        </is>
      </c>
      <c r="Y104" s="1496" t="inlineStr">
        <is>
          <t>千千瓦时</t>
        </is>
      </c>
      <c r="Z104" s="1497">
        <f>IF($I$8="01",AA104,AA104-AU104)</f>
        <v/>
      </c>
      <c r="AA104" s="1502" t="n"/>
      <c r="AB104" s="1497" t="n"/>
      <c r="AC104" s="1497">
        <f>IFERROR(AA104-AB104,0)</f>
        <v/>
      </c>
      <c r="AD104" s="1498">
        <f>IFERROR(100*AC104/AB104,"")</f>
        <v/>
      </c>
      <c r="AE104" s="1497" t="n"/>
      <c r="AF104" s="1497">
        <f>Z104-AE104</f>
        <v/>
      </c>
      <c r="AG104" s="1497">
        <f>IFERROR(100*AF104/AE104,"")</f>
        <v/>
      </c>
      <c r="AH104" s="1497" t="n"/>
      <c r="AI104" s="1497">
        <f>Z104-AH104</f>
        <v/>
      </c>
      <c r="AJ104" s="1497">
        <f>IFERROR(100*AI104/AH104,"")</f>
        <v/>
      </c>
      <c r="AK104" s="1497">
        <f>IF(_epmOfflineCondition_,0,EPMRetrieveData(,AK$25,AK$26,AK$27,AK$28,AK$29,AK$30,$U104,$E$23,$D$25,$D$26,$D$27,$C$21,$D$28))</f>
        <v/>
      </c>
      <c r="AL104" s="1497">
        <f>AK104-Z104</f>
        <v/>
      </c>
      <c r="AM104" s="1497">
        <f>IFERROR(100*AL104/AK104,"")</f>
        <v/>
      </c>
      <c r="AN104" s="1497">
        <f>IF(_epmOfflineCondition_,0,EPMRetrieveData(,AN$25,AN$26,AN$27,AN$28,AN$29,AN$30,$U104,$E$23,$D$25,$D$26,$D$27,$C$21,$D$28))</f>
        <v/>
      </c>
      <c r="AO104" s="1497">
        <f>AN104-AA104</f>
        <v/>
      </c>
      <c r="AP104" s="1497">
        <f>IFERROR(100*AO104/AN104,"")</f>
        <v/>
      </c>
      <c r="AQ104" s="1497" t="n"/>
      <c r="AR104" s="1497">
        <f>-AQ104*10</f>
        <v/>
      </c>
      <c r="AS104" s="1497">
        <f>AA104-AR104</f>
        <v/>
      </c>
      <c r="AT104" s="1499">
        <f>IFERROR(100*AS104/AQ104,"")</f>
        <v/>
      </c>
      <c r="AU104" s="1500" t="n"/>
    </row>
    <row r="105">
      <c r="S105" s="462">
        <f>IF(_epmOfflineCondition_," 外购电量",EPMMemberDesc(U105))</f>
        <v/>
      </c>
      <c r="U105" s="197" t="inlineStr">
        <is>
          <t>A03431</t>
        </is>
      </c>
      <c r="V105" s="197">
        <f>IF(_epmOfflineCondition_,"A03431",EPMOlapMemberO(U105,"[C_ACCOUNT].[PARENTH1].[A03431]","A03431 -  外购电量","","000"))</f>
        <v/>
      </c>
      <c r="X105" s="1495" t="inlineStr">
        <is>
          <t>外购电量</t>
        </is>
      </c>
      <c r="Y105" s="1496" t="inlineStr">
        <is>
          <t>千千瓦时</t>
        </is>
      </c>
      <c r="Z105" s="1497">
        <f>SUM(Z106:Z111)</f>
        <v/>
      </c>
      <c r="AA105" s="1497">
        <f>SUM(AA106:AA111)</f>
        <v/>
      </c>
      <c r="AB105" s="1497" t="inlineStr"/>
      <c r="AC105" s="1497">
        <f>IFERROR(AA105-AB105,0)</f>
        <v/>
      </c>
      <c r="AD105" s="1498">
        <f>IFERROR(100*AC105/AB105,"")</f>
        <v/>
      </c>
      <c r="AE105" s="1497" t="inlineStr"/>
      <c r="AF105" s="1497">
        <f>Z105-AE105</f>
        <v/>
      </c>
      <c r="AG105" s="1497">
        <f>IFERROR(100*AF105/AE105,"")</f>
        <v/>
      </c>
      <c r="AH105" s="1497" t="inlineStr"/>
      <c r="AI105" s="1497">
        <f>Z105-AH105</f>
        <v/>
      </c>
      <c r="AJ105" s="1497">
        <f>IFERROR(100*AI105/AH105,"")</f>
        <v/>
      </c>
      <c r="AK105" s="1497">
        <f>SUM(AK106:AK111)</f>
        <v/>
      </c>
      <c r="AL105" s="1497">
        <f>AK105-Z105</f>
        <v/>
      </c>
      <c r="AM105" s="1497">
        <f>IFERROR(100*AL105/AK105,"")</f>
        <v/>
      </c>
      <c r="AN105" s="1497">
        <f>SUM(AN106:AN111)</f>
        <v/>
      </c>
      <c r="AO105" s="1497">
        <f>AN105-AA105</f>
        <v/>
      </c>
      <c r="AP105" s="1497">
        <f>IFERROR(100*AO105/AN105,"")</f>
        <v/>
      </c>
      <c r="AQ105" s="1497" t="n"/>
      <c r="AR105" s="1497">
        <f>-AQ105*10</f>
        <v/>
      </c>
      <c r="AS105" s="1497">
        <f>AA105-AR105</f>
        <v/>
      </c>
      <c r="AT105" s="1499">
        <f>IFERROR(100*AS105/AQ105,"")</f>
        <v/>
      </c>
      <c r="AU105" s="1500" t="inlineStr"/>
    </row>
    <row r="106">
      <c r="S106" s="462">
        <f>IF(_epmOfflineCondition_,"   其中：火电",EPMMemberDesc(U106))</f>
        <v/>
      </c>
      <c r="U106" s="197" t="inlineStr">
        <is>
          <t>A0343101</t>
        </is>
      </c>
      <c r="V106" s="199">
        <f>IF(_epmOfflineCondition_,"A0343101",EPMOlapMemberO(U106,"[C_ACCOUNT].[PARENTH1].[A0343101]","A0343101 -    其中：火电","","000"))</f>
        <v/>
      </c>
      <c r="X106" s="1495" t="inlineStr">
        <is>
          <t xml:space="preserve">  其中：火电</t>
        </is>
      </c>
      <c r="Y106" s="1496" t="inlineStr">
        <is>
          <t>千千瓦时</t>
        </is>
      </c>
      <c r="Z106" s="1497">
        <f>IF($I$8="01",AA106,AA106-AU106)</f>
        <v/>
      </c>
      <c r="AA106" s="1501" t="n"/>
      <c r="AB106" s="1497" t="n"/>
      <c r="AC106" s="1497">
        <f>IFERROR(AA106-AB106,0)</f>
        <v/>
      </c>
      <c r="AD106" s="1498">
        <f>IFERROR(100*AC106/AB106,"")</f>
        <v/>
      </c>
      <c r="AE106" s="1497" t="n"/>
      <c r="AF106" s="1497">
        <f>Z106-AE106</f>
        <v/>
      </c>
      <c r="AG106" s="1497">
        <f>IFERROR(100*AF106/AE106,"")</f>
        <v/>
      </c>
      <c r="AH106" s="1497" t="n"/>
      <c r="AI106" s="1497">
        <f>Z106-AH106</f>
        <v/>
      </c>
      <c r="AJ106" s="1497">
        <f>IFERROR(100*AI106/AH106,"")</f>
        <v/>
      </c>
      <c r="AK106" s="1497">
        <f>IF(_epmOfflineCondition_,0,EPMRetrieveData(,AK$25,AK$26,AK$27,AK$28,AK$29,AK$30,$U106,$E$23,$D$25,$D$26,$D$27,$C$21,$D$28))</f>
        <v/>
      </c>
      <c r="AL106" s="1497">
        <f>AK106-Z106</f>
        <v/>
      </c>
      <c r="AM106" s="1497">
        <f>IFERROR(100*AL106/AK106,"")</f>
        <v/>
      </c>
      <c r="AN106" s="1497">
        <f>IF(_epmOfflineCondition_,0,EPMRetrieveData(,AN$25,AN$26,AN$27,AN$28,AN$29,AN$30,$U106,$E$23,$D$25,$D$26,$D$27,$C$21,$D$28))</f>
        <v/>
      </c>
      <c r="AO106" s="1497">
        <f>AN106-AA106</f>
        <v/>
      </c>
      <c r="AP106" s="1497">
        <f>IFERROR(100*AO106/AN106,"")</f>
        <v/>
      </c>
      <c r="AQ106" s="1497" t="n"/>
      <c r="AR106" s="1497">
        <f>-AQ106*10</f>
        <v/>
      </c>
      <c r="AS106" s="1497">
        <f>AA106-AR106</f>
        <v/>
      </c>
      <c r="AT106" s="1499">
        <f>IFERROR(100*AS106/AQ106,"")</f>
        <v/>
      </c>
      <c r="AU106" s="1500" t="n"/>
    </row>
    <row r="107">
      <c r="S107" s="462">
        <f>IF(_epmOfflineCondition_,"         风电",EPMMemberDesc(U107))</f>
        <v/>
      </c>
      <c r="U107" s="197" t="inlineStr">
        <is>
          <t>A0343102</t>
        </is>
      </c>
      <c r="V107" s="199">
        <f>IF(_epmOfflineCondition_,"A0343102",EPMOlapMemberO(U107,"[C_ACCOUNT].[PARENTH1].[A0343102]","A0343102 -          风电","","000"))</f>
        <v/>
      </c>
      <c r="X107" s="1495" t="inlineStr">
        <is>
          <t xml:space="preserve">        风电</t>
        </is>
      </c>
      <c r="Y107" s="1496" t="inlineStr">
        <is>
          <t>千千瓦时</t>
        </is>
      </c>
      <c r="Z107" s="1497">
        <f>IF($I$8="01",AA107,AA107-AU107)</f>
        <v/>
      </c>
      <c r="AA107" s="1501" t="inlineStr"/>
      <c r="AB107" s="1497" t="inlineStr"/>
      <c r="AC107" s="1497">
        <f>IFERROR(AA107-AB107,0)</f>
        <v/>
      </c>
      <c r="AD107" s="1498">
        <f>IFERROR(100*AC107/AB107,"")</f>
        <v/>
      </c>
      <c r="AE107" s="1497" t="inlineStr"/>
      <c r="AF107" s="1497">
        <f>Z107-AE107</f>
        <v/>
      </c>
      <c r="AG107" s="1497">
        <f>IFERROR(100*AF107/AE107,"")</f>
        <v/>
      </c>
      <c r="AH107" s="1497" t="inlineStr"/>
      <c r="AI107" s="1497">
        <f>Z107-AH107</f>
        <v/>
      </c>
      <c r="AJ107" s="1497">
        <f>IFERROR(100*AI107/AH107,"")</f>
        <v/>
      </c>
      <c r="AK107" s="1497">
        <f>IF(_epmOfflineCondition_,0,EPMRetrieveData(,AK$25,AK$26,AK$27,AK$28,AK$29,AK$30,$U107,$E$23,$D$25,$D$26,$D$27,$C$21,$D$28))</f>
        <v/>
      </c>
      <c r="AL107" s="1497">
        <f>AK107-Z107</f>
        <v/>
      </c>
      <c r="AM107" s="1497">
        <f>IFERROR(100*AL107/AK107,"")</f>
        <v/>
      </c>
      <c r="AN107" s="1497">
        <f>IF(_epmOfflineCondition_,0,EPMRetrieveData(,AN$25,AN$26,AN$27,AN$28,AN$29,AN$30,$U107,$E$23,$D$25,$D$26,$D$27,$C$21,$D$28))</f>
        <v/>
      </c>
      <c r="AO107" s="1497">
        <f>AN107-AA107</f>
        <v/>
      </c>
      <c r="AP107" s="1497">
        <f>IFERROR(100*AO107/AN107,"")</f>
        <v/>
      </c>
      <c r="AQ107" s="1497" t="n"/>
      <c r="AR107" s="1497">
        <f>-AQ107*10</f>
        <v/>
      </c>
      <c r="AS107" s="1497">
        <f>AA107-AR107</f>
        <v/>
      </c>
      <c r="AT107" s="1499">
        <f>IFERROR(100*AS107/AQ107,"")</f>
        <v/>
      </c>
      <c r="AU107" s="1500" t="inlineStr"/>
    </row>
    <row r="108">
      <c r="S108" s="462">
        <f>IF(_epmOfflineCondition_,"         光伏",EPMMemberDesc(U108))</f>
        <v/>
      </c>
      <c r="U108" s="197" t="inlineStr">
        <is>
          <t>A0343103</t>
        </is>
      </c>
      <c r="V108" s="199">
        <f>IF(_epmOfflineCondition_,"A0343103",EPMOlapMemberO(U108,"[C_ACCOUNT].[PARENTH1].[A0343103]","A0343103 -          光伏","","000"))</f>
        <v/>
      </c>
      <c r="X108" s="1495" t="inlineStr">
        <is>
          <t xml:space="preserve">        光伏</t>
        </is>
      </c>
      <c r="Y108" s="1496" t="inlineStr">
        <is>
          <t>千千瓦时</t>
        </is>
      </c>
      <c r="Z108" s="1497">
        <f>IF($I$8="01",AA108,AA108-AU108)</f>
        <v/>
      </c>
      <c r="AA108" s="1501" t="n"/>
      <c r="AB108" s="1497" t="n"/>
      <c r="AC108" s="1497">
        <f>IFERROR(AA108-AB108,0)</f>
        <v/>
      </c>
      <c r="AD108" s="1498">
        <f>IFERROR(100*AC108/AB108,"")</f>
        <v/>
      </c>
      <c r="AE108" s="1497" t="n"/>
      <c r="AF108" s="1497">
        <f>Z108-AE108</f>
        <v/>
      </c>
      <c r="AG108" s="1497">
        <f>IFERROR(100*AF108/AE108,"")</f>
        <v/>
      </c>
      <c r="AH108" s="1497" t="n"/>
      <c r="AI108" s="1497">
        <f>Z108-AH108</f>
        <v/>
      </c>
      <c r="AJ108" s="1497">
        <f>IFERROR(100*AI108/AH108,"")</f>
        <v/>
      </c>
      <c r="AK108" s="1497">
        <f>IF(_epmOfflineCondition_,0,EPMRetrieveData(,AK$25,AK$26,AK$27,AK$28,AK$29,AK$30,$U108,$E$23,$D$25,$D$26,$D$27,$C$21,$D$28))</f>
        <v/>
      </c>
      <c r="AL108" s="1497">
        <f>AK108-Z108</f>
        <v/>
      </c>
      <c r="AM108" s="1497">
        <f>IFERROR(100*AL108/AK108,"")</f>
        <v/>
      </c>
      <c r="AN108" s="1497">
        <f>IF(_epmOfflineCondition_,0,EPMRetrieveData(,AN$25,AN$26,AN$27,AN$28,AN$29,AN$30,$U108,$E$23,$D$25,$D$26,$D$27,$C$21,$D$28))</f>
        <v/>
      </c>
      <c r="AO108" s="1497">
        <f>AN108-AA108</f>
        <v/>
      </c>
      <c r="AP108" s="1497">
        <f>IFERROR(100*AO108/AN108,"")</f>
        <v/>
      </c>
      <c r="AQ108" s="1497" t="n"/>
      <c r="AR108" s="1497">
        <f>-AQ108*10</f>
        <v/>
      </c>
      <c r="AS108" s="1497">
        <f>AA108-AR108</f>
        <v/>
      </c>
      <c r="AT108" s="1499">
        <f>IFERROR(100*AS108/AQ108,"")</f>
        <v/>
      </c>
      <c r="AU108" s="1500" t="n"/>
    </row>
    <row r="109">
      <c r="S109" s="462">
        <f>IF(_epmOfflineCondition_,"         燃气",EPMMemberDesc(U109))</f>
        <v/>
      </c>
      <c r="U109" s="197" t="inlineStr">
        <is>
          <t>A0343104</t>
        </is>
      </c>
      <c r="V109" s="199">
        <f>IF(_epmOfflineCondition_,"A0343104",EPMOlapMemberO(U109,"[C_ACCOUNT].[PARENTH1].[A0343104]","A0343104 -          燃气","","000"))</f>
        <v/>
      </c>
      <c r="X109" s="1495" t="inlineStr">
        <is>
          <t xml:space="preserve">        燃气</t>
        </is>
      </c>
      <c r="Y109" s="1496" t="inlineStr">
        <is>
          <t>千千瓦时</t>
        </is>
      </c>
      <c r="Z109" s="1497">
        <f>IF($I$8="01",AA109,AA109-AU109)</f>
        <v/>
      </c>
      <c r="AA109" s="1501" t="n"/>
      <c r="AB109" s="1497" t="n"/>
      <c r="AC109" s="1497">
        <f>IFERROR(AA109-AB109,0)</f>
        <v/>
      </c>
      <c r="AD109" s="1498">
        <f>IFERROR(100*AC109/AB109,"")</f>
        <v/>
      </c>
      <c r="AE109" s="1497" t="n"/>
      <c r="AF109" s="1497">
        <f>Z109-AE109</f>
        <v/>
      </c>
      <c r="AG109" s="1497">
        <f>IFERROR(100*AF109/AE109,"")</f>
        <v/>
      </c>
      <c r="AH109" s="1497" t="n"/>
      <c r="AI109" s="1497">
        <f>Z109-AH109</f>
        <v/>
      </c>
      <c r="AJ109" s="1497">
        <f>IFERROR(100*AI109/AH109,"")</f>
        <v/>
      </c>
      <c r="AK109" s="1497">
        <f>IF(_epmOfflineCondition_,0,EPMRetrieveData(,AK$25,AK$26,AK$27,AK$28,AK$29,AK$30,$U109,$E$23,$D$25,$D$26,$D$27,$C$21,$D$28))</f>
        <v/>
      </c>
      <c r="AL109" s="1497">
        <f>AK109-Z109</f>
        <v/>
      </c>
      <c r="AM109" s="1497">
        <f>IFERROR(100*AL109/AK109,"")</f>
        <v/>
      </c>
      <c r="AN109" s="1497">
        <f>IF(_epmOfflineCondition_,0,EPMRetrieveData(,AN$25,AN$26,AN$27,AN$28,AN$29,AN$30,$U109,$E$23,$D$25,$D$26,$D$27,$C$21,$D$28))</f>
        <v/>
      </c>
      <c r="AO109" s="1497">
        <f>AN109-AA109</f>
        <v/>
      </c>
      <c r="AP109" s="1497">
        <f>IFERROR(100*AO109/AN109,"")</f>
        <v/>
      </c>
      <c r="AQ109" s="1497" t="n"/>
      <c r="AR109" s="1497">
        <f>-AQ109*10</f>
        <v/>
      </c>
      <c r="AS109" s="1497">
        <f>AA109-AR109</f>
        <v/>
      </c>
      <c r="AT109" s="1499">
        <f>IFERROR(100*AS109/AQ109,"")</f>
        <v/>
      </c>
      <c r="AU109" s="1500" t="n"/>
    </row>
    <row r="110">
      <c r="S110" s="462">
        <f>IF(_epmOfflineCondition_,"         水电",EPMMemberDesc(U110))</f>
        <v/>
      </c>
      <c r="U110" s="197" t="inlineStr">
        <is>
          <t>A0343105</t>
        </is>
      </c>
      <c r="V110" s="199">
        <f>IF(_epmOfflineCondition_,"A0343105",EPMOlapMemberO(U110,"[C_ACCOUNT].[PARENTH1].[A0343105]","A0343105 -          水电","","000"))</f>
        <v/>
      </c>
      <c r="X110" s="1495" t="inlineStr">
        <is>
          <t xml:space="preserve">        水电</t>
        </is>
      </c>
      <c r="Y110" s="1496" t="inlineStr">
        <is>
          <t>千千瓦时</t>
        </is>
      </c>
      <c r="Z110" s="1497">
        <f>IF($I$8="01",AA110,AA110-AU110)</f>
        <v/>
      </c>
      <c r="AA110" s="1501" t="n"/>
      <c r="AB110" s="1497" t="n"/>
      <c r="AC110" s="1497">
        <f>IFERROR(AA110-AB110,0)</f>
        <v/>
      </c>
      <c r="AD110" s="1498">
        <f>IFERROR(100*AC110/AB110,"")</f>
        <v/>
      </c>
      <c r="AE110" s="1497" t="n"/>
      <c r="AF110" s="1497">
        <f>Z110-AE110</f>
        <v/>
      </c>
      <c r="AG110" s="1497">
        <f>IFERROR(100*AF110/AE110,"")</f>
        <v/>
      </c>
      <c r="AH110" s="1497" t="n"/>
      <c r="AI110" s="1497">
        <f>Z110-AH110</f>
        <v/>
      </c>
      <c r="AJ110" s="1497">
        <f>IFERROR(100*AI110/AH110,"")</f>
        <v/>
      </c>
      <c r="AK110" s="1497">
        <f>IF(_epmOfflineCondition_,0,EPMRetrieveData(,AK$25,AK$26,AK$27,AK$28,AK$29,AK$30,$U110,$E$23,$D$25,$D$26,$D$27,$C$21,$D$28))</f>
        <v/>
      </c>
      <c r="AL110" s="1497">
        <f>AK110-Z110</f>
        <v/>
      </c>
      <c r="AM110" s="1497">
        <f>IFERROR(100*AL110/AK110,"")</f>
        <v/>
      </c>
      <c r="AN110" s="1497">
        <f>IF(_epmOfflineCondition_,0,EPMRetrieveData(,AN$25,AN$26,AN$27,AN$28,AN$29,AN$30,$U110,$E$23,$D$25,$D$26,$D$27,$C$21,$D$28))</f>
        <v/>
      </c>
      <c r="AO110" s="1497">
        <f>AN110-AA110</f>
        <v/>
      </c>
      <c r="AP110" s="1497">
        <f>IFERROR(100*AO110/AN110,"")</f>
        <v/>
      </c>
      <c r="AQ110" s="1497" t="n"/>
      <c r="AR110" s="1497">
        <f>-AQ110*10</f>
        <v/>
      </c>
      <c r="AS110" s="1497">
        <f>AA110-AR110</f>
        <v/>
      </c>
      <c r="AT110" s="1499">
        <f>IFERROR(100*AS110/AQ110,"")</f>
        <v/>
      </c>
      <c r="AU110" s="1500" t="n"/>
    </row>
    <row r="111">
      <c r="S111" s="462">
        <f>IF(_epmOfflineCondition_,"         其他",EPMMemberDesc(U111))</f>
        <v/>
      </c>
      <c r="U111" s="197" t="inlineStr">
        <is>
          <t>A0343106</t>
        </is>
      </c>
      <c r="V111" s="199">
        <f>IF(_epmOfflineCondition_,"A0343106",EPMOlapMemberO(U111,"[C_ACCOUNT].[PARENTH1].[A0343106]","A0343106 -          其他","","000"))</f>
        <v/>
      </c>
      <c r="X111" s="1495" t="inlineStr">
        <is>
          <t xml:space="preserve">        其他</t>
        </is>
      </c>
      <c r="Y111" s="1496" t="inlineStr">
        <is>
          <t>千千瓦时</t>
        </is>
      </c>
      <c r="Z111" s="1497">
        <f>IF($I$8="01",AA111,AA111-AU111)</f>
        <v/>
      </c>
      <c r="AA111" s="1501" t="n"/>
      <c r="AB111" s="1497" t="n"/>
      <c r="AC111" s="1497">
        <f>IFERROR(AA111-AB111,0)</f>
        <v/>
      </c>
      <c r="AD111" s="1498">
        <f>IFERROR(100*AC111/AB111,"")</f>
        <v/>
      </c>
      <c r="AE111" s="1497" t="n"/>
      <c r="AF111" s="1497">
        <f>Z111-AE111</f>
        <v/>
      </c>
      <c r="AG111" s="1497">
        <f>IFERROR(100*AF111/AE111,"")</f>
        <v/>
      </c>
      <c r="AH111" s="1497" t="n"/>
      <c r="AI111" s="1497">
        <f>Z111-AH111</f>
        <v/>
      </c>
      <c r="AJ111" s="1497">
        <f>IFERROR(100*AI111/AH111,"")</f>
        <v/>
      </c>
      <c r="AK111" s="1497">
        <f>IF(_epmOfflineCondition_,0,EPMRetrieveData(,AK$25,AK$26,AK$27,AK$28,AK$29,AK$30,$U111,$E$23,$D$25,$D$26,$D$27,$C$21,$D$28))</f>
        <v/>
      </c>
      <c r="AL111" s="1497">
        <f>AK111-Z111</f>
        <v/>
      </c>
      <c r="AM111" s="1497">
        <f>IFERROR(100*AL111/AK111,"")</f>
        <v/>
      </c>
      <c r="AN111" s="1497">
        <f>IF(_epmOfflineCondition_,0,EPMRetrieveData(,AN$25,AN$26,AN$27,AN$28,AN$29,AN$30,$U111,$E$23,$D$25,$D$26,$D$27,$C$21,$D$28))</f>
        <v/>
      </c>
      <c r="AO111" s="1497">
        <f>AN111-AA111</f>
        <v/>
      </c>
      <c r="AP111" s="1497">
        <f>IFERROR(100*AO111/AN111,"")</f>
        <v/>
      </c>
      <c r="AQ111" s="1497" t="n"/>
      <c r="AR111" s="1497">
        <f>-AQ111*10</f>
        <v/>
      </c>
      <c r="AS111" s="1497">
        <f>AA111-AR111</f>
        <v/>
      </c>
      <c r="AT111" s="1499">
        <f>IFERROR(100*AS111/AQ111,"")</f>
        <v/>
      </c>
      <c r="AU111" s="1500" t="n"/>
    </row>
    <row r="112">
      <c r="S112" s="462">
        <f>IF(_epmOfflineCondition_," 上网电量（售电量）",EPMMemberDesc(U112))</f>
        <v/>
      </c>
      <c r="U112" s="197" t="inlineStr">
        <is>
          <t>A03432</t>
        </is>
      </c>
      <c r="V112" s="197">
        <f>IF(_epmOfflineCondition_,"A03432",EPMOlapMemberO(U112,"[C_ACCOUNT].[PARENTH1].[A03432]","A03432 -  上网电量（售电量）","","000"))</f>
        <v/>
      </c>
      <c r="X112" s="1495" t="inlineStr">
        <is>
          <t>上网电量（售电量）</t>
        </is>
      </c>
      <c r="Y112" s="1496" t="inlineStr">
        <is>
          <t>千千瓦时</t>
        </is>
      </c>
      <c r="Z112" s="1497">
        <f>SUM(Z113:Z118)</f>
        <v/>
      </c>
      <c r="AA112" s="1497">
        <f>SUM(AA113:AA118)</f>
        <v/>
      </c>
      <c r="AB112" s="1497" t="inlineStr"/>
      <c r="AC112" s="1497">
        <f>IFERROR(AA112-AB112,0)</f>
        <v/>
      </c>
      <c r="AD112" s="1498">
        <f>IFERROR(100*AC112/AB112,"")</f>
        <v/>
      </c>
      <c r="AE112" s="1497" t="inlineStr"/>
      <c r="AF112" s="1497">
        <f>Z112-AE112</f>
        <v/>
      </c>
      <c r="AG112" s="1497">
        <f>IFERROR(100*AF112/AE112,"")</f>
        <v/>
      </c>
      <c r="AH112" s="1497" t="inlineStr"/>
      <c r="AI112" s="1497">
        <f>Z112-AH112</f>
        <v/>
      </c>
      <c r="AJ112" s="1497">
        <f>IFERROR(100*AI112/AH112,"")</f>
        <v/>
      </c>
      <c r="AK112" s="1497">
        <f>SUM(AK113:AK118)</f>
        <v/>
      </c>
      <c r="AL112" s="1497">
        <f>AK112-Z112</f>
        <v/>
      </c>
      <c r="AM112" s="1497">
        <f>IFERROR(100*AL112/AK112,"")</f>
        <v/>
      </c>
      <c r="AN112" s="1497">
        <f>SUM(AN113:AN118)</f>
        <v/>
      </c>
      <c r="AO112" s="1497">
        <f>AN112-AA112</f>
        <v/>
      </c>
      <c r="AP112" s="1497">
        <f>IFERROR(100*AO112/AN112,"")</f>
        <v/>
      </c>
      <c r="AQ112" s="1497" t="n"/>
      <c r="AR112" s="1497">
        <f>-AQ112*10</f>
        <v/>
      </c>
      <c r="AS112" s="1497">
        <f>AA112-AR112</f>
        <v/>
      </c>
      <c r="AT112" s="1499">
        <f>IFERROR(100*AS112/AQ112,"")</f>
        <v/>
      </c>
      <c r="AU112" s="1500" t="inlineStr"/>
    </row>
    <row r="113">
      <c r="S113" s="462">
        <f>IF(_epmOfflineCondition_,"   其中：火电",EPMMemberDesc(U113))</f>
        <v/>
      </c>
      <c r="U113" s="197" t="inlineStr">
        <is>
          <t>A0343201</t>
        </is>
      </c>
      <c r="V113" s="199">
        <f>IF(_epmOfflineCondition_,"A0343201",EPMOlapMemberO(U113,"[C_ACCOUNT].[PARENTH1].[A0343201]","A0343201 -    其中：火电","","000"))</f>
        <v/>
      </c>
      <c r="X113" s="1495" t="inlineStr">
        <is>
          <t xml:space="preserve">  其中：火电</t>
        </is>
      </c>
      <c r="Y113" s="1496" t="inlineStr">
        <is>
          <t>千千瓦时</t>
        </is>
      </c>
      <c r="Z113" s="1497">
        <f>IF($I$8="01",AA113,AA113-AU113)</f>
        <v/>
      </c>
      <c r="AA113" s="1497">
        <f>S197</f>
        <v/>
      </c>
      <c r="AB113" s="1497" t="n"/>
      <c r="AC113" s="1497">
        <f>IFERROR(AA113-AB113,0)</f>
        <v/>
      </c>
      <c r="AD113" s="1498">
        <f>IFERROR(100*AC113/AB113,"")</f>
        <v/>
      </c>
      <c r="AE113" s="1497" t="n"/>
      <c r="AF113" s="1497">
        <f>Z113-AE113</f>
        <v/>
      </c>
      <c r="AG113" s="1497">
        <f>IFERROR(100*AF113/AE113,"")</f>
        <v/>
      </c>
      <c r="AH113" s="1497" t="n"/>
      <c r="AI113" s="1497">
        <f>Z113-AH113</f>
        <v/>
      </c>
      <c r="AJ113" s="1497">
        <f>IFERROR(100*AI113/AH113,"")</f>
        <v/>
      </c>
      <c r="AK113" s="1497">
        <f>AC197</f>
        <v/>
      </c>
      <c r="AL113" s="1497">
        <f>AK113-Z113</f>
        <v/>
      </c>
      <c r="AM113" s="1497">
        <f>IFERROR(100*AL113/AK113,"")</f>
        <v/>
      </c>
      <c r="AN113" s="1497">
        <f>AF197</f>
        <v/>
      </c>
      <c r="AO113" s="1497">
        <f>AN113-AA113</f>
        <v/>
      </c>
      <c r="AP113" s="1497">
        <f>IFERROR(100*AO113/AN113,"")</f>
        <v/>
      </c>
      <c r="AQ113" s="1497" t="n"/>
      <c r="AR113" s="1497">
        <f>-AQ113*10</f>
        <v/>
      </c>
      <c r="AS113" s="1497">
        <f>AA113-AR113</f>
        <v/>
      </c>
      <c r="AT113" s="1499">
        <f>IFERROR(100*AS113/AQ113,"")</f>
        <v/>
      </c>
      <c r="AU113" s="1500" t="n"/>
    </row>
    <row r="114">
      <c r="S114" s="462">
        <f>IF(_epmOfflineCondition_,"         风电",EPMMemberDesc(U114))</f>
        <v/>
      </c>
      <c r="U114" s="197" t="inlineStr">
        <is>
          <t>A0343202</t>
        </is>
      </c>
      <c r="V114" s="199">
        <f>IF(_epmOfflineCondition_,"A0343202",EPMOlapMemberO(U114,"[C_ACCOUNT].[PARENTH1].[A0343202]","A0343202 -          风电","","000"))</f>
        <v/>
      </c>
      <c r="X114" s="1495" t="inlineStr">
        <is>
          <t xml:space="preserve">        风电</t>
        </is>
      </c>
      <c r="Y114" s="1496" t="inlineStr">
        <is>
          <t>千千瓦时</t>
        </is>
      </c>
      <c r="Z114" s="1497">
        <f>IF($I$8="01",AA114,AA114-AU114)</f>
        <v/>
      </c>
      <c r="AA114" s="1497">
        <f>S198</f>
        <v/>
      </c>
      <c r="AB114" s="1497" t="inlineStr"/>
      <c r="AC114" s="1497">
        <f>IFERROR(AA114-AB114,0)</f>
        <v/>
      </c>
      <c r="AD114" s="1498">
        <f>IFERROR(100*AC114/AB114,"")</f>
        <v/>
      </c>
      <c r="AE114" s="1497" t="inlineStr"/>
      <c r="AF114" s="1497">
        <f>Z114-AE114</f>
        <v/>
      </c>
      <c r="AG114" s="1497">
        <f>IFERROR(100*AF114/AE114,"")</f>
        <v/>
      </c>
      <c r="AH114" s="1497" t="inlineStr"/>
      <c r="AI114" s="1497">
        <f>Z114-AH114</f>
        <v/>
      </c>
      <c r="AJ114" s="1497">
        <f>IFERROR(100*AI114/AH114,"")</f>
        <v/>
      </c>
      <c r="AK114" s="1497">
        <f>AC198</f>
        <v/>
      </c>
      <c r="AL114" s="1497">
        <f>AK114-Z114</f>
        <v/>
      </c>
      <c r="AM114" s="1497">
        <f>IFERROR(100*AL114/AK114,"")</f>
        <v/>
      </c>
      <c r="AN114" s="1497">
        <f>AF198</f>
        <v/>
      </c>
      <c r="AO114" s="1497">
        <f>AN114-AA114</f>
        <v/>
      </c>
      <c r="AP114" s="1497">
        <f>IFERROR(100*AO114/AN114,"")</f>
        <v/>
      </c>
      <c r="AQ114" s="1497" t="n"/>
      <c r="AR114" s="1497">
        <f>-AQ114*10</f>
        <v/>
      </c>
      <c r="AS114" s="1497">
        <f>AA114-AR114</f>
        <v/>
      </c>
      <c r="AT114" s="1499">
        <f>IFERROR(100*AS114/AQ114,"")</f>
        <v/>
      </c>
      <c r="AU114" s="1500" t="inlineStr"/>
    </row>
    <row r="115">
      <c r="S115" s="462">
        <f>IF(_epmOfflineCondition_,"         光伏",EPMMemberDesc(U115))</f>
        <v/>
      </c>
      <c r="U115" s="197" t="inlineStr">
        <is>
          <t>A0343203</t>
        </is>
      </c>
      <c r="V115" s="199">
        <f>IF(_epmOfflineCondition_,"A0343203",EPMOlapMemberO(U115,"[C_ACCOUNT].[PARENTH1].[A0343203]","A0343203 -          光伏","","000"))</f>
        <v/>
      </c>
      <c r="X115" s="1495" t="inlineStr">
        <is>
          <t xml:space="preserve">        光伏</t>
        </is>
      </c>
      <c r="Y115" s="1496" t="inlineStr">
        <is>
          <t>千千瓦时</t>
        </is>
      </c>
      <c r="Z115" s="1497">
        <f>IF($I$8="01",AA115,AA115-AU115)</f>
        <v/>
      </c>
      <c r="AA115" s="1497">
        <f>S199</f>
        <v/>
      </c>
      <c r="AB115" s="1497" t="n"/>
      <c r="AC115" s="1497">
        <f>IFERROR(AA115-AB115,0)</f>
        <v/>
      </c>
      <c r="AD115" s="1498">
        <f>IFERROR(100*AC115/AB115,"")</f>
        <v/>
      </c>
      <c r="AE115" s="1497" t="n"/>
      <c r="AF115" s="1497">
        <f>Z115-AE115</f>
        <v/>
      </c>
      <c r="AG115" s="1497">
        <f>IFERROR(100*AF115/AE115,"")</f>
        <v/>
      </c>
      <c r="AH115" s="1497" t="n"/>
      <c r="AI115" s="1497">
        <f>Z115-AH115</f>
        <v/>
      </c>
      <c r="AJ115" s="1497">
        <f>IFERROR(100*AI115/AH115,"")</f>
        <v/>
      </c>
      <c r="AK115" s="1497">
        <f>AC199</f>
        <v/>
      </c>
      <c r="AL115" s="1497">
        <f>AK115-Z115</f>
        <v/>
      </c>
      <c r="AM115" s="1497">
        <f>IFERROR(100*AL115/AK115,"")</f>
        <v/>
      </c>
      <c r="AN115" s="1497">
        <f>AF199</f>
        <v/>
      </c>
      <c r="AO115" s="1497">
        <f>AN115-AA115</f>
        <v/>
      </c>
      <c r="AP115" s="1497">
        <f>IFERROR(100*AO115/AN115,"")</f>
        <v/>
      </c>
      <c r="AQ115" s="1497" t="n"/>
      <c r="AR115" s="1497">
        <f>-AQ115*10</f>
        <v/>
      </c>
      <c r="AS115" s="1497">
        <f>AA115-AR115</f>
        <v/>
      </c>
      <c r="AT115" s="1499">
        <f>IFERROR(100*AS115/AQ115,"")</f>
        <v/>
      </c>
      <c r="AU115" s="1500" t="n"/>
    </row>
    <row r="116">
      <c r="S116" s="462">
        <f>IF(_epmOfflineCondition_,"         燃气",EPMMemberDesc(U116))</f>
        <v/>
      </c>
      <c r="U116" s="197" t="inlineStr">
        <is>
          <t>A0343204</t>
        </is>
      </c>
      <c r="V116" s="199">
        <f>IF(_epmOfflineCondition_,"A0343204",EPMOlapMemberO(U116,"[C_ACCOUNT].[PARENTH1].[A0343204]","A0343204 -          燃气","","000"))</f>
        <v/>
      </c>
      <c r="X116" s="1495" t="inlineStr">
        <is>
          <t xml:space="preserve">        燃气</t>
        </is>
      </c>
      <c r="Y116" s="1496" t="inlineStr">
        <is>
          <t>千千瓦时</t>
        </is>
      </c>
      <c r="Z116" s="1497">
        <f>IF($I$8="01",AA116,AA116-AU116)</f>
        <v/>
      </c>
      <c r="AA116" s="1497">
        <f>S200</f>
        <v/>
      </c>
      <c r="AB116" s="1497" t="n"/>
      <c r="AC116" s="1497">
        <f>IFERROR(AA116-AB116,0)</f>
        <v/>
      </c>
      <c r="AD116" s="1498">
        <f>IFERROR(100*AC116/AB116,"")</f>
        <v/>
      </c>
      <c r="AE116" s="1497" t="n"/>
      <c r="AF116" s="1497">
        <f>Z116-AE116</f>
        <v/>
      </c>
      <c r="AG116" s="1497">
        <f>IFERROR(100*AF116/AE116,"")</f>
        <v/>
      </c>
      <c r="AH116" s="1497" t="n"/>
      <c r="AI116" s="1497">
        <f>Z116-AH116</f>
        <v/>
      </c>
      <c r="AJ116" s="1497">
        <f>IFERROR(100*AI116/AH116,"")</f>
        <v/>
      </c>
      <c r="AK116" s="1497">
        <f>AC200</f>
        <v/>
      </c>
      <c r="AL116" s="1497">
        <f>AK116-Z116</f>
        <v/>
      </c>
      <c r="AM116" s="1497">
        <f>IFERROR(100*AL116/AK116,"")</f>
        <v/>
      </c>
      <c r="AN116" s="1497">
        <f>AF200</f>
        <v/>
      </c>
      <c r="AO116" s="1497">
        <f>AN116-AA116</f>
        <v/>
      </c>
      <c r="AP116" s="1497">
        <f>IFERROR(100*AO116/AN116,"")</f>
        <v/>
      </c>
      <c r="AQ116" s="1497" t="n"/>
      <c r="AR116" s="1497">
        <f>-AQ116*10</f>
        <v/>
      </c>
      <c r="AS116" s="1497">
        <f>AA116-AR116</f>
        <v/>
      </c>
      <c r="AT116" s="1499">
        <f>IFERROR(100*AS116/AQ116,"")</f>
        <v/>
      </c>
      <c r="AU116" s="1500" t="n"/>
    </row>
    <row r="117">
      <c r="S117" s="462">
        <f>IF(_epmOfflineCondition_,"         水电",EPMMemberDesc(U117))</f>
        <v/>
      </c>
      <c r="U117" s="197" t="inlineStr">
        <is>
          <t>A0343205</t>
        </is>
      </c>
      <c r="V117" s="199">
        <f>IF(_epmOfflineCondition_,"A0343205",EPMOlapMemberO(U117,"[C_ACCOUNT].[PARENTH1].[A0343205]","A0343205 -          水电","","000"))</f>
        <v/>
      </c>
      <c r="X117" s="1495" t="inlineStr">
        <is>
          <t xml:space="preserve">        水电</t>
        </is>
      </c>
      <c r="Y117" s="1496" t="inlineStr">
        <is>
          <t>千千瓦时</t>
        </is>
      </c>
      <c r="Z117" s="1497">
        <f>IF($I$8="01",AA117,AA117-AU117)</f>
        <v/>
      </c>
      <c r="AA117" s="1497">
        <f>S201</f>
        <v/>
      </c>
      <c r="AB117" s="1497" t="n"/>
      <c r="AC117" s="1497">
        <f>IFERROR(AA117-AB117,0)</f>
        <v/>
      </c>
      <c r="AD117" s="1498">
        <f>IFERROR(100*AC117/AB117,"")</f>
        <v/>
      </c>
      <c r="AE117" s="1497" t="n"/>
      <c r="AF117" s="1497">
        <f>Z117-AE117</f>
        <v/>
      </c>
      <c r="AG117" s="1497">
        <f>IFERROR(100*AF117/AE117,"")</f>
        <v/>
      </c>
      <c r="AH117" s="1497" t="n"/>
      <c r="AI117" s="1497">
        <f>Z117-AH117</f>
        <v/>
      </c>
      <c r="AJ117" s="1497">
        <f>IFERROR(100*AI117/AH117,"")</f>
        <v/>
      </c>
      <c r="AK117" s="1497">
        <f>AC201</f>
        <v/>
      </c>
      <c r="AL117" s="1497">
        <f>AK117-Z117</f>
        <v/>
      </c>
      <c r="AM117" s="1497">
        <f>IFERROR(100*AL117/AK117,"")</f>
        <v/>
      </c>
      <c r="AN117" s="1497">
        <f>AF201</f>
        <v/>
      </c>
      <c r="AO117" s="1497">
        <f>AN117-AA117</f>
        <v/>
      </c>
      <c r="AP117" s="1497">
        <f>IFERROR(100*AO117/AN117,"")</f>
        <v/>
      </c>
      <c r="AQ117" s="1497" t="n"/>
      <c r="AR117" s="1497">
        <f>-AQ117*10</f>
        <v/>
      </c>
      <c r="AS117" s="1497">
        <f>AA117-AR117</f>
        <v/>
      </c>
      <c r="AT117" s="1499">
        <f>IFERROR(100*AS117/AQ117,"")</f>
        <v/>
      </c>
      <c r="AU117" s="1500" t="n"/>
    </row>
    <row r="118">
      <c r="S118" s="462">
        <f>IF(_epmOfflineCondition_,"         其他",EPMMemberDesc(U118))</f>
        <v/>
      </c>
      <c r="U118" s="197" t="inlineStr">
        <is>
          <t>A0343206</t>
        </is>
      </c>
      <c r="V118" s="199">
        <f>IF(_epmOfflineCondition_,"A0343206",EPMOlapMemberO(U118,"[C_ACCOUNT].[PARENTH1].[A0343206]","A0343206 -          其他","","000"))</f>
        <v/>
      </c>
      <c r="X118" s="1495" t="inlineStr">
        <is>
          <t xml:space="preserve">        其他</t>
        </is>
      </c>
      <c r="Y118" s="1496" t="inlineStr">
        <is>
          <t>千千瓦时</t>
        </is>
      </c>
      <c r="Z118" s="1497">
        <f>IF($I$8="01",AA118,AA118-AU118)</f>
        <v/>
      </c>
      <c r="AA118" s="1497">
        <f>S202</f>
        <v/>
      </c>
      <c r="AB118" s="1497" t="n"/>
      <c r="AC118" s="1497">
        <f>IFERROR(AA118-AB118,0)</f>
        <v/>
      </c>
      <c r="AD118" s="1498">
        <f>IFERROR(100*AC118/AB118,"")</f>
        <v/>
      </c>
      <c r="AE118" s="1497" t="n"/>
      <c r="AF118" s="1497">
        <f>Z118-AE118</f>
        <v/>
      </c>
      <c r="AG118" s="1497">
        <f>IFERROR(100*AF118/AE118,"")</f>
        <v/>
      </c>
      <c r="AH118" s="1497" t="n"/>
      <c r="AI118" s="1497">
        <f>Z118-AH118</f>
        <v/>
      </c>
      <c r="AJ118" s="1497">
        <f>IFERROR(100*AI118/AH118,"")</f>
        <v/>
      </c>
      <c r="AK118" s="1497">
        <f>AC202</f>
        <v/>
      </c>
      <c r="AL118" s="1497">
        <f>AK118-Z118</f>
        <v/>
      </c>
      <c r="AM118" s="1497">
        <f>IFERROR(100*AL118/AK118,"")</f>
        <v/>
      </c>
      <c r="AN118" s="1497">
        <f>AF202</f>
        <v/>
      </c>
      <c r="AO118" s="1497">
        <f>AN118-AA118</f>
        <v/>
      </c>
      <c r="AP118" s="1497">
        <f>IFERROR(100*AO118/AN118,"")</f>
        <v/>
      </c>
      <c r="AQ118" s="1497" t="n"/>
      <c r="AR118" s="1497">
        <f>-AQ118*10</f>
        <v/>
      </c>
      <c r="AS118" s="1497">
        <f>AA118-AR118</f>
        <v/>
      </c>
      <c r="AT118" s="1499">
        <f>IFERROR(100*AS118/AQ118,"")</f>
        <v/>
      </c>
      <c r="AU118" s="1500" t="n"/>
    </row>
    <row r="119">
      <c r="S119" s="462">
        <f>IF(_epmOfflineCondition_," 供热量",EPMMemberDesc(U119))</f>
        <v/>
      </c>
      <c r="U119" s="197" t="inlineStr">
        <is>
          <t>A03433</t>
        </is>
      </c>
      <c r="V119" s="197">
        <f>IF(_epmOfflineCondition_,"A03433",EPMOlapMemberO(U119,"[C_ACCOUNT].[PARENTH1].[A03433]","A03433 -  供热量","","000"))</f>
        <v/>
      </c>
      <c r="X119" s="1495" t="inlineStr">
        <is>
          <t>供热量</t>
        </is>
      </c>
      <c r="Y119" s="1496" t="inlineStr">
        <is>
          <t>吉焦</t>
        </is>
      </c>
      <c r="Z119" s="1497">
        <f>Z120+Z121</f>
        <v/>
      </c>
      <c r="AA119" s="1497">
        <f>AA120+AA121</f>
        <v/>
      </c>
      <c r="AB119" s="1497" t="n"/>
      <c r="AC119" s="1497">
        <f>IFERROR(AA119-AB119,0)</f>
        <v/>
      </c>
      <c r="AD119" s="1498">
        <f>IFERROR(100*AC119/AB119,"")</f>
        <v/>
      </c>
      <c r="AE119" s="1497" t="n"/>
      <c r="AF119" s="1497">
        <f>Z119-AE119</f>
        <v/>
      </c>
      <c r="AG119" s="1497">
        <f>IFERROR(100*AF119/AE119,"")</f>
        <v/>
      </c>
      <c r="AH119" s="1497" t="n"/>
      <c r="AI119" s="1497">
        <f>Z119-AH119</f>
        <v/>
      </c>
      <c r="AJ119" s="1497">
        <f>IFERROR(100*AI119/AH119,"")</f>
        <v/>
      </c>
      <c r="AK119" s="1497">
        <f>AK120+AK121</f>
        <v/>
      </c>
      <c r="AL119" s="1497">
        <f>AK119-Z119</f>
        <v/>
      </c>
      <c r="AM119" s="1497">
        <f>IFERROR(100*AL119/AK119,"")</f>
        <v/>
      </c>
      <c r="AN119" s="1497">
        <f>AN120+AN121</f>
        <v/>
      </c>
      <c r="AO119" s="1497">
        <f>AN119-AA119</f>
        <v/>
      </c>
      <c r="AP119" s="1497">
        <f>IFERROR(100*AO119/AN119,"")</f>
        <v/>
      </c>
      <c r="AQ119" s="1497" t="n"/>
      <c r="AR119" s="1497">
        <f>-AQ119</f>
        <v/>
      </c>
      <c r="AS119" s="1497">
        <f>AA119-AR119</f>
        <v/>
      </c>
      <c r="AT119" s="1499">
        <f>IFERROR(100*AS119/AQ119,"")</f>
        <v/>
      </c>
      <c r="AU119" s="1500" t="n"/>
    </row>
    <row r="120">
      <c r="S120" s="462">
        <f>IF(_epmOfflineCondition_,"   其中：燃煤",EPMMemberDesc(U120))</f>
        <v/>
      </c>
      <c r="U120" s="197" t="inlineStr">
        <is>
          <t>A0343301</t>
        </is>
      </c>
      <c r="V120" s="199">
        <f>IF(_epmOfflineCondition_,"A0343301",EPMOlapMemberO(U120,"[C_ACCOUNT].[PARENTH1].[A0343301]","A0343301 -    其中：燃煤","","000"))</f>
        <v/>
      </c>
      <c r="X120" s="1495" t="inlineStr">
        <is>
          <t xml:space="preserve">  其中：燃煤</t>
        </is>
      </c>
      <c r="Y120" s="1496" t="inlineStr">
        <is>
          <t>吉焦</t>
        </is>
      </c>
      <c r="Z120" s="1497">
        <f>IF($I$8="01",AA120,AA120-AU120)</f>
        <v/>
      </c>
      <c r="AA120" s="1501" t="n"/>
      <c r="AB120" s="1497" t="n"/>
      <c r="AC120" s="1497">
        <f>IFERROR(AA120-AB120,0)</f>
        <v/>
      </c>
      <c r="AD120" s="1498">
        <f>IFERROR(100*AC120/AB120,"")</f>
        <v/>
      </c>
      <c r="AE120" s="1497" t="n"/>
      <c r="AF120" s="1497">
        <f>Z120-AE120</f>
        <v/>
      </c>
      <c r="AG120" s="1497">
        <f>IFERROR(100*AF120/AE120,"")</f>
        <v/>
      </c>
      <c r="AH120" s="1497" t="n"/>
      <c r="AI120" s="1497">
        <f>Z120-AH120</f>
        <v/>
      </c>
      <c r="AJ120" s="1497">
        <f>IFERROR(100*AI120/AH120,"")</f>
        <v/>
      </c>
      <c r="AK120" s="1497">
        <f>IF(_epmOfflineCondition_,0,EPMRetrieveData(,AK$25,AK$26,AK$27,AK$28,AK$29,AK$30,$U120,$E$23,$D$25,$D$26,$D$27,$C$21,$D$28))</f>
        <v/>
      </c>
      <c r="AL120" s="1497">
        <f>AK120-Z120</f>
        <v/>
      </c>
      <c r="AM120" s="1497">
        <f>IFERROR(100*AL120/AK120,"")</f>
        <v/>
      </c>
      <c r="AN120" s="1497">
        <f>IF(_epmOfflineCondition_,0,EPMRetrieveData(,AN$25,AN$26,AN$27,AN$28,AN$29,AN$30,$U120,$E$23,$D$25,$D$26,$D$27,$C$21,$D$28))</f>
        <v/>
      </c>
      <c r="AO120" s="1497">
        <f>AN120-AA120</f>
        <v/>
      </c>
      <c r="AP120" s="1497">
        <f>IFERROR(100*AO120/AN120,"")</f>
        <v/>
      </c>
      <c r="AQ120" s="1497" t="n"/>
      <c r="AR120" s="1497">
        <f>-AQ120</f>
        <v/>
      </c>
      <c r="AS120" s="1497">
        <f>AA120-AR120</f>
        <v/>
      </c>
      <c r="AT120" s="1499">
        <f>IFERROR(100*AS120/AQ120,"")</f>
        <v/>
      </c>
      <c r="AU120" s="1500" t="n"/>
    </row>
    <row r="121">
      <c r="S121" s="462">
        <f>IF(_epmOfflineCondition_,"         燃气",EPMMemberDesc(U121))</f>
        <v/>
      </c>
      <c r="U121" s="197" t="inlineStr">
        <is>
          <t>A0343302</t>
        </is>
      </c>
      <c r="V121" s="199">
        <f>IF(_epmOfflineCondition_,"A0343302",EPMOlapMemberO(U121,"[C_ACCOUNT].[PARENTH1].[A0343302]","A0343302 -          燃气","","000"))</f>
        <v/>
      </c>
      <c r="X121" s="1495" t="inlineStr">
        <is>
          <t xml:space="preserve">        燃气</t>
        </is>
      </c>
      <c r="Y121" s="1496" t="inlineStr">
        <is>
          <t>吉焦</t>
        </is>
      </c>
      <c r="Z121" s="1497">
        <f>IF($I$8="01",AA121,AA121-AU121)</f>
        <v/>
      </c>
      <c r="AA121" s="1501" t="n"/>
      <c r="AB121" s="1497" t="n"/>
      <c r="AC121" s="1497">
        <f>IFERROR(AA121-AB121,0)</f>
        <v/>
      </c>
      <c r="AD121" s="1498">
        <f>IFERROR(100*AC121/AB121,"")</f>
        <v/>
      </c>
      <c r="AE121" s="1497" t="n"/>
      <c r="AF121" s="1497">
        <f>Z121-AE121</f>
        <v/>
      </c>
      <c r="AG121" s="1497">
        <f>IFERROR(100*AF121/AE121,"")</f>
        <v/>
      </c>
      <c r="AH121" s="1497" t="n"/>
      <c r="AI121" s="1497">
        <f>Z121-AH121</f>
        <v/>
      </c>
      <c r="AJ121" s="1497">
        <f>IFERROR(100*AI121/AH121,"")</f>
        <v/>
      </c>
      <c r="AK121" s="1497">
        <f>IF(_epmOfflineCondition_,0,EPMRetrieveData(,AK$25,AK$26,AK$27,AK$28,AK$29,AK$30,$U121,$E$23,$D$25,$D$26,$D$27,$C$21,$D$28))</f>
        <v/>
      </c>
      <c r="AL121" s="1497">
        <f>AK121-Z121</f>
        <v/>
      </c>
      <c r="AM121" s="1497">
        <f>IFERROR(100*AL121/AK121,"")</f>
        <v/>
      </c>
      <c r="AN121" s="1497">
        <f>IF(_epmOfflineCondition_,0,EPMRetrieveData(,AN$25,AN$26,AN$27,AN$28,AN$29,AN$30,$U121,$E$23,$D$25,$D$26,$D$27,$C$21,$D$28))</f>
        <v/>
      </c>
      <c r="AO121" s="1497">
        <f>AN121-AA121</f>
        <v/>
      </c>
      <c r="AP121" s="1497">
        <f>IFERROR(100*AO121/AN121,"")</f>
        <v/>
      </c>
      <c r="AQ121" s="1497" t="n"/>
      <c r="AR121" s="1497">
        <f>-AQ121</f>
        <v/>
      </c>
      <c r="AS121" s="1497">
        <f>AA121-AR121</f>
        <v/>
      </c>
      <c r="AT121" s="1499">
        <f>IFERROR(100*AS121/AQ121,"")</f>
        <v/>
      </c>
      <c r="AU121" s="1500" t="n"/>
    </row>
    <row r="122">
      <c r="S122" s="462">
        <f>IF(_epmOfflineCondition_," 发电标准煤量",EPMMemberDesc(U122))</f>
        <v/>
      </c>
      <c r="U122" s="197" t="inlineStr">
        <is>
          <t>A03434</t>
        </is>
      </c>
      <c r="V122" s="197">
        <f>IF(_epmOfflineCondition_,"A03434",EPMOlapMemberO(U122,"[C_ACCOUNT].[PARENTH1].[A03434]","A03434 -  发电标准煤量","","000"))</f>
        <v/>
      </c>
      <c r="X122" s="1495" t="inlineStr">
        <is>
          <t>发电标准煤量</t>
        </is>
      </c>
      <c r="Y122" s="1496" t="inlineStr">
        <is>
          <t>吨</t>
        </is>
      </c>
      <c r="Z122" s="1497">
        <f>Z123+Z124+Z125</f>
        <v/>
      </c>
      <c r="AA122" s="1497">
        <f>AA123+AA124+AA125</f>
        <v/>
      </c>
      <c r="AB122" s="1497" t="n"/>
      <c r="AC122" s="1497">
        <f>IFERROR(AA122-AB122,0)</f>
        <v/>
      </c>
      <c r="AD122" s="1498">
        <f>IFERROR(100*AC122/AB122,"")</f>
        <v/>
      </c>
      <c r="AE122" s="1497" t="n"/>
      <c r="AF122" s="1497">
        <f>Z122-AE122</f>
        <v/>
      </c>
      <c r="AG122" s="1497">
        <f>IFERROR(100*AF122/AE122,"")</f>
        <v/>
      </c>
      <c r="AH122" s="1497" t="n"/>
      <c r="AI122" s="1497">
        <f>Z122-AH122</f>
        <v/>
      </c>
      <c r="AJ122" s="1497">
        <f>IFERROR(100*AI122/AH122,"")</f>
        <v/>
      </c>
      <c r="AK122" s="1497">
        <f>AK123+AK124+AK125</f>
        <v/>
      </c>
      <c r="AL122" s="1497">
        <f>AK122-Z122</f>
        <v/>
      </c>
      <c r="AM122" s="1497">
        <f>IFERROR(100*AL122/AK122,"")</f>
        <v/>
      </c>
      <c r="AN122" s="1497">
        <f>AN123+AN124+AN125</f>
        <v/>
      </c>
      <c r="AO122" s="1497">
        <f>AN122-AA122</f>
        <v/>
      </c>
      <c r="AP122" s="1497">
        <f>IFERROR(100*AO122/AN122,"")</f>
        <v/>
      </c>
      <c r="AQ122" s="1497" t="n"/>
      <c r="AR122" s="1497">
        <f>-AQ122</f>
        <v/>
      </c>
      <c r="AS122" s="1497">
        <f>AA122-AR122</f>
        <v/>
      </c>
      <c r="AT122" s="1499">
        <f>IFERROR(100*AS122/AQ122,"")</f>
        <v/>
      </c>
      <c r="AU122" s="1500" t="n"/>
    </row>
    <row r="123">
      <c r="S123" s="462">
        <f>IF(_epmOfflineCondition_,"   其中：煤折标准煤量",EPMMemberDesc(U123))</f>
        <v/>
      </c>
      <c r="U123" s="197" t="inlineStr">
        <is>
          <t>A0343401</t>
        </is>
      </c>
      <c r="V123" s="199">
        <f>IF(_epmOfflineCondition_,"A0343401",EPMOlapMemberO(U123,"[C_ACCOUNT].[PARENTH1].[A0343401]","A0343401 -    其中：煤折标准煤量","","000"))</f>
        <v/>
      </c>
      <c r="X123" s="1495" t="inlineStr">
        <is>
          <t xml:space="preserve">  其中：煤折标准煤量 </t>
        </is>
      </c>
      <c r="Y123" s="1496" t="inlineStr">
        <is>
          <t>吨</t>
        </is>
      </c>
      <c r="Z123" s="1497">
        <f>IF($I$8="01",AA123,AA123-AU123)</f>
        <v/>
      </c>
      <c r="AA123" s="1501" t="n"/>
      <c r="AB123" s="1497" t="n"/>
      <c r="AC123" s="1497">
        <f>IFERROR(AA123-AB123,0)</f>
        <v/>
      </c>
      <c r="AD123" s="1498">
        <f>IFERROR(100*AC123/AB123,"")</f>
        <v/>
      </c>
      <c r="AE123" s="1497" t="n"/>
      <c r="AF123" s="1497">
        <f>Z123-AE123</f>
        <v/>
      </c>
      <c r="AG123" s="1497">
        <f>IFERROR(100*AF123/AE123,"")</f>
        <v/>
      </c>
      <c r="AH123" s="1497" t="n"/>
      <c r="AI123" s="1497">
        <f>Z123-AH123</f>
        <v/>
      </c>
      <c r="AJ123" s="1497">
        <f>IFERROR(100*AI123/AH123,"")</f>
        <v/>
      </c>
      <c r="AK123" s="1497">
        <f>IF(_epmOfflineCondition_,0,EPMRetrieveData(,AK$25,AK$26,AK$27,AK$28,AK$29,AK$30,$U123,$E$23,$D$25,$D$26,$D$27,$C$21,$D$28))</f>
        <v/>
      </c>
      <c r="AL123" s="1497">
        <f>AK123-Z123</f>
        <v/>
      </c>
      <c r="AM123" s="1497">
        <f>IFERROR(100*AL123/AK123,"")</f>
        <v/>
      </c>
      <c r="AN123" s="1497">
        <f>IF(_epmOfflineCondition_,0,EPMRetrieveData(,AN$25,AN$26,AN$27,AN$28,AN$29,AN$30,$U123,$E$23,$D$25,$D$26,$D$27,$C$21,$D$28))</f>
        <v/>
      </c>
      <c r="AO123" s="1497">
        <f>AN123-AA123</f>
        <v/>
      </c>
      <c r="AP123" s="1497">
        <f>IFERROR(100*AO123/AN123,"")</f>
        <v/>
      </c>
      <c r="AQ123" s="1497" t="n"/>
      <c r="AR123" s="1497">
        <f>-AQ123</f>
        <v/>
      </c>
      <c r="AS123" s="1497">
        <f>AA123-AR123</f>
        <v/>
      </c>
      <c r="AT123" s="1499">
        <f>IFERROR(100*AS123/AQ123,"")</f>
        <v/>
      </c>
      <c r="AU123" s="1500" t="n"/>
    </row>
    <row r="124">
      <c r="S124" s="462">
        <f>IF(_epmOfflineCondition_,"         油折标准煤量",EPMMemberDesc(U124))</f>
        <v/>
      </c>
      <c r="U124" s="197" t="inlineStr">
        <is>
          <t>A0343402</t>
        </is>
      </c>
      <c r="V124" s="199">
        <f>IF(_epmOfflineCondition_,"A0343402",EPMOlapMemberO(U124,"[C_ACCOUNT].[PARENTH1].[A0343402]","A0343402 -          油折标准煤量","","000"))</f>
        <v/>
      </c>
      <c r="X124" s="1495" t="inlineStr">
        <is>
          <t xml:space="preserve">        油折标准煤量</t>
        </is>
      </c>
      <c r="Y124" s="1496" t="inlineStr">
        <is>
          <t>吨</t>
        </is>
      </c>
      <c r="Z124" s="1497">
        <f>IF($I$8="01",AA124,AA124-AU124)</f>
        <v/>
      </c>
      <c r="AA124" s="1501" t="n"/>
      <c r="AB124" s="1497" t="n"/>
      <c r="AC124" s="1497">
        <f>IFERROR(AA124-AB124,0)</f>
        <v/>
      </c>
      <c r="AD124" s="1498">
        <f>IFERROR(100*AC124/AB124,"")</f>
        <v/>
      </c>
      <c r="AE124" s="1497" t="n"/>
      <c r="AF124" s="1497">
        <f>Z124-AE124</f>
        <v/>
      </c>
      <c r="AG124" s="1497">
        <f>IFERROR(100*AF124/AE124,"")</f>
        <v/>
      </c>
      <c r="AH124" s="1497" t="n"/>
      <c r="AI124" s="1497">
        <f>Z124-AH124</f>
        <v/>
      </c>
      <c r="AJ124" s="1497">
        <f>IFERROR(100*AI124/AH124,"")</f>
        <v/>
      </c>
      <c r="AK124" s="1497">
        <f>IF(_epmOfflineCondition_,0,EPMRetrieveData(,AK$25,AK$26,AK$27,AK$28,AK$29,AK$30,$U124,$E$23,$D$25,$D$26,$D$27,$C$21,$D$28))</f>
        <v/>
      </c>
      <c r="AL124" s="1497">
        <f>AK124-Z124</f>
        <v/>
      </c>
      <c r="AM124" s="1497">
        <f>IFERROR(100*AL124/AK124,"")</f>
        <v/>
      </c>
      <c r="AN124" s="1497">
        <f>IF(_epmOfflineCondition_,0,EPMRetrieveData(,AN$25,AN$26,AN$27,AN$28,AN$29,AN$30,$U124,$E$23,$D$25,$D$26,$D$27,$C$21,$D$28))</f>
        <v/>
      </c>
      <c r="AO124" s="1497">
        <f>AN124-AA124</f>
        <v/>
      </c>
      <c r="AP124" s="1497">
        <f>IFERROR(100*AO124/AN124,"")</f>
        <v/>
      </c>
      <c r="AQ124" s="1497" t="n"/>
      <c r="AR124" s="1497">
        <f>-AQ124</f>
        <v/>
      </c>
      <c r="AS124" s="1497">
        <f>AA124-AR124</f>
        <v/>
      </c>
      <c r="AT124" s="1499">
        <f>IFERROR(100*AS124/AQ124,"")</f>
        <v/>
      </c>
      <c r="AU124" s="1500" t="n"/>
    </row>
    <row r="125">
      <c r="S125" s="462">
        <f>IF(_epmOfflineCondition_,"         气折标准煤量",EPMMemberDesc(U125))</f>
        <v/>
      </c>
      <c r="U125" s="197" t="inlineStr">
        <is>
          <t>A0343403</t>
        </is>
      </c>
      <c r="V125" s="199">
        <f>IF(_epmOfflineCondition_,"A0343403",EPMOlapMemberO(U125,"[C_ACCOUNT].[PARENTH1].[A0343403]","A0343403 -          气折标准煤量","","000"))</f>
        <v/>
      </c>
      <c r="X125" s="1495" t="inlineStr">
        <is>
          <t xml:space="preserve">        气折标准煤量</t>
        </is>
      </c>
      <c r="Y125" s="1496" t="inlineStr">
        <is>
          <t>吨</t>
        </is>
      </c>
      <c r="Z125" s="1497">
        <f>IF($I$8="01",AA125,AA125-AU125)</f>
        <v/>
      </c>
      <c r="AA125" s="1501" t="n"/>
      <c r="AB125" s="1497" t="n"/>
      <c r="AC125" s="1497">
        <f>IFERROR(AA125-AB125,0)</f>
        <v/>
      </c>
      <c r="AD125" s="1498">
        <f>IFERROR(100*AC125/AB125,"")</f>
        <v/>
      </c>
      <c r="AE125" s="1497" t="n"/>
      <c r="AF125" s="1497">
        <f>Z125-AE125</f>
        <v/>
      </c>
      <c r="AG125" s="1497">
        <f>IFERROR(100*AF125/AE125,"")</f>
        <v/>
      </c>
      <c r="AH125" s="1497" t="n"/>
      <c r="AI125" s="1497">
        <f>Z125-AH125</f>
        <v/>
      </c>
      <c r="AJ125" s="1497">
        <f>IFERROR(100*AI125/AH125,"")</f>
        <v/>
      </c>
      <c r="AK125" s="1497">
        <f>IF(_epmOfflineCondition_,0,EPMRetrieveData(,AK$25,AK$26,AK$27,AK$28,AK$29,AK$30,$U125,$E$23,$D$25,$D$26,$D$27,$C$21,$D$28))</f>
        <v/>
      </c>
      <c r="AL125" s="1497">
        <f>AK125-Z125</f>
        <v/>
      </c>
      <c r="AM125" s="1497">
        <f>IFERROR(100*AL125/AK125,"")</f>
        <v/>
      </c>
      <c r="AN125" s="1497">
        <f>IF(_epmOfflineCondition_,0,EPMRetrieveData(,AN$25,AN$26,AN$27,AN$28,AN$29,AN$30,$U125,$E$23,$D$25,$D$26,$D$27,$C$21,$D$28))</f>
        <v/>
      </c>
      <c r="AO125" s="1497">
        <f>AN125-AA125</f>
        <v/>
      </c>
      <c r="AP125" s="1497">
        <f>IFERROR(100*AO125/AN125,"")</f>
        <v/>
      </c>
      <c r="AQ125" s="1497" t="n"/>
      <c r="AR125" s="1497">
        <f>-AQ125</f>
        <v/>
      </c>
      <c r="AS125" s="1497">
        <f>AA125-AR125</f>
        <v/>
      </c>
      <c r="AT125" s="1499">
        <f>IFERROR(100*AS125/AQ125,"")</f>
        <v/>
      </c>
      <c r="AU125" s="1500" t="n"/>
    </row>
    <row r="126">
      <c r="S126" s="462">
        <f>IF(_epmOfflineCondition_," 发电标准煤耗",EPMMemberDesc(U126))</f>
        <v/>
      </c>
      <c r="U126" s="197" t="inlineStr">
        <is>
          <t>A03435</t>
        </is>
      </c>
      <c r="V126" s="197">
        <f>IF(_epmOfflineCondition_,"A03435",EPMOlapMemberO(U126,"[C_ACCOUNT].[PARENTH1].[A03435]","A03435 -  发电标准煤耗","","000"))</f>
        <v/>
      </c>
      <c r="X126" s="1495" t="inlineStr">
        <is>
          <t>发电标准煤耗</t>
        </is>
      </c>
      <c r="Y126" s="1496" t="inlineStr">
        <is>
          <t>克/千瓦时</t>
        </is>
      </c>
      <c r="Z126" s="1497">
        <f>IFERROR(Z122/Z51*1000,0)</f>
        <v/>
      </c>
      <c r="AA126" s="1497">
        <f>IFERROR(AA122/AA51*1000,0)</f>
        <v/>
      </c>
      <c r="AB126" s="1497" t="n"/>
      <c r="AC126" s="1497">
        <f>IFERROR(AA126-AB126,0)</f>
        <v/>
      </c>
      <c r="AD126" s="1498">
        <f>IFERROR(100*AC126/AB126,"")</f>
        <v/>
      </c>
      <c r="AE126" s="1497" t="n"/>
      <c r="AF126" s="1497">
        <f>Z126-AE126</f>
        <v/>
      </c>
      <c r="AG126" s="1497">
        <f>IFERROR(100*AF126/AE126,"")</f>
        <v/>
      </c>
      <c r="AH126" s="1497" t="n"/>
      <c r="AI126" s="1497">
        <f>Z126-AH126</f>
        <v/>
      </c>
      <c r="AJ126" s="1497">
        <f>IFERROR(100*AI126/AH126,"")</f>
        <v/>
      </c>
      <c r="AK126" s="1497">
        <f>IFERROR(AK122/AK51*1000,0)</f>
        <v/>
      </c>
      <c r="AL126" s="1497">
        <f>AK126-Z126</f>
        <v/>
      </c>
      <c r="AM126" s="1497">
        <f>IFERROR(100*AL126/AK126,"")</f>
        <v/>
      </c>
      <c r="AN126" s="1497">
        <f>IFERROR(AN122/AN51*1000,0)</f>
        <v/>
      </c>
      <c r="AO126" s="1497">
        <f>AN126-AA126</f>
        <v/>
      </c>
      <c r="AP126" s="1497">
        <f>IFERROR(100*AO126/AN126,"")</f>
        <v/>
      </c>
      <c r="AQ126" s="1497" t="n"/>
      <c r="AR126" s="1497">
        <f>-AQ126</f>
        <v/>
      </c>
      <c r="AS126" s="1497">
        <f>AA126-AR126</f>
        <v/>
      </c>
      <c r="AT126" s="1499">
        <f>IFERROR(100*AS126/AQ126,"")</f>
        <v/>
      </c>
      <c r="AU126" s="1500" t="n"/>
    </row>
    <row r="127">
      <c r="S127" s="462">
        <f>IF(_epmOfflineCondition_," 供电标准煤耗",EPMMemberDesc(U127))</f>
        <v/>
      </c>
      <c r="U127" s="197" t="inlineStr">
        <is>
          <t>A03436</t>
        </is>
      </c>
      <c r="V127" s="197">
        <f>IF(_epmOfflineCondition_,"A03436",EPMOlapMemberO(U127,"[C_ACCOUNT].[PARENTH1].[A03436]","A03436 -  供电标准煤耗","","000"))</f>
        <v/>
      </c>
      <c r="X127" s="1495" t="inlineStr">
        <is>
          <t>供电标准煤耗</t>
        </is>
      </c>
      <c r="Y127" s="1496" t="inlineStr">
        <is>
          <t>克/千瓦时</t>
        </is>
      </c>
      <c r="Z127" s="1497">
        <f>IFERROR(Z126/(1-Z81/100),0)</f>
        <v/>
      </c>
      <c r="AA127" s="1497">
        <f>IFERROR(AA126/(1-AA81/100),0)</f>
        <v/>
      </c>
      <c r="AB127" s="1497" t="n"/>
      <c r="AC127" s="1497">
        <f>IFERROR(AA127-AB127,0)</f>
        <v/>
      </c>
      <c r="AD127" s="1498">
        <f>IFERROR(100*AC127/AB127,"")</f>
        <v/>
      </c>
      <c r="AE127" s="1497" t="n"/>
      <c r="AF127" s="1497">
        <f>Z127-AE127</f>
        <v/>
      </c>
      <c r="AG127" s="1497">
        <f>IFERROR(100*AF127/AE127,"")</f>
        <v/>
      </c>
      <c r="AH127" s="1497" t="n"/>
      <c r="AI127" s="1497">
        <f>Z127-AH127</f>
        <v/>
      </c>
      <c r="AJ127" s="1497">
        <f>IFERROR(100*AI127/AH127,"")</f>
        <v/>
      </c>
      <c r="AK127" s="1497">
        <f>IFERROR(AK126/(1-AK81/100),0)</f>
        <v/>
      </c>
      <c r="AL127" s="1497">
        <f>AK127-Z127</f>
        <v/>
      </c>
      <c r="AM127" s="1497">
        <f>IFERROR(100*AL127/AK127,"")</f>
        <v/>
      </c>
      <c r="AN127" s="1497">
        <f>IFERROR(AN126/(1-AN81/100),0)</f>
        <v/>
      </c>
      <c r="AO127" s="1497">
        <f>AN127-AA127</f>
        <v/>
      </c>
      <c r="AP127" s="1497">
        <f>IFERROR(100*AO127/AN127,"")</f>
        <v/>
      </c>
      <c r="AQ127" s="1497" t="n"/>
      <c r="AR127" s="1497">
        <f>-AQ127</f>
        <v/>
      </c>
      <c r="AS127" s="1497">
        <f>AA127-AR127</f>
        <v/>
      </c>
      <c r="AT127" s="1499">
        <f>IFERROR(100*AS127/AQ127,"")</f>
        <v/>
      </c>
      <c r="AU127" s="243" t="n"/>
    </row>
    <row r="128">
      <c r="S128" s="462">
        <f>IF(_epmOfflineCondition_," 综合供电标准煤耗",EPMMemberDesc(U128))</f>
        <v/>
      </c>
      <c r="U128" s="197" t="inlineStr">
        <is>
          <t>A03437</t>
        </is>
      </c>
      <c r="V128" s="197">
        <f>IF(_epmOfflineCondition_,"A03437",EPMOlapMemberO(U128,"[C_ACCOUNT].[PARENTH1].[A03437]","A03437 -  综合供电标准煤耗","","000"))</f>
        <v/>
      </c>
      <c r="X128" s="1495" t="inlineStr">
        <is>
          <t>综合供电标准煤耗</t>
        </is>
      </c>
      <c r="Y128" s="1496" t="inlineStr">
        <is>
          <t>克/千瓦时</t>
        </is>
      </c>
      <c r="Z128" s="1497">
        <f>IFERROR(Z126/(1-Z91/100),0)</f>
        <v/>
      </c>
      <c r="AA128" s="1497">
        <f>IFERROR(AA126/(1-AA91/100),0)</f>
        <v/>
      </c>
      <c r="AB128" s="1497" t="n"/>
      <c r="AC128" s="1497">
        <f>IFERROR(AA128-AB128,0)</f>
        <v/>
      </c>
      <c r="AD128" s="1498">
        <f>IFERROR(100*AC128/AB128,"")</f>
        <v/>
      </c>
      <c r="AE128" s="1497" t="n"/>
      <c r="AF128" s="1497">
        <f>Z128-AE128</f>
        <v/>
      </c>
      <c r="AG128" s="1497">
        <f>IFERROR(100*AF128/AE128,"")</f>
        <v/>
      </c>
      <c r="AH128" s="1497" t="n"/>
      <c r="AI128" s="1497">
        <f>Z128-AH128</f>
        <v/>
      </c>
      <c r="AJ128" s="1497">
        <f>IFERROR(100*AI128/AH128,"")</f>
        <v/>
      </c>
      <c r="AK128" s="1497">
        <f>IFERROR(AK126/(1-AK91/100),0)</f>
        <v/>
      </c>
      <c r="AL128" s="1497">
        <f>AK128-Z128</f>
        <v/>
      </c>
      <c r="AM128" s="1497">
        <f>IFERROR(100*AL128/AK128,"")</f>
        <v/>
      </c>
      <c r="AN128" s="1497">
        <f>IFERROR(AN126/(1-AN91/100),0)</f>
        <v/>
      </c>
      <c r="AO128" s="1497">
        <f>AN128-AA128</f>
        <v/>
      </c>
      <c r="AP128" s="1497">
        <f>IFERROR(100*AO128/AN128,"")</f>
        <v/>
      </c>
      <c r="AQ128" s="1497" t="n"/>
      <c r="AR128" s="1497">
        <f>-AQ128</f>
        <v/>
      </c>
      <c r="AS128" s="1497">
        <f>AA128-AR128</f>
        <v/>
      </c>
      <c r="AT128" s="1499">
        <f>IFERROR(100*AS128/AQ128,"")</f>
        <v/>
      </c>
      <c r="AU128" s="1500" t="n"/>
    </row>
    <row r="129">
      <c r="S129" s="462">
        <f>IF(_epmOfflineCondition_," 供热标准煤量",EPMMemberDesc(U129))</f>
        <v/>
      </c>
      <c r="U129" s="197" t="inlineStr">
        <is>
          <t>A03438</t>
        </is>
      </c>
      <c r="V129" s="197">
        <f>IF(_epmOfflineCondition_,"A03438",EPMOlapMemberO(U129,"[C_ACCOUNT].[PARENTH1].[A03438]","A03438 -  供热标准煤量","","000"))</f>
        <v/>
      </c>
      <c r="X129" s="1495" t="inlineStr">
        <is>
          <t>供热标准煤量</t>
        </is>
      </c>
      <c r="Y129" s="1496" t="inlineStr">
        <is>
          <t>吨</t>
        </is>
      </c>
      <c r="Z129" s="1497">
        <f>Z130+Z131+Z132</f>
        <v/>
      </c>
      <c r="AA129" s="1497">
        <f>AA130+AA131+AA132</f>
        <v/>
      </c>
      <c r="AB129" s="1497" t="n"/>
      <c r="AC129" s="1497">
        <f>IFERROR(AA129-AB129,0)</f>
        <v/>
      </c>
      <c r="AD129" s="1498">
        <f>IFERROR(100*AC129/AB129,"")</f>
        <v/>
      </c>
      <c r="AE129" s="1497" t="n"/>
      <c r="AF129" s="1497">
        <f>Z129-AE129</f>
        <v/>
      </c>
      <c r="AG129" s="1497">
        <f>IFERROR(100*AF129/AE129,"")</f>
        <v/>
      </c>
      <c r="AH129" s="1497" t="n"/>
      <c r="AI129" s="1497">
        <f>Z129-AH129</f>
        <v/>
      </c>
      <c r="AJ129" s="1497">
        <f>IFERROR(100*AI129/AH129,"")</f>
        <v/>
      </c>
      <c r="AK129" s="1497">
        <f>AK130+AK131+AK132</f>
        <v/>
      </c>
      <c r="AL129" s="1497">
        <f>AK129-Z129</f>
        <v/>
      </c>
      <c r="AM129" s="1497">
        <f>IFERROR(100*AL129/AK129,"")</f>
        <v/>
      </c>
      <c r="AN129" s="1497">
        <f>AN130+AN131+AN132</f>
        <v/>
      </c>
      <c r="AO129" s="1497">
        <f>AN129-AA129</f>
        <v/>
      </c>
      <c r="AP129" s="1497">
        <f>IFERROR(100*AO129/AN129,"")</f>
        <v/>
      </c>
      <c r="AQ129" s="1497" t="n"/>
      <c r="AR129" s="1497">
        <f>-AQ129</f>
        <v/>
      </c>
      <c r="AS129" s="1497">
        <f>AA129-AR129</f>
        <v/>
      </c>
      <c r="AT129" s="1499">
        <f>IFERROR(100*AS129/AQ129,"")</f>
        <v/>
      </c>
      <c r="AU129" s="1500" t="n"/>
    </row>
    <row r="130">
      <c r="S130" s="462">
        <f>IF(_epmOfflineCondition_,"   其中：煤折标准煤量",EPMMemberDesc(U130))</f>
        <v/>
      </c>
      <c r="U130" s="197" t="inlineStr">
        <is>
          <t>A0343801</t>
        </is>
      </c>
      <c r="V130" s="199">
        <f>IF(_epmOfflineCondition_,"A0343801",EPMOlapMemberO(U130,"[C_ACCOUNT].[PARENTH1].[A0343801]","A0343801 -    其中：煤折标准煤量","","000"))</f>
        <v/>
      </c>
      <c r="X130" s="1495" t="inlineStr">
        <is>
          <t xml:space="preserve">  其中：煤折标准煤量</t>
        </is>
      </c>
      <c r="Y130" s="1496" t="inlineStr">
        <is>
          <t>吨</t>
        </is>
      </c>
      <c r="Z130" s="1497">
        <f>IF($I$8="01",AA130,AA130-AU130)</f>
        <v/>
      </c>
      <c r="AA130" s="1501" t="n"/>
      <c r="AB130" s="1497" t="n"/>
      <c r="AC130" s="1497">
        <f>IFERROR(AA130-AB130,0)</f>
        <v/>
      </c>
      <c r="AD130" s="1498">
        <f>IFERROR(100*AC130/AB130,"")</f>
        <v/>
      </c>
      <c r="AE130" s="1497" t="n"/>
      <c r="AF130" s="1497">
        <f>Z130-AE130</f>
        <v/>
      </c>
      <c r="AG130" s="1497">
        <f>IFERROR(100*AF130/AE130,"")</f>
        <v/>
      </c>
      <c r="AH130" s="1497" t="n"/>
      <c r="AI130" s="1497">
        <f>Z130-AH130</f>
        <v/>
      </c>
      <c r="AJ130" s="1497">
        <f>IFERROR(100*AI130/AH130,"")</f>
        <v/>
      </c>
      <c r="AK130" s="1497">
        <f>IF(_epmOfflineCondition_,0,EPMRetrieveData(,AK$25,AK$26,AK$27,AK$28,AK$29,AK$30,$U130,$E$23,$D$25,$D$26,$D$27,$C$21,$D$28))</f>
        <v/>
      </c>
      <c r="AL130" s="1497">
        <f>AK130-Z130</f>
        <v/>
      </c>
      <c r="AM130" s="1497">
        <f>IFERROR(100*AL130/AK130,"")</f>
        <v/>
      </c>
      <c r="AN130" s="1497">
        <f>IF(_epmOfflineCondition_,0,EPMRetrieveData(,AN$25,AN$26,AN$27,AN$28,AN$29,AN$30,$U130,$E$23,$D$25,$D$26,$D$27,$C$21,$D$28))</f>
        <v/>
      </c>
      <c r="AO130" s="1497">
        <f>AN130-AA130</f>
        <v/>
      </c>
      <c r="AP130" s="1497">
        <f>IFERROR(100*AO130/AN130,"")</f>
        <v/>
      </c>
      <c r="AQ130" s="1497" t="n"/>
      <c r="AR130" s="1497">
        <f>-AQ130</f>
        <v/>
      </c>
      <c r="AS130" s="1497">
        <f>AA130-AR130</f>
        <v/>
      </c>
      <c r="AT130" s="1499">
        <f>IFERROR(100*AS130/AQ130,"")</f>
        <v/>
      </c>
      <c r="AU130" s="1500" t="n"/>
    </row>
    <row r="131">
      <c r="S131" s="462">
        <f>IF(_epmOfflineCondition_,"         油折标准煤量",EPMMemberDesc(U131))</f>
        <v/>
      </c>
      <c r="U131" s="197" t="inlineStr">
        <is>
          <t>A0343802</t>
        </is>
      </c>
      <c r="V131" s="199">
        <f>IF(_epmOfflineCondition_,"A0343802",EPMOlapMemberO(U131,"[C_ACCOUNT].[PARENTH1].[A0343802]","A0343802 -          油折标准煤量","","000"))</f>
        <v/>
      </c>
      <c r="X131" s="1495" t="inlineStr">
        <is>
          <t xml:space="preserve">        油折标准煤量</t>
        </is>
      </c>
      <c r="Y131" s="1496" t="inlineStr">
        <is>
          <t>吨</t>
        </is>
      </c>
      <c r="Z131" s="1497">
        <f>IF($I$8="01",AA131,AA131-AU131)</f>
        <v/>
      </c>
      <c r="AA131" s="1501" t="n"/>
      <c r="AB131" s="1497" t="n"/>
      <c r="AC131" s="1497">
        <f>IFERROR(AA131-AB131,0)</f>
        <v/>
      </c>
      <c r="AD131" s="1498">
        <f>IFERROR(100*AC131/AB131,"")</f>
        <v/>
      </c>
      <c r="AE131" s="1497" t="n"/>
      <c r="AF131" s="1497">
        <f>Z131-AE131</f>
        <v/>
      </c>
      <c r="AG131" s="1497">
        <f>IFERROR(100*AF131/AE131,"")</f>
        <v/>
      </c>
      <c r="AH131" s="1497" t="n"/>
      <c r="AI131" s="1497">
        <f>Z131-AH131</f>
        <v/>
      </c>
      <c r="AJ131" s="1497">
        <f>IFERROR(100*AI131/AH131,"")</f>
        <v/>
      </c>
      <c r="AK131" s="1497">
        <f>IF(_epmOfflineCondition_,0,EPMRetrieveData(,AK$25,AK$26,AK$27,AK$28,AK$29,AK$30,$U131,$E$23,$D$25,$D$26,$D$27,$C$21,$D$28))</f>
        <v/>
      </c>
      <c r="AL131" s="1497">
        <f>AK131-Z131</f>
        <v/>
      </c>
      <c r="AM131" s="1497">
        <f>IFERROR(100*AL131/AK131,"")</f>
        <v/>
      </c>
      <c r="AN131" s="1497">
        <f>IF(_epmOfflineCondition_,0,EPMRetrieveData(,AN$25,AN$26,AN$27,AN$28,AN$29,AN$30,$U131,$E$23,$D$25,$D$26,$D$27,$C$21,$D$28))</f>
        <v/>
      </c>
      <c r="AO131" s="1497">
        <f>AN131-AA131</f>
        <v/>
      </c>
      <c r="AP131" s="1497">
        <f>IFERROR(100*AO131/AN131,"")</f>
        <v/>
      </c>
      <c r="AQ131" s="1497" t="n"/>
      <c r="AR131" s="1497">
        <f>-AQ131</f>
        <v/>
      </c>
      <c r="AS131" s="1497">
        <f>AA131-AR131</f>
        <v/>
      </c>
      <c r="AT131" s="1499">
        <f>IFERROR(100*AS131/AQ131,"")</f>
        <v/>
      </c>
      <c r="AU131" s="1500" t="n"/>
    </row>
    <row r="132">
      <c r="S132" s="462">
        <f>IF(_epmOfflineCondition_,"         气折标准煤量",EPMMemberDesc(U132))</f>
        <v/>
      </c>
      <c r="U132" s="197" t="inlineStr">
        <is>
          <t>A0343803</t>
        </is>
      </c>
      <c r="V132" s="199">
        <f>IF(_epmOfflineCondition_,"A0343803",EPMOlapMemberO(U132,"[C_ACCOUNT].[PARENTH1].[A0343803]","A0343803 -          气折标准煤量","","000"))</f>
        <v/>
      </c>
      <c r="X132" s="1495" t="inlineStr">
        <is>
          <t xml:space="preserve">        气折标准煤量</t>
        </is>
      </c>
      <c r="Y132" s="1496" t="inlineStr">
        <is>
          <t>吨</t>
        </is>
      </c>
      <c r="Z132" s="1497">
        <f>IF($I$8="01",AA132,AA132-AU132)</f>
        <v/>
      </c>
      <c r="AA132" s="1501" t="n"/>
      <c r="AB132" s="1497" t="n"/>
      <c r="AC132" s="1497">
        <f>IFERROR(AA132-AB132,0)</f>
        <v/>
      </c>
      <c r="AD132" s="1498">
        <f>IFERROR(100*AC132/AB132,"")</f>
        <v/>
      </c>
      <c r="AE132" s="1497" t="n"/>
      <c r="AF132" s="1497">
        <f>Z132-AE132</f>
        <v/>
      </c>
      <c r="AG132" s="1497">
        <f>IFERROR(100*AF132/AE132,"")</f>
        <v/>
      </c>
      <c r="AH132" s="1497" t="n"/>
      <c r="AI132" s="1497">
        <f>Z132-AH132</f>
        <v/>
      </c>
      <c r="AJ132" s="1497">
        <f>IFERROR(100*AI132/AH132,"")</f>
        <v/>
      </c>
      <c r="AK132" s="1497">
        <f>IF(_epmOfflineCondition_,0,EPMRetrieveData(,AK$25,AK$26,AK$27,AK$28,AK$29,AK$30,$U132,$E$23,$D$25,$D$26,$D$27,$C$21,$D$28))</f>
        <v/>
      </c>
      <c r="AL132" s="1497">
        <f>AK132-Z132</f>
        <v/>
      </c>
      <c r="AM132" s="1497">
        <f>IFERROR(100*AL132/AK132,"")</f>
        <v/>
      </c>
      <c r="AN132" s="1497">
        <f>IF(_epmOfflineCondition_,0,EPMRetrieveData(,AN$25,AN$26,AN$27,AN$28,AN$29,AN$30,$U132,$E$23,$D$25,$D$26,$D$27,$C$21,$D$28))</f>
        <v/>
      </c>
      <c r="AO132" s="1497">
        <f>AN132-AA132</f>
        <v/>
      </c>
      <c r="AP132" s="1497">
        <f>IFERROR(100*AO132/AN132,"")</f>
        <v/>
      </c>
      <c r="AQ132" s="1497" t="n"/>
      <c r="AR132" s="1497">
        <f>-AQ132</f>
        <v/>
      </c>
      <c r="AS132" s="1497">
        <f>AA132-AR132</f>
        <v/>
      </c>
      <c r="AT132" s="1499">
        <f>IFERROR(100*AS132/AQ132,"")</f>
        <v/>
      </c>
      <c r="AU132" s="1500" t="n"/>
    </row>
    <row r="133">
      <c r="S133" s="462">
        <f>IF(_epmOfflineCondition_," 供热标准煤耗",EPMMemberDesc(U133))</f>
        <v/>
      </c>
      <c r="U133" s="197" t="inlineStr">
        <is>
          <t>A03439</t>
        </is>
      </c>
      <c r="V133" s="197">
        <f>IF(_epmOfflineCondition_,"A03439",EPMOlapMemberO(U133,"[C_ACCOUNT].[PARENTH1].[A03439]","A03439 -  供热标准煤耗","","000"))</f>
        <v/>
      </c>
      <c r="X133" s="1495" t="inlineStr">
        <is>
          <t>供热标准煤耗</t>
        </is>
      </c>
      <c r="Y133" s="1496" t="inlineStr">
        <is>
          <t>千克/吉焦</t>
        </is>
      </c>
      <c r="Z133" s="1497">
        <f>IFERROR(Z129/Z119*1000,0)</f>
        <v/>
      </c>
      <c r="AA133" s="1497">
        <f>IFERROR(AA129/AA119*1000,0)</f>
        <v/>
      </c>
      <c r="AB133" s="1497" t="n"/>
      <c r="AC133" s="1497">
        <f>IFERROR(AA133-AB133,0)</f>
        <v/>
      </c>
      <c r="AD133" s="1498">
        <f>IFERROR(100*AC133/AB133,"")</f>
        <v/>
      </c>
      <c r="AE133" s="1497" t="n"/>
      <c r="AF133" s="1497">
        <f>Z133-AE133</f>
        <v/>
      </c>
      <c r="AG133" s="1497">
        <f>IFERROR(100*AF133/AE133,"")</f>
        <v/>
      </c>
      <c r="AH133" s="1497" t="n"/>
      <c r="AI133" s="1497">
        <f>Z133-AH133</f>
        <v/>
      </c>
      <c r="AJ133" s="1497">
        <f>IFERROR(100*AI133/AH133,"")</f>
        <v/>
      </c>
      <c r="AK133" s="1497">
        <f>IFERROR(AK129/AK119*1000,0)</f>
        <v/>
      </c>
      <c r="AL133" s="1497">
        <f>AK133-Z133</f>
        <v/>
      </c>
      <c r="AM133" s="1497">
        <f>IFERROR(100*AL133/AK133,"")</f>
        <v/>
      </c>
      <c r="AN133" s="1497">
        <f>IFERROR(AN129/AN119*1000,0)</f>
        <v/>
      </c>
      <c r="AO133" s="1497">
        <f>AN133-AA133</f>
        <v/>
      </c>
      <c r="AP133" s="1497">
        <f>IFERROR(100*AO133/AN133,"")</f>
        <v/>
      </c>
      <c r="AQ133" s="1497" t="n"/>
      <c r="AR133" s="1497">
        <f>-AQ133</f>
        <v/>
      </c>
      <c r="AS133" s="1497">
        <f>AA133-AR133</f>
        <v/>
      </c>
      <c r="AT133" s="1499">
        <f>IFERROR(100*AS133/AQ133,"")</f>
        <v/>
      </c>
      <c r="AU133" s="1500" t="n"/>
    </row>
    <row r="134">
      <c r="S134" s="462">
        <f>IF(_epmOfflineCondition_," 发电供热标准煤量",EPMMemberDesc(U134))</f>
        <v/>
      </c>
      <c r="U134" s="197" t="inlineStr">
        <is>
          <t>A03440</t>
        </is>
      </c>
      <c r="V134" s="197">
        <f>IF(_epmOfflineCondition_,"A03440",EPMOlapMemberO(U134,"[C_ACCOUNT].[PARENTH1].[A03440]","A03440 -  发电供热标准煤量","","000"))</f>
        <v/>
      </c>
      <c r="X134" s="1495" t="inlineStr">
        <is>
          <t>发电供热标准煤量</t>
        </is>
      </c>
      <c r="Y134" s="1496" t="inlineStr">
        <is>
          <t>吨</t>
        </is>
      </c>
      <c r="Z134" s="1497">
        <f>Z135+Z136+Z137</f>
        <v/>
      </c>
      <c r="AA134" s="1497">
        <f>AA135+AA136+AA137</f>
        <v/>
      </c>
      <c r="AB134" s="1497" t="n"/>
      <c r="AC134" s="1497">
        <f>IFERROR(AA134-AB134,0)</f>
        <v/>
      </c>
      <c r="AD134" s="1498">
        <f>IFERROR(100*AC134/AB134,"")</f>
        <v/>
      </c>
      <c r="AE134" s="1497" t="n"/>
      <c r="AF134" s="1497">
        <f>Z134-AE134</f>
        <v/>
      </c>
      <c r="AG134" s="1497">
        <f>IFERROR(100*AF134/AE134,"")</f>
        <v/>
      </c>
      <c r="AH134" s="1497" t="n"/>
      <c r="AI134" s="1497">
        <f>Z134-AH134</f>
        <v/>
      </c>
      <c r="AJ134" s="1497">
        <f>IFERROR(100*AI134/AH134,"")</f>
        <v/>
      </c>
      <c r="AK134" s="1497">
        <f>AK135+AK136+AK137</f>
        <v/>
      </c>
      <c r="AL134" s="1497">
        <f>AK134-Z134</f>
        <v/>
      </c>
      <c r="AM134" s="1497">
        <f>IFERROR(100*AL134/AK134,"")</f>
        <v/>
      </c>
      <c r="AN134" s="1497">
        <f>AN135+AN136+AN137</f>
        <v/>
      </c>
      <c r="AO134" s="1497">
        <f>AN134-AA134</f>
        <v/>
      </c>
      <c r="AP134" s="1497">
        <f>IFERROR(100*AO134/AN134,"")</f>
        <v/>
      </c>
      <c r="AQ134" s="1497" t="n"/>
      <c r="AR134" s="1497">
        <f>-AQ134</f>
        <v/>
      </c>
      <c r="AS134" s="1497">
        <f>AA134-AR134</f>
        <v/>
      </c>
      <c r="AT134" s="1499">
        <f>IFERROR(100*AS134/AQ134,"")</f>
        <v/>
      </c>
      <c r="AU134" s="1500" t="n"/>
    </row>
    <row r="135">
      <c r="S135" s="462">
        <f>IF(_epmOfflineCondition_,"   其中：煤折标准煤量",EPMMemberDesc(U135))</f>
        <v/>
      </c>
      <c r="U135" s="197" t="inlineStr">
        <is>
          <t>A0344001</t>
        </is>
      </c>
      <c r="V135" s="199">
        <f>IF(_epmOfflineCondition_,"A0344001",EPMOlapMemberO(U135,"[C_ACCOUNT].[PARENTH1].[A0344001]","A0344001 -    其中：煤折标准煤量","","000"))</f>
        <v/>
      </c>
      <c r="X135" s="1495" t="inlineStr">
        <is>
          <t xml:space="preserve">  其中：煤折标准煤量 </t>
        </is>
      </c>
      <c r="Y135" s="1496" t="inlineStr">
        <is>
          <t>吨</t>
        </is>
      </c>
      <c r="Z135" s="1497">
        <f>S191+T191</f>
        <v/>
      </c>
      <c r="AA135" s="1503">
        <f>S174+T174</f>
        <v/>
      </c>
      <c r="AB135" s="1497" t="n"/>
      <c r="AC135" s="1497">
        <f>IFERROR(AA135-AB135,0)</f>
        <v/>
      </c>
      <c r="AD135" s="1498">
        <f>IFERROR(100*AC135/AB135,"")</f>
        <v/>
      </c>
      <c r="AE135" s="1497" t="n"/>
      <c r="AF135" s="1497">
        <f>Z135-AE135</f>
        <v/>
      </c>
      <c r="AG135" s="1497">
        <f>IFERROR(100*AF135/AE135,"")</f>
        <v/>
      </c>
      <c r="AH135" s="1497" t="n"/>
      <c r="AI135" s="1497">
        <f>Z135-AH135</f>
        <v/>
      </c>
      <c r="AJ135" s="1497">
        <f>IFERROR(100*AI135/AH135,"")</f>
        <v/>
      </c>
      <c r="AK135" s="1497">
        <f>AC174+AD174</f>
        <v/>
      </c>
      <c r="AL135" s="1497">
        <f>AK135-Z135</f>
        <v/>
      </c>
      <c r="AM135" s="1497">
        <f>IFERROR(100*AL135/AK135,"")</f>
        <v/>
      </c>
      <c r="AN135" s="1497">
        <f>AF174+AG174</f>
        <v/>
      </c>
      <c r="AO135" s="1497">
        <f>AN135-AA135</f>
        <v/>
      </c>
      <c r="AP135" s="1497">
        <f>IFERROR(100*AO135/AN135,"")</f>
        <v/>
      </c>
      <c r="AQ135" s="1497" t="n"/>
      <c r="AR135" s="1497">
        <f>-AQ135</f>
        <v/>
      </c>
      <c r="AS135" s="1497">
        <f>AA135-AR135</f>
        <v/>
      </c>
      <c r="AT135" s="1499">
        <f>IFERROR(100*AS135/AQ135,"")</f>
        <v/>
      </c>
      <c r="AU135" s="1500" t="n"/>
    </row>
    <row r="136">
      <c r="S136" s="462">
        <f>IF(_epmOfflineCondition_,"         油折标准煤量",EPMMemberDesc(U136))</f>
        <v/>
      </c>
      <c r="U136" s="197" t="inlineStr">
        <is>
          <t>A0344002</t>
        </is>
      </c>
      <c r="V136" s="199">
        <f>IF(_epmOfflineCondition_,"A0344002",EPMOlapMemberO(U136,"[C_ACCOUNT].[PARENTH1].[A0344002]","A0344002 -          油折标准煤量","","000"))</f>
        <v/>
      </c>
      <c r="X136" s="1495" t="inlineStr">
        <is>
          <t xml:space="preserve">        油折标准煤量</t>
        </is>
      </c>
      <c r="Y136" s="1496" t="inlineStr">
        <is>
          <t>吨</t>
        </is>
      </c>
      <c r="Z136" s="1497">
        <f>S192+T192</f>
        <v/>
      </c>
      <c r="AA136" s="1503">
        <f>S175+T175</f>
        <v/>
      </c>
      <c r="AB136" s="1497" t="n"/>
      <c r="AC136" s="1497">
        <f>IFERROR(AA136-AB136,0)</f>
        <v/>
      </c>
      <c r="AD136" s="1498">
        <f>IFERROR(100*AC136/AB136,"")</f>
        <v/>
      </c>
      <c r="AE136" s="1497" t="n"/>
      <c r="AF136" s="1497">
        <f>Z136-AE136</f>
        <v/>
      </c>
      <c r="AG136" s="1497">
        <f>IFERROR(100*AF136/AE136,"")</f>
        <v/>
      </c>
      <c r="AH136" s="1497" t="n"/>
      <c r="AI136" s="1497">
        <f>Z136-AH136</f>
        <v/>
      </c>
      <c r="AJ136" s="1497">
        <f>IFERROR(100*AI136/AH136,"")</f>
        <v/>
      </c>
      <c r="AK136" s="1497">
        <f>AC175+AD175</f>
        <v/>
      </c>
      <c r="AL136" s="1497">
        <f>AK136-Z136</f>
        <v/>
      </c>
      <c r="AM136" s="1497">
        <f>IFERROR(100*AL136/AK136,"")</f>
        <v/>
      </c>
      <c r="AN136" s="1497">
        <f>AF175+AG175</f>
        <v/>
      </c>
      <c r="AO136" s="1497">
        <f>AN136-AA136</f>
        <v/>
      </c>
      <c r="AP136" s="1497">
        <f>IFERROR(100*AO136/AN136,"")</f>
        <v/>
      </c>
      <c r="AQ136" s="1497" t="n"/>
      <c r="AR136" s="1497">
        <f>-AQ136</f>
        <v/>
      </c>
      <c r="AS136" s="1497">
        <f>AA136-AR136</f>
        <v/>
      </c>
      <c r="AT136" s="1499">
        <f>IFERROR(100*AS136/AQ136,"")</f>
        <v/>
      </c>
      <c r="AU136" s="1500" t="n"/>
    </row>
    <row r="137">
      <c r="S137" s="462">
        <f>IF(_epmOfflineCondition_,"         气折标准煤量",EPMMemberDesc(U137))</f>
        <v/>
      </c>
      <c r="U137" s="197" t="inlineStr">
        <is>
          <t>A0344003</t>
        </is>
      </c>
      <c r="V137" s="199">
        <f>IF(_epmOfflineCondition_,"A0344003",EPMOlapMemberO(U137,"[C_ACCOUNT].[PARENTH1].[A0344003]","A0344003 -          气折标准煤量","","000"))</f>
        <v/>
      </c>
      <c r="X137" s="1495" t="inlineStr">
        <is>
          <t xml:space="preserve">        气折标准煤量</t>
        </is>
      </c>
      <c r="Y137" s="1496" t="inlineStr">
        <is>
          <t>吨</t>
        </is>
      </c>
      <c r="Z137" s="1497" t="n"/>
      <c r="AA137" s="1497" t="n"/>
      <c r="AB137" s="1497" t="n"/>
      <c r="AC137" s="1497">
        <f>IFERROR(AA137-AB137,0)</f>
        <v/>
      </c>
      <c r="AD137" s="1498">
        <f>IFERROR(100*AC137/AB137,"")</f>
        <v/>
      </c>
      <c r="AE137" s="1497" t="n"/>
      <c r="AF137" s="1497">
        <f>Z137-AE137</f>
        <v/>
      </c>
      <c r="AG137" s="1497">
        <f>IFERROR(100*AF137/AE137,"")</f>
        <v/>
      </c>
      <c r="AH137" s="1497" t="n"/>
      <c r="AI137" s="1497">
        <f>Z137-AH137</f>
        <v/>
      </c>
      <c r="AJ137" s="1497">
        <f>IFERROR(100*AI137/AH137,"")</f>
        <v/>
      </c>
      <c r="AK137" s="1497">
        <f>IF(_epmOfflineCondition_,0,EPMRetrieveData(,AK$25,AK$26,AK$27,AK$28,AK$29,AK$30,$U137,$E$23,$D$25,$D$26,$D$27,$C$21,$D$28))</f>
        <v/>
      </c>
      <c r="AL137" s="1497">
        <f>AK137-Z137</f>
        <v/>
      </c>
      <c r="AM137" s="1497">
        <f>IFERROR(100*AL137/AK137,"")</f>
        <v/>
      </c>
      <c r="AN137" s="1497">
        <f>IF(_epmOfflineCondition_,0,EPMRetrieveData(,AN$25,AN$26,AN$27,AN$28,AN$29,AN$30,$U137,$E$23,$D$25,$D$26,$D$27,$C$21,$D$28))</f>
        <v/>
      </c>
      <c r="AO137" s="1497">
        <f>AN137-AA137</f>
        <v/>
      </c>
      <c r="AP137" s="1497">
        <f>IFERROR(100*AO137/AN137,"")</f>
        <v/>
      </c>
      <c r="AQ137" s="1497" t="n"/>
      <c r="AR137" s="1497">
        <f>-AQ137</f>
        <v/>
      </c>
      <c r="AS137" s="1497">
        <f>AA137-AR137</f>
        <v/>
      </c>
      <c r="AT137" s="1499">
        <f>IFERROR(100*AS137/AQ137,"")</f>
        <v/>
      </c>
      <c r="AU137" s="1500" t="n"/>
    </row>
    <row r="138">
      <c r="S138" s="462">
        <f>IF(_epmOfflineCondition_," 发电标准煤单价",EPMMemberDesc(U138))</f>
        <v/>
      </c>
      <c r="U138" s="197" t="inlineStr">
        <is>
          <t>A03441</t>
        </is>
      </c>
      <c r="V138" s="197">
        <f>IF(_epmOfflineCondition_,"A03441",EPMOlapMemberO(U138,"[C_ACCOUNT].[PARENTH1].[A03441]","A03441 -  发电标准煤单价","","000"))</f>
        <v/>
      </c>
      <c r="X138" s="1495" t="inlineStr">
        <is>
          <t>发电标准煤单价</t>
        </is>
      </c>
      <c r="Y138" s="1496" t="inlineStr">
        <is>
          <t>元/吨</t>
        </is>
      </c>
      <c r="Z138" s="1497">
        <f>IFERROR((S180+S181)/Z122,0)</f>
        <v/>
      </c>
      <c r="AA138" s="1497">
        <f>IFERROR((S163+S164)/AA122,0)</f>
        <v/>
      </c>
      <c r="AB138" s="1497" t="n"/>
      <c r="AC138" s="1497">
        <f>IFERROR(AA138-AB138,0)</f>
        <v/>
      </c>
      <c r="AD138" s="1498">
        <f>IFERROR(100*AC138/AB138,"")</f>
        <v/>
      </c>
      <c r="AE138" s="1497" t="n"/>
      <c r="AF138" s="1497">
        <f>Z138-AE138</f>
        <v/>
      </c>
      <c r="AG138" s="1497">
        <f>IFERROR(100*AF138/AE138,"")</f>
        <v/>
      </c>
      <c r="AH138" s="1497" t="n"/>
      <c r="AI138" s="1497">
        <f>Z138-AH138</f>
        <v/>
      </c>
      <c r="AJ138" s="1497">
        <f>IFERROR(100*AI138/AH138,"")</f>
        <v/>
      </c>
      <c r="AK138" s="1497">
        <f>IFERROR((AC163+AC164)/AK122,0)</f>
        <v/>
      </c>
      <c r="AL138" s="1497">
        <f>AK138-Z138</f>
        <v/>
      </c>
      <c r="AM138" s="1497">
        <f>IFERROR(100*AL138/AK138,"")</f>
        <v/>
      </c>
      <c r="AN138" s="1497">
        <f>IFERROR((AF163+AF164)/AN122,0)</f>
        <v/>
      </c>
      <c r="AO138" s="1497">
        <f>AN138-AA138</f>
        <v/>
      </c>
      <c r="AP138" s="1497">
        <f>IFERROR(100*AO138/AN138,"")</f>
        <v/>
      </c>
      <c r="AQ138" s="1497" t="n"/>
      <c r="AR138" s="1497">
        <f>-AQ138</f>
        <v/>
      </c>
      <c r="AS138" s="1497">
        <f>AA138-AR138</f>
        <v/>
      </c>
      <c r="AT138" s="1499">
        <f>IFERROR(100*AS138/AQ138,"")</f>
        <v/>
      </c>
      <c r="AU138" s="1500" t="n"/>
    </row>
    <row r="139">
      <c r="S139" s="462">
        <f>IF(_epmOfflineCondition_,"   其中：煤折",EPMMemberDesc(U139))</f>
        <v/>
      </c>
      <c r="U139" s="197" t="inlineStr">
        <is>
          <t>A03442</t>
        </is>
      </c>
      <c r="V139" s="197">
        <f>IF(_epmOfflineCondition_,"A03442",EPMOlapMemberO(U139,"[C_ACCOUNT].[PARENTH1].[A03442]","A03442 -    其中：煤折","","000"))</f>
        <v/>
      </c>
      <c r="X139" s="1495" t="inlineStr">
        <is>
          <t xml:space="preserve">  其中：煤折</t>
        </is>
      </c>
      <c r="Y139" s="1496" t="inlineStr">
        <is>
          <t>元/吨</t>
        </is>
      </c>
      <c r="Z139" s="1497">
        <f>IFERROR(S180/Z123,0)</f>
        <v/>
      </c>
      <c r="AA139" s="1497">
        <f>IFERROR(S163/AA123,0)</f>
        <v/>
      </c>
      <c r="AB139" s="1497" t="n"/>
      <c r="AC139" s="1497">
        <f>IFERROR(AA139-AB139,0)</f>
        <v/>
      </c>
      <c r="AD139" s="1498">
        <f>IFERROR(100*AC139/AB139,"")</f>
        <v/>
      </c>
      <c r="AE139" s="1497" t="n"/>
      <c r="AF139" s="1497">
        <f>Z139-AE139</f>
        <v/>
      </c>
      <c r="AG139" s="1497">
        <f>IFERROR(100*AF139/AE139,"")</f>
        <v/>
      </c>
      <c r="AH139" s="1497" t="n"/>
      <c r="AI139" s="1497">
        <f>Z139-AH139</f>
        <v/>
      </c>
      <c r="AJ139" s="1497">
        <f>IFERROR(100*AI139/AH139,"")</f>
        <v/>
      </c>
      <c r="AK139" s="1497">
        <f>IFERROR(AC163/AK123,0)</f>
        <v/>
      </c>
      <c r="AL139" s="1497">
        <f>AK139-Z139</f>
        <v/>
      </c>
      <c r="AM139" s="1497">
        <f>IFERROR(100*AL139/AK139,"")</f>
        <v/>
      </c>
      <c r="AN139" s="1497">
        <f>IFERROR(AF163/AN123,0)</f>
        <v/>
      </c>
      <c r="AO139" s="1497">
        <f>AN139-AA139</f>
        <v/>
      </c>
      <c r="AP139" s="1497">
        <f>IFERROR(100*AO139/AN139,"")</f>
        <v/>
      </c>
      <c r="AQ139" s="1497" t="n"/>
      <c r="AR139" s="1497">
        <f>-AQ139</f>
        <v/>
      </c>
      <c r="AS139" s="1497">
        <f>AA139-AR139</f>
        <v/>
      </c>
      <c r="AT139" s="1499">
        <f>IFERROR(100*AS139/AQ139,"")</f>
        <v/>
      </c>
      <c r="AU139" s="243" t="n"/>
    </row>
    <row r="140">
      <c r="S140" s="462">
        <f>IF(_epmOfflineCondition_,"         油折",EPMMemberDesc(U140))</f>
        <v/>
      </c>
      <c r="U140" s="197" t="inlineStr">
        <is>
          <t>A03443</t>
        </is>
      </c>
      <c r="V140" s="197">
        <f>IF(_epmOfflineCondition_,"A03443",EPMOlapMemberO(U140,"[C_ACCOUNT].[PARENTH1].[A03443]","A03443 -          油折","","000"))</f>
        <v/>
      </c>
      <c r="X140" s="1495" t="inlineStr">
        <is>
          <t xml:space="preserve">        油折</t>
        </is>
      </c>
      <c r="Y140" s="1496" t="inlineStr">
        <is>
          <t>元/吨</t>
        </is>
      </c>
      <c r="Z140" s="1497">
        <f>IFERROR(S181/Z124,0)</f>
        <v/>
      </c>
      <c r="AA140" s="1497">
        <f>IFERROR(S164/AA124,0)</f>
        <v/>
      </c>
      <c r="AB140" s="1497" t="n"/>
      <c r="AC140" s="1497">
        <f>IFERROR(AA140-AB140,0)</f>
        <v/>
      </c>
      <c r="AD140" s="1498">
        <f>IFERROR(100*AC140/AB140,"")</f>
        <v/>
      </c>
      <c r="AE140" s="1497" t="n"/>
      <c r="AF140" s="1497">
        <f>Z140-AE140</f>
        <v/>
      </c>
      <c r="AG140" s="1497">
        <f>IFERROR(100*AF140/AE140,"")</f>
        <v/>
      </c>
      <c r="AH140" s="1497" t="n"/>
      <c r="AI140" s="1497">
        <f>Z140-AH140</f>
        <v/>
      </c>
      <c r="AJ140" s="1497">
        <f>IFERROR(100*AI140/AH140,"")</f>
        <v/>
      </c>
      <c r="AK140" s="1497">
        <f>IFERROR(AC164/AK124,0)</f>
        <v/>
      </c>
      <c r="AL140" s="1497">
        <f>AK140-Z140</f>
        <v/>
      </c>
      <c r="AM140" s="1497">
        <f>IFERROR(100*AL140/AK140,"")</f>
        <v/>
      </c>
      <c r="AN140" s="1497">
        <f>IFERROR(AF164/AN124,0)</f>
        <v/>
      </c>
      <c r="AO140" s="1497">
        <f>AN140-AA140</f>
        <v/>
      </c>
      <c r="AP140" s="1497">
        <f>IFERROR(100*AO140/AN140,"")</f>
        <v/>
      </c>
      <c r="AQ140" s="1497" t="n"/>
      <c r="AR140" s="1497">
        <f>-AQ140</f>
        <v/>
      </c>
      <c r="AS140" s="1497">
        <f>AA140-AR140</f>
        <v/>
      </c>
      <c r="AT140" s="1499">
        <f>IFERROR(100*AS140/AQ140,"")</f>
        <v/>
      </c>
      <c r="AU140" s="1500" t="n"/>
    </row>
    <row r="141">
      <c r="S141" s="462">
        <f>IF(_epmOfflineCondition_," 供热标准煤单价",EPMMemberDesc(U141))</f>
        <v/>
      </c>
      <c r="U141" s="197" t="inlineStr">
        <is>
          <t>A03444</t>
        </is>
      </c>
      <c r="V141" s="197">
        <f>IF(_epmOfflineCondition_,"A03444",EPMOlapMemberO(U141,"[C_ACCOUNT].[PARENTH1].[A03444]","A03444 -  供热标准煤单价","","000"))</f>
        <v/>
      </c>
      <c r="X141" s="1495" t="inlineStr">
        <is>
          <t>供热标准煤单价</t>
        </is>
      </c>
      <c r="Y141" s="1496" t="inlineStr">
        <is>
          <t>元/吨</t>
        </is>
      </c>
      <c r="Z141" s="1497">
        <f>IFERROR((T180+T181)/Z129,0)</f>
        <v/>
      </c>
      <c r="AA141" s="1497">
        <f>IFERROR((T163+T164)/AA129,0)</f>
        <v/>
      </c>
      <c r="AB141" s="1497" t="n"/>
      <c r="AC141" s="1497">
        <f>IFERROR(AA141-AB141,0)</f>
        <v/>
      </c>
      <c r="AD141" s="1498">
        <f>IFERROR(100*AC141/AB141,"")</f>
        <v/>
      </c>
      <c r="AE141" s="1497" t="n"/>
      <c r="AF141" s="1497">
        <f>Z141-AE141</f>
        <v/>
      </c>
      <c r="AG141" s="1497">
        <f>IFERROR(100*AF141/AE141,"")</f>
        <v/>
      </c>
      <c r="AH141" s="1497" t="n"/>
      <c r="AI141" s="1497">
        <f>Z141-AH141</f>
        <v/>
      </c>
      <c r="AJ141" s="1497">
        <f>IFERROR(100*AI141/AH141,"")</f>
        <v/>
      </c>
      <c r="AK141" s="1497">
        <f>IFERROR((AD163+AD164)/AK129,0)</f>
        <v/>
      </c>
      <c r="AL141" s="1497">
        <f>AK141-Z141</f>
        <v/>
      </c>
      <c r="AM141" s="1497">
        <f>IFERROR(100*AL141/AK141,"")</f>
        <v/>
      </c>
      <c r="AN141" s="1497">
        <f>IFERROR((AG163+AG164)/AN129,0)</f>
        <v/>
      </c>
      <c r="AO141" s="1497">
        <f>AN141-AA141</f>
        <v/>
      </c>
      <c r="AP141" s="1497">
        <f>IFERROR(100*AO141/AN141,"")</f>
        <v/>
      </c>
      <c r="AQ141" s="1497" t="n"/>
      <c r="AR141" s="1497">
        <f>-AQ141</f>
        <v/>
      </c>
      <c r="AS141" s="1497">
        <f>AA141-AR141</f>
        <v/>
      </c>
      <c r="AT141" s="1499">
        <f>IFERROR(100*AS141/AQ141,"")</f>
        <v/>
      </c>
      <c r="AU141" s="243" t="n"/>
    </row>
    <row r="142">
      <c r="S142" s="462">
        <f>IF(_epmOfflineCondition_,"   其中：煤折",EPMMemberDesc(U142))</f>
        <v/>
      </c>
      <c r="U142" s="197" t="inlineStr">
        <is>
          <t>A03445</t>
        </is>
      </c>
      <c r="V142" s="197">
        <f>IF(_epmOfflineCondition_,"A03445",EPMOlapMemberO(U142,"[C_ACCOUNT].[PARENTH1].[A03445]","A03445 -    其中：煤折","","000"))</f>
        <v/>
      </c>
      <c r="X142" s="1495" t="inlineStr">
        <is>
          <t xml:space="preserve">  其中：煤折</t>
        </is>
      </c>
      <c r="Y142" s="1496" t="inlineStr">
        <is>
          <t>元/吨</t>
        </is>
      </c>
      <c r="Z142" s="1497">
        <f>IFERROR(T180/Z130,0)</f>
        <v/>
      </c>
      <c r="AA142" s="1497">
        <f>IFERROR(T163/AA130,0)</f>
        <v/>
      </c>
      <c r="AB142" s="1497" t="n"/>
      <c r="AC142" s="1497">
        <f>IFERROR(AA142-AB142,0)</f>
        <v/>
      </c>
      <c r="AD142" s="1498">
        <f>IFERROR(100*AC142/AB142,"")</f>
        <v/>
      </c>
      <c r="AE142" s="1497" t="n"/>
      <c r="AF142" s="1497">
        <f>Z142-AE142</f>
        <v/>
      </c>
      <c r="AG142" s="1497">
        <f>IFERROR(100*AF142/AE142,"")</f>
        <v/>
      </c>
      <c r="AH142" s="1497" t="n"/>
      <c r="AI142" s="1497">
        <f>Z142-AH142</f>
        <v/>
      </c>
      <c r="AJ142" s="1497">
        <f>IFERROR(100*AI142/AH142,"")</f>
        <v/>
      </c>
      <c r="AK142" s="1497">
        <f>IFERROR(AD163/AK130,0)</f>
        <v/>
      </c>
      <c r="AL142" s="1497">
        <f>AK142-Z142</f>
        <v/>
      </c>
      <c r="AM142" s="1497">
        <f>IFERROR(100*AL142/AK142,"")</f>
        <v/>
      </c>
      <c r="AN142" s="1497">
        <f>IFERROR(AG163/AN130,0)</f>
        <v/>
      </c>
      <c r="AO142" s="1497">
        <f>AN142-AA142</f>
        <v/>
      </c>
      <c r="AP142" s="1497">
        <f>IFERROR(100*AO142/AN142,"")</f>
        <v/>
      </c>
      <c r="AQ142" s="1497" t="n"/>
      <c r="AR142" s="1497">
        <f>-AQ142</f>
        <v/>
      </c>
      <c r="AS142" s="1497">
        <f>AA142-AR142</f>
        <v/>
      </c>
      <c r="AT142" s="1499">
        <f>IFERROR(100*AS142/AQ142,"")</f>
        <v/>
      </c>
      <c r="AU142" s="243" t="n"/>
    </row>
    <row r="143">
      <c r="S143" s="462">
        <f>IF(_epmOfflineCondition_,"         油折",EPMMemberDesc(U143))</f>
        <v/>
      </c>
      <c r="U143" s="197" t="inlineStr">
        <is>
          <t>A03446</t>
        </is>
      </c>
      <c r="V143" s="197">
        <f>IF(_epmOfflineCondition_,"A03446",EPMOlapMemberO(U143,"[C_ACCOUNT].[PARENTH1].[A03446]","A03446 -          油折","","000"))</f>
        <v/>
      </c>
      <c r="X143" s="1495" t="inlineStr">
        <is>
          <t xml:space="preserve">        油折</t>
        </is>
      </c>
      <c r="Y143" s="1496" t="inlineStr">
        <is>
          <t>元/吨</t>
        </is>
      </c>
      <c r="Z143" s="1497">
        <f>IFERROR(T181/Z131,0)</f>
        <v/>
      </c>
      <c r="AA143" s="1497">
        <f>IFERROR(T164/AA131,0)</f>
        <v/>
      </c>
      <c r="AB143" s="1497" t="n"/>
      <c r="AC143" s="1497">
        <f>IFERROR(AA143-AB143,0)</f>
        <v/>
      </c>
      <c r="AD143" s="1498">
        <f>IFERROR(100*AC143/AB143,"")</f>
        <v/>
      </c>
      <c r="AE143" s="1497" t="n"/>
      <c r="AF143" s="1497">
        <f>Z143-AE143</f>
        <v/>
      </c>
      <c r="AG143" s="1497">
        <f>IFERROR(100*AF143/AE143,"")</f>
        <v/>
      </c>
      <c r="AH143" s="1497" t="n"/>
      <c r="AI143" s="1497">
        <f>Z143-AH143</f>
        <v/>
      </c>
      <c r="AJ143" s="1497">
        <f>IFERROR(100*AI143/AH143,"")</f>
        <v/>
      </c>
      <c r="AK143" s="1497">
        <f>IFERROR(AD164/AK131,0)</f>
        <v/>
      </c>
      <c r="AL143" s="1497">
        <f>AK143-Z143</f>
        <v/>
      </c>
      <c r="AM143" s="1497">
        <f>IFERROR(100*AL143/AK143,"")</f>
        <v/>
      </c>
      <c r="AN143" s="1497">
        <f>IFERROR(AG164/AN131,0)</f>
        <v/>
      </c>
      <c r="AO143" s="1497">
        <f>AN143-AA143</f>
        <v/>
      </c>
      <c r="AP143" s="1497">
        <f>IFERROR(100*AO143/AN143,"")</f>
        <v/>
      </c>
      <c r="AQ143" s="1497" t="n"/>
      <c r="AR143" s="1497">
        <f>-AQ143</f>
        <v/>
      </c>
      <c r="AS143" s="1497">
        <f>AA143-AR143</f>
        <v/>
      </c>
      <c r="AT143" s="1499">
        <f>IFERROR(100*AS143/AQ143,"")</f>
        <v/>
      </c>
      <c r="AU143" s="243" t="n"/>
    </row>
    <row r="144">
      <c r="S144" s="462">
        <f>IF(_epmOfflineCondition_," 综合标准煤价",EPMMemberDesc(U144))</f>
        <v/>
      </c>
      <c r="U144" s="197" t="inlineStr">
        <is>
          <t>A03447</t>
        </is>
      </c>
      <c r="V144" s="197">
        <f>IF(_epmOfflineCondition_,"A03447",EPMOlapMemberO(U144,"[C_ACCOUNT].[PARENTH1].[A03447]","A03447 -  综合标准煤价","","000"))</f>
        <v/>
      </c>
      <c r="X144" s="1495" t="inlineStr">
        <is>
          <t>综合标准煤价</t>
        </is>
      </c>
      <c r="Y144" s="1496" t="inlineStr">
        <is>
          <t>元/吨</t>
        </is>
      </c>
      <c r="Z144" s="1497">
        <f>IFERROR((U180+U181)/Z134,0)</f>
        <v/>
      </c>
      <c r="AA144" s="1497">
        <f>IFERROR((U163+U164)/AA134,0)</f>
        <v/>
      </c>
      <c r="AB144" s="1497" t="n"/>
      <c r="AC144" s="1497">
        <f>IFERROR(AA144-AB144,0)</f>
        <v/>
      </c>
      <c r="AD144" s="1498">
        <f>IFERROR(100*AC144/AB144,"")</f>
        <v/>
      </c>
      <c r="AE144" s="1497" t="n"/>
      <c r="AF144" s="1497">
        <f>Z144-AE144</f>
        <v/>
      </c>
      <c r="AG144" s="1497">
        <f>IFERROR(100*AF144/AE144,"")</f>
        <v/>
      </c>
      <c r="AH144" s="1497" t="n"/>
      <c r="AI144" s="1497">
        <f>Z144-AH144</f>
        <v/>
      </c>
      <c r="AJ144" s="1497">
        <f>IFERROR(100*AI144/AH144,"")</f>
        <v/>
      </c>
      <c r="AK144" s="1497">
        <f>IFERROR((AE163+AE164)/AK134,0)</f>
        <v/>
      </c>
      <c r="AL144" s="1497">
        <f>AK144-Z144</f>
        <v/>
      </c>
      <c r="AM144" s="1497">
        <f>IFERROR(100*AL144/AK144,"")</f>
        <v/>
      </c>
      <c r="AN144" s="1497">
        <f>IFERROR((AH163+AH164)/AN134,0)</f>
        <v/>
      </c>
      <c r="AO144" s="1497">
        <f>AN144-AA144</f>
        <v/>
      </c>
      <c r="AP144" s="1497">
        <f>IFERROR(100*AO144/AN144,"")</f>
        <v/>
      </c>
      <c r="AQ144" s="1497" t="n"/>
      <c r="AR144" s="1497">
        <f>-AQ144</f>
        <v/>
      </c>
      <c r="AS144" s="1497">
        <f>AA144-AR144</f>
        <v/>
      </c>
      <c r="AT144" s="1499">
        <f>IFERROR(100*AS144/AQ144,"")</f>
        <v/>
      </c>
      <c r="AU144" s="243" t="n"/>
    </row>
    <row r="145">
      <c r="S145" s="462">
        <f>IF(_epmOfflineCondition_,"   其中：煤折",EPMMemberDesc(U145))</f>
        <v/>
      </c>
      <c r="U145" s="197" t="inlineStr">
        <is>
          <t>A03448</t>
        </is>
      </c>
      <c r="V145" s="197">
        <f>IF(_epmOfflineCondition_,"A03448",EPMOlapMemberO(U145,"[C_ACCOUNT].[PARENTH1].[A03448]","A03448 -    其中：煤折","","000"))</f>
        <v/>
      </c>
      <c r="X145" s="1495" t="inlineStr">
        <is>
          <t xml:space="preserve">  其中：煤折</t>
        </is>
      </c>
      <c r="Y145" s="1496" t="inlineStr">
        <is>
          <t>元/吨</t>
        </is>
      </c>
      <c r="Z145" s="1497">
        <f>IFERROR(U180/Z135,0)</f>
        <v/>
      </c>
      <c r="AA145" s="1497">
        <f>IFERROR(U163/AA135,0)</f>
        <v/>
      </c>
      <c r="AB145" s="1497" t="n"/>
      <c r="AC145" s="1497">
        <f>IFERROR(AA145-AB145,0)</f>
        <v/>
      </c>
      <c r="AD145" s="1498">
        <f>IFERROR(100*AC145/AB145,"")</f>
        <v/>
      </c>
      <c r="AE145" s="1497" t="n"/>
      <c r="AF145" s="1497">
        <f>Z145-AE145</f>
        <v/>
      </c>
      <c r="AG145" s="1497">
        <f>IFERROR(100*AF145/AE145,"")</f>
        <v/>
      </c>
      <c r="AH145" s="1497" t="n"/>
      <c r="AI145" s="1497">
        <f>Z145-AH145</f>
        <v/>
      </c>
      <c r="AJ145" s="1497">
        <f>IFERROR(100*AI145/AH145,"")</f>
        <v/>
      </c>
      <c r="AK145" s="1497">
        <f>IFERROR(AE163/AK135,0)</f>
        <v/>
      </c>
      <c r="AL145" s="1497">
        <f>AK145-Z145</f>
        <v/>
      </c>
      <c r="AM145" s="1497">
        <f>IFERROR(100*AL145/AK145,"")</f>
        <v/>
      </c>
      <c r="AN145" s="1497">
        <f>IFERROR(AH163/AN135,0)</f>
        <v/>
      </c>
      <c r="AO145" s="1497">
        <f>AN145-AA145</f>
        <v/>
      </c>
      <c r="AP145" s="1497">
        <f>IFERROR(100*AO145/AN145,"")</f>
        <v/>
      </c>
      <c r="AQ145" s="1497" t="n"/>
      <c r="AR145" s="1497">
        <f>-AQ145</f>
        <v/>
      </c>
      <c r="AS145" s="1497">
        <f>AA145-AR145</f>
        <v/>
      </c>
      <c r="AT145" s="1499">
        <f>IFERROR(100*AS145/AQ145,"")</f>
        <v/>
      </c>
      <c r="AU145" s="243" t="n"/>
    </row>
    <row r="146">
      <c r="S146" s="462">
        <f>IF(_epmOfflineCondition_,"         油折",EPMMemberDesc(U146))</f>
        <v/>
      </c>
      <c r="U146" s="197" t="inlineStr">
        <is>
          <t>A03449</t>
        </is>
      </c>
      <c r="V146" s="197">
        <f>IF(_epmOfflineCondition_,"A03449",EPMOlapMemberO(U146,"[C_ACCOUNT].[PARENTH1].[A03449]","A03449 -          油折","","000"))</f>
        <v/>
      </c>
      <c r="X146" s="1495" t="inlineStr">
        <is>
          <t xml:space="preserve">        油折</t>
        </is>
      </c>
      <c r="Y146" s="1496" t="inlineStr">
        <is>
          <t>元/吨</t>
        </is>
      </c>
      <c r="Z146" s="1497">
        <f>IFERROR(U181/Z136,0)</f>
        <v/>
      </c>
      <c r="AA146" s="1497">
        <f>IFERROR(U164/AA136,0)</f>
        <v/>
      </c>
      <c r="AB146" s="1497" t="n"/>
      <c r="AC146" s="1497">
        <f>IFERROR(AA146-AB146,0)</f>
        <v/>
      </c>
      <c r="AD146" s="1498">
        <f>IFERROR(100*AC146/AB146,"")</f>
        <v/>
      </c>
      <c r="AE146" s="1497" t="n"/>
      <c r="AF146" s="1497">
        <f>Z146-AE146</f>
        <v/>
      </c>
      <c r="AG146" s="1497">
        <f>IFERROR(100*AF146/AE146,"")</f>
        <v/>
      </c>
      <c r="AH146" s="1497" t="n"/>
      <c r="AI146" s="1497">
        <f>Z146-AH146</f>
        <v/>
      </c>
      <c r="AJ146" s="1497">
        <f>IFERROR(100*AI146/AH146,"")</f>
        <v/>
      </c>
      <c r="AK146" s="1497">
        <f>IFERROR(AE164/AK136,0)</f>
        <v/>
      </c>
      <c r="AL146" s="1497">
        <f>AK146-Z146</f>
        <v/>
      </c>
      <c r="AM146" s="1497">
        <f>IFERROR(100*AL146/AK146,"")</f>
        <v/>
      </c>
      <c r="AN146" s="1497">
        <f>IFERROR(AH164/AN136,0)</f>
        <v/>
      </c>
      <c r="AO146" s="1497">
        <f>AN146-AA146</f>
        <v/>
      </c>
      <c r="AP146" s="1497">
        <f>IFERROR(100*AO146/AN146,"")</f>
        <v/>
      </c>
      <c r="AQ146" s="1497" t="n"/>
      <c r="AR146" s="1497">
        <f>-AQ146</f>
        <v/>
      </c>
      <c r="AS146" s="1497">
        <f>AA146-AR146</f>
        <v/>
      </c>
      <c r="AT146" s="1499">
        <f>IFERROR(100*AS146/AQ146,"")</f>
        <v/>
      </c>
      <c r="AU146" s="243" t="n"/>
    </row>
    <row r="147">
      <c r="S147" s="462">
        <f>IF(_epmOfflineCondition_," 平均上网电价（含税）",EPMMemberDesc(U147))</f>
        <v/>
      </c>
      <c r="U147" s="197" t="inlineStr">
        <is>
          <t>A03450</t>
        </is>
      </c>
      <c r="V147" s="197">
        <f>IF(_epmOfflineCondition_,"A03450",EPMOlapMemberO(U147,"[C_ACCOUNT].[PARENTH1].[A03450]","A03450 -  平均上网电价（含税）","","000"))</f>
        <v/>
      </c>
      <c r="X147" s="1495" t="inlineStr">
        <is>
          <t>平均上网电价（含税）</t>
        </is>
      </c>
      <c r="Y147" s="1496" t="inlineStr">
        <is>
          <t>元/千千瓦时</t>
        </is>
      </c>
      <c r="Z147" s="1497">
        <f>IFERROR(S185/S186*1.13,0)</f>
        <v/>
      </c>
      <c r="AA147" s="1497">
        <f>IFERROR(S168/S169*1.13,0)</f>
        <v/>
      </c>
      <c r="AB147" s="1497" t="inlineStr"/>
      <c r="AC147" s="1497">
        <f>IFERROR(AA147-AB147,0)</f>
        <v/>
      </c>
      <c r="AD147" s="1498">
        <f>IFERROR(100*AC147/AB147,"")</f>
        <v/>
      </c>
      <c r="AE147" s="1497">
        <f>IFERROR(T185/T186*1.13,0)</f>
        <v/>
      </c>
      <c r="AF147" s="1497">
        <f>Z147-AE147</f>
        <v/>
      </c>
      <c r="AG147" s="1497">
        <f>IFERROR(100*AF147/AE147,"")</f>
        <v/>
      </c>
      <c r="AH147" s="1497" t="inlineStr"/>
      <c r="AI147" s="1497">
        <f>Z147-AH147</f>
        <v/>
      </c>
      <c r="AJ147" s="1497">
        <f>IFERROR(100*AI147/AH147,"")</f>
        <v/>
      </c>
      <c r="AK147" s="1497">
        <f>IFERROR(AC168/AC169*1.13,0)</f>
        <v/>
      </c>
      <c r="AL147" s="1497">
        <f>AK147-Z147</f>
        <v/>
      </c>
      <c r="AM147" s="1497">
        <f>IFERROR(100*AL147/AK147,"")</f>
        <v/>
      </c>
      <c r="AN147" s="1497">
        <f>IFERROR(AF168/AF169*1.13,0)</f>
        <v/>
      </c>
      <c r="AO147" s="1497">
        <f>AN147-AA147</f>
        <v/>
      </c>
      <c r="AP147" s="1497">
        <f>IFERROR(100*AO147/AN147,"")</f>
        <v/>
      </c>
      <c r="AQ147" s="1497" t="n"/>
      <c r="AR147" s="1497">
        <f>-AQ147</f>
        <v/>
      </c>
      <c r="AS147" s="1497">
        <f>AA147-AR147</f>
        <v/>
      </c>
      <c r="AT147" s="1499">
        <f>IFERROR(100*AS147/AQ147,"")</f>
        <v/>
      </c>
      <c r="AU147" s="243" t="inlineStr"/>
    </row>
    <row r="148">
      <c r="S148" s="462">
        <f>IF(_epmOfflineCondition_," 供热价格（含税）",EPMMemberDesc(U148))</f>
        <v/>
      </c>
      <c r="U148" s="197" t="inlineStr">
        <is>
          <t>A03451</t>
        </is>
      </c>
      <c r="V148" s="197">
        <f>IF(_epmOfflineCondition_,"A03451",EPMOlapMemberO(U148,"[C_ACCOUNT].[PARENTH1].[A03451]","A03451 -  供热价格（含税）","","000"))</f>
        <v/>
      </c>
      <c r="X148" s="1495" t="inlineStr">
        <is>
          <t>供热价格（含税）</t>
        </is>
      </c>
      <c r="Y148" s="1496" t="inlineStr">
        <is>
          <t>元/吉焦</t>
        </is>
      </c>
      <c r="Z148" s="1497">
        <f>IFERROR(S187/S188*1.09,0)</f>
        <v/>
      </c>
      <c r="AA148" s="1497">
        <f>IFERROR(S170/S171*1.09,0)</f>
        <v/>
      </c>
      <c r="AB148" s="1497" t="n"/>
      <c r="AC148" s="1497">
        <f>IFERROR(AA148-AB148,0)</f>
        <v/>
      </c>
      <c r="AD148" s="1498">
        <f>IFERROR(100*AC148/AB148,"")</f>
        <v/>
      </c>
      <c r="AE148" s="1497" t="n"/>
      <c r="AF148" s="1497">
        <f>Z148-AE148</f>
        <v/>
      </c>
      <c r="AG148" s="1497">
        <f>IFERROR(100*AF148/AE148,"")</f>
        <v/>
      </c>
      <c r="AH148" s="1497" t="n"/>
      <c r="AI148" s="1497">
        <f>Z148-AH148</f>
        <v/>
      </c>
      <c r="AJ148" s="1497">
        <f>IFERROR(100*AI148/AH148,"")</f>
        <v/>
      </c>
      <c r="AK148" s="1497">
        <f>IFERROR(AC170/AC171*1.09,0)</f>
        <v/>
      </c>
      <c r="AL148" s="1497">
        <f>AK148-Z148</f>
        <v/>
      </c>
      <c r="AM148" s="1497">
        <f>IFERROR(100*AL148/AK148,"")</f>
        <v/>
      </c>
      <c r="AN148" s="1497">
        <f>IFERROR(AF170/AF171*1.09,0)</f>
        <v/>
      </c>
      <c r="AO148" s="1497">
        <f>AN148-AA148</f>
        <v/>
      </c>
      <c r="AP148" s="1497">
        <f>IFERROR(100*AO148/AN148,"")</f>
        <v/>
      </c>
      <c r="AQ148" s="1497" t="n"/>
      <c r="AR148" s="1497">
        <f>-AQ148</f>
        <v/>
      </c>
      <c r="AS148" s="1497">
        <f>AA148-AR148</f>
        <v/>
      </c>
      <c r="AT148" s="1499">
        <f>IFERROR(100*AS148/AQ148,"")</f>
        <v/>
      </c>
      <c r="AU148" s="1500" t="n"/>
    </row>
    <row r="149">
      <c r="S149" s="462">
        <f>IF(_epmOfflineCondition_," 发电供热用天然煤量",EPMMemberDesc(U149))</f>
        <v/>
      </c>
      <c r="U149" s="197" t="inlineStr">
        <is>
          <t>A03452</t>
        </is>
      </c>
      <c r="V149" s="197">
        <f>IF(_epmOfflineCondition_,"A03452",EPMOlapMemberO(U149,"[C_ACCOUNT].[PARENTH1].[A03452]","A03452 -  发电供热用天然煤量","","000"))</f>
        <v/>
      </c>
      <c r="X149" s="1495" t="inlineStr">
        <is>
          <t>发电供热用天然煤量</t>
        </is>
      </c>
      <c r="Y149" s="1496" t="inlineStr">
        <is>
          <t>吨</t>
        </is>
      </c>
      <c r="Z149" s="1497">
        <f>Z150+Z151</f>
        <v/>
      </c>
      <c r="AA149" s="1497">
        <f>AA150+AA151</f>
        <v/>
      </c>
      <c r="AB149" s="1497" t="n"/>
      <c r="AC149" s="1497">
        <f>IFERROR(AA149-AB149,0)</f>
        <v/>
      </c>
      <c r="AD149" s="1498">
        <f>IFERROR(100*AC149/AB149,"")</f>
        <v/>
      </c>
      <c r="AE149" s="1497" t="n"/>
      <c r="AF149" s="1497">
        <f>Z149-AE149</f>
        <v/>
      </c>
      <c r="AG149" s="1497">
        <f>IFERROR(100*AF149/AE149,"")</f>
        <v/>
      </c>
      <c r="AH149" s="1497" t="n"/>
      <c r="AI149" s="1497">
        <f>Z149-AH149</f>
        <v/>
      </c>
      <c r="AJ149" s="1497">
        <f>IFERROR(100*AI149/AH149,"")</f>
        <v/>
      </c>
      <c r="AK149" s="1497">
        <f>AK150+AK151</f>
        <v/>
      </c>
      <c r="AL149" s="1497">
        <f>AK149-Z149</f>
        <v/>
      </c>
      <c r="AM149" s="1497">
        <f>IFERROR(100*AL149/AK149,"")</f>
        <v/>
      </c>
      <c r="AN149" s="1497">
        <f>AN150+AN151</f>
        <v/>
      </c>
      <c r="AO149" s="1497">
        <f>AN149-AA149</f>
        <v/>
      </c>
      <c r="AP149" s="1497">
        <f>IFERROR(100*AO149/AN149,"")</f>
        <v/>
      </c>
      <c r="AQ149" s="1497" t="n"/>
      <c r="AR149" s="1497">
        <f>-AQ149</f>
        <v/>
      </c>
      <c r="AS149" s="1497">
        <f>AA149-AR149</f>
        <v/>
      </c>
      <c r="AT149" s="1499">
        <f>IFERROR(100*AS149/AQ149,"")</f>
        <v/>
      </c>
      <c r="AU149" s="1500" t="n"/>
    </row>
    <row r="150">
      <c r="S150" s="462">
        <f>IF(_epmOfflineCondition_," 　 其中：发电用天然煤量",EPMMemberDesc(U150))</f>
        <v/>
      </c>
      <c r="U150" s="197" t="inlineStr">
        <is>
          <t>A0345201</t>
        </is>
      </c>
      <c r="V150" s="199">
        <f>IF(_epmOfflineCondition_,"A0345201",EPMOlapMemberO(U150,"[C_ACCOUNT].[PARENTH1].[A0345201]","A0345201 -  　 其中：发电用天然煤量","","000"))</f>
        <v/>
      </c>
      <c r="X150" s="1495" t="inlineStr">
        <is>
          <t xml:space="preserve">　 其中：发电用天然煤量</t>
        </is>
      </c>
      <c r="Y150" s="1496" t="inlineStr">
        <is>
          <t>吨</t>
        </is>
      </c>
      <c r="Z150" s="1497">
        <f>IF($I$8="01",AA150,AA150-AU150)</f>
        <v/>
      </c>
      <c r="AA150" s="1502" t="n"/>
      <c r="AB150" s="1497" t="n"/>
      <c r="AC150" s="1497">
        <f>IFERROR(AA150-AB150,0)</f>
        <v/>
      </c>
      <c r="AD150" s="1498">
        <f>IFERROR(100*AC150/AB150,"")</f>
        <v/>
      </c>
      <c r="AE150" s="1497" t="n"/>
      <c r="AF150" s="1497">
        <f>Z150-AE150</f>
        <v/>
      </c>
      <c r="AG150" s="1497">
        <f>IFERROR(100*AF150/AE150,"")</f>
        <v/>
      </c>
      <c r="AH150" s="1497" t="n"/>
      <c r="AI150" s="1497">
        <f>Z150-AH150</f>
        <v/>
      </c>
      <c r="AJ150" s="1497">
        <f>IFERROR(100*AI150/AH150,"")</f>
        <v/>
      </c>
      <c r="AK150" s="1497">
        <f>IF(_epmOfflineCondition_,0,EPMRetrieveData(,AK$25,AK$26,AK$27,AK$28,AK$29,AK$30,$U150,$E$23,$D$25,$D$26,$D$27,$C$21,$D$28))</f>
        <v/>
      </c>
      <c r="AL150" s="1497">
        <f>AK150-Z150</f>
        <v/>
      </c>
      <c r="AM150" s="1497">
        <f>IFERROR(100*AL150/AK150,"")</f>
        <v/>
      </c>
      <c r="AN150" s="1497">
        <f>IF(_epmOfflineCondition_,0,EPMRetrieveData(,AN$25,AN$26,AN$27,AN$28,AN$29,AN$30,$U150,$E$23,$D$25,$D$26,$D$27,$C$21,$D$28))</f>
        <v/>
      </c>
      <c r="AO150" s="1497">
        <f>AN150-AA150</f>
        <v/>
      </c>
      <c r="AP150" s="1497">
        <f>IFERROR(100*AO150/AN150,"")</f>
        <v/>
      </c>
      <c r="AQ150" s="1497" t="n"/>
      <c r="AR150" s="1497">
        <f>-AQ150</f>
        <v/>
      </c>
      <c r="AS150" s="1497">
        <f>AA150-AR150</f>
        <v/>
      </c>
      <c r="AT150" s="1499">
        <f>IFERROR(100*AS150/AQ150,"")</f>
        <v/>
      </c>
      <c r="AU150" s="1500" t="n"/>
    </row>
    <row r="151">
      <c r="S151" s="462">
        <f>IF(_epmOfflineCondition_," 　　　　 供热用天然煤量",EPMMemberDesc(U151))</f>
        <v/>
      </c>
      <c r="U151" s="197" t="inlineStr">
        <is>
          <t>A0345202</t>
        </is>
      </c>
      <c r="V151" s="199">
        <f>IF(_epmOfflineCondition_,"A0345202",EPMOlapMemberO(U151,"[C_ACCOUNT].[PARENTH1].[A0345202]","A0345202 -  　　　　 供热用天然煤量","","000"))</f>
        <v/>
      </c>
      <c r="X151" s="1495" t="inlineStr">
        <is>
          <t xml:space="preserve">　　　　 供热用天然煤量</t>
        </is>
      </c>
      <c r="Y151" s="1496" t="inlineStr">
        <is>
          <t>吨</t>
        </is>
      </c>
      <c r="Z151" s="1497">
        <f>IF($I$8="01",AA151,AA151-AU151)</f>
        <v/>
      </c>
      <c r="AA151" s="1502" t="n"/>
      <c r="AB151" s="1497" t="n"/>
      <c r="AC151" s="1497">
        <f>IFERROR(AA151-AB151,0)</f>
        <v/>
      </c>
      <c r="AD151" s="1498">
        <f>IFERROR(100*AC151/AB151,"")</f>
        <v/>
      </c>
      <c r="AE151" s="1497" t="n"/>
      <c r="AF151" s="1497">
        <f>Z151-AE151</f>
        <v/>
      </c>
      <c r="AG151" s="1497">
        <f>IFERROR(100*AF151/AE151,"")</f>
        <v/>
      </c>
      <c r="AH151" s="1497" t="n"/>
      <c r="AI151" s="1497">
        <f>Z151-AH151</f>
        <v/>
      </c>
      <c r="AJ151" s="1497">
        <f>IFERROR(100*AI151/AH151,"")</f>
        <v/>
      </c>
      <c r="AK151" s="1497">
        <f>IF(_epmOfflineCondition_,0,EPMRetrieveData(,AK$25,AK$26,AK$27,AK$28,AK$29,AK$30,$U151,$E$23,$D$25,$D$26,$D$27,$C$21,$D$28))</f>
        <v/>
      </c>
      <c r="AL151" s="1497">
        <f>AK151-Z151</f>
        <v/>
      </c>
      <c r="AM151" s="1497">
        <f>IFERROR(100*AL151/AK151,"")</f>
        <v/>
      </c>
      <c r="AN151" s="1497">
        <f>IF(_epmOfflineCondition_,0,EPMRetrieveData(,AN$25,AN$26,AN$27,AN$28,AN$29,AN$30,$U151,$E$23,$D$25,$D$26,$D$27,$C$21,$D$28))</f>
        <v/>
      </c>
      <c r="AO151" s="1497">
        <f>AN151-AA151</f>
        <v/>
      </c>
      <c r="AP151" s="1497">
        <f>IFERROR(100*AO151/AN151,"")</f>
        <v/>
      </c>
      <c r="AQ151" s="1497" t="n"/>
      <c r="AR151" s="1497">
        <f>-AQ151</f>
        <v/>
      </c>
      <c r="AS151" s="1497">
        <f>AA151-AR151</f>
        <v/>
      </c>
      <c r="AT151" s="1499">
        <f>IFERROR(100*AS151/AQ151,"")</f>
        <v/>
      </c>
      <c r="AU151" s="1500" t="n"/>
    </row>
    <row r="152">
      <c r="S152" s="462">
        <f>IF(_epmOfflineCondition_," 发电供热用天然油量",EPMMemberDesc(U152))</f>
        <v/>
      </c>
      <c r="U152" s="197" t="inlineStr">
        <is>
          <t>A03453</t>
        </is>
      </c>
      <c r="V152" s="197">
        <f>IF(_epmOfflineCondition_,"A03453",EPMOlapMemberO(U152,"[C_ACCOUNT].[PARENTH1].[A03453]","A03453 -  发电供热用天然油量","","000"))</f>
        <v/>
      </c>
      <c r="X152" s="1495" t="inlineStr">
        <is>
          <t>发电供热用天然油量</t>
        </is>
      </c>
      <c r="Y152" s="1496" t="inlineStr">
        <is>
          <t>吨</t>
        </is>
      </c>
      <c r="Z152" s="1497">
        <f>Z153+Z154</f>
        <v/>
      </c>
      <c r="AA152" s="1497">
        <f>AA153+AA154</f>
        <v/>
      </c>
      <c r="AB152" s="1497" t="n"/>
      <c r="AC152" s="1497">
        <f>IFERROR(AA152-AB152,0)</f>
        <v/>
      </c>
      <c r="AD152" s="1498">
        <f>IFERROR(100*AC152/AB152,"")</f>
        <v/>
      </c>
      <c r="AE152" s="1497" t="n"/>
      <c r="AF152" s="1497">
        <f>Z152-AE152</f>
        <v/>
      </c>
      <c r="AG152" s="1497">
        <f>IFERROR(100*AF152/AE152,"")</f>
        <v/>
      </c>
      <c r="AH152" s="1497" t="n"/>
      <c r="AI152" s="1497">
        <f>Z152-AH152</f>
        <v/>
      </c>
      <c r="AJ152" s="1497">
        <f>IFERROR(100*AI152/AH152,"")</f>
        <v/>
      </c>
      <c r="AK152" s="1497">
        <f>AK153+AK154</f>
        <v/>
      </c>
      <c r="AL152" s="1497">
        <f>AK152-Z152</f>
        <v/>
      </c>
      <c r="AM152" s="1497">
        <f>IFERROR(100*AL152/AK152,"")</f>
        <v/>
      </c>
      <c r="AN152" s="1497">
        <f>AN153+AN154</f>
        <v/>
      </c>
      <c r="AO152" s="1497">
        <f>AN152-AA152</f>
        <v/>
      </c>
      <c r="AP152" s="1497">
        <f>IFERROR(100*AO152/AN152,"")</f>
        <v/>
      </c>
      <c r="AQ152" s="1497" t="n"/>
      <c r="AR152" s="1497">
        <f>-AQ152</f>
        <v/>
      </c>
      <c r="AS152" s="1497">
        <f>AA152-AR152</f>
        <v/>
      </c>
      <c r="AT152" s="1499">
        <f>IFERROR(100*AS152/AQ152,"")</f>
        <v/>
      </c>
      <c r="AU152" s="1500" t="n"/>
    </row>
    <row r="153">
      <c r="S153" s="462">
        <f>IF(_epmOfflineCondition_," 　 其中：发电用天然油量",EPMMemberDesc(U153))</f>
        <v/>
      </c>
      <c r="U153" s="197" t="inlineStr">
        <is>
          <t>A0345301</t>
        </is>
      </c>
      <c r="V153" s="199">
        <f>IF(_epmOfflineCondition_,"A0345301",EPMOlapMemberO(U153,"[C_ACCOUNT].[PARENTH1].[A0345301]","A0345301 -  　 其中：发电用天然油量","","000"))</f>
        <v/>
      </c>
      <c r="X153" s="1495" t="inlineStr">
        <is>
          <t xml:space="preserve">　 其中：发电用天然油量</t>
        </is>
      </c>
      <c r="Y153" s="1496" t="inlineStr">
        <is>
          <t>吨</t>
        </is>
      </c>
      <c r="Z153" s="1497">
        <f>IF($I$8="01",AA153,AA153-AU153)</f>
        <v/>
      </c>
      <c r="AA153" s="1502" t="n"/>
      <c r="AB153" s="1497" t="n"/>
      <c r="AC153" s="1497">
        <f>IFERROR(AA153-AB153,0)</f>
        <v/>
      </c>
      <c r="AD153" s="1498">
        <f>IFERROR(100*AC153/AB153,"")</f>
        <v/>
      </c>
      <c r="AE153" s="1497" t="n"/>
      <c r="AF153" s="1497">
        <f>Z153-AE153</f>
        <v/>
      </c>
      <c r="AG153" s="1497">
        <f>IFERROR(100*AF153/AE153,"")</f>
        <v/>
      </c>
      <c r="AH153" s="1497" t="n"/>
      <c r="AI153" s="1497">
        <f>Z153-AH153</f>
        <v/>
      </c>
      <c r="AJ153" s="1497">
        <f>IFERROR(100*AI153/AH153,"")</f>
        <v/>
      </c>
      <c r="AK153" s="1497">
        <f>IF(_epmOfflineCondition_,0,EPMRetrieveData(,AK$25,AK$26,AK$27,AK$28,AK$29,AK$30,$U153,$E$23,$D$25,$D$26,$D$27,$C$21,$D$28))</f>
        <v/>
      </c>
      <c r="AL153" s="1497">
        <f>AK153-Z153</f>
        <v/>
      </c>
      <c r="AM153" s="1497">
        <f>IFERROR(100*AL153/AK153,"")</f>
        <v/>
      </c>
      <c r="AN153" s="1497">
        <f>IF(_epmOfflineCondition_,0,EPMRetrieveData(,AN$25,AN$26,AN$27,AN$28,AN$29,AN$30,$U153,$E$23,$D$25,$D$26,$D$27,$C$21,$D$28))</f>
        <v/>
      </c>
      <c r="AO153" s="1497">
        <f>AN153-AA153</f>
        <v/>
      </c>
      <c r="AP153" s="1497">
        <f>IFERROR(100*AO153/AN153,"")</f>
        <v/>
      </c>
      <c r="AQ153" s="1497" t="n"/>
      <c r="AR153" s="1497">
        <f>-AQ153</f>
        <v/>
      </c>
      <c r="AS153" s="1497">
        <f>AA153-AR153</f>
        <v/>
      </c>
      <c r="AT153" s="1499">
        <f>IFERROR(100*AS153/AQ153,"")</f>
        <v/>
      </c>
      <c r="AU153" s="1500" t="n"/>
    </row>
    <row r="154">
      <c r="S154" s="462">
        <f>IF(_epmOfflineCondition_," 　　　　 供热用天然油量",EPMMemberDesc(U154))</f>
        <v/>
      </c>
      <c r="U154" s="197" t="inlineStr">
        <is>
          <t>A0345302</t>
        </is>
      </c>
      <c r="V154" s="199">
        <f>IF(_epmOfflineCondition_,"A0345302",EPMOlapMemberO(U154,"[C_ACCOUNT].[PARENTH1].[A0345302]","A0345302 -  　　　　 供热用天然油量","","000"))</f>
        <v/>
      </c>
      <c r="X154" s="1495" t="inlineStr">
        <is>
          <t xml:space="preserve">　　　　 供热用天然油量</t>
        </is>
      </c>
      <c r="Y154" s="1496" t="inlineStr">
        <is>
          <t>吨</t>
        </is>
      </c>
      <c r="Z154" s="1497">
        <f>IF($I$8="01",AA154,AA154-AU154)</f>
        <v/>
      </c>
      <c r="AA154" s="1502" t="n"/>
      <c r="AB154" s="1497" t="n"/>
      <c r="AC154" s="1497">
        <f>IFERROR(AA154-AB154,0)</f>
        <v/>
      </c>
      <c r="AD154" s="1498">
        <f>IFERROR(100*AC154/AB154,"")</f>
        <v/>
      </c>
      <c r="AE154" s="1497" t="n"/>
      <c r="AF154" s="1497">
        <f>Z154-AE154</f>
        <v/>
      </c>
      <c r="AG154" s="1497">
        <f>IFERROR(100*AF154/AE154,"")</f>
        <v/>
      </c>
      <c r="AH154" s="1497" t="n"/>
      <c r="AI154" s="1497">
        <f>Z154-AH154</f>
        <v/>
      </c>
      <c r="AJ154" s="1497">
        <f>IFERROR(100*AI154/AH154,"")</f>
        <v/>
      </c>
      <c r="AK154" s="1497">
        <f>IF(_epmOfflineCondition_,0,EPMRetrieveData(,AK$25,AK$26,AK$27,AK$28,AK$29,AK$30,$U154,$E$23,$D$25,$D$26,$D$27,$C$21,$D$28))</f>
        <v/>
      </c>
      <c r="AL154" s="1497">
        <f>AK154-Z154</f>
        <v/>
      </c>
      <c r="AM154" s="1497">
        <f>IFERROR(100*AL154/AK154,"")</f>
        <v/>
      </c>
      <c r="AN154" s="1497">
        <f>IF(_epmOfflineCondition_,0,EPMRetrieveData(,AN$25,AN$26,AN$27,AN$28,AN$29,AN$30,$U154,$E$23,$D$25,$D$26,$D$27,$C$21,$D$28))</f>
        <v/>
      </c>
      <c r="AO154" s="1497">
        <f>AN154-AA154</f>
        <v/>
      </c>
      <c r="AP154" s="1497">
        <f>IFERROR(100*AO154/AN154,"")</f>
        <v/>
      </c>
      <c r="AQ154" s="1497" t="n"/>
      <c r="AR154" s="1497">
        <f>-AQ154</f>
        <v/>
      </c>
      <c r="AS154" s="1497">
        <f>AA154-AR154</f>
        <v/>
      </c>
      <c r="AT154" s="1499">
        <f>IFERROR(100*AS154/AQ154,"")</f>
        <v/>
      </c>
      <c r="AU154" s="1500" t="n"/>
    </row>
    <row r="155">
      <c r="S155" s="462">
        <f>IF(_epmOfflineCondition_," 发电供热用天然气用量",EPMMemberDesc(U155))</f>
        <v/>
      </c>
      <c r="U155" s="197" t="inlineStr">
        <is>
          <t>A03454</t>
        </is>
      </c>
      <c r="V155" s="197">
        <f>IF(_epmOfflineCondition_,"A03454",EPMOlapMemberO(U155,"[C_ACCOUNT].[PARENTH1].[A03454]","A03454 -  发电供热用天然气用量","","000"))</f>
        <v/>
      </c>
      <c r="X155" s="1495" t="inlineStr">
        <is>
          <t>发电供热用天然气用量</t>
        </is>
      </c>
      <c r="Y155" s="1496" t="inlineStr">
        <is>
          <t>立方米</t>
        </is>
      </c>
      <c r="Z155" s="1497">
        <f>Z156+Z157</f>
        <v/>
      </c>
      <c r="AA155" s="1497">
        <f>AA156+AA157</f>
        <v/>
      </c>
      <c r="AB155" s="1497" t="n"/>
      <c r="AC155" s="1497">
        <f>IFERROR(AA155-AB155,0)</f>
        <v/>
      </c>
      <c r="AD155" s="1498">
        <f>IFERROR(100*AC155/AB155,"")</f>
        <v/>
      </c>
      <c r="AE155" s="1497" t="n"/>
      <c r="AF155" s="1497">
        <f>Z155-AE155</f>
        <v/>
      </c>
      <c r="AG155" s="1497">
        <f>IFERROR(100*AF155/AE155,"")</f>
        <v/>
      </c>
      <c r="AH155" s="1497" t="n"/>
      <c r="AI155" s="1497">
        <f>Z155-AH155</f>
        <v/>
      </c>
      <c r="AJ155" s="1497">
        <f>IFERROR(100*AI155/AH155,"")</f>
        <v/>
      </c>
      <c r="AK155" s="1497">
        <f>AK156+AK157</f>
        <v/>
      </c>
      <c r="AL155" s="1497">
        <f>AK155-Z155</f>
        <v/>
      </c>
      <c r="AM155" s="1497">
        <f>IFERROR(100*AL155/AK155,"")</f>
        <v/>
      </c>
      <c r="AN155" s="1497">
        <f>AN156+AN157</f>
        <v/>
      </c>
      <c r="AO155" s="1497">
        <f>AN155-AA155</f>
        <v/>
      </c>
      <c r="AP155" s="1497">
        <f>IFERROR(100*AO155/AN155,"")</f>
        <v/>
      </c>
      <c r="AQ155" s="1497" t="n"/>
      <c r="AR155" s="1497">
        <f>-AQ155</f>
        <v/>
      </c>
      <c r="AS155" s="1497">
        <f>AA155-AR155</f>
        <v/>
      </c>
      <c r="AT155" s="1499">
        <f>IFERROR(100*AS155/AQ155,"")</f>
        <v/>
      </c>
      <c r="AU155" s="1500" t="n"/>
    </row>
    <row r="156">
      <c r="S156" s="462">
        <f>IF(_epmOfflineCondition_," 　 其中：发电用天然气用量",EPMMemberDesc(U156))</f>
        <v/>
      </c>
      <c r="U156" s="197" t="inlineStr">
        <is>
          <t>A0345401</t>
        </is>
      </c>
      <c r="V156" s="199">
        <f>IF(_epmOfflineCondition_,"A0345401",EPMOlapMemberO(U156,"[C_ACCOUNT].[PARENTH1].[A0345401]","A0345401 -  　 其中：发电用天然气用量","","000"))</f>
        <v/>
      </c>
      <c r="X156" s="1495" t="inlineStr">
        <is>
          <t xml:space="preserve">　 其中：发电用天然气用量</t>
        </is>
      </c>
      <c r="Y156" s="1496" t="inlineStr">
        <is>
          <t>立方米</t>
        </is>
      </c>
      <c r="Z156" s="1497">
        <f>IF($I$8="01",AA156,AA156-AU156)</f>
        <v/>
      </c>
      <c r="AA156" s="1502" t="n"/>
      <c r="AB156" s="1497" t="n"/>
      <c r="AC156" s="1497">
        <f>IFERROR(AA156-AB156,0)</f>
        <v/>
      </c>
      <c r="AD156" s="1498">
        <f>IFERROR(100*AC156/AB156,"")</f>
        <v/>
      </c>
      <c r="AE156" s="1497" t="n"/>
      <c r="AF156" s="1497">
        <f>Z156-AE156</f>
        <v/>
      </c>
      <c r="AG156" s="1497">
        <f>IFERROR(100*AF156/AE156,"")</f>
        <v/>
      </c>
      <c r="AH156" s="1497" t="n"/>
      <c r="AI156" s="1497">
        <f>Z156-AH156</f>
        <v/>
      </c>
      <c r="AJ156" s="1497">
        <f>IFERROR(100*AI156/AH156,"")</f>
        <v/>
      </c>
      <c r="AK156" s="1497">
        <f>IF(_epmOfflineCondition_,0,EPMRetrieveData(,AK$25,AK$26,AK$27,AK$28,AK$29,AK$30,$U156,$E$23,$D$25,$D$26,$D$27,$C$21,$D$28))</f>
        <v/>
      </c>
      <c r="AL156" s="1497">
        <f>AK156-Z156</f>
        <v/>
      </c>
      <c r="AM156" s="1497">
        <f>IFERROR(100*AL156/AK156,"")</f>
        <v/>
      </c>
      <c r="AN156" s="1497">
        <f>IF(_epmOfflineCondition_,0,EPMRetrieveData(,AN$25,AN$26,AN$27,AN$28,AN$29,AN$30,$U156,$E$23,$D$25,$D$26,$D$27,$C$21,$D$28))</f>
        <v/>
      </c>
      <c r="AO156" s="1497">
        <f>AN156-AA156</f>
        <v/>
      </c>
      <c r="AP156" s="1497">
        <f>IFERROR(100*AO156/AN156,"")</f>
        <v/>
      </c>
      <c r="AQ156" s="1497" t="n"/>
      <c r="AR156" s="1497">
        <f>-AQ156</f>
        <v/>
      </c>
      <c r="AS156" s="1497">
        <f>AA156-AR156</f>
        <v/>
      </c>
      <c r="AT156" s="1499">
        <f>IFERROR(100*AS156/AQ156,"")</f>
        <v/>
      </c>
      <c r="AU156" s="1500" t="n"/>
    </row>
    <row r="157">
      <c r="S157" s="462">
        <f>IF(_epmOfflineCondition_," 　　　　 供热用天然气用量",EPMMemberDesc(U157))</f>
        <v/>
      </c>
      <c r="U157" s="197" t="inlineStr">
        <is>
          <t>A0345402</t>
        </is>
      </c>
      <c r="V157" s="199">
        <f>IF(_epmOfflineCondition_,"A0345402",EPMOlapMemberO(U157,"[C_ACCOUNT].[PARENTH1].[A0345402]","A0345402 -  　　　　 供热用天然气用量","","000"))</f>
        <v/>
      </c>
      <c r="X157" s="1495" t="inlineStr">
        <is>
          <t xml:space="preserve">　　　　 供热用天然气用量</t>
        </is>
      </c>
      <c r="Y157" s="1496" t="inlineStr">
        <is>
          <t>立方米</t>
        </is>
      </c>
      <c r="Z157" s="1497">
        <f>IF($I$8="01",AA157,AA157-AU157)</f>
        <v/>
      </c>
      <c r="AA157" s="1502" t="n"/>
      <c r="AB157" s="1497" t="n"/>
      <c r="AC157" s="1497">
        <f>IFERROR(AA157-AB157,0)</f>
        <v/>
      </c>
      <c r="AD157" s="1498">
        <f>IFERROR(100*AC157/AB157,"")</f>
        <v/>
      </c>
      <c r="AE157" s="1497" t="n"/>
      <c r="AF157" s="1497">
        <f>Z157-AE157</f>
        <v/>
      </c>
      <c r="AG157" s="1497">
        <f>IFERROR(100*AF157/AE157,"")</f>
        <v/>
      </c>
      <c r="AH157" s="1497" t="n"/>
      <c r="AI157" s="1497">
        <f>Z157-AH157</f>
        <v/>
      </c>
      <c r="AJ157" s="1497">
        <f>IFERROR(100*AI157/AH157,"")</f>
        <v/>
      </c>
      <c r="AK157" s="1497">
        <f>IF(_epmOfflineCondition_,0,EPMRetrieveData(,AK$25,AK$26,AK$27,AK$28,AK$29,AK$30,$U157,$E$23,$D$25,$D$26,$D$27,$C$21,$D$28))</f>
        <v/>
      </c>
      <c r="AL157" s="1497">
        <f>AK157-Z157</f>
        <v/>
      </c>
      <c r="AM157" s="1497">
        <f>IFERROR(100*AL157/AK157,"")</f>
        <v/>
      </c>
      <c r="AN157" s="1497">
        <f>IF(_epmOfflineCondition_,0,EPMRetrieveData(,AN$25,AN$26,AN$27,AN$28,AN$29,AN$30,$U157,$E$23,$D$25,$D$26,$D$27,$C$21,$D$28))</f>
        <v/>
      </c>
      <c r="AO157" s="1497">
        <f>AN157-AA157</f>
        <v/>
      </c>
      <c r="AP157" s="1497">
        <f>IFERROR(100*AO157/AN157,"")</f>
        <v/>
      </c>
      <c r="AQ157" s="1497" t="n"/>
      <c r="AR157" s="1497">
        <f>-AQ157</f>
        <v/>
      </c>
      <c r="AS157" s="1497">
        <f>AA157-AR157</f>
        <v/>
      </c>
      <c r="AT157" s="1499">
        <f>IFERROR(100*AS157/AQ157,"")</f>
        <v/>
      </c>
      <c r="AU157" s="1500" t="n"/>
    </row>
    <row r="158" ht="14.25" customHeight="1" s="1181">
      <c r="S158" s="462">
        <f>IF(_epmOfflineCondition_," 售电标准气耗",EPMMemberDesc(U158))</f>
        <v/>
      </c>
      <c r="U158" s="197" t="inlineStr">
        <is>
          <t>A03455</t>
        </is>
      </c>
      <c r="V158" s="197">
        <f>IF(_epmOfflineCondition_,"A03455",EPMOlapMemberO(U158,"[C_ACCOUNT].[PARENTH1].[A03455]","A03455 -  售电标准气耗","","000"))</f>
        <v/>
      </c>
      <c r="X158" s="1495" t="inlineStr">
        <is>
          <t>售电标准气耗</t>
        </is>
      </c>
      <c r="Y158" s="1496" t="inlineStr">
        <is>
          <t>立方米/千千瓦时</t>
        </is>
      </c>
      <c r="Z158" s="1497">
        <f>IFERROR(Z156/Z112,0)</f>
        <v/>
      </c>
      <c r="AA158" s="1497">
        <f>IFERROR(AA156/AA112,0)</f>
        <v/>
      </c>
      <c r="AB158" s="1497" t="n"/>
      <c r="AC158" s="1497">
        <f>IFERROR(AA158-AB158,0)</f>
        <v/>
      </c>
      <c r="AD158" s="1498">
        <f>IFERROR(100*AC158/AB158,"")</f>
        <v/>
      </c>
      <c r="AE158" s="1497" t="n"/>
      <c r="AF158" s="1497">
        <f>Z158-AE158</f>
        <v/>
      </c>
      <c r="AG158" s="1497">
        <f>IFERROR(100*AF158/AE158,"")</f>
        <v/>
      </c>
      <c r="AH158" s="1497" t="n"/>
      <c r="AI158" s="1497">
        <f>Z158-AH158</f>
        <v/>
      </c>
      <c r="AJ158" s="1497">
        <f>IFERROR(100*AI158/AH158,"")</f>
        <v/>
      </c>
      <c r="AK158" s="1497">
        <f>IFERROR(AK156/AK112,0)</f>
        <v/>
      </c>
      <c r="AL158" s="1497">
        <f>AK158-Z158</f>
        <v/>
      </c>
      <c r="AM158" s="1497">
        <f>IFERROR(100*AL158/AK158,"")</f>
        <v/>
      </c>
      <c r="AN158" s="1497">
        <f>IFERROR(AN156/AN112,0)</f>
        <v/>
      </c>
      <c r="AO158" s="1497">
        <f>AN158-AA158</f>
        <v/>
      </c>
      <c r="AP158" s="1497">
        <f>IFERROR(100*AO158/AN158,"")</f>
        <v/>
      </c>
      <c r="AQ158" s="1497" t="n"/>
      <c r="AR158" s="1497">
        <f>-AQ158</f>
        <v/>
      </c>
      <c r="AS158" s="1497">
        <f>AA158-AR158</f>
        <v/>
      </c>
      <c r="AT158" s="1499">
        <f>IFERROR(100*AS158/AQ158,"")</f>
        <v/>
      </c>
      <c r="AU158" s="1500" t="n"/>
    </row>
    <row r="159" ht="17.55" customHeight="1" s="1181">
      <c r="S159" s="462">
        <f>IF(_epmOfflineCondition_," 供热标准气耗",EPMMemberDesc(U159))</f>
        <v/>
      </c>
      <c r="U159" s="197" t="inlineStr">
        <is>
          <t>A03456</t>
        </is>
      </c>
      <c r="V159" s="197">
        <f>IF(_epmOfflineCondition_,"A03456",EPMOlapMemberO(U159,"[C_ACCOUNT].[PARENTH1].[A03456]","A03456 -  供热标准气耗","","000"))</f>
        <v/>
      </c>
      <c r="X159" s="1504" t="inlineStr">
        <is>
          <t>供热标准气耗</t>
        </is>
      </c>
      <c r="Y159" s="1505" t="inlineStr">
        <is>
          <t>立方米/千千瓦时</t>
        </is>
      </c>
      <c r="Z159" s="1506">
        <f>IFERROR(Z157/Z119,0)</f>
        <v/>
      </c>
      <c r="AA159" s="1506">
        <f>IFERROR(AA157/AA119,0)</f>
        <v/>
      </c>
      <c r="AB159" s="1506" t="n"/>
      <c r="AC159" s="1506">
        <f>IFERROR(AA159-AB159,0)</f>
        <v/>
      </c>
      <c r="AD159" s="1507">
        <f>IFERROR(100*AC159/AB159,"")</f>
        <v/>
      </c>
      <c r="AE159" s="1506" t="n"/>
      <c r="AF159" s="1506">
        <f>Z159-AE159</f>
        <v/>
      </c>
      <c r="AG159" s="1506">
        <f>IFERROR(100*AF159/AE159,"")</f>
        <v/>
      </c>
      <c r="AH159" s="1506" t="n"/>
      <c r="AI159" s="1506">
        <f>Z159-AH159</f>
        <v/>
      </c>
      <c r="AJ159" s="1506">
        <f>IFERROR(100*AI159/AH159,"")</f>
        <v/>
      </c>
      <c r="AK159" s="1506">
        <f>IFERROR(AK157/AK119,0)</f>
        <v/>
      </c>
      <c r="AL159" s="1506">
        <f>AK159-Z159</f>
        <v/>
      </c>
      <c r="AM159" s="1506">
        <f>IFERROR(100*AL159/AK159,"")</f>
        <v/>
      </c>
      <c r="AN159" s="1506">
        <f>IFERROR(AN157/AN119,0)</f>
        <v/>
      </c>
      <c r="AO159" s="1506">
        <f>AN159-AA159</f>
        <v/>
      </c>
      <c r="AP159" s="1506">
        <f>IFERROR(100*AO159/AN159,"")</f>
        <v/>
      </c>
      <c r="AQ159" s="1506" t="n"/>
      <c r="AR159" s="1497">
        <f>-AQ159</f>
        <v/>
      </c>
      <c r="AS159" s="1497">
        <f>AA159-AR159</f>
        <v/>
      </c>
      <c r="AT159" s="1508">
        <f>IFERROR(100*AS159/AQ159,"")</f>
        <v/>
      </c>
      <c r="AU159" s="1509" t="n"/>
    </row>
    <row r="160">
      <c r="Q160" s="1121" t="inlineStr">
        <is>
          <t>本年累计：</t>
        </is>
      </c>
      <c r="R160" s="1121" t="n"/>
      <c r="S160" s="248">
        <f>IF(_epmOfflineCondition_,"火力发电",EPMMemberDesc(S161))</f>
        <v/>
      </c>
      <c r="T160" s="248">
        <f>IF(_epmOfflineCondition_,"售热",EPMMemberDesc(T161))</f>
        <v/>
      </c>
      <c r="U160" s="248">
        <f>IF(_epmOfflineCondition_,"发电企业电力板块",EPMMemberDesc(U161))</f>
        <v/>
      </c>
    </row>
    <row r="161">
      <c r="Q161" s="1121" t="n"/>
      <c r="R161" s="1121" t="n"/>
      <c r="S161" s="248" t="inlineStr">
        <is>
          <t>ZM0300101</t>
        </is>
      </c>
      <c r="T161" s="248" t="inlineStr">
        <is>
          <t>ZM0300201</t>
        </is>
      </c>
      <c r="U161" s="1121" t="inlineStr">
        <is>
          <t>ZM030</t>
        </is>
      </c>
      <c r="Z161" s="256" t="inlineStr">
        <is>
          <t>新增校验</t>
        </is>
      </c>
      <c r="AA161" s="1510">
        <f>AA123+AA130-AA135</f>
        <v/>
      </c>
    </row>
    <row r="162">
      <c r="Q162" s="1121" t="inlineStr">
        <is>
          <t>主营业务成本-燃料费</t>
        </is>
      </c>
      <c r="R162" s="1121" t="inlineStr">
        <is>
          <t>A02801010101</t>
        </is>
      </c>
      <c r="S162" s="248">
        <f>IF(_epmOfflineCondition_,0,EPMRetrieveData(,R162,$S$161,$Z$25,$Z$26,$Z$27,$Z$28,$D$21,$D$22,$D$23,$D$25,$D$26,$D$27,$D$28))</f>
        <v/>
      </c>
      <c r="T162" s="248">
        <f>IF(_epmOfflineCondition_,0,EPMRetrieveData(,R162,$T$161,$Z$25,$Z$26,$Z$27,$Z$28,$D$21,$D$22,$D$23,$D$25,$D$26,$D$27,$D$28))</f>
        <v/>
      </c>
      <c r="U162" s="248">
        <f>IF(_epmOfflineCondition_,0,EPMRetrieveData(,R162,$U$161,$Z$25,$Z$26,$Z$27,$Z$28,$D$21,$D$22,$D$23,$D$25,$D$26,$D$27,$D$28))</f>
        <v/>
      </c>
      <c r="Z162" s="256" t="n"/>
      <c r="AA162" s="1510">
        <f>AA124+AA131-AA136</f>
        <v/>
      </c>
    </row>
    <row r="163">
      <c r="Q163" s="1121" t="inlineStr">
        <is>
          <t>主营业务成本-燃煤费</t>
        </is>
      </c>
      <c r="R163" s="1121" t="inlineStr">
        <is>
          <t>A0280101010101</t>
        </is>
      </c>
      <c r="S163" s="248">
        <f>IF(_epmOfflineCondition_,0,EPMRetrieveData(,R163,$S$161,$Z$25,$Z$26,$Z$27,$Z$28,$D$21,$D$22,$D$23,$D$25,$D$26,$D$27,$D$28))</f>
        <v/>
      </c>
      <c r="T163" s="248">
        <f>IF(_epmOfflineCondition_,0,EPMRetrieveData(,R163,$T$161,$Z$25,$Z$26,$Z$27,$Z$28,$D$21,$D$22,$D$23,$D$25,$D$26,$D$27,$D$28))</f>
        <v/>
      </c>
      <c r="U163" s="248">
        <f>IF(_epmOfflineCondition_,0,EPMRetrieveData(,R163,$U$161,$Z$25,$Z$26,$Z$27,$Z$28,$D$21,$D$22,$D$23,$D$25,$D$26,$D$27,$D$28))</f>
        <v/>
      </c>
      <c r="Z163" s="256" t="n"/>
      <c r="AA163" s="256" t="inlineStr">
        <is>
          <t>AA146+AA147=燃料收支表的天然煤本期入炉量</t>
        </is>
      </c>
    </row>
    <row r="164">
      <c r="Q164" s="1121" t="inlineStr">
        <is>
          <t>主营业务成本-燃油费</t>
        </is>
      </c>
      <c r="R164" s="1121" t="inlineStr">
        <is>
          <t>A0280101010103</t>
        </is>
      </c>
      <c r="S164" s="248">
        <f>IF(_epmOfflineCondition_,0,EPMRetrieveData(,R164,$S$161,$Z$25,$Z$26,$Z$27,$Z$28,$D$21,$D$22,$D$23,$D$25,$D$26,$D$27,$D$28))</f>
        <v/>
      </c>
      <c r="T164" s="248">
        <f>IF(_epmOfflineCondition_,0,EPMRetrieveData(,R164,$T$161,$Z$25,$Z$26,$Z$27,$Z$28,$D$21,$D$22,$D$23,$D$25,$D$26,$D$27,$D$28))</f>
        <v/>
      </c>
      <c r="U164" s="248">
        <f>IF(_epmOfflineCondition_,0,EPMRetrieveData(,R164,$U$161,$Z$25,$Z$26,$Z$27,$Z$28,$D$21,$D$22,$D$23,$D$25,$D$26,$D$27,$D$28))</f>
        <v/>
      </c>
      <c r="Z164" s="256" t="n"/>
      <c r="AA164" s="256" t="inlineStr">
        <is>
          <t>AA149+AA150=燃料收支表的天然油本期入炉量</t>
        </is>
      </c>
    </row>
    <row r="165">
      <c r="Q165" s="1121" t="n"/>
      <c r="R165" s="1121" t="n"/>
      <c r="S165" s="248" t="n"/>
      <c r="T165" s="1121" t="n"/>
      <c r="U165" s="1121" t="n"/>
      <c r="Z165" s="256" t="n"/>
      <c r="AA165" s="256" t="inlineStr">
        <is>
          <t>AA152+AA153=燃料收支表的天然气本期入炉量</t>
        </is>
      </c>
    </row>
    <row r="166">
      <c r="Q166" s="1121" t="n"/>
      <c r="R166" s="1121" t="n"/>
      <c r="S166" s="248" t="n"/>
      <c r="T166" s="1121" t="n"/>
      <c r="U166" s="1121" t="n"/>
    </row>
    <row r="167">
      <c r="Q167" s="1121" t="n"/>
      <c r="R167" s="1121" t="n"/>
      <c r="S167" s="248" t="inlineStr">
        <is>
          <t>ZM03001</t>
        </is>
      </c>
      <c r="T167" s="1121" t="n"/>
      <c r="U167" s="1121" t="n"/>
    </row>
    <row r="168">
      <c r="Q168" s="1121" t="inlineStr">
        <is>
          <t>收入明细表-售电收入</t>
        </is>
      </c>
      <c r="R168" s="249" t="inlineStr">
        <is>
          <t>A0270101</t>
        </is>
      </c>
      <c r="S168" s="248">
        <f>IF(_epmOfflineCondition_,94272738.5,EPMRetrieveData(,R168,$S$167,$Z$25,$Z$26,$Z$27,$Z$28,$D$21,$D$22,$D$23,$D$25,$D$26,$D$27,$D$28))</f>
        <v/>
      </c>
      <c r="T168" s="1121" t="n"/>
      <c r="U168" s="1121" t="n"/>
    </row>
    <row r="169">
      <c r="Q169" s="1121" t="inlineStr">
        <is>
          <t>收入明细表-售电量</t>
        </is>
      </c>
      <c r="R169" s="249" t="inlineStr">
        <is>
          <t>A0270201</t>
        </is>
      </c>
      <c r="S169" s="248">
        <f>IF(_epmOfflineCondition_,313523.37,EPMRetrieveData(,R169,$S$167,$Z$25,$Z$26,$Z$27,$Z$28,$D$21,$D$22,$D$23,$D$25,$D$26,$D$27,$D$28))</f>
        <v/>
      </c>
      <c r="T169" s="1121" t="n"/>
      <c r="U169" s="1121" t="n"/>
    </row>
    <row r="170">
      <c r="Q170" s="1121" t="inlineStr">
        <is>
          <t>收入明细表-售热收入</t>
        </is>
      </c>
      <c r="R170" s="249" t="inlineStr">
        <is>
          <t>A0270102</t>
        </is>
      </c>
      <c r="S170" s="248">
        <f>IF(_epmOfflineCondition_,0,EPMRetrieveData(,R170,$S$167,$Z$25,$Z$26,$Z$27,$Z$28,$D$21,$D$22,$D$23,$D$25,$D$26,$D$27,$D$28))</f>
        <v/>
      </c>
      <c r="T170" s="1121" t="n"/>
      <c r="U170" s="1121" t="n"/>
    </row>
    <row r="171">
      <c r="Q171" s="1121" t="inlineStr">
        <is>
          <t>收入明细表-售热售气量</t>
        </is>
      </c>
      <c r="R171" s="249" t="inlineStr">
        <is>
          <t>A0270203</t>
        </is>
      </c>
      <c r="S171" s="248">
        <f>IF(_epmOfflineCondition_,0,EPMRetrieveData(,R171,$S$167,$Z$25,$Z$26,$Z$27,$Z$28,$D$21,$D$22,$D$23,$D$25,$D$26,$D$27,$D$28))</f>
        <v/>
      </c>
      <c r="T171" s="1121" t="n"/>
      <c r="U171" s="1121" t="n"/>
    </row>
    <row r="172">
      <c r="Q172" s="1121" t="n"/>
      <c r="R172" s="1121" t="n"/>
      <c r="S172" s="248" t="inlineStr">
        <is>
          <t>ZM04301</t>
        </is>
      </c>
      <c r="T172" s="1121" t="n"/>
      <c r="U172" s="1121" t="n"/>
    </row>
    <row r="173">
      <c r="Q173" s="1121" t="n"/>
      <c r="R173" s="248" t="inlineStr">
        <is>
          <t>ZI03102</t>
        </is>
      </c>
      <c r="S173" s="248" t="inlineStr">
        <is>
          <t>ZI03103</t>
        </is>
      </c>
      <c r="T173" s="1121" t="n"/>
      <c r="U173" s="1121" t="n"/>
    </row>
    <row r="174">
      <c r="Q174" s="1511" t="inlineStr">
        <is>
          <t>标准煤（不含税）-煤折：累计</t>
        </is>
      </c>
      <c r="R174" s="249" t="inlineStr">
        <is>
          <t>A093040201</t>
        </is>
      </c>
      <c r="S174" s="248">
        <f>IF(_epmOfflineCondition_,0,EPMRetrieveData(,$R174,R$173,$S$172,$Z$25,$Z$26,$Z$27,$Z$28,$D$21,$D$22,$D$23,$D$25,$D$26,$D$27))</f>
        <v/>
      </c>
      <c r="T174" s="248">
        <f>IF(_epmOfflineCondition_,0,EPMRetrieveData(,$R174,S$173,$S$172,$Z$25,$Z$26,$Z$27,$Z$28,$D$21,$D$22,$D$23,$D$25,$D$26,$D$27))</f>
        <v/>
      </c>
      <c r="U174" s="1121" t="n"/>
    </row>
    <row r="175">
      <c r="K175" s="1199" t="inlineStr">
        <is>
          <t>煤折-当月</t>
        </is>
      </c>
      <c r="L175" s="1512" t="inlineStr">
        <is>
          <t>A093040101</t>
        </is>
      </c>
      <c r="Q175" s="1511" t="inlineStr">
        <is>
          <t>标准煤（不含税）-油折：累计</t>
        </is>
      </c>
      <c r="R175" s="249" t="inlineStr">
        <is>
          <t>A093040202</t>
        </is>
      </c>
      <c r="S175" s="248">
        <f>IF(_epmOfflineCondition_,0,EPMRetrieveData(,$R175,R$173,$S$172,$Z$25,$Z$26,$Z$27,$Z$28,$D$21,$D$22,$D$23,$D$25,$D$26,$D$27))</f>
        <v/>
      </c>
      <c r="T175" s="248">
        <f>IF(_epmOfflineCondition_,0,EPMRetrieveData(,$R175,S$173,$S$172,$Z$25,$Z$26,$Z$27,$Z$28,$D$21,$D$22,$D$23,$D$25,$D$26,$D$27))</f>
        <v/>
      </c>
      <c r="U175" s="1121" t="n"/>
    </row>
    <row r="176">
      <c r="H176" s="1513" t="n"/>
      <c r="K176" s="1334" t="inlineStr">
        <is>
          <t>煤折-累计</t>
        </is>
      </c>
      <c r="L176" s="1512" t="inlineStr">
        <is>
          <t>A093040201</t>
        </is>
      </c>
      <c r="Q176" s="1121" t="n"/>
      <c r="R176" s="1121" t="n"/>
      <c r="S176" s="248" t="n"/>
      <c r="T176" s="1121" t="n"/>
      <c r="U176" s="1121" t="n"/>
    </row>
    <row r="177">
      <c r="H177" s="1513" t="n"/>
      <c r="K177" s="1513" t="inlineStr">
        <is>
          <t>油折-当月</t>
        </is>
      </c>
      <c r="L177" s="1512" t="inlineStr">
        <is>
          <t>A093040102</t>
        </is>
      </c>
      <c r="Q177" s="1121" t="inlineStr">
        <is>
          <t>本月数：</t>
        </is>
      </c>
      <c r="R177" s="1121" t="n"/>
      <c r="S177" s="248">
        <f>IF(_epmOfflineCondition_,"火力发电",EPMMemberDesc(S178))</f>
        <v/>
      </c>
      <c r="T177" s="248">
        <f>IF(_epmOfflineCondition_,"售热",EPMMemberDesc(T178))</f>
        <v/>
      </c>
      <c r="U177" s="1121" t="n"/>
    </row>
    <row r="178">
      <c r="H178" s="1513" t="n"/>
      <c r="K178" s="1334" t="inlineStr">
        <is>
          <t>油折-累计</t>
        </is>
      </c>
      <c r="L178" s="1512" t="inlineStr">
        <is>
          <t>A093040202</t>
        </is>
      </c>
      <c r="Q178" s="1121" t="n"/>
      <c r="R178" s="1121" t="inlineStr">
        <is>
          <t>Periodic</t>
        </is>
      </c>
      <c r="S178" s="248" t="inlineStr">
        <is>
          <t>ZM0300101</t>
        </is>
      </c>
      <c r="T178" s="248" t="inlineStr">
        <is>
          <t>ZM0300201</t>
        </is>
      </c>
      <c r="U178" s="1121" t="inlineStr">
        <is>
          <t>ZM030</t>
        </is>
      </c>
    </row>
    <row r="179">
      <c r="Q179" s="1121" t="inlineStr">
        <is>
          <t>主营业务成本-燃料费</t>
        </is>
      </c>
      <c r="R179" s="1121" t="inlineStr">
        <is>
          <t>A02801010101</t>
        </is>
      </c>
      <c r="S179" s="248">
        <f>IF(_epmOfflineCondition_,0,EPMRetrieveData(,$R179,$S$178,$Z$25,$Z$26,$R$178,$Z$28,$D$21,$D$22,$D$23,$D$25,$D$26,$D$27,$D$28))</f>
        <v/>
      </c>
      <c r="T179" s="248">
        <f>IF(_epmOfflineCondition_,0,EPMRetrieveData(,$R179,$T$178,$Z$25,$Z$26,$R$178,$Z$28,$D$21,$D$22,$D$23,$D$25,$D$26,$D$27,$D$28))</f>
        <v/>
      </c>
      <c r="U179" s="248">
        <f>IF(_epmOfflineCondition_,0,EPMRetrieveData(,$R179,$U$178,$Z$25,$Z$26,$R$178,$Z$28,$D$21,$D$22,$D$23,$D$25,$D$26,$D$27,$D$28))</f>
        <v/>
      </c>
    </row>
    <row r="180">
      <c r="Q180" s="1121" t="inlineStr">
        <is>
          <t>主营业务成本-燃煤费</t>
        </is>
      </c>
      <c r="R180" s="1121" t="inlineStr">
        <is>
          <t>A0280101010101</t>
        </is>
      </c>
      <c r="S180" s="248">
        <f>IF(_epmOfflineCondition_,0,EPMRetrieveData(,$R180,$S$178,$Z$25,$Z$26,$R$178,$Z$28,$D$21,$D$22,$D$23,$D$25,$D$26,$D$27,$D$28))</f>
        <v/>
      </c>
      <c r="T180" s="248">
        <f>IF(_epmOfflineCondition_,0,EPMRetrieveData(,$R180,$T$178,$Z$25,$Z$26,$R$178,$Z$28,$D$21,$D$22,$D$23,$D$25,$D$26,$D$27,$D$28))</f>
        <v/>
      </c>
      <c r="U180" s="248">
        <f>IF(_epmOfflineCondition_,0,EPMRetrieveData(,$R180,$U$178,$Z$25,$Z$26,$R$178,$Z$28,$D$21,$D$22,$D$23,$D$25,$D$26,$D$27,$D$28))</f>
        <v/>
      </c>
    </row>
    <row r="181">
      <c r="Q181" s="1121" t="inlineStr">
        <is>
          <t>主营业务成本-燃油费</t>
        </is>
      </c>
      <c r="R181" s="1121" t="inlineStr">
        <is>
          <t>A0280101010103</t>
        </is>
      </c>
      <c r="S181" s="248">
        <f>IF(_epmOfflineCondition_,0,EPMRetrieveData(,$R181,$S$178,$Z$25,$Z$26,$R$178,$Z$28,$D$21,$D$22,$D$23,$D$25,$D$26,$D$27,$D$28))</f>
        <v/>
      </c>
      <c r="T181" s="248">
        <f>IF(_epmOfflineCondition_,0,EPMRetrieveData(,$R181,$T$178,$Z$25,$Z$26,$R$178,$Z$28,$D$21,$D$22,$D$23,$D$25,$D$26,$D$27,$D$28))</f>
        <v/>
      </c>
      <c r="U181" s="248">
        <f>IF(_epmOfflineCondition_,0,EPMRetrieveData(,$R181,$U$178,$Z$25,$Z$26,$R$178,$Z$28,$D$21,$D$22,$D$23,$D$25,$D$26,$D$27,$D$28))</f>
        <v/>
      </c>
    </row>
    <row r="182">
      <c r="Q182" s="1121" t="n"/>
      <c r="R182" s="1121" t="n"/>
      <c r="S182" s="248" t="n"/>
      <c r="T182" s="1121" t="n"/>
      <c r="U182" s="1121" t="n"/>
    </row>
    <row r="183">
      <c r="Q183" s="1121" t="n"/>
      <c r="R183" s="1121" t="n"/>
      <c r="S183" s="248" t="n"/>
      <c r="T183" s="1121" t="inlineStr">
        <is>
          <t>上月数</t>
        </is>
      </c>
      <c r="U183" s="1121" t="n"/>
    </row>
    <row r="184">
      <c r="Q184" s="1121" t="n"/>
      <c r="R184" s="1121" t="inlineStr">
        <is>
          <t>Periodic</t>
        </is>
      </c>
      <c r="S184" s="248" t="inlineStr">
        <is>
          <t>ZM03001</t>
        </is>
      </c>
      <c r="T184" s="1121" t="n"/>
      <c r="U184" s="1121" t="n"/>
    </row>
    <row r="185">
      <c r="Q185" s="1121" t="inlineStr">
        <is>
          <t>收入明细表-售电收入</t>
        </is>
      </c>
      <c r="R185" s="249" t="inlineStr">
        <is>
          <t>A0270101</t>
        </is>
      </c>
      <c r="S185" s="248">
        <f>IF(_epmOfflineCondition_,34684648.3,EPMRetrieveData(,R185,$S$184,$Z$25,$Z$26,$R$184,$Z$28,$D$21,$D$22,$D$23,$D$25,$D$26,$D$27,$D$28))</f>
        <v/>
      </c>
      <c r="T185" s="1234">
        <f>IF(_epmOfflineCondition_,31089825.32,EPMRetrieveData(,R185,$S$184,$Z$25,$I$12,$R$184,$Z$28,$D$21,$D$22,$D$23,$D$25,$D$26,$D$27,$D$28))</f>
        <v/>
      </c>
      <c r="U185" s="1121" t="n"/>
    </row>
    <row r="186">
      <c r="Q186" s="1121" t="inlineStr">
        <is>
          <t>收入明细表-售电量</t>
        </is>
      </c>
      <c r="R186" s="249" t="inlineStr">
        <is>
          <t>A0270201</t>
        </is>
      </c>
      <c r="S186" s="248">
        <f>IF(_epmOfflineCondition_,119939.12,EPMRetrieveData(,R186,$S$184,$Z$25,$Z$26,$R$184,$Z$28,$D$21,$D$22,$D$23,$D$25,$D$26,$D$27,$D$28))</f>
        <v/>
      </c>
      <c r="T186" s="1234">
        <f>IF(_epmOfflineCondition_,81757.89,EPMRetrieveData(,R186,$S$184,$Z$25,$I$12,$R$184,$Z$28,$D$21,$D$22,$D$23,$D$25,$D$26,$D$27,$D$28))</f>
        <v/>
      </c>
      <c r="U186" s="1121" t="n"/>
    </row>
    <row r="187">
      <c r="Q187" s="1121" t="inlineStr">
        <is>
          <t>收入明细表-售热收入</t>
        </is>
      </c>
      <c r="R187" s="249" t="inlineStr">
        <is>
          <t>A0270102</t>
        </is>
      </c>
      <c r="S187" s="248">
        <f>IF(_epmOfflineCondition_,0,EPMRetrieveData(,R187,$S$184,$Z$25,$Z$26,$R$184,$Z$28,$D$21,$D$22,$D$23,$D$25,$D$26,$D$27,$D$28))</f>
        <v/>
      </c>
      <c r="T187" s="1121" t="n"/>
      <c r="U187" s="1121" t="n"/>
    </row>
    <row r="188">
      <c r="Q188" s="1121" t="inlineStr">
        <is>
          <t>收入明细表-售热售气量</t>
        </is>
      </c>
      <c r="R188" s="249" t="inlineStr">
        <is>
          <t>A0270203</t>
        </is>
      </c>
      <c r="S188" s="248">
        <f>IF(_epmOfflineCondition_,0,EPMRetrieveData(,R188,$S$184,$Z$25,$Z$26,$R$184,$Z$28,$D$21,$D$22,$D$23,$D$25,$D$26,$D$27,$D$28))</f>
        <v/>
      </c>
      <c r="T188" s="1121" t="n"/>
      <c r="U188" s="1121" t="n"/>
    </row>
    <row r="189">
      <c r="Q189" s="1121" t="n"/>
      <c r="R189" s="1121" t="n"/>
      <c r="S189" s="1121" t="n"/>
      <c r="T189" s="248" t="inlineStr">
        <is>
          <t>ZM04301</t>
        </is>
      </c>
      <c r="U189" s="1121" t="n"/>
    </row>
    <row r="190">
      <c r="Q190" s="1121" t="n"/>
      <c r="R190" s="1121" t="n"/>
      <c r="S190" s="248" t="inlineStr">
        <is>
          <t>ZI03102</t>
        </is>
      </c>
      <c r="T190" s="248" t="inlineStr">
        <is>
          <t>ZI03103</t>
        </is>
      </c>
      <c r="U190" s="1121" t="n"/>
    </row>
    <row r="191">
      <c r="J191" s="1199" t="n"/>
      <c r="K191" s="1512" t="n"/>
      <c r="L191" s="1512" t="n"/>
      <c r="Q191" s="1511" t="inlineStr">
        <is>
          <t>标准煤（不含税）-煤折：当月</t>
        </is>
      </c>
      <c r="R191" s="249" t="inlineStr">
        <is>
          <t>A093040101</t>
        </is>
      </c>
      <c r="S191" s="248">
        <f>IF(_epmOfflineCondition_,0,EPMRetrieveData(,$R191,S$190,$T$189,$Z$25,$Z$26,$Z$27,$Z$28,$D$21,$D$22,$D$23,$D$25,$D$26,$D$27))</f>
        <v/>
      </c>
      <c r="T191" s="248">
        <f>IF(_epmOfflineCondition_,0,EPMRetrieveData(,$R191,T$190,$T$189,$Z$25,$Z$26,$Z$27,$Z$28,$D$21,$D$22,$D$23,$D$25,$D$26,$D$27))</f>
        <v/>
      </c>
      <c r="U191" s="1121" t="n"/>
    </row>
    <row r="192">
      <c r="J192" s="1334" t="n"/>
      <c r="K192" s="1512" t="n"/>
      <c r="L192" s="1512" t="n"/>
      <c r="Q192" s="1511" t="inlineStr">
        <is>
          <t>标准煤（不含税）-油折：当月</t>
        </is>
      </c>
      <c r="R192" s="249" t="inlineStr">
        <is>
          <t>A093040102</t>
        </is>
      </c>
      <c r="S192" s="248">
        <f>IF(_epmOfflineCondition_,0,EPMRetrieveData(,$R192,S$190,$T$189,$Z$25,$Z$26,$Z$27,$Z$28,$D$21,$D$22,$D$23,$D$25,$D$26,$D$27))</f>
        <v/>
      </c>
      <c r="T192" s="248">
        <f>IF(_epmOfflineCondition_,0,EPMRetrieveData(,$R192,T$190,$T$189,$Z$25,$Z$26,$Z$27,$Z$28,$D$21,$D$22,$D$23,$D$25,$D$26,$D$27))</f>
        <v/>
      </c>
      <c r="U192" s="1121" t="n"/>
    </row>
    <row r="193">
      <c r="J193" s="1513" t="n"/>
      <c r="K193" s="1512" t="n"/>
    </row>
    <row r="194">
      <c r="J194" s="1334" t="n"/>
      <c r="K194" s="1512" t="n"/>
      <c r="Q194" s="1121" t="n"/>
      <c r="R194" s="1121" t="inlineStr">
        <is>
          <t>YTD</t>
        </is>
      </c>
      <c r="S194" s="1514" t="n"/>
    </row>
    <row r="195">
      <c r="Q195" s="1121" t="inlineStr">
        <is>
          <t>收入明细表-售电量（上网电量）</t>
        </is>
      </c>
      <c r="R195" s="248" t="inlineStr">
        <is>
          <t>A0270201</t>
        </is>
      </c>
      <c r="S195" s="1514" t="n"/>
    </row>
    <row r="196">
      <c r="Q196" s="1121" t="inlineStr">
        <is>
          <t>收入明细表-售热收入</t>
        </is>
      </c>
      <c r="R196" s="248" t="inlineStr">
        <is>
          <t>A0270102</t>
        </is>
      </c>
      <c r="S196" s="1514" t="n"/>
    </row>
    <row r="197">
      <c r="Q197" s="1121">
        <f>IF(_epmOfflineCondition_,"火力发电",EPMMemberDesc(R197))</f>
        <v/>
      </c>
      <c r="R197" s="248" t="inlineStr">
        <is>
          <t>ZM0300101</t>
        </is>
      </c>
      <c r="S197" s="1514">
        <f>IF(_epmOfflineCondition_,0,EPMRetrieveData(,$R195,$R$197,$Z$25,$Z$26,$R$194,$Z$28,$D$21,$D$22,$D$23,$D$25,$D$26,$D$27,$D$28))</f>
        <v/>
      </c>
    </row>
    <row r="198">
      <c r="Q198" s="1121">
        <f>IF(_epmOfflineCondition_,"风力发电",EPMMemberDesc(R198))</f>
        <v/>
      </c>
      <c r="R198" s="248" t="inlineStr">
        <is>
          <t>ZM0300102</t>
        </is>
      </c>
      <c r="S198" s="1514">
        <f>IF(_epmOfflineCondition_,313523.37,EPMRetrieveData(,$R195,$R$198,$Z$25,$Z$26,$R$194,$Z$28,$D$21,$D$22,$D$23,$D$25,$D$26,$D$27,$D$28))</f>
        <v/>
      </c>
    </row>
    <row r="199">
      <c r="Q199" s="1121">
        <f>IF(_epmOfflineCondition_,"光伏发电",EPMMemberDesc(R199))</f>
        <v/>
      </c>
      <c r="R199" s="248" t="inlineStr">
        <is>
          <t>ZM0300103</t>
        </is>
      </c>
      <c r="S199" s="1514">
        <f>IF(_epmOfflineCondition_,0,EPMRetrieveData(,$R195,$R$199,$Z$25,$Z$26,$R$194,$Z$28,$D$21,$D$22,$D$23,$D$25,$D$26,$D$27,$D$28))</f>
        <v/>
      </c>
    </row>
    <row r="200">
      <c r="Q200" s="1121">
        <f>IF(_epmOfflineCondition_,"燃气发电",EPMMemberDesc(R200))</f>
        <v/>
      </c>
      <c r="R200" s="248" t="inlineStr">
        <is>
          <t>ZM0300104</t>
        </is>
      </c>
      <c r="S200" s="1514">
        <f>IF(_epmOfflineCondition_,0,EPMRetrieveData(,$R195,$R$200,$Z$25,$Z$26,$R$194,$Z$28,$D$21,$D$22,$D$23,$D$25,$D$26,$D$27,$D$28))</f>
        <v/>
      </c>
    </row>
    <row r="201">
      <c r="Q201" s="1121">
        <f>IF(_epmOfflineCondition_,"水力发电",EPMMemberDesc(R201))</f>
        <v/>
      </c>
      <c r="R201" s="248" t="inlineStr">
        <is>
          <t>ZM0300105</t>
        </is>
      </c>
      <c r="S201" s="1514">
        <f>IF(_epmOfflineCondition_,0,EPMRetrieveData(,$R195,$R$201,$Z$25,$Z$26,$R$194,$Z$28,$D$21,$D$22,$D$23,$D$25,$D$26,$D$27,$D$28))</f>
        <v/>
      </c>
    </row>
    <row r="202">
      <c r="Q202" s="1121">
        <f>IF(_epmOfflineCondition_,"其他",EPMMemberDesc(R202))</f>
        <v/>
      </c>
      <c r="R202" s="248" t="inlineStr">
        <is>
          <t>ZM0300106</t>
        </is>
      </c>
      <c r="S202" s="1514">
        <f>IF(_epmOfflineCondition_,0,EPMRetrieveData(,$R195,$R$202,$Z$25,$Z$26,$R$194,$Z$28,$D$21,$D$22,$D$23,$D$25,$D$26,$D$27,$D$28))</f>
        <v/>
      </c>
    </row>
    <row r="203">
      <c r="Q203" s="1121" t="n"/>
      <c r="R203" s="248" t="n"/>
      <c r="S203" s="1514" t="n"/>
    </row>
    <row r="204">
      <c r="Z204" s="434" t="inlineStr">
        <is>
          <t>校验</t>
        </is>
      </c>
      <c r="AA204" s="1515">
        <f>AA123+AA130-AA135</f>
        <v/>
      </c>
    </row>
    <row r="205">
      <c r="Z205" s="434" t="inlineStr">
        <is>
          <t>校验</t>
        </is>
      </c>
      <c r="AA205" s="1515">
        <f>AA124+AA131-AA136</f>
        <v/>
      </c>
    </row>
  </sheetData>
  <sheetProtection selectLockedCells="0" selectUnlockedCells="0" algorithmName="SHA-512" sheet="1" objects="0" insertRows="1" insertHyperlinks="1" autoFilter="1" scenarios="1" formatColumns="1" deleteColumns="1" insertColumns="1" pivotTables="1" deleteRows="1" formatCells="1" saltValue="2mEGuv8rWQ5XuENdMTp1+w==" formatRows="1" sort="1" spinCount="100000" hashValue="IISOktt5t1CLV6/bxgvMemAL2MrNk3NTFKb0p1ALZJdwCQsUfdRSeAZ5YkhzI+mru4+IBbhian6DzO75X0e/Mg=="/>
  <mergeCells count="12">
    <mergeCell ref="H2:J2"/>
    <mergeCell ref="D16:E16"/>
    <mergeCell ref="Z39:AA39"/>
    <mergeCell ref="AB39:AD39"/>
    <mergeCell ref="AE39:AG39"/>
    <mergeCell ref="AH39:AJ39"/>
    <mergeCell ref="AK39:AM39"/>
    <mergeCell ref="AN39:AP39"/>
    <mergeCell ref="AQ39:AT39"/>
    <mergeCell ref="X39:X40"/>
    <mergeCell ref="Y39:Y40"/>
    <mergeCell ref="AU39:AU40"/>
  </mergeCells>
  <dataValidations count="1">
    <dataValidation sqref="AA37" showErrorMessage="1" showInputMessage="1" allowBlank="1" type="list">
      <formula1>$I$19:$I$21</formula1>
    </dataValidation>
  </dataValidations>
  <pageMargins left="0.7" right="0.7" top="0.75" bottom="0.75" header="0.3" footer="0.3"/>
  <pageSetup orientation="portrait" paperSize="9"/>
  <drawing xmlns:r="http://schemas.openxmlformats.org/officeDocument/2006/relationships" r:id="rId1"/>
  <legacyDrawing xmlns:r="http://schemas.openxmlformats.org/officeDocument/2006/relationships" r:id="anysvml"/>
</worksheet>
</file>

<file path=xl/worksheets/sheet42.xml><?xml version="1.0" encoding="utf-8"?>
<worksheet xmlns="http://schemas.openxmlformats.org/spreadsheetml/2006/main">
  <sheetPr codeName="Sheet3">
    <outlinePr summaryBelow="1" summaryRight="1"/>
    <pageSetUpPr/>
  </sheetPr>
  <dimension ref="A1:AL216"/>
  <sheetViews>
    <sheetView topLeftCell="Q33" zoomScale="90" zoomScaleNormal="90" workbookViewId="0">
      <pane xSplit="2" ySplit="13" topLeftCell="S67" activePane="bottomRight" state="frozen"/>
      <selection activeCell="A1" sqref="A1"/>
      <selection pane="topRight" activeCell="A1" sqref="A1"/>
      <selection pane="bottomLeft" activeCell="A1" sqref="A1"/>
      <selection pane="bottomRight" activeCell="AA77" sqref="AA77"/>
    </sheetView>
  </sheetViews>
  <sheetFormatPr baseColWidth="8" defaultColWidth="8.625" defaultRowHeight="16.8"/>
  <cols>
    <col hidden="1" width="8.625" customWidth="1" style="1181" min="1" max="1"/>
    <col hidden="1" width="17.625" customWidth="1" style="1181" min="2" max="2"/>
    <col hidden="1" width="20.375" customWidth="1" style="1181" min="3" max="3"/>
    <col hidden="1" width="19" customWidth="1" style="1181" min="4" max="4"/>
    <col hidden="1" width="19.375" customWidth="1" style="1181" min="5" max="5"/>
    <col hidden="1" width="15.375" customWidth="1" style="1181" min="6" max="6"/>
    <col hidden="1" width="28" customWidth="1" style="1181" min="7" max="7"/>
    <col hidden="1" width="20.625" customWidth="1" style="1181" min="8" max="9"/>
    <col hidden="1" width="4" customWidth="1" style="1181" min="10" max="12"/>
    <col hidden="1" width="16.375" customWidth="1" style="32" min="13" max="13"/>
    <col hidden="1" width="2.375" customWidth="1" style="1181" min="14" max="14"/>
    <col hidden="1" width="10" customWidth="1" style="1181" min="15" max="15"/>
    <col hidden="1" width="15" customWidth="1" style="1181" min="16" max="16"/>
    <col width="1.375" customWidth="1" style="1181" min="17" max="17"/>
    <col width="45.375" customWidth="1" style="1181" min="18" max="18"/>
    <col width="19.25" customWidth="1" style="1181" min="19" max="36"/>
    <col width="27.125" customWidth="1" style="1181" min="37" max="37"/>
    <col width="18.875" customWidth="1" style="1181" min="38" max="38"/>
  </cols>
  <sheetData>
    <row r="1" hidden="1" customFormat="1" s="13">
      <c r="A1" s="172" t="inlineStr">
        <is>
          <t>维度清单</t>
        </is>
      </c>
      <c r="B1" s="462" t="n"/>
      <c r="C1" s="173" t="n"/>
      <c r="D1" s="173" t="n"/>
      <c r="E1" s="716" t="n"/>
      <c r="F1" s="13" t="n"/>
      <c r="G1" s="13" t="n"/>
      <c r="H1" s="13" t="n"/>
      <c r="I1" s="13" t="n"/>
      <c r="J1" s="13" t="n"/>
      <c r="K1" s="13" t="n"/>
      <c r="L1" s="13" t="n"/>
      <c r="M1" s="1103" t="n"/>
      <c r="N1" s="13" t="n"/>
      <c r="O1" s="13" t="n"/>
      <c r="P1" s="13" t="n"/>
      <c r="Q1" s="13" t="n"/>
      <c r="R1" s="13" t="n"/>
      <c r="S1" s="13" t="n"/>
      <c r="T1" s="13" t="n"/>
      <c r="U1" s="13" t="n"/>
      <c r="V1" s="13" t="n"/>
      <c r="W1" s="13" t="n"/>
      <c r="X1" s="220" t="n"/>
      <c r="Y1" s="13" t="n"/>
      <c r="Z1" s="13" t="n"/>
      <c r="AA1" s="13" t="n"/>
      <c r="AB1" s="13" t="n"/>
      <c r="AC1" s="13" t="n"/>
      <c r="AD1" s="13" t="n"/>
      <c r="AE1" s="13" t="n"/>
      <c r="AF1" s="13" t="n"/>
      <c r="AG1" s="13" t="n"/>
      <c r="AH1" s="13" t="n"/>
      <c r="AI1" s="13" t="n"/>
      <c r="AJ1" s="13" t="n"/>
      <c r="AK1" s="13" t="n"/>
      <c r="AL1" s="13" t="n"/>
    </row>
    <row r="2" hidden="1" customFormat="1" s="13">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103" t="n"/>
      <c r="N2" s="13" t="n"/>
      <c r="O2" s="13" t="n"/>
      <c r="P2" s="13" t="n"/>
      <c r="Q2" s="13" t="n"/>
      <c r="R2" s="13" t="n"/>
      <c r="S2" s="13" t="n"/>
      <c r="T2" s="13" t="n"/>
      <c r="U2" s="13" t="n"/>
      <c r="V2" s="13" t="n"/>
      <c r="W2" s="13" t="n"/>
      <c r="X2" s="220" t="n"/>
      <c r="Y2" s="13" t="n"/>
      <c r="Z2" s="13" t="n"/>
      <c r="AA2" s="13" t="n"/>
      <c r="AB2" s="13" t="n"/>
      <c r="AC2" s="13" t="n"/>
      <c r="AD2" s="13" t="n"/>
      <c r="AE2" s="13" t="n"/>
      <c r="AF2" s="13" t="n"/>
      <c r="AG2" s="13" t="n"/>
      <c r="AH2" s="13" t="n"/>
      <c r="AI2" s="13" t="n"/>
      <c r="AJ2" s="13" t="n"/>
      <c r="AK2" s="13" t="n"/>
      <c r="AL2" s="13" t="n"/>
    </row>
    <row r="3" hidden="1" customFormat="1" s="13">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103" t="n"/>
      <c r="N3" s="13" t="n"/>
      <c r="O3" s="13" t="n"/>
      <c r="P3" s="13" t="n"/>
      <c r="Q3" s="13" t="n"/>
      <c r="R3" s="13" t="n"/>
      <c r="S3" s="13" t="n"/>
      <c r="T3" s="13" t="n"/>
      <c r="U3" s="13" t="n"/>
      <c r="V3" s="13" t="n"/>
      <c r="W3" s="13" t="n"/>
      <c r="X3" s="220" t="n"/>
      <c r="Y3" s="13" t="n"/>
      <c r="Z3" s="13" t="n"/>
      <c r="AA3" s="13" t="n"/>
      <c r="AB3" s="13" t="n"/>
      <c r="AC3" s="13" t="n"/>
      <c r="AD3" s="13" t="n"/>
      <c r="AE3" s="13" t="n"/>
      <c r="AF3" s="13" t="n"/>
      <c r="AG3" s="13" t="n"/>
      <c r="AH3" s="13" t="n"/>
      <c r="AI3" s="13" t="n"/>
      <c r="AJ3" s="13" t="n"/>
      <c r="AK3" s="13" t="n"/>
      <c r="AL3" s="13" t="n"/>
    </row>
    <row r="4" hidden="1" customFormat="1" s="13">
      <c r="A4" s="175" t="inlineStr">
        <is>
          <t>C</t>
        </is>
      </c>
      <c r="B4" s="176">
        <f>IF(_epmOfflineCondition_,"C_CATEGORY",EPMDimensionType(,A4))</f>
        <v/>
      </c>
      <c r="C4" s="176">
        <f>IF(_epmOfflineCondition_,"C1001",IF(B4="","",EPMContextMember(,B4)))</f>
        <v/>
      </c>
      <c r="D4" s="176">
        <f>IF(_epmOfflineCondition_,"实际数/决算数",EPMMemberDesc(C4))</f>
        <v/>
      </c>
      <c r="E4" s="176" t="n"/>
      <c r="F4" s="13" t="n"/>
      <c r="G4" s="13" t="n"/>
      <c r="H4" s="184" t="inlineStr">
        <is>
          <t>预算年</t>
        </is>
      </c>
      <c r="I4" s="184">
        <f>"V_"&amp;$I$3</f>
        <v/>
      </c>
      <c r="J4" s="184">
        <f>$I$3&amp;".TOTAL"</f>
        <v/>
      </c>
      <c r="K4" s="13" t="n"/>
      <c r="L4" s="13" t="n"/>
      <c r="M4" s="1103" t="n"/>
      <c r="N4" s="13" t="n"/>
      <c r="O4" s="13" t="n"/>
      <c r="P4" s="13" t="n"/>
      <c r="Q4" s="13" t="n"/>
      <c r="R4" s="13" t="n"/>
      <c r="S4" s="13" t="n"/>
      <c r="T4" s="13" t="n"/>
      <c r="U4" s="13" t="n"/>
      <c r="V4" s="13" t="n"/>
      <c r="W4" s="13" t="n"/>
      <c r="X4" s="220" t="n"/>
      <c r="Y4" s="13" t="n"/>
      <c r="Z4" s="13" t="n"/>
      <c r="AA4" s="13" t="n"/>
      <c r="AB4" s="13" t="n"/>
      <c r="AC4" s="13" t="n"/>
      <c r="AD4" s="13" t="n"/>
      <c r="AE4" s="13" t="n"/>
      <c r="AF4" s="13" t="n"/>
      <c r="AG4" s="13" t="n"/>
      <c r="AH4" s="13" t="n"/>
      <c r="AI4" s="13" t="n"/>
      <c r="AJ4" s="13" t="n"/>
      <c r="AK4" s="13" t="n"/>
      <c r="AL4" s="13" t="n"/>
    </row>
    <row r="5" hidden="1" customFormat="1" s="13">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103" t="n"/>
      <c r="N5" s="13" t="n"/>
      <c r="O5" s="13" t="n"/>
      <c r="P5" s="13" t="n"/>
      <c r="Q5" s="13" t="n"/>
      <c r="R5" s="13" t="n"/>
      <c r="S5" s="13" t="n"/>
      <c r="T5" s="13" t="n"/>
      <c r="U5" s="13" t="n"/>
      <c r="V5" s="13" t="n"/>
      <c r="W5" s="13" t="n"/>
      <c r="X5" s="220" t="n"/>
      <c r="Y5" s="13" t="n"/>
      <c r="Z5" s="13" t="n"/>
      <c r="AA5" s="13" t="n"/>
      <c r="AB5" s="13" t="n"/>
      <c r="AC5" s="13" t="n"/>
      <c r="AD5" s="13" t="n"/>
      <c r="AE5" s="13" t="n"/>
      <c r="AF5" s="13" t="n"/>
      <c r="AG5" s="13" t="n"/>
      <c r="AH5" s="13" t="n"/>
      <c r="AI5" s="13" t="n"/>
      <c r="AJ5" s="13" t="n"/>
      <c r="AK5" s="13" t="n"/>
      <c r="AL5" s="13" t="n"/>
    </row>
    <row r="6" hidden="1" customFormat="1" s="13">
      <c r="A6" s="175" t="inlineStr">
        <is>
          <t>E</t>
        </is>
      </c>
      <c r="B6" s="176">
        <f>IF(_epmOfflineCondition_,"C_ENTITY",EPMDimensionType(,A6))</f>
        <v/>
      </c>
      <c r="C6" s="672">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103" t="n"/>
      <c r="N6" s="13" t="n"/>
      <c r="O6" s="13" t="n"/>
      <c r="P6" s="13" t="n"/>
      <c r="Q6" s="13" t="n"/>
      <c r="R6" s="13" t="n"/>
      <c r="S6" s="13" t="n"/>
      <c r="T6" s="13" t="n"/>
      <c r="U6" s="13" t="n"/>
      <c r="V6" s="13" t="n"/>
      <c r="W6" s="13" t="n"/>
      <c r="X6" s="220" t="n"/>
      <c r="Y6" s="13" t="n"/>
      <c r="Z6" s="13" t="n"/>
      <c r="AA6" s="13" t="n"/>
      <c r="AB6" s="13" t="n"/>
      <c r="AC6" s="13" t="n"/>
      <c r="AD6" s="13" t="n"/>
      <c r="AE6" s="13" t="n"/>
      <c r="AF6" s="13" t="n"/>
      <c r="AG6" s="13" t="n"/>
      <c r="AH6" s="13" t="n"/>
      <c r="AI6" s="13" t="n"/>
      <c r="AJ6" s="13" t="n"/>
      <c r="AK6" s="13" t="n"/>
      <c r="AL6" s="13" t="n"/>
    </row>
    <row r="7" hidden="1" customFormat="1" s="13">
      <c r="A7" s="175" t="inlineStr">
        <is>
          <t>R</t>
        </is>
      </c>
      <c r="B7" s="176">
        <f>IF(_epmOfflineCondition_,"C_RPTCURRENCY",EPMDimensionType(,A7))</f>
        <v/>
      </c>
      <c r="C7" s="176">
        <f>IF(_epmOfflineCondition_,"LC",IF(B7="","",EPMContextMember(,B7)))</f>
        <v/>
      </c>
      <c r="D7" s="176">
        <f>IF(_epmOfflineCondition_,"本位币",EPMMemberDesc(C7))</f>
        <v/>
      </c>
      <c r="E7" s="176" t="n"/>
      <c r="F7" s="13" t="n"/>
      <c r="G7" s="13" t="n"/>
      <c r="H7" s="13" t="n"/>
      <c r="I7" s="13" t="n"/>
      <c r="J7" s="13" t="n"/>
      <c r="K7" s="13" t="n"/>
      <c r="L7" s="13" t="n"/>
      <c r="M7" s="1103" t="n"/>
      <c r="N7" s="13" t="n"/>
      <c r="O7" s="13" t="n"/>
      <c r="P7" s="13" t="n"/>
      <c r="Q7" s="13" t="n"/>
      <c r="R7" s="13" t="n"/>
      <c r="S7" s="13" t="n"/>
      <c r="T7" s="13" t="n"/>
      <c r="U7" s="13" t="n"/>
      <c r="V7" s="13" t="n"/>
      <c r="W7" s="13" t="n"/>
      <c r="X7" s="220" t="n"/>
      <c r="Y7" s="13" t="n"/>
      <c r="Z7" s="13" t="n"/>
      <c r="AA7" s="13" t="n"/>
      <c r="AB7" s="13" t="n"/>
      <c r="AC7" s="13" t="n"/>
      <c r="AD7" s="13" t="n"/>
      <c r="AE7" s="13" t="n"/>
      <c r="AF7" s="13" t="n"/>
      <c r="AG7" s="13" t="n"/>
      <c r="AH7" s="13" t="n"/>
      <c r="AI7" s="13" t="n"/>
      <c r="AJ7" s="13" t="n"/>
      <c r="AK7" s="13" t="n"/>
      <c r="AL7" s="13" t="n"/>
    </row>
    <row r="8" hidden="1" customFormat="1" s="13">
      <c r="A8" s="175" t="inlineStr">
        <is>
          <t>D</t>
        </is>
      </c>
      <c r="B8" s="176">
        <f>IF(_epmOfflineCondition_,"C_AUDITTRAIL",EPMDimensionType(,A8))</f>
        <v/>
      </c>
      <c r="C8" s="176">
        <f>IF(_epmOfflineCondition_,"DTOTAL",IF(B8="","",EPMContextMember(,B8)))</f>
        <v/>
      </c>
      <c r="D8" s="176">
        <f>IF(_epmOfflineCondition_,"全部审计线索",EPMMemberDesc(C8))</f>
        <v/>
      </c>
      <c r="E8" s="176" t="n"/>
      <c r="F8" s="13" t="n"/>
      <c r="G8" s="13" t="n"/>
      <c r="H8" s="184" t="inlineStr">
        <is>
          <t>本月</t>
        </is>
      </c>
      <c r="I8" s="184">
        <f>IF(_epmOfflineCondition_,"03",RIGHT("0"&amp;EPMMemberProperty(,EPMContextMember(,"C_TIME"),"MONTHNUM"),2))</f>
        <v/>
      </c>
      <c r="J8" s="13" t="n"/>
      <c r="K8" s="13" t="n"/>
      <c r="L8" s="13" t="n"/>
      <c r="M8" s="1103" t="n"/>
      <c r="N8" s="13" t="n"/>
      <c r="O8" s="13" t="n"/>
      <c r="P8" s="13" t="n"/>
      <c r="Q8" s="13" t="n"/>
      <c r="R8" s="13" t="n"/>
      <c r="S8" s="13" t="n"/>
      <c r="T8" s="13" t="n"/>
      <c r="U8" s="13" t="n"/>
      <c r="V8" s="13" t="n"/>
      <c r="W8" s="13" t="n"/>
      <c r="X8" s="220" t="n"/>
      <c r="Y8" s="13" t="n"/>
      <c r="Z8" s="13" t="n"/>
      <c r="AA8" s="13" t="n"/>
      <c r="AB8" s="13" t="n"/>
      <c r="AC8" s="13" t="n"/>
      <c r="AD8" s="13" t="n"/>
      <c r="AE8" s="13" t="n"/>
      <c r="AF8" s="13" t="n"/>
      <c r="AG8" s="13" t="n"/>
      <c r="AH8" s="13" t="n"/>
      <c r="AI8" s="13" t="n"/>
      <c r="AJ8" s="13" t="n"/>
      <c r="AK8" s="13" t="n"/>
      <c r="AL8" s="13" t="n"/>
    </row>
    <row r="9" hidden="1" customFormat="1" s="13">
      <c r="A9" s="175" t="inlineStr">
        <is>
          <t>S</t>
        </is>
      </c>
      <c r="B9" s="176">
        <f>IF(_epmOfflineCondition_,"C_FLOW",EPMDimensionType(,A9))</f>
        <v/>
      </c>
      <c r="C9" s="176">
        <f>IF(_epmOfflineCondition_,"FTOTAL",IF(B9="","",EPMContextMember(,B9)))</f>
        <v/>
      </c>
      <c r="D9" s="176">
        <f>IF(_epmOfflineCondition_,"全部变动",EPMMemberDesc(C9))</f>
        <v/>
      </c>
      <c r="E9" s="176" t="n"/>
      <c r="F9" s="13" t="n"/>
      <c r="G9" s="13" t="n"/>
      <c r="H9" s="184" t="inlineStr">
        <is>
          <t>上月</t>
        </is>
      </c>
      <c r="I9" s="188">
        <f>RIGHT("0"&amp;IF(I8="01",12,I8-1),2)</f>
        <v/>
      </c>
      <c r="J9" s="13" t="n"/>
      <c r="K9" s="13" t="n"/>
      <c r="L9" s="13" t="n"/>
      <c r="M9" s="1103" t="n"/>
      <c r="N9" s="13" t="n"/>
      <c r="O9" s="13" t="n"/>
      <c r="P9" s="13" t="n"/>
      <c r="Q9" s="13" t="n"/>
      <c r="R9" s="13" t="n"/>
      <c r="S9" s="13" t="n"/>
      <c r="T9" s="13" t="n"/>
      <c r="U9" s="13" t="n"/>
      <c r="V9" s="13" t="n"/>
      <c r="W9" s="13" t="n"/>
      <c r="X9" s="220" t="n"/>
      <c r="Y9" s="13" t="n"/>
      <c r="Z9" s="13" t="n"/>
      <c r="AA9" s="13" t="n"/>
      <c r="AB9" s="13" t="n"/>
      <c r="AC9" s="13" t="n"/>
      <c r="AD9" s="13" t="n"/>
      <c r="AE9" s="13" t="n"/>
      <c r="AF9" s="13" t="n"/>
      <c r="AG9" s="13" t="n"/>
      <c r="AH9" s="13" t="n"/>
      <c r="AI9" s="13" t="n"/>
      <c r="AJ9" s="13" t="n"/>
      <c r="AK9" s="13" t="n"/>
      <c r="AL9" s="13" t="n"/>
    </row>
    <row r="10" hidden="1" customFormat="1" s="13">
      <c r="A10" s="175" t="inlineStr">
        <is>
          <t>I</t>
        </is>
      </c>
      <c r="B10" s="176">
        <f>IF(_epmOfflineCondition_,"C_INTERCO",EPMDimensionType(,A10))</f>
        <v/>
      </c>
      <c r="C10" s="176">
        <f>IF(_epmOfflineCondition_,"I_ALL",IF(B10="","",EPMContextMember(,B10)))</f>
        <v/>
      </c>
      <c r="D10" s="176">
        <f>IF(_epmOfflineCondition_,"全部贸易伙伴",EPMMemberDesc(C10))</f>
        <v/>
      </c>
      <c r="E10" s="176" t="n"/>
      <c r="F10" s="13" t="n"/>
      <c r="G10" s="13" t="n"/>
      <c r="H10" s="184" t="inlineStr">
        <is>
          <t>上年</t>
        </is>
      </c>
      <c r="I10" s="188">
        <f>$I$3-1</f>
        <v/>
      </c>
      <c r="J10" s="13" t="n"/>
      <c r="K10" s="13" t="n"/>
      <c r="L10" s="13" t="n"/>
      <c r="M10" s="1103" t="n"/>
      <c r="N10" s="13" t="n"/>
      <c r="O10" s="13" t="n"/>
      <c r="P10" s="13" t="n"/>
      <c r="Q10" s="13" t="n"/>
      <c r="R10" s="13" t="n"/>
      <c r="S10" s="13" t="n"/>
      <c r="T10" s="13" t="n"/>
      <c r="U10" s="13" t="n"/>
      <c r="V10" s="13" t="n"/>
      <c r="W10" s="13" t="n"/>
      <c r="X10" s="220" t="n"/>
      <c r="Y10" s="13" t="n"/>
      <c r="Z10" s="13" t="n"/>
      <c r="AA10" s="13" t="n"/>
      <c r="AB10" s="13" t="n"/>
      <c r="AC10" s="13" t="n"/>
      <c r="AD10" s="13" t="n"/>
      <c r="AE10" s="13" t="n"/>
      <c r="AF10" s="13" t="n"/>
      <c r="AG10" s="13" t="n"/>
      <c r="AH10" s="13" t="n"/>
      <c r="AI10" s="13" t="n"/>
      <c r="AJ10" s="13" t="n"/>
      <c r="AK10" s="13" t="n"/>
      <c r="AL10" s="13" t="n"/>
    </row>
    <row r="11" hidden="1" customFormat="1" s="13">
      <c r="A11" s="175" t="inlineStr">
        <is>
          <t>G</t>
        </is>
      </c>
      <c r="B11" s="176">
        <f>IF(_epmOfflineCondition_,"C_SCOPE",EPMDimensionType(,A11))</f>
        <v/>
      </c>
      <c r="C11" s="176">
        <f>IF(_epmOfflineCondition_,"G_DUMMY",IF(B11="","",EPMContextMember(,B11)))</f>
        <v/>
      </c>
      <c r="D11" s="176">
        <f>IF(_epmOfflineCondition_,"合并范围无关",EPMMemberDesc(C11))</f>
        <v/>
      </c>
      <c r="E11" s="176">
        <f>IF(OR(RIGHT(C11,1)="P",RIGHT(C11,1)="S"),LEFT(C11,LEN(C11)-1),C11)</f>
        <v/>
      </c>
      <c r="F11" s="185" t="inlineStr">
        <is>
          <t>判断属性</t>
        </is>
      </c>
      <c r="G11" s="13" t="n"/>
      <c r="H11" s="184" t="inlineStr">
        <is>
          <t xml:space="preserve">本年月 </t>
        </is>
      </c>
      <c r="I11" s="184">
        <f>I3&amp;"."&amp;I8</f>
        <v/>
      </c>
      <c r="J11" s="13" t="n"/>
      <c r="K11" s="13" t="n"/>
      <c r="L11" s="13" t="n"/>
      <c r="M11" s="1103" t="n"/>
      <c r="N11" s="13" t="n"/>
      <c r="O11" s="13" t="n"/>
      <c r="P11" s="13" t="n"/>
      <c r="Q11" s="13" t="n"/>
      <c r="R11" s="13" t="n"/>
      <c r="S11" s="13" t="n"/>
      <c r="T11" s="13" t="n"/>
      <c r="U11" s="13" t="n"/>
      <c r="V11" s="13" t="n"/>
      <c r="W11" s="13" t="n"/>
      <c r="X11" s="220" t="n"/>
      <c r="Y11" s="13" t="n"/>
      <c r="Z11" s="13" t="n"/>
      <c r="AA11" s="13" t="n"/>
      <c r="AB11" s="13" t="n"/>
      <c r="AC11" s="13" t="n"/>
      <c r="AD11" s="13" t="n"/>
      <c r="AE11" s="13" t="n"/>
      <c r="AF11" s="13" t="n"/>
      <c r="AG11" s="13" t="n"/>
      <c r="AH11" s="13" t="n"/>
      <c r="AI11" s="13" t="n"/>
      <c r="AJ11" s="13" t="n"/>
      <c r="AK11" s="13" t="n"/>
      <c r="AL11" s="13" t="n"/>
    </row>
    <row r="12" hidden="1" customFormat="1" s="13">
      <c r="A12" s="175" t="inlineStr">
        <is>
          <t>U8</t>
        </is>
      </c>
      <c r="B12" s="176">
        <f>IF(_epmOfflineCondition_,"C_PROJECT",EPMDimensionType(,A12))</f>
        <v/>
      </c>
      <c r="C12" s="176">
        <f>IF(_epmOfflineCondition_,"ZP_ALL",IF(B12="","",EPMContextMember(,B12)))</f>
        <v/>
      </c>
      <c r="D12" s="176">
        <f>IF(_epmOfflineCondition_,"项目合计",EPMMemberDesc(C12))</f>
        <v/>
      </c>
      <c r="E12" s="176" t="n"/>
      <c r="F12" s="185">
        <f>E11</f>
        <v/>
      </c>
      <c r="G12" s="13" t="n"/>
      <c r="H12" s="184" t="inlineStr">
        <is>
          <t>上年月</t>
        </is>
      </c>
      <c r="I12" s="184">
        <f>IF(I8="01",I10&amp;"."&amp;I9,I3&amp;"."&amp;I9)</f>
        <v/>
      </c>
      <c r="J12" s="13" t="n"/>
      <c r="K12" s="13" t="n"/>
      <c r="L12" s="13" t="n"/>
      <c r="M12" s="1103" t="n"/>
      <c r="N12" s="13" t="n"/>
      <c r="O12" s="13" t="n"/>
      <c r="P12" s="13" t="n"/>
      <c r="Q12" s="13" t="n"/>
      <c r="R12" s="13" t="n"/>
      <c r="S12" s="13" t="n"/>
      <c r="T12" s="13" t="n"/>
      <c r="U12" s="13" t="n"/>
      <c r="V12" s="13" t="n"/>
      <c r="W12" s="13" t="n"/>
      <c r="X12" s="220" t="n"/>
      <c r="Y12" s="13" t="n"/>
      <c r="Z12" s="13" t="n"/>
      <c r="AA12" s="13" t="n"/>
      <c r="AB12" s="13" t="n"/>
      <c r="AC12" s="13" t="n"/>
      <c r="AD12" s="13" t="n"/>
      <c r="AE12" s="13" t="n"/>
      <c r="AF12" s="13" t="n"/>
      <c r="AG12" s="13" t="n"/>
      <c r="AH12" s="13" t="n"/>
      <c r="AI12" s="13" t="n"/>
      <c r="AJ12" s="13" t="n"/>
      <c r="AK12" s="13" t="n"/>
      <c r="AL12" s="13" t="n"/>
    </row>
    <row r="13" hidden="1" customFormat="1" s="13">
      <c r="A13" s="175" t="inlineStr">
        <is>
          <t>U9</t>
        </is>
      </c>
      <c r="B13" s="176">
        <f>IF(_epmOfflineCondition_,"C_ITEM",EPMDimensionType(,A13))</f>
        <v/>
      </c>
      <c r="C13" s="176">
        <f>IF(_epmOfflineCondition_,"ZI_ALL",IF(B13="","",EPMContextMember(,B13)))</f>
        <v/>
      </c>
      <c r="D13" s="176">
        <f>IF(_epmOfflineCondition_,"全部ITEM",EPMMemberDesc(C13))</f>
        <v/>
      </c>
      <c r="E13" s="186" t="n"/>
      <c r="F13" s="185">
        <f>IF(_epmOfflineCondition_,"E_DUMMY",EPMMemberProperty(,F12,"GENTITY"))</f>
        <v/>
      </c>
      <c r="G13" s="13" t="n"/>
      <c r="H13" s="184" t="inlineStr">
        <is>
          <t xml:space="preserve">上年同期 </t>
        </is>
      </c>
      <c r="I13" s="184">
        <f>I10&amp;"."&amp;I8</f>
        <v/>
      </c>
      <c r="J13" s="13" t="n"/>
      <c r="K13" s="13" t="n"/>
      <c r="L13" s="13" t="n"/>
      <c r="M13" s="1103" t="n"/>
      <c r="N13" s="13" t="n"/>
      <c r="O13" s="13" t="n"/>
      <c r="P13" s="13" t="n"/>
      <c r="Q13" s="13" t="n"/>
      <c r="R13" s="13" t="n"/>
      <c r="S13" s="13" t="n"/>
      <c r="T13" s="13" t="n"/>
      <c r="U13" s="13" t="n"/>
      <c r="V13" s="13" t="n"/>
      <c r="W13" s="13" t="n"/>
      <c r="X13" s="220" t="n"/>
      <c r="Y13" s="13" t="n"/>
      <c r="Z13" s="13" t="n"/>
      <c r="AA13" s="13" t="n"/>
      <c r="AB13" s="13" t="n"/>
      <c r="AC13" s="13" t="n"/>
      <c r="AD13" s="13" t="n"/>
      <c r="AE13" s="13" t="n"/>
      <c r="AF13" s="13" t="n"/>
      <c r="AG13" s="13" t="n"/>
      <c r="AH13" s="13" t="n"/>
      <c r="AI13" s="13" t="n"/>
      <c r="AJ13" s="13" t="n"/>
      <c r="AK13" s="13" t="n"/>
      <c r="AL13" s="13" t="n"/>
    </row>
    <row r="14" hidden="1" customFormat="1" s="13">
      <c r="A14" s="175" t="inlineStr">
        <is>
          <t>U10</t>
        </is>
      </c>
      <c r="B14" s="176">
        <f>IF(_epmOfflineCondition_,"C_MISK",EPMDimensionType(,A14))</f>
        <v/>
      </c>
      <c r="C14" s="176">
        <f>IF(_epmOfflineCondition_,"ZM_ALL",IF(B14="","",EPMContextMember(,B14)))</f>
        <v/>
      </c>
      <c r="D14" s="176">
        <f>IF(_epmOfflineCondition_,"ALL",EPMMemberDesc(C14))</f>
        <v/>
      </c>
      <c r="E14" s="186" t="n"/>
      <c r="F14" s="185">
        <f>IF(F12="G_DUMMY",C6,F13)</f>
        <v/>
      </c>
      <c r="G14" s="13" t="n"/>
      <c r="H14" s="13" t="n"/>
      <c r="I14" s="13" t="n"/>
      <c r="J14" s="13" t="n"/>
      <c r="K14" s="13" t="n"/>
      <c r="L14" s="13" t="n"/>
      <c r="M14" s="1103" t="n"/>
      <c r="N14" s="13" t="n"/>
      <c r="O14" s="13" t="n"/>
      <c r="P14" s="13" t="n"/>
      <c r="Q14" s="13" t="n"/>
      <c r="R14" s="13" t="n"/>
      <c r="S14" s="13" t="n"/>
      <c r="T14" s="13" t="n"/>
      <c r="U14" s="13" t="n"/>
      <c r="V14" s="13" t="n"/>
      <c r="W14" s="13" t="n"/>
      <c r="X14" s="220" t="n"/>
      <c r="Y14" s="13" t="n"/>
      <c r="Z14" s="13" t="n"/>
      <c r="AA14" s="13" t="n"/>
      <c r="AB14" s="13" t="n"/>
      <c r="AC14" s="13" t="n"/>
      <c r="AD14" s="13" t="n"/>
      <c r="AE14" s="13" t="n"/>
      <c r="AF14" s="13" t="n"/>
      <c r="AG14" s="13" t="n"/>
      <c r="AH14" s="13" t="n"/>
      <c r="AI14" s="13" t="n"/>
      <c r="AJ14" s="13" t="n"/>
      <c r="AK14" s="13" t="n"/>
      <c r="AL14" s="13" t="n"/>
    </row>
    <row r="15" hidden="1" customFormat="1" s="13">
      <c r="A15" s="13" t="n"/>
      <c r="B15" s="1103" t="n"/>
      <c r="C15" s="1103" t="n"/>
      <c r="D15" s="1103" t="n"/>
      <c r="E15" s="13" t="n"/>
      <c r="F15" s="13" t="n"/>
      <c r="G15" s="13" t="n"/>
      <c r="H15" s="13" t="n"/>
      <c r="I15" s="13" t="n"/>
      <c r="J15" s="13" t="n"/>
      <c r="K15" s="13" t="n"/>
      <c r="L15" s="13" t="n"/>
      <c r="M15" s="1103" t="n"/>
      <c r="N15" s="13" t="n"/>
      <c r="O15" s="13" t="n"/>
      <c r="P15" s="13" t="n"/>
      <c r="Q15" s="13" t="n"/>
      <c r="R15" s="13" t="n"/>
      <c r="S15" s="13" t="n"/>
      <c r="T15" s="13" t="n"/>
      <c r="U15" s="13" t="n"/>
      <c r="V15" s="13" t="n"/>
      <c r="W15" s="13" t="n"/>
      <c r="X15" s="220" t="n"/>
      <c r="Y15" s="13" t="n"/>
      <c r="Z15" s="13" t="n"/>
      <c r="AA15" s="13" t="n"/>
      <c r="AB15" s="13" t="n"/>
      <c r="AC15" s="13" t="n"/>
      <c r="AD15" s="13" t="n"/>
      <c r="AE15" s="13" t="n"/>
      <c r="AF15" s="13" t="n"/>
      <c r="AG15" s="13" t="n"/>
      <c r="AH15" s="13" t="n"/>
      <c r="AI15" s="13" t="n"/>
      <c r="AJ15" s="13" t="n"/>
      <c r="AK15" s="13" t="n"/>
      <c r="AL15" s="13" t="n"/>
    </row>
    <row r="16" hidden="1" customFormat="1" s="13">
      <c r="A16" s="13" t="n"/>
      <c r="B16" s="13" t="n"/>
      <c r="C16" s="13" t="n"/>
      <c r="D16" s="174" t="inlineStr">
        <is>
          <t>页轴</t>
        </is>
      </c>
      <c r="E16" s="1183" t="n"/>
      <c r="F16" s="13" t="n"/>
      <c r="G16" s="13" t="n"/>
      <c r="H16" s="13" t="n"/>
      <c r="I16" s="13" t="n"/>
      <c r="J16" s="13" t="n"/>
      <c r="K16" s="13" t="n"/>
      <c r="L16" s="13" t="n"/>
      <c r="M16" s="1103" t="n"/>
      <c r="N16" s="13" t="n"/>
      <c r="O16" s="13" t="n"/>
      <c r="P16" s="13" t="n"/>
      <c r="Q16" s="13" t="n"/>
      <c r="R16" s="13" t="n"/>
      <c r="S16" s="13" t="n"/>
      <c r="T16" s="13" t="n"/>
      <c r="U16" s="13" t="n"/>
      <c r="V16" s="13" t="n"/>
      <c r="W16" s="13" t="n"/>
      <c r="X16" s="220" t="n"/>
      <c r="Y16" s="13" t="n"/>
      <c r="Z16" s="13" t="n"/>
      <c r="AA16" s="13" t="n"/>
      <c r="AB16" s="13" t="n"/>
      <c r="AC16" s="13" t="n"/>
      <c r="AD16" s="13" t="n"/>
      <c r="AE16" s="13" t="n"/>
      <c r="AF16" s="13" t="n"/>
      <c r="AG16" s="13" t="n"/>
      <c r="AH16" s="13" t="n"/>
      <c r="AI16" s="13" t="n"/>
      <c r="AJ16" s="13" t="n"/>
      <c r="AK16" s="13" t="n"/>
      <c r="AL16" s="13" t="n"/>
    </row>
    <row r="17" hidden="1" customFormat="1" s="13">
      <c r="A17" s="174" t="inlineStr">
        <is>
          <t>维度类型</t>
        </is>
      </c>
      <c r="B17" s="174" t="inlineStr">
        <is>
          <t>维度</t>
        </is>
      </c>
      <c r="C17" s="178" t="inlineStr">
        <is>
          <t>页轴替换</t>
        </is>
      </c>
      <c r="D17" s="174" t="inlineStr">
        <is>
          <t>报表001</t>
        </is>
      </c>
      <c r="E17" s="174" t="inlineStr">
        <is>
          <t>报表002</t>
        </is>
      </c>
      <c r="F17" s="13" t="n"/>
      <c r="G17" s="13" t="n"/>
      <c r="H17" s="13" t="n"/>
      <c r="I17" s="13" t="n"/>
      <c r="J17" s="13" t="n"/>
      <c r="K17" s="13" t="n"/>
      <c r="L17" s="13" t="n"/>
      <c r="M17" s="1103" t="n"/>
      <c r="N17" s="13" t="n"/>
      <c r="O17" s="13" t="n"/>
      <c r="P17" s="13" t="n"/>
      <c r="Q17" s="13" t="n"/>
      <c r="R17" s="13" t="n"/>
      <c r="S17" s="13" t="n"/>
      <c r="T17" s="13" t="n"/>
      <c r="U17" s="13" t="n"/>
      <c r="V17" s="13" t="n"/>
      <c r="W17" s="13" t="n"/>
      <c r="X17" s="220" t="n"/>
      <c r="Y17" s="13" t="n"/>
      <c r="Z17" s="13" t="n"/>
      <c r="AA17" s="13" t="n"/>
      <c r="AB17" s="13" t="n"/>
      <c r="AC17" s="13" t="n"/>
      <c r="AD17" s="13" t="n"/>
      <c r="AE17" s="13" t="n"/>
      <c r="AF17" s="13" t="n"/>
      <c r="AG17" s="13" t="n"/>
      <c r="AH17" s="13" t="n"/>
      <c r="AI17" s="13" t="n"/>
      <c r="AJ17" s="13" t="n"/>
      <c r="AK17" s="13" t="n"/>
      <c r="AL17" s="13" t="n"/>
    </row>
    <row r="18" hidden="1" customFormat="1" s="13">
      <c r="A18" s="175" t="inlineStr">
        <is>
          <t>A</t>
        </is>
      </c>
      <c r="B18" s="176">
        <f>IF(_epmOfflineCondition_,"C_ACCOUNT",EPMDimensionType(,A18))</f>
        <v/>
      </c>
      <c r="C18" s="182" t="inlineStr">
        <is>
          <t>A_NOUSED</t>
        </is>
      </c>
      <c r="D18" s="180" t="n"/>
      <c r="E18" s="180" t="n"/>
      <c r="F18" s="13" t="n"/>
      <c r="G18" s="13" t="n"/>
      <c r="H18" s="13" t="n"/>
      <c r="I18" s="180" t="inlineStr">
        <is>
          <t>选择的值</t>
        </is>
      </c>
      <c r="J18" s="180">
        <f>VLOOKUP(T37,I19:J21,2,FALSE)</f>
        <v/>
      </c>
      <c r="K18" s="180" t="n"/>
      <c r="L18" s="13" t="n"/>
      <c r="M18" s="1103" t="n"/>
      <c r="N18" s="13" t="n"/>
      <c r="O18" s="13" t="n"/>
      <c r="P18" s="13" t="n"/>
      <c r="Q18" s="13" t="n"/>
      <c r="R18" s="13" t="n"/>
      <c r="S18" s="13" t="n"/>
      <c r="T18" s="13" t="n"/>
      <c r="U18" s="13" t="n"/>
      <c r="V18" s="13" t="n"/>
      <c r="W18" s="13" t="n"/>
      <c r="X18" s="220" t="n"/>
      <c r="Y18" s="13" t="n"/>
      <c r="Z18" s="13" t="n"/>
      <c r="AA18" s="13" t="n"/>
      <c r="AB18" s="13" t="n"/>
      <c r="AC18" s="13" t="n"/>
      <c r="AD18" s="13" t="n"/>
      <c r="AE18" s="13" t="n"/>
      <c r="AF18" s="13" t="n"/>
      <c r="AG18" s="13" t="n"/>
      <c r="AH18" s="13" t="n"/>
      <c r="AI18" s="13" t="n"/>
      <c r="AJ18" s="13" t="n"/>
      <c r="AK18" s="13" t="n"/>
      <c r="AL18" s="13" t="n"/>
    </row>
    <row r="19" hidden="1" customFormat="1" s="13">
      <c r="A19" s="175" t="inlineStr">
        <is>
          <t>C</t>
        </is>
      </c>
      <c r="B19" s="176">
        <f>IF(_epmOfflineCondition_,"C_CATEGORY",EPMDimensionType(,A19))</f>
        <v/>
      </c>
      <c r="C19" s="182" t="inlineStr">
        <is>
          <t>C_DUMMY</t>
        </is>
      </c>
      <c r="D19" s="180" t="n"/>
      <c r="E19" s="180" t="n"/>
      <c r="F19" s="13" t="n"/>
      <c r="G19" s="13" t="n"/>
      <c r="H19" s="13" t="n"/>
      <c r="I19" s="180" t="inlineStr">
        <is>
          <t>单体录入</t>
        </is>
      </c>
      <c r="J19" s="180" t="inlineStr">
        <is>
          <t>D1110</t>
        </is>
      </c>
      <c r="K19" s="180" t="n"/>
      <c r="L19" s="13" t="n"/>
      <c r="M19" s="1103" t="n"/>
      <c r="N19" s="13" t="n"/>
      <c r="O19" s="13" t="n"/>
      <c r="P19" s="13" t="n"/>
      <c r="Q19" s="13" t="n"/>
      <c r="R19" s="13" t="n"/>
      <c r="S19" s="13" t="n"/>
      <c r="T19" s="13" t="n"/>
      <c r="U19" s="13" t="n"/>
      <c r="V19" s="13" t="n"/>
      <c r="W19" s="13" t="n"/>
      <c r="X19" s="220" t="n"/>
      <c r="Y19" s="13" t="n"/>
      <c r="Z19" s="13" t="n"/>
      <c r="AA19" s="13" t="n"/>
      <c r="AB19" s="13" t="n"/>
      <c r="AC19" s="13" t="n"/>
      <c r="AD19" s="13" t="n"/>
      <c r="AE19" s="13" t="n"/>
      <c r="AF19" s="13" t="n"/>
      <c r="AG19" s="13" t="n"/>
      <c r="AH19" s="13" t="n"/>
      <c r="AI19" s="13" t="n"/>
      <c r="AJ19" s="13" t="n"/>
      <c r="AK19" s="13" t="n"/>
      <c r="AL19" s="13" t="n"/>
    </row>
    <row r="20" hidden="1" customFormat="1" s="13">
      <c r="A20" s="175" t="inlineStr">
        <is>
          <t>T</t>
        </is>
      </c>
      <c r="B20" s="176">
        <f>IF(_epmOfflineCondition_,"C_TIME",EPMDimensionType(,A20))</f>
        <v/>
      </c>
      <c r="C20" s="672" t="inlineStr">
        <is>
          <t>T_DUMMY</t>
        </is>
      </c>
      <c r="D20" s="180" t="n"/>
      <c r="E20" s="180" t="n"/>
      <c r="F20" s="384" t="n"/>
      <c r="G20" s="384" t="n"/>
      <c r="H20" s="13" t="n"/>
      <c r="I20" s="180" t="inlineStr">
        <is>
          <t>合并调整</t>
        </is>
      </c>
      <c r="J20" s="180" t="inlineStr">
        <is>
          <t>DELIM_IPT_IC_BP_99</t>
        </is>
      </c>
      <c r="K20" s="180" t="n"/>
      <c r="L20" s="13" t="n"/>
      <c r="M20" s="1103" t="n"/>
      <c r="N20" s="13" t="n"/>
      <c r="O20" s="13" t="n"/>
      <c r="P20" s="13" t="n"/>
      <c r="Q20" s="13" t="n"/>
      <c r="R20" s="13" t="n"/>
      <c r="S20" s="384" t="n"/>
      <c r="T20" s="384" t="n"/>
      <c r="U20" s="13" t="n"/>
      <c r="V20" s="13" t="n"/>
      <c r="W20" s="13" t="n"/>
      <c r="X20" s="220" t="n"/>
      <c r="Y20" s="13" t="n"/>
      <c r="Z20" s="13" t="n"/>
      <c r="AA20" s="13" t="n"/>
      <c r="AB20" s="13" t="n"/>
      <c r="AC20" s="13" t="n"/>
      <c r="AD20" s="13" t="n"/>
      <c r="AE20" s="13" t="n"/>
      <c r="AF20" s="13" t="n"/>
      <c r="AG20" s="13" t="n"/>
      <c r="AH20" s="13" t="n"/>
      <c r="AI20" s="13" t="n"/>
      <c r="AJ20" s="13" t="n"/>
      <c r="AK20" s="13" t="n"/>
      <c r="AL20" s="13" t="n"/>
    </row>
    <row r="21" hidden="1" customFormat="1" s="13">
      <c r="A21" s="175" t="inlineStr">
        <is>
          <t>E</t>
        </is>
      </c>
      <c r="B21" s="176">
        <f>IF(_epmOfflineCondition_,"C_ENTITY",EPMDimensionType(,A21))</f>
        <v/>
      </c>
      <c r="C21" s="672">
        <f>IF(_epmOfflineCondition_,"E100787",IF(B21="","",EPMContextMember(,B21)))</f>
        <v/>
      </c>
      <c r="D21" s="182">
        <f>IF(_epmOfflineCondition_,"E100787",EPMOlapMemberO(C21,"[C_ENTITY].[PARENTH1].[E100787]","E100787 - 内蒙古京能苏尼特风力发电有限公司（内蒙古分公司）","","000"))</f>
        <v/>
      </c>
      <c r="E21" s="180" t="n"/>
      <c r="F21" s="384" t="n"/>
      <c r="G21" s="384" t="n"/>
      <c r="H21" s="13" t="n"/>
      <c r="I21" s="180" t="inlineStr">
        <is>
          <t>合并查询</t>
        </is>
      </c>
      <c r="J21" s="180" t="inlineStr">
        <is>
          <t>DALL</t>
        </is>
      </c>
      <c r="K21" s="180" t="n"/>
      <c r="L21" s="13" t="n"/>
      <c r="M21" s="1103" t="n"/>
      <c r="N21" s="13" t="n"/>
      <c r="O21" s="13" t="n"/>
      <c r="P21" s="13" t="n"/>
      <c r="Q21" s="13" t="n"/>
      <c r="R21" s="13" t="n"/>
      <c r="S21" s="384" t="n"/>
      <c r="T21" s="384" t="n"/>
      <c r="U21" s="13" t="n"/>
      <c r="V21" s="13" t="n"/>
      <c r="W21" s="13" t="n"/>
      <c r="X21" s="220" t="n"/>
      <c r="Y21" s="13" t="n"/>
      <c r="Z21" s="13" t="n"/>
      <c r="AA21" s="13" t="n"/>
      <c r="AB21" s="13" t="n"/>
      <c r="AC21" s="13" t="n"/>
      <c r="AD21" s="13" t="n"/>
      <c r="AE21" s="13" t="n"/>
      <c r="AF21" s="13" t="n"/>
      <c r="AG21" s="13" t="n"/>
      <c r="AH21" s="13" t="n"/>
      <c r="AI21" s="13" t="n"/>
      <c r="AJ21" s="13" t="n"/>
      <c r="AK21" s="13" t="n"/>
      <c r="AL21" s="13" t="n"/>
    </row>
    <row r="22" hidden="1" customFormat="1" s="13">
      <c r="A22" s="175" t="inlineStr">
        <is>
          <t>R</t>
        </is>
      </c>
      <c r="B22" s="176">
        <f>IF(_epmOfflineCondition_,"C_RPTCURRENCY",EPMDimensionType(,A22))</f>
        <v/>
      </c>
      <c r="C22" s="672">
        <f>IF(E11="G_DUMMY","LC","CNY")</f>
        <v/>
      </c>
      <c r="D22" s="182">
        <f>IF(_epmOfflineCondition_,"LC",EPMOlapMemberO(C22,"[C_RPTCURRENCY].[].[LC]","LC - 本位币","","000"))</f>
        <v/>
      </c>
      <c r="E22" s="180" t="n"/>
      <c r="F22" s="384" t="n"/>
      <c r="G22" s="384" t="n"/>
      <c r="H22" s="13" t="n"/>
      <c r="I22" s="13" t="n"/>
      <c r="J22" s="13" t="n"/>
      <c r="K22" s="13" t="n"/>
      <c r="L22" s="13" t="n"/>
      <c r="M22" s="1103" t="n"/>
      <c r="N22" s="13" t="n"/>
      <c r="O22" s="13" t="n"/>
      <c r="P22" s="13" t="n"/>
      <c r="Q22" s="13" t="n"/>
      <c r="R22" s="13" t="n"/>
      <c r="S22" s="384" t="n"/>
      <c r="T22" s="384" t="n"/>
      <c r="U22" s="13" t="n"/>
      <c r="V22" s="13" t="n"/>
      <c r="W22" s="13" t="n"/>
      <c r="X22" s="220" t="n"/>
      <c r="Y22" s="13" t="n"/>
      <c r="Z22" s="13" t="n"/>
      <c r="AA22" s="13" t="n"/>
      <c r="AB22" s="13" t="n"/>
      <c r="AC22" s="13" t="n"/>
      <c r="AD22" s="13" t="n"/>
      <c r="AE22" s="13" t="n"/>
      <c r="AF22" s="13" t="n"/>
      <c r="AG22" s="13" t="n"/>
      <c r="AH22" s="13" t="n"/>
      <c r="AI22" s="13" t="n"/>
      <c r="AJ22" s="13" t="n"/>
      <c r="AK22" s="13" t="n"/>
      <c r="AL22" s="13" t="n"/>
    </row>
    <row r="23" hidden="1" customFormat="1" s="13">
      <c r="A23" s="175" t="inlineStr">
        <is>
          <t>D</t>
        </is>
      </c>
      <c r="B23" s="176">
        <f>IF(_epmOfflineCondition_,"C_AUDITTRAIL",EPMDimensionType(,A23))</f>
        <v/>
      </c>
      <c r="C23" s="672">
        <f>J18</f>
        <v/>
      </c>
      <c r="D23" s="182">
        <f>IF(_epmOfflineCondition_,"D1110",EPMOlapMemberO(C23,"[C_AUDITTRAIL].[PARENTH1].[D1110]","D1110 - 平台表单手工输入","","000"))</f>
        <v/>
      </c>
      <c r="E23" s="180" t="inlineStr">
        <is>
          <t>DALL</t>
        </is>
      </c>
      <c r="F23" s="384" t="n"/>
      <c r="G23" s="384" t="n"/>
      <c r="H23" s="13" t="n"/>
      <c r="I23" s="13" t="n"/>
      <c r="J23" s="13" t="n"/>
      <c r="K23" s="13" t="n"/>
      <c r="L23" s="13" t="n"/>
      <c r="M23" s="1103" t="n"/>
      <c r="N23" s="13" t="n"/>
      <c r="O23" s="35" t="n"/>
      <c r="P23" s="35" t="n"/>
      <c r="Q23" s="13" t="n"/>
      <c r="R23" s="13" t="n"/>
      <c r="S23" s="384" t="n"/>
      <c r="T23" s="384" t="n"/>
      <c r="U23" s="13" t="n"/>
      <c r="V23" s="13" t="n"/>
      <c r="W23" s="13" t="n"/>
      <c r="X23" s="220" t="n"/>
      <c r="Y23" s="13" t="n"/>
      <c r="Z23" s="13" t="n"/>
      <c r="AA23" s="13" t="n"/>
      <c r="AB23" s="13" t="n"/>
      <c r="AC23" s="13" t="n"/>
      <c r="AD23" s="13" t="n"/>
      <c r="AE23" s="13" t="n"/>
      <c r="AF23" s="13" t="n"/>
      <c r="AG23" s="13" t="n"/>
      <c r="AH23" s="13" t="n"/>
      <c r="AI23" s="13" t="n"/>
      <c r="AJ23" s="13" t="n"/>
      <c r="AK23" s="13" t="n"/>
      <c r="AL23" s="13" t="n"/>
    </row>
    <row r="24" hidden="1" customFormat="1" s="13">
      <c r="A24" s="175" t="inlineStr">
        <is>
          <t>S</t>
        </is>
      </c>
      <c r="B24" s="176">
        <f>IF(_epmOfflineCondition_,"C_FLOW",EPMDimensionType(,A24))</f>
        <v/>
      </c>
      <c r="C24" s="672">
        <f>IF(_epmOfflineCondition_,"FTOTAL",IF(B24="","",EPMContextMember(,B24)))</f>
        <v/>
      </c>
      <c r="D24" s="180" t="n"/>
      <c r="E24" s="180" t="n"/>
      <c r="F24" s="384" t="n"/>
      <c r="G24" s="384" t="n"/>
      <c r="H24" s="13" t="n"/>
      <c r="I24" s="13" t="n"/>
      <c r="J24" s="13" t="n"/>
      <c r="K24" s="13" t="n"/>
      <c r="L24" s="13" t="n"/>
      <c r="M24" s="1103" t="n"/>
      <c r="N24" s="13" t="n"/>
      <c r="O24" s="35" t="n"/>
      <c r="P24" s="35" t="n"/>
      <c r="Q24" s="13" t="n"/>
      <c r="R24" s="13" t="n"/>
      <c r="S24" s="384" t="n"/>
      <c r="T24" s="384" t="n"/>
      <c r="U24" s="13" t="n"/>
      <c r="V24" s="13" t="n"/>
      <c r="W24" s="13" t="n"/>
      <c r="X24" s="220" t="n"/>
      <c r="Y24" s="13" t="n"/>
      <c r="Z24" s="13" t="n"/>
      <c r="AA24" s="13" t="n"/>
      <c r="AB24" s="13" t="n"/>
      <c r="AC24" s="13" t="n"/>
      <c r="AD24" s="13" t="n"/>
      <c r="AE24" s="13" t="n"/>
      <c r="AF24" s="13" t="n"/>
      <c r="AG24" s="13" t="n"/>
      <c r="AH24" s="13" t="n"/>
      <c r="AI24" s="13" t="n"/>
      <c r="AJ24" s="13" t="n"/>
      <c r="AK24" s="13" t="n"/>
      <c r="AL24" s="13" t="n"/>
    </row>
    <row r="25" hidden="1" customFormat="1" s="13">
      <c r="A25" s="175" t="inlineStr">
        <is>
          <t>I</t>
        </is>
      </c>
      <c r="B25" s="176">
        <f>IF(_epmOfflineCondition_,"C_INTERCO",EPMDimensionType(,A25))</f>
        <v/>
      </c>
      <c r="C25" s="672" t="inlineStr">
        <is>
          <t>I_DUMMY</t>
        </is>
      </c>
      <c r="D25" s="182">
        <f>IF(_epmOfflineCondition_,"I_DUMMY",EPMOlapMemberO(C25,"[C_INTERCO].[PARENTH1].[I_DUMMY]","I_DUMMY - 贸易伙伴无关","","000"))</f>
        <v/>
      </c>
      <c r="E25" s="180" t="inlineStr">
        <is>
          <t>I_ALL</t>
        </is>
      </c>
      <c r="F25" s="384" t="n"/>
      <c r="G25" s="384" t="n"/>
      <c r="H25" s="13" t="n"/>
      <c r="I25" s="13" t="n"/>
      <c r="J25" s="13" t="n"/>
      <c r="K25" s="13" t="n"/>
      <c r="L25" s="13" t="n"/>
      <c r="M25" s="1103" t="n"/>
      <c r="N25" s="13" t="n"/>
      <c r="O25" s="35" t="n"/>
      <c r="P25" s="35" t="n"/>
      <c r="Q25" s="13" t="n"/>
      <c r="R25" s="13" t="n"/>
      <c r="S25" s="178" t="inlineStr">
        <is>
          <t>C1001</t>
        </is>
      </c>
      <c r="T25" s="178" t="inlineStr">
        <is>
          <t>C1001</t>
        </is>
      </c>
      <c r="U25" s="178" t="inlineStr">
        <is>
          <t>C1001</t>
        </is>
      </c>
      <c r="V25" s="178" t="inlineStr">
        <is>
          <t>C1001</t>
        </is>
      </c>
      <c r="W25" s="178" t="inlineStr">
        <is>
          <t>C1001</t>
        </is>
      </c>
      <c r="X25" s="178" t="inlineStr">
        <is>
          <t>C1001</t>
        </is>
      </c>
      <c r="Y25" s="178" t="inlineStr">
        <is>
          <t>C1001</t>
        </is>
      </c>
      <c r="Z25" s="178" t="inlineStr">
        <is>
          <t>C1001</t>
        </is>
      </c>
      <c r="AA25" s="178" t="inlineStr">
        <is>
          <t>C1001</t>
        </is>
      </c>
      <c r="AB25" s="178" t="inlineStr">
        <is>
          <t>C1001</t>
        </is>
      </c>
      <c r="AC25" s="178" t="inlineStr">
        <is>
          <t>C1001</t>
        </is>
      </c>
      <c r="AD25" s="178" t="inlineStr">
        <is>
          <t>C1001</t>
        </is>
      </c>
      <c r="AE25" s="178" t="inlineStr">
        <is>
          <t>C1001</t>
        </is>
      </c>
      <c r="AF25" s="178" t="inlineStr">
        <is>
          <t>C1001</t>
        </is>
      </c>
      <c r="AG25" s="178" t="inlineStr">
        <is>
          <t>C1001</t>
        </is>
      </c>
      <c r="AH25" s="178" t="inlineStr">
        <is>
          <t>C1001</t>
        </is>
      </c>
      <c r="AI25" s="178" t="inlineStr">
        <is>
          <t>C1001</t>
        </is>
      </c>
      <c r="AJ25" s="178" t="inlineStr">
        <is>
          <t>C1001</t>
        </is>
      </c>
      <c r="AK25" s="13" t="n"/>
      <c r="AL25" s="13" t="n"/>
    </row>
    <row r="26" hidden="1" customFormat="1" s="13">
      <c r="A26" s="175" t="inlineStr">
        <is>
          <t>G</t>
        </is>
      </c>
      <c r="B26" s="176">
        <f>IF(_epmOfflineCondition_,"C_SCOPE",EPMDimensionType(,A26))</f>
        <v/>
      </c>
      <c r="C26" s="182">
        <f>E11</f>
        <v/>
      </c>
      <c r="D26" s="182">
        <f>IF(_epmOfflineCondition_,"G_DUMMY",EPMOlapMemberO(C26,"[C_SCOPE].[PARENTH1].[G_DUMMY]","G_DUMMY - 合并范围无关","","000"))</f>
        <v/>
      </c>
      <c r="E26" s="180" t="n"/>
      <c r="F26" s="384" t="n"/>
      <c r="G26" s="384" t="n"/>
      <c r="H26" s="13" t="n"/>
      <c r="I26" s="13" t="n"/>
      <c r="J26" s="13" t="n"/>
      <c r="K26" s="13" t="n"/>
      <c r="L26" s="13" t="n"/>
      <c r="M26" s="1103" t="n"/>
      <c r="N26" s="13" t="n"/>
      <c r="O26" s="35" t="n"/>
      <c r="P26" s="35" t="n"/>
      <c r="Q26" s="13" t="n"/>
      <c r="R26" s="13" t="n"/>
      <c r="S26" s="178">
        <f>$I$11</f>
        <v/>
      </c>
      <c r="T26" s="178">
        <f>$I$11</f>
        <v/>
      </c>
      <c r="U26" s="178">
        <f>$I$11</f>
        <v/>
      </c>
      <c r="V26" s="178">
        <f>$I$11</f>
        <v/>
      </c>
      <c r="W26" s="178">
        <f>$I$11</f>
        <v/>
      </c>
      <c r="X26" s="178">
        <f>$I$11</f>
        <v/>
      </c>
      <c r="Y26" s="178">
        <f>$I$11</f>
        <v/>
      </c>
      <c r="Z26" s="178">
        <f>$I$11</f>
        <v/>
      </c>
      <c r="AA26" s="178">
        <f>$I$11</f>
        <v/>
      </c>
      <c r="AB26" s="178">
        <f>$I$13</f>
        <v/>
      </c>
      <c r="AC26" s="178">
        <f>$I$13</f>
        <v/>
      </c>
      <c r="AD26" s="178">
        <f>$I$13</f>
        <v/>
      </c>
      <c r="AE26" s="178">
        <f>$I$13</f>
        <v/>
      </c>
      <c r="AF26" s="178">
        <f>$I$13</f>
        <v/>
      </c>
      <c r="AG26" s="178">
        <f>$I$13</f>
        <v/>
      </c>
      <c r="AH26" s="178">
        <f>$I$13</f>
        <v/>
      </c>
      <c r="AI26" s="178">
        <f>$I$13</f>
        <v/>
      </c>
      <c r="AJ26" s="178">
        <f>$I$13</f>
        <v/>
      </c>
      <c r="AK26" s="13" t="n"/>
      <c r="AL26" s="13" t="n"/>
    </row>
    <row r="27" hidden="1" customFormat="1" s="13">
      <c r="A27" s="175" t="inlineStr">
        <is>
          <t>U8</t>
        </is>
      </c>
      <c r="B27" s="176">
        <f>IF(_epmOfflineCondition_,"C_PROJECT",EPMDimensionType(,A27))</f>
        <v/>
      </c>
      <c r="C27" s="180" t="inlineStr">
        <is>
          <t>ZP_DUMMY</t>
        </is>
      </c>
      <c r="D27" s="182">
        <f>IF(_epmOfflineCondition_,"ZP_DUMMY",EPMOlapMemberO(C27,"[C_PROJECT].[PARENTH1].[ZP_DUMMY]","ZP_DUMMY - 项目无关","","000"))</f>
        <v/>
      </c>
      <c r="E27" s="180" t="n"/>
      <c r="F27" s="384" t="n"/>
      <c r="G27" s="384" t="n"/>
      <c r="H27" s="13" t="n"/>
      <c r="I27" s="13" t="n"/>
      <c r="J27" s="13" t="n"/>
      <c r="K27" s="13" t="n"/>
      <c r="L27" s="13" t="n"/>
      <c r="M27" s="1103" t="n"/>
      <c r="N27" s="13" t="n"/>
      <c r="O27" s="35" t="n"/>
      <c r="P27" s="35" t="n"/>
      <c r="Q27" s="13" t="n"/>
      <c r="R27" s="13" t="n"/>
      <c r="S27" s="200" t="inlineStr">
        <is>
          <t>YTD</t>
        </is>
      </c>
      <c r="T27" s="200" t="inlineStr">
        <is>
          <t>YTD</t>
        </is>
      </c>
      <c r="U27" s="200" t="inlineStr">
        <is>
          <t>YTD</t>
        </is>
      </c>
      <c r="V27" s="200" t="inlineStr">
        <is>
          <t>YTD</t>
        </is>
      </c>
      <c r="W27" s="200" t="inlineStr">
        <is>
          <t>YTD</t>
        </is>
      </c>
      <c r="X27" s="200" t="inlineStr">
        <is>
          <t>YTD</t>
        </is>
      </c>
      <c r="Y27" s="200" t="inlineStr">
        <is>
          <t>YTD</t>
        </is>
      </c>
      <c r="Z27" s="200" t="inlineStr">
        <is>
          <t>YTD</t>
        </is>
      </c>
      <c r="AA27" s="200" t="inlineStr">
        <is>
          <t>YTD</t>
        </is>
      </c>
      <c r="AB27" s="200" t="inlineStr">
        <is>
          <t>YTD</t>
        </is>
      </c>
      <c r="AC27" s="200" t="inlineStr">
        <is>
          <t>YTD</t>
        </is>
      </c>
      <c r="AD27" s="200" t="inlineStr">
        <is>
          <t>YTD</t>
        </is>
      </c>
      <c r="AE27" s="200" t="inlineStr">
        <is>
          <t>YTD</t>
        </is>
      </c>
      <c r="AF27" s="200" t="inlineStr">
        <is>
          <t>YTD</t>
        </is>
      </c>
      <c r="AG27" s="200" t="inlineStr">
        <is>
          <t>YTD</t>
        </is>
      </c>
      <c r="AH27" s="200" t="inlineStr">
        <is>
          <t>YTD</t>
        </is>
      </c>
      <c r="AI27" s="200" t="inlineStr">
        <is>
          <t>YTD</t>
        </is>
      </c>
      <c r="AJ27" s="200" t="inlineStr">
        <is>
          <t>YTD</t>
        </is>
      </c>
      <c r="AK27" s="13" t="n"/>
      <c r="AL27" s="13" t="n"/>
    </row>
    <row r="28" hidden="1" customFormat="1" s="13">
      <c r="A28" s="175" t="inlineStr">
        <is>
          <t>U9</t>
        </is>
      </c>
      <c r="B28" s="176">
        <f>IF(_epmOfflineCondition_,"C_ITEM",EPMDimensionType(,A28))</f>
        <v/>
      </c>
      <c r="C28" s="180" t="inlineStr">
        <is>
          <t>ZI_DUMMY</t>
        </is>
      </c>
      <c r="D28" s="182">
        <f>IF(_epmOfflineCondition_,"ZI_DUMMY",EPMOlapMemberO(C28,"[C_ITEM].[PARENTH1].[ZI_DUMMY]","ZI_DUMMY - 与子项无关","","000"))</f>
        <v/>
      </c>
      <c r="E28" s="180" t="n"/>
      <c r="F28" s="384" t="n"/>
      <c r="G28" s="384" t="n"/>
      <c r="H28" s="13" t="n"/>
      <c r="I28" s="13" t="n"/>
      <c r="J28" s="13" t="n"/>
      <c r="K28" s="13" t="n"/>
      <c r="L28" s="13" t="n"/>
      <c r="M28" s="13" t="n"/>
      <c r="N28" s="13" t="n"/>
      <c r="O28" s="35" t="n"/>
      <c r="P28" s="35" t="n"/>
      <c r="Q28" s="13" t="n"/>
      <c r="R28" s="13" t="n"/>
      <c r="S28" s="200" t="inlineStr">
        <is>
          <t>F20</t>
        </is>
      </c>
      <c r="T28" s="200" t="inlineStr">
        <is>
          <t>F20</t>
        </is>
      </c>
      <c r="U28" s="200" t="inlineStr">
        <is>
          <t>F20</t>
        </is>
      </c>
      <c r="V28" s="200" t="inlineStr">
        <is>
          <t>F20</t>
        </is>
      </c>
      <c r="W28" s="200" t="inlineStr">
        <is>
          <t>F20</t>
        </is>
      </c>
      <c r="X28" s="200" t="inlineStr">
        <is>
          <t>F20</t>
        </is>
      </c>
      <c r="Y28" s="200" t="inlineStr">
        <is>
          <t>F20</t>
        </is>
      </c>
      <c r="Z28" s="200" t="inlineStr">
        <is>
          <t>F20</t>
        </is>
      </c>
      <c r="AA28" s="200" t="inlineStr">
        <is>
          <t>F20</t>
        </is>
      </c>
      <c r="AB28" s="200" t="inlineStr">
        <is>
          <t>F20</t>
        </is>
      </c>
      <c r="AC28" s="200" t="inlineStr">
        <is>
          <t>F20</t>
        </is>
      </c>
      <c r="AD28" s="200" t="inlineStr">
        <is>
          <t>F20</t>
        </is>
      </c>
      <c r="AE28" s="200" t="inlineStr">
        <is>
          <t>F20</t>
        </is>
      </c>
      <c r="AF28" s="200" t="inlineStr">
        <is>
          <t>F20</t>
        </is>
      </c>
      <c r="AG28" s="200" t="inlineStr">
        <is>
          <t>F20</t>
        </is>
      </c>
      <c r="AH28" s="200" t="inlineStr">
        <is>
          <t>F20</t>
        </is>
      </c>
      <c r="AI28" s="200" t="inlineStr">
        <is>
          <t>F20</t>
        </is>
      </c>
      <c r="AJ28" s="200" t="inlineStr">
        <is>
          <t>F20</t>
        </is>
      </c>
      <c r="AK28" s="13" t="n"/>
      <c r="AL28" s="13" t="n"/>
    </row>
    <row r="29" hidden="1" customFormat="1" s="13">
      <c r="A29" s="175" t="inlineStr">
        <is>
          <t>U10</t>
        </is>
      </c>
      <c r="B29" s="176">
        <f>IF(_epmOfflineCondition_,"C_MISK",EPMDimensionType(,A29))</f>
        <v/>
      </c>
      <c r="C29" s="672" t="inlineStr">
        <is>
          <t>ZM_DUMMY</t>
        </is>
      </c>
      <c r="D29" s="182" t="n"/>
      <c r="E29" s="180" t="inlineStr">
        <is>
          <t>ZM_ALL</t>
        </is>
      </c>
      <c r="F29" s="384" t="n"/>
      <c r="G29" s="384" t="n"/>
      <c r="H29" s="13" t="n"/>
      <c r="I29" s="13" t="n"/>
      <c r="J29" s="13" t="n"/>
      <c r="K29" s="13" t="n"/>
      <c r="L29" s="13" t="n"/>
      <c r="M29" s="1103" t="n"/>
      <c r="N29" s="13" t="n"/>
      <c r="O29" s="35" t="n"/>
      <c r="P29" s="35" t="n"/>
      <c r="Q29" s="13" t="n"/>
      <c r="R29" s="13" t="n"/>
      <c r="S29" s="178" t="inlineStr">
        <is>
          <t>ZM030</t>
        </is>
      </c>
      <c r="T29" s="178" t="inlineStr">
        <is>
          <t>ZM0300101</t>
        </is>
      </c>
      <c r="U29" s="178" t="inlineStr">
        <is>
          <t>ZM0300102</t>
        </is>
      </c>
      <c r="V29" s="178" t="inlineStr">
        <is>
          <t>ZM0300103</t>
        </is>
      </c>
      <c r="W29" s="178" t="inlineStr">
        <is>
          <t>ZM0300104</t>
        </is>
      </c>
      <c r="X29" s="178" t="inlineStr">
        <is>
          <t>ZM0300105</t>
        </is>
      </c>
      <c r="Y29" s="178" t="inlineStr">
        <is>
          <t>ZM0300201</t>
        </is>
      </c>
      <c r="Z29" s="178" t="inlineStr">
        <is>
          <t>ZM0300202</t>
        </is>
      </c>
      <c r="AA29" s="178" t="inlineStr">
        <is>
          <t>ZM0300106</t>
        </is>
      </c>
      <c r="AB29" s="178" t="inlineStr">
        <is>
          <t>ZM030</t>
        </is>
      </c>
      <c r="AC29" s="178" t="inlineStr">
        <is>
          <t>ZM0300101</t>
        </is>
      </c>
      <c r="AD29" s="178" t="inlineStr">
        <is>
          <t>ZM0300102</t>
        </is>
      </c>
      <c r="AE29" s="178" t="inlineStr">
        <is>
          <t>ZM0300103</t>
        </is>
      </c>
      <c r="AF29" s="178" t="inlineStr">
        <is>
          <t>ZM0300104</t>
        </is>
      </c>
      <c r="AG29" s="178" t="inlineStr">
        <is>
          <t>ZM0300105</t>
        </is>
      </c>
      <c r="AH29" s="178" t="inlineStr">
        <is>
          <t>ZM0300201</t>
        </is>
      </c>
      <c r="AI29" s="178" t="inlineStr">
        <is>
          <t>ZM0300202</t>
        </is>
      </c>
      <c r="AJ29" s="178" t="inlineStr">
        <is>
          <t>ZM0300106</t>
        </is>
      </c>
      <c r="AK29" s="13" t="n"/>
      <c r="AL29" s="13" t="n"/>
    </row>
    <row r="30" hidden="1" customFormat="1" s="13">
      <c r="A30" s="175" t="n"/>
      <c r="B30" s="175">
        <f>IF(_epmOfflineCondition_,"",EPMDimensionType(,A30))</f>
        <v/>
      </c>
      <c r="C30" s="182" t="inlineStr">
        <is>
          <t>PERIODIC</t>
        </is>
      </c>
      <c r="D30" s="390" t="n"/>
      <c r="E30" s="180" t="n"/>
      <c r="F30" s="384" t="n"/>
      <c r="G30" s="384" t="n"/>
      <c r="H30" s="13" t="n"/>
      <c r="I30" s="13" t="n"/>
      <c r="J30" s="13" t="n"/>
      <c r="K30" s="13" t="n"/>
      <c r="L30" s="13" t="n"/>
      <c r="M30" s="13" t="n"/>
      <c r="N30" s="13" t="n"/>
      <c r="O30" s="35" t="n"/>
      <c r="P30" s="35" t="n"/>
      <c r="Q30" s="13" t="n"/>
      <c r="R30" s="13" t="n"/>
      <c r="S30" s="13" t="n"/>
      <c r="T30" s="13" t="n"/>
      <c r="U30" s="13" t="n"/>
      <c r="V30" s="13" t="n"/>
      <c r="W30" s="13" t="n"/>
      <c r="X30" s="220" t="n"/>
      <c r="Y30" s="13" t="n"/>
      <c r="Z30" s="13" t="n"/>
      <c r="AA30" s="13" t="n"/>
      <c r="AB30" s="13" t="n"/>
      <c r="AC30" s="13" t="n"/>
      <c r="AD30" s="13" t="n"/>
      <c r="AE30" s="13" t="n"/>
      <c r="AF30" s="13" t="n"/>
      <c r="AG30" s="13" t="n"/>
      <c r="AH30" s="13" t="n"/>
      <c r="AI30" s="13" t="n"/>
      <c r="AJ30" s="13" t="n"/>
      <c r="AK30" s="13" t="n"/>
      <c r="AL30" s="13" t="n"/>
    </row>
    <row r="31" hidden="1" customFormat="1" s="13">
      <c r="A31" s="13" t="n"/>
      <c r="B31" s="1103" t="n"/>
      <c r="C31" s="1103" t="n"/>
      <c r="D31" s="1103" t="n"/>
      <c r="E31" s="13" t="n"/>
      <c r="F31" s="13" t="n"/>
      <c r="G31" s="13" t="n"/>
      <c r="H31" s="13" t="n"/>
      <c r="I31" s="13" t="n"/>
      <c r="J31" s="13" t="n"/>
      <c r="K31" s="13" t="n"/>
      <c r="L31" s="13" t="n"/>
      <c r="M31" s="13" t="n"/>
      <c r="N31" s="13" t="n"/>
      <c r="O31" s="35" t="n"/>
      <c r="P31" s="35" t="n"/>
      <c r="Q31" s="13" t="n"/>
      <c r="R31" s="13" t="n"/>
      <c r="S31" s="384" t="n"/>
      <c r="T31" s="384" t="n"/>
      <c r="U31" s="13" t="n"/>
      <c r="V31" s="13" t="n"/>
      <c r="W31" s="13" t="n"/>
      <c r="X31" s="220" t="n"/>
      <c r="Y31" s="13" t="n"/>
      <c r="Z31" s="13" t="n"/>
      <c r="AA31" s="13" t="n"/>
      <c r="AB31" s="13" t="n"/>
      <c r="AC31" s="13" t="n"/>
      <c r="AD31" s="13" t="n"/>
      <c r="AE31" s="13" t="n"/>
      <c r="AF31" s="13" t="n"/>
      <c r="AG31" s="13" t="n"/>
      <c r="AH31" s="13" t="n"/>
      <c r="AI31" s="13" t="n"/>
      <c r="AJ31" s="13" t="n"/>
      <c r="AK31" s="13" t="n"/>
      <c r="AL31" s="13" t="n"/>
    </row>
    <row r="32" hidden="1" customFormat="1" s="13">
      <c r="A32" s="13" t="n"/>
      <c r="B32" s="1103" t="n"/>
      <c r="C32" s="1103" t="n"/>
      <c r="D32" s="1103" t="n"/>
      <c r="E32" s="13" t="n"/>
      <c r="F32" s="13" t="n"/>
      <c r="G32" s="13" t="n"/>
      <c r="H32" s="13" t="n"/>
      <c r="I32" s="13" t="n"/>
      <c r="J32" s="13" t="n"/>
      <c r="K32" s="13" t="n"/>
      <c r="L32" s="13" t="n"/>
      <c r="M32" s="13" t="n"/>
      <c r="N32" s="13" t="n"/>
      <c r="O32" s="13" t="n"/>
      <c r="P32" s="13" t="n"/>
      <c r="Q32" s="13" t="n"/>
      <c r="R32" s="13" t="n"/>
      <c r="S32" s="13" t="n"/>
      <c r="T32" s="13" t="n"/>
      <c r="U32" s="13" t="n"/>
      <c r="V32" s="13" t="n"/>
      <c r="W32" s="13" t="n"/>
      <c r="X32" s="220" t="n"/>
      <c r="Y32" s="13" t="n"/>
      <c r="Z32" s="13" t="n"/>
      <c r="AA32" s="13" t="n"/>
      <c r="AB32" s="13" t="n"/>
      <c r="AC32" s="13" t="n"/>
      <c r="AD32" s="13" t="n"/>
      <c r="AE32" s="13" t="n"/>
      <c r="AF32" s="13" t="n"/>
      <c r="AG32" s="13" t="n"/>
      <c r="AH32" s="13" t="n"/>
      <c r="AI32" s="13" t="n"/>
      <c r="AJ32" s="13" t="n"/>
      <c r="AK32" s="13" t="n"/>
      <c r="AL32" s="13" t="n"/>
    </row>
    <row r="33" customFormat="1" s="13">
      <c r="A33" s="13" t="n"/>
      <c r="B33" s="1103" t="n"/>
      <c r="C33" s="1103" t="n"/>
      <c r="D33" s="1103" t="n"/>
      <c r="E33" s="13" t="n"/>
      <c r="F33" s="13" t="n"/>
      <c r="G33" s="13" t="n"/>
      <c r="H33" s="13" t="n"/>
      <c r="I33" s="13" t="n"/>
      <c r="J33" s="13" t="n"/>
      <c r="K33" s="13" t="n"/>
      <c r="L33" s="13" t="n"/>
      <c r="M33" s="13" t="n"/>
      <c r="N33" s="13" t="n"/>
      <c r="O33" s="13" t="n"/>
      <c r="P33" s="13" t="n"/>
      <c r="Q33" s="13" t="n"/>
      <c r="R33" s="13" t="n"/>
      <c r="S33" s="13" t="n"/>
      <c r="T33" s="13" t="n"/>
      <c r="U33" s="13" t="n"/>
      <c r="V33" s="13" t="n"/>
      <c r="W33" s="13" t="n"/>
      <c r="X33" s="220" t="n"/>
      <c r="Y33" s="13" t="n"/>
      <c r="Z33" s="13" t="n"/>
      <c r="AA33" s="13" t="n"/>
      <c r="AB33" s="13" t="n"/>
      <c r="AC33" s="13" t="n"/>
      <c r="AD33" s="13" t="n"/>
      <c r="AE33" s="13" t="n"/>
      <c r="AF33" s="13" t="n"/>
      <c r="AG33" s="13" t="n"/>
      <c r="AH33" s="13" t="n"/>
      <c r="AI33" s="13" t="n"/>
      <c r="AJ33" s="13" t="n"/>
      <c r="AK33" s="13" t="n"/>
      <c r="AL33" s="13" t="n"/>
    </row>
    <row r="34" ht="10.5" customFormat="1" customHeight="1" s="13">
      <c r="A34" s="13" t="n"/>
      <c r="B34" s="1103" t="n"/>
      <c r="C34" s="1103" t="n"/>
      <c r="D34" s="1103" t="n"/>
      <c r="E34" s="13" t="n"/>
      <c r="F34" s="13" t="n"/>
      <c r="G34" s="13" t="n"/>
      <c r="H34" s="13" t="n"/>
      <c r="I34" s="13" t="n"/>
      <c r="J34" s="13" t="n"/>
      <c r="K34" s="13" t="n"/>
      <c r="L34" s="13" t="n"/>
      <c r="M34" s="13" t="n"/>
      <c r="N34" s="13" t="n"/>
      <c r="O34" s="13" t="n"/>
      <c r="P34" s="13" t="n"/>
      <c r="Q34" s="13" t="n"/>
      <c r="R34" s="13" t="n"/>
      <c r="S34" s="13" t="n"/>
      <c r="T34" s="13" t="n"/>
      <c r="U34" s="13" t="n"/>
      <c r="V34" s="13" t="n"/>
      <c r="W34" s="13" t="n"/>
      <c r="X34" s="220" t="n"/>
      <c r="Y34" s="13" t="n"/>
      <c r="Z34" s="13" t="n"/>
      <c r="AA34" s="13" t="n"/>
      <c r="AB34" s="13" t="n"/>
      <c r="AC34" s="13" t="n"/>
      <c r="AD34" s="13" t="n"/>
      <c r="AE34" s="13" t="n"/>
      <c r="AF34" s="13" t="n"/>
      <c r="AG34" s="13" t="n"/>
      <c r="AH34" s="13" t="n"/>
      <c r="AI34" s="13" t="n"/>
      <c r="AJ34" s="13" t="n"/>
      <c r="AK34" s="13" t="n"/>
      <c r="AL34" s="13" t="n"/>
    </row>
    <row r="35" ht="32.25" customHeight="1" s="1181">
      <c r="A35" s="384" t="n"/>
      <c r="B35" s="384" t="n"/>
      <c r="C35" s="384" t="n"/>
      <c r="D35" s="384" t="n"/>
      <c r="E35" s="384" t="n"/>
      <c r="F35" s="384" t="n"/>
      <c r="G35" s="384" t="n"/>
      <c r="H35" s="384" t="n"/>
      <c r="I35" s="384" t="n"/>
      <c r="J35" s="384" t="n"/>
      <c r="K35" s="384" t="n"/>
      <c r="L35" s="384" t="n"/>
      <c r="M35" s="32" t="n"/>
      <c r="N35" s="384" t="n"/>
      <c r="O35" s="384" t="n"/>
      <c r="P35" s="384" t="n"/>
      <c r="Q35" s="384" t="n"/>
      <c r="R35" s="384" t="n"/>
      <c r="S35" s="384" t="n"/>
      <c r="T35" s="384" t="n"/>
      <c r="U35" s="201" t="inlineStr">
        <is>
          <t>分板块利润表（发电企业）</t>
        </is>
      </c>
      <c r="V35" s="384" t="n"/>
      <c r="W35" s="384" t="n"/>
      <c r="X35" s="114" t="inlineStr">
        <is>
          <t>售热列
清洁能源下级单位：
营业利润以下项目无法分摊到发电、售热，因此金额全填到发电即可。</t>
        </is>
      </c>
      <c r="Z35" s="384" t="n"/>
      <c r="AA35" s="384" t="n"/>
      <c r="AB35" s="384" t="n"/>
      <c r="AC35" s="384" t="n"/>
      <c r="AD35" s="384" t="n"/>
      <c r="AE35" s="384" t="n"/>
      <c r="AF35" s="384" t="n"/>
      <c r="AG35" s="384" t="n"/>
      <c r="AH35" s="384" t="n"/>
      <c r="AI35" s="384" t="n"/>
      <c r="AJ35" s="384" t="n"/>
      <c r="AK35" s="384" t="n"/>
      <c r="AL35" s="384" t="n"/>
    </row>
    <row r="36" ht="30.75" customFormat="1" customHeight="1" s="716">
      <c r="A36" s="716" t="n"/>
      <c r="B36" s="716" t="n"/>
      <c r="C36" s="716" t="n"/>
      <c r="D36" s="716" t="n"/>
      <c r="E36" s="716" t="n"/>
      <c r="F36" s="716" t="n"/>
      <c r="G36" s="716" t="n"/>
      <c r="H36" s="716" t="n"/>
      <c r="I36" s="716" t="n"/>
      <c r="J36" s="716" t="n"/>
      <c r="K36" s="716" t="n"/>
      <c r="L36" s="716" t="n"/>
      <c r="M36" s="462" t="n"/>
      <c r="N36" s="716" t="n"/>
      <c r="O36" s="716" t="n"/>
      <c r="P36" s="716" t="n"/>
      <c r="Q36" s="716" t="n"/>
      <c r="R36" s="760">
        <f>IF(_epmOfflineCondition_,"编制单位：内蒙古京能苏尼特风力发电有限公司（内蒙古分公司）","编制单位："&amp;EPMMemberDesc($D$6))</f>
        <v/>
      </c>
      <c r="S36" s="202" t="inlineStr">
        <is>
          <t>🔺外币单位请直接填写折算后的人民币数。</t>
        </is>
      </c>
      <c r="T36" s="716" t="n"/>
      <c r="U36" s="203" t="n"/>
      <c r="V36" s="716" t="n"/>
      <c r="W36" s="115" t="n"/>
      <c r="Z36" s="115" t="n"/>
      <c r="AA36" s="115" t="n"/>
      <c r="AB36" s="716" t="n"/>
      <c r="AC36" s="716" t="n"/>
      <c r="AD36" s="716" t="n"/>
      <c r="AE36" s="716" t="n"/>
      <c r="AF36" s="716" t="n"/>
      <c r="AG36" s="716" t="n"/>
      <c r="AH36" s="716" t="n"/>
      <c r="AI36" s="716" t="n"/>
      <c r="AJ36" s="115" t="n"/>
      <c r="AK36" s="716" t="n"/>
      <c r="AL36" s="716" t="n"/>
    </row>
    <row r="37" ht="16.5" customFormat="1" customHeight="1" s="716">
      <c r="A37" s="716" t="n"/>
      <c r="B37" s="716" t="n"/>
      <c r="C37" s="716" t="n"/>
      <c r="D37" s="716" t="n"/>
      <c r="E37" s="716" t="n"/>
      <c r="F37" s="716" t="n"/>
      <c r="G37" s="716" t="n"/>
      <c r="H37" s="716" t="n"/>
      <c r="I37" s="716" t="n"/>
      <c r="J37" s="716" t="n"/>
      <c r="K37" s="716" t="n"/>
      <c r="L37" s="716" t="n"/>
      <c r="M37" s="462" t="n"/>
      <c r="N37" s="716" t="n"/>
      <c r="O37" s="716" t="n"/>
      <c r="P37" s="716" t="n"/>
      <c r="Q37" s="716" t="n"/>
      <c r="R37" s="760">
        <f>"编制月份："&amp;$I$3&amp;"年"&amp;$I$8&amp;"月"</f>
        <v/>
      </c>
      <c r="S37" s="204" t="inlineStr">
        <is>
          <t>审计线索：</t>
        </is>
      </c>
      <c r="T37" s="182" t="inlineStr">
        <is>
          <t>单体录入</t>
        </is>
      </c>
      <c r="U37" s="716" t="n"/>
      <c r="V37" s="716" t="n"/>
      <c r="W37" s="716" t="n"/>
      <c r="X37" s="716" t="n"/>
      <c r="Y37" s="716" t="n"/>
      <c r="Z37" s="223" t="inlineStr">
        <is>
          <t>金额单位：元</t>
        </is>
      </c>
      <c r="AA37" s="223" t="n"/>
      <c r="AB37" s="716" t="n"/>
      <c r="AC37" s="716" t="n"/>
      <c r="AD37" s="716" t="n"/>
      <c r="AE37" s="716" t="n"/>
      <c r="AF37" s="716" t="n"/>
      <c r="AG37" s="716" t="n"/>
      <c r="AH37" s="716" t="n"/>
      <c r="AI37" s="716" t="n"/>
      <c r="AJ37" s="223" t="n"/>
      <c r="AK37" s="716" t="n"/>
      <c r="AL37" s="716" t="n"/>
    </row>
    <row r="38" ht="17.45" customFormat="1" customHeight="1" s="716">
      <c r="A38" s="716" t="n"/>
      <c r="B38" s="716" t="n"/>
      <c r="C38" s="716" t="n"/>
      <c r="D38" s="716" t="n"/>
      <c r="E38" s="716" t="n"/>
      <c r="F38" s="716" t="n"/>
      <c r="G38" s="716" t="n"/>
      <c r="H38" s="716" t="n"/>
      <c r="I38" s="716" t="n"/>
      <c r="J38" s="716" t="n"/>
      <c r="K38" s="716" t="n"/>
      <c r="L38" s="716" t="n"/>
      <c r="M38" s="462" t="n"/>
      <c r="N38" s="716" t="n"/>
      <c r="O38" s="716" t="n"/>
      <c r="P38" s="716" t="n"/>
      <c r="Q38" s="716" t="n"/>
      <c r="R38" s="760" t="n"/>
      <c r="S38" s="716" t="n"/>
      <c r="T38" s="716" t="n"/>
      <c r="U38" s="203" t="n"/>
      <c r="V38" s="716" t="n"/>
      <c r="W38" s="716" t="n"/>
      <c r="X38" s="716" t="n"/>
      <c r="Y38" s="116" t="n"/>
      <c r="Z38" s="716" t="n"/>
      <c r="AA38" s="716" t="n"/>
      <c r="AB38" s="716" t="n"/>
      <c r="AC38" s="716" t="n"/>
      <c r="AD38" s="716" t="n"/>
      <c r="AE38" s="716" t="n"/>
      <c r="AF38" s="716" t="n"/>
      <c r="AG38" s="716" t="n"/>
      <c r="AH38" s="716" t="n"/>
      <c r="AI38" s="716" t="n"/>
      <c r="AJ38" s="716" t="n"/>
      <c r="AK38" s="716" t="n"/>
      <c r="AL38" s="716" t="n"/>
    </row>
    <row r="39" ht="16.5" customFormat="1" customHeight="1" s="716">
      <c r="A39" s="716" t="n"/>
      <c r="B39" s="716" t="n"/>
      <c r="C39" s="716" t="n"/>
      <c r="D39" s="716" t="n"/>
      <c r="E39" s="716" t="n"/>
      <c r="F39" s="716" t="n"/>
      <c r="G39" s="716" t="n"/>
      <c r="H39" s="716" t="n"/>
      <c r="I39" s="716" t="n"/>
      <c r="J39" s="716" t="n"/>
      <c r="K39" s="716" t="n"/>
      <c r="L39" s="384" t="n"/>
      <c r="M39" s="384" t="n"/>
      <c r="N39" s="384" t="n"/>
      <c r="O39" s="384" t="n"/>
      <c r="P39" s="384" t="n"/>
      <c r="Q39" s="716" t="n"/>
      <c r="R39" s="99" t="inlineStr">
        <is>
          <t xml:space="preserve">  单位：元，千千瓦时</t>
        </is>
      </c>
      <c r="S39" s="1180" t="inlineStr">
        <is>
          <t>本年累计数</t>
        </is>
      </c>
      <c r="T39" s="1401" t="n"/>
      <c r="U39" s="1401" t="n"/>
      <c r="V39" s="1401" t="n"/>
      <c r="W39" s="1401" t="n"/>
      <c r="X39" s="1401" t="n"/>
      <c r="Y39" s="1401" t="n"/>
      <c r="Z39" s="1401" t="n"/>
      <c r="AA39" s="1402" t="n"/>
      <c r="AB39" s="1180" t="inlineStr">
        <is>
          <t>上年同期数</t>
        </is>
      </c>
      <c r="AC39" s="1401" t="n"/>
      <c r="AD39" s="1401" t="n"/>
      <c r="AE39" s="1401" t="n"/>
      <c r="AF39" s="1401" t="n"/>
      <c r="AG39" s="1401" t="n"/>
      <c r="AH39" s="1401" t="n"/>
      <c r="AI39" s="1401" t="n"/>
      <c r="AJ39" s="1402" t="n"/>
      <c r="AK39" s="716" t="n"/>
      <c r="AL39" s="716" t="n"/>
    </row>
    <row r="40" ht="16.5" customFormat="1" customHeight="1" s="716">
      <c r="A40" s="716" t="n"/>
      <c r="B40" s="716" t="n"/>
      <c r="C40" s="716" t="n"/>
      <c r="D40" s="716" t="n"/>
      <c r="E40" s="716" t="n"/>
      <c r="F40" s="716" t="n"/>
      <c r="G40" s="716" t="n"/>
      <c r="H40" s="716" t="n"/>
      <c r="I40" s="716" t="n"/>
      <c r="J40" s="716" t="n"/>
      <c r="K40" s="716" t="n"/>
      <c r="L40" s="384" t="n"/>
      <c r="M40" s="384" t="n"/>
      <c r="N40" s="384" t="n"/>
      <c r="O40" s="384" t="n"/>
      <c r="P40" s="384" t="n"/>
      <c r="Q40" s="716" t="n"/>
      <c r="R40" s="101" t="inlineStr">
        <is>
          <t>——</t>
        </is>
      </c>
      <c r="S40" s="102" t="inlineStr">
        <is>
          <t>合计</t>
        </is>
      </c>
      <c r="T40" s="103" t="inlineStr">
        <is>
          <t>火力发电</t>
        </is>
      </c>
      <c r="U40" s="103" t="inlineStr">
        <is>
          <t>风力发电</t>
        </is>
      </c>
      <c r="V40" s="103" t="inlineStr">
        <is>
          <t>光伏发电</t>
        </is>
      </c>
      <c r="W40" s="103" t="inlineStr">
        <is>
          <t>燃气发电</t>
        </is>
      </c>
      <c r="X40" s="103" t="inlineStr">
        <is>
          <t>水力发电</t>
        </is>
      </c>
      <c r="Y40" s="103" t="inlineStr">
        <is>
          <t>售热</t>
        </is>
      </c>
      <c r="Z40" s="102" t="inlineStr">
        <is>
          <t>售电服务</t>
        </is>
      </c>
      <c r="AA40" s="102" t="inlineStr">
        <is>
          <t>其他</t>
        </is>
      </c>
      <c r="AB40" s="102" t="inlineStr">
        <is>
          <t>合计</t>
        </is>
      </c>
      <c r="AC40" s="103" t="inlineStr">
        <is>
          <t>火力发电</t>
        </is>
      </c>
      <c r="AD40" s="103" t="inlineStr">
        <is>
          <t>风力发电</t>
        </is>
      </c>
      <c r="AE40" s="103" t="inlineStr">
        <is>
          <t>光伏发电</t>
        </is>
      </c>
      <c r="AF40" s="103" t="inlineStr">
        <is>
          <t>燃气发电</t>
        </is>
      </c>
      <c r="AG40" s="103" t="inlineStr">
        <is>
          <t>水力发电</t>
        </is>
      </c>
      <c r="AH40" s="103" t="inlineStr">
        <is>
          <t>售热</t>
        </is>
      </c>
      <c r="AI40" s="102" t="inlineStr">
        <is>
          <t>售电服务</t>
        </is>
      </c>
      <c r="AJ40" s="120" t="inlineStr">
        <is>
          <t>其他</t>
        </is>
      </c>
      <c r="AK40" s="716" t="n"/>
      <c r="AL40" s="716" t="n"/>
    </row>
    <row r="41" hidden="1" outlineLevel="1" customFormat="1" s="716">
      <c r="A41" s="716" t="n"/>
      <c r="B41" s="716" t="n"/>
      <c r="C41" s="716" t="n"/>
      <c r="D41" s="716" t="n"/>
      <c r="E41" s="716" t="n"/>
      <c r="F41" s="716" t="n"/>
      <c r="G41" s="716" t="n"/>
      <c r="H41" s="716" t="n"/>
      <c r="I41" s="716" t="n"/>
      <c r="J41" s="716" t="n"/>
      <c r="K41" s="716" t="n"/>
      <c r="L41" s="384" t="n"/>
      <c r="M41" s="384" t="n"/>
      <c r="N41" s="384" t="n"/>
      <c r="O41" s="384" t="n"/>
      <c r="P41" s="384" t="n"/>
      <c r="Q41" s="716" t="n"/>
      <c r="R41" s="104" t="inlineStr">
        <is>
          <t>measures</t>
        </is>
      </c>
      <c r="S41" s="62">
        <f>IF(_epmOfflineCondition_,"YTD",EPMOlapMemberO(S$27,"[MEASURES].[].[YTD]","YTD - Year To Date","","000"))</f>
        <v/>
      </c>
      <c r="T41" s="62">
        <f>IF(_epmOfflineCondition_,"YTD",EPMOlapMemberO(T$27,"[MEASURES].[].[YTD]","YTD - Year To Date","","000"))</f>
        <v/>
      </c>
      <c r="U41" s="62">
        <f>IF(_epmOfflineCondition_,"YTD",EPMOlapMemberO(U$27,"[MEASURES].[].[YTD]","YTD - Year To Date","","000"))</f>
        <v/>
      </c>
      <c r="V41" s="62">
        <f>IF(_epmOfflineCondition_,"YTD",EPMOlapMemberO(V$27,"[MEASURES].[].[YTD]","YTD - Year To Date","","000"))</f>
        <v/>
      </c>
      <c r="W41" s="62">
        <f>IF(_epmOfflineCondition_,"YTD",EPMOlapMemberO(W$27,"[MEASURES].[].[YTD]","YTD - Year To Date","","000"))</f>
        <v/>
      </c>
      <c r="X41" s="62">
        <f>IF(_epmOfflineCondition_,"YTD",EPMOlapMemberO(X$27,"[MEASURES].[].[YTD]","YTD - Year To Date","","000"))</f>
        <v/>
      </c>
      <c r="Y41" s="62">
        <f>IF(_epmOfflineCondition_,"YTD",EPMOlapMemberO(Y$27,"[MEASURES].[].[YTD]","YTD - Year To Date","","000"))</f>
        <v/>
      </c>
      <c r="Z41" s="62">
        <f>IF(_epmOfflineCondition_,"YTD",EPMOlapMemberO(Z$27,"[MEASURES].[].[YTD]","YTD - Year To Date","","000"))</f>
        <v/>
      </c>
      <c r="AA41" s="62">
        <f>IF(_epmOfflineCondition_,"YTD",EPMOlapMemberO(AA$27,"[MEASURES].[].[YTD]","YTD - Year To Date","","000"))</f>
        <v/>
      </c>
      <c r="AB41" s="62">
        <f>IF(_epmOfflineCondition_,"YTD",EPMOlapMemberO(AB$27,"[MEASURES].[].[YTD]","YTD - Year To Date","","000"))</f>
        <v/>
      </c>
      <c r="AC41" s="62">
        <f>IF(_epmOfflineCondition_,"YTD",EPMOlapMemberO(AC$27,"[MEASURES].[].[YTD]","YTD - Year To Date","","000"))</f>
        <v/>
      </c>
      <c r="AD41" s="62">
        <f>IF(_epmOfflineCondition_,"YTD",EPMOlapMemberO(AD$27,"[MEASURES].[].[YTD]","YTD - Year To Date","","000"))</f>
        <v/>
      </c>
      <c r="AE41" s="62">
        <f>IF(_epmOfflineCondition_,"YTD",EPMOlapMemberO(AE$27,"[MEASURES].[].[YTD]","YTD - Year To Date","","000"))</f>
        <v/>
      </c>
      <c r="AF41" s="62">
        <f>IF(_epmOfflineCondition_,"YTD",EPMOlapMemberO(AF$27,"[MEASURES].[].[YTD]","YTD - Year To Date","","000"))</f>
        <v/>
      </c>
      <c r="AG41" s="62">
        <f>IF(_epmOfflineCondition_,"YTD",EPMOlapMemberO(AG$27,"[MEASURES].[].[YTD]","YTD - Year To Date","","000"))</f>
        <v/>
      </c>
      <c r="AH41" s="62">
        <f>IF(_epmOfflineCondition_,"YTD",EPMOlapMemberO(AH$27,"[MEASURES].[].[YTD]","YTD - Year To Date","","000"))</f>
        <v/>
      </c>
      <c r="AI41" s="62">
        <f>IF(_epmOfflineCondition_,"YTD",EPMOlapMemberO(AI$27,"[MEASURES].[].[YTD]","YTD - Year To Date","","000"))</f>
        <v/>
      </c>
      <c r="AJ41" s="78">
        <f>IF(_epmOfflineCondition_,"YTD",EPMOlapMemberO(AJ$27,"[MEASURES].[].[YTD]","YTD - Year To Date","","000"))</f>
        <v/>
      </c>
      <c r="AK41" s="716" t="n"/>
      <c r="AL41" s="716" t="n"/>
    </row>
    <row r="42" hidden="1" outlineLevel="1" ht="14.25" customFormat="1" customHeight="1" s="462">
      <c r="A42" s="462" t="n"/>
      <c r="B42" s="462" t="n"/>
      <c r="C42" s="462" t="n"/>
      <c r="D42" s="462" t="n"/>
      <c r="E42" s="462" t="n"/>
      <c r="F42" s="462" t="n"/>
      <c r="G42" s="462" t="n"/>
      <c r="H42" s="462" t="n"/>
      <c r="I42" s="462" t="n"/>
      <c r="J42" s="462" t="n"/>
      <c r="K42" s="462" t="n"/>
      <c r="L42" s="384" t="n"/>
      <c r="M42" s="384" t="n"/>
      <c r="N42" s="384" t="n"/>
      <c r="O42" s="384" t="n"/>
      <c r="P42" s="384" t="n"/>
      <c r="Q42" s="462" t="n"/>
      <c r="R42" s="104" t="inlineStr">
        <is>
          <t>time</t>
        </is>
      </c>
      <c r="S42" s="63">
        <f>IF(_epmOfflineCondition_,"2025.03",EPMOlapMemberO(S$26,"[C_TIME].[PARENTH1].[2025.03]","2025.03 - 2025.03","","000"))</f>
        <v/>
      </c>
      <c r="T42" s="63">
        <f>IF(_epmOfflineCondition_,"2025.03",EPMOlapMemberO(T$26,"[C_TIME].[PARENTH1].[2025.03]","2025.03 - 2025.03","","000"))</f>
        <v/>
      </c>
      <c r="U42" s="63">
        <f>IF(_epmOfflineCondition_,"2025.03",EPMOlapMemberO(U$26,"[C_TIME].[PARENTH1].[2025.03]","2025.03 - 2025.03","","000"))</f>
        <v/>
      </c>
      <c r="V42" s="63">
        <f>IF(_epmOfflineCondition_,"2025.03",EPMOlapMemberO(V$26,"[C_TIME].[PARENTH1].[2025.03]","2025.03 - 2025.03","","000"))</f>
        <v/>
      </c>
      <c r="W42" s="63">
        <f>IF(_epmOfflineCondition_,"2025.03",EPMOlapMemberO(W$26,"[C_TIME].[PARENTH1].[2025.03]","2025.03 - 2025.03","","000"))</f>
        <v/>
      </c>
      <c r="X42" s="63">
        <f>IF(_epmOfflineCondition_,"2025.03",EPMOlapMemberO(X$26,"[C_TIME].[PARENTH1].[2025.03]","2025.03 - 2025.03","","000"))</f>
        <v/>
      </c>
      <c r="Y42" s="63">
        <f>IF(_epmOfflineCondition_,"2025.03",EPMOlapMemberO(Y$26,"[C_TIME].[PARENTH1].[2025.03]","2025.03 - 2025.03","","000"))</f>
        <v/>
      </c>
      <c r="Z42" s="63">
        <f>IF(_epmOfflineCondition_,"2025.03",EPMOlapMemberO(Z$26,"[C_TIME].[PARENTH1].[2025.03]","2025.03 - 2025.03","","000"))</f>
        <v/>
      </c>
      <c r="AA42" s="63">
        <f>IF(_epmOfflineCondition_,"2025.03",EPMOlapMemberO(AA$26,"[C_TIME].[PARENTH1].[2025.03]","2025.03 - 2025.03","","000"))</f>
        <v/>
      </c>
      <c r="AB42" s="63">
        <f>IF(_epmOfflineCondition_,"2024.03",EPMOlapMemberO(AB$26,"[C_TIME].[PARENTH1].[2024.03]","2024.03 - 2024.03","","000"))</f>
        <v/>
      </c>
      <c r="AC42" s="63">
        <f>IF(_epmOfflineCondition_,"2024.03",EPMOlapMemberO(AC$26,"[C_TIME].[PARENTH1].[2024.03]","2024.03 - 2024.03","","000"))</f>
        <v/>
      </c>
      <c r="AD42" s="63">
        <f>IF(_epmOfflineCondition_,"2024.03",EPMOlapMemberO(AD$26,"[C_TIME].[PARENTH1].[2024.03]","2024.03 - 2024.03","","000"))</f>
        <v/>
      </c>
      <c r="AE42" s="63">
        <f>IF(_epmOfflineCondition_,"2024.03",EPMOlapMemberO(AE$26,"[C_TIME].[PARENTH1].[2024.03]","2024.03 - 2024.03","","000"))</f>
        <v/>
      </c>
      <c r="AF42" s="63">
        <f>IF(_epmOfflineCondition_,"2024.03",EPMOlapMemberO(AF$26,"[C_TIME].[PARENTH1].[2024.03]","2024.03 - 2024.03","","000"))</f>
        <v/>
      </c>
      <c r="AG42" s="63">
        <f>IF(_epmOfflineCondition_,"2024.03",EPMOlapMemberO(AG$26,"[C_TIME].[PARENTH1].[2024.03]","2024.03 - 2024.03","","000"))</f>
        <v/>
      </c>
      <c r="AH42" s="63">
        <f>IF(_epmOfflineCondition_,"2024.03",EPMOlapMemberO(AH$26,"[C_TIME].[PARENTH1].[2024.03]","2024.03 - 2024.03","","000"))</f>
        <v/>
      </c>
      <c r="AI42" s="63">
        <f>IF(_epmOfflineCondition_,"2024.03",EPMOlapMemberO(AI$26,"[C_TIME].[PARENTH1].[2024.03]","2024.03 - 2024.03","","000"))</f>
        <v/>
      </c>
      <c r="AJ42" s="81">
        <f>IF(_epmOfflineCondition_,"2024.03",EPMOlapMemberO(AJ$26,"[C_TIME].[PARENTH1].[2024.03]","2024.03 - 2024.03","","000"))</f>
        <v/>
      </c>
      <c r="AK42" s="716" t="n"/>
      <c r="AL42" s="716" t="n"/>
    </row>
    <row r="43" hidden="1" outlineLevel="1" ht="14.25" customFormat="1" customHeight="1" s="716">
      <c r="A43" s="716" t="n"/>
      <c r="B43" s="716" t="n"/>
      <c r="C43" s="716" t="n"/>
      <c r="D43" s="716" t="n"/>
      <c r="E43" s="716" t="n"/>
      <c r="F43" s="716" t="n"/>
      <c r="G43" s="716" t="n"/>
      <c r="H43" s="716" t="n"/>
      <c r="I43" s="716" t="n"/>
      <c r="J43" s="716" t="n"/>
      <c r="K43" s="716" t="n"/>
      <c r="L43" s="384" t="n"/>
      <c r="M43" s="384" t="n"/>
      <c r="N43" s="384" t="n"/>
      <c r="O43" s="384" t="n"/>
      <c r="P43" s="384" t="n"/>
      <c r="Q43" s="716" t="n"/>
      <c r="R43" s="104" t="inlineStr">
        <is>
          <t>category</t>
        </is>
      </c>
      <c r="S43" s="62">
        <f>IF(_epmOfflineCondition_,"C1001",EPMOlapMemberO(S$25,"[C_CATEGORY].[PARENTH1].[C1001]","C1001 - 实际数/决算数","","000"))</f>
        <v/>
      </c>
      <c r="T43" s="62">
        <f>IF(_epmOfflineCondition_,"C1001",EPMOlapMemberO(T$25,"[C_CATEGORY].[PARENTH1].[C1001]","C1001 - 实际数/决算数","","000"))</f>
        <v/>
      </c>
      <c r="U43" s="62">
        <f>IF(_epmOfflineCondition_,"C1001",EPMOlapMemberO(U$25,"[C_CATEGORY].[PARENTH1].[C1001]","C1001 - 实际数/决算数","","000"))</f>
        <v/>
      </c>
      <c r="V43" s="62">
        <f>IF(_epmOfflineCondition_,"C1001",EPMOlapMemberO(V$25,"[C_CATEGORY].[PARENTH1].[C1001]","C1001 - 实际数/决算数","","000"))</f>
        <v/>
      </c>
      <c r="W43" s="62">
        <f>IF(_epmOfflineCondition_,"C1001",EPMOlapMemberO(W$25,"[C_CATEGORY].[PARENTH1].[C1001]","C1001 - 实际数/决算数","","000"))</f>
        <v/>
      </c>
      <c r="X43" s="62">
        <f>IF(_epmOfflineCondition_,"C1001",EPMOlapMemberO(X$25,"[C_CATEGORY].[PARENTH1].[C1001]","C1001 - 实际数/决算数","","000"))</f>
        <v/>
      </c>
      <c r="Y43" s="62">
        <f>IF(_epmOfflineCondition_,"C1001",EPMOlapMemberO(Y$25,"[C_CATEGORY].[PARENTH1].[C1001]","C1001 - 实际数/决算数","","000"))</f>
        <v/>
      </c>
      <c r="Z43" s="62">
        <f>IF(_epmOfflineCondition_,"C1001",EPMOlapMemberO(Z$25,"[C_CATEGORY].[PARENTH1].[C1001]","C1001 - 实际数/决算数","","000"))</f>
        <v/>
      </c>
      <c r="AA43" s="62">
        <f>IF(_epmOfflineCondition_,"C1001",EPMOlapMemberO(AA$25,"[C_CATEGORY].[PARENTH1].[C1001]","C1001 - 实际数/决算数","","000"))</f>
        <v/>
      </c>
      <c r="AB43" s="62">
        <f>IF(_epmOfflineCondition_,"C1001",EPMOlapMemberO(AB$25,"[C_CATEGORY].[PARENTH1].[C1001]","C1001 - 实际数/决算数","","000"))</f>
        <v/>
      </c>
      <c r="AC43" s="62">
        <f>IF(_epmOfflineCondition_,"C1001",EPMOlapMemberO(AC$25,"[C_CATEGORY].[PARENTH1].[C1001]","C1001 - 实际数/决算数","","000"))</f>
        <v/>
      </c>
      <c r="AD43" s="62">
        <f>IF(_epmOfflineCondition_,"C1001",EPMOlapMemberO(AD$25,"[C_CATEGORY].[PARENTH1].[C1001]","C1001 - 实际数/决算数","","000"))</f>
        <v/>
      </c>
      <c r="AE43" s="62">
        <f>IF(_epmOfflineCondition_,"C1001",EPMOlapMemberO(AE$25,"[C_CATEGORY].[PARENTH1].[C1001]","C1001 - 实际数/决算数","","000"))</f>
        <v/>
      </c>
      <c r="AF43" s="62">
        <f>IF(_epmOfflineCondition_,"C1001",EPMOlapMemberO(AF$25,"[C_CATEGORY].[PARENTH1].[C1001]","C1001 - 实际数/决算数","","000"))</f>
        <v/>
      </c>
      <c r="AG43" s="62">
        <f>IF(_epmOfflineCondition_,"C1001",EPMOlapMemberO(AG$25,"[C_CATEGORY].[PARENTH1].[C1001]","C1001 - 实际数/决算数","","000"))</f>
        <v/>
      </c>
      <c r="AH43" s="62">
        <f>IF(_epmOfflineCondition_,"C1001",EPMOlapMemberO(AH$25,"[C_CATEGORY].[PARENTH1].[C1001]","C1001 - 实际数/决算数","","000"))</f>
        <v/>
      </c>
      <c r="AI43" s="62">
        <f>IF(_epmOfflineCondition_,"C1001",EPMOlapMemberO(AI$25,"[C_CATEGORY].[PARENTH1].[C1001]","C1001 - 实际数/决算数","","000"))</f>
        <v/>
      </c>
      <c r="AJ43" s="78">
        <f>IF(_epmOfflineCondition_,"C1001",EPMOlapMemberO(AJ$25,"[C_CATEGORY].[PARENTH1].[C1001]","C1001 - 实际数/决算数","","000"))</f>
        <v/>
      </c>
      <c r="AK43" s="716" t="n"/>
      <c r="AL43" s="716" t="n"/>
    </row>
    <row r="44" hidden="1" outlineLevel="1" ht="13.5" customFormat="1" customHeight="1" s="716">
      <c r="A44" s="716" t="n"/>
      <c r="B44" s="716" t="n"/>
      <c r="C44" s="716" t="n"/>
      <c r="D44" s="716" t="n"/>
      <c r="E44" s="716" t="n"/>
      <c r="F44" s="716" t="n"/>
      <c r="G44" s="716" t="n"/>
      <c r="H44" s="716" t="n"/>
      <c r="I44" s="716" t="n"/>
      <c r="J44" s="716" t="n"/>
      <c r="K44" s="716" t="n"/>
      <c r="L44" s="384" t="n"/>
      <c r="M44" s="384" t="n"/>
      <c r="N44" s="384" t="n"/>
      <c r="O44" s="384" t="n"/>
      <c r="P44" s="384" t="n"/>
      <c r="Q44" s="716" t="n"/>
      <c r="R44" s="104" t="inlineStr">
        <is>
          <t>FLow</t>
        </is>
      </c>
      <c r="S44" s="62">
        <f>IF(_epmOfflineCondition_,"F20",EPMOlapMemberO(S$28,"[C_FLOW].[PARENTH1].[F20]","F20 - 本期增加","","000"))</f>
        <v/>
      </c>
      <c r="T44" s="62">
        <f>IF(_epmOfflineCondition_,"F20",EPMOlapMemberO(T$28,"[C_FLOW].[PARENTH1].[F20]","F20 - 本期增加","","000"))</f>
        <v/>
      </c>
      <c r="U44" s="62">
        <f>IF(_epmOfflineCondition_,"F20",EPMOlapMemberO(U$28,"[C_FLOW].[PARENTH1].[F20]","F20 - 本期增加","","000"))</f>
        <v/>
      </c>
      <c r="V44" s="62">
        <f>IF(_epmOfflineCondition_,"F20",EPMOlapMemberO(V$28,"[C_FLOW].[PARENTH1].[F20]","F20 - 本期增加","","000"))</f>
        <v/>
      </c>
      <c r="W44" s="62">
        <f>IF(_epmOfflineCondition_,"F20",EPMOlapMemberO(W$28,"[C_FLOW].[PARENTH1].[F20]","F20 - 本期增加","","000"))</f>
        <v/>
      </c>
      <c r="X44" s="62">
        <f>IF(_epmOfflineCondition_,"F20",EPMOlapMemberO(X$28,"[C_FLOW].[PARENTH1].[F20]","F20 - 本期增加","","000"))</f>
        <v/>
      </c>
      <c r="Y44" s="62">
        <f>IF(_epmOfflineCondition_,"F20",EPMOlapMemberO(Y$28,"[C_FLOW].[PARENTH1].[F20]","F20 - 本期增加","","000"))</f>
        <v/>
      </c>
      <c r="Z44" s="62">
        <f>IF(_epmOfflineCondition_,"F20",EPMOlapMemberO(Z$28,"[C_FLOW].[PARENTH1].[F20]","F20 - 本期增加","","000"))</f>
        <v/>
      </c>
      <c r="AA44" s="62">
        <f>IF(_epmOfflineCondition_,"F20",EPMOlapMemberO(AA$28,"[C_FLOW].[PARENTH1].[F20]","F20 - 本期增加","","000"))</f>
        <v/>
      </c>
      <c r="AB44" s="62">
        <f>IF(_epmOfflineCondition_,"F20",EPMOlapMemberO(AB$28,"[C_FLOW].[PARENTH1].[F20]","F20 - 本期增加","","000"))</f>
        <v/>
      </c>
      <c r="AC44" s="62">
        <f>IF(_epmOfflineCondition_,"F20",EPMOlapMemberO(AC$28,"[C_FLOW].[PARENTH1].[F20]","F20 - 本期增加","","000"))</f>
        <v/>
      </c>
      <c r="AD44" s="62">
        <f>IF(_epmOfflineCondition_,"F20",EPMOlapMemberO(AD$28,"[C_FLOW].[PARENTH1].[F20]","F20 - 本期增加","","000"))</f>
        <v/>
      </c>
      <c r="AE44" s="62">
        <f>IF(_epmOfflineCondition_,"F20",EPMOlapMemberO(AE$28,"[C_FLOW].[PARENTH1].[F20]","F20 - 本期增加","","000"))</f>
        <v/>
      </c>
      <c r="AF44" s="62">
        <f>IF(_epmOfflineCondition_,"F20",EPMOlapMemberO(AF$28,"[C_FLOW].[PARENTH1].[F20]","F20 - 本期增加","","000"))</f>
        <v/>
      </c>
      <c r="AG44" s="62">
        <f>IF(_epmOfflineCondition_,"F20",EPMOlapMemberO(AG$28,"[C_FLOW].[PARENTH1].[F20]","F20 - 本期增加","","000"))</f>
        <v/>
      </c>
      <c r="AH44" s="62">
        <f>IF(_epmOfflineCondition_,"F20",EPMOlapMemberO(AH$28,"[C_FLOW].[PARENTH1].[F20]","F20 - 本期增加","","000"))</f>
        <v/>
      </c>
      <c r="AI44" s="62">
        <f>IF(_epmOfflineCondition_,"F20",EPMOlapMemberO(AI$28,"[C_FLOW].[PARENTH1].[F20]","F20 - 本期增加","","000"))</f>
        <v/>
      </c>
      <c r="AJ44" s="78">
        <f>IF(_epmOfflineCondition_,"F20",EPMOlapMemberO(AJ$28,"[C_FLOW].[PARENTH1].[F20]","F20 - 本期增加","","000"))</f>
        <v/>
      </c>
      <c r="AK44" s="716" t="n"/>
      <c r="AL44" s="716" t="n"/>
    </row>
    <row r="45" hidden="1" outlineLevel="1" ht="13.5" customFormat="1" customHeight="1" s="716">
      <c r="A45" s="716" t="n"/>
      <c r="B45" s="716" t="n"/>
      <c r="C45" s="716" t="inlineStr">
        <is>
          <t>ZM09902</t>
        </is>
      </c>
      <c r="D45" s="716" t="inlineStr">
        <is>
          <t>F20</t>
        </is>
      </c>
      <c r="E45" s="716" t="n"/>
      <c r="F45" s="716" t="n"/>
      <c r="G45" s="716" t="n"/>
      <c r="H45" s="716" t="n"/>
      <c r="I45" s="716" t="n"/>
      <c r="J45" s="716" t="n"/>
      <c r="K45" s="716" t="n"/>
      <c r="L45" s="716" t="n"/>
      <c r="M45" s="462" t="n"/>
      <c r="N45" s="716" t="n"/>
      <c r="O45" s="716" t="n"/>
      <c r="P45" s="716" t="n"/>
      <c r="Q45" s="716" t="n"/>
      <c r="R45" s="104" t="inlineStr">
        <is>
          <t>misk</t>
        </is>
      </c>
      <c r="S45" s="62">
        <f>IF(_epmOfflineCondition_,"ZM030",EPMOlapMemberO(S$29,"[C_MISK].[PARENTH1].[ZM030]","ZM030 - 发电企业电力板块","","000"))</f>
        <v/>
      </c>
      <c r="T45" s="62">
        <f>IF(_epmOfflineCondition_,"ZM0300101",EPMOlapMemberO(T$29,"[C_MISK].[PARENTH1].[ZM0300101]","ZM0300101 - 火力发电","","000"))</f>
        <v/>
      </c>
      <c r="U45" s="62">
        <f>IF(_epmOfflineCondition_,"ZM0300102",EPMOlapMemberO(U$29,"[C_MISK].[PARENTH1].[ZM0300102]","ZM0300102 - 风力发电","","000"))</f>
        <v/>
      </c>
      <c r="V45" s="62">
        <f>IF(_epmOfflineCondition_,"ZM0300103",EPMOlapMemberO(V$29,"[C_MISK].[PARENTH1].[ZM0300103]","ZM0300103 - 光伏发电","","000"))</f>
        <v/>
      </c>
      <c r="W45" s="62">
        <f>IF(_epmOfflineCondition_,"ZM0300104",EPMOlapMemberO(W$29,"[C_MISK].[PARENTH1].[ZM0300104]","ZM0300104 - 燃气发电","","000"))</f>
        <v/>
      </c>
      <c r="X45" s="62">
        <f>IF(_epmOfflineCondition_,"ZM0300105",EPMOlapMemberO(X$29,"[C_MISK].[PARENTH1].[ZM0300105]","ZM0300105 - 水力发电","","000"))</f>
        <v/>
      </c>
      <c r="Y45" s="62">
        <f>IF(_epmOfflineCondition_,"ZM0300201",EPMOlapMemberO(Y$29,"[C_MISK].[PARENTH1].[ZM0300201]","ZM0300201 - 售热","","000"))</f>
        <v/>
      </c>
      <c r="Z45" s="62">
        <f>IF(_epmOfflineCondition_,"ZM0300202",EPMOlapMemberO(Z$29,"[C_MISK].[PARENTH1].[ZM0300202]","ZM0300202 - 售电服务","","000"))</f>
        <v/>
      </c>
      <c r="AA45" s="62">
        <f>IF(_epmOfflineCondition_,"ZM0300106",EPMOlapMemberO(AA$29,"[C_MISK].[PARENTH1].[ZM0300106]","ZM0300106 - 其他","","000"))</f>
        <v/>
      </c>
      <c r="AB45" s="62">
        <f>IF(_epmOfflineCondition_,"ZM030",EPMOlapMemberO(AB$29,"[C_MISK].[PARENTH1].[ZM030]","ZM030 - 发电企业电力板块","","000"))</f>
        <v/>
      </c>
      <c r="AC45" s="62">
        <f>IF(_epmOfflineCondition_,"ZM0300101",EPMOlapMemberO(AC$29,"[C_MISK].[PARENTH1].[ZM0300101]","ZM0300101 - 火力发电","","000"))</f>
        <v/>
      </c>
      <c r="AD45" s="62">
        <f>IF(_epmOfflineCondition_,"ZM0300102",EPMOlapMemberO(AD$29,"[C_MISK].[PARENTH1].[ZM0300102]","ZM0300102 - 风力发电","","000"))</f>
        <v/>
      </c>
      <c r="AE45" s="62">
        <f>IF(_epmOfflineCondition_,"ZM0300103",EPMOlapMemberO(AE$29,"[C_MISK].[PARENTH1].[ZM0300103]","ZM0300103 - 光伏发电","","000"))</f>
        <v/>
      </c>
      <c r="AF45" s="62">
        <f>IF(_epmOfflineCondition_,"ZM0300104",EPMOlapMemberO(AF$29,"[C_MISK].[PARENTH1].[ZM0300104]","ZM0300104 - 燃气发电","","000"))</f>
        <v/>
      </c>
      <c r="AG45" s="62">
        <f>IF(_epmOfflineCondition_,"ZM0300105",EPMOlapMemberO(AG$29,"[C_MISK].[PARENTH1].[ZM0300105]","ZM0300105 - 水力发电","","000"))</f>
        <v/>
      </c>
      <c r="AH45" s="62">
        <f>IF(_epmOfflineCondition_,"ZM0300201",EPMOlapMemberO(AH$29,"[C_MISK].[PARENTH1].[ZM0300201]","ZM0300201 - 售热","","000"))</f>
        <v/>
      </c>
      <c r="AI45" s="62">
        <f>IF(_epmOfflineCondition_,"ZM0300202",EPMOlapMemberO(AI$29,"[C_MISK].[PARENTH1].[ZM0300202]","ZM0300202 - 售电服务","","000"))</f>
        <v/>
      </c>
      <c r="AJ45" s="78">
        <f>IF(_epmOfflineCondition_,"ZM0300106",EPMOlapMemberO(AJ$29,"[C_MISK].[PARENTH1].[ZM0300106]","ZM0300106 - 其他","","000"))</f>
        <v/>
      </c>
      <c r="AK45" s="716" t="n"/>
      <c r="AL45" s="716" t="n"/>
    </row>
    <row r="46" collapsed="1" ht="13.5" customFormat="1" customHeight="1" s="716">
      <c r="A46" s="716" t="n"/>
      <c r="B46" s="716" t="n"/>
      <c r="C46" s="716" t="inlineStr">
        <is>
          <t>取自：生产业务指标表的期末装机容量</t>
        </is>
      </c>
      <c r="D46" s="197" t="inlineStr">
        <is>
          <t xml:space="preserve">  其中：火电</t>
        </is>
      </c>
      <c r="E46" s="197" t="inlineStr">
        <is>
          <t xml:space="preserve">        风电</t>
        </is>
      </c>
      <c r="F46" s="197" t="inlineStr">
        <is>
          <t xml:space="preserve">        光伏</t>
        </is>
      </c>
      <c r="G46" s="197" t="inlineStr">
        <is>
          <t xml:space="preserve">        燃气</t>
        </is>
      </c>
      <c r="H46" s="197" t="inlineStr">
        <is>
          <t xml:space="preserve">        水电</t>
        </is>
      </c>
      <c r="I46" s="197" t="inlineStr">
        <is>
          <t xml:space="preserve">        其他</t>
        </is>
      </c>
      <c r="J46" s="716" t="n"/>
      <c r="K46" s="716" t="n"/>
      <c r="L46" s="716" t="n"/>
      <c r="M46" s="462">
        <f>IF(_epmOfflineCondition_," 装机容量",EPMMemberDesc(O46))</f>
        <v/>
      </c>
      <c r="N46" s="716" t="n"/>
      <c r="O46" s="197" t="inlineStr">
        <is>
          <t>A09425</t>
        </is>
      </c>
      <c r="P46" s="97">
        <f>IF(_epmOfflineCondition_,"A09425",EPMOlapMemberO(O46,"[C_ACCOUNT].[PARENTH1].[A09425]","A09425 -  装机容量","","000"))</f>
        <v/>
      </c>
      <c r="Q46" s="716" t="n"/>
      <c r="R46" s="1516" t="inlineStr">
        <is>
          <t xml:space="preserve"> 装机容量 </t>
        </is>
      </c>
      <c r="S46" s="1439">
        <f>SUM(T46:AA46)</f>
        <v/>
      </c>
      <c r="T46" s="1445">
        <f>D48</f>
        <v/>
      </c>
      <c r="U46" s="1445">
        <f>E48</f>
        <v/>
      </c>
      <c r="V46" s="1445">
        <f>F48</f>
        <v/>
      </c>
      <c r="W46" s="1445">
        <f>G48</f>
        <v/>
      </c>
      <c r="X46" s="1445">
        <f>H48</f>
        <v/>
      </c>
      <c r="Y46" s="1444" t="n"/>
      <c r="Z46" s="1444" t="n"/>
      <c r="AA46" s="1249" t="n"/>
      <c r="AB46" s="1439">
        <f>SUM(AC46:AI46)</f>
        <v/>
      </c>
      <c r="AC46" s="1439" t="n"/>
      <c r="AD46" s="1439" t="n"/>
      <c r="AE46" s="1439" t="n"/>
      <c r="AF46" s="1439" t="n"/>
      <c r="AG46" s="1439" t="n"/>
      <c r="AH46" s="1439" t="n"/>
      <c r="AI46" s="1439" t="n"/>
      <c r="AJ46" s="1517" t="n"/>
      <c r="AK46" s="1351" t="n"/>
      <c r="AL46" s="716" t="n"/>
    </row>
    <row r="47" ht="16.5" customFormat="1" customHeight="1" s="716">
      <c r="A47" s="716" t="n"/>
      <c r="B47" s="716" t="n"/>
      <c r="C47" s="197" t="inlineStr">
        <is>
          <t>A03402</t>
        </is>
      </c>
      <c r="D47" s="197" t="inlineStr">
        <is>
          <t>A0340201</t>
        </is>
      </c>
      <c r="E47" s="197" t="inlineStr">
        <is>
          <t>A0340202</t>
        </is>
      </c>
      <c r="F47" s="197" t="inlineStr">
        <is>
          <t>A0340203</t>
        </is>
      </c>
      <c r="G47" s="197" t="inlineStr">
        <is>
          <t>A0340204</t>
        </is>
      </c>
      <c r="H47" s="197" t="inlineStr">
        <is>
          <t>A0340205</t>
        </is>
      </c>
      <c r="I47" s="197" t="inlineStr">
        <is>
          <t>A0340206</t>
        </is>
      </c>
      <c r="J47" s="197" t="n"/>
      <c r="K47" s="716" t="n"/>
      <c r="L47" s="716" t="n"/>
      <c r="M47" s="462">
        <f>IF(_epmOfflineCondition_," 售电收入对应发电量",EPMMemberDesc(O47))</f>
        <v/>
      </c>
      <c r="N47" s="716" t="n"/>
      <c r="O47" s="197" t="inlineStr">
        <is>
          <t>A09426</t>
        </is>
      </c>
      <c r="P47" s="97">
        <f>IF(_epmOfflineCondition_,"A09426",EPMOlapMemberO(O47,"[C_ACCOUNT].[PARENTH1].[A09426]","A09426 -  售电收入对应发电量","","000"))</f>
        <v/>
      </c>
      <c r="Q47" s="462" t="n"/>
      <c r="R47" s="1516" t="inlineStr">
        <is>
          <t xml:space="preserve"> 售电收入对应发电量 </t>
        </is>
      </c>
      <c r="S47" s="1439">
        <f>SUM(T47:AA47)</f>
        <v/>
      </c>
      <c r="T47" s="1445">
        <f>D52</f>
        <v/>
      </c>
      <c r="U47" s="1445">
        <f>E52</f>
        <v/>
      </c>
      <c r="V47" s="1445">
        <f>F52</f>
        <v/>
      </c>
      <c r="W47" s="1445">
        <f>G52</f>
        <v/>
      </c>
      <c r="X47" s="1445">
        <f>H52</f>
        <v/>
      </c>
      <c r="Y47" s="1444" t="n"/>
      <c r="Z47" s="1444" t="n"/>
      <c r="AA47" s="1249" t="n"/>
      <c r="AB47" s="1439">
        <f>SUM(AC47:AI47)</f>
        <v/>
      </c>
      <c r="AC47" s="1439" t="n"/>
      <c r="AD47" s="1439" t="inlineStr"/>
      <c r="AE47" s="1439" t="n"/>
      <c r="AF47" s="1439" t="n"/>
      <c r="AG47" s="1439" t="n"/>
      <c r="AH47" s="1439" t="n"/>
      <c r="AI47" s="1439" t="n"/>
      <c r="AJ47" s="1517" t="n"/>
      <c r="AK47" s="1351" t="n"/>
      <c r="AL47" s="716" t="n"/>
    </row>
    <row r="48" ht="16.5" customFormat="1" customHeight="1" s="716">
      <c r="A48" s="716" t="n"/>
      <c r="B48" s="716" t="n"/>
      <c r="C48" s="248" t="n"/>
      <c r="D48" s="248">
        <f>IF(_epmOfflineCondition_,0,EPMRetrieveData(,D$47,$C$45,$D$45,$S$25,$S$26,$S$27,$D$21,$D$22,$D$23,$D$25,$D$26,$D$27,$D$28))</f>
        <v/>
      </c>
      <c r="E48" s="248">
        <f>IF(_epmOfflineCondition_,500,EPMRetrieveData(,E$47,$C$45,$D$45,$S$25,$S$26,$S$27,$D$21,$D$22,$D$23,$D$25,$D$26,$D$27,$D$28))</f>
        <v/>
      </c>
      <c r="F48" s="248">
        <f>IF(_epmOfflineCondition_,0,EPMRetrieveData(,F$47,$C$45,$D$45,$S$25,$S$26,$S$27,$D$21,$D$22,$D$23,$D$25,$D$26,$D$27,$D$28))</f>
        <v/>
      </c>
      <c r="G48" s="248">
        <f>IF(_epmOfflineCondition_,0,EPMRetrieveData(,G$47,$C$45,$D$45,$S$25,$S$26,$S$27,$D$21,$D$22,$D$23,$D$25,$D$26,$D$27,$D$28))</f>
        <v/>
      </c>
      <c r="H48" s="248">
        <f>IF(_epmOfflineCondition_,0,EPMRetrieveData(,H$47,$C$45,$D$45,$S$25,$S$26,$S$27,$D$21,$D$22,$D$23,$D$25,$D$26,$D$27,$D$28))</f>
        <v/>
      </c>
      <c r="I48" s="248">
        <f>IF(_epmOfflineCondition_,0,EPMRetrieveData(,I$47,$C$45,$D$45,$S$25,$S$26,$S$27,$D$21,$D$22,$D$23,$D$25,$D$26,$D$27,$D$28))</f>
        <v/>
      </c>
      <c r="J48" s="197" t="n"/>
      <c r="K48" s="716" t="n"/>
      <c r="L48" s="716" t="n"/>
      <c r="M48" s="462">
        <f>IF(_epmOfflineCondition_," 售电收入对应售电量",EPMMemberDesc(O48))</f>
        <v/>
      </c>
      <c r="N48" s="716" t="n"/>
      <c r="O48" s="197" t="inlineStr">
        <is>
          <t>A09427</t>
        </is>
      </c>
      <c r="P48" s="97">
        <f>IF(_epmOfflineCondition_,"A09427",EPMOlapMemberO(O48,"[C_ACCOUNT].[PARENTH1].[A09427]","A09427 -  售电收入对应售电量","","000"))</f>
        <v/>
      </c>
      <c r="Q48" s="462" t="n"/>
      <c r="R48" s="101" t="inlineStr">
        <is>
          <t xml:space="preserve"> 售电收入对应售电量 </t>
        </is>
      </c>
      <c r="S48" s="1439">
        <f>SUM(T48:AA48)</f>
        <v/>
      </c>
      <c r="T48" s="1445">
        <f>D56</f>
        <v/>
      </c>
      <c r="U48" s="1445">
        <f>E56</f>
        <v/>
      </c>
      <c r="V48" s="1445">
        <f>F56</f>
        <v/>
      </c>
      <c r="W48" s="1445">
        <f>G56</f>
        <v/>
      </c>
      <c r="X48" s="1445">
        <f>H56</f>
        <v/>
      </c>
      <c r="Y48" s="1444" t="n"/>
      <c r="Z48" s="1444" t="n"/>
      <c r="AA48" s="1249" t="n"/>
      <c r="AB48" s="1439">
        <f>SUM(AC48:AI48)</f>
        <v/>
      </c>
      <c r="AC48" s="1439" t="n"/>
      <c r="AD48" s="1439" t="inlineStr"/>
      <c r="AE48" s="1439" t="n"/>
      <c r="AF48" s="1439" t="n"/>
      <c r="AG48" s="1439" t="n"/>
      <c r="AH48" s="1439" t="n"/>
      <c r="AI48" s="1439" t="n"/>
      <c r="AJ48" s="1517" t="n"/>
      <c r="AK48" s="1351" t="n"/>
      <c r="AL48" s="716" t="n"/>
    </row>
    <row r="49" ht="16.5" customFormat="1" customHeight="1" s="716">
      <c r="A49" s="716" t="n"/>
      <c r="B49" s="716" t="n"/>
      <c r="C49" s="716" t="n"/>
      <c r="D49" s="716" t="n"/>
      <c r="E49" s="716" t="n"/>
      <c r="F49" s="716" t="n"/>
      <c r="G49" s="716" t="n"/>
      <c r="H49" s="716" t="n"/>
      <c r="I49" s="197" t="n"/>
      <c r="J49" s="197" t="n"/>
      <c r="K49" s="716" t="n"/>
      <c r="L49" s="716" t="n"/>
      <c r="M49" s="462">
        <f>IF(_epmOfflineCondition_,"一、营业总收入",EPMMemberDesc(O49))</f>
        <v/>
      </c>
      <c r="N49" s="716" t="n"/>
      <c r="O49" s="716" t="inlineStr">
        <is>
          <t>A09401</t>
        </is>
      </c>
      <c r="P49" s="97">
        <f>IF(_epmOfflineCondition_,"A09401",EPMOlapMemberO(O49,"[C_ACCOUNT].[PARENTH1].[A09401]","A09401 - 一、营业总收入","","000"))</f>
        <v/>
      </c>
      <c r="Q49" s="462" t="n"/>
      <c r="R49" s="108" t="inlineStr">
        <is>
          <t>一、营业总收入</t>
        </is>
      </c>
      <c r="S49" s="1439">
        <f>SUM(T49:AA49)</f>
        <v/>
      </c>
      <c r="T49" s="1445">
        <f>T50</f>
        <v/>
      </c>
      <c r="U49" s="1445">
        <f>U50</f>
        <v/>
      </c>
      <c r="V49" s="1445">
        <f>V50</f>
        <v/>
      </c>
      <c r="W49" s="1445">
        <f>W50</f>
        <v/>
      </c>
      <c r="X49" s="1445">
        <f>X50</f>
        <v/>
      </c>
      <c r="Y49" s="1445">
        <f>Y50</f>
        <v/>
      </c>
      <c r="Z49" s="1445">
        <f>Z50</f>
        <v/>
      </c>
      <c r="AA49" s="1445">
        <f>AA50</f>
        <v/>
      </c>
      <c r="AB49" s="1439">
        <f>SUM(AC49:AI49)</f>
        <v/>
      </c>
      <c r="AC49" s="1439" t="n"/>
      <c r="AD49" s="1439" t="inlineStr"/>
      <c r="AE49" s="1439" t="n"/>
      <c r="AF49" s="1439" t="n"/>
      <c r="AG49" s="1439" t="n"/>
      <c r="AH49" s="1439" t="n"/>
      <c r="AI49" s="1439" t="n"/>
      <c r="AJ49" s="1517" t="n"/>
      <c r="AK49" s="1351" t="n"/>
      <c r="AL49" s="716" t="n"/>
    </row>
    <row r="50" ht="16.5" customFormat="1" customHeight="1" s="716">
      <c r="A50" s="716" t="n"/>
      <c r="B50" s="716" t="n"/>
      <c r="C50" s="716" t="inlineStr">
        <is>
          <t>取自：生产业务指标表-发电量</t>
        </is>
      </c>
      <c r="D50" s="716" t="n"/>
      <c r="E50" s="716" t="n"/>
      <c r="F50" s="716" t="n"/>
      <c r="G50" s="716" t="n"/>
      <c r="H50" s="716" t="n"/>
      <c r="I50" s="197" t="n"/>
      <c r="J50" s="197" t="n"/>
      <c r="K50" s="716" t="n"/>
      <c r="L50" s="716" t="n"/>
      <c r="M50" s="462">
        <f>IF(_epmOfflineCondition_,"其中:营业收入",EPMMemberDesc(O50))</f>
        <v/>
      </c>
      <c r="N50" s="716" t="n"/>
      <c r="O50" s="716" t="inlineStr">
        <is>
          <t>A09402</t>
        </is>
      </c>
      <c r="P50" s="97">
        <f>IF(_epmOfflineCondition_,"A09402",EPMOlapMemberO(O50,"[C_ACCOUNT].[PARENTH1].[A09402]","A09402 - 其中:营业收入","","000"))</f>
        <v/>
      </c>
      <c r="Q50" s="462" t="n"/>
      <c r="R50" s="109" t="inlineStr">
        <is>
          <t>其中:营业收入</t>
        </is>
      </c>
      <c r="S50" s="1439">
        <f>SUM(T50:AA50)</f>
        <v/>
      </c>
      <c r="T50" s="1445">
        <f>T88</f>
        <v/>
      </c>
      <c r="U50" s="1445">
        <f>U88</f>
        <v/>
      </c>
      <c r="V50" s="1445">
        <f>V88</f>
        <v/>
      </c>
      <c r="W50" s="1445">
        <f>W88</f>
        <v/>
      </c>
      <c r="X50" s="1445">
        <f>X88</f>
        <v/>
      </c>
      <c r="Y50" s="1445">
        <f>Y88</f>
        <v/>
      </c>
      <c r="Z50" s="1445">
        <f>Z88</f>
        <v/>
      </c>
      <c r="AA50" s="1445">
        <f>AA88</f>
        <v/>
      </c>
      <c r="AB50" s="1439">
        <f>SUM(AC50:AI50)</f>
        <v/>
      </c>
      <c r="AC50" s="1439" t="n"/>
      <c r="AD50" s="1439" t="inlineStr"/>
      <c r="AE50" s="1439" t="n"/>
      <c r="AF50" s="1439" t="n"/>
      <c r="AG50" s="1439" t="n"/>
      <c r="AH50" s="1439" t="n"/>
      <c r="AI50" s="1439" t="n"/>
      <c r="AJ50" s="1517" t="n"/>
      <c r="AK50" s="1351" t="n"/>
      <c r="AL50" s="716" t="n"/>
    </row>
    <row r="51" ht="16.5" customFormat="1" customHeight="1" s="716">
      <c r="A51" s="716" t="n"/>
      <c r="B51" s="716" t="n"/>
      <c r="C51" s="197" t="inlineStr">
        <is>
          <t>A03401</t>
        </is>
      </c>
      <c r="D51" s="197" t="inlineStr">
        <is>
          <t>A0340101</t>
        </is>
      </c>
      <c r="E51" s="716" t="inlineStr">
        <is>
          <t>A0340102</t>
        </is>
      </c>
      <c r="F51" s="716" t="inlineStr">
        <is>
          <t>A0340103</t>
        </is>
      </c>
      <c r="G51" s="716" t="inlineStr">
        <is>
          <t>A0340104</t>
        </is>
      </c>
      <c r="H51" s="384" t="inlineStr">
        <is>
          <t>A0340105</t>
        </is>
      </c>
      <c r="I51" s="384" t="inlineStr">
        <is>
          <t>A0340106</t>
        </is>
      </c>
      <c r="J51" s="197" t="n"/>
      <c r="K51" s="716" t="n"/>
      <c r="L51" s="716" t="n"/>
      <c r="M51" s="462">
        <f>IF(_epmOfflineCondition_,"二、营业总成本",EPMMemberDesc(O51))</f>
        <v/>
      </c>
      <c r="N51" s="716" t="n"/>
      <c r="O51" s="716" t="inlineStr">
        <is>
          <t>A09403</t>
        </is>
      </c>
      <c r="P51" s="97">
        <f>IF(_epmOfflineCondition_,"A09403",EPMOlapMemberO(O51,"[C_ACCOUNT].[PARENTH1].[A09403]","A09403 - 二、营业总成本","","000"))</f>
        <v/>
      </c>
      <c r="Q51" s="462" t="n"/>
      <c r="R51" s="108" t="inlineStr">
        <is>
          <t>二、营业总成本</t>
        </is>
      </c>
      <c r="S51" s="1439">
        <f>SUM(T51:AA51)</f>
        <v/>
      </c>
      <c r="T51" s="1445">
        <f>T52+SUM(T66:T69,T71:T71)</f>
        <v/>
      </c>
      <c r="U51" s="1445">
        <f>U52+SUM(U66:U69,U71:U71)</f>
        <v/>
      </c>
      <c r="V51" s="1445">
        <f>V52+SUM(V66:V69,V71:V71)</f>
        <v/>
      </c>
      <c r="W51" s="1445">
        <f>W52+SUM(W66:W69,W71:W71)</f>
        <v/>
      </c>
      <c r="X51" s="1445">
        <f>IF($D$21="E100007",0,X52+SUM(X66:X69,X71:X71))</f>
        <v/>
      </c>
      <c r="Y51" s="1445">
        <f>Y52+SUM(Y66:Y69,Y71:Y71)</f>
        <v/>
      </c>
      <c r="Z51" s="1445">
        <f>Z52+SUM(Z66:Z69,Z71:Z71)</f>
        <v/>
      </c>
      <c r="AA51" s="1445">
        <f>AA52+SUM(AA66:AA69,AA71:AA71)</f>
        <v/>
      </c>
      <c r="AB51" s="1445">
        <f>SUM(AC51:AJ51)</f>
        <v/>
      </c>
      <c r="AC51" s="1439" t="n"/>
      <c r="AD51" s="1439" t="inlineStr"/>
      <c r="AE51" s="1439" t="n"/>
      <c r="AF51" s="1439" t="n"/>
      <c r="AG51" s="1439" t="n"/>
      <c r="AH51" s="1439" t="n"/>
      <c r="AI51" s="1439" t="n"/>
      <c r="AJ51" s="1517" t="n"/>
      <c r="AK51" s="1351" t="n"/>
      <c r="AL51" s="716" t="n"/>
    </row>
    <row r="52" ht="16.5" customFormat="1" customHeight="1" s="716">
      <c r="A52" s="716" t="n"/>
      <c r="B52" s="716" t="n"/>
      <c r="C52" s="248" t="n"/>
      <c r="D52" s="248">
        <f>IF(_epmOfflineCondition_,0,EPMRetrieveData(,D$51,$C$45,$D$45,$S$25,$S$26,$S$27,$D$21,$D$22,$D$23,$D$25,$D$26,$D$27,$D$28))</f>
        <v/>
      </c>
      <c r="E52" s="248">
        <f>IF(_epmOfflineCondition_,316190,EPMRetrieveData(,E$51,$C$45,$D$45,$S$25,$S$26,$S$27,$D$21,$D$22,$D$23,$D$25,$D$26,$D$27,$D$28))</f>
        <v/>
      </c>
      <c r="F52" s="248">
        <f>IF(_epmOfflineCondition_,0,EPMRetrieveData(,F$51,$C$45,$D$45,$S$25,$S$26,$S$27,$D$21,$D$22,$D$23,$D$25,$D$26,$D$27,$D$28))</f>
        <v/>
      </c>
      <c r="G52" s="248">
        <f>IF(_epmOfflineCondition_,0,EPMRetrieveData(,G$51,$C$45,$D$45,$S$25,$S$26,$S$27,$D$21,$D$22,$D$23,$D$25,$D$26,$D$27,$D$28))</f>
        <v/>
      </c>
      <c r="H52" s="248">
        <f>IF(_epmOfflineCondition_,0,EPMRetrieveData(,H$51,$C$45,$D$45,$S$25,$S$26,$S$27,$D$21,$D$22,$D$23,$D$25,$D$26,$D$27,$D$28))</f>
        <v/>
      </c>
      <c r="I52" s="248">
        <f>IF(_epmOfflineCondition_,0,EPMRetrieveData(,I$51,$C$45,$D$45,$S$25,$S$26,$S$27,$D$21,$D$22,$D$23,$D$25,$D$26,$D$27,$D$28))</f>
        <v/>
      </c>
      <c r="J52" s="197" t="n"/>
      <c r="K52" s="716" t="n"/>
      <c r="L52" s="716" t="n"/>
      <c r="M52" s="462">
        <f>IF(_epmOfflineCondition_,"其中:营业成本",EPMMemberDesc(O52))</f>
        <v/>
      </c>
      <c r="N52" s="716" t="n"/>
      <c r="O52" s="716" t="inlineStr">
        <is>
          <t>A09404</t>
        </is>
      </c>
      <c r="P52" s="97">
        <f>IF(_epmOfflineCondition_,"A09404",EPMOlapMemberO(O52,"[C_ACCOUNT].[PARENTH1].[A09404]","A09404 - 其中:营业成本","","000"))</f>
        <v/>
      </c>
      <c r="Q52" s="462" t="n"/>
      <c r="R52" s="109" t="inlineStr">
        <is>
          <t>其中:营业成本</t>
        </is>
      </c>
      <c r="S52" s="1439">
        <f>SUM(T52:AA52)</f>
        <v/>
      </c>
      <c r="T52" s="1445">
        <f>T92</f>
        <v/>
      </c>
      <c r="U52" s="1445">
        <f>U92</f>
        <v/>
      </c>
      <c r="V52" s="1445">
        <f>V92</f>
        <v/>
      </c>
      <c r="W52" s="1445">
        <f>W92</f>
        <v/>
      </c>
      <c r="X52" s="1445">
        <f>IF($D$21="E100007",0,X92)</f>
        <v/>
      </c>
      <c r="Y52" s="1445">
        <f>Y92</f>
        <v/>
      </c>
      <c r="Z52" s="1445">
        <f>Z92</f>
        <v/>
      </c>
      <c r="AA52" s="1445">
        <f>AA92</f>
        <v/>
      </c>
      <c r="AB52" s="1439">
        <f>SUM(AC52:AJ52)</f>
        <v/>
      </c>
      <c r="AC52" s="1439" t="n"/>
      <c r="AD52" s="1439" t="n"/>
      <c r="AE52" s="1439" t="n"/>
      <c r="AF52" s="1439" t="n"/>
      <c r="AG52" s="1439" t="n"/>
      <c r="AH52" s="1439" t="n"/>
      <c r="AI52" s="1439" t="n"/>
      <c r="AJ52" s="1517" t="n"/>
      <c r="AK52" s="1351" t="n"/>
      <c r="AL52" s="716" t="n"/>
    </row>
    <row r="53" ht="16.5" customFormat="1" customHeight="1" s="716">
      <c r="A53" s="716" t="n"/>
      <c r="B53" s="716" t="n"/>
      <c r="C53" s="716" t="n"/>
      <c r="D53" s="716" t="n"/>
      <c r="E53" s="716" t="n"/>
      <c r="F53" s="716" t="n"/>
      <c r="G53" s="716" t="n"/>
      <c r="H53" s="716" t="n"/>
      <c r="I53" s="197" t="n"/>
      <c r="J53" s="197" t="n"/>
      <c r="K53" s="716" t="n"/>
      <c r="L53" s="716" t="n"/>
      <c r="M53" s="462">
        <f>IF(_epmOfflineCondition_,"其中：折旧费用",EPMMemberDesc(O53))</f>
        <v/>
      </c>
      <c r="N53" s="716" t="n"/>
      <c r="O53" s="716" t="inlineStr">
        <is>
          <t>A09405</t>
        </is>
      </c>
      <c r="P53" s="97">
        <f>IF(_epmOfflineCondition_,"A09405",EPMOlapMemberO(O53,"[C_ACCOUNT].[PARENTH1].[A09405]","A09405 - 其中：折旧费用","","000"))</f>
        <v/>
      </c>
      <c r="Q53" s="462" t="n"/>
      <c r="R53" s="110" t="inlineStr">
        <is>
          <t>其中：折旧费用</t>
        </is>
      </c>
      <c r="S53" s="1439">
        <f>SUM(T53:AA53)</f>
        <v/>
      </c>
      <c r="T53" s="1445">
        <f>SUM(T96:T97)</f>
        <v/>
      </c>
      <c r="U53" s="1445">
        <f>SUM(U96:U97)</f>
        <v/>
      </c>
      <c r="V53" s="1445">
        <f>SUM(V96:V97)</f>
        <v/>
      </c>
      <c r="W53" s="1445">
        <f>SUM(W96:W97)</f>
        <v/>
      </c>
      <c r="X53" s="1445">
        <f>IF($D$21="E100007",0,SUM(X96:X97))</f>
        <v/>
      </c>
      <c r="Y53" s="1445">
        <f>SUM(Y96:Y97)</f>
        <v/>
      </c>
      <c r="Z53" s="1445">
        <f>SUM(Z96:Z97)</f>
        <v/>
      </c>
      <c r="AA53" s="1445">
        <f>SUM(AA96:AA97)</f>
        <v/>
      </c>
      <c r="AB53" s="1439">
        <f>SUM(AC53:AI53)</f>
        <v/>
      </c>
      <c r="AC53" s="1439" t="n"/>
      <c r="AD53" s="1439" t="n"/>
      <c r="AE53" s="1439" t="n"/>
      <c r="AF53" s="1439" t="n"/>
      <c r="AG53" s="1439" t="n"/>
      <c r="AH53" s="1439" t="n"/>
      <c r="AI53" s="1439" t="n"/>
      <c r="AJ53" s="1517" t="n"/>
      <c r="AK53" s="1351" t="n"/>
      <c r="AL53" s="716" t="n"/>
    </row>
    <row r="54" ht="16.5" customFormat="1" customHeight="1" s="716">
      <c r="A54" s="716" t="n"/>
      <c r="B54" s="716" t="n"/>
      <c r="C54" s="716" t="inlineStr">
        <is>
          <t>取自：生产业务指标表-售电量</t>
        </is>
      </c>
      <c r="D54" s="716" t="n"/>
      <c r="E54" s="716" t="n"/>
      <c r="F54" s="716" t="n"/>
      <c r="G54" s="716" t="n"/>
      <c r="H54" s="716" t="n"/>
      <c r="I54" s="197" t="n"/>
      <c r="J54" s="716" t="n"/>
      <c r="K54" s="716" t="n"/>
      <c r="L54" s="716" t="n"/>
      <c r="M54" s="462">
        <f>IF(_epmOfflineCondition_,"修理费",EPMMemberDesc(O54))</f>
        <v/>
      </c>
      <c r="N54" s="716" t="n"/>
      <c r="O54" s="384" t="inlineStr">
        <is>
          <t>A02801010203</t>
        </is>
      </c>
      <c r="P54" s="93">
        <f>IF(_epmOfflineCondition_,"A02801010203",EPMOlapMemberO(O54,"[C_ACCOUNT].[PARENTH1].[A02801010203]","A02801010203 - 修理费","","000"))</f>
        <v/>
      </c>
      <c r="Q54" s="462" t="n"/>
      <c r="R54" s="111" t="inlineStr">
        <is>
          <t>固定成本-修理费用</t>
        </is>
      </c>
      <c r="S54" s="1439">
        <f>SUM(T54:AA54)</f>
        <v/>
      </c>
      <c r="T54" s="1445" t="n"/>
      <c r="U54" s="1445" t="inlineStr"/>
      <c r="V54" s="1445" t="n"/>
      <c r="W54" s="1445" t="n"/>
      <c r="X54" s="1445" t="n"/>
      <c r="Y54" s="1445" t="n"/>
      <c r="Z54" s="1445" t="n"/>
      <c r="AA54" s="1249" t="n"/>
      <c r="AB54" s="1439">
        <f>SUM(AC54:AI54)</f>
        <v/>
      </c>
      <c r="AC54" s="1439" t="n"/>
      <c r="AD54" s="1439" t="n"/>
      <c r="AE54" s="1439" t="n"/>
      <c r="AF54" s="1439" t="n"/>
      <c r="AG54" s="1439" t="n"/>
      <c r="AH54" s="1439" t="n"/>
      <c r="AI54" s="1439" t="n"/>
      <c r="AJ54" s="1517" t="n"/>
      <c r="AK54" s="1351" t="n"/>
      <c r="AL54" s="716" t="n"/>
    </row>
    <row r="55" ht="16.5" customFormat="1" customHeight="1" s="716">
      <c r="A55" s="716" t="n"/>
      <c r="B55" s="716" t="n"/>
      <c r="C55" s="716" t="inlineStr">
        <is>
          <t>A03432</t>
        </is>
      </c>
      <c r="D55" s="384" t="inlineStr">
        <is>
          <t>A0343201</t>
        </is>
      </c>
      <c r="E55" s="384" t="inlineStr">
        <is>
          <t>A0343202</t>
        </is>
      </c>
      <c r="F55" s="384" t="inlineStr">
        <is>
          <t>A0343203</t>
        </is>
      </c>
      <c r="G55" s="384" t="inlineStr">
        <is>
          <t>A0343204</t>
        </is>
      </c>
      <c r="H55" s="384" t="inlineStr">
        <is>
          <t>A0343205</t>
        </is>
      </c>
      <c r="I55" s="384" t="inlineStr">
        <is>
          <t>A0343206</t>
        </is>
      </c>
      <c r="J55" s="716" t="n"/>
      <c r="K55" s="716" t="n"/>
      <c r="L55" s="716" t="n"/>
      <c r="M55" s="462">
        <f>IF(_epmOfflineCondition_,"发电企业其他费用表-合计",EPMMemberDesc(O55))</f>
        <v/>
      </c>
      <c r="N55" s="716" t="n"/>
      <c r="O55" s="889" t="inlineStr">
        <is>
          <t>A030</t>
        </is>
      </c>
      <c r="P55" s="95">
        <f>IF(_epmOfflineCondition_,"A030",EPMOlapMemberO(O55,"[C_ACCOUNT].[PARENTH1].[A030]","A030 - 发电企业其他费用表-合计","","000"))</f>
        <v/>
      </c>
      <c r="Q55" s="462" t="n"/>
      <c r="R55" s="111" t="inlineStr">
        <is>
          <t>固定成本-其他费用</t>
        </is>
      </c>
      <c r="S55" s="1439">
        <f>SUM(T55:AA55)</f>
        <v/>
      </c>
      <c r="T55" s="1445" t="n"/>
      <c r="U55" s="1445" t="inlineStr"/>
      <c r="V55" s="1445" t="n"/>
      <c r="W55" s="1445" t="n"/>
      <c r="X55" s="1445" t="n"/>
      <c r="Y55" s="1445" t="n"/>
      <c r="Z55" s="1445" t="n"/>
      <c r="AA55" s="1249" t="n"/>
      <c r="AB55" s="1439">
        <f>SUM(AC55:AI55)</f>
        <v/>
      </c>
      <c r="AC55" s="1439" t="n"/>
      <c r="AD55" s="1439" t="n"/>
      <c r="AE55" s="1439" t="n"/>
      <c r="AF55" s="1439" t="n"/>
      <c r="AG55" s="1439" t="n"/>
      <c r="AH55" s="1439" t="n"/>
      <c r="AI55" s="1439" t="n"/>
      <c r="AJ55" s="1517" t="n"/>
      <c r="AK55" s="1351" t="n"/>
      <c r="AL55" s="716" t="n"/>
    </row>
    <row r="56" ht="16.5" customFormat="1" customHeight="1" s="716">
      <c r="A56" s="716" t="n"/>
      <c r="B56" s="716" t="n"/>
      <c r="C56" s="248" t="n"/>
      <c r="D56" s="248">
        <f>IF(_epmOfflineCondition_,0,EPMRetrieveData(,D$55,$C$45,$D$45,$S$25,$S$26,$S$27,$D$21,$D$22,$D$23,$D$25,$D$26,$D$27,$D$28))</f>
        <v/>
      </c>
      <c r="E56" s="248">
        <f>IF(_epmOfflineCondition_,313523.37,EPMRetrieveData(,E$55,$C$45,$D$45,$S$25,$S$26,$S$27,$D$21,$D$22,$D$23,$D$25,$D$26,$D$27,$D$28))</f>
        <v/>
      </c>
      <c r="F56" s="248">
        <f>IF(_epmOfflineCondition_,0,EPMRetrieveData(,F$55,$C$45,$D$45,$S$25,$S$26,$S$27,$D$21,$D$22,$D$23,$D$25,$D$26,$D$27,$D$28))</f>
        <v/>
      </c>
      <c r="G56" s="248">
        <f>IF(_epmOfflineCondition_,0,EPMRetrieveData(,G$55,$C$45,$D$45,$S$25,$S$26,$S$27,$D$21,$D$22,$D$23,$D$25,$D$26,$D$27,$D$28))</f>
        <v/>
      </c>
      <c r="H56" s="248">
        <f>IF(_epmOfflineCondition_,0,EPMRetrieveData(,H$55,$C$45,$D$45,$S$25,$S$26,$S$27,$D$21,$D$22,$D$23,$D$25,$D$26,$D$27,$D$28))</f>
        <v/>
      </c>
      <c r="I56" s="248">
        <f>IF(_epmOfflineCondition_,0,EPMRetrieveData(,I$55,$C$45,$D$45,$S$25,$S$26,$S$27,$D$21,$D$22,$D$23,$D$25,$D$26,$D$27,$D$28))</f>
        <v/>
      </c>
      <c r="J56" s="716" t="n"/>
      <c r="K56" s="716" t="n"/>
      <c r="L56" s="716" t="n"/>
      <c r="M56" s="462">
        <f>IF(_epmOfflineCondition_,"一般性管理费用",EPMMemberDesc(O56))</f>
        <v/>
      </c>
      <c r="N56" s="716" t="n"/>
      <c r="O56" s="889" t="inlineStr">
        <is>
          <t>A03001</t>
        </is>
      </c>
      <c r="P56" s="97">
        <f>IF(_epmOfflineCondition_,"A03001",EPMOlapMemberO(O56,"[C_ACCOUNT].[PARENTH1].[A03001]","A03001 - 一般性管理费用","","000"))</f>
        <v/>
      </c>
      <c r="Q56" s="462" t="n"/>
      <c r="R56" s="112" t="inlineStr">
        <is>
          <t>其中：其他费用—一般管理性费用</t>
        </is>
      </c>
      <c r="S56" s="1439">
        <f>SUM(T56:AA56)</f>
        <v/>
      </c>
      <c r="T56" s="1445" t="n"/>
      <c r="U56" s="1445" t="inlineStr"/>
      <c r="V56" s="1445" t="n"/>
      <c r="W56" s="1445" t="n"/>
      <c r="X56" s="1445" t="n"/>
      <c r="Y56" s="1445" t="n"/>
      <c r="Z56" s="1445" t="n"/>
      <c r="AA56" s="1249" t="n"/>
      <c r="AB56" s="1439">
        <f>SUM(AC56:AI56)</f>
        <v/>
      </c>
      <c r="AC56" s="1439" t="n"/>
      <c r="AD56" s="1439" t="n"/>
      <c r="AE56" s="1439" t="n"/>
      <c r="AF56" s="1439" t="n"/>
      <c r="AG56" s="1439" t="n"/>
      <c r="AH56" s="1439" t="n"/>
      <c r="AI56" s="1439" t="n"/>
      <c r="AJ56" s="1517" t="n"/>
      <c r="AK56" s="1351" t="n"/>
      <c r="AL56" s="716" t="n"/>
    </row>
    <row r="57">
      <c r="A57" s="384" t="n"/>
      <c r="B57" s="384" t="n"/>
      <c r="C57" s="384" t="n"/>
      <c r="D57" s="384" t="n"/>
      <c r="E57" s="384" t="n"/>
      <c r="F57" s="384" t="n"/>
      <c r="G57" s="384" t="n"/>
      <c r="H57" s="384" t="n"/>
      <c r="I57" s="384" t="n"/>
      <c r="J57" s="384" t="n"/>
      <c r="K57" s="384" t="n"/>
      <c r="L57" s="384" t="n"/>
      <c r="M57" s="462">
        <f>IF(_epmOfflineCondition_,"与资产价值相关的费用",EPMMemberDesc(O57))</f>
        <v/>
      </c>
      <c r="N57" s="384" t="n"/>
      <c r="O57" s="889" t="inlineStr">
        <is>
          <t>A03002</t>
        </is>
      </c>
      <c r="P57" s="97">
        <f>IF(_epmOfflineCondition_,"A03002",EPMOlapMemberO(O57,"[C_ACCOUNT].[PARENTH1].[A03002]","A03002 - 与资产价值相关的费用","","000"))</f>
        <v/>
      </c>
      <c r="Q57" s="384" t="n"/>
      <c r="R57" s="113" t="inlineStr">
        <is>
          <t>其他费用—与资产价值相关的费用</t>
        </is>
      </c>
      <c r="S57" s="1439">
        <f>SUM(T57:AA57)</f>
        <v/>
      </c>
      <c r="T57" s="1445" t="n"/>
      <c r="U57" s="1445" t="inlineStr"/>
      <c r="V57" s="1445" t="n"/>
      <c r="W57" s="1445" t="n"/>
      <c r="X57" s="1445" t="n"/>
      <c r="Y57" s="1445" t="n"/>
      <c r="Z57" s="1445" t="n"/>
      <c r="AA57" s="1249" t="n"/>
      <c r="AB57" s="1439">
        <f>SUM(AC57:AI57)</f>
        <v/>
      </c>
      <c r="AC57" s="1439" t="n"/>
      <c r="AD57" s="1439" t="n"/>
      <c r="AE57" s="1439" t="n"/>
      <c r="AF57" s="1439" t="n"/>
      <c r="AG57" s="1439" t="n"/>
      <c r="AH57" s="1439" t="n"/>
      <c r="AI57" s="1439" t="n"/>
      <c r="AJ57" s="1517" t="n"/>
      <c r="AK57" s="1351" t="n"/>
      <c r="AL57" s="716" t="n"/>
    </row>
    <row r="58">
      <c r="A58" s="384" t="n"/>
      <c r="B58" s="384" t="n"/>
      <c r="C58" s="384" t="n"/>
      <c r="D58" s="384" t="n"/>
      <c r="E58" s="384" t="n"/>
      <c r="F58" s="384" t="n"/>
      <c r="G58" s="384" t="n"/>
      <c r="H58" s="384" t="n"/>
      <c r="I58" s="384" t="n"/>
      <c r="J58" s="384" t="n"/>
      <c r="K58" s="384" t="n"/>
      <c r="L58" s="384" t="n"/>
      <c r="M58" s="462">
        <f>IF(_epmOfflineCondition_,"政策性税费",EPMMemberDesc(O58))</f>
        <v/>
      </c>
      <c r="N58" s="384" t="n"/>
      <c r="O58" s="889" t="inlineStr">
        <is>
          <t>A03003</t>
        </is>
      </c>
      <c r="P58" s="97">
        <f>IF(_epmOfflineCondition_,"A03003",EPMOlapMemberO(O58,"[C_ACCOUNT].[PARENTH1].[A03003]","A03003 - 政策性税费","","000"))</f>
        <v/>
      </c>
      <c r="Q58" s="384" t="n"/>
      <c r="R58" s="113" t="inlineStr">
        <is>
          <t>其他费用—政策性税费</t>
        </is>
      </c>
      <c r="S58" s="1439">
        <f>SUM(T58:AA58)</f>
        <v/>
      </c>
      <c r="T58" s="1445" t="n"/>
      <c r="U58" s="1445" t="n"/>
      <c r="V58" s="1445" t="n"/>
      <c r="W58" s="1445" t="n"/>
      <c r="X58" s="1445" t="n"/>
      <c r="Y58" s="1445" t="n"/>
      <c r="Z58" s="1445" t="n"/>
      <c r="AA58" s="1249" t="n"/>
      <c r="AB58" s="1439">
        <f>SUM(AC58:AI58)</f>
        <v/>
      </c>
      <c r="AC58" s="1439" t="n"/>
      <c r="AD58" s="1439" t="n"/>
      <c r="AE58" s="1439" t="n"/>
      <c r="AF58" s="1439" t="n"/>
      <c r="AG58" s="1439" t="n"/>
      <c r="AH58" s="1439" t="n"/>
      <c r="AI58" s="1439" t="n"/>
      <c r="AJ58" s="1517" t="n"/>
      <c r="AK58" s="1351" t="n"/>
      <c r="AL58" s="716" t="n"/>
    </row>
    <row r="59">
      <c r="A59" s="384" t="n"/>
      <c r="B59" s="384" t="n"/>
      <c r="C59" s="384" t="inlineStr">
        <is>
          <t>主营业务成表科目</t>
        </is>
      </c>
      <c r="D59" s="384" t="n"/>
      <c r="E59" s="384" t="n"/>
      <c r="F59" s="384" t="n"/>
      <c r="G59" s="384" t="n"/>
      <c r="H59" s="384" t="n"/>
      <c r="I59" s="384" t="n"/>
      <c r="J59" s="384" t="n"/>
      <c r="K59" s="384" t="n"/>
      <c r="L59" s="384" t="n"/>
      <c r="M59" s="462">
        <f>IF(_epmOfflineCondition_,"排污费",EPMMemberDesc(O59))</f>
        <v/>
      </c>
      <c r="N59" s="384" t="n"/>
      <c r="O59" s="889" t="inlineStr">
        <is>
          <t>A03004</t>
        </is>
      </c>
      <c r="P59" s="97">
        <f>IF(_epmOfflineCondition_,"A03004",EPMOlapMemberO(O59,"[C_ACCOUNT].[PARENTH1].[A03004]","A03004 - 排污费","","000"))</f>
        <v/>
      </c>
      <c r="Q59" s="384" t="n"/>
      <c r="R59" s="113" t="inlineStr">
        <is>
          <t>其他费用—排污费</t>
        </is>
      </c>
      <c r="S59" s="1439">
        <f>SUM(T59:AA59)</f>
        <v/>
      </c>
      <c r="T59" s="1445" t="n"/>
      <c r="U59" s="1445" t="n"/>
      <c r="V59" s="1445" t="n"/>
      <c r="W59" s="1445" t="n"/>
      <c r="X59" s="1445" t="n"/>
      <c r="Y59" s="1445" t="n"/>
      <c r="Z59" s="1445" t="n"/>
      <c r="AA59" s="1249" t="n"/>
      <c r="AB59" s="1439">
        <f>SUM(AC59:AI59)</f>
        <v/>
      </c>
      <c r="AC59" s="1439" t="n"/>
      <c r="AD59" s="1439" t="n"/>
      <c r="AE59" s="1439" t="n"/>
      <c r="AF59" s="1439" t="n"/>
      <c r="AG59" s="1439" t="n"/>
      <c r="AH59" s="1439" t="n"/>
      <c r="AI59" s="1439" t="n"/>
      <c r="AJ59" s="1517" t="n"/>
      <c r="AK59" s="1351" t="n"/>
      <c r="AL59" s="716" t="n"/>
    </row>
    <row r="60">
      <c r="A60" s="384" t="n"/>
      <c r="B60" s="384" t="n"/>
      <c r="C60" s="248" t="inlineStr">
        <is>
          <t>销售费用</t>
        </is>
      </c>
      <c r="D60" s="248" t="inlineStr">
        <is>
          <t>A028010201</t>
        </is>
      </c>
      <c r="E60" s="384" t="n"/>
      <c r="F60" s="384" t="n"/>
      <c r="G60" s="384" t="n"/>
      <c r="H60" s="384" t="n"/>
      <c r="I60" s="384" t="n"/>
      <c r="J60" s="384" t="n"/>
      <c r="K60" s="384" t="n"/>
      <c r="L60" s="384" t="n"/>
      <c r="M60" s="462">
        <f>IF(_epmOfflineCondition_,"专项管理费",EPMMemberDesc(O60))</f>
        <v/>
      </c>
      <c r="N60" s="384" t="n"/>
      <c r="O60" s="889" t="inlineStr">
        <is>
          <t>A03005</t>
        </is>
      </c>
      <c r="P60" s="97">
        <f>IF(_epmOfflineCondition_,"A03005",EPMOlapMemberO(O60,"[C_ACCOUNT].[PARENTH1].[A03005]","A03005 - 专项管理费","","000"))</f>
        <v/>
      </c>
      <c r="Q60" s="384" t="n"/>
      <c r="R60" s="113" t="inlineStr">
        <is>
          <t>其他费用—专项管理费</t>
        </is>
      </c>
      <c r="S60" s="1439">
        <f>SUM(T60:AA60)</f>
        <v/>
      </c>
      <c r="T60" s="1445" t="n"/>
      <c r="U60" s="1445" t="inlineStr"/>
      <c r="V60" s="1445" t="n"/>
      <c r="W60" s="1445" t="n"/>
      <c r="X60" s="1445" t="n"/>
      <c r="Y60" s="1445" t="n"/>
      <c r="Z60" s="1445" t="n"/>
      <c r="AA60" s="1249" t="n"/>
      <c r="AB60" s="1439">
        <f>SUM(AC60:AI60)</f>
        <v/>
      </c>
      <c r="AC60" s="1439" t="n"/>
      <c r="AD60" s="1439" t="n"/>
      <c r="AE60" s="1439" t="n"/>
      <c r="AF60" s="1439" t="n"/>
      <c r="AG60" s="1439" t="n"/>
      <c r="AH60" s="1439" t="n"/>
      <c r="AI60" s="1439" t="n"/>
      <c r="AJ60" s="1517" t="n"/>
      <c r="AK60" s="1351" t="n"/>
      <c r="AL60" s="716" t="n"/>
    </row>
    <row r="61">
      <c r="A61" s="384" t="n"/>
      <c r="B61" s="384" t="n"/>
      <c r="C61" s="248" t="inlineStr">
        <is>
          <t>管理费用</t>
        </is>
      </c>
      <c r="D61" s="248" t="inlineStr">
        <is>
          <t>A028010202</t>
        </is>
      </c>
      <c r="E61" s="384" t="n"/>
      <c r="F61" s="384" t="n"/>
      <c r="G61" s="384" t="n"/>
      <c r="H61" s="384" t="n"/>
      <c r="I61" s="384" t="n"/>
      <c r="J61" s="384" t="n"/>
      <c r="K61" s="384" t="n"/>
      <c r="L61" s="384" t="n"/>
      <c r="M61" s="462">
        <f>IF(_epmOfflineCondition_,"其他费用-其他",EPMMemberDesc(O61))</f>
        <v/>
      </c>
      <c r="N61" s="384" t="n"/>
      <c r="O61" s="889" t="inlineStr">
        <is>
          <t>A09428</t>
        </is>
      </c>
      <c r="P61" s="97">
        <f>IF(_epmOfflineCondition_,"A09428",EPMOlapMemberO(O61,"[C_ACCOUNT].[PARENTH1].[A09428]","A09428 - 其他费用-其他","","000"))</f>
        <v/>
      </c>
      <c r="Q61" s="384" t="n"/>
      <c r="R61" s="113" t="inlineStr">
        <is>
          <t>其他费用—其他</t>
        </is>
      </c>
      <c r="S61" s="1439">
        <f>SUM(T61:AA61)</f>
        <v/>
      </c>
      <c r="T61" s="1445">
        <f>T55-T56-T57-T58-T59-T60</f>
        <v/>
      </c>
      <c r="U61" s="1445">
        <f>U55-U56-U57-U58-U59-U60</f>
        <v/>
      </c>
      <c r="V61" s="1445">
        <f>V55-V56-V57-V58-V59-V60</f>
        <v/>
      </c>
      <c r="W61" s="1445">
        <f>W55-W56-W57-W58-W59-W60</f>
        <v/>
      </c>
      <c r="X61" s="1445">
        <f>IF($D$21="E100007",0,X55-X56-X57-X58-X59-X60)</f>
        <v/>
      </c>
      <c r="Y61" s="1445">
        <f>Y55-Y56-Y57-Y58-Y59-Y60</f>
        <v/>
      </c>
      <c r="Z61" s="1445">
        <f>Z55-Z56-Z57-Z58-Z59-Z60</f>
        <v/>
      </c>
      <c r="AA61" s="1445">
        <f>AA55-AA56-AA57-AA58-AA59-AA60</f>
        <v/>
      </c>
      <c r="AB61" s="1439">
        <f>SUM(AC61:AI61)</f>
        <v/>
      </c>
      <c r="AC61" s="1445">
        <f>AC55-AC56-AC57-AC58-AC59-AC60</f>
        <v/>
      </c>
      <c r="AD61" s="1445">
        <f>AD55-AD56-AD57-AD58-AD59-AD60</f>
        <v/>
      </c>
      <c r="AE61" s="1445">
        <f>AE55-AE56-AE57-AE58-AE59-AE60</f>
        <v/>
      </c>
      <c r="AF61" s="1445">
        <f>AF55-AF56-AF57-AF58-AF59-AF60</f>
        <v/>
      </c>
      <c r="AG61" s="1445">
        <f>AG55-AG56-AG57-AG58-AG59-AG60</f>
        <v/>
      </c>
      <c r="AH61" s="1445">
        <f>AH55-AH56-AH57-AH58-AH59-AH60</f>
        <v/>
      </c>
      <c r="AI61" s="1445">
        <f>AI55-AI56-AI57-AI58-AI59-AI60</f>
        <v/>
      </c>
      <c r="AJ61" s="1517" t="n"/>
      <c r="AK61" s="1351" t="n"/>
      <c r="AL61" s="716" t="n"/>
    </row>
    <row r="62">
      <c r="A62" s="384" t="n"/>
      <c r="B62" s="384" t="n"/>
      <c r="C62" s="248" t="inlineStr">
        <is>
          <t>财务费用</t>
        </is>
      </c>
      <c r="D62" s="248" t="inlineStr">
        <is>
          <t>A028010204</t>
        </is>
      </c>
      <c r="E62" s="384" t="n"/>
      <c r="F62" s="384" t="n"/>
      <c r="G62" s="384" t="n"/>
      <c r="H62" s="384" t="n"/>
      <c r="I62" s="384" t="n"/>
      <c r="J62" s="384" t="n"/>
      <c r="K62" s="384" t="n"/>
      <c r="L62" s="384" t="n"/>
      <c r="M62" s="462">
        <f>IF(_epmOfflineCondition_,"职工新酬",EPMMemberDesc(O62))</f>
        <v/>
      </c>
      <c r="N62" s="384" t="n"/>
      <c r="O62" s="384" t="inlineStr">
        <is>
          <t>A02801010201</t>
        </is>
      </c>
      <c r="P62" s="93">
        <f>IF(_epmOfflineCondition_,"A02801010201",EPMOlapMemberO(O62,"[C_ACCOUNT].[PARENTH1].[A02801010201]","A02801010201 - 职工新酬","","000"))</f>
        <v/>
      </c>
      <c r="Q62" s="384" t="n"/>
      <c r="R62" s="111" t="inlineStr">
        <is>
          <t>固定成本-职工薪酬</t>
        </is>
      </c>
      <c r="S62" s="1439">
        <f>SUM(T62:AA62)</f>
        <v/>
      </c>
      <c r="T62" s="1445" t="n"/>
      <c r="U62" s="1445" t="inlineStr"/>
      <c r="V62" s="1445" t="n"/>
      <c r="W62" s="1445" t="n"/>
      <c r="X62" s="1445" t="n"/>
      <c r="Y62" s="1445" t="n"/>
      <c r="Z62" s="1445" t="n"/>
      <c r="AA62" s="1249" t="n"/>
      <c r="AB62" s="1439">
        <f>SUM(AC62:AI62)</f>
        <v/>
      </c>
      <c r="AC62" s="1439" t="n"/>
      <c r="AD62" s="1439" t="n"/>
      <c r="AE62" s="1439" t="n"/>
      <c r="AF62" s="1439" t="n"/>
      <c r="AG62" s="1439" t="n"/>
      <c r="AH62" s="1439" t="n"/>
      <c r="AI62" s="1439" t="n"/>
      <c r="AJ62" s="1517" t="n"/>
      <c r="AK62" s="1351" t="n"/>
      <c r="AL62" s="716" t="n"/>
    </row>
    <row r="63">
      <c r="A63" s="384" t="n"/>
      <c r="B63" s="384" t="n"/>
      <c r="C63" s="384" t="n"/>
      <c r="D63" s="384" t="n"/>
      <c r="E63" s="384" t="n"/>
      <c r="F63" s="384" t="n"/>
      <c r="G63" s="384" t="n"/>
      <c r="H63" s="384" t="n"/>
      <c r="I63" s="384" t="n"/>
      <c r="J63" s="384" t="n"/>
      <c r="K63" s="384" t="n"/>
      <c r="L63" s="384" t="n"/>
      <c r="M63" s="462">
        <f>IF(_epmOfflineCondition_,"燃料费",EPMMemberDesc(O63))</f>
        <v/>
      </c>
      <c r="N63" s="384" t="n"/>
      <c r="O63" s="135" t="inlineStr">
        <is>
          <t>A02801010101</t>
        </is>
      </c>
      <c r="P63" s="93">
        <f>IF(_epmOfflineCondition_,"A02801010101",EPMOlapMemberO(O63,"[C_ACCOUNT].[PARENTH1].[A02801010101]","A02801010101 - 燃料费","","000"))</f>
        <v/>
      </c>
      <c r="Q63" s="384" t="n"/>
      <c r="R63" s="111" t="inlineStr">
        <is>
          <t>变动成本-燃料费</t>
        </is>
      </c>
      <c r="S63" s="1439">
        <f>SUM(T63:AA63)</f>
        <v/>
      </c>
      <c r="T63" s="1445" t="n"/>
      <c r="U63" s="1445" t="n"/>
      <c r="V63" s="1445" t="n"/>
      <c r="W63" s="1445" t="n"/>
      <c r="X63" s="1445" t="n"/>
      <c r="Y63" s="1445" t="n"/>
      <c r="Z63" s="1445" t="n"/>
      <c r="AA63" s="1249" t="n"/>
      <c r="AB63" s="1439">
        <f>SUM(AC63:AI63)</f>
        <v/>
      </c>
      <c r="AC63" s="1439" t="n"/>
      <c r="AD63" s="1439" t="n"/>
      <c r="AE63" s="1439" t="n"/>
      <c r="AF63" s="1439" t="n"/>
      <c r="AG63" s="1439" t="n"/>
      <c r="AH63" s="1439" t="n"/>
      <c r="AI63" s="1439" t="n"/>
      <c r="AJ63" s="1517" t="n"/>
      <c r="AK63" s="1351" t="n"/>
      <c r="AL63" s="716" t="n"/>
    </row>
    <row r="64">
      <c r="A64" s="384" t="n"/>
      <c r="B64" s="384" t="n"/>
      <c r="C64" s="248" t="inlineStr">
        <is>
          <t>研发费用</t>
        </is>
      </c>
      <c r="D64" s="248" t="inlineStr">
        <is>
          <t>A028010203</t>
        </is>
      </c>
      <c r="E64" s="384" t="n"/>
      <c r="F64" s="384" t="n"/>
      <c r="G64" s="384" t="n"/>
      <c r="H64" s="384" t="n"/>
      <c r="I64" s="384" t="n"/>
      <c r="J64" s="384" t="n"/>
      <c r="K64" s="384" t="n"/>
      <c r="L64" s="384" t="n"/>
      <c r="M64" s="462">
        <f>IF(_epmOfflineCondition_,"材料费",EPMMemberDesc(O64))</f>
        <v/>
      </c>
      <c r="N64" s="384" t="n"/>
      <c r="O64" s="97" t="inlineStr">
        <is>
          <t>A02801010103</t>
        </is>
      </c>
      <c r="P64" s="93">
        <f>IF(_epmOfflineCondition_,"A02801010103",EPMOlapMemberO(O64,"[C_ACCOUNT].[PARENTH1].[A02801010103]","A02801010103 - 材料费","","000"))</f>
        <v/>
      </c>
      <c r="Q64" s="384" t="n"/>
      <c r="R64" s="111" t="inlineStr">
        <is>
          <t>变动成本-材料费用</t>
        </is>
      </c>
      <c r="S64" s="1439">
        <f>SUM(T64:AA64)</f>
        <v/>
      </c>
      <c r="T64" s="1445" t="n"/>
      <c r="U64" s="1445" t="n"/>
      <c r="V64" s="1445" t="n"/>
      <c r="W64" s="1445" t="n"/>
      <c r="X64" s="1445" t="n"/>
      <c r="Y64" s="1445" t="n"/>
      <c r="Z64" s="1445" t="n"/>
      <c r="AA64" s="1249" t="n"/>
      <c r="AB64" s="1439">
        <f>SUM(AC64:AI64)</f>
        <v/>
      </c>
      <c r="AC64" s="1439" t="n"/>
      <c r="AD64" s="1439" t="n"/>
      <c r="AE64" s="1439" t="n"/>
      <c r="AF64" s="1439" t="n"/>
      <c r="AG64" s="1439" t="n"/>
      <c r="AH64" s="1439" t="n"/>
      <c r="AI64" s="1439" t="n"/>
      <c r="AJ64" s="1517" t="n"/>
      <c r="AK64" s="1351" t="n"/>
      <c r="AL64" s="716" t="n"/>
    </row>
    <row r="65">
      <c r="A65" s="384" t="n"/>
      <c r="B65" s="384" t="n"/>
      <c r="C65" s="384" t="n"/>
      <c r="D65" s="384" t="n"/>
      <c r="E65" s="384" t="n"/>
      <c r="F65" s="384" t="n"/>
      <c r="G65" s="384" t="n"/>
      <c r="H65" s="384" t="n"/>
      <c r="I65" s="384" t="n"/>
      <c r="J65" s="384" t="n"/>
      <c r="K65" s="384" t="n"/>
      <c r="L65" s="384" t="n"/>
      <c r="M65" s="462">
        <f>IF(_epmOfflineCondition_,"外购动力",EPMMemberDesc(O65))</f>
        <v/>
      </c>
      <c r="N65" s="384" t="n"/>
      <c r="O65" s="97" t="inlineStr">
        <is>
          <t>A02801010104</t>
        </is>
      </c>
      <c r="P65" s="93">
        <f>IF(_epmOfflineCondition_,"A02801010104",EPMOlapMemberO(O65,"[C_ACCOUNT].[PARENTH1].[A02801010104]","A02801010104 - 外购动力","","000"))</f>
        <v/>
      </c>
      <c r="Q65" s="384" t="n"/>
      <c r="R65" s="111" t="inlineStr">
        <is>
          <t>变动成本-外购电力费</t>
        </is>
      </c>
      <c r="S65" s="1439">
        <f>SUM(T65:AA65)</f>
        <v/>
      </c>
      <c r="T65" s="1518" t="n"/>
      <c r="U65" s="1518" t="inlineStr"/>
      <c r="V65" s="1518" t="n"/>
      <c r="W65" s="1518" t="n"/>
      <c r="X65" s="1518" t="n"/>
      <c r="Y65" s="1518" t="n"/>
      <c r="Z65" s="1518" t="n"/>
      <c r="AA65" s="1377" t="n"/>
      <c r="AB65" s="1439">
        <f>SUM(AC65:AI65)</f>
        <v/>
      </c>
      <c r="AC65" s="1519" t="n"/>
      <c r="AD65" s="1519" t="n"/>
      <c r="AE65" s="1519" t="n"/>
      <c r="AF65" s="1519" t="n"/>
      <c r="AG65" s="1519" t="n"/>
      <c r="AH65" s="1519" t="n"/>
      <c r="AI65" s="1519" t="n"/>
      <c r="AJ65" s="1520" t="n"/>
      <c r="AK65" s="1351" t="n"/>
      <c r="AL65" s="716" t="n"/>
    </row>
    <row r="66">
      <c r="A66" s="384" t="n"/>
      <c r="B66" s="384" t="n"/>
      <c r="C66" s="384" t="n"/>
      <c r="D66" s="384" t="n"/>
      <c r="E66" s="384" t="n"/>
      <c r="F66" s="384" t="n"/>
      <c r="G66" s="384" t="n"/>
      <c r="H66" s="384" t="n"/>
      <c r="I66" s="384" t="n"/>
      <c r="J66" s="384" t="n"/>
      <c r="K66" s="384" t="n"/>
      <c r="L66" s="384" t="n"/>
      <c r="M66" s="462">
        <f>IF(_epmOfflineCondition_,"  四、营业税金及附加",EPMMemberDesc(O66))</f>
        <v/>
      </c>
      <c r="N66" s="384" t="n"/>
      <c r="O66" s="384" t="inlineStr">
        <is>
          <t>A0280104</t>
        </is>
      </c>
      <c r="P66" s="135">
        <f>IF(_epmOfflineCondition_,"A0280104",EPMOlapMemberO(O66,"[C_ACCOUNT].[PARENTH1].[A0280104]","A0280104 -   四、营业税金及附加","","000"))</f>
        <v/>
      </c>
      <c r="Q66" s="384" t="n"/>
      <c r="R66" s="111" t="inlineStr">
        <is>
          <t>税金及附加</t>
        </is>
      </c>
      <c r="S66" s="1439">
        <f>SUM(T66:AA66)</f>
        <v/>
      </c>
      <c r="T66" s="1445" t="n"/>
      <c r="U66" s="1445" t="inlineStr"/>
      <c r="V66" s="1445" t="n"/>
      <c r="W66" s="1445" t="n"/>
      <c r="X66" s="1445" t="n"/>
      <c r="Y66" s="1445" t="n"/>
      <c r="Z66" s="1445" t="n"/>
      <c r="AA66" s="1249" t="n"/>
      <c r="AB66" s="1439">
        <f>SUM(AC66:AJ66)</f>
        <v/>
      </c>
      <c r="AC66" s="1439" t="n"/>
      <c r="AD66" s="1439" t="inlineStr"/>
      <c r="AE66" s="1439" t="n"/>
      <c r="AF66" s="1439" t="n"/>
      <c r="AG66" s="1439" t="n"/>
      <c r="AH66" s="1439" t="n"/>
      <c r="AI66" s="1439" t="n"/>
      <c r="AJ66" s="1517">
        <f>IF($E$166=8,Q112,IF($E$166=7,N112,0))</f>
        <v/>
      </c>
      <c r="AK66" s="1351" t="n"/>
      <c r="AL66" s="716" t="n"/>
    </row>
    <row r="67">
      <c r="A67" s="384" t="n"/>
      <c r="B67" s="384" t="n"/>
      <c r="C67" s="384" t="n"/>
      <c r="D67" s="384" t="n"/>
      <c r="E67" s="384" t="n"/>
      <c r="F67" s="384" t="n"/>
      <c r="G67" s="384" t="n"/>
      <c r="H67" s="384" t="n"/>
      <c r="I67" s="384" t="n"/>
      <c r="J67" s="384" t="n"/>
      <c r="K67" s="384" t="n"/>
      <c r="L67" s="384" t="n"/>
      <c r="M67" s="462" t="inlineStr">
        <is>
          <t>销售费用</t>
        </is>
      </c>
      <c r="N67" s="384" t="n"/>
      <c r="O67" s="384" t="inlineStr">
        <is>
          <t>A09430</t>
        </is>
      </c>
      <c r="P67" s="97">
        <f>IF(_epmOfflineCondition_,"A09430",EPMOlapMemberO(O67,"[C_ACCOUNT].[PARENTH1].[A09430]","A09430 - 销售费用","","000"))</f>
        <v/>
      </c>
      <c r="Q67" s="384" t="n"/>
      <c r="R67" s="111" t="inlineStr">
        <is>
          <t>销售费用</t>
        </is>
      </c>
      <c r="S67" s="1439">
        <f>SUM(T67:AA67)</f>
        <v/>
      </c>
      <c r="T67" s="1445">
        <f>IF(_epmOfflineCondition_,0,EPMRetrieveData("",$D60,T$45,$T$44,$T$41,$T$42,$T$43,$D$21,$D$22,$D$23,$D$25,$D$26,$D$27,$D$28))</f>
        <v/>
      </c>
      <c r="U67" s="1445">
        <f>IF(_epmOfflineCondition_,0,EPMRetrieveData("",$D60,U$45,$T$44,$T$41,$T$42,$T$43,$D$21,$D$22,$D$23,$D$25,$D$26,$D$27,$D$28))</f>
        <v/>
      </c>
      <c r="V67" s="1445">
        <f>IF(_epmOfflineCondition_,0,EPMRetrieveData("",$D60,V$45,$T$44,$T$41,$T$42,$T$43,$D$21,$D$22,$D$23,$D$25,$D$26,$D$27,$D$28))</f>
        <v/>
      </c>
      <c r="W67" s="1445">
        <f>IF(_epmOfflineCondition_,0,EPMRetrieveData("",$D60,W$45,$T$44,$T$41,$T$42,$T$43,$D$21,$D$22,$D$23,$D$25,$D$26,$D$27,$D$28))</f>
        <v/>
      </c>
      <c r="X67" s="1445">
        <f>IF(_epmOfflineCondition_,0,EPMRetrieveData("",$D60,X$45,$T$44,$T$41,$T$42,$T$43,$D$21,$D$22,$D$23,$D$25,$D$26,$D$27,$D$28))</f>
        <v/>
      </c>
      <c r="Y67" s="1445">
        <f>IF(_epmOfflineCondition_,0,EPMRetrieveData("",$D60,Y$45,$T$44,$T$41,$T$42,$T$43,$D$21,$D$22,$D$23,$D$25,$D$26,$D$27,$D$28))</f>
        <v/>
      </c>
      <c r="Z67" s="1445">
        <f>IF(_epmOfflineCondition_,0,EPMRetrieveData("",$D60,Z$45,$T$44,$T$41,$T$42,$T$43,$D$21,$D$22,$D$23,$D$25,$D$26,$D$27,$D$28))</f>
        <v/>
      </c>
      <c r="AA67" s="1249">
        <f>IF(_epmOfflineCondition_,0,EPMRetrieveData("",$D60,AA$45,$T$44,$T$41,$T$42,$T$43,$D$21,$D$22,$D$23,$D$25,$D$26,$D$27,$D$28))</f>
        <v/>
      </c>
      <c r="AB67" s="1439">
        <f>SUM(AC67:AJ67)</f>
        <v/>
      </c>
      <c r="AC67" s="1439" t="n"/>
      <c r="AD67" s="1439" t="n"/>
      <c r="AE67" s="1439" t="n"/>
      <c r="AF67" s="1439" t="n"/>
      <c r="AG67" s="1439" t="n"/>
      <c r="AH67" s="1439" t="n"/>
      <c r="AI67" s="1439" t="n"/>
      <c r="AJ67" s="1517">
        <f>IF($E$166=8,Q113,IF($E$166=7,N113,0))</f>
        <v/>
      </c>
      <c r="AK67" s="1351" t="n"/>
      <c r="AL67" s="716" t="n"/>
    </row>
    <row r="68">
      <c r="A68" s="384" t="n"/>
      <c r="B68" s="384" t="n"/>
      <c r="C68" s="384" t="n"/>
      <c r="D68" s="384" t="n"/>
      <c r="E68" s="384" t="n"/>
      <c r="F68" s="384" t="n"/>
      <c r="G68" s="384" t="n"/>
      <c r="H68" s="384" t="n"/>
      <c r="I68" s="384" t="n"/>
      <c r="J68" s="384" t="n"/>
      <c r="K68" s="384" t="n"/>
      <c r="L68" s="384" t="n"/>
      <c r="M68" s="462">
        <f>IF(_epmOfflineCondition_,"管理费用",EPMMemberDesc(O68))</f>
        <v/>
      </c>
      <c r="N68" s="384" t="n"/>
      <c r="O68" s="716" t="inlineStr">
        <is>
          <t>A09406</t>
        </is>
      </c>
      <c r="P68" s="97">
        <f>IF(_epmOfflineCondition_,"A09406",EPMOlapMemberO(O68,"[C_ACCOUNT].[PARENTH1].[A09406]","A09406 - 管理费用","","000"))</f>
        <v/>
      </c>
      <c r="Q68" s="384" t="n"/>
      <c r="R68" s="111" t="inlineStr">
        <is>
          <t>管理费用</t>
        </is>
      </c>
      <c r="S68" s="1439">
        <f>SUM(T68:AA68)</f>
        <v/>
      </c>
      <c r="T68" s="1445">
        <f>IF(_epmOfflineCondition_,0,EPMRetrieveData("",$D61,T$45,$T$44,$T$41,$T$42,$T$43,$D$21,$D$22,$D$23,$D$25,$D$26,$D$27,$D$28))</f>
        <v/>
      </c>
      <c r="U68" s="1445">
        <f>IF(_epmOfflineCondition_,0,EPMRetrieveData("",$D61,U$45,$T$44,$T$41,$T$42,$T$43,$D$21,$D$22,$D$23,$D$25,$D$26,$D$27,$D$28))</f>
        <v/>
      </c>
      <c r="V68" s="1445">
        <f>IF(_epmOfflineCondition_,0,EPMRetrieveData("",$D61,V$45,$T$44,$T$41,$T$42,$T$43,$D$21,$D$22,$D$23,$D$25,$D$26,$D$27,$D$28))</f>
        <v/>
      </c>
      <c r="W68" s="1445">
        <f>IF(_epmOfflineCondition_,0,EPMRetrieveData("",$D61,W$45,$T$44,$T$41,$T$42,$T$43,$D$21,$D$22,$D$23,$D$25,$D$26,$D$27,$D$28))</f>
        <v/>
      </c>
      <c r="X68" s="1445">
        <f>IF(_epmOfflineCondition_,0,EPMRetrieveData("",$D61,X$45,$T$44,$T$41,$T$42,$T$43,$D$21,$D$22,$D$23,$D$25,$D$26,$D$27,$D$28))</f>
        <v/>
      </c>
      <c r="Y68" s="1445">
        <f>IF(_epmOfflineCondition_,0,EPMRetrieveData("",$D61,Y$45,$T$44,$T$41,$T$42,$T$43,$D$21,$D$22,$D$23,$D$25,$D$26,$D$27,$D$28))</f>
        <v/>
      </c>
      <c r="Z68" s="1445">
        <f>IF(_epmOfflineCondition_,0,EPMRetrieveData("",$D61,Z$45,$T$44,$T$41,$T$42,$T$43,$D$21,$D$22,$D$23,$D$25,$D$26,$D$27,$D$28))</f>
        <v/>
      </c>
      <c r="AA68" s="1249">
        <f>IF(_epmOfflineCondition_,0,EPMRetrieveData("",$D61,AA$45,$T$44,$T$41,$T$42,$T$43,$D$21,$D$22,$D$23,$D$25,$D$26,$D$27,$D$28))</f>
        <v/>
      </c>
      <c r="AB68" s="1439">
        <f>SUM(AC68:AJ68)</f>
        <v/>
      </c>
      <c r="AC68" s="1439" t="n"/>
      <c r="AD68" s="1439" t="n"/>
      <c r="AE68" s="1439" t="n"/>
      <c r="AF68" s="1439" t="n"/>
      <c r="AG68" s="1439" t="n"/>
      <c r="AH68" s="1439" t="n"/>
      <c r="AI68" s="1439" t="n"/>
      <c r="AJ68" s="1517">
        <f>IF($E$166=8,Q114,IF($E$166=7,N114,0))</f>
        <v/>
      </c>
      <c r="AK68" s="1351" t="n"/>
      <c r="AL68" s="716" t="n"/>
    </row>
    <row r="69">
      <c r="A69" s="384" t="n"/>
      <c r="B69" s="384" t="n"/>
      <c r="C69" s="384" t="n"/>
      <c r="D69" s="384" t="n"/>
      <c r="E69" s="384" t="n"/>
      <c r="F69" s="384" t="n"/>
      <c r="G69" s="384" t="n"/>
      <c r="H69" s="384" t="n"/>
      <c r="I69" s="384" t="n"/>
      <c r="J69" s="384" t="n"/>
      <c r="K69" s="384" t="n"/>
      <c r="L69" s="384" t="n"/>
      <c r="M69" s="462">
        <f>IF(_epmOfflineCondition_,"财务费用",EPMMemberDesc(O69))</f>
        <v/>
      </c>
      <c r="N69" s="384" t="n"/>
      <c r="O69" s="716" t="inlineStr">
        <is>
          <t>A09407</t>
        </is>
      </c>
      <c r="P69" s="97">
        <f>IF(_epmOfflineCondition_,"A09407",EPMOlapMemberO(O69,"[C_ACCOUNT].[PARENTH1].[A09407]","A09407 - 财务费用","","000"))</f>
        <v/>
      </c>
      <c r="Q69" s="384" t="n"/>
      <c r="R69" s="111" t="inlineStr">
        <is>
          <t>财务费用</t>
        </is>
      </c>
      <c r="S69" s="1439">
        <f>SUM(T69:AA69)</f>
        <v/>
      </c>
      <c r="T69" s="1445">
        <f>IF(_epmOfflineCondition_,0,EPMRetrieveData("",$D62,T$45,$T$44,$T$41,$T$42,$T$43,$D$21,$D$22,$D$23,$D$25,$D$26,$D$27,$D$28))</f>
        <v/>
      </c>
      <c r="U69" s="1445">
        <f>IF(_epmOfflineCondition_,6988516.48,EPMRetrieveData("",$D62,U$45,$T$44,$T$41,$T$42,$T$43,$D$21,$D$22,$D$23,$D$25,$D$26,$D$27,$D$28))</f>
        <v/>
      </c>
      <c r="V69" s="1445">
        <f>IF(_epmOfflineCondition_,0,EPMRetrieveData("",$D62,V$45,$T$44,$T$41,$T$42,$T$43,$D$21,$D$22,$D$23,$D$25,$D$26,$D$27,$D$28))</f>
        <v/>
      </c>
      <c r="W69" s="1445">
        <f>IF(_epmOfflineCondition_,0,EPMRetrieveData("",$D62,W$45,$T$44,$T$41,$T$42,$T$43,$D$21,$D$22,$D$23,$D$25,$D$26,$D$27,$D$28))</f>
        <v/>
      </c>
      <c r="X69" s="1445">
        <f>IF(_epmOfflineCondition_,0,EPMRetrieveData("",$D62,X$45,$T$44,$T$41,$T$42,$T$43,$D$21,$D$22,$D$23,$D$25,$D$26,$D$27,$D$28))</f>
        <v/>
      </c>
      <c r="Y69" s="1445">
        <f>IF(_epmOfflineCondition_,0,EPMRetrieveData("",$D62,Y$45,$T$44,$T$41,$T$42,$T$43,$D$21,$D$22,$D$23,$D$25,$D$26,$D$27,$D$28))</f>
        <v/>
      </c>
      <c r="Z69" s="1445">
        <f>IF(_epmOfflineCondition_,0,EPMRetrieveData("",$D62,Z$45,$T$44,$T$41,$T$42,$T$43,$D$21,$D$22,$D$23,$D$25,$D$26,$D$27,$D$28))</f>
        <v/>
      </c>
      <c r="AA69" s="1249">
        <f>IF(_epmOfflineCondition_,0,EPMRetrieveData("",$D62,AA$45,$T$44,$T$41,$T$42,$T$43,$D$21,$D$22,$D$23,$D$25,$D$26,$D$27,$D$28))</f>
        <v/>
      </c>
      <c r="AB69" s="1439">
        <f>SUM(AC69:AJ69)</f>
        <v/>
      </c>
      <c r="AC69" s="1439" t="n"/>
      <c r="AD69" s="1439" t="n"/>
      <c r="AE69" s="1439" t="n"/>
      <c r="AF69" s="1439" t="n"/>
      <c r="AG69" s="1439" t="n"/>
      <c r="AH69" s="1439" t="n"/>
      <c r="AI69" s="1439" t="n"/>
      <c r="AJ69" s="1517">
        <f>IF($E$166=8,Q116,IF($E$166=7,N116,0))</f>
        <v/>
      </c>
      <c r="AK69" s="1351" t="n"/>
      <c r="AL69" s="716" t="n"/>
    </row>
    <row r="70">
      <c r="A70" s="384" t="n"/>
      <c r="B70" s="384" t="n"/>
      <c r="C70" s="384" t="n"/>
      <c r="D70" s="384" t="n"/>
      <c r="E70" s="384" t="n"/>
      <c r="F70" s="384" t="n"/>
      <c r="G70" s="384" t="n"/>
      <c r="H70" s="384" t="n"/>
      <c r="I70" s="384" t="n"/>
      <c r="J70" s="384" t="n"/>
      <c r="K70" s="384" t="n"/>
      <c r="L70" s="384" t="n"/>
      <c r="M70" s="462">
        <f>IF(_epmOfflineCondition_,"其中：利息支出",EPMMemberDesc(O70))</f>
        <v/>
      </c>
      <c r="N70" s="384" t="n"/>
      <c r="O70" s="716" t="inlineStr">
        <is>
          <t>A09408</t>
        </is>
      </c>
      <c r="P70" s="97">
        <f>IF(_epmOfflineCondition_,"A09408",EPMOlapMemberO(O70,"[C_ACCOUNT].[PARENTH1].[A09408]","A09408 - 其中：利息支出","","000"))</f>
        <v/>
      </c>
      <c r="Q70" s="384" t="n"/>
      <c r="R70" s="112" t="inlineStr">
        <is>
          <t>其中：利息支出</t>
        </is>
      </c>
      <c r="S70" s="1439">
        <f>SUM(T70:AA70)</f>
        <v/>
      </c>
      <c r="T70" s="1444" t="n"/>
      <c r="U70" s="1444" t="inlineStr"/>
      <c r="V70" s="1444" t="n"/>
      <c r="W70" s="1444" t="n"/>
      <c r="X70" s="1444" t="n"/>
      <c r="Y70" s="1444" t="n"/>
      <c r="Z70" s="1444" t="n"/>
      <c r="AA70" s="1444" t="n"/>
      <c r="AB70" s="1439">
        <f>SUM(AC70:AJ70)</f>
        <v/>
      </c>
      <c r="AC70" s="1439" t="n"/>
      <c r="AD70" s="1439" t="n"/>
      <c r="AE70" s="1439" t="n"/>
      <c r="AF70" s="1439" t="n"/>
      <c r="AG70" s="1439" t="n"/>
      <c r="AH70" s="1439" t="n"/>
      <c r="AI70" s="1439" t="n"/>
      <c r="AJ70" s="1517">
        <f>IF($E$166=8,Q117,IF($E$166=7,N117,0))</f>
        <v/>
      </c>
      <c r="AK70" s="1351" t="n"/>
      <c r="AL70" s="716" t="n"/>
    </row>
    <row r="71">
      <c r="A71" s="384" t="n"/>
      <c r="B71" s="384" t="n"/>
      <c r="C71" s="384" t="n"/>
      <c r="D71" s="384" t="n"/>
      <c r="E71" s="384" t="n"/>
      <c r="F71" s="384" t="n"/>
      <c r="G71" s="384" t="n"/>
      <c r="H71" s="384" t="n"/>
      <c r="I71" s="384" t="n"/>
      <c r="J71" s="384" t="n"/>
      <c r="K71" s="384" t="n"/>
      <c r="L71" s="384" t="n"/>
      <c r="M71" s="462" t="n"/>
      <c r="N71" s="384" t="n"/>
      <c r="O71" s="716" t="inlineStr">
        <is>
          <t>A09429</t>
        </is>
      </c>
      <c r="P71" s="97">
        <f>IF(_epmOfflineCondition_,"A09429",EPMOlapMemberO(O71,"[C_ACCOUNT].[PARENTH1].[A09429]","A09429 - 研发费用","","000"))</f>
        <v/>
      </c>
      <c r="Q71" s="384" t="n"/>
      <c r="R71" s="134" t="inlineStr">
        <is>
          <t xml:space="preserve">              研发费用</t>
        </is>
      </c>
      <c r="S71" s="1439">
        <f>SUM(T71:AA71)</f>
        <v/>
      </c>
      <c r="T71" s="1445">
        <f>IF(_epmOfflineCondition_,0,EPMRetrieveData("",$D64,T$45,$T$44,$T$41,$T$42,$T$43,$D$21,$D$22,$D$23,$D$25,$D$26,$D$27,$D$28))</f>
        <v/>
      </c>
      <c r="U71" s="1445">
        <f>IF(_epmOfflineCondition_,0,EPMRetrieveData("",$D64,U$45,$T$44,$T$41,$T$42,$T$43,$D$21,$D$22,$D$23,$D$25,$D$26,$D$27,$D$28))</f>
        <v/>
      </c>
      <c r="V71" s="1445">
        <f>IF(_epmOfflineCondition_,0,EPMRetrieveData("",$D64,V$45,$T$44,$T$41,$T$42,$T$43,$D$21,$D$22,$D$23,$D$25,$D$26,$D$27,$D$28))</f>
        <v/>
      </c>
      <c r="W71" s="1445">
        <f>IF(_epmOfflineCondition_,0,EPMRetrieveData("",$D64,W$45,$T$44,$T$41,$T$42,$T$43,$D$21,$D$22,$D$23,$D$25,$D$26,$D$27,$D$28))</f>
        <v/>
      </c>
      <c r="X71" s="1445">
        <f>IF(_epmOfflineCondition_,0,EPMRetrieveData("",$D64,X$45,$T$44,$T$41,$T$42,$T$43,$D$21,$D$22,$D$23,$D$25,$D$26,$D$27,$D$28))</f>
        <v/>
      </c>
      <c r="Y71" s="1445">
        <f>IF(_epmOfflineCondition_,0,EPMRetrieveData("",$D64,Y$45,$T$44,$T$41,$T$42,$T$43,$D$21,$D$22,$D$23,$D$25,$D$26,$D$27,$D$28))</f>
        <v/>
      </c>
      <c r="Z71" s="1445">
        <f>IF(_epmOfflineCondition_,0,EPMRetrieveData("",$D64,Z$45,$T$44,$T$41,$T$42,$T$43,$D$21,$D$22,$D$23,$D$25,$D$26,$D$27,$D$28))</f>
        <v/>
      </c>
      <c r="AA71" s="1249">
        <f>IF(_epmOfflineCondition_,0,EPMRetrieveData("",$D64,AA$45,$T$44,$T$41,$T$42,$T$43,$D$21,$D$22,$D$23,$D$25,$D$26,$D$27,$D$28))</f>
        <v/>
      </c>
      <c r="AB71" s="1439">
        <f>SUM(AC71:AJ71)</f>
        <v/>
      </c>
      <c r="AC71" s="1439" t="n"/>
      <c r="AD71" s="1439" t="n"/>
      <c r="AE71" s="1439" t="n"/>
      <c r="AF71" s="1439" t="n"/>
      <c r="AG71" s="1439" t="n"/>
      <c r="AH71" s="1439" t="n"/>
      <c r="AI71" s="1439" t="n"/>
      <c r="AJ71" s="1517">
        <f>IF($E$166=8,Q115,IF($E$166=7,N115,0))</f>
        <v/>
      </c>
      <c r="AK71" s="1351" t="n"/>
      <c r="AL71" s="716" t="n"/>
    </row>
    <row r="72">
      <c r="A72" s="384" t="n"/>
      <c r="B72" s="384" t="n"/>
      <c r="C72" s="384" t="n"/>
      <c r="D72" s="384" t="n"/>
      <c r="E72" s="384" t="n"/>
      <c r="F72" s="384" t="n"/>
      <c r="G72" s="384" t="n"/>
      <c r="H72" s="384" t="n"/>
      <c r="I72" s="384" t="n"/>
      <c r="J72" s="384" t="n"/>
      <c r="K72" s="384" t="n"/>
      <c r="L72" s="384" t="n"/>
      <c r="M72" s="462">
        <f>IF(_epmOfflineCondition_,"  三、资产减值损失",EPMMemberDesc(O72))</f>
        <v/>
      </c>
      <c r="N72" s="384" t="n"/>
      <c r="O72" s="384" t="inlineStr">
        <is>
          <t>A0280103</t>
        </is>
      </c>
      <c r="P72" s="135">
        <f>IF(_epmOfflineCondition_,"A0280103",EPMOlapMemberO(O72,"[C_ACCOUNT].[PARENTH1].[A0280103]","A0280103 -   三、资产减值损失","","000"))</f>
        <v/>
      </c>
      <c r="Q72" s="384" t="n"/>
      <c r="R72" s="111" t="inlineStr">
        <is>
          <t>资产减值损失</t>
        </is>
      </c>
      <c r="S72" s="1439">
        <f>SUM(T72:AA72)</f>
        <v/>
      </c>
      <c r="T72" s="1445" t="n"/>
      <c r="U72" s="1445" t="n"/>
      <c r="V72" s="1445" t="n"/>
      <c r="W72" s="1445" t="n"/>
      <c r="X72" s="1445" t="n"/>
      <c r="Y72" s="1445" t="n"/>
      <c r="Z72" s="1445" t="n"/>
      <c r="AA72" s="1249" t="n"/>
      <c r="AB72" s="1439">
        <f>SUM(AC72:AJ72)</f>
        <v/>
      </c>
      <c r="AC72" s="1439" t="n"/>
      <c r="AD72" s="1439" t="n"/>
      <c r="AE72" s="1439" t="n"/>
      <c r="AF72" s="1439" t="n"/>
      <c r="AG72" s="1439" t="n"/>
      <c r="AH72" s="1439" t="n"/>
      <c r="AI72" s="1439" t="n"/>
      <c r="AJ72" s="1517">
        <f>IF($E$166=8,Q129,IF($E$166=7,N129,0))</f>
        <v/>
      </c>
      <c r="AK72" s="1351" t="n"/>
      <c r="AL72" s="716" t="n"/>
    </row>
    <row r="73">
      <c r="A73" s="384" t="n"/>
      <c r="B73" s="384" t="n"/>
      <c r="C73" s="384" t="n"/>
      <c r="D73" s="384" t="n"/>
      <c r="E73" s="384" t="n"/>
      <c r="F73" s="384" t="n"/>
      <c r="G73" s="384" t="n"/>
      <c r="H73" s="384" t="n"/>
      <c r="I73" s="384" t="n"/>
      <c r="J73" s="384" t="n"/>
      <c r="K73" s="384" t="n"/>
      <c r="L73" s="384" t="n"/>
      <c r="M73" s="462">
        <f>IF(_epmOfflineCondition_,"公允价值变动",EPMMemberDesc(O73))</f>
        <v/>
      </c>
      <c r="N73" s="384" t="n"/>
      <c r="O73" s="716" t="inlineStr">
        <is>
          <t>A09409</t>
        </is>
      </c>
      <c r="P73" s="97">
        <f>IF(_epmOfflineCondition_,"A09409",EPMOlapMemberO(O73,"[C_ACCOUNT].[PARENTH1].[A09409]","A09409 - 公允价值变动","","000"))</f>
        <v/>
      </c>
      <c r="Q73" s="384" t="n"/>
      <c r="R73" s="111" t="inlineStr">
        <is>
          <t>公允价值变动</t>
        </is>
      </c>
      <c r="S73" s="1439">
        <f>SUM(T73:AA73)</f>
        <v/>
      </c>
      <c r="T73" s="1444" t="n"/>
      <c r="U73" s="1444" t="n"/>
      <c r="V73" s="1444" t="n"/>
      <c r="W73" s="1444" t="n"/>
      <c r="X73" s="1444" t="n"/>
      <c r="Y73" s="1444" t="n"/>
      <c r="Z73" s="1444" t="n"/>
      <c r="AA73" s="1444" t="n"/>
      <c r="AB73" s="1439">
        <f>SUM(AC73:AJ73)</f>
        <v/>
      </c>
      <c r="AC73" s="1439" t="n"/>
      <c r="AD73" s="1439" t="n"/>
      <c r="AE73" s="1439" t="n"/>
      <c r="AF73" s="1439" t="n"/>
      <c r="AG73" s="1439" t="n"/>
      <c r="AH73" s="1439" t="n"/>
      <c r="AI73" s="1439" t="n"/>
      <c r="AJ73" s="1517">
        <f>IF($E$166=8,Q127,IF($E$166=7,N127,0))</f>
        <v/>
      </c>
      <c r="AK73" s="1351" t="n"/>
      <c r="AL73" s="716" t="n"/>
    </row>
    <row r="74">
      <c r="A74" s="384" t="n"/>
      <c r="B74" s="384" t="n"/>
      <c r="C74" s="384" t="n"/>
      <c r="D74" s="384" t="n"/>
      <c r="E74" s="384" t="n"/>
      <c r="F74" s="384" t="n"/>
      <c r="G74" s="384" t="n"/>
      <c r="H74" s="384" t="n"/>
      <c r="I74" s="384" t="n"/>
      <c r="J74" s="384" t="n"/>
      <c r="K74" s="384" t="n"/>
      <c r="L74" s="384" t="n"/>
      <c r="M74" s="462">
        <f>IF(_epmOfflineCondition_,"信用减值损失",EPMMemberDesc(O74))</f>
        <v/>
      </c>
      <c r="N74" s="384" t="n"/>
      <c r="O74" s="716" t="inlineStr">
        <is>
          <t>A09410</t>
        </is>
      </c>
      <c r="P74" s="97">
        <f>IF(_epmOfflineCondition_,"A09410",EPMOlapMemberO(O74,"[C_ACCOUNT].[PARENTH1].[A09410]","A09410 - 信用减值损失","","000"))</f>
        <v/>
      </c>
      <c r="Q74" s="384" t="n"/>
      <c r="R74" s="111" t="inlineStr">
        <is>
          <t>信用减值损失</t>
        </is>
      </c>
      <c r="S74" s="1439">
        <f>SUM(T74:AA74)</f>
        <v/>
      </c>
      <c r="T74" s="1444" t="n"/>
      <c r="U74" s="1444" t="n"/>
      <c r="V74" s="1444" t="n"/>
      <c r="W74" s="1444" t="n"/>
      <c r="X74" s="1444" t="n"/>
      <c r="Y74" s="1444" t="n"/>
      <c r="Z74" s="1444" t="n"/>
      <c r="AA74" s="1444" t="n"/>
      <c r="AB74" s="1439">
        <f>SUM(AC74:AJ74)</f>
        <v/>
      </c>
      <c r="AC74" s="1439" t="n"/>
      <c r="AD74" s="1439" t="n"/>
      <c r="AE74" s="1439" t="n"/>
      <c r="AF74" s="1439" t="n"/>
      <c r="AG74" s="1439" t="n"/>
      <c r="AH74" s="1439" t="n"/>
      <c r="AI74" s="1439" t="n"/>
      <c r="AJ74" s="1517">
        <f>IF($E$166=8,Q128,IF($E$166=7,N128,0))</f>
        <v/>
      </c>
      <c r="AK74" s="1351" t="n"/>
      <c r="AL74" s="716" t="n"/>
    </row>
    <row r="75">
      <c r="A75" s="384" t="n"/>
      <c r="B75" s="384" t="n"/>
      <c r="C75" s="384" t="n"/>
      <c r="D75" s="384" t="n"/>
      <c r="E75" s="384" t="n"/>
      <c r="F75" s="384" t="n"/>
      <c r="G75" s="384" t="n"/>
      <c r="H75" s="384" t="n"/>
      <c r="I75" s="384" t="n"/>
      <c r="J75" s="384" t="n"/>
      <c r="K75" s="384" t="n"/>
      <c r="L75" s="384" t="n"/>
      <c r="M75" s="462">
        <f>IF(_epmOfflineCondition_,"投资收益（损失以“-”号填列）",EPMMemberDesc(O75))</f>
        <v/>
      </c>
      <c r="N75" s="384" t="n"/>
      <c r="O75" s="716" t="inlineStr">
        <is>
          <t>A09411</t>
        </is>
      </c>
      <c r="P75" s="97">
        <f>IF(_epmOfflineCondition_,"A09411",EPMOlapMemberO(O75,"[C_ACCOUNT].[PARENTH1].[A09411]","A09411 - 投资收益（损失以“-""号填列）","","000"))</f>
        <v/>
      </c>
      <c r="Q75" s="384" t="n"/>
      <c r="R75" s="111" t="inlineStr">
        <is>
          <t>投资收益（损失以“-”号填列）</t>
        </is>
      </c>
      <c r="S75" s="1439">
        <f>SUM(T75:AA75)</f>
        <v/>
      </c>
      <c r="T75" s="1444" t="n"/>
      <c r="U75" s="1444" t="n"/>
      <c r="V75" s="1444" t="n"/>
      <c r="W75" s="1444" t="n"/>
      <c r="X75" s="1444" t="n"/>
      <c r="Y75" s="1444" t="n"/>
      <c r="Z75" s="1444" t="n"/>
      <c r="AA75" s="1444" t="n"/>
      <c r="AB75" s="1439">
        <f>SUM(AC75:AJ75)</f>
        <v/>
      </c>
      <c r="AC75" s="1439" t="n"/>
      <c r="AD75" s="1439" t="n"/>
      <c r="AE75" s="1439" t="n"/>
      <c r="AF75" s="1439" t="n"/>
      <c r="AG75" s="1439" t="n"/>
      <c r="AH75" s="1439" t="n"/>
      <c r="AI75" s="1439" t="n"/>
      <c r="AJ75" s="1517">
        <f>IF($E$166=8,Q122,IF($E$166=7,N122,0))</f>
        <v/>
      </c>
      <c r="AK75" s="1351" t="n"/>
      <c r="AL75" s="716" t="n"/>
    </row>
    <row r="76">
      <c r="A76" s="384" t="n"/>
      <c r="B76" s="384" t="n"/>
      <c r="C76" s="384" t="n"/>
      <c r="D76" s="384" t="n"/>
      <c r="E76" s="384" t="n"/>
      <c r="F76" s="384" t="n"/>
      <c r="G76" s="384" t="n"/>
      <c r="H76" s="384" t="n"/>
      <c r="I76" s="384" t="n"/>
      <c r="J76" s="384" t="n"/>
      <c r="K76" s="384" t="n"/>
      <c r="L76" s="384" t="n"/>
      <c r="M76" s="462">
        <f>IF(_epmOfflineCondition_,"资产处置收益",EPMMemberDesc(O76))</f>
        <v/>
      </c>
      <c r="N76" s="384" t="n"/>
      <c r="O76" s="716" t="inlineStr">
        <is>
          <t>A09412</t>
        </is>
      </c>
      <c r="P76" s="97">
        <f>IF(_epmOfflineCondition_,"A09412",EPMOlapMemberO(O76,"[C_ACCOUNT].[PARENTH1].[A09412]","A09412 - 资产处置收益","","000"))</f>
        <v/>
      </c>
      <c r="Q76" s="384" t="n"/>
      <c r="R76" s="111" t="inlineStr">
        <is>
          <t>资产处置收益</t>
        </is>
      </c>
      <c r="S76" s="1439">
        <f>SUM(T76:AA76)</f>
        <v/>
      </c>
      <c r="T76" s="1444" t="n"/>
      <c r="U76" s="1444" t="n"/>
      <c r="V76" s="1444" t="n"/>
      <c r="W76" s="1444" t="n"/>
      <c r="X76" s="1444" t="n"/>
      <c r="Y76" s="1444" t="n"/>
      <c r="Z76" s="1444" t="n"/>
      <c r="AA76" s="1444" t="n"/>
      <c r="AB76" s="1439">
        <f>SUM(AC76:AJ76)</f>
        <v/>
      </c>
      <c r="AC76" s="1439" t="n"/>
      <c r="AD76" s="1439" t="n"/>
      <c r="AE76" s="1439" t="n"/>
      <c r="AF76" s="1439" t="n"/>
      <c r="AG76" s="1439" t="n"/>
      <c r="AH76" s="1439" t="n"/>
      <c r="AI76" s="1439" t="n"/>
      <c r="AJ76" s="1517">
        <f>IF($E$166=8,Q130,IF($E$166=7,N130,0))</f>
        <v/>
      </c>
      <c r="AK76" s="1351" t="n"/>
      <c r="AL76" s="716" t="n"/>
    </row>
    <row r="77">
      <c r="A77" s="384" t="n"/>
      <c r="B77" s="384" t="n"/>
      <c r="C77" s="384" t="n"/>
      <c r="D77" s="384" t="n"/>
      <c r="E77" s="384" t="n"/>
      <c r="F77" s="384" t="n"/>
      <c r="G77" s="384" t="n"/>
      <c r="H77" s="384" t="n"/>
      <c r="I77" s="384" t="n"/>
      <c r="J77" s="384" t="n"/>
      <c r="K77" s="384" t="n"/>
      <c r="L77" s="384" t="n"/>
      <c r="M77" s="462">
        <f>IF(_epmOfflineCondition_,"其他收益",EPMMemberDesc(O77))</f>
        <v/>
      </c>
      <c r="N77" s="384" t="n"/>
      <c r="O77" s="716" t="inlineStr">
        <is>
          <t>A09413</t>
        </is>
      </c>
      <c r="P77" s="97">
        <f>IF(_epmOfflineCondition_,"A09413",EPMOlapMemberO(O77,"[C_ACCOUNT].[PARENTH1].[A09413]","A09413 - 其他收益","","000"))</f>
        <v/>
      </c>
      <c r="Q77" s="384" t="n"/>
      <c r="R77" s="111" t="inlineStr">
        <is>
          <t>其他收益</t>
        </is>
      </c>
      <c r="S77" s="1439">
        <f>SUM(T77:AA77)</f>
        <v/>
      </c>
      <c r="T77" s="1444" t="n"/>
      <c r="U77" s="1444" t="n"/>
      <c r="V77" s="1444" t="n"/>
      <c r="W77" s="1444" t="n"/>
      <c r="X77" s="1444" t="n"/>
      <c r="Y77" s="1444" t="n"/>
      <c r="Z77" s="1444" t="n"/>
      <c r="AA77" s="1444" t="n"/>
      <c r="AB77" s="1439">
        <f>SUM(AC77:AJ77)</f>
        <v/>
      </c>
      <c r="AC77" s="1439" t="n"/>
      <c r="AD77" s="1439" t="n"/>
      <c r="AE77" s="1439" t="n"/>
      <c r="AF77" s="1439" t="n"/>
      <c r="AG77" s="1439" t="n"/>
      <c r="AH77" s="1439" t="n"/>
      <c r="AI77" s="1439" t="n"/>
      <c r="AJ77" s="1517">
        <f>IF($E$166=8,Q121,IF($E$166=7,N121,0))</f>
        <v/>
      </c>
      <c r="AK77" s="1351" t="n"/>
      <c r="AL77" s="716" t="n"/>
    </row>
    <row r="78">
      <c r="A78" s="384" t="n"/>
      <c r="B78" s="384" t="n"/>
      <c r="C78" s="384" t="n"/>
      <c r="D78" s="384" t="n"/>
      <c r="E78" s="384" t="n"/>
      <c r="F78" s="384" t="n"/>
      <c r="G78" s="384" t="n"/>
      <c r="H78" s="384" t="n"/>
      <c r="I78" s="384" t="n"/>
      <c r="J78" s="384" t="n"/>
      <c r="K78" s="384" t="n"/>
      <c r="L78" s="384" t="n"/>
      <c r="M78" s="462">
        <f>IF(_epmOfflineCondition_,"三、营业利润（亏损以“-”号填列）",EPMMemberDesc(O78))</f>
        <v/>
      </c>
      <c r="N78" s="384" t="n"/>
      <c r="O78" s="716" t="inlineStr">
        <is>
          <t>A09414</t>
        </is>
      </c>
      <c r="P78" s="97">
        <f>IF(_epmOfflineCondition_,"A09414",EPMOlapMemberO(O78,"[C_ACCOUNT].[PARENTH1].[A09414]","A09414 - 三、营业利润（亏损以“-""号填列）","","000"))</f>
        <v/>
      </c>
      <c r="Q78" s="384" t="n"/>
      <c r="R78" s="108" t="inlineStr">
        <is>
          <t>三、营业利润（亏损以“-”号填列）</t>
        </is>
      </c>
      <c r="S78" s="1439">
        <f>SUM(T78:AA78)</f>
        <v/>
      </c>
      <c r="T78" s="1445">
        <f>T49-T51+T73+T75+T76+T77-T72+T74</f>
        <v/>
      </c>
      <c r="U78" s="1445">
        <f>U49-U51+U73+U75+U76+U77-U72-U74</f>
        <v/>
      </c>
      <c r="V78" s="1445">
        <f>V49-V51+V73+V75+V76+V77-V72-V74</f>
        <v/>
      </c>
      <c r="W78" s="1445">
        <f>W49-W51+W73+W75+W76+W77-W72-W74</f>
        <v/>
      </c>
      <c r="X78" s="1445">
        <f>X49-X51+X73+X75+X76+X77-X72-X74</f>
        <v/>
      </c>
      <c r="Y78" s="1445">
        <f>Y49-Y51+Y73+Y75+Y76+Y77-Y72-Y74</f>
        <v/>
      </c>
      <c r="Z78" s="1445">
        <f>Z49-Z51+Z73+Z75+Z76+Z77-Z72-Z74</f>
        <v/>
      </c>
      <c r="AA78" s="1445">
        <f>AA49-AA51+AA73+AA75+AA76+AA77-AA72-AA74</f>
        <v/>
      </c>
      <c r="AB78" s="1445">
        <f>AB49-AB51+AB73+AB75+AB76+AB77-AB72-AB74</f>
        <v/>
      </c>
      <c r="AC78" s="1445">
        <f>AC49-AC51+AC73+AC75+AC76+AC77-AC72-AC74</f>
        <v/>
      </c>
      <c r="AD78" s="1445">
        <f>AD49-AD51+AD73+AD75+AD76+AD77-AD72-AD74</f>
        <v/>
      </c>
      <c r="AE78" s="1445">
        <f>AE49-AE51+AE73+AE75+AE76+AE77-AE72-AE74</f>
        <v/>
      </c>
      <c r="AF78" s="1445">
        <f>AF49-AF51+AF73+AF75+AF76+AF77-AF72-AF74</f>
        <v/>
      </c>
      <c r="AG78" s="1445">
        <f>AG49-AG51+AG73+AG75+AG76+AG77-AG72-AG74</f>
        <v/>
      </c>
      <c r="AH78" s="1445">
        <f>AH49-AH51+AH73+AH75+AH76+AH77-AH72-AH74</f>
        <v/>
      </c>
      <c r="AI78" s="1439">
        <f>AI49-AI51+AI73+AI75+AI76+AI77-AI72-AI74</f>
        <v/>
      </c>
      <c r="AJ78" s="1517">
        <f>IF($E$166=8,Q131,IF($E$166=7,N131,0))</f>
        <v/>
      </c>
      <c r="AK78" s="1351" t="n"/>
      <c r="AL78" s="716" t="n"/>
    </row>
    <row r="79">
      <c r="A79" s="384" t="n"/>
      <c r="B79" s="384" t="n"/>
      <c r="C79" s="384" t="n"/>
      <c r="D79" s="384" t="n"/>
      <c r="E79" s="384" t="n"/>
      <c r="F79" s="384" t="n"/>
      <c r="G79" s="384" t="n"/>
      <c r="H79" s="384" t="n"/>
      <c r="I79" s="384" t="n"/>
      <c r="J79" s="384" t="n"/>
      <c r="K79" s="384" t="n"/>
      <c r="L79" s="384" t="n"/>
      <c r="M79" s="462">
        <f>IF(_epmOfflineCondition_,"加：营业外收入",EPMMemberDesc(O79))</f>
        <v/>
      </c>
      <c r="N79" s="384" t="n"/>
      <c r="O79" s="716" t="inlineStr">
        <is>
          <t>A09415</t>
        </is>
      </c>
      <c r="P79" s="97">
        <f>IF(_epmOfflineCondition_,"A09415",EPMOlapMemberO(O79,"[C_ACCOUNT].[PARENTH1].[A09415]","A09415 - 加：营业外收入","","000"))</f>
        <v/>
      </c>
      <c r="Q79" s="384" t="n"/>
      <c r="R79" s="109" t="inlineStr">
        <is>
          <t>加：营业外收入</t>
        </is>
      </c>
      <c r="S79" s="1439">
        <f>SUM(T79:AA79)</f>
        <v/>
      </c>
      <c r="T79" s="1444" t="n"/>
      <c r="U79" s="1444" t="n"/>
      <c r="V79" s="1444" t="n"/>
      <c r="W79" s="1444" t="n"/>
      <c r="X79" s="1444" t="n"/>
      <c r="Y79" s="1521" t="n"/>
      <c r="Z79" s="1444" t="n"/>
      <c r="AA79" s="1444" t="n"/>
      <c r="AB79" s="1439">
        <f>SUM(AC79:AJ79)</f>
        <v/>
      </c>
      <c r="AC79" s="1439" t="n"/>
      <c r="AD79" s="1439" t="n"/>
      <c r="AE79" s="1439" t="n"/>
      <c r="AF79" s="1439" t="n"/>
      <c r="AG79" s="1439" t="n"/>
      <c r="AH79" s="1439" t="n"/>
      <c r="AI79" s="1439" t="n"/>
      <c r="AJ79" s="1517">
        <f>IF($E$166=8,Q132,IF($E$166=7,N132,0))</f>
        <v/>
      </c>
      <c r="AK79" s="1351" t="n"/>
      <c r="AL79" s="716" t="n"/>
    </row>
    <row r="80">
      <c r="A80" s="384" t="n"/>
      <c r="B80" s="384" t="n"/>
      <c r="C80" s="384" t="n"/>
      <c r="D80" s="384" t="n"/>
      <c r="E80" s="384" t="n"/>
      <c r="F80" s="384" t="n"/>
      <c r="G80" s="384" t="n"/>
      <c r="H80" s="384" t="n"/>
      <c r="I80" s="384" t="n"/>
      <c r="J80" s="384" t="n"/>
      <c r="K80" s="384" t="n"/>
      <c r="L80" s="384" t="n"/>
      <c r="M80" s="462">
        <f>IF(_epmOfflineCondition_,"政府补贴收入",EPMMemberDesc(O80))</f>
        <v/>
      </c>
      <c r="N80" s="384" t="n"/>
      <c r="O80" s="716" t="inlineStr">
        <is>
          <t>A09416</t>
        </is>
      </c>
      <c r="P80" s="97">
        <f>IF(_epmOfflineCondition_,"A09416",EPMOlapMemberO(O80,"[C_ACCOUNT].[PARENTH1].[A09416]","A09416 - 政府补贴收入","","000"))</f>
        <v/>
      </c>
      <c r="Q80" s="384" t="n"/>
      <c r="R80" s="142" t="inlineStr">
        <is>
          <t>政府补贴收入</t>
        </is>
      </c>
      <c r="S80" s="1439">
        <f>SUM(T80:AA80)</f>
        <v/>
      </c>
      <c r="T80" s="1444" t="n"/>
      <c r="U80" s="1444" t="n"/>
      <c r="V80" s="1444" t="n"/>
      <c r="W80" s="1444" t="n"/>
      <c r="X80" s="1444" t="n"/>
      <c r="Y80" s="1521" t="n"/>
      <c r="Z80" s="1444" t="n"/>
      <c r="AA80" s="1444" t="n"/>
      <c r="AB80" s="1439">
        <f>SUM(AC80:AJ80)</f>
        <v/>
      </c>
      <c r="AC80" s="1439" t="n"/>
      <c r="AD80" s="1439" t="n"/>
      <c r="AE80" s="1439" t="n"/>
      <c r="AF80" s="1439" t="n"/>
      <c r="AG80" s="1439" t="n"/>
      <c r="AH80" s="1439" t="n"/>
      <c r="AI80" s="1439" t="n"/>
      <c r="AJ80" s="1517">
        <f>IF($E$166=8,Q134,IF($E$166=7,N134,0))</f>
        <v/>
      </c>
      <c r="AK80" s="1351" t="n"/>
      <c r="AL80" s="716" t="n"/>
    </row>
    <row r="81">
      <c r="A81" s="384" t="n"/>
      <c r="B81" s="384" t="n"/>
      <c r="C81" s="384" t="n"/>
      <c r="D81" s="384" t="n"/>
      <c r="E81" s="384" t="n"/>
      <c r="F81" s="384" t="n"/>
      <c r="G81" s="384" t="n"/>
      <c r="H81" s="384" t="n"/>
      <c r="I81" s="384" t="n"/>
      <c r="J81" s="384" t="n"/>
      <c r="K81" s="384" t="n"/>
      <c r="L81" s="384" t="n"/>
      <c r="M81" s="462">
        <f>IF(_epmOfflineCondition_,"减：营业外支出",EPMMemberDesc(O81))</f>
        <v/>
      </c>
      <c r="N81" s="384" t="n"/>
      <c r="O81" s="716" t="inlineStr">
        <is>
          <t>A09417</t>
        </is>
      </c>
      <c r="P81" s="97">
        <f>IF(_epmOfflineCondition_,"A09417",EPMOlapMemberO(O81,"[C_ACCOUNT].[PARENTH1].[A09417]","A09417 - 减：营业外支出","","000"))</f>
        <v/>
      </c>
      <c r="Q81" s="384" t="n"/>
      <c r="R81" s="109" t="inlineStr">
        <is>
          <t>减：营业外支出</t>
        </is>
      </c>
      <c r="S81" s="1439">
        <f>SUM(T81:AA81)</f>
        <v/>
      </c>
      <c r="T81" s="1444" t="n"/>
      <c r="U81" s="1444" t="n"/>
      <c r="V81" s="1444" t="n"/>
      <c r="W81" s="1444" t="n"/>
      <c r="X81" s="1444" t="n"/>
      <c r="Y81" s="1521" t="n"/>
      <c r="Z81" s="1444" t="n"/>
      <c r="AA81" s="1444" t="n"/>
      <c r="AB81" s="1439">
        <f>SUM(AC81:AJ81)</f>
        <v/>
      </c>
      <c r="AC81" s="1439" t="n"/>
      <c r="AD81" s="1439" t="n"/>
      <c r="AE81" s="1439" t="n"/>
      <c r="AF81" s="1439" t="n"/>
      <c r="AG81" s="1439" t="n"/>
      <c r="AH81" s="1439" t="n"/>
      <c r="AI81" s="1439" t="n"/>
      <c r="AJ81" s="1517">
        <f>IF($E$166=8,Q135,IF($E$166=7,N135,0))</f>
        <v/>
      </c>
      <c r="AK81" s="1351" t="n"/>
      <c r="AL81" s="716" t="n"/>
    </row>
    <row r="82">
      <c r="A82" s="384" t="n"/>
      <c r="B82" s="384" t="n"/>
      <c r="C82" s="384" t="n"/>
      <c r="D82" s="384" t="n"/>
      <c r="E82" s="384" t="n"/>
      <c r="F82" s="384" t="n"/>
      <c r="G82" s="384" t="n"/>
      <c r="H82" s="384" t="n"/>
      <c r="I82" s="384" t="n"/>
      <c r="J82" s="384" t="n"/>
      <c r="K82" s="384" t="n"/>
      <c r="L82" s="384" t="n"/>
      <c r="M82" s="462">
        <f>IF(_epmOfflineCondition_,"其中：非流动资产处置损失",EPMMemberDesc(O82))</f>
        <v/>
      </c>
      <c r="N82" s="384" t="n"/>
      <c r="O82" s="716" t="inlineStr">
        <is>
          <t>A09418</t>
        </is>
      </c>
      <c r="P82" s="97">
        <f>IF(_epmOfflineCondition_,"A09418",EPMOlapMemberO(O82,"[C_ACCOUNT].[PARENTH1].[A09418]","A09418 - 其中：非流动资产处置损失","","000"))</f>
        <v/>
      </c>
      <c r="Q82" s="384" t="n"/>
      <c r="R82" s="142" t="inlineStr">
        <is>
          <t>其中：非流动资产处置损失</t>
        </is>
      </c>
      <c r="S82" s="1439">
        <f>SUM(T82:AA82)</f>
        <v/>
      </c>
      <c r="T82" s="1444" t="n"/>
      <c r="U82" s="1444" t="n"/>
      <c r="V82" s="1444" t="n"/>
      <c r="W82" s="1444" t="n"/>
      <c r="X82" s="1444" t="n"/>
      <c r="Y82" s="1521" t="n"/>
      <c r="Z82" s="1444" t="n"/>
      <c r="AA82" s="1444" t="n"/>
      <c r="AB82" s="1439">
        <f>SUM(AC82:AJ82)</f>
        <v/>
      </c>
      <c r="AC82" s="1439" t="n"/>
      <c r="AD82" s="1439" t="n"/>
      <c r="AE82" s="1439" t="n"/>
      <c r="AF82" s="1439" t="n"/>
      <c r="AG82" s="1439" t="n"/>
      <c r="AH82" s="1439" t="n"/>
      <c r="AI82" s="1439" t="n"/>
      <c r="AJ82" s="1517">
        <f>IF($E$166=8,Q136,IF($E$166=7,N136,0))</f>
        <v/>
      </c>
      <c r="AK82" s="1351" t="n"/>
      <c r="AL82" s="716" t="n"/>
    </row>
    <row r="83">
      <c r="A83" s="384" t="n"/>
      <c r="B83" s="384" t="n"/>
      <c r="C83" s="384" t="n"/>
      <c r="D83" s="384" t="n"/>
      <c r="E83" s="384" t="n"/>
      <c r="F83" s="384" t="n"/>
      <c r="G83" s="384" t="n"/>
      <c r="H83" s="384" t="n"/>
      <c r="I83" s="384" t="n"/>
      <c r="J83" s="384" t="n"/>
      <c r="K83" s="384" t="n"/>
      <c r="L83" s="384" t="n"/>
      <c r="M83" s="462">
        <f>IF(_epmOfflineCondition_,"四、利润总额（亏损总额以“-”号填列）",EPMMemberDesc(O83))</f>
        <v/>
      </c>
      <c r="N83" s="384" t="n"/>
      <c r="O83" s="716" t="inlineStr">
        <is>
          <t>A09419</t>
        </is>
      </c>
      <c r="P83" s="97">
        <f>IF(_epmOfflineCondition_,"A09419",EPMOlapMemberO(O83,"[C_ACCOUNT].[PARENTH1].[A09419]","A09419 - 四、利润总额（亏损总额以“-""号填列）","","000"))</f>
        <v/>
      </c>
      <c r="Q83" s="384" t="n"/>
      <c r="R83" s="108" t="inlineStr">
        <is>
          <t>四、利润总额（亏损总额以“-”号填列）</t>
        </is>
      </c>
      <c r="S83" s="1439">
        <f>SUM(T83:AA83)</f>
        <v/>
      </c>
      <c r="T83" s="1445">
        <f>T78+T79-T81</f>
        <v/>
      </c>
      <c r="U83" s="1445">
        <f>U78+U79-U81</f>
        <v/>
      </c>
      <c r="V83" s="1445">
        <f>V78+V79-V81</f>
        <v/>
      </c>
      <c r="W83" s="1445">
        <f>W78+W79-W81</f>
        <v/>
      </c>
      <c r="X83" s="1445">
        <f>X78+X79-X81</f>
        <v/>
      </c>
      <c r="Y83" s="1445">
        <f>Y78+Y79-Y81</f>
        <v/>
      </c>
      <c r="Z83" s="1445">
        <f>Z78+Z79-Z81</f>
        <v/>
      </c>
      <c r="AA83" s="1445">
        <f>AA78+AA79-AA81</f>
        <v/>
      </c>
      <c r="AB83" s="1439">
        <f>SUM(AC83:AJ83)</f>
        <v/>
      </c>
      <c r="AC83" s="1445">
        <f>AC78+AC79-AC81</f>
        <v/>
      </c>
      <c r="AD83" s="1445">
        <f>AD78+AD79-AD81</f>
        <v/>
      </c>
      <c r="AE83" s="1445">
        <f>AE78+AE79-AE81</f>
        <v/>
      </c>
      <c r="AF83" s="1445">
        <f>AF78+AF79-AF81</f>
        <v/>
      </c>
      <c r="AG83" s="1445">
        <f>AG78+AG79-AG81</f>
        <v/>
      </c>
      <c r="AH83" s="1445">
        <f>AH78+AH79-AH81</f>
        <v/>
      </c>
      <c r="AI83" s="1445">
        <f>AI78+AI79-AI81</f>
        <v/>
      </c>
      <c r="AJ83" s="1517">
        <f>IF($E$166=8,Q137,IF($E$166=7,N137,0))</f>
        <v/>
      </c>
      <c r="AK83" s="1351" t="n"/>
      <c r="AL83" s="716" t="n"/>
    </row>
    <row r="84">
      <c r="A84" s="384" t="n"/>
      <c r="B84" s="384" t="n"/>
      <c r="C84" s="384" t="n"/>
      <c r="D84" s="384" t="n"/>
      <c r="E84" s="384" t="n"/>
      <c r="F84" s="384" t="n"/>
      <c r="G84" s="384" t="n"/>
      <c r="H84" s="384" t="n"/>
      <c r="I84" s="384" t="n"/>
      <c r="J84" s="384" t="n"/>
      <c r="K84" s="384" t="n"/>
      <c r="L84" s="384" t="n"/>
      <c r="M84" s="462">
        <f>IF(_epmOfflineCondition_,"减：所得税费用",EPMMemberDesc(O84))</f>
        <v/>
      </c>
      <c r="N84" s="384" t="n"/>
      <c r="O84" s="716" t="inlineStr">
        <is>
          <t>A09420</t>
        </is>
      </c>
      <c r="P84" s="97">
        <f>IF(_epmOfflineCondition_,"A09420",EPMOlapMemberO(O84,"[C_ACCOUNT].[PARENTH1].[A09420]","A09420 - 减：所得税费用","","000"))</f>
        <v/>
      </c>
      <c r="Q84" s="384" t="n"/>
      <c r="R84" s="109" t="inlineStr">
        <is>
          <t>减：所得税费用</t>
        </is>
      </c>
      <c r="S84" s="1439">
        <f>SUM(T84:AA84)</f>
        <v/>
      </c>
      <c r="T84" s="1444" t="n"/>
      <c r="U84" s="1444" t="n"/>
      <c r="V84" s="1444" t="n"/>
      <c r="W84" s="1444" t="n"/>
      <c r="X84" s="1444" t="n"/>
      <c r="Y84" s="1521" t="n"/>
      <c r="Z84" s="1444" t="n"/>
      <c r="AA84" s="1444" t="n"/>
      <c r="AB84" s="1439">
        <f>SUM(AC84:AJ84)</f>
        <v/>
      </c>
      <c r="AC84" s="1439" t="n"/>
      <c r="AD84" s="1439" t="n"/>
      <c r="AE84" s="1439" t="n"/>
      <c r="AF84" s="1439" t="n"/>
      <c r="AG84" s="1439" t="n"/>
      <c r="AH84" s="1439" t="n"/>
      <c r="AI84" s="1439" t="n"/>
      <c r="AJ84" s="1517">
        <f>IF($E$166=8,Q138,IF($E$166=7,N138,0))</f>
        <v/>
      </c>
      <c r="AK84" s="1351" t="n"/>
      <c r="AL84" s="716" t="n"/>
    </row>
    <row r="85">
      <c r="A85" s="384" t="n"/>
      <c r="B85" s="384" t="n"/>
      <c r="C85" s="384" t="n"/>
      <c r="D85" s="384" t="n"/>
      <c r="E85" s="384" t="n"/>
      <c r="F85" s="384" t="n"/>
      <c r="G85" s="384" t="n"/>
      <c r="H85" s="384" t="n"/>
      <c r="I85" s="384" t="n"/>
      <c r="J85" s="384" t="n"/>
      <c r="K85" s="384" t="n"/>
      <c r="L85" s="384" t="n"/>
      <c r="M85" s="462">
        <f>IF(_epmOfflineCondition_,"五、净利润（净亏损以“-”号填列）",EPMMemberDesc(O85))</f>
        <v/>
      </c>
      <c r="N85" s="384" t="n"/>
      <c r="O85" s="716" t="inlineStr">
        <is>
          <t>A09421</t>
        </is>
      </c>
      <c r="P85" s="97">
        <f>IF(_epmOfflineCondition_,"A09421",EPMOlapMemberO(O85,"[C_ACCOUNT].[PARENTH1].[A09421]","A09421 - 五、净利润（净亏损以“-""号填列）","","000"))</f>
        <v/>
      </c>
      <c r="Q85" s="384" t="n"/>
      <c r="R85" s="143" t="inlineStr">
        <is>
          <t>五、净利润（净亏损以“-”号填列）</t>
        </is>
      </c>
      <c r="S85" s="1439">
        <f>SUM(T85:AA85)</f>
        <v/>
      </c>
      <c r="T85" s="1445">
        <f>T83-T84</f>
        <v/>
      </c>
      <c r="U85" s="1445">
        <f>U83-U84</f>
        <v/>
      </c>
      <c r="V85" s="1445">
        <f>V83-V84</f>
        <v/>
      </c>
      <c r="W85" s="1445">
        <f>W83-W84</f>
        <v/>
      </c>
      <c r="X85" s="1445">
        <f>X83-X84</f>
        <v/>
      </c>
      <c r="Y85" s="1445">
        <f>Y83-Y84</f>
        <v/>
      </c>
      <c r="Z85" s="1445">
        <f>Z83-Z84</f>
        <v/>
      </c>
      <c r="AA85" s="1445">
        <f>AA83-AA84</f>
        <v/>
      </c>
      <c r="AB85" s="1439">
        <f>SUM(AC85:AJ85)</f>
        <v/>
      </c>
      <c r="AC85" s="1445">
        <f>AC83-AC84</f>
        <v/>
      </c>
      <c r="AD85" s="1445">
        <f>AD83-AD84</f>
        <v/>
      </c>
      <c r="AE85" s="1445">
        <f>AE83-AE84</f>
        <v/>
      </c>
      <c r="AF85" s="1445">
        <f>AF83-AF84</f>
        <v/>
      </c>
      <c r="AG85" s="1445">
        <f>AG83-AG84</f>
        <v/>
      </c>
      <c r="AH85" s="1445">
        <f>AH83-AH84</f>
        <v/>
      </c>
      <c r="AI85" s="1445">
        <f>AI83-AI84</f>
        <v/>
      </c>
      <c r="AJ85" s="1517">
        <f>IF($E$166=8,Q139,IF($E$166=7,N139,0))</f>
        <v/>
      </c>
      <c r="AK85" s="1351" t="n"/>
      <c r="AL85" s="716" t="n"/>
    </row>
    <row r="86" ht="17.55" customHeight="1" s="1181">
      <c r="A86" s="384" t="n"/>
      <c r="B86" s="384" t="n"/>
      <c r="C86" s="384" t="n"/>
      <c r="D86" s="384" t="n"/>
      <c r="E86" s="384" t="n"/>
      <c r="F86" s="384" t="n"/>
      <c r="G86" s="384" t="n"/>
      <c r="H86" s="384" t="n"/>
      <c r="I86" s="384" t="n"/>
      <c r="J86" s="384" t="n"/>
      <c r="K86" s="384" t="n"/>
      <c r="L86" s="384" t="n"/>
      <c r="M86" s="462">
        <f>IF(_epmOfflineCondition_,"归属于母公司所有者的净利润",EPMMemberDesc(O86))</f>
        <v/>
      </c>
      <c r="N86" s="384" t="n"/>
      <c r="O86" s="716" t="inlineStr">
        <is>
          <t>A09422</t>
        </is>
      </c>
      <c r="P86" s="97">
        <f>IF(_epmOfflineCondition_,"A09422",EPMOlapMemberO(O86,"[C_ACCOUNT].[PARENTH1].[A09422]","A09422 - 归属于母公司所有者的净利润","","000"))</f>
        <v/>
      </c>
      <c r="Q86" s="384" t="n"/>
      <c r="R86" s="144" t="inlineStr">
        <is>
          <t>归属于母公司所有者的净利润</t>
        </is>
      </c>
      <c r="S86" s="1439">
        <f>SUM(T86:AA86)</f>
        <v/>
      </c>
      <c r="T86" s="1522" t="n"/>
      <c r="U86" s="1522" t="inlineStr"/>
      <c r="V86" s="1522" t="n"/>
      <c r="W86" s="1522" t="n"/>
      <c r="X86" s="1522" t="n"/>
      <c r="Y86" s="1522" t="n"/>
      <c r="Z86" s="1522" t="n"/>
      <c r="AA86" s="1522" t="n"/>
      <c r="AB86" s="1523">
        <f>SUM(AC86:AJ86)</f>
        <v/>
      </c>
      <c r="AC86" s="1524" t="n"/>
      <c r="AD86" s="1524" t="inlineStr"/>
      <c r="AE86" s="1524" t="n"/>
      <c r="AF86" s="1524" t="n"/>
      <c r="AG86" s="1524" t="n"/>
      <c r="AH86" s="1524" t="n"/>
      <c r="AI86" s="1524" t="n"/>
      <c r="AJ86" s="1525">
        <f>IF($E$166=8,Q140,IF($E$166=7,N140,0))</f>
        <v/>
      </c>
      <c r="AK86" s="1351" t="n"/>
      <c r="AL86" s="716" t="n"/>
    </row>
    <row r="87" ht="17.55" customHeight="1" s="1181">
      <c r="A87" s="384" t="n"/>
      <c r="B87" s="384" t="n"/>
      <c r="C87" s="384" t="n"/>
      <c r="D87" s="249" t="inlineStr">
        <is>
          <t>A089</t>
        </is>
      </c>
      <c r="E87" s="384" t="n"/>
      <c r="F87" s="384" t="n"/>
      <c r="G87" s="83" t="inlineStr">
        <is>
          <t>ZM0300106</t>
        </is>
      </c>
      <c r="H87" s="384" t="n"/>
      <c r="I87" s="384" t="n"/>
      <c r="J87" s="384" t="n"/>
      <c r="K87" s="384" t="n"/>
      <c r="L87" s="384" t="n"/>
      <c r="M87" s="462" t="n"/>
      <c r="N87" s="384" t="n"/>
      <c r="O87" s="889" t="n"/>
      <c r="P87" s="97" t="n"/>
      <c r="Q87" s="384" t="n"/>
      <c r="R87" s="716" t="n"/>
      <c r="S87" s="1526" t="n"/>
      <c r="T87" s="1526" t="n"/>
      <c r="U87" s="1526" t="n"/>
      <c r="V87" s="1526" t="n"/>
      <c r="W87" s="1526" t="n"/>
      <c r="X87" s="1526" t="n"/>
      <c r="Y87" s="1526" t="n"/>
      <c r="Z87" s="1526" t="n"/>
      <c r="AA87" s="1526" t="n"/>
      <c r="AB87" s="1526" t="n"/>
      <c r="AC87" s="1526" t="n"/>
      <c r="AD87" s="1526" t="n"/>
      <c r="AE87" s="1526" t="n"/>
      <c r="AF87" s="1526" t="n"/>
      <c r="AG87" s="1526" t="n"/>
      <c r="AH87" s="1526" t="n"/>
      <c r="AI87" s="1526" t="n"/>
      <c r="AJ87" s="1526" t="n"/>
      <c r="AK87" s="716" t="n"/>
      <c r="AL87" s="716" t="n"/>
    </row>
    <row r="88">
      <c r="A88" s="384" t="n"/>
      <c r="B88" s="384" t="n"/>
      <c r="C88" s="124" t="inlineStr">
        <is>
          <t>取自JNFDC1001-主营业务收入表（发电企业）-主营业务收入</t>
        </is>
      </c>
      <c r="D88" s="249" t="inlineStr">
        <is>
          <t>A0270101</t>
        </is>
      </c>
      <c r="E88" s="124" t="inlineStr">
        <is>
          <t>F20</t>
        </is>
      </c>
      <c r="F88" s="249" t="inlineStr">
        <is>
          <t>A0270102</t>
        </is>
      </c>
      <c r="G88" s="249" t="inlineStr">
        <is>
          <t>A0270103</t>
        </is>
      </c>
      <c r="H88" s="124" t="n"/>
      <c r="I88" s="384" t="n"/>
      <c r="J88" s="384" t="n"/>
      <c r="K88" s="384" t="n"/>
      <c r="L88" s="384" t="n"/>
      <c r="M88" s="462">
        <f>IF(_epmOfflineCondition_," 一、营业收入",EPMMemberDesc(O88))</f>
        <v/>
      </c>
      <c r="N88" s="384" t="n"/>
      <c r="O88" s="716" t="inlineStr">
        <is>
          <t>A09423</t>
        </is>
      </c>
      <c r="P88" s="97">
        <f>IF(_epmOfflineCondition_,"A09423",EPMOlapMemberO(O88,"[C_ACCOUNT].[PARENTH1].[A09423]","A09423 -  一、营业收入","","000"))</f>
        <v/>
      </c>
      <c r="Q88" s="384" t="n"/>
      <c r="R88" s="147" t="inlineStr">
        <is>
          <t xml:space="preserve"> 一、营业收入 </t>
        </is>
      </c>
      <c r="S88" s="1527">
        <f>SUM(T88:AA88)</f>
        <v/>
      </c>
      <c r="T88" s="1528">
        <f>SUM(T89:T90)</f>
        <v/>
      </c>
      <c r="U88" s="1528">
        <f>SUM(U89:U90)</f>
        <v/>
      </c>
      <c r="V88" s="1528">
        <f>SUM(V89:V90)</f>
        <v/>
      </c>
      <c r="W88" s="1528">
        <f>SUM(W89:W90)</f>
        <v/>
      </c>
      <c r="X88" s="1528">
        <f>SUM(X89:X90)</f>
        <v/>
      </c>
      <c r="Y88" s="1528">
        <f>SUM(Y89:Y90)</f>
        <v/>
      </c>
      <c r="Z88" s="1528">
        <f>SUM(Z89:Z90)</f>
        <v/>
      </c>
      <c r="AA88" s="1528">
        <f>SUM(AA89:AA90)</f>
        <v/>
      </c>
      <c r="AB88" s="1527">
        <f>SUM(AC88:AJ88)</f>
        <v/>
      </c>
      <c r="AC88" s="1527" t="n"/>
      <c r="AD88" s="1527" t="inlineStr"/>
      <c r="AE88" s="1527" t="n"/>
      <c r="AF88" s="1527" t="n"/>
      <c r="AG88" s="1527" t="n"/>
      <c r="AH88" s="1527" t="n"/>
      <c r="AI88" s="1529" t="n"/>
      <c r="AJ88" s="1528">
        <f>SUM(AJ89:AJ90)</f>
        <v/>
      </c>
      <c r="AK88" s="716" t="n"/>
      <c r="AL88" s="716" t="n"/>
    </row>
    <row r="89">
      <c r="A89" s="384" t="n"/>
      <c r="B89" s="384" t="n"/>
      <c r="C89" s="125" t="inlineStr">
        <is>
          <t>火力发电</t>
        </is>
      </c>
      <c r="D89" s="125" t="inlineStr">
        <is>
          <t>风力发电</t>
        </is>
      </c>
      <c r="E89" s="125" t="inlineStr">
        <is>
          <t>光伏发电</t>
        </is>
      </c>
      <c r="F89" s="125" t="inlineStr">
        <is>
          <t>燃气发电</t>
        </is>
      </c>
      <c r="G89" s="125" t="inlineStr">
        <is>
          <t>水力发电</t>
        </is>
      </c>
      <c r="H89" s="125" t="inlineStr">
        <is>
          <t>合计</t>
        </is>
      </c>
      <c r="I89" s="384" t="n"/>
      <c r="J89" s="384" t="n"/>
      <c r="K89" s="384" t="n"/>
      <c r="L89" s="384" t="n"/>
      <c r="M89" s="462">
        <f>IF(_epmOfflineCondition_," 主营业务收入",EPMMemberDesc(O89))</f>
        <v/>
      </c>
      <c r="N89" s="384" t="n"/>
      <c r="O89" s="716" t="inlineStr">
        <is>
          <t>A0942301</t>
        </is>
      </c>
      <c r="P89" s="135">
        <f>IF(_epmOfflineCondition_,"A0942301",EPMOlapMemberO(O89,"[C_ACCOUNT].[PARENTH1].[A0942301]","A0942301 -  主营业务收入","","000"))</f>
        <v/>
      </c>
      <c r="Q89" s="384" t="n"/>
      <c r="R89" s="1530" t="inlineStr">
        <is>
          <t xml:space="preserve"> 主营业务收入 </t>
        </is>
      </c>
      <c r="S89" s="1439">
        <f>SUM(T89:AA89)</f>
        <v/>
      </c>
      <c r="T89" s="1445">
        <f>IF(_epmOfflineCondition_,0,EPMRetrieveData("",$D$88,C$90,$E$88,$T$41,$T$42,$T$43,$D$21,$D$22,$D$23,$D$25,$D$26,$D$27,$D$28))</f>
        <v/>
      </c>
      <c r="U89" s="1445">
        <f>IF(_epmOfflineCondition_,94272738.5,EPMRetrieveData("",$D$88,D$90,$E$88,$T$41,$T$42,$T$43,$D$21,$D$22,$D$23,$D$25,$D$26,$D$27,$D$28))</f>
        <v/>
      </c>
      <c r="V89" s="1445">
        <f>IF(_epmOfflineCondition_,0,EPMRetrieveData("",$D$88,E$90,$E$88,$T$41,$T$42,$T$43,$D$21,$D$22,$D$23,$D$25,$D$26,$D$27,$D$28))</f>
        <v/>
      </c>
      <c r="W89" s="1445">
        <f>IF(_epmOfflineCondition_,0,EPMRetrieveData("",$D$88,F$90,$E$88,$T$41,$T$42,$T$43,$D$21,$D$22,$D$23,$D$25,$D$26,$D$27,$D$28))</f>
        <v/>
      </c>
      <c r="X89" s="1445">
        <f>IF(_epmOfflineCondition_,0,EPMRetrieveData("",$D$88,G$90,$E$88,$T$41,$T$42,$T$43,$D$21,$D$22,$D$23,$D$25,$D$26,$D$27,$D$28))</f>
        <v/>
      </c>
      <c r="Y89" s="1445">
        <f>IF(_epmOfflineCondition_,0,EPMRetrieveData("",$F$88,H$90,$E$88,$T$41,$T$42,$T$43,$D$21,$D$22,$D$23,$D$25,$D$26,$D$27,$D$28))</f>
        <v/>
      </c>
      <c r="Z89" s="1445">
        <f>IF(_epmOfflineCondition_,0,EPMRetrieveData("",$G$88,H$90,$E$88,$T$41,$T$42,$T$43,$D$21,$D$22,$D$23,$D$25,$D$26,$D$27,$D$28))</f>
        <v/>
      </c>
      <c r="AA89" s="1445">
        <f>IF(_epmOfflineCondition_,0,EPMRetrieveData("",$D$87,$G$87,$E$88,$T$41,$T$42,$T$43,$D$21,$D$22,$D$23,$D$25,$D$26,$D$27,$D$28))</f>
        <v/>
      </c>
      <c r="AB89" s="1439">
        <f>SUM(AC89:AJ89)</f>
        <v/>
      </c>
      <c r="AC89" s="1439" t="n"/>
      <c r="AD89" s="1439" t="inlineStr"/>
      <c r="AE89" s="1439" t="n"/>
      <c r="AF89" s="1439" t="n"/>
      <c r="AG89" s="1439" t="n"/>
      <c r="AH89" s="1439" t="n"/>
      <c r="AI89" s="1531" t="n"/>
      <c r="AJ89" s="1445">
        <f>IF($E$166=8,Q142,IF($E$166=7,N142,0))</f>
        <v/>
      </c>
      <c r="AK89" s="716" t="n"/>
      <c r="AL89" s="716" t="n"/>
    </row>
    <row r="90" ht="17.55" customHeight="1" s="1181">
      <c r="A90" s="384" t="n"/>
      <c r="B90" s="384" t="n"/>
      <c r="C90" s="83" t="inlineStr">
        <is>
          <t>ZM0300101</t>
        </is>
      </c>
      <c r="D90" s="83" t="inlineStr">
        <is>
          <t>ZM0300102</t>
        </is>
      </c>
      <c r="E90" s="83" t="inlineStr">
        <is>
          <t>ZM0300103</t>
        </is>
      </c>
      <c r="F90" s="83" t="inlineStr">
        <is>
          <t>ZM0300104</t>
        </is>
      </c>
      <c r="G90" s="83" t="inlineStr">
        <is>
          <t>ZM0300105</t>
        </is>
      </c>
      <c r="H90" s="83" t="inlineStr">
        <is>
          <t>ZM030</t>
        </is>
      </c>
      <c r="I90" s="384" t="n"/>
      <c r="J90" s="384" t="n"/>
      <c r="K90" s="384" t="n"/>
      <c r="L90" s="384" t="n"/>
      <c r="M90" s="462">
        <f>IF(_epmOfflineCondition_," 其他业务收入",EPMMemberDesc(O90))</f>
        <v/>
      </c>
      <c r="N90" s="384" t="n"/>
      <c r="O90" s="716" t="inlineStr">
        <is>
          <t>A0942302</t>
        </is>
      </c>
      <c r="P90" s="135">
        <f>IF(_epmOfflineCondition_,"A0942302",EPMOlapMemberO(O90,"[C_ACCOUNT].[PARENTH1].[A0942302]","A0942302 -  其他业务收入","","000"))</f>
        <v/>
      </c>
      <c r="Q90" s="384" t="n"/>
      <c r="R90" s="144" t="inlineStr">
        <is>
          <t xml:space="preserve"> 其他业务收入 </t>
        </is>
      </c>
      <c r="S90" s="1523">
        <f>SUM(T90:AA90)</f>
        <v/>
      </c>
      <c r="T90" s="1524">
        <f>IF(_epmOfflineCondition_,0,EPMRetrieveData("",$D$87,C$90,$E$88,$T$41,$T$42,$T$43,$D$21,$D$22,$D$23,$D$25,$D$26,$D$27,$D$28))</f>
        <v/>
      </c>
      <c r="U90" s="1524">
        <f>IF(_epmOfflineCondition_,0,EPMRetrieveData("",$D$87,D$90,$E$88,$T$41,$T$42,$T$43,$D$21,$D$22,$D$23,$D$25,$D$26,$D$27,$D$28))</f>
        <v/>
      </c>
      <c r="V90" s="1524">
        <f>IF(_epmOfflineCondition_,0,EPMRetrieveData("",$D$87,E$90,$E$88,$T$41,$T$42,$T$43,$D$21,$D$22,$D$23,$D$25,$D$26,$D$27,$D$28))</f>
        <v/>
      </c>
      <c r="W90" s="1524">
        <f>IF(_epmOfflineCondition_,0,EPMRetrieveData("",$D$87,F$90,$E$88,$T$41,$T$42,$T$43,$D$21,$D$22,$D$23,$D$25,$D$26,$D$27,$D$28))</f>
        <v/>
      </c>
      <c r="X90" s="1524">
        <f>IF(_epmOfflineCondition_,0,EPMRetrieveData("",$D$87,G$90,$E$88,$T$41,$T$42,$T$43,$D$21,$D$22,$D$23,$D$25,$D$26,$D$27,$D$28))</f>
        <v/>
      </c>
      <c r="Y90" s="1522" t="n"/>
      <c r="Z90" s="1522" t="n"/>
      <c r="AA90" s="1523">
        <f>0</f>
        <v/>
      </c>
      <c r="AB90" s="1523">
        <f>SUM(AC90:AJ90)</f>
        <v/>
      </c>
      <c r="AC90" s="1523" t="n"/>
      <c r="AD90" s="1523" t="n"/>
      <c r="AE90" s="1523" t="n"/>
      <c r="AF90" s="1523" t="n"/>
      <c r="AG90" s="1523" t="n"/>
      <c r="AH90" s="1523" t="n"/>
      <c r="AI90" s="1532" t="n"/>
      <c r="AJ90" s="1523">
        <f>IF($E$166=8,Q143,IF($E$166=7,N143,0))</f>
        <v/>
      </c>
      <c r="AK90" s="716" t="n"/>
      <c r="AL90" s="716" t="n"/>
    </row>
    <row r="91" ht="17.55" customHeight="1" s="1181">
      <c r="A91" s="384" t="n"/>
      <c r="B91" s="384" t="n"/>
      <c r="C91" s="384" t="n"/>
      <c r="D91" s="384" t="n"/>
      <c r="E91" s="384" t="n"/>
      <c r="F91" s="384" t="n"/>
      <c r="G91" s="384" t="n"/>
      <c r="H91" s="384" t="n"/>
      <c r="I91" s="384" t="n"/>
      <c r="J91" s="384" t="n"/>
      <c r="K91" s="384" t="n"/>
      <c r="L91" s="384" t="n"/>
      <c r="M91" s="462" t="n"/>
      <c r="N91" s="384" t="n"/>
      <c r="O91" s="384" t="n"/>
      <c r="P91" s="136" t="n"/>
      <c r="Q91" s="384" t="n"/>
      <c r="R91" s="455" t="n"/>
      <c r="S91" s="1526" t="n"/>
      <c r="T91" s="1526" t="n"/>
      <c r="U91" s="1526" t="n"/>
      <c r="V91" s="1526" t="n"/>
      <c r="W91" s="1526" t="n"/>
      <c r="X91" s="1526" t="n"/>
      <c r="Y91" s="1526" t="n"/>
      <c r="Z91" s="1526" t="n"/>
      <c r="AA91" s="1526" t="n"/>
      <c r="AB91" s="1526" t="n"/>
      <c r="AC91" s="1526" t="n"/>
      <c r="AD91" s="1526" t="n"/>
      <c r="AE91" s="1526" t="n"/>
      <c r="AF91" s="1526" t="n"/>
      <c r="AG91" s="1526" t="n"/>
      <c r="AH91" s="1526" t="n"/>
      <c r="AI91" s="1526" t="n"/>
      <c r="AJ91" s="1526" t="n"/>
      <c r="AK91" s="716" t="n"/>
      <c r="AL91" s="716" t="n"/>
    </row>
    <row r="92" ht="17.55" customHeight="1" s="1181">
      <c r="A92" s="384" t="n"/>
      <c r="B92" s="384" t="n"/>
      <c r="C92" s="384" t="n"/>
      <c r="D92" s="384" t="n"/>
      <c r="E92" s="384" t="n"/>
      <c r="F92" s="384" t="n"/>
      <c r="G92" s="384" t="n"/>
      <c r="H92" s="384" t="n"/>
      <c r="I92" s="384" t="n"/>
      <c r="J92" s="384" t="n"/>
      <c r="K92" s="384" t="n"/>
      <c r="L92" s="384" t="n"/>
      <c r="M92" s="462">
        <f>IF(_epmOfflineCondition_," 二、营业成本",EPMMemberDesc(O92))</f>
        <v/>
      </c>
      <c r="N92" s="384" t="n"/>
      <c r="O92" s="716" t="inlineStr">
        <is>
          <t>A09424</t>
        </is>
      </c>
      <c r="P92" s="97">
        <f>IF(_epmOfflineCondition_,"A09424",EPMOlapMemberO(O92,"[C_ACCOUNT].[PARENTH1].[A09424]","A09424 -  二、营业成本","","000"))</f>
        <v/>
      </c>
      <c r="Q92" s="384" t="n"/>
      <c r="R92" s="154" t="inlineStr">
        <is>
          <t xml:space="preserve"> 二、营业成本 </t>
        </is>
      </c>
      <c r="S92" s="1527">
        <f>SUM(T92:Z92)</f>
        <v/>
      </c>
      <c r="T92" s="1528">
        <f>SUM(T93:T94)</f>
        <v/>
      </c>
      <c r="U92" s="1528">
        <f>SUM(U93:U94)</f>
        <v/>
      </c>
      <c r="V92" s="1528">
        <f>SUM(V93:V94)</f>
        <v/>
      </c>
      <c r="W92" s="1528">
        <f>SUM(W93:W94)</f>
        <v/>
      </c>
      <c r="X92" s="1528">
        <f>SUM(X93:X94)</f>
        <v/>
      </c>
      <c r="Y92" s="1528">
        <f>SUM(Y93:Y94)</f>
        <v/>
      </c>
      <c r="Z92" s="1528">
        <f>SUM(Z93:Z94)</f>
        <v/>
      </c>
      <c r="AA92" s="1528">
        <f>SUM(AA93:AA94)</f>
        <v/>
      </c>
      <c r="AB92" s="1527">
        <f>SUM(AC92:AJ92)</f>
        <v/>
      </c>
      <c r="AC92" s="1527" t="n"/>
      <c r="AD92" s="1527" t="n"/>
      <c r="AE92" s="1527" t="n"/>
      <c r="AF92" s="1527" t="n"/>
      <c r="AG92" s="1527" t="n"/>
      <c r="AH92" s="1527" t="n"/>
      <c r="AI92" s="1529" t="n"/>
      <c r="AJ92" s="1528">
        <f>SUM(AJ93:AJ94)</f>
        <v/>
      </c>
      <c r="AK92" s="716" t="n"/>
      <c r="AL92" s="716" t="n"/>
    </row>
    <row r="93">
      <c r="A93" s="384" t="n"/>
      <c r="B93" s="384" t="n"/>
      <c r="C93" s="124" t="inlineStr">
        <is>
          <t>取自JNFDC1002-主营业务成本表（发电企业）-主营业务成本</t>
        </is>
      </c>
      <c r="D93" s="126" t="inlineStr">
        <is>
          <t>A0280101</t>
        </is>
      </c>
      <c r="E93" s="124" t="inlineStr">
        <is>
          <t>F20</t>
        </is>
      </c>
      <c r="F93" s="124" t="n"/>
      <c r="G93" s="124" t="n"/>
      <c r="H93" s="124" t="n"/>
      <c r="I93" s="124" t="n"/>
      <c r="J93" s="384" t="n"/>
      <c r="K93" s="384" t="n"/>
      <c r="L93" s="384" t="n"/>
      <c r="M93" s="462">
        <f>IF(_epmOfflineCondition_," 主营业务成本",EPMMemberDesc(O93))</f>
        <v/>
      </c>
      <c r="N93" s="384" t="n"/>
      <c r="O93" s="716" t="inlineStr">
        <is>
          <t>A0942401</t>
        </is>
      </c>
      <c r="P93" s="135">
        <f>IF(_epmOfflineCondition_,"A0942401",EPMOlapMemberO(O93,"[C_ACCOUNT].[PARENTH1].[A0942401]","A0942401 -  主营业务成本","","000"))</f>
        <v/>
      </c>
      <c r="Q93" s="384" t="n"/>
      <c r="R93" s="109" t="inlineStr">
        <is>
          <t xml:space="preserve"> 主营业务成本 </t>
        </is>
      </c>
      <c r="S93" s="1527">
        <f>SUM(T93:Z93)</f>
        <v/>
      </c>
      <c r="T93" s="1445">
        <f>IF(_epmOfflineCondition_,0,EPMRetrieveData("",$D$93,C$95,$E$93,$T$41,$T$42,$T$43,$D$21,$D$22,$D$23,$D$25,$D$26,$D$27,$D$28))</f>
        <v/>
      </c>
      <c r="U93" s="1445">
        <f>IF(_epmOfflineCondition_,27496863.46,EPMRetrieveData("",$D$93,D$95,$E$93,$T$41,$T$42,$T$43,$D$21,$D$22,$D$23,$D$25,$D$26,$D$27,$D$28))</f>
        <v/>
      </c>
      <c r="V93" s="1445">
        <f>IF(_epmOfflineCondition_,0,EPMRetrieveData("",$D$93,E$95,$E$93,$T$41,$T$42,$T$43,$D$21,$D$22,$D$23,$D$25,$D$26,$D$27,$D$28))</f>
        <v/>
      </c>
      <c r="W93" s="1445">
        <f>IF(_epmOfflineCondition_,0,EPMRetrieveData("",$D$93,F$95,$E$93,$T$41,$T$42,$T$43,$D$21,$D$22,$D$23,$D$25,$D$26,$D$27,$D$28))</f>
        <v/>
      </c>
      <c r="X93" s="1445">
        <f>IF(_epmOfflineCondition_,0,EPMRetrieveData("",$D$93,G$95,$E$93,$T$41,$T$42,$T$43,$D$21,$D$22,$D$23,$D$25,$D$26,$D$27,$D$28))</f>
        <v/>
      </c>
      <c r="Y93" s="1445">
        <f>IF(_epmOfflineCondition_,0,EPMRetrieveData("",$D$93,H$95,$E$93,$T$41,$T$42,$T$43,$D$21,$D$22,$D$23,$D$25,$D$26,$D$27,$D$28))</f>
        <v/>
      </c>
      <c r="Z93" s="1445">
        <f>IF(_epmOfflineCondition_,0,EPMRetrieveData("",$D$93,I$95,$E$93,$T$41,$T$42,$T$43,$D$21,$D$22,$D$23,$D$25,$D$26,$D$27,$D$28))</f>
        <v/>
      </c>
      <c r="AA93" s="1445">
        <f>IF(_epmOfflineCondition_,0,EPMRetrieveData("",$D$93,$G$87,$E$93,$T$41,$T$42,$T$43,$D$21,$D$22,$D$23,$D$25,$D$26,$D$27,$D$28))</f>
        <v/>
      </c>
      <c r="AB93" s="1439">
        <f>SUM(AC93:AJ93)</f>
        <v/>
      </c>
      <c r="AC93" s="1439" t="n"/>
      <c r="AD93" s="1439" t="n"/>
      <c r="AE93" s="1439" t="n"/>
      <c r="AF93" s="1439" t="n"/>
      <c r="AG93" s="1439" t="n"/>
      <c r="AH93" s="1439" t="n"/>
      <c r="AI93" s="1531" t="n"/>
      <c r="AJ93" s="1445">
        <f>IF($E$166=8,Q144,IF($E$166=7,N144,0))</f>
        <v/>
      </c>
      <c r="AK93" s="716" t="n"/>
      <c r="AL93" s="716" t="n"/>
    </row>
    <row r="94" ht="17.55" customHeight="1" s="1181">
      <c r="A94" s="384" t="n"/>
      <c r="B94" s="384" t="n"/>
      <c r="C94" s="127" t="inlineStr">
        <is>
          <t>火力发电</t>
        </is>
      </c>
      <c r="D94" s="127" t="inlineStr">
        <is>
          <t>风力发电</t>
        </is>
      </c>
      <c r="E94" s="127" t="inlineStr">
        <is>
          <t>光伏发电</t>
        </is>
      </c>
      <c r="F94" s="131" t="inlineStr">
        <is>
          <t>燃气发电</t>
        </is>
      </c>
      <c r="G94" s="131" t="inlineStr">
        <is>
          <t>水力发电</t>
        </is>
      </c>
      <c r="H94" s="125" t="inlineStr">
        <is>
          <t>售热</t>
        </is>
      </c>
      <c r="I94" s="131" t="inlineStr">
        <is>
          <t>售电服务</t>
        </is>
      </c>
      <c r="J94" s="384" t="n"/>
      <c r="K94" s="384" t="n"/>
      <c r="L94" s="384" t="n"/>
      <c r="M94" s="462">
        <f>IF(_epmOfflineCondition_," 其他业务成本",EPMMemberDesc(O94))</f>
        <v/>
      </c>
      <c r="N94" s="384" t="n"/>
      <c r="O94" s="716" t="inlineStr">
        <is>
          <t>A0942402</t>
        </is>
      </c>
      <c r="P94" s="135">
        <f>IF(_epmOfflineCondition_,"A0942402",EPMOlapMemberO(O94,"[C_ACCOUNT].[PARENTH1].[A0942402]","A0942402 -  其他业务成本","","000"))</f>
        <v/>
      </c>
      <c r="Q94" s="384" t="n"/>
      <c r="R94" s="144" t="inlineStr">
        <is>
          <t xml:space="preserve"> 其他业务成本 </t>
        </is>
      </c>
      <c r="S94" s="1523">
        <f>SUM(T94:AA94)</f>
        <v/>
      </c>
      <c r="T94" s="1522" t="n"/>
      <c r="U94" s="1522" t="n"/>
      <c r="V94" s="1522" t="n"/>
      <c r="W94" s="1522" t="n"/>
      <c r="X94" s="1522" t="n"/>
      <c r="Y94" s="1522" t="n"/>
      <c r="Z94" s="1522" t="n"/>
      <c r="AA94" s="1523">
        <f>IF($E$166&gt;7,H145,IF($E$166=7,E145,0))</f>
        <v/>
      </c>
      <c r="AB94" s="1523">
        <f>SUM(AC94:AJ94)</f>
        <v/>
      </c>
      <c r="AC94" s="1523" t="n"/>
      <c r="AD94" s="1523" t="n"/>
      <c r="AE94" s="1523" t="n"/>
      <c r="AF94" s="1523" t="n"/>
      <c r="AG94" s="1523" t="n"/>
      <c r="AH94" s="1523" t="n"/>
      <c r="AI94" s="1532" t="n"/>
      <c r="AJ94" s="1523">
        <f>IF($E$166=8,Q145,IF($E$166=7,N145,0))</f>
        <v/>
      </c>
      <c r="AK94" s="716" t="n"/>
      <c r="AL94" s="716" t="n"/>
    </row>
    <row r="95">
      <c r="A95" s="384" t="n"/>
      <c r="B95" s="384" t="n"/>
      <c r="C95" s="83" t="inlineStr">
        <is>
          <t>ZM0300101</t>
        </is>
      </c>
      <c r="D95" s="83" t="inlineStr">
        <is>
          <t>ZM0300102</t>
        </is>
      </c>
      <c r="E95" s="83" t="inlineStr">
        <is>
          <t>ZM0300103</t>
        </is>
      </c>
      <c r="F95" s="83" t="inlineStr">
        <is>
          <t>ZM0300104</t>
        </is>
      </c>
      <c r="G95" s="83" t="inlineStr">
        <is>
          <t>ZM0300105</t>
        </is>
      </c>
      <c r="H95" s="83" t="inlineStr">
        <is>
          <t>ZM0300201</t>
        </is>
      </c>
      <c r="I95" s="83" t="inlineStr">
        <is>
          <t>ZM0300202</t>
        </is>
      </c>
      <c r="J95" s="384" t="n"/>
      <c r="K95" s="384" t="n"/>
      <c r="L95" s="384" t="n"/>
      <c r="M95" s="32" t="n"/>
      <c r="N95" s="384" t="n"/>
      <c r="O95" s="384" t="n"/>
      <c r="P95" s="384" t="n"/>
      <c r="Q95" s="384" t="n"/>
      <c r="R95" s="384" t="n"/>
      <c r="S95" s="155" t="n"/>
      <c r="T95" s="155" t="n"/>
      <c r="U95" s="155" t="n"/>
      <c r="V95" s="155" t="n"/>
      <c r="W95" s="155" t="n"/>
      <c r="X95" s="155" t="n"/>
      <c r="Y95" s="155" t="n"/>
      <c r="Z95" s="155" t="n"/>
      <c r="AA95" s="155" t="n"/>
      <c r="AB95" s="155" t="n"/>
      <c r="AC95" s="155" t="n"/>
      <c r="AD95" s="155" t="n"/>
      <c r="AE95" s="155" t="n"/>
      <c r="AF95" s="155" t="n"/>
      <c r="AG95" s="155" t="n"/>
      <c r="AH95" s="155" t="n"/>
      <c r="AI95" s="155" t="n"/>
      <c r="AJ95" s="155" t="n"/>
      <c r="AK95" s="716" t="n"/>
      <c r="AL95" s="716" t="n"/>
    </row>
    <row r="96">
      <c r="A96" s="384" t="n"/>
      <c r="B96" s="384" t="n"/>
      <c r="C96" s="384" t="n"/>
      <c r="D96" s="384" t="n"/>
      <c r="E96" s="384" t="n"/>
      <c r="F96" s="384" t="n"/>
      <c r="G96" s="384" t="n"/>
      <c r="H96" s="384" t="n"/>
      <c r="I96" s="384" t="n"/>
      <c r="J96" s="384" t="n"/>
      <c r="K96" s="384" t="n"/>
      <c r="L96" s="384" t="n"/>
      <c r="M96" s="137" t="inlineStr">
        <is>
          <t>取：主营业务成本表-变动成本-工作量法折旧</t>
        </is>
      </c>
      <c r="N96" s="124" t="n"/>
      <c r="O96" s="138" t="inlineStr">
        <is>
          <t>A02801010105</t>
        </is>
      </c>
      <c r="P96" s="139">
        <f>IF(_epmOfflineCondition_,"A02801010105",EPMOlapMemberO(O96,"[C_ACCOUNT].[PARENTH1].[A02801010105]","A02801010105 - 工作量法折旧","","000"))</f>
        <v/>
      </c>
      <c r="Q96" s="384" t="n"/>
      <c r="R96" s="137" t="inlineStr">
        <is>
          <t>主营业务成本表-变动成本-工作量法折旧</t>
        </is>
      </c>
      <c r="S96" s="156" t="n"/>
      <c r="T96" s="156" t="n"/>
      <c r="U96" s="156" t="n"/>
      <c r="V96" s="156" t="n"/>
      <c r="W96" s="156" t="n"/>
      <c r="X96" s="156" t="n"/>
      <c r="Y96" s="156" t="n"/>
      <c r="Z96" s="156" t="n"/>
      <c r="AA96" s="156" t="n"/>
      <c r="AB96" s="162" t="n"/>
      <c r="AC96" s="155" t="n"/>
      <c r="AD96" s="155" t="n"/>
      <c r="AE96" s="155" t="n"/>
      <c r="AF96" s="155" t="n"/>
      <c r="AG96" s="155" t="n"/>
      <c r="AH96" s="155" t="n"/>
      <c r="AI96" s="155" t="n"/>
      <c r="AJ96" s="156" t="n"/>
      <c r="AK96" s="716" t="n"/>
      <c r="AL96" s="716" t="n"/>
    </row>
    <row r="97">
      <c r="A97" s="384" t="n"/>
      <c r="B97" s="384" t="n"/>
      <c r="C97" s="384" t="n"/>
      <c r="D97" s="384" t="n"/>
      <c r="E97" s="384" t="n"/>
      <c r="F97" s="384" t="n"/>
      <c r="G97" s="384" t="n"/>
      <c r="H97" s="384" t="n"/>
      <c r="I97" s="384" t="n"/>
      <c r="J97" s="384" t="n"/>
      <c r="K97" s="384" t="n"/>
      <c r="L97" s="384" t="n"/>
      <c r="M97" s="137" t="inlineStr">
        <is>
          <t>取：主营业务成本表-固定成本-直线法折旧</t>
        </is>
      </c>
      <c r="N97" s="124" t="n"/>
      <c r="O97" s="138" t="inlineStr">
        <is>
          <t>A02801010202</t>
        </is>
      </c>
      <c r="P97" s="139">
        <f>IF(_epmOfflineCondition_,"A02801010202",EPMOlapMemberO(O97,"[C_ACCOUNT].[PARENTH1].[A02801010202]","A02801010202 - 平均年限法折旧","","000"))</f>
        <v/>
      </c>
      <c r="Q97" s="384" t="n"/>
      <c r="R97" s="137" t="inlineStr">
        <is>
          <t>主营业务成本表-固定成本-直线法折旧</t>
        </is>
      </c>
      <c r="S97" s="156" t="inlineStr"/>
      <c r="T97" s="156" t="n"/>
      <c r="U97" s="156" t="inlineStr"/>
      <c r="V97" s="156" t="n"/>
      <c r="W97" s="156" t="n"/>
      <c r="X97" s="156" t="n"/>
      <c r="Y97" s="156" t="n"/>
      <c r="Z97" s="156" t="n"/>
      <c r="AA97" s="156" t="n"/>
      <c r="AB97" s="162" t="n"/>
      <c r="AC97" s="155" t="n"/>
      <c r="AD97" s="155" t="n"/>
      <c r="AE97" s="155" t="n"/>
      <c r="AF97" s="155" t="n"/>
      <c r="AG97" s="155" t="n"/>
      <c r="AH97" s="155" t="n"/>
      <c r="AI97" s="155" t="n"/>
      <c r="AJ97" s="156" t="n"/>
      <c r="AK97" s="716" t="n"/>
      <c r="AL97" s="716" t="n"/>
    </row>
    <row r="98">
      <c r="A98" s="384" t="n"/>
      <c r="B98" s="384" t="n"/>
      <c r="C98" s="384" t="n"/>
      <c r="D98" s="384" t="n"/>
      <c r="E98" s="384" t="n"/>
      <c r="F98" s="384" t="n"/>
      <c r="G98" s="384" t="n"/>
      <c r="H98" s="384" t="n"/>
      <c r="I98" s="384" t="n"/>
      <c r="J98" s="384" t="n"/>
      <c r="K98" s="384" t="n"/>
      <c r="L98" s="384" t="n"/>
      <c r="M98" s="32" t="n"/>
      <c r="N98" s="384" t="n"/>
      <c r="O98" s="384" t="n"/>
      <c r="P98" s="384" t="n"/>
      <c r="Q98" s="384" t="n"/>
      <c r="R98" s="384" t="n"/>
      <c r="S98" s="384" t="n"/>
      <c r="T98" s="384" t="n"/>
      <c r="U98" s="384" t="n"/>
      <c r="V98" s="384" t="n"/>
      <c r="W98" s="384" t="n"/>
      <c r="X98" s="384" t="n"/>
      <c r="Y98" s="384" t="n"/>
      <c r="Z98" s="384" t="n"/>
      <c r="AA98" s="384" t="n"/>
      <c r="AB98" s="384" t="n"/>
      <c r="AC98" s="384" t="n"/>
      <c r="AD98" s="384" t="n"/>
      <c r="AE98" s="384" t="n"/>
      <c r="AF98" s="384" t="n"/>
      <c r="AG98" s="384" t="n"/>
      <c r="AH98" s="384" t="n"/>
      <c r="AI98" s="384" t="n"/>
      <c r="AJ98" s="384" t="n"/>
      <c r="AK98" s="716" t="n"/>
      <c r="AL98" s="716" t="n"/>
    </row>
    <row r="99">
      <c r="A99" s="384" t="n"/>
      <c r="B99" s="384" t="n"/>
      <c r="C99" s="384" t="n"/>
      <c r="D99" s="384" t="n"/>
      <c r="E99" s="384" t="n"/>
      <c r="F99" s="384" t="n"/>
      <c r="G99" s="384" t="n"/>
      <c r="H99" s="384" t="n"/>
      <c r="I99" s="384" t="n"/>
      <c r="J99" s="384" t="n"/>
      <c r="K99" s="384" t="n"/>
      <c r="L99" s="384" t="n"/>
      <c r="M99" s="32" t="n"/>
      <c r="N99" s="384" t="n"/>
      <c r="O99" s="384" t="n"/>
      <c r="P99" s="384" t="n"/>
      <c r="Q99" s="384" t="n"/>
      <c r="R99" s="384" t="n"/>
      <c r="S99" s="384" t="n"/>
      <c r="T99" s="384" t="n"/>
      <c r="U99" s="384" t="n"/>
      <c r="V99" s="384" t="n"/>
      <c r="W99" s="384" t="n"/>
      <c r="X99" s="384" t="n"/>
      <c r="Y99" s="384" t="n"/>
      <c r="Z99" s="384" t="n"/>
      <c r="AA99" s="384" t="n"/>
      <c r="AB99" s="384" t="n"/>
      <c r="AC99" s="384" t="n"/>
      <c r="AD99" s="384" t="n"/>
      <c r="AE99" s="384" t="n"/>
      <c r="AF99" s="384" t="n"/>
      <c r="AG99" s="384" t="n"/>
      <c r="AH99" s="384" t="n"/>
      <c r="AI99" s="384" t="n"/>
      <c r="AJ99" s="384" t="n"/>
      <c r="AK99" s="716" t="n"/>
      <c r="AL99" s="716" t="n"/>
    </row>
    <row r="100">
      <c r="A100" s="384" t="n"/>
      <c r="B100" s="384" t="n"/>
      <c r="C100" s="384" t="n"/>
      <c r="D100" s="384" t="n"/>
      <c r="E100" s="384" t="n"/>
      <c r="F100" s="384" t="n"/>
      <c r="G100" s="384" t="n"/>
      <c r="H100" s="384" t="n"/>
      <c r="I100" s="384" t="n"/>
      <c r="J100" s="384" t="n"/>
      <c r="K100" s="384" t="n"/>
      <c r="L100" s="384" t="n"/>
      <c r="M100" s="32" t="n"/>
      <c r="N100" s="384" t="n"/>
      <c r="O100" s="384" t="n"/>
      <c r="P100" s="384" t="n"/>
      <c r="Q100" s="384" t="n"/>
      <c r="R100" s="384" t="n"/>
      <c r="S100" s="384" t="n"/>
      <c r="T100" s="384" t="n"/>
      <c r="U100" s="384" t="n"/>
      <c r="V100" s="384" t="n"/>
      <c r="W100" s="384" t="n"/>
      <c r="X100" s="384" t="n"/>
      <c r="Y100" s="384" t="n"/>
      <c r="Z100" s="384" t="n"/>
      <c r="AA100" s="384" t="n"/>
      <c r="AB100" s="384" t="n"/>
      <c r="AC100" s="384" t="n"/>
      <c r="AD100" s="384" t="n"/>
      <c r="AE100" s="384" t="n"/>
      <c r="AF100" s="384" t="n"/>
      <c r="AG100" s="384" t="n"/>
      <c r="AH100" s="384" t="n"/>
      <c r="AI100" s="384" t="n"/>
      <c r="AJ100" s="384" t="n"/>
      <c r="AK100" s="716" t="n"/>
      <c r="AL100" s="716" t="n"/>
    </row>
    <row r="101">
      <c r="A101" s="384" t="n"/>
      <c r="B101" s="384" t="n"/>
      <c r="C101" s="384" t="n"/>
      <c r="D101" s="384" t="n"/>
      <c r="E101" s="384" t="n"/>
      <c r="F101" s="384" t="n"/>
      <c r="G101" s="384" t="n"/>
      <c r="H101" s="384" t="n"/>
      <c r="I101" s="384" t="n"/>
      <c r="J101" s="384" t="n"/>
      <c r="K101" s="384" t="n"/>
      <c r="L101" s="384" t="n"/>
      <c r="M101" s="32" t="n"/>
      <c r="N101" s="384" t="n"/>
      <c r="O101" s="384" t="n"/>
      <c r="P101" s="384" t="n"/>
      <c r="Q101" s="384" t="n"/>
      <c r="R101" s="157" t="inlineStr">
        <is>
          <t xml:space="preserve"> check </t>
        </is>
      </c>
      <c r="S101" s="1533">
        <f>S50-S88</f>
        <v/>
      </c>
      <c r="T101" s="1533">
        <f>T50-T88</f>
        <v/>
      </c>
      <c r="U101" s="1533">
        <f>U50-U88</f>
        <v/>
      </c>
      <c r="V101" s="1533">
        <f>V50-V88</f>
        <v/>
      </c>
      <c r="W101" s="1533">
        <f>W50-W88</f>
        <v/>
      </c>
      <c r="X101" s="1533">
        <f>X50-X88</f>
        <v/>
      </c>
      <c r="Y101" s="1533">
        <f>Y50-Y88</f>
        <v/>
      </c>
      <c r="Z101" s="1533">
        <f>Z50-Z88</f>
        <v/>
      </c>
      <c r="AA101" s="1533">
        <f>AA50-AA88</f>
        <v/>
      </c>
      <c r="AB101" s="384" t="n"/>
      <c r="AC101" s="384" t="n"/>
      <c r="AD101" s="384" t="n"/>
      <c r="AE101" s="384" t="n"/>
      <c r="AF101" s="384" t="n"/>
      <c r="AG101" s="384" t="n"/>
      <c r="AH101" s="384" t="n"/>
      <c r="AI101" s="384" t="n"/>
      <c r="AJ101" s="384" t="n"/>
      <c r="AK101" s="716" t="n"/>
      <c r="AL101" s="716" t="n"/>
    </row>
    <row r="102">
      <c r="A102" s="384" t="n"/>
      <c r="B102" s="384" t="n"/>
      <c r="C102" s="384" t="n"/>
      <c r="D102" s="384" t="n"/>
      <c r="E102" s="384" t="n"/>
      <c r="F102" s="384" t="n"/>
      <c r="G102" s="384" t="n"/>
      <c r="H102" s="384" t="n"/>
      <c r="I102" s="384" t="n"/>
      <c r="J102" s="384" t="n"/>
      <c r="K102" s="384" t="n"/>
      <c r="L102" s="384" t="n"/>
      <c r="M102" s="32" t="n"/>
      <c r="N102" s="384" t="n"/>
      <c r="O102" s="384" t="n"/>
      <c r="P102" s="384" t="n"/>
      <c r="Q102" s="384" t="n"/>
      <c r="R102" s="1210" t="n"/>
      <c r="S102" s="1533">
        <f>S52-S92</f>
        <v/>
      </c>
      <c r="T102" s="1533">
        <f>T52-T92</f>
        <v/>
      </c>
      <c r="U102" s="1533">
        <f>U52-U92</f>
        <v/>
      </c>
      <c r="V102" s="1533">
        <f>V52-V92</f>
        <v/>
      </c>
      <c r="W102" s="1533">
        <f>W52-W92</f>
        <v/>
      </c>
      <c r="X102" s="1533">
        <f>X52-X92</f>
        <v/>
      </c>
      <c r="Y102" s="1533">
        <f>Y52-Y92</f>
        <v/>
      </c>
      <c r="Z102" s="1533">
        <f>Z52-Z92</f>
        <v/>
      </c>
      <c r="AA102" s="1533">
        <f>AA52-AA92</f>
        <v/>
      </c>
      <c r="AB102" s="384" t="n"/>
      <c r="AC102" s="384" t="n"/>
      <c r="AD102" s="384" t="n"/>
      <c r="AE102" s="384" t="n"/>
      <c r="AF102" s="384" t="n"/>
      <c r="AG102" s="384" t="n"/>
      <c r="AH102" s="384" t="n"/>
      <c r="AI102" s="384" t="n"/>
      <c r="AJ102" s="384" t="n"/>
      <c r="AK102" s="716" t="n"/>
      <c r="AL102" s="716" t="n"/>
    </row>
    <row r="103" ht="17" customFormat="1" customHeight="1" s="128">
      <c r="A103" s="128" t="n"/>
      <c r="B103" s="128" t="n"/>
      <c r="C103" s="128" t="n"/>
      <c r="D103" s="128" t="n"/>
      <c r="E103" s="128" t="n"/>
      <c r="F103" s="128" t="n"/>
      <c r="G103" s="128" t="n"/>
      <c r="H103" s="128" t="inlineStr">
        <is>
          <t>ZM0300106</t>
        </is>
      </c>
      <c r="I103" s="128" t="n"/>
      <c r="J103" s="128" t="n"/>
      <c r="K103" s="128" t="n"/>
      <c r="L103" s="128" t="n"/>
      <c r="M103" s="140" t="n"/>
      <c r="N103" s="128" t="n"/>
      <c r="O103" s="128" t="n"/>
      <c r="P103" s="128" t="n"/>
      <c r="Q103" s="128" t="n"/>
      <c r="R103" s="1210" t="n"/>
      <c r="S103" s="159">
        <f>IF(S80&gt;S79,"【政府补贴收入】大于【营业外收入】了,不合理，请检查数据","校验通过")</f>
        <v/>
      </c>
      <c r="T103" s="159">
        <f>IF(T80&gt;T79,"【政府补贴收入】大于【营业外收入】了,不合理，请检查数据","校验通过")</f>
        <v/>
      </c>
      <c r="U103" s="159">
        <f>IF(U80&gt;U79,"【政府补贴收入】大于【营业外收入】了,不合理，请检查数据","校验通过")</f>
        <v/>
      </c>
      <c r="V103" s="159">
        <f>IF(V80&gt;V79,"【政府补贴收入】大于【营业外收入】了,不合理，请检查数据","校验通过")</f>
        <v/>
      </c>
      <c r="W103" s="159">
        <f>IF(W80&gt;W79,"【政府补贴收入】大于【营业外收入】了,不合理，请检查数据","校验通过")</f>
        <v/>
      </c>
      <c r="X103" s="159">
        <f>IF(X80&gt;X79,"【政府补贴收入】大于【营业外收入】了,不合理，请检查数据","校验通过")</f>
        <v/>
      </c>
      <c r="Y103" s="159">
        <f>IF(Y80&gt;Y79,"【政府补贴收入】大于【营业外收入】了,不合理，请检查数据","校验通过")</f>
        <v/>
      </c>
      <c r="Z103" s="159">
        <f>IF(Z80&gt;Z79,"【政府补贴收入】大于【营业外收入】了,不合理，请检查数据","校验通过")</f>
        <v/>
      </c>
      <c r="AA103" s="159">
        <f>IF(AA80&gt;AA79,"【政府补贴收入】大于【营业外收入】了,不合理，请检查数据","校验通过")</f>
        <v/>
      </c>
      <c r="AB103" s="128" t="n"/>
      <c r="AC103" s="128" t="n"/>
      <c r="AD103" s="128" t="n"/>
      <c r="AE103" s="128" t="n"/>
      <c r="AF103" s="128" t="n"/>
      <c r="AG103" s="128" t="n"/>
      <c r="AH103" s="128" t="n"/>
      <c r="AI103" s="128" t="n"/>
      <c r="AJ103" s="384" t="n"/>
      <c r="AK103" s="716" t="n"/>
      <c r="AL103" s="716" t="n"/>
    </row>
    <row r="104" ht="17" customFormat="1" customHeight="1" s="128">
      <c r="A104" s="128" t="n"/>
      <c r="B104" s="128" t="n"/>
      <c r="C104" s="128" t="inlineStr">
        <is>
          <t>A00201</t>
        </is>
      </c>
      <c r="D104" s="128">
        <f>IF(_epmOfflineCondition_,"一、营业总收入",EPMMemberDesc(C104))</f>
        <v/>
      </c>
      <c r="E104" s="1534">
        <f>IF(_epmOfflineCondition_,94272738.5,EPMRetrieveData(,$C104,$E$29,$D$45,$S$25,$S$26,$S$27,$D$21,$D$22,$E$23,$E$25,$D$26,$D$27,$D$28))</f>
        <v/>
      </c>
      <c r="F104" s="716" t="inlineStr">
        <is>
          <t>A09401</t>
        </is>
      </c>
      <c r="G104" s="108" t="inlineStr">
        <is>
          <t>一、营业总收入</t>
        </is>
      </c>
      <c r="H104" s="1534">
        <f>IF(_epmOfflineCondition_,0,EPMRetrieveData(,$F104,$H$103,$D$45,$S$25,$S$26,$S$27,$D$21,$D$22,$E$23,$E$25,$D$26,$D$27,$D$28))</f>
        <v/>
      </c>
      <c r="I104" s="128" t="n"/>
      <c r="J104" s="128" t="n"/>
      <c r="K104" s="128" t="n"/>
      <c r="L104" s="128" t="n"/>
      <c r="M104" s="140" t="n"/>
      <c r="N104" s="128" t="n"/>
      <c r="O104" s="128" t="n"/>
      <c r="P104" s="128" t="n"/>
      <c r="Q104" s="128" t="n"/>
      <c r="R104" s="1184" t="n"/>
      <c r="S104" s="159">
        <f>IF(S82&gt;S81,"【非流动资产处置损失】大于【营业外支出】了,不合理，请检查数据","校验通过")</f>
        <v/>
      </c>
      <c r="T104" s="159">
        <f>IF(T82&gt;T81,"【非流动资产处置损失】大于【营业外支出】了,不合理，请检查数据","校验通过")</f>
        <v/>
      </c>
      <c r="U104" s="159">
        <f>IF(U82&gt;U81,"【非流动资产处置损失】大于【营业外支出】了,不合理，请检查数据","校验通过")</f>
        <v/>
      </c>
      <c r="V104" s="159">
        <f>IF(V82&gt;V81,"【非流动资产处置损失】大于【营业外支出】了,不合理，请检查数据","校验通过")</f>
        <v/>
      </c>
      <c r="W104" s="159">
        <f>IF(W82&gt;W81,"【非流动资产处置损失】大于【营业外支出】了,不合理，请检查数据","校验通过")</f>
        <v/>
      </c>
      <c r="X104" s="159">
        <f>IF(X82&gt;X81,"【非流动资产处置损失】大于【营业外支出】了,不合理，请检查数据","校验通过")</f>
        <v/>
      </c>
      <c r="Y104" s="159">
        <f>IF(Y82&gt;Y81,"【非流动资产处置损失】大于【营业外支出】了,不合理，请检查数据","校验通过")</f>
        <v/>
      </c>
      <c r="Z104" s="159">
        <f>IF(Z82&gt;Z81,"【非流动资产处置损失】大于【营业外支出】了,不合理，请检查数据","校验通过")</f>
        <v/>
      </c>
      <c r="AA104" s="159">
        <f>IF(AA82&gt;AA81,"【非流动资产处置损失】大于【营业外支出】了,不合理，请检查数据","校验通过")</f>
        <v/>
      </c>
      <c r="AB104" s="128" t="n"/>
      <c r="AC104" s="128" t="n"/>
      <c r="AD104" s="128" t="n"/>
      <c r="AE104" s="128" t="n"/>
      <c r="AF104" s="128" t="n"/>
      <c r="AG104" s="128" t="n"/>
      <c r="AH104" s="128" t="n"/>
      <c r="AI104" s="128" t="n"/>
      <c r="AJ104" s="384" t="n"/>
      <c r="AK104" s="716" t="n"/>
      <c r="AL104" s="716" t="n"/>
    </row>
    <row r="105" ht="17" customHeight="1" s="1181">
      <c r="A105" s="384" t="n"/>
      <c r="B105" s="384" t="n"/>
      <c r="C105" s="384" t="inlineStr">
        <is>
          <t>A0020101</t>
        </is>
      </c>
      <c r="D105" s="128">
        <f>IF(_epmOfflineCondition_,"   其中：营业收入",EPMMemberDesc(C105))</f>
        <v/>
      </c>
      <c r="E105" s="1534">
        <f>IF(_epmOfflineCondition_,94272738.5,EPMRetrieveData(,$C105,$E$29,$D$45,$S$25,$S$26,$S$27,$D$21,$D$22,$E$23,$E$25,$D$26,$D$27,$D$28))</f>
        <v/>
      </c>
      <c r="F105" s="716" t="inlineStr">
        <is>
          <t>A09402</t>
        </is>
      </c>
      <c r="G105" s="109" t="inlineStr">
        <is>
          <t>其中:营业收入</t>
        </is>
      </c>
      <c r="H105" s="1534">
        <f>IF(_epmOfflineCondition_,0,EPMRetrieveData(,$F105,$H$103,$D$45,$S$25,$S$26,$S$27,$D$21,$D$22,$E$23,$E$25,$D$26,$D$27,$D$28))</f>
        <v/>
      </c>
      <c r="I105" s="128" t="n"/>
      <c r="J105" s="384" t="n"/>
      <c r="K105" s="384" t="n"/>
      <c r="L105" s="384" t="n"/>
      <c r="M105" s="32" t="n"/>
      <c r="N105" s="384" t="n"/>
      <c r="O105" s="384" t="n"/>
      <c r="P105" s="384" t="n"/>
      <c r="Q105" s="384" t="n"/>
      <c r="R105" s="384" t="n"/>
      <c r="S105" s="384" t="n"/>
      <c r="T105" s="384" t="n"/>
      <c r="U105" s="384" t="n"/>
      <c r="V105" s="384" t="n"/>
      <c r="W105" s="384" t="n"/>
      <c r="X105" s="384" t="n"/>
      <c r="Y105" s="384" t="n"/>
      <c r="Z105" s="384" t="n"/>
      <c r="AA105" s="384" t="n"/>
      <c r="AB105" s="384" t="n"/>
      <c r="AC105" s="384" t="n"/>
      <c r="AD105" s="384" t="n"/>
      <c r="AE105" s="384" t="n"/>
      <c r="AF105" s="384" t="n"/>
      <c r="AG105" s="384" t="n"/>
      <c r="AH105" s="384" t="n"/>
      <c r="AI105" s="384" t="n"/>
      <c r="AJ105" s="384" t="n"/>
      <c r="AK105" s="716" t="n"/>
      <c r="AL105" s="716" t="n"/>
    </row>
    <row r="106" ht="17" customHeight="1" s="1181">
      <c r="A106" s="384" t="n"/>
      <c r="B106" s="384" t="n"/>
      <c r="C106" s="384" t="inlineStr">
        <is>
          <t>A0020102</t>
        </is>
      </c>
      <c r="D106" s="128">
        <f>IF(_epmOfflineCondition_,"        # 利息收入",EPMMemberDesc(C106))</f>
        <v/>
      </c>
      <c r="E106" s="1534">
        <f>IF(_epmOfflineCondition_,0,EPMRetrieveData(,$C106,$E$29,$D$45,$S$25,$S$26,$S$27,$D$21,$D$22,$E$23,$E$25,$D$26,$D$27,$D$28))</f>
        <v/>
      </c>
      <c r="F106" s="384" t="n"/>
      <c r="G106" s="384" t="n"/>
      <c r="H106" s="1334" t="n"/>
      <c r="I106" s="128" t="n"/>
      <c r="J106" s="384" t="n"/>
      <c r="K106" s="384" t="n"/>
      <c r="L106" s="384" t="n"/>
      <c r="M106" s="32" t="n"/>
      <c r="N106" s="384" t="n"/>
      <c r="O106" s="384" t="n"/>
      <c r="P106" s="384" t="n"/>
      <c r="Q106" s="384" t="n"/>
      <c r="R106" s="384" t="n"/>
      <c r="S106" s="384" t="n"/>
      <c r="T106" s="384" t="n"/>
      <c r="U106" s="384" t="n"/>
      <c r="V106" s="384" t="n"/>
      <c r="W106" s="384" t="n"/>
      <c r="X106" s="384" t="n"/>
      <c r="Y106" s="384" t="n"/>
      <c r="Z106" s="384" t="n"/>
      <c r="AA106" s="384" t="n"/>
      <c r="AB106" s="384" t="n"/>
      <c r="AC106" s="384" t="n"/>
      <c r="AD106" s="384" t="n"/>
      <c r="AE106" s="384" t="n"/>
      <c r="AF106" s="384" t="n"/>
      <c r="AG106" s="384" t="n"/>
      <c r="AH106" s="384" t="n"/>
      <c r="AI106" s="384" t="n"/>
      <c r="AJ106" s="384" t="n"/>
      <c r="AK106" s="716" t="n"/>
      <c r="AL106" s="716" t="n"/>
    </row>
    <row r="107" ht="34" customHeight="1" s="1181">
      <c r="A107" s="384" t="n"/>
      <c r="B107" s="384" t="n"/>
      <c r="C107" s="384" t="inlineStr">
        <is>
          <t>A0020103</t>
        </is>
      </c>
      <c r="D107" s="128">
        <f>IF(_epmOfflineCondition_,"        # 手续费及佣金收入",EPMMemberDesc(C107))</f>
        <v/>
      </c>
      <c r="E107" s="1534">
        <f>IF(_epmOfflineCondition_,0,EPMRetrieveData(,$C107,$E$29,$D$45,$S$25,$S$26,$S$27,$D$21,$D$22,$E$23,$E$25,$D$26,$D$27,$D$28))</f>
        <v/>
      </c>
      <c r="F107" s="384" t="n"/>
      <c r="G107" s="384" t="n"/>
      <c r="H107" s="1334" t="n"/>
      <c r="I107" s="128" t="n"/>
      <c r="J107" s="384" t="n"/>
      <c r="K107" s="384" t="n"/>
      <c r="L107" s="384" t="n"/>
      <c r="M107" s="32" t="n"/>
      <c r="N107" s="384" t="n"/>
      <c r="O107" s="384" t="n"/>
      <c r="P107" s="384" t="n"/>
      <c r="Q107" s="384" t="n"/>
      <c r="R107" s="384" t="n"/>
      <c r="S107" s="384" t="n"/>
      <c r="T107" s="384" t="n"/>
      <c r="U107" s="384" t="n"/>
      <c r="V107" s="384" t="n"/>
      <c r="W107" s="384" t="n"/>
      <c r="X107" s="384" t="n"/>
      <c r="Y107" s="384" t="n"/>
      <c r="Z107" s="384" t="n"/>
      <c r="AA107" s="384" t="n"/>
      <c r="AB107" s="384" t="n"/>
      <c r="AC107" s="384" t="n"/>
      <c r="AD107" s="384" t="n"/>
      <c r="AE107" s="384" t="n"/>
      <c r="AF107" s="384" t="n"/>
      <c r="AG107" s="384" t="n"/>
      <c r="AH107" s="384" t="n"/>
      <c r="AI107" s="384" t="n"/>
      <c r="AJ107" s="384" t="n"/>
      <c r="AK107" s="716" t="n"/>
      <c r="AL107" s="716" t="n"/>
    </row>
    <row r="108" ht="17" customHeight="1" s="1181">
      <c r="A108" s="384" t="n"/>
      <c r="B108" s="384" t="n"/>
      <c r="C108" s="384" t="inlineStr">
        <is>
          <t>A00202</t>
        </is>
      </c>
      <c r="D108" s="128">
        <f>IF(_epmOfflineCondition_,"二、营业总成本",EPMMemberDesc(C108))</f>
        <v/>
      </c>
      <c r="E108" s="1534">
        <f>IF(_epmOfflineCondition_,36300945.53,EPMRetrieveData(,$C108,$E$29,$D$45,$S$25,$S$26,$S$27,$D$21,$D$22,$E$23,$E$25,$D$26,$D$27,$D$28))</f>
        <v/>
      </c>
      <c r="F108" s="716" t="inlineStr">
        <is>
          <t>A09403</t>
        </is>
      </c>
      <c r="G108" s="108" t="inlineStr">
        <is>
          <t>二、营业总成本</t>
        </is>
      </c>
      <c r="H108" s="1534">
        <f>IF(_epmOfflineCondition_,0,EPMRetrieveData(,$F108,$H$103,$D$45,$S$25,$S$26,$S$27,$D$21,$D$22,$E$23,$E$25,$D$26,$D$27,$D$28))</f>
        <v/>
      </c>
      <c r="I108" s="128" t="n"/>
      <c r="J108" s="384" t="n"/>
      <c r="K108" s="384" t="n"/>
      <c r="L108" s="384" t="n"/>
      <c r="M108" s="32" t="n"/>
      <c r="N108" s="384" t="n"/>
      <c r="O108" s="384" t="n"/>
      <c r="P108" s="384" t="n"/>
      <c r="Q108" s="384" t="n"/>
      <c r="R108" s="384" t="n"/>
      <c r="S108" s="384" t="n"/>
      <c r="T108" s="384" t="n"/>
      <c r="U108" s="384" t="n"/>
      <c r="V108" s="384" t="n"/>
      <c r="W108" s="384" t="n"/>
      <c r="X108" s="384" t="n"/>
      <c r="Y108" s="384" t="n"/>
      <c r="Z108" s="384" t="n"/>
      <c r="AA108" s="384" t="n"/>
      <c r="AB108" s="384" t="n"/>
      <c r="AC108" s="384" t="n"/>
      <c r="AD108" s="384" t="n"/>
      <c r="AE108" s="384" t="n"/>
      <c r="AF108" s="384" t="n"/>
      <c r="AG108" s="384" t="n"/>
      <c r="AH108" s="384" t="n"/>
      <c r="AI108" s="384" t="n"/>
      <c r="AJ108" s="384" t="n"/>
      <c r="AK108" s="716" t="n"/>
      <c r="AL108" s="716" t="n"/>
    </row>
    <row r="109" ht="17" customHeight="1" s="1181">
      <c r="A109" s="384" t="n"/>
      <c r="B109" s="384" t="n"/>
      <c r="C109" s="384" t="inlineStr">
        <is>
          <t>A0020201</t>
        </is>
      </c>
      <c r="D109" s="128">
        <f>IF(_epmOfflineCondition_,"   其中：营业成本",EPMMemberDesc(C109))</f>
        <v/>
      </c>
      <c r="E109" s="1534">
        <f>IF(_epmOfflineCondition_,27496863.46,EPMRetrieveData(,$C109,$E$29,$D$45,$S$25,$S$26,$S$27,$D$21,$D$22,$E$23,$E$25,$D$26,$D$27,$D$28))</f>
        <v/>
      </c>
      <c r="F109" s="716" t="inlineStr">
        <is>
          <t>A09404</t>
        </is>
      </c>
      <c r="G109" s="109" t="inlineStr">
        <is>
          <t>其中:营业成本</t>
        </is>
      </c>
      <c r="H109" s="1534">
        <f>IF(_epmOfflineCondition_,0,EPMRetrieveData(,$F109,$H$103,$D$45,$S$25,$S$26,$S$27,$D$21,$D$22,$E$23,$E$25,$D$26,$D$27,$D$28))</f>
        <v/>
      </c>
      <c r="I109" s="128" t="n"/>
      <c r="J109" s="384" t="n"/>
      <c r="K109" s="384" t="n"/>
      <c r="L109" s="384" t="n"/>
      <c r="M109" s="32" t="n"/>
      <c r="N109" s="384" t="n"/>
      <c r="O109" s="384" t="n"/>
      <c r="P109" s="384" t="n"/>
      <c r="Q109" s="384" t="n"/>
      <c r="R109" s="384" t="n"/>
      <c r="S109" s="384" t="n"/>
      <c r="T109" s="384" t="n"/>
      <c r="U109" s="384" t="n"/>
      <c r="V109" s="384" t="n"/>
      <c r="W109" s="384" t="n"/>
      <c r="X109" s="384" t="n"/>
      <c r="Y109" s="384" t="n"/>
      <c r="Z109" s="384" t="n"/>
      <c r="AA109" s="384" t="n"/>
      <c r="AB109" s="384" t="n"/>
      <c r="AC109" s="384" t="n"/>
      <c r="AD109" s="384" t="n"/>
      <c r="AE109" s="384" t="n"/>
      <c r="AF109" s="384" t="n"/>
      <c r="AG109" s="384" t="n"/>
      <c r="AH109" s="384" t="n"/>
      <c r="AI109" s="384" t="n"/>
      <c r="AJ109" s="384" t="n"/>
      <c r="AK109" s="716" t="n"/>
      <c r="AL109" s="716" t="n"/>
    </row>
    <row r="110" ht="17" customHeight="1" s="1181">
      <c r="A110" s="384" t="n"/>
      <c r="B110" s="384" t="n"/>
      <c r="C110" s="384" t="inlineStr">
        <is>
          <t>A0020202</t>
        </is>
      </c>
      <c r="D110" s="128">
        <f>IF(_epmOfflineCondition_,"        # 利息支出",EPMMemberDesc(C110))</f>
        <v/>
      </c>
      <c r="E110" s="1534">
        <f>IF(_epmOfflineCondition_,0,EPMRetrieveData(,$C110,$E$29,$D$45,$S$25,$S$26,$S$27,$D$21,$D$22,$E$23,$E$25,$D$26,$D$27,$D$28))</f>
        <v/>
      </c>
      <c r="F110" s="384" t="n"/>
      <c r="G110" s="384" t="n"/>
      <c r="H110" s="1334" t="n"/>
      <c r="I110" s="128" t="n"/>
      <c r="J110" s="384" t="n"/>
      <c r="K110" s="384" t="n"/>
      <c r="L110" s="384" t="n"/>
      <c r="M110" s="32" t="n"/>
      <c r="N110" s="384" t="n"/>
      <c r="O110" s="384" t="n"/>
      <c r="P110" s="384" t="n"/>
      <c r="Q110" s="384" t="n"/>
      <c r="R110" s="384" t="n"/>
      <c r="S110" s="384" t="n"/>
      <c r="T110" s="384" t="n"/>
      <c r="U110" s="384" t="n"/>
      <c r="V110" s="384" t="n"/>
      <c r="W110" s="384" t="n"/>
      <c r="X110" s="384" t="n"/>
      <c r="Y110" s="384" t="n"/>
      <c r="Z110" s="384" t="n"/>
      <c r="AA110" s="384" t="n"/>
      <c r="AB110" s="384" t="n"/>
      <c r="AC110" s="384" t="n"/>
      <c r="AD110" s="384" t="n"/>
      <c r="AE110" s="384" t="n"/>
      <c r="AF110" s="384" t="n"/>
      <c r="AG110" s="384" t="n"/>
      <c r="AH110" s="384" t="n"/>
      <c r="AI110" s="384" t="n"/>
      <c r="AJ110" s="384" t="n"/>
      <c r="AK110" s="716" t="n"/>
      <c r="AL110" s="716" t="n"/>
    </row>
    <row r="111" ht="34" customHeight="1" s="1181">
      <c r="A111" s="384" t="n"/>
      <c r="B111" s="384" t="n"/>
      <c r="C111" s="384" t="inlineStr">
        <is>
          <t>A0020203</t>
        </is>
      </c>
      <c r="D111" s="128">
        <f>IF(_epmOfflineCondition_,"        # 手续费及佣金支出",EPMMemberDesc(C111))</f>
        <v/>
      </c>
      <c r="E111" s="1534">
        <f>IF(_epmOfflineCondition_,0,EPMRetrieveData(,$C111,$E$29,$D$45,$S$25,$S$26,$S$27,$D$21,$D$22,$E$23,$E$25,$D$26,$D$27,$D$28))</f>
        <v/>
      </c>
      <c r="F111" s="384" t="n"/>
      <c r="G111" s="384" t="n"/>
      <c r="H111" s="1334" t="n"/>
      <c r="I111" s="128" t="n"/>
      <c r="J111" s="384" t="n"/>
      <c r="K111" s="384" t="n"/>
      <c r="L111" s="384" t="n"/>
      <c r="M111" s="32" t="n"/>
      <c r="N111" s="384" t="n"/>
      <c r="O111" s="384" t="n"/>
      <c r="P111" s="384" t="n"/>
      <c r="Q111" s="384" t="n"/>
      <c r="R111" s="384" t="n"/>
      <c r="S111" s="384" t="n"/>
      <c r="T111" s="384" t="n"/>
      <c r="U111" s="384" t="n"/>
      <c r="V111" s="384" t="n"/>
      <c r="W111" s="384" t="n"/>
      <c r="X111" s="384" t="n"/>
      <c r="Y111" s="384" t="n"/>
      <c r="Z111" s="384" t="n"/>
      <c r="AA111" s="384" t="n"/>
      <c r="AB111" s="384" t="n"/>
      <c r="AC111" s="384" t="n"/>
      <c r="AD111" s="384" t="n"/>
      <c r="AE111" s="384" t="n"/>
      <c r="AF111" s="384" t="n"/>
      <c r="AG111" s="384" t="n"/>
      <c r="AH111" s="384" t="n"/>
      <c r="AI111" s="384" t="n"/>
      <c r="AJ111" s="384" t="n"/>
      <c r="AK111" s="716" t="n"/>
      <c r="AL111" s="716" t="n"/>
    </row>
    <row r="112" ht="17" customHeight="1" s="1181">
      <c r="A112" s="384" t="n"/>
      <c r="B112" s="384" t="n"/>
      <c r="C112" s="384" t="inlineStr">
        <is>
          <t>A0020204</t>
        </is>
      </c>
      <c r="D112" s="128">
        <f>IF(_epmOfflineCondition_,"　　    税金及附加",EPMMemberDesc(C112))</f>
        <v/>
      </c>
      <c r="E112" s="1534">
        <f>IF(_epmOfflineCondition_,1815565.59,EPMRetrieveData(,$C112,$E$29,$D$45,$S$25,$S$26,$S$27,$D$21,$D$22,$E$23,$E$25,$D$26,$D$27,$D$28))</f>
        <v/>
      </c>
      <c r="F112" s="384" t="inlineStr">
        <is>
          <t>A0280104</t>
        </is>
      </c>
      <c r="G112" s="111" t="inlineStr">
        <is>
          <t>税金及附加</t>
        </is>
      </c>
      <c r="H112" s="1534">
        <f>IF(_epmOfflineCondition_,0,EPMRetrieveData(,$F112,$H$103,$D$45,$S$25,$S$26,$S$27,$D$21,$D$22,$E$23,$E$25,$D$26,$D$27,$D$28))</f>
        <v/>
      </c>
      <c r="I112" s="128" t="n"/>
      <c r="J112" s="384" t="n"/>
      <c r="K112" s="384" t="n"/>
      <c r="L112" s="384" t="n"/>
      <c r="M112" s="32" t="n"/>
      <c r="N112" s="384" t="n"/>
      <c r="O112" s="384" t="n"/>
      <c r="P112" s="384" t="n"/>
      <c r="Q112" s="384" t="n"/>
      <c r="R112" s="384" t="n"/>
      <c r="S112" s="384" t="n"/>
      <c r="T112" s="384" t="n"/>
      <c r="U112" s="384" t="n"/>
      <c r="V112" s="384" t="n"/>
      <c r="W112" s="384" t="n"/>
      <c r="X112" s="384" t="n"/>
      <c r="Y112" s="384" t="n"/>
      <c r="Z112" s="384" t="n"/>
      <c r="AA112" s="384" t="n"/>
      <c r="AB112" s="384" t="n"/>
      <c r="AC112" s="384" t="n"/>
      <c r="AD112" s="384" t="n"/>
      <c r="AE112" s="384" t="n"/>
      <c r="AF112" s="384" t="n"/>
      <c r="AG112" s="384" t="n"/>
      <c r="AH112" s="384" t="n"/>
      <c r="AI112" s="384" t="n"/>
      <c r="AJ112" s="384" t="n"/>
      <c r="AK112" s="716" t="n"/>
      <c r="AL112" s="716" t="n"/>
    </row>
    <row r="113" ht="34" customHeight="1" s="1181">
      <c r="A113" s="384" t="n"/>
      <c r="B113" s="384" t="n"/>
      <c r="C113" s="384" t="inlineStr">
        <is>
          <t>A0020205</t>
        </is>
      </c>
      <c r="D113" s="128">
        <f>IF(_epmOfflineCondition_,"           销售费用",EPMMemberDesc(C113))</f>
        <v/>
      </c>
      <c r="E113" s="1534">
        <f>IF(_epmOfflineCondition_,0,EPMRetrieveData(,$C113,$E$29,$D$45,$S$25,$S$26,$S$27,$D$21,$D$22,$E$23,$E$25,$D$26,$D$27,$D$28))</f>
        <v/>
      </c>
      <c r="F113" s="384" t="inlineStr">
        <is>
          <t>A09430</t>
        </is>
      </c>
      <c r="G113" s="111" t="inlineStr">
        <is>
          <t>销售费用</t>
        </is>
      </c>
      <c r="H113" s="1534">
        <f>IF(_epmOfflineCondition_,0,EPMRetrieveData(,$F113,$H$103,$D$45,$S$25,$S$26,$S$27,$D$21,$D$22,$E$23,$E$25,$D$26,$D$27,$D$28))</f>
        <v/>
      </c>
      <c r="I113" s="128" t="n"/>
      <c r="J113" s="384" t="n"/>
      <c r="K113" s="384" t="n"/>
      <c r="L113" s="384" t="n"/>
      <c r="M113" s="32" t="n"/>
      <c r="N113" s="384" t="n"/>
      <c r="O113" s="384" t="n"/>
      <c r="P113" s="384" t="n"/>
      <c r="Q113" s="384" t="n"/>
      <c r="R113" s="384" t="n"/>
      <c r="S113" s="384" t="n"/>
      <c r="T113" s="384" t="n"/>
      <c r="U113" s="384" t="n"/>
      <c r="V113" s="384" t="n"/>
      <c r="W113" s="384" t="n"/>
      <c r="X113" s="384" t="n"/>
      <c r="Y113" s="384" t="n"/>
      <c r="Z113" s="384" t="n"/>
      <c r="AA113" s="384" t="n"/>
      <c r="AB113" s="384" t="n"/>
      <c r="AC113" s="384" t="n"/>
      <c r="AD113" s="384" t="n"/>
      <c r="AE113" s="384" t="n"/>
      <c r="AF113" s="384" t="n"/>
      <c r="AG113" s="384" t="n"/>
      <c r="AH113" s="384" t="n"/>
      <c r="AI113" s="384" t="n"/>
      <c r="AJ113" s="384" t="n"/>
      <c r="AK113" s="716" t="n"/>
      <c r="AL113" s="716" t="n"/>
    </row>
    <row r="114" ht="17" customHeight="1" s="1181">
      <c r="A114" s="384" t="n"/>
      <c r="B114" s="384" t="n"/>
      <c r="C114" s="384" t="inlineStr">
        <is>
          <t>A0020206</t>
        </is>
      </c>
      <c r="D114" s="128">
        <f>IF(_epmOfflineCondition_,"　　    管理费用",EPMMemberDesc(C114))</f>
        <v/>
      </c>
      <c r="E114" s="1534">
        <f>IF(_epmOfflineCondition_,0,EPMRetrieveData(,$C114,$E$29,$D$45,$S$25,$S$26,$S$27,$D$21,$D$22,$E$23,$E$25,$D$26,$D$27,$D$28))</f>
        <v/>
      </c>
      <c r="F114" s="716" t="inlineStr">
        <is>
          <t>A09406</t>
        </is>
      </c>
      <c r="G114" s="111" t="inlineStr">
        <is>
          <t>管理费用</t>
        </is>
      </c>
      <c r="H114" s="1534">
        <f>IF(_epmOfflineCondition_,0,EPMRetrieveData(,$F114,$H$103,$D$45,$S$25,$S$26,$S$27,$D$21,$D$22,$E$23,$E$25,$D$26,$D$27,$D$28))</f>
        <v/>
      </c>
      <c r="I114" s="128" t="n"/>
      <c r="J114" s="384" t="n"/>
      <c r="K114" s="384" t="n"/>
      <c r="L114" s="384" t="n"/>
      <c r="M114" s="32" t="n"/>
      <c r="N114" s="384" t="n"/>
      <c r="O114" s="384" t="n"/>
      <c r="P114" s="384" t="n"/>
      <c r="Q114" s="384" t="n"/>
      <c r="R114" s="384" t="n"/>
      <c r="S114" s="384" t="n"/>
      <c r="T114" s="384" t="n"/>
      <c r="U114" s="384" t="n"/>
      <c r="V114" s="384" t="n"/>
      <c r="W114" s="384" t="n"/>
      <c r="X114" s="384" t="n"/>
      <c r="Y114" s="384" t="n"/>
      <c r="Z114" s="384" t="n"/>
      <c r="AA114" s="384" t="n"/>
      <c r="AB114" s="384" t="n"/>
      <c r="AC114" s="384" t="n"/>
      <c r="AD114" s="384" t="n"/>
      <c r="AE114" s="384" t="n"/>
      <c r="AF114" s="384" t="n"/>
      <c r="AG114" s="384" t="n"/>
      <c r="AH114" s="384" t="n"/>
      <c r="AI114" s="384" t="n"/>
      <c r="AJ114" s="384" t="n"/>
      <c r="AK114" s="716" t="n"/>
      <c r="AL114" s="716" t="n"/>
    </row>
    <row r="115" ht="34" customHeight="1" s="1181">
      <c r="A115" s="384" t="n"/>
      <c r="B115" s="384" t="n"/>
      <c r="C115" s="384" t="inlineStr">
        <is>
          <t>A0020207</t>
        </is>
      </c>
      <c r="D115" s="128">
        <f>IF(_epmOfflineCondition_,"           研发费用",EPMMemberDesc(C115))</f>
        <v/>
      </c>
      <c r="E115" s="1534">
        <f>IF(_epmOfflineCondition_,0,EPMRetrieveData(,$C115,$E$29,$D$45,$S$25,$S$26,$S$27,$D$21,$D$22,$E$23,$E$25,$D$26,$D$27,$D$28))</f>
        <v/>
      </c>
      <c r="F115" s="716" t="inlineStr">
        <is>
          <t>A09429</t>
        </is>
      </c>
      <c r="G115" s="134" t="inlineStr">
        <is>
          <t xml:space="preserve">              研发费用</t>
        </is>
      </c>
      <c r="H115" s="1534">
        <f>IF(_epmOfflineCondition_,0,EPMRetrieveData(,$F115,$H$103,$D$45,$S$25,$S$26,$S$27,$D$21,$D$22,$E$23,$E$25,$D$26,$D$27,$D$28))</f>
        <v/>
      </c>
      <c r="I115" s="128" t="n"/>
      <c r="J115" s="384" t="n"/>
      <c r="K115" s="384" t="n"/>
      <c r="L115" s="384" t="n"/>
      <c r="M115" s="32" t="n"/>
      <c r="N115" s="384" t="n"/>
      <c r="O115" s="384" t="n"/>
      <c r="P115" s="384" t="n"/>
      <c r="Q115" s="384" t="n"/>
      <c r="R115" s="384" t="n"/>
      <c r="S115" s="384" t="n"/>
      <c r="T115" s="384" t="n"/>
      <c r="U115" s="384" t="n"/>
      <c r="V115" s="384" t="n"/>
      <c r="W115" s="384" t="n"/>
      <c r="X115" s="384" t="n"/>
      <c r="Y115" s="384" t="n"/>
      <c r="Z115" s="384" t="n"/>
      <c r="AA115" s="384" t="n"/>
      <c r="AB115" s="384" t="n"/>
      <c r="AC115" s="384" t="n"/>
      <c r="AD115" s="384" t="n"/>
      <c r="AE115" s="384" t="n"/>
      <c r="AF115" s="384" t="n"/>
      <c r="AG115" s="384" t="n"/>
      <c r="AH115" s="384" t="n"/>
      <c r="AI115" s="384" t="n"/>
      <c r="AJ115" s="384" t="n"/>
      <c r="AK115" s="716" t="n"/>
      <c r="AL115" s="716" t="n"/>
    </row>
    <row r="116" ht="17" customHeight="1" s="1181">
      <c r="A116" s="384" t="n"/>
      <c r="B116" s="384" t="n"/>
      <c r="C116" s="384" t="inlineStr">
        <is>
          <t>A0020208</t>
        </is>
      </c>
      <c r="D116" s="128">
        <f>IF(_epmOfflineCondition_,"　　    财务费用",EPMMemberDesc(C116))</f>
        <v/>
      </c>
      <c r="E116" s="1534">
        <f>IF(_epmOfflineCondition_,6988516.48,EPMRetrieveData(,$C116,$E$29,$D$45,$S$25,$S$26,$S$27,$D$21,$D$22,$E$23,$E$25,$D$26,$D$27,$D$28))</f>
        <v/>
      </c>
      <c r="F116" s="716" t="inlineStr">
        <is>
          <t>A09407</t>
        </is>
      </c>
      <c r="G116" s="111" t="inlineStr">
        <is>
          <t>财务费用</t>
        </is>
      </c>
      <c r="H116" s="1534">
        <f>IF(_epmOfflineCondition_,0,EPMRetrieveData(,$F116,$H$103,$D$45,$S$25,$S$26,$S$27,$D$21,$D$22,$E$23,$E$25,$D$26,$D$27,$D$28))</f>
        <v/>
      </c>
      <c r="I116" s="128" t="n"/>
      <c r="J116" s="384" t="n"/>
      <c r="K116" s="384" t="n"/>
      <c r="L116" s="384" t="n"/>
      <c r="M116" s="32" t="n"/>
      <c r="N116" s="384" t="n"/>
      <c r="O116" s="384" t="n"/>
      <c r="P116" s="384" t="n"/>
      <c r="Q116" s="384" t="n"/>
      <c r="R116" s="384" t="n"/>
      <c r="S116" s="384" t="n"/>
      <c r="T116" s="384" t="n"/>
      <c r="U116" s="384" t="n"/>
      <c r="V116" s="384" t="n"/>
      <c r="W116" s="384" t="n"/>
      <c r="X116" s="384" t="n"/>
      <c r="Y116" s="384" t="n"/>
      <c r="Z116" s="384" t="n"/>
      <c r="AA116" s="384" t="n"/>
      <c r="AB116" s="384" t="n"/>
      <c r="AC116" s="384" t="n"/>
      <c r="AD116" s="384" t="n"/>
      <c r="AE116" s="384" t="n"/>
      <c r="AF116" s="384" t="n"/>
      <c r="AG116" s="384" t="n"/>
      <c r="AH116" s="384" t="n"/>
      <c r="AI116" s="384" t="n"/>
      <c r="AJ116" s="384" t="n"/>
      <c r="AK116" s="716" t="n"/>
      <c r="AL116" s="716" t="n"/>
    </row>
    <row r="117" ht="34" customHeight="1" s="1181">
      <c r="A117" s="384" t="n"/>
      <c r="B117" s="384" t="n"/>
      <c r="C117" s="842" t="inlineStr">
        <is>
          <t>A66030200</t>
        </is>
      </c>
      <c r="D117" s="130">
        <f>IF(_epmOfflineCondition_,"财务费用-利息支出（父级）",EPMMemberDesc(C117))</f>
        <v/>
      </c>
      <c r="E117" s="1534">
        <f>IF(_epmOfflineCondition_,7012916.67,EPMRetrieveData(,$C117,$E$29,$D$45,$S$25,$S$26,$S$27,$D$21,$D$22,$E$23,$E$25,$D$26,$D$27,$D$28))</f>
        <v/>
      </c>
      <c r="F117" s="716" t="inlineStr">
        <is>
          <t>A09408</t>
        </is>
      </c>
      <c r="G117" s="112" t="inlineStr">
        <is>
          <t>其中：利息支出</t>
        </is>
      </c>
      <c r="H117" s="1534">
        <f>IF(_epmOfflineCondition_,0,EPMRetrieveData(,$F117,$H$103,$D$45,$S$25,$S$26,$S$27,$D$21,$D$22,$E$23,$E$25,$D$26,$D$27,$D$28))</f>
        <v/>
      </c>
      <c r="I117" s="128" t="n"/>
      <c r="J117" s="384" t="n"/>
      <c r="K117" s="384" t="n"/>
      <c r="L117" s="384" t="n"/>
      <c r="M117" s="32" t="n"/>
      <c r="N117" s="384" t="n"/>
      <c r="O117" s="384" t="n"/>
      <c r="P117" s="384" t="n"/>
      <c r="Q117" s="384" t="n"/>
      <c r="R117" s="384" t="n"/>
      <c r="S117" s="384" t="n"/>
      <c r="T117" s="384" t="n"/>
      <c r="U117" s="384" t="n"/>
      <c r="V117" s="384" t="n"/>
      <c r="W117" s="384" t="n"/>
      <c r="X117" s="384" t="n"/>
      <c r="Y117" s="384" t="n"/>
      <c r="Z117" s="384" t="n"/>
      <c r="AA117" s="384" t="n"/>
      <c r="AB117" s="384" t="n"/>
      <c r="AC117" s="384" t="n"/>
      <c r="AD117" s="384" t="n"/>
      <c r="AE117" s="384" t="n"/>
      <c r="AF117" s="384" t="n"/>
      <c r="AG117" s="384" t="n"/>
      <c r="AH117" s="384" t="n"/>
      <c r="AI117" s="384" t="n"/>
      <c r="AJ117" s="384" t="n"/>
      <c r="AK117" s="716" t="n"/>
      <c r="AL117" s="716" t="n"/>
    </row>
    <row r="118" ht="17" customHeight="1" s="1181">
      <c r="A118" s="384" t="n"/>
      <c r="B118" s="384" t="n"/>
      <c r="C118" s="384" t="inlineStr">
        <is>
          <t>A660301</t>
        </is>
      </c>
      <c r="D118" s="128">
        <f>IF(_epmOfflineCondition_,"财务费用-利息收入",EPMMemberDesc(C118))</f>
        <v/>
      </c>
      <c r="E118" s="1534">
        <f>IF(_epmOfflineCondition_,28541,EPMRetrieveData(,$C118,$E$29,$D$45,$S$25,$S$26,$S$27,$D$21,$D$22,$E$23,$E$25,$D$26,$D$27,$D$28))</f>
        <v/>
      </c>
      <c r="F118" s="384" t="n"/>
      <c r="G118" s="384" t="n"/>
      <c r="H118" s="1334" t="n"/>
      <c r="I118" s="128" t="n"/>
      <c r="J118" s="384" t="n"/>
      <c r="K118" s="384" t="n"/>
      <c r="L118" s="384" t="n"/>
      <c r="M118" s="32" t="n"/>
      <c r="N118" s="384" t="n"/>
      <c r="O118" s="384" t="n"/>
      <c r="P118" s="384" t="n"/>
      <c r="Q118" s="384" t="n"/>
      <c r="R118" s="384" t="n"/>
      <c r="S118" s="384" t="n"/>
      <c r="T118" s="384" t="n"/>
      <c r="U118" s="384" t="n"/>
      <c r="V118" s="384" t="n"/>
      <c r="W118" s="384" t="n"/>
      <c r="X118" s="384" t="n"/>
      <c r="Y118" s="384" t="n"/>
      <c r="Z118" s="384" t="n"/>
      <c r="AA118" s="384" t="n"/>
      <c r="AB118" s="384" t="n"/>
      <c r="AC118" s="384" t="n"/>
      <c r="AD118" s="384" t="n"/>
      <c r="AE118" s="384" t="n"/>
      <c r="AF118" s="384" t="n"/>
      <c r="AG118" s="384" t="n"/>
      <c r="AH118" s="384" t="n"/>
      <c r="AI118" s="384" t="n"/>
      <c r="AJ118" s="384" t="n"/>
      <c r="AK118" s="716" t="n"/>
      <c r="AL118" s="716" t="n"/>
    </row>
    <row r="119" ht="17" customHeight="1" s="1181">
      <c r="A119" s="384" t="n"/>
      <c r="B119" s="384" t="n"/>
      <c r="C119" s="384" t="inlineStr">
        <is>
          <t>A6603030000</t>
        </is>
      </c>
      <c r="D119" s="128">
        <f>IF(_epmOfflineCondition_,"财务费用-汇兑损益",EPMMemberDesc(C119))</f>
        <v/>
      </c>
      <c r="E119" s="1534">
        <f>IF(_epmOfflineCondition_,0,EPMRetrieveData(,$C119,$E$29,$D$45,$S$25,$S$26,$S$27,$D$21,$D$22,$E$23,$E$25,$D$26,$D$27,$D$28))</f>
        <v/>
      </c>
      <c r="F119" s="384" t="n"/>
      <c r="G119" s="384" t="n"/>
      <c r="H119" s="1334" t="n"/>
      <c r="I119" s="128" t="n"/>
      <c r="J119" s="384" t="n"/>
      <c r="K119" s="384" t="n"/>
      <c r="L119" s="384" t="n"/>
      <c r="M119" s="32" t="n"/>
      <c r="N119" s="384" t="n"/>
      <c r="O119" s="384" t="n"/>
      <c r="P119" s="384" t="n"/>
      <c r="Q119" s="384" t="n"/>
      <c r="R119" s="384" t="n"/>
      <c r="S119" s="384" t="n"/>
      <c r="T119" s="384" t="n"/>
      <c r="U119" s="384" t="n"/>
      <c r="V119" s="384" t="n"/>
      <c r="W119" s="384" t="n"/>
      <c r="X119" s="384" t="n"/>
      <c r="Y119" s="384" t="n"/>
      <c r="Z119" s="384" t="n"/>
      <c r="AA119" s="384" t="n"/>
      <c r="AB119" s="384" t="n"/>
      <c r="AC119" s="384" t="n"/>
      <c r="AD119" s="384" t="n"/>
      <c r="AE119" s="384" t="n"/>
      <c r="AF119" s="384" t="n"/>
      <c r="AG119" s="384" t="n"/>
      <c r="AH119" s="384" t="n"/>
      <c r="AI119" s="384" t="n"/>
      <c r="AJ119" s="384" t="n"/>
      <c r="AK119" s="716" t="n"/>
      <c r="AL119" s="716" t="n"/>
    </row>
    <row r="120" ht="17" customHeight="1" s="1181">
      <c r="A120" s="384" t="n"/>
      <c r="B120" s="384" t="n"/>
      <c r="C120" s="384" t="inlineStr">
        <is>
          <t>A0020299</t>
        </is>
      </c>
      <c r="D120" s="128">
        <f>IF(_epmOfflineCondition_,"其他",EPMMemberDesc(C120))</f>
        <v/>
      </c>
      <c r="E120" s="1534">
        <f>IF(_epmOfflineCondition_,0,EPMRetrieveData(,$C120,$E$29,$D$45,$S$25,$S$26,$S$27,$D$21,$D$22,$E$23,$E$25,$D$26,$D$27,$D$28))</f>
        <v/>
      </c>
      <c r="F120" s="384" t="n"/>
      <c r="G120" s="384" t="n"/>
      <c r="H120" s="1334" t="n"/>
      <c r="I120" s="128" t="n"/>
      <c r="J120" s="384" t="n"/>
      <c r="K120" s="384" t="n"/>
      <c r="L120" s="384" t="n"/>
      <c r="M120" s="32" t="n"/>
      <c r="N120" s="384" t="n"/>
      <c r="O120" s="384" t="n"/>
      <c r="P120" s="384" t="n"/>
      <c r="Q120" s="384" t="n"/>
      <c r="R120" s="384" t="n"/>
      <c r="S120" s="384" t="n"/>
      <c r="T120" s="384" t="n"/>
      <c r="U120" s="384" t="n"/>
      <c r="V120" s="384" t="n"/>
      <c r="W120" s="384" t="n"/>
      <c r="X120" s="384" t="n"/>
      <c r="Y120" s="384" t="n"/>
      <c r="Z120" s="384" t="n"/>
      <c r="AA120" s="384" t="n"/>
      <c r="AB120" s="384" t="n"/>
      <c r="AC120" s="384" t="n"/>
      <c r="AD120" s="384" t="n"/>
      <c r="AE120" s="384" t="n"/>
      <c r="AF120" s="384" t="n"/>
      <c r="AG120" s="384" t="n"/>
      <c r="AH120" s="384" t="n"/>
      <c r="AI120" s="384" t="n"/>
      <c r="AJ120" s="384" t="n"/>
      <c r="AK120" s="716" t="n"/>
      <c r="AL120" s="716" t="n"/>
    </row>
    <row r="121" ht="17" customHeight="1" s="1181">
      <c r="A121" s="384" t="n"/>
      <c r="B121" s="384" t="n"/>
      <c r="C121" s="384" t="inlineStr">
        <is>
          <t>A0020211</t>
        </is>
      </c>
      <c r="D121" s="128">
        <f>IF(_epmOfflineCondition_,"    加：其他收益",EPMMemberDesc(C121))</f>
        <v/>
      </c>
      <c r="E121" s="1534">
        <f>IF(_epmOfflineCondition_,0,EPMRetrieveData(,$C121,$E$29,$D$45,$S$25,$S$26,$S$27,$D$21,$D$22,$E$23,$E$25,$D$26,$D$27,$D$28))</f>
        <v/>
      </c>
      <c r="F121" s="716" t="inlineStr">
        <is>
          <t>A09413</t>
        </is>
      </c>
      <c r="G121" s="111" t="inlineStr">
        <is>
          <t>其他收益</t>
        </is>
      </c>
      <c r="H121" s="1534">
        <f>IF(_epmOfflineCondition_,0,EPMRetrieveData(,$F121,$H$103,$D$45,$S$25,$S$26,$S$27,$D$21,$D$22,$E$23,$E$25,$D$26,$D$27,$D$28))</f>
        <v/>
      </c>
      <c r="I121" s="128" t="n"/>
      <c r="J121" s="384" t="n"/>
      <c r="K121" s="384" t="n"/>
      <c r="L121" s="384" t="n"/>
      <c r="M121" s="32" t="n"/>
      <c r="N121" s="384" t="n"/>
      <c r="O121" s="384" t="n"/>
      <c r="P121" s="384" t="n"/>
      <c r="Q121" s="384" t="n"/>
      <c r="R121" s="384" t="n"/>
      <c r="S121" s="384" t="n"/>
      <c r="T121" s="384" t="n"/>
      <c r="U121" s="384" t="n"/>
      <c r="V121" s="384" t="n"/>
      <c r="W121" s="384" t="n"/>
      <c r="X121" s="384" t="n"/>
      <c r="Y121" s="384" t="n"/>
      <c r="Z121" s="384" t="n"/>
      <c r="AA121" s="384" t="n"/>
      <c r="AB121" s="384" t="n"/>
      <c r="AC121" s="384" t="n"/>
      <c r="AD121" s="384" t="n"/>
      <c r="AE121" s="384" t="n"/>
      <c r="AF121" s="384" t="n"/>
      <c r="AG121" s="384" t="n"/>
      <c r="AH121" s="384" t="n"/>
      <c r="AI121" s="384" t="n"/>
      <c r="AJ121" s="384" t="n"/>
      <c r="AK121" s="716" t="n"/>
      <c r="AL121" s="716" t="n"/>
    </row>
    <row r="122" ht="51" customHeight="1" s="1181">
      <c r="A122" s="384" t="n"/>
      <c r="B122" s="384" t="n"/>
      <c r="C122" s="384" t="inlineStr">
        <is>
          <t>A0020212</t>
        </is>
      </c>
      <c r="D122" s="128">
        <f>IF(_epmOfflineCondition_,"　      投资收益（损失以“-”号填列）",EPMMemberDesc(C122))</f>
        <v/>
      </c>
      <c r="E122" s="1534">
        <f>IF(_epmOfflineCondition_,0,EPMRetrieveData(,$C122,$E$29,$D$45,$S$25,$S$26,$S$27,$D$21,$D$22,$E$23,$E$25,$D$26,$D$27,$D$28))</f>
        <v/>
      </c>
      <c r="F122" s="716" t="inlineStr">
        <is>
          <t>A09411</t>
        </is>
      </c>
      <c r="G122" s="111" t="inlineStr">
        <is>
          <t>投资收益（损失以“-”号填列）</t>
        </is>
      </c>
      <c r="H122" s="1534">
        <f>IF(_epmOfflineCondition_,0,EPMRetrieveData(,$F122,$H$103,$D$45,$S$25,$S$26,$S$27,$D$21,$D$22,$E$23,$E$25,$D$26,$D$27,$D$28))</f>
        <v/>
      </c>
      <c r="I122" s="128" t="n"/>
      <c r="J122" s="384" t="n"/>
      <c r="K122" s="384" t="n"/>
      <c r="L122" s="384" t="n"/>
      <c r="M122" s="32" t="n"/>
      <c r="N122" s="384" t="n"/>
      <c r="O122" s="384" t="n"/>
      <c r="P122" s="384" t="n"/>
      <c r="Q122" s="384" t="n"/>
      <c r="R122" s="384" t="n"/>
      <c r="S122" s="384" t="n"/>
      <c r="T122" s="384" t="n"/>
      <c r="U122" s="384" t="n"/>
      <c r="V122" s="384" t="n"/>
      <c r="W122" s="384" t="n"/>
      <c r="X122" s="384" t="n"/>
      <c r="Y122" s="384" t="n"/>
      <c r="Z122" s="384" t="n"/>
      <c r="AA122" s="384" t="n"/>
      <c r="AB122" s="384" t="n"/>
      <c r="AC122" s="384" t="n"/>
      <c r="AD122" s="384" t="n"/>
      <c r="AE122" s="384" t="n"/>
      <c r="AF122" s="384" t="n"/>
      <c r="AG122" s="384" t="n"/>
      <c r="AH122" s="384" t="n"/>
      <c r="AI122" s="384" t="n"/>
      <c r="AJ122" s="384" t="n"/>
      <c r="AK122" s="716" t="n"/>
      <c r="AL122" s="716" t="n"/>
    </row>
    <row r="123" ht="51" customHeight="1" s="1181">
      <c r="A123" s="384" t="n"/>
      <c r="B123" s="384" t="n"/>
      <c r="C123" s="384" t="inlineStr">
        <is>
          <t>A002021201</t>
        </is>
      </c>
      <c r="D123" s="128">
        <f>IF(_epmOfflineCondition_,"          其中：对联营企业和合营企业的投资收益",EPMMemberDesc(C123))</f>
        <v/>
      </c>
      <c r="E123" s="1534">
        <f>IF(_epmOfflineCondition_,0,EPMRetrieveData(,$C123,$E$29,$D$45,$S$25,$S$26,$S$27,$D$21,$D$22,$E$23,$E$25,$D$26,$D$27,$D$28))</f>
        <v/>
      </c>
      <c r="F123" s="384" t="n"/>
      <c r="G123" s="384" t="n"/>
      <c r="H123" s="1334" t="n"/>
      <c r="I123" s="128" t="n"/>
      <c r="J123" s="384" t="n"/>
      <c r="K123" s="384" t="n"/>
      <c r="L123" s="384" t="n"/>
      <c r="M123" s="32" t="n"/>
      <c r="N123" s="384" t="n"/>
      <c r="O123" s="384" t="n"/>
      <c r="P123" s="384" t="n"/>
      <c r="Q123" s="384" t="n"/>
      <c r="R123" s="384" t="n"/>
      <c r="S123" s="384" t="n"/>
      <c r="T123" s="384" t="n"/>
      <c r="U123" s="384" t="n"/>
      <c r="V123" s="384" t="n"/>
      <c r="W123" s="384" t="n"/>
      <c r="X123" s="384" t="n"/>
      <c r="Y123" s="384" t="n"/>
      <c r="Z123" s="384" t="n"/>
      <c r="AA123" s="384" t="n"/>
      <c r="AB123" s="384" t="n"/>
      <c r="AC123" s="384" t="n"/>
      <c r="AD123" s="384" t="n"/>
      <c r="AE123" s="384" t="n"/>
      <c r="AF123" s="384" t="n"/>
      <c r="AG123" s="384" t="n"/>
      <c r="AH123" s="384" t="n"/>
      <c r="AI123" s="384" t="n"/>
      <c r="AJ123" s="384" t="n"/>
      <c r="AK123" s="716" t="n"/>
      <c r="AL123" s="716" t="n"/>
    </row>
    <row r="124" ht="51" customHeight="1" s="1181">
      <c r="A124" s="384" t="n"/>
      <c r="B124" s="384" t="n"/>
      <c r="C124" s="384" t="inlineStr">
        <is>
          <t>A002021202</t>
        </is>
      </c>
      <c r="D124" s="128">
        <f>IF(_epmOfflineCondition_,"                     以摊余成本计量的金融资产终止确认收益",EPMMemberDesc(C124))</f>
        <v/>
      </c>
      <c r="E124" s="1534">
        <f>IF(_epmOfflineCondition_,0,EPMRetrieveData(,$C124,$E$29,$D$45,$S$25,$S$26,$S$27,$D$21,$D$22,$E$23,$E$25,$D$26,$D$27,$D$28))</f>
        <v/>
      </c>
      <c r="F124" s="384" t="n"/>
      <c r="G124" s="384" t="n"/>
      <c r="H124" s="1334" t="n"/>
      <c r="I124" s="128" t="n"/>
      <c r="J124" s="384" t="n"/>
      <c r="K124" s="384" t="n"/>
      <c r="L124" s="384" t="n"/>
      <c r="M124" s="32" t="n"/>
      <c r="N124" s="384" t="n"/>
      <c r="O124" s="384" t="n"/>
      <c r="P124" s="384" t="n"/>
      <c r="Q124" s="384" t="n"/>
      <c r="R124" s="384" t="n"/>
      <c r="S124" s="384" t="n"/>
      <c r="T124" s="384" t="n"/>
      <c r="U124" s="384" t="n"/>
      <c r="V124" s="384" t="n"/>
      <c r="W124" s="384" t="n"/>
      <c r="X124" s="384" t="n"/>
      <c r="Y124" s="384" t="n"/>
      <c r="Z124" s="384" t="n"/>
      <c r="AA124" s="384" t="n"/>
      <c r="AB124" s="384" t="n"/>
      <c r="AC124" s="384" t="n"/>
      <c r="AD124" s="384" t="n"/>
      <c r="AE124" s="384" t="n"/>
      <c r="AF124" s="384" t="n"/>
      <c r="AG124" s="384" t="n"/>
      <c r="AH124" s="384" t="n"/>
      <c r="AI124" s="384" t="n"/>
      <c r="AJ124" s="384" t="n"/>
      <c r="AK124" s="716" t="n"/>
      <c r="AL124" s="716" t="n"/>
    </row>
    <row r="125" ht="51" customHeight="1" s="1181">
      <c r="A125" s="384" t="n"/>
      <c r="B125" s="384" t="n"/>
      <c r="C125" s="384" t="inlineStr">
        <is>
          <t>A0020213</t>
        </is>
      </c>
      <c r="D125" s="128">
        <f>IF(_epmOfflineCondition_,"　      # 汇兑收益（损失以“-”号填列）",EPMMemberDesc(C125))</f>
        <v/>
      </c>
      <c r="E125" s="1534">
        <f>IF(_epmOfflineCondition_,0,EPMRetrieveData(,$C125,$E$29,$D$45,$S$25,$S$26,$S$27,$D$21,$D$22,$E$23,$E$25,$D$26,$D$27,$D$28))</f>
        <v/>
      </c>
      <c r="F125" s="384" t="n"/>
      <c r="G125" s="384" t="n"/>
      <c r="H125" s="1334" t="n"/>
      <c r="I125" s="128" t="n"/>
      <c r="J125" s="384" t="n"/>
      <c r="K125" s="384" t="n"/>
      <c r="L125" s="384" t="n"/>
      <c r="M125" s="32" t="n"/>
      <c r="N125" s="384" t="n"/>
      <c r="O125" s="384" t="n"/>
      <c r="P125" s="384" t="n"/>
      <c r="Q125" s="384" t="n"/>
      <c r="R125" s="384" t="n"/>
      <c r="S125" s="384" t="n"/>
      <c r="T125" s="384" t="n"/>
      <c r="U125" s="384" t="n"/>
      <c r="V125" s="384" t="n"/>
      <c r="W125" s="384" t="n"/>
      <c r="X125" s="384" t="n"/>
      <c r="Y125" s="384" t="n"/>
      <c r="Z125" s="384" t="n"/>
      <c r="AA125" s="384" t="n"/>
      <c r="AB125" s="384" t="n"/>
      <c r="AC125" s="384" t="n"/>
      <c r="AD125" s="384" t="n"/>
      <c r="AE125" s="384" t="n"/>
      <c r="AF125" s="384" t="n"/>
      <c r="AG125" s="384" t="n"/>
      <c r="AH125" s="384" t="n"/>
      <c r="AI125" s="384" t="n"/>
      <c r="AJ125" s="384" t="n"/>
      <c r="AK125" s="716" t="n"/>
      <c r="AL125" s="716" t="n"/>
    </row>
    <row r="126" ht="51" customHeight="1" s="1181">
      <c r="A126" s="384" t="n"/>
      <c r="B126" s="384" t="n"/>
      <c r="C126" s="384" t="inlineStr">
        <is>
          <t>A0020214</t>
        </is>
      </c>
      <c r="D126" s="128">
        <f>IF(_epmOfflineCondition_,"        净敞口套期收益（损失以“-”号填列）",EPMMemberDesc(C126))</f>
        <v/>
      </c>
      <c r="E126" s="1534">
        <f>IF(_epmOfflineCondition_,0,EPMRetrieveData(,$C126,$E$29,$D$45,$S$25,$S$26,$S$27,$D$21,$D$22,$E$23,$E$25,$D$26,$D$27,$D$28))</f>
        <v/>
      </c>
      <c r="F126" s="384" t="n"/>
      <c r="G126" s="384" t="n"/>
      <c r="H126" s="1334" t="n"/>
      <c r="I126" s="128" t="n"/>
      <c r="J126" s="384" t="n"/>
      <c r="K126" s="384" t="n"/>
      <c r="L126" s="384" t="n"/>
      <c r="M126" s="32" t="n"/>
      <c r="N126" s="384" t="n"/>
      <c r="O126" s="384" t="n"/>
      <c r="P126" s="384" t="n"/>
      <c r="Q126" s="384" t="n"/>
      <c r="R126" s="384" t="n"/>
      <c r="S126" s="384" t="n"/>
      <c r="T126" s="384" t="n"/>
      <c r="U126" s="384" t="n"/>
      <c r="V126" s="384" t="n"/>
      <c r="W126" s="384" t="n"/>
      <c r="X126" s="384" t="n"/>
      <c r="Y126" s="384" t="n"/>
      <c r="Z126" s="384" t="n"/>
      <c r="AA126" s="384" t="n"/>
      <c r="AB126" s="384" t="n"/>
      <c r="AC126" s="384" t="n"/>
      <c r="AD126" s="384" t="n"/>
      <c r="AE126" s="384" t="n"/>
      <c r="AF126" s="384" t="n"/>
      <c r="AG126" s="384" t="n"/>
      <c r="AH126" s="384" t="n"/>
      <c r="AI126" s="384" t="n"/>
      <c r="AJ126" s="384" t="n"/>
      <c r="AK126" s="716" t="n"/>
      <c r="AL126" s="716" t="n"/>
    </row>
    <row r="127" ht="51" customHeight="1" s="1181">
      <c r="A127" s="384" t="n"/>
      <c r="B127" s="384" t="n"/>
      <c r="C127" s="384" t="inlineStr">
        <is>
          <t>A0020215</t>
        </is>
      </c>
      <c r="D127" s="128">
        <f>IF(_epmOfflineCondition_,"        公允价值变动收益（损失以“-”号填列）",EPMMemberDesc(C127))</f>
        <v/>
      </c>
      <c r="E127" s="1534">
        <f>IF(_epmOfflineCondition_,0,EPMRetrieveData(,$C127,$E$29,$D$45,$S$25,$S$26,$S$27,$D$21,$D$22,$E$23,$E$25,$D$26,$D$27,$D$28))</f>
        <v/>
      </c>
      <c r="F127" s="716" t="inlineStr">
        <is>
          <t>A09409</t>
        </is>
      </c>
      <c r="G127" s="111" t="inlineStr">
        <is>
          <t>公允价值变动</t>
        </is>
      </c>
      <c r="H127" s="1534">
        <f>IF(_epmOfflineCondition_,0,EPMRetrieveData(,$F127,$H$103,$D$45,$S$25,$S$26,$S$27,$D$21,$D$22,$E$23,$E$25,$D$26,$D$27,$D$28))</f>
        <v/>
      </c>
      <c r="I127" s="128" t="n"/>
      <c r="J127" s="384" t="n"/>
      <c r="K127" s="384" t="n"/>
      <c r="L127" s="384" t="n"/>
      <c r="M127" s="32" t="n"/>
      <c r="N127" s="384" t="n"/>
      <c r="O127" s="384" t="n"/>
      <c r="P127" s="384" t="n"/>
      <c r="Q127" s="384" t="n"/>
      <c r="R127" s="384" t="n"/>
      <c r="S127" s="384" t="n"/>
      <c r="T127" s="384" t="n"/>
      <c r="U127" s="384" t="n"/>
      <c r="V127" s="384" t="n"/>
      <c r="W127" s="384" t="n"/>
      <c r="X127" s="384" t="n"/>
      <c r="Y127" s="384" t="n"/>
      <c r="Z127" s="384" t="n"/>
      <c r="AA127" s="384" t="n"/>
      <c r="AB127" s="384" t="n"/>
      <c r="AC127" s="384" t="n"/>
      <c r="AD127" s="384" t="n"/>
      <c r="AE127" s="384" t="n"/>
      <c r="AF127" s="384" t="n"/>
      <c r="AG127" s="384" t="n"/>
      <c r="AH127" s="384" t="n"/>
      <c r="AI127" s="384" t="n"/>
      <c r="AJ127" s="384" t="n"/>
      <c r="AK127" s="716" t="n"/>
      <c r="AL127" s="716" t="n"/>
    </row>
    <row r="128" ht="51" customHeight="1" s="1181">
      <c r="A128" s="384" t="n"/>
      <c r="B128" s="384" t="n"/>
      <c r="C128" s="384" t="inlineStr">
        <is>
          <t>A0020210</t>
        </is>
      </c>
      <c r="D128" s="128">
        <f>IF(_epmOfflineCondition_,"        信用减值损失（损失以“-”号填列）",EPMMemberDesc(C128))</f>
        <v/>
      </c>
      <c r="E128" s="1534">
        <f>IF(_epmOfflineCondition_,0,EPMRetrieveData(,$C128,$E$29,$D$45,$S$25,$S$26,$S$27,$D$21,$D$22,$E$23,$E$25,$D$26,$D$27,$D$28))</f>
        <v/>
      </c>
      <c r="F128" s="716" t="inlineStr">
        <is>
          <t>A09410</t>
        </is>
      </c>
      <c r="G128" s="111" t="inlineStr">
        <is>
          <t>信用减值损失</t>
        </is>
      </c>
      <c r="H128" s="1534">
        <f>IF(_epmOfflineCondition_,0,EPMRetrieveData(,$F128,$H$103,$D$45,$S$25,$S$26,$S$27,$D$21,$D$22,$E$23,$E$25,$D$26,$D$27,$D$28))</f>
        <v/>
      </c>
      <c r="I128" s="128" t="n"/>
      <c r="J128" s="384" t="n"/>
      <c r="K128" s="384" t="n"/>
      <c r="L128" s="384" t="n"/>
      <c r="M128" s="32" t="n"/>
      <c r="N128" s="384" t="n"/>
      <c r="O128" s="384" t="n"/>
      <c r="P128" s="384" t="n"/>
      <c r="Q128" s="384" t="n"/>
      <c r="R128" s="384" t="n"/>
      <c r="S128" s="384" t="n"/>
      <c r="T128" s="384" t="n"/>
      <c r="U128" s="384" t="n"/>
      <c r="V128" s="384" t="n"/>
      <c r="W128" s="384" t="n"/>
      <c r="X128" s="384" t="n"/>
      <c r="Y128" s="384" t="n"/>
      <c r="Z128" s="384" t="n"/>
      <c r="AA128" s="384" t="n"/>
      <c r="AB128" s="384" t="n"/>
      <c r="AC128" s="384" t="n"/>
      <c r="AD128" s="384" t="n"/>
      <c r="AE128" s="384" t="n"/>
      <c r="AF128" s="384" t="n"/>
      <c r="AG128" s="384" t="n"/>
      <c r="AH128" s="384" t="n"/>
      <c r="AI128" s="384" t="n"/>
      <c r="AJ128" s="384" t="n"/>
      <c r="AK128" s="716" t="n"/>
      <c r="AL128" s="716" t="n"/>
    </row>
    <row r="129" ht="51" customHeight="1" s="1181">
      <c r="A129" s="384" t="n"/>
      <c r="B129" s="384" t="n"/>
      <c r="C129" s="384" t="inlineStr">
        <is>
          <t>A0020209</t>
        </is>
      </c>
      <c r="D129" s="128">
        <f>IF(_epmOfflineCondition_,"        资产减值损失（损失以“-”号填列）",EPMMemberDesc(C129))</f>
        <v/>
      </c>
      <c r="E129" s="1534">
        <f>IF(_epmOfflineCondition_,0,EPMRetrieveData(,$C129,$E$29,$D$45,$S$25,$S$26,$S$27,$D$21,$D$22,$E$23,$E$25,$D$26,$D$27,$D$28))</f>
        <v/>
      </c>
      <c r="F129" s="384" t="inlineStr">
        <is>
          <t>A0280103</t>
        </is>
      </c>
      <c r="G129" s="111" t="inlineStr">
        <is>
          <t>资产减值损失</t>
        </is>
      </c>
      <c r="H129" s="1534">
        <f>IF(_epmOfflineCondition_,0,EPMRetrieveData(,$F129,$H$103,$D$45,$S$25,$S$26,$S$27,$D$21,$D$22,$E$23,$E$25,$D$26,$D$27,$D$28))</f>
        <v/>
      </c>
      <c r="I129" s="128" t="n"/>
      <c r="J129" s="384" t="n"/>
      <c r="K129" s="384" t="n"/>
      <c r="L129" s="384" t="n"/>
      <c r="M129" s="32" t="n"/>
      <c r="N129" s="384" t="n"/>
      <c r="O129" s="384" t="n"/>
      <c r="P129" s="384" t="n"/>
      <c r="Q129" s="384" t="n"/>
      <c r="R129" s="384" t="n"/>
      <c r="S129" s="384" t="n"/>
      <c r="T129" s="384" t="n"/>
      <c r="U129" s="384" t="n"/>
      <c r="V129" s="384" t="n"/>
      <c r="W129" s="384" t="n"/>
      <c r="X129" s="384" t="n"/>
      <c r="Y129" s="384" t="n"/>
      <c r="Z129" s="384" t="n"/>
      <c r="AA129" s="384" t="n"/>
      <c r="AB129" s="384" t="n"/>
      <c r="AC129" s="384" t="n"/>
      <c r="AD129" s="384" t="n"/>
      <c r="AE129" s="384" t="n"/>
      <c r="AF129" s="384" t="n"/>
      <c r="AG129" s="384" t="n"/>
      <c r="AH129" s="384" t="n"/>
      <c r="AI129" s="384" t="n"/>
      <c r="AJ129" s="384" t="n"/>
      <c r="AK129" s="384" t="n"/>
      <c r="AL129" s="716" t="n"/>
    </row>
    <row r="130" ht="51" customHeight="1" s="1181">
      <c r="A130" s="384" t="n"/>
      <c r="B130" s="384" t="n"/>
      <c r="C130" s="384" t="inlineStr">
        <is>
          <t>A0020216</t>
        </is>
      </c>
      <c r="D130" s="128">
        <f>IF(_epmOfflineCondition_,"        资产处置收益（损失以“-”号填列）",EPMMemberDesc(C130))</f>
        <v/>
      </c>
      <c r="E130" s="1534">
        <f>IF(_epmOfflineCondition_,0,EPMRetrieveData(,$C130,$E$29,$D$45,$S$25,$S$26,$S$27,$D$21,$D$22,$E$23,$E$25,$D$26,$D$27,$D$28))</f>
        <v/>
      </c>
      <c r="F130" s="716" t="inlineStr">
        <is>
          <t>A09412</t>
        </is>
      </c>
      <c r="G130" s="111" t="inlineStr">
        <is>
          <t>资产处置收益</t>
        </is>
      </c>
      <c r="H130" s="1534">
        <f>IF(_epmOfflineCondition_,0,EPMRetrieveData(,$F130,$H$103,$D$45,$S$25,$S$26,$S$27,$D$21,$D$22,$E$23,$E$25,$D$26,$D$27,$D$28))</f>
        <v/>
      </c>
      <c r="I130" s="128" t="n"/>
      <c r="J130" s="384" t="n"/>
      <c r="K130" s="384" t="n"/>
      <c r="L130" s="384" t="n"/>
      <c r="M130" s="32" t="n"/>
      <c r="N130" s="384" t="n"/>
      <c r="O130" s="384" t="n"/>
      <c r="P130" s="384" t="n"/>
      <c r="Q130" s="384" t="n"/>
      <c r="R130" s="384" t="n"/>
      <c r="S130" s="384" t="n"/>
      <c r="T130" s="384" t="n"/>
      <c r="U130" s="384" t="n"/>
      <c r="V130" s="384" t="n"/>
      <c r="W130" s="384" t="n"/>
      <c r="X130" s="384" t="n"/>
      <c r="Y130" s="384" t="n"/>
      <c r="Z130" s="384" t="n"/>
      <c r="AA130" s="384" t="n"/>
      <c r="AB130" s="384" t="n"/>
      <c r="AC130" s="384" t="n"/>
      <c r="AD130" s="384" t="n"/>
      <c r="AE130" s="384" t="n"/>
      <c r="AF130" s="384" t="n"/>
      <c r="AG130" s="384" t="n"/>
      <c r="AH130" s="384" t="n"/>
      <c r="AI130" s="384" t="n"/>
      <c r="AJ130" s="384" t="n"/>
      <c r="AK130" s="384" t="n"/>
      <c r="AL130" s="716" t="n"/>
    </row>
    <row r="131" ht="34" customHeight="1" s="1181">
      <c r="A131" s="384" t="n"/>
      <c r="B131" s="384" t="n"/>
      <c r="C131" s="384" t="inlineStr">
        <is>
          <t>A00203</t>
        </is>
      </c>
      <c r="D131" s="128">
        <f>IF(_epmOfflineCondition_,"三、营业利润（亏损以“-”号填列）",EPMMemberDesc(C131))</f>
        <v/>
      </c>
      <c r="E131" s="1534">
        <f>IF(_epmOfflineCondition_,57971792.97,EPMRetrieveData(,$C131,$E$29,$D$45,$S$25,$S$26,$S$27,$D$21,$D$22,$E$23,$E$25,$D$26,$D$27,$D$28))</f>
        <v/>
      </c>
      <c r="F131" s="716" t="inlineStr">
        <is>
          <t>A09414</t>
        </is>
      </c>
      <c r="G131" s="108" t="inlineStr">
        <is>
          <t>三、营业利润（亏损以“-”号填列）</t>
        </is>
      </c>
      <c r="H131" s="1534">
        <f>IF(_epmOfflineCondition_,0,EPMRetrieveData(,$F131,$H$103,$D$45,$S$25,$S$26,$S$27,$D$21,$D$22,$E$23,$E$25,$D$26,$D$27,$D$28))</f>
        <v/>
      </c>
      <c r="I131" s="128" t="n"/>
      <c r="J131" s="384" t="n"/>
      <c r="K131" s="384" t="n"/>
      <c r="L131" s="384" t="n"/>
      <c r="M131" s="32" t="n"/>
      <c r="N131" s="384" t="n"/>
      <c r="O131" s="384" t="n"/>
      <c r="P131" s="384" t="n"/>
      <c r="Q131" s="384" t="n"/>
      <c r="R131" s="384" t="n"/>
      <c r="S131" s="384" t="n"/>
      <c r="T131" s="384" t="n"/>
      <c r="U131" s="384" t="n"/>
      <c r="V131" s="384" t="n"/>
      <c r="W131" s="384" t="n"/>
      <c r="X131" s="384" t="n"/>
      <c r="Y131" s="384" t="n"/>
      <c r="Z131" s="384" t="n"/>
      <c r="AA131" s="384" t="n"/>
      <c r="AB131" s="384" t="n"/>
      <c r="AC131" s="384" t="n"/>
      <c r="AD131" s="384" t="n"/>
      <c r="AE131" s="384" t="n"/>
      <c r="AF131" s="384" t="n"/>
      <c r="AG131" s="384" t="n"/>
      <c r="AH131" s="384" t="n"/>
      <c r="AI131" s="384" t="n"/>
      <c r="AJ131" s="384" t="n"/>
      <c r="AK131" s="384" t="n"/>
      <c r="AL131" s="716" t="n"/>
    </row>
    <row r="132" ht="17" customHeight="1" s="1181">
      <c r="A132" s="384" t="n"/>
      <c r="B132" s="384" t="n"/>
      <c r="C132" s="384" t="inlineStr">
        <is>
          <t>A0020301</t>
        </is>
      </c>
      <c r="D132" s="128">
        <f>IF(_epmOfflineCondition_,"    加：营业外收入",EPMMemberDesc(C132))</f>
        <v/>
      </c>
      <c r="E132" s="1534">
        <f>IF(_epmOfflineCondition_,0,EPMRetrieveData(,$C132,$E$29,$D$45,$S$25,$S$26,$S$27,$D$21,$D$22,$E$23,$E$25,$D$26,$D$27,$D$28))</f>
        <v/>
      </c>
      <c r="F132" s="716" t="inlineStr">
        <is>
          <t>A09415</t>
        </is>
      </c>
      <c r="G132" s="109" t="inlineStr">
        <is>
          <t>加：营业外收入</t>
        </is>
      </c>
      <c r="H132" s="1534">
        <f>IF(_epmOfflineCondition_,0,EPMRetrieveData(,$F132,$H$103,$D$45,$S$25,$S$26,$S$27,$D$21,$D$22,$E$23,$E$25,$D$26,$D$27,$D$28))</f>
        <v/>
      </c>
      <c r="I132" s="128" t="n"/>
      <c r="J132" s="384" t="n"/>
      <c r="K132" s="384" t="n"/>
      <c r="L132" s="384" t="n"/>
      <c r="M132" s="32" t="n"/>
      <c r="N132" s="384" t="n"/>
      <c r="O132" s="384" t="n"/>
      <c r="P132" s="384" t="n"/>
      <c r="Q132" s="384" t="n"/>
      <c r="R132" s="384" t="n"/>
      <c r="S132" s="384" t="n"/>
      <c r="T132" s="384" t="n"/>
      <c r="U132" s="384" t="n"/>
      <c r="V132" s="384" t="n"/>
      <c r="W132" s="384" t="n"/>
      <c r="X132" s="384" t="n"/>
      <c r="Y132" s="384" t="n"/>
      <c r="Z132" s="384" t="n"/>
      <c r="AA132" s="384" t="n"/>
      <c r="AB132" s="384" t="n"/>
      <c r="AC132" s="384" t="n"/>
      <c r="AD132" s="384" t="n"/>
      <c r="AE132" s="384" t="n"/>
      <c r="AF132" s="384" t="n"/>
      <c r="AG132" s="384" t="n"/>
      <c r="AH132" s="384" t="n"/>
      <c r="AI132" s="384" t="n"/>
      <c r="AJ132" s="384" t="n"/>
      <c r="AK132" s="384" t="n"/>
      <c r="AL132" s="716" t="n"/>
    </row>
    <row r="133" ht="34" customHeight="1" s="1181">
      <c r="A133" s="384" t="n"/>
      <c r="B133" s="384" t="n"/>
      <c r="C133" s="384" t="inlineStr">
        <is>
          <t>A630101</t>
        </is>
      </c>
      <c r="D133" s="128">
        <f>IF(_epmOfflineCondition_,"营业外收入-非流动资产报废损毁利得",EPMMemberDesc(C133))</f>
        <v/>
      </c>
      <c r="E133" s="1534">
        <f>IF(_epmOfflineCondition_,0,EPMRetrieveData(,$C133,$E$29,$D$45,$S$25,$S$26,$S$27,$D$21,$D$22,$E$23,$E$25,$D$26,$D$27,$D$28))</f>
        <v/>
      </c>
      <c r="F133" s="384" t="n"/>
      <c r="G133" s="384" t="n"/>
      <c r="H133" s="1334" t="n"/>
      <c r="I133" s="128" t="n"/>
      <c r="J133" s="384" t="n"/>
      <c r="K133" s="384" t="n"/>
      <c r="L133" s="384" t="n"/>
      <c r="M133" s="32" t="n"/>
      <c r="N133" s="384" t="n"/>
      <c r="O133" s="384" t="n"/>
      <c r="P133" s="384" t="n"/>
      <c r="Q133" s="384" t="n"/>
      <c r="R133" s="384" t="n"/>
      <c r="S133" s="384" t="n"/>
      <c r="T133" s="384" t="n"/>
      <c r="U133" s="384" t="n"/>
      <c r="V133" s="384" t="n"/>
      <c r="W133" s="384" t="n"/>
      <c r="X133" s="384" t="n"/>
      <c r="Y133" s="384" t="n"/>
      <c r="Z133" s="384" t="n"/>
      <c r="AA133" s="384" t="n"/>
      <c r="AB133" s="384" t="n"/>
      <c r="AC133" s="384" t="n"/>
      <c r="AD133" s="384" t="n"/>
      <c r="AE133" s="384" t="n"/>
      <c r="AF133" s="384" t="n"/>
      <c r="AG133" s="384" t="n"/>
      <c r="AH133" s="384" t="n"/>
      <c r="AI133" s="384" t="n"/>
      <c r="AJ133" s="384" t="n"/>
      <c r="AK133" s="384" t="n"/>
      <c r="AL133" s="716" t="n"/>
    </row>
    <row r="134" ht="34" customHeight="1" s="1181">
      <c r="A134" s="384" t="n"/>
      <c r="B134" s="384" t="n"/>
      <c r="C134" s="384" t="inlineStr">
        <is>
          <t>A6301040000</t>
        </is>
      </c>
      <c r="D134" s="128">
        <f>IF(_epmOfflineCondition_,"营业外收入-政府补助",EPMMemberDesc(C134))</f>
        <v/>
      </c>
      <c r="E134" s="1534">
        <f>IF(_epmOfflineCondition_,0,EPMRetrieveData(,$C134,$E$29,$D$45,$S$25,$S$26,$S$27,$D$21,$D$22,$E$23,$E$25,$D$26,$D$27,$D$28))</f>
        <v/>
      </c>
      <c r="F134" s="716" t="inlineStr">
        <is>
          <t>A09416</t>
        </is>
      </c>
      <c r="G134" s="142" t="inlineStr">
        <is>
          <t>政府补贴收入</t>
        </is>
      </c>
      <c r="H134" s="1534">
        <f>IF(_epmOfflineCondition_,0,EPMRetrieveData(,$F134,$H$103,$D$45,$S$25,$S$26,$S$27,$D$21,$D$22,$E$23,$E$25,$D$26,$D$27,$D$28))</f>
        <v/>
      </c>
      <c r="I134" s="128" t="n"/>
      <c r="J134" s="384" t="n"/>
      <c r="K134" s="384" t="n"/>
      <c r="L134" s="384" t="n"/>
      <c r="M134" s="32" t="n"/>
      <c r="N134" s="384" t="n"/>
      <c r="O134" s="384" t="n"/>
      <c r="P134" s="384" t="n"/>
      <c r="Q134" s="384" t="n"/>
      <c r="R134" s="384" t="n"/>
      <c r="S134" s="384" t="n"/>
      <c r="T134" s="384" t="n"/>
      <c r="U134" s="384" t="n"/>
      <c r="V134" s="384" t="n"/>
      <c r="W134" s="384" t="n"/>
      <c r="X134" s="384" t="n"/>
      <c r="Y134" s="384" t="n"/>
      <c r="Z134" s="384" t="n"/>
      <c r="AA134" s="384" t="n"/>
      <c r="AB134" s="384" t="n"/>
      <c r="AC134" s="384" t="n"/>
      <c r="AD134" s="384" t="n"/>
      <c r="AE134" s="384" t="n"/>
      <c r="AF134" s="384" t="n"/>
      <c r="AG134" s="384" t="n"/>
      <c r="AH134" s="384" t="n"/>
      <c r="AI134" s="384" t="n"/>
      <c r="AJ134" s="384" t="n"/>
      <c r="AK134" s="384" t="n"/>
      <c r="AL134" s="716" t="n"/>
    </row>
    <row r="135" ht="17" customHeight="1" s="1181">
      <c r="A135" s="384" t="n"/>
      <c r="B135" s="384" t="n"/>
      <c r="C135" s="384" t="inlineStr">
        <is>
          <t>A0020302</t>
        </is>
      </c>
      <c r="D135" s="128">
        <f>IF(_epmOfflineCondition_,"　　减：营业外支出",EPMMemberDesc(C135))</f>
        <v/>
      </c>
      <c r="E135" s="1534">
        <f>IF(_epmOfflineCondition_,0,EPMRetrieveData(,$C135,$E$29,$D$45,$S$25,$S$26,$S$27,$D$21,$D$22,$E$23,$E$25,$D$26,$D$27,$D$28))</f>
        <v/>
      </c>
      <c r="F135" s="716" t="inlineStr">
        <is>
          <t>A09417</t>
        </is>
      </c>
      <c r="G135" s="109" t="inlineStr">
        <is>
          <t>减：营业外支出</t>
        </is>
      </c>
      <c r="H135" s="1534">
        <f>IF(_epmOfflineCondition_,0,EPMRetrieveData(,$F135,$H$103,$D$45,$S$25,$S$26,$S$27,$D$21,$D$22,$E$23,$E$25,$D$26,$D$27,$D$28))</f>
        <v/>
      </c>
      <c r="I135" s="128" t="n"/>
      <c r="J135" s="384" t="n"/>
      <c r="K135" s="384" t="n"/>
      <c r="L135" s="384" t="n"/>
      <c r="M135" s="32" t="n"/>
      <c r="N135" s="384" t="n"/>
      <c r="O135" s="384" t="n"/>
      <c r="P135" s="384" t="n"/>
      <c r="Q135" s="384" t="n"/>
      <c r="R135" s="384" t="n"/>
      <c r="S135" s="384" t="n"/>
      <c r="T135" s="384" t="n"/>
      <c r="U135" s="384" t="n"/>
      <c r="V135" s="384" t="n"/>
      <c r="W135" s="384" t="n"/>
      <c r="X135" s="384" t="n"/>
      <c r="Y135" s="384" t="n"/>
      <c r="Z135" s="384" t="n"/>
      <c r="AA135" s="384" t="n"/>
      <c r="AB135" s="384" t="n"/>
      <c r="AC135" s="384" t="n"/>
      <c r="AD135" s="384" t="n"/>
      <c r="AE135" s="384" t="n"/>
      <c r="AF135" s="384" t="n"/>
      <c r="AG135" s="384" t="n"/>
      <c r="AH135" s="384" t="n"/>
      <c r="AI135" s="384" t="n"/>
      <c r="AJ135" s="384" t="n"/>
      <c r="AK135" s="384" t="n"/>
      <c r="AL135" s="716" t="n"/>
    </row>
    <row r="136" ht="34" customHeight="1" s="1181">
      <c r="A136" s="384" t="n"/>
      <c r="B136" s="384" t="n"/>
      <c r="C136" s="384" t="inlineStr">
        <is>
          <t>A671101</t>
        </is>
      </c>
      <c r="D136" s="128">
        <f>IF(_epmOfflineCondition_,"营业外支出-非流动资产报废损毁损失",EPMMemberDesc(C136))</f>
        <v/>
      </c>
      <c r="E136" s="1534">
        <f>IF(_epmOfflineCondition_,0,EPMRetrieveData(,$C136,$E$29,$D$45,$S$25,$S$26,$S$27,$D$21,$D$22,$E$23,$E$25,$D$26,$D$27,$D$28))</f>
        <v/>
      </c>
      <c r="F136" s="716" t="inlineStr">
        <is>
          <t>A09418</t>
        </is>
      </c>
      <c r="G136" s="142" t="inlineStr">
        <is>
          <t>其中：非流动资产处置损失</t>
        </is>
      </c>
      <c r="H136" s="1534">
        <f>IF(_epmOfflineCondition_,0,EPMRetrieveData(,$F136,$H$103,$D$45,$S$25,$S$26,$S$27,$D$21,$D$22,$E$23,$E$25,$D$26,$D$27,$D$28))</f>
        <v/>
      </c>
      <c r="I136" s="128" t="n"/>
      <c r="J136" s="384" t="n"/>
      <c r="K136" s="384" t="n"/>
      <c r="L136" s="384" t="n"/>
      <c r="M136" s="32" t="n"/>
      <c r="N136" s="384" t="n"/>
      <c r="O136" s="384" t="n"/>
      <c r="P136" s="384" t="n"/>
      <c r="Q136" s="384" t="n"/>
      <c r="R136" s="384" t="n"/>
      <c r="S136" s="384" t="n"/>
      <c r="T136" s="384" t="n"/>
      <c r="U136" s="384" t="n"/>
      <c r="V136" s="384" t="n"/>
      <c r="W136" s="384" t="n"/>
      <c r="X136" s="384" t="n"/>
      <c r="Y136" s="384" t="n"/>
      <c r="Z136" s="384" t="n"/>
      <c r="AA136" s="384" t="n"/>
      <c r="AB136" s="384" t="n"/>
      <c r="AC136" s="384" t="n"/>
      <c r="AD136" s="384" t="n"/>
      <c r="AE136" s="384" t="n"/>
      <c r="AF136" s="384" t="n"/>
      <c r="AG136" s="384" t="n"/>
      <c r="AH136" s="384" t="n"/>
      <c r="AI136" s="384" t="n"/>
      <c r="AJ136" s="384" t="n"/>
      <c r="AK136" s="384" t="n"/>
      <c r="AL136" s="716" t="n"/>
    </row>
    <row r="137" ht="34" customHeight="1" s="1181">
      <c r="A137" s="384" t="n"/>
      <c r="B137" s="384" t="n"/>
      <c r="C137" s="384" t="inlineStr">
        <is>
          <t>A00204</t>
        </is>
      </c>
      <c r="D137" s="128">
        <f>IF(_epmOfflineCondition_,"四、利润总额（亏损总额以“-”号填列）",EPMMemberDesc(C137))</f>
        <v/>
      </c>
      <c r="E137" s="1534">
        <f>IF(_epmOfflineCondition_,57971792.97,EPMRetrieveData(,$C137,$E$29,$D$45,$S$25,$S$26,$S$27,$D$21,$D$22,$E$23,$E$25,$D$26,$D$27,$D$28))</f>
        <v/>
      </c>
      <c r="F137" s="716" t="inlineStr">
        <is>
          <t>A09419</t>
        </is>
      </c>
      <c r="G137" s="108" t="inlineStr">
        <is>
          <t>四、利润总额（亏损总额以“-”号填列）</t>
        </is>
      </c>
      <c r="H137" s="1534">
        <f>IF(_epmOfflineCondition_,0,EPMRetrieveData(,$F137,$H$103,$D$45,$S$25,$S$26,$S$27,$D$21,$D$22,$E$23,$E$25,$D$26,$D$27,$D$28))</f>
        <v/>
      </c>
      <c r="I137" s="128" t="n"/>
      <c r="J137" s="384" t="n"/>
      <c r="K137" s="384" t="n"/>
      <c r="L137" s="384" t="n"/>
      <c r="M137" s="32" t="n"/>
      <c r="N137" s="384" t="n"/>
      <c r="O137" s="384" t="n"/>
      <c r="P137" s="384" t="n"/>
      <c r="Q137" s="384" t="n"/>
      <c r="R137" s="384" t="n"/>
      <c r="S137" s="384" t="n"/>
      <c r="T137" s="384" t="n"/>
      <c r="U137" s="384" t="n"/>
      <c r="V137" s="384" t="n"/>
      <c r="W137" s="384" t="n"/>
      <c r="X137" s="384" t="n"/>
      <c r="Y137" s="384" t="n"/>
      <c r="Z137" s="384" t="n"/>
      <c r="AA137" s="384" t="n"/>
      <c r="AB137" s="384" t="n"/>
      <c r="AC137" s="384" t="n"/>
      <c r="AD137" s="384" t="n"/>
      <c r="AE137" s="384" t="n"/>
      <c r="AF137" s="384" t="n"/>
      <c r="AG137" s="384" t="n"/>
      <c r="AH137" s="384" t="n"/>
      <c r="AI137" s="384" t="n"/>
      <c r="AJ137" s="384" t="n"/>
      <c r="AK137" s="384" t="n"/>
      <c r="AL137" s="716" t="n"/>
    </row>
    <row r="138" ht="17" customHeight="1" s="1181">
      <c r="A138" s="384" t="n"/>
      <c r="B138" s="384" t="n"/>
      <c r="C138" s="384" t="inlineStr">
        <is>
          <t>A0020401</t>
        </is>
      </c>
      <c r="D138" s="128">
        <f>IF(_epmOfflineCondition_,"　　减：所得税费用",EPMMemberDesc(C138))</f>
        <v/>
      </c>
      <c r="E138" s="1534">
        <f>IF(_epmOfflineCondition_,0,EPMRetrieveData(,$C138,$E$29,$D$45,$S$25,$S$26,$S$27,$D$21,$D$22,$E$23,$E$25,$D$26,$D$27,$D$28))</f>
        <v/>
      </c>
      <c r="F138" s="716" t="inlineStr">
        <is>
          <t>A09420</t>
        </is>
      </c>
      <c r="G138" s="109" t="inlineStr">
        <is>
          <t>减：所得税费用</t>
        </is>
      </c>
      <c r="H138" s="1534">
        <f>IF(_epmOfflineCondition_,0,EPMRetrieveData(,$F138,$H$103,$D$45,$S$25,$S$26,$S$27,$D$21,$D$22,$E$23,$E$25,$D$26,$D$27,$D$28))</f>
        <v/>
      </c>
      <c r="I138" s="128" t="n"/>
      <c r="J138" s="384" t="n"/>
      <c r="K138" s="384" t="n"/>
      <c r="L138" s="384" t="n"/>
      <c r="M138" s="32" t="n"/>
      <c r="N138" s="384" t="n"/>
      <c r="O138" s="384" t="n"/>
      <c r="P138" s="384" t="n"/>
      <c r="Q138" s="384" t="n"/>
      <c r="R138" s="384" t="n"/>
      <c r="S138" s="384" t="n"/>
      <c r="T138" s="384" t="n"/>
      <c r="U138" s="384" t="n"/>
      <c r="V138" s="384" t="n"/>
      <c r="W138" s="384" t="n"/>
      <c r="X138" s="384" t="n"/>
      <c r="Y138" s="384" t="n"/>
      <c r="Z138" s="384" t="n"/>
      <c r="AA138" s="384" t="n"/>
      <c r="AB138" s="384" t="n"/>
      <c r="AC138" s="384" t="n"/>
      <c r="AD138" s="384" t="n"/>
      <c r="AE138" s="384" t="n"/>
      <c r="AF138" s="384" t="n"/>
      <c r="AG138" s="384" t="n"/>
      <c r="AH138" s="384" t="n"/>
      <c r="AI138" s="384" t="n"/>
      <c r="AJ138" s="384" t="n"/>
      <c r="AK138" s="384" t="n"/>
      <c r="AL138" s="716" t="n"/>
    </row>
    <row r="139" ht="34" customHeight="1" s="1181">
      <c r="A139" s="384" t="n"/>
      <c r="B139" s="384" t="n"/>
      <c r="C139" s="384" t="inlineStr">
        <is>
          <t>A00205</t>
        </is>
      </c>
      <c r="D139" s="128">
        <f>IF(_epmOfflineCondition_,"五、净利润（净亏损以“-”号填列）",EPMMemberDesc(C139))</f>
        <v/>
      </c>
      <c r="E139" s="1534">
        <f>IF(_epmOfflineCondition_,57971792.97,EPMRetrieveData(,$C139,$E$29,$D$45,$S$25,$S$26,$S$27,$D$21,$D$22,$E$23,$E$25,$D$26,$D$27,$D$28))</f>
        <v/>
      </c>
      <c r="F139" s="716" t="inlineStr">
        <is>
          <t>A09421</t>
        </is>
      </c>
      <c r="G139" s="143" t="inlineStr">
        <is>
          <t>五、净利润（净亏损以“-”号填列）</t>
        </is>
      </c>
      <c r="H139" s="1534">
        <f>IF(_epmOfflineCondition_,0,EPMRetrieveData(,$F139,$H$103,$D$45,$S$25,$S$26,$S$27,$D$21,$D$22,$E$23,$E$25,$D$26,$D$27,$D$28))</f>
        <v/>
      </c>
      <c r="I139" s="128" t="n"/>
      <c r="J139" s="384" t="n"/>
      <c r="K139" s="384" t="n"/>
      <c r="L139" s="384" t="n"/>
      <c r="M139" s="32" t="n"/>
      <c r="N139" s="384" t="n"/>
      <c r="O139" s="384" t="n"/>
      <c r="P139" s="384" t="n"/>
      <c r="Q139" s="384" t="n"/>
      <c r="R139" s="384" t="n"/>
      <c r="S139" s="384" t="n"/>
      <c r="T139" s="384" t="n"/>
      <c r="U139" s="384" t="n"/>
      <c r="V139" s="384" t="n"/>
      <c r="W139" s="384" t="n"/>
      <c r="X139" s="384" t="n"/>
      <c r="Y139" s="384" t="n"/>
      <c r="Z139" s="384" t="n"/>
      <c r="AA139" s="384" t="n"/>
      <c r="AB139" s="384" t="n"/>
      <c r="AC139" s="384" t="n"/>
      <c r="AD139" s="384" t="n"/>
      <c r="AE139" s="384" t="n"/>
      <c r="AF139" s="384" t="n"/>
      <c r="AG139" s="384" t="n"/>
      <c r="AH139" s="384" t="n"/>
      <c r="AI139" s="384" t="n"/>
      <c r="AJ139" s="384" t="n"/>
      <c r="AK139" s="384" t="n"/>
      <c r="AL139" s="716" t="n"/>
    </row>
    <row r="140" ht="34.75" customHeight="1" s="1181">
      <c r="A140" s="384" t="n"/>
      <c r="B140" s="384" t="n"/>
      <c r="C140" s="384" t="inlineStr">
        <is>
          <t>A0020504</t>
        </is>
      </c>
      <c r="D140" s="128">
        <f>IF(_epmOfflineCondition_,"　　归属于母公司所有者的净利润",EPMMemberDesc(C140))</f>
        <v/>
      </c>
      <c r="E140" s="1534">
        <f>IF(_epmOfflineCondition_,57971792.97,EPMRetrieveData(,$C140,$E$29,$D$45,$S$25,$S$26,$S$27,$D$21,$D$22,$E$23,$E$25,$D$26,$D$27,$D$28))</f>
        <v/>
      </c>
      <c r="F140" s="716" t="inlineStr">
        <is>
          <t>A09422</t>
        </is>
      </c>
      <c r="G140" s="144" t="inlineStr">
        <is>
          <t>归属于母公司所有者的净利润</t>
        </is>
      </c>
      <c r="H140" s="1534">
        <f>IF(_epmOfflineCondition_,0,EPMRetrieveData(,$F140,$H$103,$D$45,$S$25,$S$26,$S$27,$D$21,$D$22,$E$23,$E$25,$D$26,$D$27,$D$28))</f>
        <v/>
      </c>
      <c r="I140" s="128" t="n"/>
      <c r="J140" s="384" t="n"/>
      <c r="K140" s="384" t="n"/>
      <c r="L140" s="384" t="n"/>
      <c r="M140" s="32" t="n"/>
      <c r="N140" s="384" t="n"/>
      <c r="O140" s="384" t="n"/>
      <c r="P140" s="384" t="n"/>
      <c r="Q140" s="384" t="n"/>
      <c r="R140" s="384" t="n"/>
      <c r="S140" s="384" t="n"/>
      <c r="T140" s="384" t="n"/>
      <c r="U140" s="384" t="n"/>
      <c r="V140" s="384" t="n"/>
      <c r="W140" s="384" t="n"/>
      <c r="X140" s="384" t="n"/>
      <c r="Y140" s="384" t="n"/>
      <c r="Z140" s="384" t="n"/>
      <c r="AA140" s="384" t="n"/>
      <c r="AB140" s="384" t="n"/>
      <c r="AC140" s="384" t="n"/>
      <c r="AD140" s="384" t="n"/>
      <c r="AE140" s="384" t="n"/>
      <c r="AF140" s="384" t="n"/>
      <c r="AG140" s="384" t="n"/>
      <c r="AH140" s="384" t="n"/>
      <c r="AI140" s="384" t="n"/>
      <c r="AJ140" s="384" t="n"/>
      <c r="AK140" s="384" t="n"/>
      <c r="AL140" s="716" t="n"/>
    </row>
    <row r="141" ht="17" customHeight="1" s="1181">
      <c r="A141" s="384" t="n"/>
      <c r="B141" s="384" t="n"/>
      <c r="C141" s="384" t="inlineStr">
        <is>
          <t>A0020503</t>
        </is>
      </c>
      <c r="D141" s="128">
        <f>IF(_epmOfflineCondition_,"　　少数股东损益",EPMMemberDesc(C141))</f>
        <v/>
      </c>
      <c r="E141" s="1534">
        <f>IF(_epmOfflineCondition_,0,EPMRetrieveData(,$C141,$E$29,$D$45,$S$25,$S$26,$S$27,$D$21,$D$22,$E$23,$E$25,$D$26,$D$27,$D$28))</f>
        <v/>
      </c>
      <c r="F141" s="384" t="n"/>
      <c r="G141" s="384" t="n"/>
      <c r="H141" s="1334" t="n"/>
      <c r="I141" s="128" t="n"/>
      <c r="J141" s="384" t="n"/>
      <c r="K141" s="384" t="n"/>
      <c r="L141" s="384" t="n"/>
      <c r="M141" s="32" t="n"/>
      <c r="N141" s="384" t="n"/>
      <c r="O141" s="384" t="n"/>
      <c r="P141" s="384" t="n"/>
      <c r="Q141" s="384" t="n"/>
      <c r="R141" s="384" t="n"/>
      <c r="S141" s="384" t="n"/>
      <c r="T141" s="384" t="n"/>
      <c r="U141" s="384" t="n"/>
      <c r="V141" s="384" t="n"/>
      <c r="W141" s="384" t="n"/>
      <c r="X141" s="384" t="n"/>
      <c r="Y141" s="384" t="n"/>
      <c r="Z141" s="384" t="n"/>
      <c r="AA141" s="384" t="n"/>
      <c r="AB141" s="384" t="n"/>
      <c r="AC141" s="384" t="n"/>
      <c r="AD141" s="384" t="n"/>
      <c r="AE141" s="384" t="n"/>
      <c r="AF141" s="384" t="n"/>
      <c r="AG141" s="384" t="n"/>
      <c r="AH141" s="384" t="n"/>
      <c r="AI141" s="384" t="n"/>
      <c r="AJ141" s="384" t="n"/>
      <c r="AK141" s="384" t="n"/>
      <c r="AL141" s="716" t="n"/>
    </row>
    <row r="142" ht="17" customHeight="1" s="1181">
      <c r="A142" s="384" t="n"/>
      <c r="B142" s="384" t="n"/>
      <c r="C142" s="384" t="inlineStr">
        <is>
          <t>A6001</t>
        </is>
      </c>
      <c r="D142" s="128">
        <f>IF(_epmOfflineCondition_,"主营业务收入",EPMMemberDesc(C142))</f>
        <v/>
      </c>
      <c r="E142" s="1534">
        <f>IF(_epmOfflineCondition_,94272738.5,EPMRetrieveData(,$C142,$E$29,$D$45,$S$25,$S$26,$S$27,$D$21,$D$22,$E$23,$E$25,$D$26,$D$27,$D$28))</f>
        <v/>
      </c>
      <c r="F142" s="716" t="inlineStr">
        <is>
          <t>A0942301</t>
        </is>
      </c>
      <c r="G142" s="1530" t="inlineStr">
        <is>
          <t xml:space="preserve"> 主营业务收入 </t>
        </is>
      </c>
      <c r="H142" s="1534">
        <f>IF(_epmOfflineCondition_,0,EPMRetrieveData(,$F142,$H$103,$D$45,$S$25,$S$26,$S$27,$D$21,$D$22,$E$23,$E$25,$D$26,$D$27,$D$28))</f>
        <v/>
      </c>
      <c r="I142" s="128" t="n"/>
      <c r="J142" s="384" t="n"/>
      <c r="K142" s="384" t="n"/>
      <c r="L142" s="384" t="n"/>
      <c r="M142" s="32" t="n"/>
      <c r="N142" s="384" t="n"/>
      <c r="O142" s="384" t="n"/>
      <c r="P142" s="384" t="n"/>
      <c r="Q142" s="384" t="n"/>
      <c r="R142" s="384" t="n"/>
      <c r="S142" s="384" t="n"/>
      <c r="T142" s="384" t="n"/>
      <c r="U142" s="384" t="n"/>
      <c r="V142" s="384" t="n"/>
      <c r="W142" s="384" t="n"/>
      <c r="X142" s="384" t="n"/>
      <c r="Y142" s="384" t="n"/>
      <c r="Z142" s="384" t="n"/>
      <c r="AA142" s="384" t="n"/>
      <c r="AB142" s="384" t="n"/>
      <c r="AC142" s="384" t="n"/>
      <c r="AD142" s="384" t="n"/>
      <c r="AE142" s="384" t="n"/>
      <c r="AF142" s="384" t="n"/>
      <c r="AG142" s="384" t="n"/>
      <c r="AH142" s="384" t="n"/>
      <c r="AI142" s="384" t="n"/>
      <c r="AJ142" s="384" t="n"/>
      <c r="AK142" s="384" t="n"/>
      <c r="AL142" s="716" t="n"/>
    </row>
    <row r="143" ht="17.75" customHeight="1" s="1181">
      <c r="A143" s="384" t="n"/>
      <c r="B143" s="384" t="n"/>
      <c r="C143" s="384" t="inlineStr">
        <is>
          <t>A6051</t>
        </is>
      </c>
      <c r="D143" s="128">
        <f>IF(_epmOfflineCondition_,"其他业务收入",EPMMemberDesc(C143))</f>
        <v/>
      </c>
      <c r="E143" s="1534">
        <f>IF(_epmOfflineCondition_,0,EPMRetrieveData(,$C143,$E$29,$D$45,$S$25,$S$26,$S$27,$D$21,$D$22,$E$23,$E$25,$D$26,$D$27,$D$28))</f>
        <v/>
      </c>
      <c r="F143" s="716" t="inlineStr">
        <is>
          <t>A0942302</t>
        </is>
      </c>
      <c r="G143" s="144" t="inlineStr">
        <is>
          <t xml:space="preserve"> 其他业务收入 </t>
        </is>
      </c>
      <c r="H143" s="1534">
        <f>IF(_epmOfflineCondition_,0,EPMRetrieveData(,$F143,$H$103,$D$45,$S$25,$S$26,$S$27,$D$21,$D$22,$E$23,$E$25,$D$26,$D$27,$D$28))</f>
        <v/>
      </c>
      <c r="I143" s="128" t="n"/>
      <c r="J143" s="384" t="n"/>
      <c r="K143" s="384" t="n"/>
      <c r="L143" s="384" t="n"/>
      <c r="M143" s="32" t="n"/>
      <c r="N143" s="384" t="n"/>
      <c r="O143" s="384" t="n"/>
      <c r="P143" s="384" t="n"/>
      <c r="Q143" s="384" t="n"/>
      <c r="R143" s="384" t="n"/>
      <c r="S143" s="384" t="n"/>
      <c r="T143" s="384" t="n"/>
      <c r="U143" s="384" t="n"/>
      <c r="V143" s="384" t="n"/>
      <c r="W143" s="384" t="n"/>
      <c r="X143" s="384" t="n"/>
      <c r="Y143" s="384" t="n"/>
      <c r="Z143" s="384" t="n"/>
      <c r="AA143" s="384" t="n"/>
      <c r="AB143" s="384" t="n"/>
      <c r="AC143" s="384" t="n"/>
      <c r="AD143" s="384" t="n"/>
      <c r="AE143" s="384" t="n"/>
      <c r="AF143" s="384" t="n"/>
      <c r="AG143" s="384" t="n"/>
      <c r="AH143" s="384" t="n"/>
      <c r="AI143" s="384" t="n"/>
      <c r="AJ143" s="384" t="n"/>
      <c r="AK143" s="384" t="n"/>
      <c r="AL143" s="716" t="n"/>
    </row>
    <row r="144" ht="17" customHeight="1" s="1181">
      <c r="A144" s="384" t="n"/>
      <c r="B144" s="384" t="n"/>
      <c r="C144" s="384" t="inlineStr">
        <is>
          <t>A6401</t>
        </is>
      </c>
      <c r="D144" s="128">
        <f>IF(_epmOfflineCondition_,"主营业务成本",EPMMemberDesc(C144))</f>
        <v/>
      </c>
      <c r="E144" s="1534">
        <f>IF(_epmOfflineCondition_,27496863.46,EPMRetrieveData(,$C144,$E$29,$D$45,$S$25,$S$26,$S$27,$D$21,$D$22,$E$23,$E$25,$D$26,$D$27,$D$28))</f>
        <v/>
      </c>
      <c r="F144" s="716" t="inlineStr">
        <is>
          <t>A0942401</t>
        </is>
      </c>
      <c r="G144" s="109" t="inlineStr">
        <is>
          <t xml:space="preserve"> 主营业务成本 </t>
        </is>
      </c>
      <c r="H144" s="1534">
        <f>IF(_epmOfflineCondition_,0,EPMRetrieveData(,$F144,$H$103,$D$45,$S$25,$S$26,$S$27,$D$21,$D$22,$E$23,$E$25,$D$26,$D$27,$D$28))</f>
        <v/>
      </c>
      <c r="I144" s="128" t="n"/>
      <c r="J144" s="384" t="n"/>
      <c r="K144" s="384" t="n"/>
      <c r="L144" s="384" t="n"/>
      <c r="M144" s="32" t="n"/>
      <c r="N144" s="384" t="n"/>
      <c r="O144" s="384" t="n"/>
      <c r="P144" s="384" t="n"/>
      <c r="Q144" s="384" t="n"/>
      <c r="R144" s="384" t="n"/>
      <c r="S144" s="384" t="n"/>
      <c r="T144" s="384" t="n"/>
      <c r="U144" s="384" t="n"/>
      <c r="V144" s="384" t="n"/>
      <c r="W144" s="384" t="n"/>
      <c r="X144" s="384" t="n"/>
      <c r="Y144" s="384" t="n"/>
      <c r="Z144" s="384" t="n"/>
      <c r="AA144" s="384" t="n"/>
      <c r="AB144" s="384" t="n"/>
      <c r="AC144" s="384" t="n"/>
      <c r="AD144" s="384" t="n"/>
      <c r="AE144" s="384" t="n"/>
      <c r="AF144" s="384" t="n"/>
      <c r="AG144" s="384" t="n"/>
      <c r="AH144" s="384" t="n"/>
      <c r="AI144" s="384" t="n"/>
      <c r="AJ144" s="384" t="n"/>
      <c r="AK144" s="384" t="n"/>
      <c r="AL144" s="384" t="n"/>
    </row>
    <row r="145" ht="17.75" customHeight="1" s="1181">
      <c r="A145" s="384" t="n"/>
      <c r="B145" s="384" t="n"/>
      <c r="C145" s="384" t="inlineStr">
        <is>
          <t>A6402</t>
        </is>
      </c>
      <c r="D145" s="128">
        <f>IF(_epmOfflineCondition_,"其他业务成本",EPMMemberDesc(C145))</f>
        <v/>
      </c>
      <c r="E145" s="1534">
        <f>IF(_epmOfflineCondition_,0,EPMRetrieveData(,$C145,$E$29,$D$45,$S$25,$S$26,$S$27,$D$21,$D$22,$E$23,$E$25,$D$26,$D$27,$D$28))</f>
        <v/>
      </c>
      <c r="F145" s="716" t="inlineStr">
        <is>
          <t>A0942402</t>
        </is>
      </c>
      <c r="G145" s="144" t="inlineStr">
        <is>
          <t xml:space="preserve"> 其他业务成本 </t>
        </is>
      </c>
      <c r="H145" s="1534">
        <f>IF(_epmOfflineCondition_,0,EPMRetrieveData(,$F145,$H$103,$D$45,$S$25,$S$26,$S$27,$D$21,$D$22,$E$23,$E$25,$D$26,$D$27,$D$28))</f>
        <v/>
      </c>
      <c r="I145" s="128" t="n"/>
      <c r="J145" s="384" t="n"/>
      <c r="K145" s="384" t="n"/>
      <c r="L145" s="384" t="n"/>
      <c r="M145" s="32" t="n"/>
      <c r="N145" s="384" t="n"/>
      <c r="O145" s="384" t="n"/>
      <c r="P145" s="384" t="n"/>
      <c r="Q145" s="384" t="n"/>
      <c r="R145" s="384" t="n"/>
      <c r="S145" s="384" t="n"/>
      <c r="T145" s="384" t="n"/>
      <c r="U145" s="384" t="n"/>
      <c r="V145" s="384" t="n"/>
      <c r="W145" s="384" t="n"/>
      <c r="X145" s="384" t="n"/>
      <c r="Y145" s="384" t="n"/>
      <c r="Z145" s="384" t="n"/>
      <c r="AA145" s="384" t="n"/>
      <c r="AB145" s="384" t="n"/>
      <c r="AC145" s="384" t="n"/>
      <c r="AD145" s="384" t="n"/>
      <c r="AE145" s="384" t="n"/>
      <c r="AF145" s="384" t="n"/>
      <c r="AG145" s="384" t="n"/>
      <c r="AH145" s="384" t="n"/>
      <c r="AI145" s="384" t="n"/>
      <c r="AJ145" s="384" t="n"/>
      <c r="AK145" s="384" t="n"/>
      <c r="AL145" s="384" t="n"/>
    </row>
    <row r="146">
      <c r="A146" s="384" t="n"/>
      <c r="B146" s="384" t="n"/>
      <c r="C146" s="384" t="n"/>
      <c r="D146" s="384" t="n"/>
      <c r="E146" s="384" t="n"/>
      <c r="F146" s="384" t="n"/>
      <c r="G146" s="384" t="n"/>
      <c r="H146" s="384" t="n"/>
      <c r="I146" s="384" t="n"/>
      <c r="J146" s="384" t="n"/>
      <c r="K146" s="384" t="n"/>
      <c r="L146" s="384" t="n"/>
      <c r="M146" s="32" t="n"/>
      <c r="N146" s="384" t="n"/>
      <c r="O146" s="384" t="n"/>
      <c r="P146" s="384" t="n"/>
      <c r="Q146" s="384" t="n"/>
      <c r="R146" s="384" t="n"/>
      <c r="S146" s="384" t="n"/>
      <c r="T146" s="384" t="n"/>
      <c r="U146" s="384" t="n"/>
      <c r="V146" s="384" t="n"/>
      <c r="W146" s="384" t="n"/>
      <c r="X146" s="384" t="n"/>
      <c r="Y146" s="384" t="n"/>
      <c r="Z146" s="384" t="n"/>
      <c r="AA146" s="384" t="n"/>
      <c r="AB146" s="384" t="n"/>
      <c r="AC146" s="384" t="n"/>
      <c r="AD146" s="384" t="n"/>
      <c r="AE146" s="384" t="n"/>
      <c r="AF146" s="384" t="n"/>
      <c r="AG146" s="384" t="n"/>
      <c r="AH146" s="384" t="n"/>
      <c r="AI146" s="384" t="n"/>
      <c r="AJ146" s="384" t="n"/>
      <c r="AK146" s="384" t="n"/>
      <c r="AL146" s="384" t="n"/>
    </row>
    <row r="147">
      <c r="A147" s="384" t="n"/>
      <c r="B147" s="384" t="n"/>
      <c r="C147" s="384" t="n"/>
      <c r="D147" s="384" t="n"/>
      <c r="E147" s="384" t="n"/>
      <c r="F147" s="384" t="n"/>
      <c r="G147" s="384" t="n"/>
      <c r="H147" s="384" t="n"/>
      <c r="I147" s="384" t="n"/>
      <c r="J147" s="384" t="n"/>
      <c r="K147" s="384" t="n"/>
      <c r="L147" s="384" t="n"/>
      <c r="M147" s="32" t="n"/>
      <c r="N147" s="384" t="n"/>
      <c r="O147" s="384" t="n"/>
      <c r="P147" s="384" t="n"/>
      <c r="Q147" s="384" t="n"/>
      <c r="R147" s="384" t="n"/>
      <c r="S147" s="384" t="n"/>
      <c r="T147" s="384" t="n"/>
      <c r="U147" s="384" t="n"/>
      <c r="V147" s="384" t="n"/>
      <c r="W147" s="384" t="n"/>
      <c r="X147" s="384" t="n"/>
      <c r="Y147" s="384" t="n"/>
      <c r="Z147" s="384" t="n"/>
      <c r="AA147" s="384" t="n"/>
      <c r="AB147" s="384" t="n"/>
      <c r="AC147" s="384" t="n"/>
      <c r="AD147" s="384" t="n"/>
      <c r="AE147" s="384" t="n"/>
      <c r="AF147" s="384" t="n"/>
      <c r="AG147" s="384" t="n"/>
      <c r="AH147" s="384" t="n"/>
      <c r="AI147" s="384" t="n"/>
      <c r="AJ147" s="384" t="n"/>
      <c r="AK147" s="384" t="n"/>
      <c r="AL147" s="384" t="n"/>
    </row>
    <row r="148">
      <c r="A148" s="384" t="n"/>
      <c r="B148" s="384" t="n"/>
      <c r="C148" s="384" t="n"/>
      <c r="D148" s="384" t="n"/>
      <c r="E148" s="384" t="n"/>
      <c r="F148" s="384" t="n"/>
      <c r="G148" s="384" t="n"/>
      <c r="H148" s="384" t="n"/>
      <c r="I148" s="384" t="n"/>
      <c r="J148" s="384" t="n"/>
      <c r="K148" s="384" t="n"/>
      <c r="L148" s="384" t="n"/>
      <c r="M148" s="32" t="n"/>
      <c r="N148" s="384" t="n"/>
      <c r="O148" s="384" t="n"/>
      <c r="P148" s="384" t="n"/>
      <c r="Q148" s="384" t="n"/>
      <c r="R148" s="384" t="n"/>
      <c r="S148" s="384" t="n"/>
      <c r="T148" s="384" t="n"/>
      <c r="U148" s="384" t="n"/>
      <c r="V148" s="384" t="n"/>
      <c r="W148" s="384" t="n"/>
      <c r="X148" s="384" t="n"/>
      <c r="Y148" s="384" t="n"/>
      <c r="Z148" s="384" t="n"/>
      <c r="AA148" s="384" t="n"/>
      <c r="AB148" s="384" t="n"/>
      <c r="AC148" s="384" t="n"/>
      <c r="AD148" s="384" t="n"/>
      <c r="AE148" s="384" t="n"/>
      <c r="AF148" s="384" t="n"/>
      <c r="AG148" s="384" t="n"/>
      <c r="AH148" s="384" t="n"/>
      <c r="AI148" s="384" t="n"/>
      <c r="AJ148" s="384" t="n"/>
      <c r="AK148" s="384" t="n"/>
      <c r="AL148" s="384" t="n"/>
    </row>
    <row r="149">
      <c r="A149" s="384" t="n"/>
      <c r="B149" s="384" t="n"/>
      <c r="C149" s="384" t="n"/>
      <c r="D149" s="384" t="n"/>
      <c r="E149" s="384" t="n"/>
      <c r="F149" s="384" t="n"/>
      <c r="G149" s="384" t="n"/>
      <c r="H149" s="384" t="n"/>
      <c r="I149" s="384" t="n"/>
      <c r="J149" s="384" t="n"/>
      <c r="K149" s="384" t="n"/>
      <c r="L149" s="384" t="n"/>
      <c r="M149" s="32" t="n"/>
      <c r="N149" s="384" t="n"/>
      <c r="O149" s="384" t="n"/>
      <c r="P149" s="384" t="n"/>
      <c r="Q149" s="384" t="n"/>
      <c r="R149" s="384" t="n"/>
      <c r="S149" s="384" t="n"/>
      <c r="T149" s="384" t="n"/>
      <c r="U149" s="384" t="n"/>
      <c r="V149" s="384" t="n"/>
      <c r="W149" s="384" t="n"/>
      <c r="X149" s="384" t="n"/>
      <c r="Y149" s="384" t="n"/>
      <c r="Z149" s="384" t="n"/>
      <c r="AA149" s="384" t="n"/>
      <c r="AB149" s="384" t="n"/>
      <c r="AC149" s="384" t="n"/>
      <c r="AD149" s="384" t="n"/>
      <c r="AE149" s="384" t="n"/>
      <c r="AF149" s="384" t="n"/>
      <c r="AG149" s="384" t="n"/>
      <c r="AH149" s="384" t="n"/>
      <c r="AI149" s="384" t="n"/>
      <c r="AJ149" s="384" t="n"/>
      <c r="AK149" s="384" t="n"/>
      <c r="AL149" s="384" t="n"/>
    </row>
    <row r="150">
      <c r="A150" s="384" t="n"/>
      <c r="B150" s="384" t="n"/>
      <c r="C150" s="384" t="n"/>
      <c r="D150" s="384" t="n"/>
      <c r="E150" s="384" t="n"/>
      <c r="F150" s="384" t="n"/>
      <c r="G150" s="384" t="n"/>
      <c r="H150" s="384" t="n"/>
      <c r="I150" s="384" t="n"/>
      <c r="J150" s="384" t="n"/>
      <c r="K150" s="384" t="n"/>
      <c r="L150" s="384" t="n"/>
      <c r="M150" s="32" t="n"/>
      <c r="N150" s="384" t="n"/>
      <c r="O150" s="384" t="n"/>
      <c r="P150" s="384" t="n"/>
      <c r="Q150" s="384" t="n"/>
      <c r="R150" s="384" t="n"/>
      <c r="S150" s="384" t="n"/>
      <c r="T150" s="384" t="n"/>
      <c r="U150" s="384" t="n"/>
      <c r="V150" s="384" t="n"/>
      <c r="W150" s="384" t="n"/>
      <c r="X150" s="384" t="n"/>
      <c r="Y150" s="384" t="n"/>
      <c r="Z150" s="384" t="n"/>
      <c r="AA150" s="384" t="n"/>
      <c r="AB150" s="384" t="n"/>
      <c r="AC150" s="384" t="n"/>
      <c r="AD150" s="384" t="n"/>
      <c r="AE150" s="384" t="n"/>
      <c r="AF150" s="384" t="n"/>
      <c r="AG150" s="384" t="n"/>
      <c r="AH150" s="384" t="n"/>
      <c r="AI150" s="384" t="n"/>
      <c r="AJ150" s="384" t="n"/>
      <c r="AK150" s="384" t="n"/>
      <c r="AL150" s="384" t="n"/>
    </row>
    <row r="151">
      <c r="A151" s="384" t="n"/>
      <c r="B151" s="384" t="n"/>
      <c r="C151" s="384" t="n"/>
      <c r="D151" s="384" t="n"/>
      <c r="E151" s="384" t="n"/>
      <c r="F151" s="384" t="n"/>
      <c r="G151" s="384" t="n"/>
      <c r="H151" s="384" t="n"/>
      <c r="I151" s="384" t="n"/>
      <c r="J151" s="384" t="n"/>
      <c r="K151" s="384" t="n"/>
      <c r="L151" s="384" t="n"/>
      <c r="M151" s="32" t="n"/>
      <c r="N151" s="384" t="n"/>
      <c r="O151" s="384" t="n"/>
      <c r="P151" s="384" t="n"/>
      <c r="Q151" s="384" t="n"/>
      <c r="R151" s="384" t="n"/>
      <c r="S151" s="384" t="n"/>
      <c r="T151" s="384" t="n"/>
      <c r="U151" s="384" t="n"/>
      <c r="V151" s="384" t="n"/>
      <c r="W151" s="384" t="n"/>
      <c r="X151" s="384" t="n"/>
      <c r="Y151" s="384" t="n"/>
      <c r="Z151" s="384" t="n"/>
      <c r="AA151" s="384" t="n"/>
      <c r="AB151" s="384" t="n"/>
      <c r="AC151" s="384" t="n"/>
      <c r="AD151" s="384" t="n"/>
      <c r="AE151" s="384" t="n"/>
      <c r="AF151" s="384" t="n"/>
      <c r="AG151" s="384" t="n"/>
      <c r="AH151" s="384" t="n"/>
      <c r="AI151" s="384" t="n"/>
      <c r="AJ151" s="384" t="n"/>
      <c r="AK151" s="384" t="n"/>
      <c r="AL151" s="384" t="n"/>
    </row>
    <row r="152">
      <c r="A152" s="384" t="n"/>
      <c r="B152" s="384" t="n"/>
      <c r="C152" s="384" t="n"/>
      <c r="D152" s="384" t="n"/>
      <c r="E152" s="384" t="n"/>
      <c r="F152" s="384" t="n"/>
      <c r="G152" s="384" t="n"/>
      <c r="H152" s="384" t="n"/>
      <c r="I152" s="384" t="n"/>
      <c r="J152" s="384" t="n"/>
      <c r="K152" s="384" t="n"/>
      <c r="L152" s="384" t="n"/>
      <c r="M152" s="32" t="n"/>
      <c r="N152" s="384" t="n"/>
      <c r="O152" s="384" t="n"/>
      <c r="P152" s="384" t="n"/>
      <c r="Q152" s="384" t="n"/>
      <c r="R152" s="384" t="n"/>
      <c r="S152" s="384" t="n"/>
      <c r="T152" s="384" t="n"/>
      <c r="U152" s="384" t="n"/>
      <c r="V152" s="384" t="n"/>
      <c r="W152" s="384" t="n"/>
      <c r="X152" s="384" t="n"/>
      <c r="Y152" s="384" t="n"/>
      <c r="Z152" s="384" t="n"/>
      <c r="AA152" s="384" t="n"/>
      <c r="AB152" s="384" t="n"/>
      <c r="AC152" s="384" t="n"/>
      <c r="AD152" s="384" t="n"/>
      <c r="AE152" s="384" t="n"/>
      <c r="AF152" s="384" t="n"/>
      <c r="AG152" s="384" t="n"/>
      <c r="AH152" s="384" t="n"/>
      <c r="AI152" s="384" t="n"/>
      <c r="AJ152" s="384" t="n"/>
      <c r="AK152" s="384" t="n"/>
      <c r="AL152" s="384" t="n"/>
    </row>
    <row r="153">
      <c r="A153" s="384" t="n"/>
      <c r="B153" s="384" t="n"/>
      <c r="C153" s="384" t="n"/>
      <c r="D153" s="384" t="n"/>
      <c r="E153" s="384" t="n"/>
      <c r="F153" s="384" t="n"/>
      <c r="G153" s="384" t="n"/>
      <c r="H153" s="384" t="n"/>
      <c r="I153" s="384" t="n"/>
      <c r="J153" s="384" t="n"/>
      <c r="K153" s="384" t="n"/>
      <c r="L153" s="384" t="n"/>
      <c r="M153" s="32" t="n"/>
      <c r="N153" s="384" t="n"/>
      <c r="O153" s="384" t="n"/>
      <c r="P153" s="384" t="n"/>
      <c r="Q153" s="384" t="n"/>
      <c r="R153" s="384" t="n"/>
      <c r="S153" s="384" t="n"/>
      <c r="T153" s="384" t="n"/>
      <c r="U153" s="384" t="n"/>
      <c r="V153" s="384" t="n"/>
      <c r="W153" s="384" t="n"/>
      <c r="X153" s="384" t="n"/>
      <c r="Y153" s="384" t="n"/>
      <c r="Z153" s="384" t="n"/>
      <c r="AA153" s="384" t="n"/>
      <c r="AB153" s="384" t="n"/>
      <c r="AC153" s="384" t="n"/>
      <c r="AD153" s="384" t="n"/>
      <c r="AE153" s="384" t="n"/>
      <c r="AF153" s="384" t="n"/>
      <c r="AG153" s="384" t="n"/>
      <c r="AH153" s="384" t="n"/>
      <c r="AI153" s="384" t="n"/>
      <c r="AJ153" s="384" t="n"/>
      <c r="AK153" s="384" t="n"/>
      <c r="AL153" s="384" t="n"/>
    </row>
    <row r="154">
      <c r="A154" s="384" t="n"/>
      <c r="B154" s="384" t="n"/>
      <c r="C154" s="384" t="n"/>
      <c r="D154" s="384" t="n"/>
      <c r="E154" s="384" t="n"/>
      <c r="F154" s="384" t="n"/>
      <c r="G154" s="384" t="n"/>
      <c r="H154" s="384" t="n"/>
      <c r="I154" s="384" t="n"/>
      <c r="J154" s="384" t="n"/>
      <c r="K154" s="384" t="n"/>
      <c r="L154" s="384" t="n"/>
      <c r="M154" s="32" t="n"/>
      <c r="N154" s="384" t="n"/>
      <c r="O154" s="384" t="n"/>
      <c r="P154" s="384" t="n"/>
      <c r="Q154" s="384" t="n"/>
      <c r="R154" s="384" t="n"/>
      <c r="S154" s="384" t="n"/>
      <c r="T154" s="384" t="n"/>
      <c r="U154" s="384" t="n"/>
      <c r="V154" s="384" t="n"/>
      <c r="W154" s="384" t="n"/>
      <c r="X154" s="384" t="n"/>
      <c r="Y154" s="384" t="n"/>
      <c r="Z154" s="384" t="n"/>
      <c r="AA154" s="384" t="n"/>
      <c r="AB154" s="384" t="n"/>
      <c r="AC154" s="384" t="n"/>
      <c r="AD154" s="384" t="n"/>
      <c r="AE154" s="384" t="n"/>
      <c r="AF154" s="384" t="n"/>
      <c r="AG154" s="384" t="n"/>
      <c r="AH154" s="384" t="n"/>
      <c r="AI154" s="384" t="n"/>
      <c r="AJ154" s="384" t="n"/>
      <c r="AK154" s="384" t="n"/>
      <c r="AL154" s="384" t="n"/>
    </row>
    <row r="155">
      <c r="A155" s="384" t="n"/>
      <c r="B155" s="384" t="n"/>
      <c r="C155" s="384" t="n"/>
      <c r="D155" s="384" t="n"/>
      <c r="E155" s="384" t="n"/>
      <c r="F155" s="384" t="n"/>
      <c r="G155" s="384" t="n"/>
      <c r="H155" s="384" t="n"/>
      <c r="I155" s="384" t="n"/>
      <c r="J155" s="384" t="n"/>
      <c r="K155" s="384" t="n"/>
      <c r="L155" s="384" t="n"/>
      <c r="M155" s="32" t="n"/>
      <c r="N155" s="384" t="n"/>
      <c r="O155" s="384" t="n"/>
      <c r="P155" s="384" t="n"/>
      <c r="Q155" s="384" t="n"/>
      <c r="R155" s="384" t="n"/>
      <c r="S155" s="384" t="n"/>
      <c r="T155" s="384" t="n"/>
      <c r="U155" s="384" t="n"/>
      <c r="V155" s="384" t="n"/>
      <c r="W155" s="384" t="n"/>
      <c r="X155" s="384" t="n"/>
      <c r="Y155" s="384" t="n"/>
      <c r="Z155" s="384" t="n"/>
      <c r="AA155" s="384" t="n"/>
      <c r="AB155" s="384" t="n"/>
      <c r="AC155" s="384" t="n"/>
      <c r="AD155" s="384" t="n"/>
      <c r="AE155" s="384" t="n"/>
      <c r="AF155" s="384" t="n"/>
      <c r="AG155" s="384" t="n"/>
      <c r="AH155" s="384" t="n"/>
      <c r="AI155" s="384" t="n"/>
      <c r="AJ155" s="384" t="n"/>
      <c r="AK155" s="384" t="n"/>
      <c r="AL155" s="384" t="n"/>
    </row>
    <row r="156">
      <c r="A156" s="384" t="n"/>
      <c r="B156" s="384" t="n"/>
      <c r="C156" s="384" t="n"/>
      <c r="D156" s="384" t="n"/>
      <c r="E156" s="384" t="n"/>
      <c r="F156" s="384" t="n"/>
      <c r="G156" s="384" t="n"/>
      <c r="H156" s="384" t="n"/>
      <c r="I156" s="384" t="n"/>
      <c r="J156" s="384" t="n"/>
      <c r="K156" s="384" t="n"/>
      <c r="L156" s="384" t="n"/>
      <c r="M156" s="32" t="n"/>
      <c r="N156" s="384" t="n"/>
      <c r="O156" s="384" t="n"/>
      <c r="P156" s="384" t="n"/>
      <c r="Q156" s="384" t="n"/>
      <c r="R156" s="384" t="n"/>
      <c r="S156" s="384" t="n"/>
      <c r="T156" s="384" t="n"/>
      <c r="U156" s="384" t="n"/>
      <c r="V156" s="384" t="n"/>
      <c r="W156" s="384" t="n"/>
      <c r="X156" s="384" t="n"/>
      <c r="Y156" s="384" t="n"/>
      <c r="Z156" s="384" t="n"/>
      <c r="AA156" s="384" t="n"/>
      <c r="AB156" s="384" t="n"/>
      <c r="AC156" s="384" t="n"/>
      <c r="AD156" s="384" t="n"/>
      <c r="AE156" s="384" t="n"/>
      <c r="AF156" s="384" t="n"/>
      <c r="AG156" s="384" t="n"/>
      <c r="AH156" s="384" t="n"/>
      <c r="AI156" s="384" t="n"/>
      <c r="AJ156" s="384" t="n"/>
      <c r="AK156" s="384" t="n"/>
      <c r="AL156" s="384" t="n"/>
    </row>
    <row r="157">
      <c r="A157" s="384" t="n"/>
      <c r="B157" s="384" t="n"/>
      <c r="C157" s="384" t="n"/>
      <c r="D157" s="384" t="n"/>
      <c r="E157" s="384" t="n"/>
      <c r="F157" s="384" t="n"/>
      <c r="G157" s="384" t="n"/>
      <c r="H157" s="384" t="n"/>
      <c r="I157" s="384" t="n"/>
      <c r="J157" s="384" t="n"/>
      <c r="K157" s="384" t="n"/>
      <c r="L157" s="384" t="n"/>
      <c r="M157" s="32" t="n"/>
      <c r="N157" s="384" t="n"/>
      <c r="O157" s="384" t="n"/>
      <c r="P157" s="384" t="n"/>
      <c r="Q157" s="384" t="n"/>
      <c r="R157" s="384" t="n"/>
      <c r="S157" s="384" t="n"/>
      <c r="T157" s="384" t="n"/>
      <c r="U157" s="384" t="n"/>
      <c r="V157" s="384" t="n"/>
      <c r="W157" s="384" t="n"/>
      <c r="X157" s="384" t="n"/>
      <c r="Y157" s="384" t="n"/>
      <c r="Z157" s="384" t="n"/>
      <c r="AA157" s="384" t="n"/>
      <c r="AB157" s="384" t="n"/>
      <c r="AC157" s="384" t="n"/>
      <c r="AD157" s="384" t="n"/>
      <c r="AE157" s="384" t="n"/>
      <c r="AF157" s="384" t="n"/>
      <c r="AG157" s="384" t="n"/>
      <c r="AH157" s="384" t="n"/>
      <c r="AI157" s="384" t="n"/>
      <c r="AJ157" s="384" t="n"/>
      <c r="AK157" s="384" t="n"/>
      <c r="AL157" s="384" t="n"/>
    </row>
    <row r="158">
      <c r="A158" s="384" t="n"/>
      <c r="B158" s="384" t="n"/>
      <c r="C158" s="384" t="n"/>
      <c r="D158" s="384" t="n"/>
      <c r="E158" s="384" t="n"/>
      <c r="F158" s="384" t="n"/>
      <c r="G158" s="384" t="n"/>
      <c r="H158" s="384" t="n"/>
      <c r="I158" s="384" t="n"/>
      <c r="J158" s="384" t="n"/>
      <c r="K158" s="384" t="n"/>
      <c r="L158" s="384" t="n"/>
      <c r="M158" s="32" t="n"/>
      <c r="N158" s="384" t="n"/>
      <c r="O158" s="384" t="n"/>
      <c r="P158" s="384" t="n"/>
      <c r="Q158" s="384" t="n"/>
      <c r="R158" s="384" t="n"/>
      <c r="S158" s="384" t="n"/>
      <c r="T158" s="384" t="n"/>
      <c r="U158" s="384" t="n"/>
      <c r="V158" s="384" t="n"/>
      <c r="W158" s="384" t="n"/>
      <c r="X158" s="384" t="n"/>
      <c r="Y158" s="384" t="n"/>
      <c r="Z158" s="384" t="n"/>
      <c r="AA158" s="384" t="n"/>
      <c r="AB158" s="384" t="n"/>
      <c r="AC158" s="384" t="n"/>
      <c r="AD158" s="384" t="n"/>
      <c r="AE158" s="384" t="n"/>
      <c r="AF158" s="384" t="n"/>
      <c r="AG158" s="384" t="n"/>
      <c r="AH158" s="384" t="n"/>
      <c r="AI158" s="384" t="n"/>
      <c r="AJ158" s="384" t="n"/>
      <c r="AK158" s="384" t="n"/>
      <c r="AL158" s="384" t="n"/>
    </row>
    <row r="159">
      <c r="A159" s="384" t="n"/>
      <c r="B159" s="384" t="n"/>
      <c r="C159" s="384" t="n"/>
      <c r="D159" s="384" t="n"/>
      <c r="E159" s="384" t="n"/>
      <c r="F159" s="384" t="n"/>
      <c r="G159" s="384" t="n"/>
      <c r="H159" s="384" t="n"/>
      <c r="I159" s="384" t="n"/>
      <c r="J159" s="384" t="n"/>
      <c r="K159" s="384" t="n"/>
      <c r="L159" s="384" t="n"/>
      <c r="M159" s="32" t="n"/>
      <c r="N159" s="384" t="n"/>
      <c r="O159" s="384" t="n"/>
      <c r="P159" s="384" t="n"/>
      <c r="Q159" s="384" t="n"/>
      <c r="R159" s="384" t="n"/>
      <c r="S159" s="384" t="n"/>
      <c r="T159" s="384" t="n"/>
      <c r="U159" s="384" t="n"/>
      <c r="V159" s="384" t="n"/>
      <c r="W159" s="384" t="n"/>
      <c r="X159" s="384" t="n"/>
      <c r="Y159" s="384" t="n"/>
      <c r="Z159" s="384" t="n"/>
      <c r="AA159" s="384" t="n"/>
      <c r="AB159" s="384" t="n"/>
      <c r="AC159" s="384" t="n"/>
      <c r="AD159" s="384" t="n"/>
      <c r="AE159" s="384" t="n"/>
      <c r="AF159" s="384" t="n"/>
      <c r="AG159" s="384" t="n"/>
      <c r="AH159" s="384" t="n"/>
      <c r="AI159" s="384" t="n"/>
      <c r="AJ159" s="384" t="n"/>
      <c r="AK159" s="384" t="n"/>
      <c r="AL159" s="384" t="n"/>
    </row>
    <row r="160">
      <c r="A160" s="384" t="n"/>
      <c r="B160" s="384" t="n"/>
      <c r="C160" s="384" t="n"/>
      <c r="D160" s="384" t="n"/>
      <c r="E160" s="384" t="n"/>
      <c r="F160" s="384" t="n"/>
      <c r="G160" s="384" t="n"/>
      <c r="H160" s="384" t="n"/>
      <c r="I160" s="384" t="n"/>
      <c r="J160" s="384" t="n"/>
      <c r="K160" s="384" t="n"/>
      <c r="L160" s="384" t="n"/>
      <c r="M160" s="32" t="n"/>
      <c r="N160" s="384" t="n"/>
      <c r="O160" s="384" t="n"/>
      <c r="P160" s="384" t="n"/>
      <c r="Q160" s="384" t="n"/>
      <c r="R160" s="384" t="n"/>
      <c r="S160" s="384" t="n"/>
      <c r="T160" s="384" t="n"/>
      <c r="U160" s="384" t="n"/>
      <c r="V160" s="384" t="n"/>
      <c r="W160" s="384" t="n"/>
      <c r="X160" s="384" t="n"/>
      <c r="Y160" s="384" t="n"/>
      <c r="Z160" s="384" t="n"/>
      <c r="AA160" s="384" t="n"/>
      <c r="AB160" s="384" t="n"/>
      <c r="AC160" s="384" t="n"/>
      <c r="AD160" s="384" t="n"/>
      <c r="AE160" s="384" t="n"/>
      <c r="AF160" s="384" t="n"/>
      <c r="AG160" s="384" t="n"/>
      <c r="AH160" s="384" t="n"/>
      <c r="AI160" s="384" t="n"/>
      <c r="AJ160" s="384" t="n"/>
      <c r="AK160" s="384" t="n"/>
      <c r="AL160" s="384" t="n"/>
    </row>
    <row r="161">
      <c r="A161" s="384" t="n"/>
      <c r="B161" s="384" t="n"/>
      <c r="C161" s="384" t="n"/>
      <c r="D161" s="384" t="n"/>
      <c r="E161" s="384" t="n"/>
      <c r="F161" s="384" t="n"/>
      <c r="G161" s="384" t="n"/>
      <c r="H161" s="384" t="n"/>
      <c r="I161" s="384" t="n"/>
      <c r="J161" s="384" t="n"/>
      <c r="K161" s="384" t="n"/>
      <c r="L161" s="384" t="n"/>
      <c r="M161" s="32" t="n"/>
      <c r="N161" s="384" t="n"/>
      <c r="O161" s="384" t="n"/>
      <c r="P161" s="384" t="n"/>
      <c r="Q161" s="384" t="n"/>
      <c r="R161" s="384" t="n"/>
      <c r="S161" s="384" t="n"/>
      <c r="T161" s="384" t="n"/>
      <c r="U161" s="384" t="n"/>
      <c r="V161" s="384" t="n"/>
      <c r="W161" s="384" t="n"/>
      <c r="X161" s="384" t="n"/>
      <c r="Y161" s="384" t="n"/>
      <c r="Z161" s="384" t="n"/>
      <c r="AA161" s="384" t="n"/>
      <c r="AB161" s="384" t="n"/>
      <c r="AC161" s="384" t="n"/>
      <c r="AD161" s="384" t="n"/>
      <c r="AE161" s="384" t="n"/>
      <c r="AF161" s="384" t="n"/>
      <c r="AG161" s="384" t="n"/>
      <c r="AH161" s="384" t="n"/>
      <c r="AI161" s="384" t="n"/>
      <c r="AJ161" s="384" t="n"/>
      <c r="AK161" s="384" t="n"/>
      <c r="AL161" s="384" t="n"/>
    </row>
    <row r="162">
      <c r="A162" s="384" t="n"/>
      <c r="B162" s="384" t="n"/>
      <c r="C162" s="384" t="n"/>
      <c r="D162" s="384" t="n"/>
      <c r="E162" s="384" t="n"/>
      <c r="F162" s="384" t="n"/>
      <c r="G162" s="384" t="n"/>
      <c r="H162" s="384" t="n"/>
      <c r="I162" s="384" t="n"/>
      <c r="J162" s="384" t="n"/>
      <c r="K162" s="384" t="n"/>
      <c r="L162" s="384" t="n"/>
      <c r="M162" s="32" t="n"/>
      <c r="N162" s="384" t="n"/>
      <c r="O162" s="384" t="n"/>
      <c r="P162" s="384" t="n"/>
      <c r="Q162" s="384" t="n"/>
      <c r="R162" s="384" t="n"/>
      <c r="S162" s="384" t="n"/>
      <c r="T162" s="384" t="n"/>
      <c r="U162" s="384" t="n"/>
      <c r="V162" s="384" t="n"/>
      <c r="W162" s="384" t="n"/>
      <c r="X162" s="384" t="n"/>
      <c r="Y162" s="384" t="n"/>
      <c r="Z162" s="384" t="n"/>
      <c r="AA162" s="384" t="n"/>
      <c r="AB162" s="384" t="n"/>
      <c r="AC162" s="384" t="n"/>
      <c r="AD162" s="384" t="n"/>
      <c r="AE162" s="384" t="n"/>
      <c r="AF162" s="384" t="n"/>
      <c r="AG162" s="384" t="n"/>
      <c r="AH162" s="384" t="n"/>
      <c r="AI162" s="384" t="n"/>
      <c r="AJ162" s="384" t="n"/>
      <c r="AK162" s="384" t="n"/>
      <c r="AL162" s="384" t="n"/>
    </row>
    <row r="163">
      <c r="A163" s="384" t="n"/>
      <c r="B163" s="384" t="n"/>
      <c r="C163" s="384" t="n"/>
      <c r="D163" s="384" t="n"/>
      <c r="E163" s="384" t="n"/>
      <c r="F163" s="384" t="n"/>
      <c r="G163" s="384" t="n"/>
      <c r="H163" s="384" t="n"/>
      <c r="I163" s="384" t="n"/>
      <c r="J163" s="384" t="n"/>
      <c r="K163" s="384" t="n"/>
      <c r="L163" s="384" t="n"/>
      <c r="M163" s="32" t="n"/>
      <c r="N163" s="384" t="n"/>
      <c r="O163" s="384" t="n"/>
      <c r="P163" s="384" t="n"/>
      <c r="Q163" s="384" t="n"/>
      <c r="R163" s="384" t="n"/>
      <c r="S163" s="384" t="n"/>
      <c r="T163" s="384" t="n"/>
      <c r="U163" s="384" t="n"/>
      <c r="V163" s="384" t="n"/>
      <c r="W163" s="384" t="n"/>
      <c r="X163" s="384" t="n"/>
      <c r="Y163" s="384" t="n"/>
      <c r="Z163" s="384" t="n"/>
      <c r="AA163" s="384" t="n"/>
      <c r="AB163" s="384" t="n"/>
      <c r="AC163" s="384" t="n"/>
      <c r="AD163" s="384" t="n"/>
      <c r="AE163" s="384" t="n"/>
      <c r="AF163" s="384" t="n"/>
      <c r="AG163" s="384" t="n"/>
      <c r="AH163" s="384" t="n"/>
      <c r="AI163" s="384" t="n"/>
      <c r="AJ163" s="384" t="n"/>
      <c r="AK163" s="384" t="n"/>
      <c r="AL163" s="384" t="n"/>
    </row>
    <row r="164" ht="34" customHeight="1" s="1181">
      <c r="A164" s="384" t="n"/>
      <c r="B164" s="384" t="n"/>
      <c r="C164" s="842" t="inlineStr">
        <is>
          <t>E100001</t>
        </is>
      </c>
      <c r="D164" s="130">
        <f>IF(_epmOfflineCondition_,"北京京能清洁能源电力股份有限公司",EPMMemberDesc(C164))</f>
        <v/>
      </c>
      <c r="E164" s="169">
        <f>IFERROR(VLOOKUP(D21,C164:D198,1,FALSE),"不适用单位")</f>
        <v/>
      </c>
      <c r="F164" s="384" t="n"/>
      <c r="G164" s="384" t="n"/>
      <c r="H164" s="384" t="n"/>
      <c r="I164" s="384" t="n"/>
      <c r="J164" s="384" t="n"/>
      <c r="K164" s="384" t="n"/>
      <c r="L164" s="384" t="n"/>
      <c r="M164" s="32" t="n"/>
      <c r="N164" s="384" t="n"/>
      <c r="O164" s="384" t="n"/>
      <c r="P164" s="384" t="n"/>
      <c r="Q164" s="384" t="n"/>
      <c r="R164" s="384" t="n"/>
      <c r="S164" s="384" t="n"/>
      <c r="T164" s="384" t="n"/>
      <c r="U164" s="384" t="n"/>
      <c r="V164" s="384" t="n"/>
      <c r="W164" s="384" t="n"/>
      <c r="X164" s="384" t="n"/>
      <c r="Y164" s="384" t="n"/>
      <c r="Z164" s="384" t="n"/>
      <c r="AA164" s="384" t="n"/>
      <c r="AB164" s="384" t="n"/>
      <c r="AC164" s="384" t="n"/>
      <c r="AD164" s="384" t="n"/>
      <c r="AE164" s="384" t="n"/>
      <c r="AF164" s="384" t="n"/>
      <c r="AG164" s="384" t="n"/>
      <c r="AH164" s="384" t="n"/>
      <c r="AI164" s="384" t="n"/>
      <c r="AJ164" s="384" t="n"/>
      <c r="AK164" s="384" t="n"/>
      <c r="AL164" s="384" t="n"/>
    </row>
    <row r="165" ht="51" customHeight="1" s="1181">
      <c r="A165" s="384" t="n"/>
      <c r="B165" s="384" t="n"/>
      <c r="C165" s="842" t="inlineStr">
        <is>
          <t>E100013</t>
        </is>
      </c>
      <c r="D165" s="130">
        <f>IF(_epmOfflineCondition_,"北京京能清洁能源电力股份有限公司北京分公司",EPMMemberDesc(C165))</f>
        <v/>
      </c>
      <c r="E165" s="169">
        <f>IF(COUNTIF(C164:C189,$D$21)&gt;0,"单体","合并")</f>
        <v/>
      </c>
      <c r="F165" s="384" t="n"/>
      <c r="G165" s="384" t="n"/>
      <c r="H165" s="384" t="n"/>
      <c r="I165" s="384" t="n"/>
      <c r="J165" s="384" t="n"/>
      <c r="K165" s="384" t="n"/>
      <c r="L165" s="384" t="n"/>
      <c r="M165" s="32" t="n"/>
      <c r="N165" s="384" t="n"/>
      <c r="O165" s="384" t="n"/>
      <c r="P165" s="384" t="n"/>
      <c r="Q165" s="384" t="n"/>
      <c r="R165" s="384" t="n"/>
      <c r="S165" s="384" t="n"/>
      <c r="T165" s="384" t="n"/>
      <c r="U165" s="384" t="n"/>
      <c r="V165" s="384" t="n"/>
      <c r="W165" s="384" t="n"/>
      <c r="X165" s="384" t="n"/>
      <c r="Y165" s="384" t="n"/>
      <c r="Z165" s="384" t="n"/>
      <c r="AA165" s="384" t="n"/>
      <c r="AB165" s="384" t="n"/>
      <c r="AC165" s="384" t="n"/>
      <c r="AD165" s="384" t="n"/>
      <c r="AE165" s="384" t="n"/>
      <c r="AF165" s="384" t="n"/>
      <c r="AG165" s="384" t="n"/>
      <c r="AH165" s="384" t="n"/>
      <c r="AI165" s="384" t="n"/>
      <c r="AJ165" s="384" t="n"/>
      <c r="AK165" s="384" t="n"/>
      <c r="AL165" s="384" t="n"/>
    </row>
    <row r="166" ht="51" customHeight="1" s="1181">
      <c r="A166" s="384" t="n"/>
      <c r="B166" s="384" t="n"/>
      <c r="C166" s="842" t="inlineStr">
        <is>
          <t>E100041</t>
        </is>
      </c>
      <c r="D166" s="130">
        <f>IF(_epmOfflineCondition_,"北京京能清洁能源电力股份有限公司东北分公司",EPMMemberDesc(C166))</f>
        <v/>
      </c>
      <c r="E166" s="169">
        <f>LEN(E164)</f>
        <v/>
      </c>
      <c r="F166" s="384" t="n"/>
      <c r="G166" s="384" t="n"/>
      <c r="H166" s="384" t="n"/>
      <c r="I166" s="384" t="n"/>
      <c r="J166" s="384" t="n"/>
      <c r="K166" s="384" t="n"/>
      <c r="L166" s="384" t="n"/>
      <c r="M166" s="32" t="n"/>
      <c r="N166" s="384" t="n"/>
      <c r="O166" s="384" t="n"/>
      <c r="P166" s="384" t="n"/>
      <c r="Q166" s="384" t="n"/>
      <c r="R166" s="384" t="n"/>
      <c r="S166" s="384" t="n"/>
      <c r="T166" s="384" t="n"/>
      <c r="U166" s="384" t="n"/>
      <c r="V166" s="384" t="n"/>
      <c r="W166" s="384" t="n"/>
      <c r="X166" s="384" t="n"/>
      <c r="Y166" s="384" t="n"/>
      <c r="Z166" s="384" t="n"/>
      <c r="AA166" s="384" t="n"/>
      <c r="AB166" s="384" t="n"/>
      <c r="AC166" s="384" t="n"/>
      <c r="AD166" s="384" t="n"/>
      <c r="AE166" s="384" t="n"/>
      <c r="AF166" s="384" t="n"/>
      <c r="AG166" s="384" t="n"/>
      <c r="AH166" s="384" t="n"/>
      <c r="AI166" s="384" t="n"/>
      <c r="AJ166" s="384" t="n"/>
      <c r="AK166" s="384" t="n"/>
      <c r="AL166" s="384" t="n"/>
    </row>
    <row r="167" ht="51" customHeight="1" s="1181">
      <c r="A167" s="384" t="n"/>
      <c r="B167" s="384" t="n"/>
      <c r="C167" s="842" t="inlineStr">
        <is>
          <t>E100057</t>
        </is>
      </c>
      <c r="D167" s="130">
        <f>IF(_epmOfflineCondition_,"北京京能清洁能源电力股份有限公司华南分公司",EPMMemberDesc(C167))</f>
        <v/>
      </c>
      <c r="E167" s="384" t="n"/>
      <c r="F167" s="384" t="n"/>
      <c r="G167" s="384" t="n"/>
      <c r="H167" s="384" t="n"/>
      <c r="I167" s="384" t="n"/>
      <c r="J167" s="384" t="n"/>
      <c r="K167" s="384" t="n"/>
      <c r="L167" s="384" t="n"/>
      <c r="M167" s="32" t="n"/>
      <c r="N167" s="384" t="n"/>
      <c r="O167" s="384" t="n"/>
      <c r="P167" s="384" t="n"/>
      <c r="Q167" s="384" t="n"/>
      <c r="R167" s="384" t="n"/>
      <c r="S167" s="384" t="n"/>
      <c r="T167" s="384" t="n"/>
      <c r="U167" s="384" t="n"/>
      <c r="V167" s="384" t="n"/>
      <c r="W167" s="384" t="n"/>
      <c r="X167" s="384" t="n"/>
      <c r="Y167" s="384" t="n"/>
      <c r="Z167" s="384" t="n"/>
      <c r="AA167" s="384" t="n"/>
      <c r="AB167" s="384" t="n"/>
      <c r="AC167" s="384" t="n"/>
      <c r="AD167" s="384" t="n"/>
      <c r="AE167" s="384" t="n"/>
      <c r="AF167" s="384" t="n"/>
      <c r="AG167" s="384" t="n"/>
      <c r="AH167" s="384" t="n"/>
      <c r="AI167" s="384" t="n"/>
      <c r="AJ167" s="384" t="n"/>
      <c r="AK167" s="384" t="n"/>
      <c r="AL167" s="384" t="n"/>
    </row>
    <row r="168" ht="51" customHeight="1" s="1181">
      <c r="A168" s="384" t="n"/>
      <c r="B168" s="384" t="n"/>
      <c r="C168" s="842" t="inlineStr">
        <is>
          <t>E100072</t>
        </is>
      </c>
      <c r="D168" s="130">
        <f>IF(_epmOfflineCondition_,"北京京能清洁能源电力股份有限公司内蒙古分公司",EPMMemberDesc(C168))</f>
        <v/>
      </c>
      <c r="E168" s="384" t="n"/>
      <c r="F168" s="384" t="n"/>
      <c r="G168" s="384" t="n"/>
      <c r="H168" s="384" t="n"/>
      <c r="I168" s="384" t="n"/>
      <c r="J168" s="384" t="n"/>
      <c r="K168" s="384" t="n"/>
      <c r="L168" s="384" t="n"/>
      <c r="M168" s="32" t="n"/>
      <c r="N168" s="384" t="n"/>
      <c r="O168" s="384" t="n"/>
      <c r="P168" s="384" t="n"/>
      <c r="Q168" s="384" t="n"/>
      <c r="R168" s="384" t="n"/>
      <c r="S168" s="384" t="n"/>
      <c r="T168" s="384" t="n"/>
      <c r="U168" s="384" t="n"/>
      <c r="V168" s="384" t="n"/>
      <c r="W168" s="384" t="n"/>
      <c r="X168" s="384" t="n"/>
      <c r="Y168" s="384" t="n"/>
      <c r="Z168" s="384" t="n"/>
      <c r="AA168" s="384" t="n"/>
      <c r="AB168" s="384" t="n"/>
      <c r="AC168" s="384" t="n"/>
      <c r="AD168" s="384" t="n"/>
      <c r="AE168" s="384" t="n"/>
      <c r="AF168" s="384" t="n"/>
      <c r="AG168" s="384" t="n"/>
      <c r="AH168" s="384" t="n"/>
      <c r="AI168" s="384" t="n"/>
      <c r="AJ168" s="384" t="n"/>
      <c r="AK168" s="384" t="n"/>
      <c r="AL168" s="384" t="n"/>
    </row>
    <row r="169" ht="51" customHeight="1" s="1181">
      <c r="A169" s="384" t="n"/>
      <c r="B169" s="384" t="n"/>
      <c r="C169" s="842" t="inlineStr">
        <is>
          <t>E100086</t>
        </is>
      </c>
      <c r="D169" s="130">
        <f>IF(_epmOfflineCondition_,"北京京能清洁能源电力股份有限公司西北分公司",EPMMemberDesc(C169))</f>
        <v/>
      </c>
      <c r="E169" s="384" t="n"/>
      <c r="F169" s="384" t="n"/>
      <c r="G169" s="384" t="n"/>
      <c r="H169" s="384" t="n"/>
      <c r="I169" s="384" t="n"/>
      <c r="J169" s="384" t="n"/>
      <c r="K169" s="384" t="n"/>
      <c r="L169" s="384" t="n"/>
      <c r="M169" s="32" t="n"/>
      <c r="N169" s="384" t="n"/>
      <c r="O169" s="384" t="n"/>
      <c r="P169" s="384" t="n"/>
      <c r="Q169" s="384" t="n"/>
      <c r="R169" s="384" t="n"/>
      <c r="S169" s="384" t="n"/>
      <c r="T169" s="384" t="n"/>
      <c r="U169" s="384" t="n"/>
      <c r="V169" s="384" t="n"/>
      <c r="W169" s="384" t="n"/>
      <c r="X169" s="384" t="n"/>
      <c r="Y169" s="384" t="n"/>
      <c r="Z169" s="384" t="n"/>
      <c r="AA169" s="384" t="n"/>
      <c r="AB169" s="384" t="n"/>
      <c r="AC169" s="384" t="n"/>
      <c r="AD169" s="384" t="n"/>
      <c r="AE169" s="384" t="n"/>
      <c r="AF169" s="384" t="n"/>
      <c r="AG169" s="384" t="n"/>
      <c r="AH169" s="384" t="n"/>
      <c r="AI169" s="384" t="n"/>
      <c r="AJ169" s="384" t="n"/>
      <c r="AK169" s="384" t="n"/>
      <c r="AL169" s="384" t="n"/>
    </row>
    <row r="170" ht="51" customHeight="1" s="1181">
      <c r="A170" s="384" t="n"/>
      <c r="B170" s="384" t="n"/>
      <c r="C170" s="842" t="inlineStr">
        <is>
          <t>E100095</t>
        </is>
      </c>
      <c r="D170" s="130">
        <f>IF(_epmOfflineCondition_,"北京京能清洁能源电力股份有限公司西南分公司",EPMMemberDesc(C170))</f>
        <v/>
      </c>
      <c r="E170" s="384" t="n"/>
      <c r="F170" s="384" t="n"/>
      <c r="G170" s="384" t="n"/>
      <c r="H170" s="384" t="n"/>
      <c r="I170" s="384" t="n"/>
      <c r="J170" s="384" t="n"/>
      <c r="K170" s="384" t="n"/>
      <c r="L170" s="384" t="n"/>
      <c r="M170" s="32" t="n"/>
      <c r="N170" s="384" t="n"/>
      <c r="O170" s="384" t="n"/>
      <c r="P170" s="384" t="n"/>
      <c r="Q170" s="384" t="n"/>
      <c r="R170" s="384" t="n"/>
      <c r="S170" s="384" t="n"/>
      <c r="T170" s="384" t="n"/>
      <c r="U170" s="384" t="n"/>
      <c r="V170" s="384" t="n"/>
      <c r="W170" s="384" t="n"/>
      <c r="X170" s="384" t="n"/>
      <c r="Y170" s="384" t="n"/>
      <c r="Z170" s="384" t="n"/>
      <c r="AA170" s="384" t="n"/>
      <c r="AB170" s="384" t="n"/>
      <c r="AC170" s="384" t="n"/>
      <c r="AD170" s="384" t="n"/>
      <c r="AE170" s="384" t="n"/>
      <c r="AF170" s="384" t="n"/>
      <c r="AG170" s="384" t="n"/>
      <c r="AH170" s="384" t="n"/>
      <c r="AI170" s="384" t="n"/>
      <c r="AJ170" s="384" t="n"/>
      <c r="AK170" s="384" t="n"/>
      <c r="AL170" s="384" t="n"/>
    </row>
    <row r="171" ht="51" customHeight="1" s="1181">
      <c r="A171" s="384" t="n"/>
      <c r="B171" s="384" t="n"/>
      <c r="C171" s="842" t="inlineStr">
        <is>
          <t>E100792</t>
        </is>
      </c>
      <c r="D171" s="130">
        <f>IF(_epmOfflineCondition_,"北京京能清洁能源电力股份有限公司新疆分公司",EPMMemberDesc(C171))</f>
        <v/>
      </c>
      <c r="E171" s="384" t="n"/>
      <c r="F171" s="384" t="n"/>
      <c r="G171" s="384" t="n"/>
      <c r="H171" s="384" t="n"/>
      <c r="I171" s="384" t="n"/>
      <c r="J171" s="384" t="n"/>
      <c r="K171" s="384" t="n"/>
      <c r="L171" s="384" t="n"/>
      <c r="M171" s="32" t="n"/>
      <c r="N171" s="384" t="n"/>
      <c r="O171" s="384" t="n"/>
      <c r="P171" s="384" t="n"/>
      <c r="Q171" s="384" t="n"/>
      <c r="R171" s="384" t="n"/>
      <c r="S171" s="384" t="n"/>
      <c r="T171" s="384" t="n"/>
      <c r="U171" s="384" t="n"/>
      <c r="V171" s="384" t="n"/>
      <c r="W171" s="384" t="n"/>
      <c r="X171" s="384" t="n"/>
      <c r="Y171" s="384" t="n"/>
      <c r="Z171" s="384" t="n"/>
      <c r="AA171" s="384" t="n"/>
      <c r="AB171" s="384" t="n"/>
      <c r="AC171" s="384" t="n"/>
      <c r="AD171" s="384" t="n"/>
      <c r="AE171" s="384" t="n"/>
      <c r="AF171" s="384" t="n"/>
      <c r="AG171" s="384" t="n"/>
      <c r="AH171" s="384" t="n"/>
      <c r="AI171" s="384" t="n"/>
      <c r="AJ171" s="384" t="n"/>
      <c r="AK171" s="384" t="n"/>
      <c r="AL171" s="384" t="n"/>
    </row>
    <row r="172" ht="51" customHeight="1" s="1181">
      <c r="A172" s="384" t="n"/>
      <c r="B172" s="384" t="n"/>
      <c r="C172" s="842" t="inlineStr">
        <is>
          <t>E100805</t>
        </is>
      </c>
      <c r="D172" s="130">
        <f>IF(_epmOfflineCondition_,"北京京能清洁能源电力股份有限公司山西分公司",EPMMemberDesc(C172))</f>
        <v/>
      </c>
      <c r="E172" s="384" t="n"/>
      <c r="F172" s="384" t="n"/>
      <c r="G172" s="384" t="n"/>
      <c r="H172" s="384" t="n"/>
      <c r="I172" s="384" t="n"/>
      <c r="J172" s="384" t="n"/>
      <c r="K172" s="384" t="n"/>
      <c r="L172" s="384" t="n"/>
      <c r="M172" s="32" t="n"/>
      <c r="N172" s="384" t="n"/>
      <c r="O172" s="384" t="n"/>
      <c r="P172" s="384" t="n"/>
      <c r="Q172" s="384" t="n"/>
      <c r="R172" s="384" t="n"/>
      <c r="S172" s="384" t="n"/>
      <c r="T172" s="384" t="n"/>
      <c r="U172" s="384" t="n"/>
      <c r="V172" s="384" t="n"/>
      <c r="W172" s="384" t="n"/>
      <c r="X172" s="384" t="n"/>
      <c r="Y172" s="384" t="n"/>
      <c r="Z172" s="384" t="n"/>
      <c r="AA172" s="384" t="n"/>
      <c r="AB172" s="384" t="n"/>
      <c r="AC172" s="384" t="n"/>
      <c r="AD172" s="384" t="n"/>
      <c r="AE172" s="384" t="n"/>
      <c r="AF172" s="384" t="n"/>
      <c r="AG172" s="384" t="n"/>
      <c r="AH172" s="384" t="n"/>
      <c r="AI172" s="384" t="n"/>
      <c r="AJ172" s="384" t="n"/>
      <c r="AK172" s="384" t="n"/>
      <c r="AL172" s="384" t="n"/>
    </row>
    <row r="173" ht="34" customHeight="1" s="1181">
      <c r="A173" s="384" t="n"/>
      <c r="B173" s="384" t="n"/>
      <c r="C173" s="842" t="inlineStr">
        <is>
          <t>E100014</t>
        </is>
      </c>
      <c r="D173" s="130">
        <f>IF(_epmOfflineCondition_,"北京京能新能源有限公司",EPMMemberDesc(C173))</f>
        <v/>
      </c>
      <c r="E173" s="384" t="n"/>
      <c r="F173" s="384" t="n"/>
      <c r="G173" s="384" t="n"/>
      <c r="H173" s="384" t="n"/>
      <c r="I173" s="384" t="n"/>
      <c r="J173" s="384" t="n"/>
      <c r="K173" s="384" t="n"/>
      <c r="L173" s="384" t="n"/>
      <c r="M173" s="32" t="n"/>
      <c r="N173" s="384" t="n"/>
      <c r="O173" s="384" t="n"/>
      <c r="P173" s="384" t="n"/>
      <c r="Q173" s="384" t="n"/>
      <c r="R173" s="384" t="n"/>
      <c r="S173" s="384" t="n"/>
      <c r="T173" s="384" t="n"/>
      <c r="U173" s="384" t="n"/>
      <c r="V173" s="384" t="n"/>
      <c r="W173" s="384" t="n"/>
      <c r="X173" s="384" t="n"/>
      <c r="Y173" s="384" t="n"/>
      <c r="Z173" s="384" t="n"/>
      <c r="AA173" s="384" t="n"/>
      <c r="AB173" s="384" t="n"/>
      <c r="AC173" s="384" t="n"/>
      <c r="AD173" s="384" t="n"/>
      <c r="AE173" s="384" t="n"/>
      <c r="AF173" s="384" t="n"/>
      <c r="AG173" s="384" t="n"/>
      <c r="AH173" s="384" t="n"/>
      <c r="AI173" s="384" t="n"/>
      <c r="AJ173" s="384" t="n"/>
      <c r="AK173" s="384" t="n"/>
      <c r="AL173" s="384" t="n"/>
    </row>
    <row r="174" ht="34" customHeight="1" s="1181">
      <c r="A174" s="384" t="n"/>
      <c r="B174" s="384" t="n"/>
      <c r="C174" s="842" t="inlineStr">
        <is>
          <t>E100107</t>
        </is>
      </c>
      <c r="D174" s="130">
        <f>IF(_epmOfflineCondition_,"深圳京能融资租赁有限公司",EPMMemberDesc(C174))</f>
        <v/>
      </c>
      <c r="E174" s="384" t="n"/>
      <c r="F174" s="384" t="n"/>
      <c r="G174" s="384" t="n"/>
      <c r="H174" s="384" t="n"/>
      <c r="I174" s="384" t="n"/>
      <c r="J174" s="384" t="n"/>
      <c r="K174" s="384" t="n"/>
      <c r="L174" s="384" t="n"/>
      <c r="M174" s="32" t="n"/>
      <c r="N174" s="384" t="n"/>
      <c r="O174" s="384" t="n"/>
      <c r="P174" s="384" t="n"/>
      <c r="Q174" s="384" t="n"/>
      <c r="R174" s="384" t="n"/>
      <c r="S174" s="384" t="n"/>
      <c r="T174" s="384" t="n"/>
      <c r="U174" s="384" t="n"/>
      <c r="V174" s="384" t="n"/>
      <c r="W174" s="384" t="n"/>
      <c r="X174" s="384" t="n"/>
      <c r="Y174" s="384" t="n"/>
      <c r="Z174" s="384" t="n"/>
      <c r="AA174" s="384" t="n"/>
      <c r="AB174" s="384" t="n"/>
      <c r="AC174" s="384" t="n"/>
      <c r="AD174" s="384" t="n"/>
      <c r="AE174" s="384" t="n"/>
      <c r="AF174" s="384" t="n"/>
      <c r="AG174" s="384" t="n"/>
      <c r="AH174" s="384" t="n"/>
      <c r="AI174" s="384" t="n"/>
      <c r="AJ174" s="384" t="n"/>
      <c r="AK174" s="384" t="n"/>
      <c r="AL174" s="384" t="n"/>
    </row>
    <row r="175" ht="17" customHeight="1" s="1181">
      <c r="A175" s="384" t="n"/>
      <c r="B175" s="384" t="n"/>
      <c r="C175" s="842" t="n"/>
      <c r="D175" s="130">
        <f>IF(_epmOfflineCondition_,"",EPMMemberDesc(C175))</f>
        <v/>
      </c>
      <c r="E175" s="384" t="n"/>
      <c r="F175" s="384" t="n"/>
      <c r="G175" s="384" t="n"/>
      <c r="H175" s="384" t="n"/>
      <c r="I175" s="384" t="n"/>
      <c r="J175" s="384" t="n"/>
      <c r="K175" s="384" t="n"/>
      <c r="L175" s="384" t="n"/>
      <c r="M175" s="32" t="n"/>
      <c r="N175" s="384" t="n"/>
      <c r="O175" s="384" t="n"/>
      <c r="P175" s="384" t="n"/>
      <c r="Q175" s="384" t="n"/>
      <c r="R175" s="384" t="n"/>
      <c r="S175" s="384" t="n"/>
      <c r="T175" s="384" t="n"/>
      <c r="U175" s="384" t="n"/>
      <c r="V175" s="384" t="n"/>
      <c r="W175" s="384" t="n"/>
      <c r="X175" s="384" t="n"/>
      <c r="Y175" s="384" t="n"/>
      <c r="Z175" s="384" t="n"/>
      <c r="AA175" s="384" t="n"/>
      <c r="AB175" s="384" t="n"/>
      <c r="AC175" s="384" t="n"/>
      <c r="AD175" s="384" t="n"/>
      <c r="AE175" s="384" t="n"/>
      <c r="AF175" s="384" t="n"/>
      <c r="AG175" s="384" t="n"/>
      <c r="AH175" s="384" t="n"/>
      <c r="AI175" s="384" t="n"/>
      <c r="AJ175" s="384" t="n"/>
      <c r="AK175" s="384" t="n"/>
      <c r="AL175" s="384" t="n"/>
    </row>
    <row r="176" ht="51" customHeight="1" s="1181">
      <c r="A176" s="384" t="n"/>
      <c r="B176" s="384" t="n"/>
      <c r="C176" s="842" t="inlineStr">
        <is>
          <t>E100543</t>
        </is>
      </c>
      <c r="D176" s="130">
        <f>IF(_epmOfflineCondition_,"北京京能清洁能源电力股份（香港）有限公司",EPMMemberDesc(C176))</f>
        <v/>
      </c>
      <c r="E176" s="384" t="n"/>
      <c r="F176" s="384" t="n"/>
      <c r="G176" s="384" t="n"/>
      <c r="H176" s="384" t="n"/>
      <c r="I176" s="384" t="n"/>
      <c r="J176" s="384" t="n"/>
      <c r="K176" s="384" t="n"/>
      <c r="L176" s="384" t="n"/>
      <c r="M176" s="32" t="n"/>
      <c r="N176" s="384" t="n"/>
      <c r="O176" s="384" t="n"/>
      <c r="P176" s="384" t="n"/>
      <c r="Q176" s="384" t="n"/>
      <c r="R176" s="384" t="n"/>
      <c r="S176" s="384" t="n"/>
      <c r="T176" s="384" t="n"/>
      <c r="U176" s="384" t="n"/>
      <c r="V176" s="384" t="n"/>
      <c r="W176" s="384" t="n"/>
      <c r="X176" s="384" t="n"/>
      <c r="Y176" s="384" t="n"/>
      <c r="Z176" s="384" t="n"/>
      <c r="AA176" s="384" t="n"/>
      <c r="AB176" s="384" t="n"/>
      <c r="AC176" s="384" t="n"/>
      <c r="AD176" s="384" t="n"/>
      <c r="AE176" s="384" t="n"/>
      <c r="AF176" s="384" t="n"/>
      <c r="AG176" s="384" t="n"/>
      <c r="AH176" s="384" t="n"/>
      <c r="AI176" s="384" t="n"/>
      <c r="AJ176" s="384" t="n"/>
      <c r="AK176" s="384" t="n"/>
      <c r="AL176" s="384" t="n"/>
    </row>
    <row r="177" ht="51" customHeight="1" s="1181">
      <c r="A177" s="384" t="n"/>
      <c r="B177" s="384" t="n"/>
      <c r="C177" s="842" t="inlineStr">
        <is>
          <t>E100557</t>
        </is>
      </c>
      <c r="D177" s="130">
        <f>IF(_epmOfflineCondition_,"深圳京能清洁能源融资租赁有限公司---6月起弃用",EPMMemberDesc(C177))</f>
        <v/>
      </c>
      <c r="E177" s="384" t="n"/>
      <c r="F177" s="384" t="n"/>
      <c r="G177" s="384" t="n"/>
      <c r="H177" s="384" t="n"/>
      <c r="I177" s="384" t="n"/>
      <c r="J177" s="384" t="n"/>
      <c r="K177" s="384" t="n"/>
      <c r="L177" s="384" t="n"/>
      <c r="M177" s="32" t="n"/>
      <c r="N177" s="384" t="n"/>
      <c r="O177" s="384" t="n"/>
      <c r="P177" s="384" t="n"/>
      <c r="Q177" s="384" t="n"/>
      <c r="R177" s="384" t="n"/>
      <c r="S177" s="384" t="n"/>
      <c r="T177" s="384" t="n"/>
      <c r="U177" s="384" t="n"/>
      <c r="V177" s="384" t="n"/>
      <c r="W177" s="384" t="n"/>
      <c r="X177" s="384" t="n"/>
      <c r="Y177" s="384" t="n"/>
      <c r="Z177" s="384" t="n"/>
      <c r="AA177" s="384" t="n"/>
      <c r="AB177" s="384" t="n"/>
      <c r="AC177" s="384" t="n"/>
      <c r="AD177" s="384" t="n"/>
      <c r="AE177" s="384" t="n"/>
      <c r="AF177" s="384" t="n"/>
      <c r="AG177" s="384" t="n"/>
      <c r="AH177" s="384" t="n"/>
      <c r="AI177" s="384" t="n"/>
      <c r="AJ177" s="384" t="n"/>
      <c r="AK177" s="384" t="n"/>
      <c r="AL177" s="384" t="n"/>
    </row>
    <row r="178" ht="34" customHeight="1" s="1181">
      <c r="A178" s="384" t="n"/>
      <c r="B178" s="384" t="n"/>
      <c r="C178" s="842" t="inlineStr">
        <is>
          <t>E101174</t>
        </is>
      </c>
      <c r="D178" s="130">
        <f>IF(_epmOfflineCondition_,"北京京能综合能源有限公司",EPMMemberDesc(C178))</f>
        <v/>
      </c>
      <c r="E178" s="384" t="n"/>
      <c r="F178" s="384" t="n"/>
      <c r="G178" s="384" t="n"/>
      <c r="H178" s="384" t="n"/>
      <c r="I178" s="384" t="n"/>
      <c r="J178" s="384" t="n"/>
      <c r="K178" s="384" t="n"/>
      <c r="L178" s="384" t="n"/>
      <c r="M178" s="32" t="n"/>
      <c r="N178" s="384" t="n"/>
      <c r="O178" s="384" t="n"/>
      <c r="P178" s="384" t="n"/>
      <c r="Q178" s="384" t="n"/>
      <c r="R178" s="384" t="n"/>
      <c r="S178" s="384" t="n"/>
      <c r="T178" s="384" t="n"/>
      <c r="U178" s="384" t="n"/>
      <c r="V178" s="384" t="n"/>
      <c r="W178" s="384" t="n"/>
      <c r="X178" s="384" t="n"/>
      <c r="Y178" s="384" t="n"/>
      <c r="Z178" s="384" t="n"/>
      <c r="AA178" s="384" t="n"/>
      <c r="AB178" s="384" t="n"/>
      <c r="AC178" s="384" t="n"/>
      <c r="AD178" s="384" t="n"/>
      <c r="AE178" s="384" t="n"/>
      <c r="AF178" s="384" t="n"/>
      <c r="AG178" s="384" t="n"/>
      <c r="AH178" s="384" t="n"/>
      <c r="AI178" s="384" t="n"/>
      <c r="AJ178" s="384" t="n"/>
      <c r="AK178" s="384" t="n"/>
      <c r="AL178" s="384" t="n"/>
    </row>
    <row r="179">
      <c r="A179" s="384" t="n"/>
      <c r="B179" s="384" t="n"/>
      <c r="C179" s="842" t="n"/>
      <c r="D179" s="130" t="n"/>
      <c r="E179" s="384" t="n"/>
      <c r="F179" s="384" t="n"/>
      <c r="G179" s="384" t="n"/>
      <c r="H179" s="384" t="n"/>
      <c r="I179" s="384" t="n"/>
      <c r="J179" s="384" t="n"/>
      <c r="K179" s="384" t="n"/>
      <c r="L179" s="384" t="n"/>
      <c r="M179" s="32" t="n"/>
      <c r="N179" s="384" t="n"/>
      <c r="O179" s="384" t="n"/>
      <c r="P179" s="384" t="n"/>
      <c r="Q179" s="384" t="n"/>
      <c r="R179" s="384" t="n"/>
      <c r="S179" s="384" t="n"/>
      <c r="T179" s="384" t="n"/>
      <c r="U179" s="384" t="n"/>
      <c r="V179" s="384" t="n"/>
      <c r="W179" s="384" t="n"/>
      <c r="X179" s="384" t="n"/>
      <c r="Y179" s="384" t="n"/>
      <c r="Z179" s="384" t="n"/>
      <c r="AA179" s="384" t="n"/>
      <c r="AB179" s="384" t="n"/>
      <c r="AC179" s="384" t="n"/>
      <c r="AD179" s="384" t="n"/>
      <c r="AE179" s="384" t="n"/>
      <c r="AF179" s="384" t="n"/>
      <c r="AG179" s="384" t="n"/>
      <c r="AH179" s="384" t="n"/>
      <c r="AI179" s="384" t="n"/>
      <c r="AJ179" s="384" t="n"/>
      <c r="AK179" s="384" t="n"/>
      <c r="AL179" s="384" t="n"/>
    </row>
    <row r="180" ht="34" customHeight="1" s="1181">
      <c r="A180" s="384" t="n"/>
      <c r="B180" s="384" t="n"/>
      <c r="C180" s="842" t="inlineStr">
        <is>
          <t>E100546</t>
        </is>
      </c>
      <c r="D180" s="130">
        <f>IF(_epmOfflineCondition_,"珠海市京湾综合能源有限公司",EPMMemberDesc(C180))</f>
        <v/>
      </c>
      <c r="E180" s="384" t="n"/>
      <c r="F180" s="384" t="n"/>
      <c r="G180" s="384" t="n"/>
      <c r="H180" s="384" t="n"/>
      <c r="I180" s="384" t="n"/>
      <c r="J180" s="384" t="n"/>
      <c r="K180" s="384" t="n"/>
      <c r="L180" s="384" t="n"/>
      <c r="M180" s="32" t="n"/>
      <c r="N180" s="384" t="n"/>
      <c r="O180" s="384" t="n"/>
      <c r="P180" s="384" t="n"/>
      <c r="Q180" s="384" t="n"/>
      <c r="R180" s="384" t="n"/>
      <c r="S180" s="384" t="n"/>
      <c r="T180" s="384" t="n"/>
      <c r="U180" s="384" t="n"/>
      <c r="V180" s="384" t="n"/>
      <c r="W180" s="384" t="n"/>
      <c r="X180" s="384" t="n"/>
      <c r="Y180" s="384" t="n"/>
      <c r="Z180" s="384" t="n"/>
      <c r="AA180" s="384" t="n"/>
      <c r="AB180" s="384" t="n"/>
      <c r="AC180" s="384" t="n"/>
      <c r="AD180" s="384" t="n"/>
      <c r="AE180" s="384" t="n"/>
      <c r="AF180" s="384" t="n"/>
      <c r="AG180" s="384" t="n"/>
      <c r="AH180" s="384" t="n"/>
      <c r="AI180" s="384" t="n"/>
      <c r="AJ180" s="384" t="n"/>
      <c r="AK180" s="384" t="n"/>
      <c r="AL180" s="384" t="n"/>
    </row>
    <row r="181" ht="51" customHeight="1" s="1181">
      <c r="A181" s="384" t="n"/>
      <c r="B181" s="384" t="n"/>
      <c r="C181" s="842" t="inlineStr">
        <is>
          <t>E100056</t>
        </is>
      </c>
      <c r="D181" s="130">
        <f>IF(_epmOfflineCondition_,"北京京能新能源有限公司沈阳分公司（2024年10月注销）",EPMMemberDesc(C181))</f>
        <v/>
      </c>
      <c r="E181" s="384" t="n"/>
      <c r="F181" s="384" t="n"/>
      <c r="G181" s="384" t="n"/>
      <c r="H181" s="384" t="n"/>
      <c r="I181" s="384" t="n"/>
      <c r="J181" s="384" t="n"/>
      <c r="K181" s="384" t="n"/>
      <c r="L181" s="384" t="n"/>
      <c r="M181" s="32" t="n"/>
      <c r="N181" s="384" t="n"/>
      <c r="O181" s="384" t="n"/>
      <c r="P181" s="384" t="n"/>
      <c r="Q181" s="384" t="n"/>
      <c r="R181" s="384" t="n"/>
      <c r="S181" s="384" t="n"/>
      <c r="T181" s="384" t="n"/>
      <c r="U181" s="384" t="n"/>
      <c r="V181" s="384" t="n"/>
      <c r="W181" s="384" t="n"/>
      <c r="X181" s="384" t="n"/>
      <c r="Y181" s="384" t="n"/>
      <c r="Z181" s="384" t="n"/>
      <c r="AA181" s="384" t="n"/>
      <c r="AB181" s="384" t="n"/>
      <c r="AC181" s="384" t="n"/>
      <c r="AD181" s="384" t="n"/>
      <c r="AE181" s="384" t="n"/>
      <c r="AF181" s="384" t="n"/>
      <c r="AG181" s="384" t="n"/>
      <c r="AH181" s="384" t="n"/>
      <c r="AI181" s="384" t="n"/>
      <c r="AJ181" s="384" t="n"/>
      <c r="AK181" s="384" t="n"/>
      <c r="AL181" s="384" t="n"/>
    </row>
    <row r="182" ht="34" customHeight="1" s="1181">
      <c r="A182" s="384" t="n"/>
      <c r="B182" s="384" t="n"/>
      <c r="C182" s="842" t="inlineStr">
        <is>
          <t>E100560</t>
        </is>
      </c>
      <c r="D182" s="130">
        <f>IF(_epmOfflineCondition_,"北京京能新能源有限公司宁夏分公司",EPMMemberDesc(C182))</f>
        <v/>
      </c>
      <c r="E182" s="384" t="n"/>
      <c r="F182" s="384" t="n"/>
      <c r="G182" s="384" t="n"/>
      <c r="H182" s="384" t="n"/>
      <c r="I182" s="384" t="n"/>
      <c r="J182" s="384" t="n"/>
      <c r="K182" s="384" t="n"/>
      <c r="L182" s="384" t="n"/>
      <c r="M182" s="32" t="n"/>
      <c r="N182" s="384" t="n"/>
      <c r="O182" s="384" t="n"/>
      <c r="P182" s="384" t="n"/>
      <c r="Q182" s="384" t="n"/>
      <c r="R182" s="384" t="n"/>
      <c r="S182" s="384" t="n"/>
      <c r="T182" s="384" t="n"/>
      <c r="U182" s="384" t="n"/>
      <c r="V182" s="384" t="n"/>
      <c r="W182" s="384" t="n"/>
      <c r="X182" s="384" t="n"/>
      <c r="Y182" s="384" t="n"/>
      <c r="Z182" s="384" t="n"/>
      <c r="AA182" s="384" t="n"/>
      <c r="AB182" s="384" t="n"/>
      <c r="AC182" s="384" t="n"/>
      <c r="AD182" s="384" t="n"/>
      <c r="AE182" s="384" t="n"/>
      <c r="AF182" s="384" t="n"/>
      <c r="AG182" s="384" t="n"/>
      <c r="AH182" s="384" t="n"/>
      <c r="AI182" s="384" t="n"/>
      <c r="AJ182" s="384" t="n"/>
      <c r="AK182" s="384" t="n"/>
      <c r="AL182" s="384" t="n"/>
    </row>
    <row r="183" ht="34" customHeight="1" s="1181">
      <c r="A183" s="384" t="n"/>
      <c r="B183" s="384" t="n"/>
      <c r="C183" s="842" t="inlineStr">
        <is>
          <t>E100007</t>
        </is>
      </c>
      <c r="D183" s="130">
        <f>IF(_epmOfflineCondition_,"北京京西发电有限责任公司",EPMMemberDesc(C183))</f>
        <v/>
      </c>
      <c r="E183" s="384" t="n"/>
      <c r="F183" s="384" t="n"/>
      <c r="G183" s="384" t="n"/>
      <c r="H183" s="384" t="n"/>
      <c r="I183" s="384" t="n"/>
      <c r="J183" s="384" t="n"/>
      <c r="K183" s="384" t="n"/>
      <c r="L183" s="384" t="n"/>
      <c r="M183" s="32" t="n"/>
      <c r="N183" s="384" t="n"/>
      <c r="O183" s="384" t="n"/>
      <c r="P183" s="384" t="n"/>
      <c r="Q183" s="384" t="n"/>
      <c r="R183" s="384" t="n"/>
      <c r="S183" s="384" t="n"/>
      <c r="T183" s="384" t="n"/>
      <c r="U183" s="384" t="n"/>
      <c r="V183" s="384" t="n"/>
      <c r="W183" s="384" t="n"/>
      <c r="X183" s="384" t="n"/>
      <c r="Y183" s="384" t="n"/>
      <c r="Z183" s="384" t="n"/>
      <c r="AA183" s="384" t="n"/>
      <c r="AB183" s="384" t="n"/>
      <c r="AC183" s="384" t="n"/>
      <c r="AD183" s="384" t="n"/>
      <c r="AE183" s="384" t="n"/>
      <c r="AF183" s="384" t="n"/>
      <c r="AG183" s="384" t="n"/>
      <c r="AH183" s="384" t="n"/>
      <c r="AI183" s="384" t="n"/>
      <c r="AJ183" s="384" t="n"/>
      <c r="AK183" s="384" t="n"/>
      <c r="AL183" s="384" t="n"/>
    </row>
    <row r="184" ht="51" customHeight="1" s="1181">
      <c r="A184" s="384" t="n"/>
      <c r="B184" s="384" t="n"/>
      <c r="C184" s="842" t="inlineStr">
        <is>
          <t>E100544</t>
        </is>
      </c>
      <c r="D184" s="130">
        <f>IF(_epmOfflineCondition_,"北京京能新能源有限公司内蒙古分公司（2024年1月注销）",EPMMemberDesc(C184))</f>
        <v/>
      </c>
      <c r="E184" s="384" t="n"/>
      <c r="F184" s="384" t="n"/>
      <c r="G184" s="384" t="n"/>
      <c r="H184" s="384" t="n"/>
      <c r="I184" s="384" t="n"/>
      <c r="J184" s="384" t="n"/>
      <c r="K184" s="384" t="n"/>
      <c r="L184" s="384" t="n"/>
      <c r="M184" s="32" t="n"/>
      <c r="N184" s="384" t="n"/>
      <c r="O184" s="384" t="n"/>
      <c r="P184" s="384" t="n"/>
      <c r="Q184" s="384" t="n"/>
      <c r="R184" s="384" t="n"/>
      <c r="S184" s="384" t="n"/>
      <c r="T184" s="384" t="n"/>
      <c r="U184" s="384" t="n"/>
      <c r="V184" s="384" t="n"/>
      <c r="W184" s="384" t="n"/>
      <c r="X184" s="384" t="n"/>
      <c r="Y184" s="384" t="n"/>
      <c r="Z184" s="384" t="n"/>
      <c r="AA184" s="384" t="n"/>
      <c r="AB184" s="384" t="n"/>
      <c r="AC184" s="384" t="n"/>
      <c r="AD184" s="384" t="n"/>
      <c r="AE184" s="384" t="n"/>
      <c r="AF184" s="384" t="n"/>
      <c r="AG184" s="384" t="n"/>
      <c r="AH184" s="384" t="n"/>
      <c r="AI184" s="384" t="n"/>
      <c r="AJ184" s="384" t="n"/>
      <c r="AK184" s="384" t="n"/>
      <c r="AL184" s="384" t="n"/>
    </row>
    <row r="185" ht="51" customHeight="1" s="1181">
      <c r="A185" s="384" t="n"/>
      <c r="B185" s="384" t="n"/>
      <c r="C185" s="842" t="inlineStr">
        <is>
          <t>E100561</t>
        </is>
      </c>
      <c r="D185" s="130">
        <f>IF(_epmOfflineCondition_,"北京京能清洁能源（澳洲）控股有限公司",EPMMemberDesc(C185))</f>
        <v/>
      </c>
      <c r="E185" s="384" t="n"/>
      <c r="F185" s="384" t="n"/>
      <c r="G185" s="384" t="n"/>
      <c r="H185" s="384" t="n"/>
      <c r="I185" s="384" t="n"/>
      <c r="J185" s="384" t="n"/>
      <c r="K185" s="384" t="n"/>
      <c r="L185" s="384" t="n"/>
      <c r="M185" s="32" t="n"/>
      <c r="N185" s="384" t="n"/>
      <c r="O185" s="384" t="n"/>
      <c r="P185" s="384" t="n"/>
      <c r="Q185" s="384" t="n"/>
      <c r="R185" s="384" t="n"/>
      <c r="S185" s="384" t="n"/>
      <c r="T185" s="384" t="n"/>
      <c r="U185" s="384" t="n"/>
      <c r="V185" s="384" t="n"/>
      <c r="W185" s="384" t="n"/>
      <c r="X185" s="384" t="n"/>
      <c r="Y185" s="384" t="n"/>
      <c r="Z185" s="384" t="n"/>
      <c r="AA185" s="384" t="n"/>
      <c r="AB185" s="384" t="n"/>
      <c r="AC185" s="384" t="n"/>
      <c r="AD185" s="384" t="n"/>
      <c r="AE185" s="384" t="n"/>
      <c r="AF185" s="384" t="n"/>
      <c r="AG185" s="384" t="n"/>
      <c r="AH185" s="384" t="n"/>
      <c r="AI185" s="384" t="n"/>
      <c r="AJ185" s="384" t="n"/>
      <c r="AK185" s="384" t="n"/>
      <c r="AL185" s="384" t="n"/>
    </row>
    <row r="186">
      <c r="A186" s="384" t="n"/>
      <c r="B186" s="384" t="n"/>
      <c r="C186" s="842" t="inlineStr">
        <is>
          <t>E101160</t>
        </is>
      </c>
      <c r="D186" s="842" t="inlineStr">
        <is>
          <t>横峰县晶能电力有限公司</t>
        </is>
      </c>
      <c r="E186" s="384" t="n"/>
      <c r="F186" s="384" t="n"/>
      <c r="G186" s="384" t="n"/>
      <c r="H186" s="384" t="n"/>
      <c r="I186" s="384" t="n"/>
      <c r="J186" s="384" t="n"/>
      <c r="K186" s="384" t="n"/>
      <c r="L186" s="384" t="n"/>
      <c r="M186" s="32" t="n"/>
      <c r="N186" s="384" t="n"/>
      <c r="O186" s="384" t="n"/>
      <c r="P186" s="384" t="n"/>
      <c r="Q186" s="384" t="n"/>
      <c r="R186" s="384" t="n"/>
      <c r="S186" s="384" t="n"/>
      <c r="T186" s="384" t="n"/>
      <c r="U186" s="384" t="n"/>
      <c r="V186" s="384" t="n"/>
      <c r="W186" s="384" t="n"/>
      <c r="X186" s="384" t="n"/>
      <c r="Y186" s="384" t="n"/>
      <c r="Z186" s="384" t="n"/>
      <c r="AA186" s="384" t="n"/>
      <c r="AB186" s="384" t="n"/>
      <c r="AC186" s="384" t="n"/>
      <c r="AD186" s="384" t="n"/>
      <c r="AE186" s="384" t="n"/>
      <c r="AF186" s="384" t="n"/>
      <c r="AG186" s="384" t="n"/>
      <c r="AH186" s="384" t="n"/>
      <c r="AI186" s="384" t="n"/>
      <c r="AJ186" s="384" t="n"/>
      <c r="AK186" s="384" t="n"/>
      <c r="AL186" s="384" t="n"/>
    </row>
    <row r="187">
      <c r="A187" s="384" t="n"/>
      <c r="B187" s="384" t="n"/>
      <c r="C187" s="842" t="inlineStr">
        <is>
          <t>E101144</t>
        </is>
      </c>
      <c r="D187" s="842" t="inlineStr">
        <is>
          <t>横峰县晶源电力有限公司</t>
        </is>
      </c>
      <c r="E187" s="384" t="n"/>
      <c r="F187" s="384" t="n"/>
      <c r="G187" s="384" t="n"/>
      <c r="H187" s="384" t="n"/>
      <c r="I187" s="384" t="n"/>
      <c r="J187" s="384" t="n"/>
      <c r="K187" s="384" t="n"/>
      <c r="L187" s="384" t="n"/>
      <c r="M187" s="32" t="n"/>
      <c r="N187" s="384" t="n"/>
      <c r="O187" s="384" t="n"/>
      <c r="P187" s="384" t="n"/>
      <c r="Q187" s="384" t="n"/>
      <c r="R187" s="384" t="n"/>
      <c r="S187" s="384" t="n"/>
      <c r="T187" s="384" t="n"/>
      <c r="U187" s="384" t="n"/>
      <c r="V187" s="384" t="n"/>
      <c r="W187" s="384" t="n"/>
      <c r="X187" s="384" t="n"/>
      <c r="Y187" s="384" t="n"/>
      <c r="Z187" s="384" t="n"/>
      <c r="AA187" s="384" t="n"/>
      <c r="AB187" s="384" t="n"/>
      <c r="AC187" s="384" t="n"/>
      <c r="AD187" s="384" t="n"/>
      <c r="AE187" s="384" t="n"/>
      <c r="AF187" s="384" t="n"/>
      <c r="AG187" s="384" t="n"/>
      <c r="AH187" s="384" t="n"/>
      <c r="AI187" s="384" t="n"/>
      <c r="AJ187" s="384" t="n"/>
      <c r="AK187" s="384" t="n"/>
      <c r="AL187" s="384" t="n"/>
    </row>
    <row r="188">
      <c r="A188" s="384" t="n"/>
      <c r="B188" s="384" t="n"/>
      <c r="C188" s="842" t="inlineStr">
        <is>
          <t>E101255</t>
        </is>
      </c>
      <c r="D188" s="842">
        <f>IF(_epmOfflineCondition_,"北京京能清洁能源电力股份有限公司华中分公司",EPMMemberDesc(C188))</f>
        <v/>
      </c>
      <c r="E188" s="384" t="n"/>
      <c r="F188" s="384" t="n"/>
      <c r="G188" s="384" t="n"/>
      <c r="H188" s="384" t="n"/>
      <c r="I188" s="384" t="n"/>
      <c r="J188" s="384" t="n"/>
      <c r="K188" s="384" t="n"/>
      <c r="L188" s="384" t="n"/>
      <c r="M188" s="32" t="n"/>
      <c r="N188" s="384" t="n"/>
      <c r="O188" s="384" t="n"/>
      <c r="P188" s="384" t="n"/>
      <c r="Q188" s="384" t="n"/>
      <c r="R188" s="384" t="n"/>
      <c r="S188" s="384" t="n"/>
      <c r="T188" s="384" t="n"/>
      <c r="U188" s="384" t="n"/>
      <c r="V188" s="384" t="n"/>
      <c r="W188" s="384" t="n"/>
      <c r="X188" s="384" t="n"/>
      <c r="Y188" s="384" t="n"/>
      <c r="Z188" s="384" t="n"/>
      <c r="AA188" s="384" t="n"/>
      <c r="AB188" s="384" t="n"/>
      <c r="AC188" s="384" t="n"/>
      <c r="AD188" s="384" t="n"/>
      <c r="AE188" s="384" t="n"/>
      <c r="AF188" s="384" t="n"/>
      <c r="AG188" s="384" t="n"/>
      <c r="AH188" s="384" t="n"/>
      <c r="AI188" s="384" t="n"/>
      <c r="AJ188" s="384" t="n"/>
      <c r="AK188" s="384" t="n"/>
      <c r="AL188" s="384" t="n"/>
    </row>
    <row r="189" ht="34" customHeight="1" s="1181">
      <c r="A189" s="384" t="n"/>
      <c r="B189" s="384" t="n"/>
      <c r="C189" s="842" t="inlineStr">
        <is>
          <t>E101289</t>
        </is>
      </c>
      <c r="D189" s="130" t="inlineStr">
        <is>
          <t>锡林郭勒京能清洁能源有限公司</t>
        </is>
      </c>
      <c r="E189" s="384" t="n"/>
      <c r="F189" s="384" t="n"/>
      <c r="G189" s="384" t="n"/>
      <c r="H189" s="384" t="n"/>
      <c r="I189" s="384" t="n"/>
      <c r="J189" s="384" t="n"/>
      <c r="K189" s="384" t="n"/>
      <c r="L189" s="384" t="n"/>
      <c r="M189" s="32" t="n"/>
      <c r="N189" s="384" t="n"/>
      <c r="O189" s="384" t="n"/>
      <c r="P189" s="384" t="n"/>
      <c r="Q189" s="384" t="n"/>
      <c r="R189" s="384" t="n"/>
      <c r="S189" s="384" t="n"/>
      <c r="T189" s="384" t="n"/>
      <c r="U189" s="384" t="n"/>
      <c r="V189" s="384" t="n"/>
      <c r="W189" s="384" t="n"/>
      <c r="X189" s="384" t="n"/>
      <c r="Y189" s="384" t="n"/>
      <c r="Z189" s="384" t="n"/>
      <c r="AA189" s="384" t="n"/>
      <c r="AB189" s="384" t="n"/>
      <c r="AC189" s="384" t="n"/>
      <c r="AD189" s="384" t="n"/>
      <c r="AE189" s="384" t="n"/>
      <c r="AF189" s="384" t="n"/>
      <c r="AG189" s="384" t="n"/>
      <c r="AH189" s="384" t="n"/>
      <c r="AI189" s="384" t="n"/>
      <c r="AJ189" s="384" t="n"/>
      <c r="AK189" s="384" t="n"/>
      <c r="AL189" s="384" t="n"/>
    </row>
    <row r="190" ht="51" customHeight="1" s="1181">
      <c r="A190" s="384" t="n"/>
      <c r="B190" s="384" t="n"/>
      <c r="C190" s="842" t="inlineStr">
        <is>
          <t>E100001H</t>
        </is>
      </c>
      <c r="D190" s="130">
        <f>IF(_epmOfflineCondition_,"北京京能清洁能源电力股份有限公司（母公司）",EPMMemberDesc(C190))</f>
        <v/>
      </c>
      <c r="E190" s="384" t="n"/>
      <c r="F190" s="384" t="n"/>
      <c r="G190" s="384" t="n"/>
      <c r="H190" s="384" t="n"/>
      <c r="I190" s="384" t="n"/>
      <c r="J190" s="384" t="n"/>
      <c r="K190" s="384" t="n"/>
      <c r="L190" s="384" t="n"/>
      <c r="M190" s="32" t="n"/>
      <c r="N190" s="384" t="n"/>
      <c r="O190" s="384" t="n"/>
      <c r="P190" s="384" t="n"/>
      <c r="Q190" s="384" t="n"/>
      <c r="R190" s="384" t="n"/>
      <c r="S190" s="384" t="n"/>
      <c r="T190" s="384" t="n"/>
      <c r="U190" s="384" t="n"/>
      <c r="V190" s="384" t="n"/>
      <c r="W190" s="384" t="n"/>
      <c r="X190" s="384" t="n"/>
      <c r="Y190" s="384" t="n"/>
      <c r="Z190" s="384" t="n"/>
      <c r="AA190" s="384" t="n"/>
      <c r="AB190" s="384" t="n"/>
      <c r="AC190" s="384" t="n"/>
      <c r="AD190" s="384" t="n"/>
      <c r="AE190" s="384" t="n"/>
      <c r="AF190" s="384" t="n"/>
      <c r="AG190" s="384" t="n"/>
      <c r="AH190" s="384" t="n"/>
      <c r="AI190" s="384" t="n"/>
      <c r="AJ190" s="384" t="n"/>
      <c r="AK190" s="384" t="n"/>
      <c r="AL190" s="384" t="n"/>
    </row>
    <row r="191" ht="51" customHeight="1" s="1181">
      <c r="A191" s="384" t="n"/>
      <c r="B191" s="384" t="n"/>
      <c r="C191" s="842" t="inlineStr">
        <is>
          <t>E100001G</t>
        </is>
      </c>
      <c r="D191" s="130">
        <f>IF(_epmOfflineCondition_,"北京京能清洁能源电力股份有限公司（合并）",EPMMemberDesc(C191))</f>
        <v/>
      </c>
      <c r="E191" s="384" t="n"/>
      <c r="F191" s="384" t="n"/>
      <c r="G191" s="384" t="n"/>
      <c r="H191" s="384" t="n"/>
      <c r="I191" s="384" t="n"/>
      <c r="J191" s="384" t="n"/>
      <c r="K191" s="384" t="n"/>
      <c r="L191" s="384" t="n"/>
      <c r="M191" s="32" t="n"/>
      <c r="N191" s="384" t="n"/>
      <c r="O191" s="384" t="n"/>
      <c r="P191" s="384" t="n"/>
      <c r="Q191" s="384" t="n"/>
      <c r="R191" s="384" t="n"/>
      <c r="S191" s="384" t="n"/>
      <c r="T191" s="384" t="n"/>
      <c r="U191" s="384" t="n"/>
      <c r="V191" s="384" t="n"/>
      <c r="W191" s="384" t="n"/>
      <c r="X191" s="384" t="n"/>
      <c r="Y191" s="384" t="n"/>
      <c r="Z191" s="384" t="n"/>
      <c r="AA191" s="384" t="n"/>
      <c r="AB191" s="384" t="n"/>
      <c r="AC191" s="384" t="n"/>
      <c r="AD191" s="384" t="n"/>
      <c r="AE191" s="384" t="n"/>
      <c r="AF191" s="384" t="n"/>
      <c r="AG191" s="384" t="n"/>
      <c r="AH191" s="384" t="n"/>
      <c r="AI191" s="384" t="n"/>
      <c r="AJ191" s="384" t="n"/>
      <c r="AK191" s="384" t="n"/>
      <c r="AL191" s="384" t="n"/>
    </row>
    <row r="192" ht="15" customHeight="1" s="1181">
      <c r="A192" s="384" t="n"/>
      <c r="B192" s="384" t="n"/>
      <c r="C192" s="842" t="inlineStr">
        <is>
          <t>EM100013G</t>
        </is>
      </c>
      <c r="D192" s="130">
        <f>IF(_epmOfflineCondition_,"#无数据",EPMMemberDesc(C192))</f>
        <v/>
      </c>
      <c r="E192" s="384" t="n"/>
      <c r="F192" s="384" t="n"/>
      <c r="G192" s="384" t="n"/>
      <c r="H192" s="384" t="n"/>
      <c r="I192" s="384" t="n"/>
      <c r="J192" s="384" t="n"/>
      <c r="K192" s="384" t="n"/>
      <c r="L192" s="384" t="n"/>
      <c r="M192" s="32" t="n"/>
      <c r="N192" s="384" t="n"/>
      <c r="O192" s="384" t="n"/>
      <c r="P192" s="384" t="n"/>
      <c r="Q192" s="384" t="n"/>
      <c r="R192" s="384" t="n"/>
      <c r="S192" s="384" t="n"/>
      <c r="T192" s="384" t="n"/>
      <c r="U192" s="384" t="n"/>
      <c r="V192" s="384" t="n"/>
      <c r="W192" s="384" t="n"/>
      <c r="X192" s="384" t="n"/>
      <c r="Y192" s="384" t="n"/>
      <c r="Z192" s="384" t="n"/>
      <c r="AA192" s="384" t="n"/>
      <c r="AB192" s="384" t="n"/>
      <c r="AC192" s="384" t="n"/>
      <c r="AD192" s="384" t="n"/>
      <c r="AE192" s="384" t="n"/>
      <c r="AF192" s="384" t="n"/>
      <c r="AG192" s="384" t="n"/>
      <c r="AH192" s="384" t="n"/>
      <c r="AI192" s="384" t="n"/>
      <c r="AJ192" s="384" t="n"/>
      <c r="AK192" s="384" t="n"/>
      <c r="AL192" s="384" t="n"/>
    </row>
    <row r="193" ht="15" customHeight="1" s="1181">
      <c r="A193" s="384" t="n"/>
      <c r="B193" s="384" t="n"/>
      <c r="C193" s="842" t="inlineStr">
        <is>
          <t>EM100041G</t>
        </is>
      </c>
      <c r="D193" s="130">
        <f>IF(_epmOfflineCondition_,"#无数据",EPMMemberDesc(C193))</f>
        <v/>
      </c>
      <c r="E193" s="384" t="n"/>
      <c r="F193" s="384" t="n"/>
      <c r="G193" s="384" t="n"/>
      <c r="H193" s="384" t="n"/>
      <c r="I193" s="384" t="n"/>
      <c r="J193" s="384" t="n"/>
      <c r="K193" s="384" t="n"/>
      <c r="L193" s="384" t="n"/>
      <c r="M193" s="32" t="n"/>
      <c r="N193" s="384" t="n"/>
      <c r="O193" s="384" t="n"/>
      <c r="P193" s="384" t="n"/>
      <c r="Q193" s="384" t="n"/>
      <c r="R193" s="384" t="n"/>
      <c r="S193" s="384" t="n"/>
      <c r="T193" s="384" t="n"/>
      <c r="U193" s="384" t="n"/>
      <c r="V193" s="384" t="n"/>
      <c r="W193" s="384" t="n"/>
      <c r="X193" s="384" t="n"/>
      <c r="Y193" s="384" t="n"/>
      <c r="Z193" s="384" t="n"/>
      <c r="AA193" s="384" t="n"/>
      <c r="AB193" s="384" t="n"/>
      <c r="AC193" s="384" t="n"/>
      <c r="AD193" s="384" t="n"/>
      <c r="AE193" s="384" t="n"/>
      <c r="AF193" s="384" t="n"/>
      <c r="AG193" s="384" t="n"/>
      <c r="AH193" s="384" t="n"/>
      <c r="AI193" s="384" t="n"/>
      <c r="AJ193" s="384" t="n"/>
      <c r="AK193" s="384" t="n"/>
      <c r="AL193" s="384" t="n"/>
    </row>
    <row r="194" ht="15" customHeight="1" s="1181">
      <c r="A194" s="384" t="n"/>
      <c r="B194" s="384" t="n"/>
      <c r="C194" s="842" t="inlineStr">
        <is>
          <t>EM100057G</t>
        </is>
      </c>
      <c r="D194" s="130">
        <f>IF(_epmOfflineCondition_,"#无数据",EPMMemberDesc(C194))</f>
        <v/>
      </c>
      <c r="E194" s="384" t="n"/>
      <c r="F194" s="384" t="n"/>
      <c r="G194" s="384" t="n"/>
      <c r="H194" s="384" t="n"/>
      <c r="I194" s="384" t="n"/>
      <c r="J194" s="384" t="n"/>
      <c r="K194" s="384" t="n"/>
      <c r="L194" s="384" t="n"/>
      <c r="M194" s="32" t="n"/>
      <c r="N194" s="384" t="n"/>
      <c r="O194" s="384" t="n"/>
      <c r="P194" s="384" t="n"/>
      <c r="Q194" s="384" t="n"/>
      <c r="R194" s="384" t="n"/>
      <c r="S194" s="384" t="n"/>
      <c r="T194" s="384" t="n"/>
      <c r="U194" s="384" t="n"/>
      <c r="V194" s="384" t="n"/>
      <c r="W194" s="384" t="n"/>
      <c r="X194" s="384" t="n"/>
      <c r="Y194" s="384" t="n"/>
      <c r="Z194" s="384" t="n"/>
      <c r="AA194" s="384" t="n"/>
      <c r="AB194" s="384" t="n"/>
      <c r="AC194" s="384" t="n"/>
      <c r="AD194" s="384" t="n"/>
      <c r="AE194" s="384" t="n"/>
      <c r="AF194" s="384" t="n"/>
      <c r="AG194" s="384" t="n"/>
      <c r="AH194" s="384" t="n"/>
      <c r="AI194" s="384" t="n"/>
      <c r="AJ194" s="384" t="n"/>
      <c r="AK194" s="384" t="n"/>
      <c r="AL194" s="384" t="n"/>
    </row>
    <row r="195" ht="15" customHeight="1" s="1181">
      <c r="A195" s="384" t="n"/>
      <c r="B195" s="384" t="n"/>
      <c r="C195" s="842" t="inlineStr">
        <is>
          <t>EM100072G</t>
        </is>
      </c>
      <c r="D195" s="130">
        <f>IF(_epmOfflineCondition_,"#无数据",EPMMemberDesc(C195))</f>
        <v/>
      </c>
      <c r="E195" s="384" t="n"/>
      <c r="F195" s="384" t="n"/>
      <c r="G195" s="384" t="n"/>
      <c r="H195" s="384" t="n"/>
      <c r="I195" s="384" t="n"/>
      <c r="J195" s="384" t="n"/>
      <c r="K195" s="384" t="n"/>
      <c r="L195" s="384" t="n"/>
      <c r="M195" s="32" t="n"/>
      <c r="N195" s="384" t="n"/>
      <c r="O195" s="384" t="n"/>
      <c r="P195" s="384" t="n"/>
      <c r="Q195" s="384" t="n"/>
      <c r="R195" s="384" t="n"/>
      <c r="S195" s="384" t="n"/>
      <c r="T195" s="384" t="n"/>
      <c r="U195" s="384" t="n"/>
      <c r="V195" s="384" t="n"/>
      <c r="W195" s="384" t="n"/>
      <c r="X195" s="384" t="n"/>
      <c r="Y195" s="384" t="n"/>
      <c r="Z195" s="384" t="n"/>
      <c r="AA195" s="384" t="n"/>
      <c r="AB195" s="384" t="n"/>
      <c r="AC195" s="384" t="n"/>
      <c r="AD195" s="384" t="n"/>
      <c r="AE195" s="384" t="n"/>
      <c r="AF195" s="384" t="n"/>
      <c r="AG195" s="384" t="n"/>
      <c r="AH195" s="384" t="n"/>
      <c r="AI195" s="384" t="n"/>
      <c r="AJ195" s="384" t="n"/>
      <c r="AK195" s="384" t="n"/>
      <c r="AL195" s="384" t="n"/>
    </row>
    <row r="196" ht="15" customHeight="1" s="1181">
      <c r="A196" s="384" t="n"/>
      <c r="B196" s="384" t="n"/>
      <c r="C196" s="842" t="inlineStr">
        <is>
          <t>EM100086G</t>
        </is>
      </c>
      <c r="D196" s="130">
        <f>IF(_epmOfflineCondition_,"#无数据",EPMMemberDesc(C196))</f>
        <v/>
      </c>
      <c r="E196" s="384" t="n"/>
      <c r="F196" s="384" t="n"/>
      <c r="G196" s="384" t="n"/>
      <c r="H196" s="384" t="n"/>
      <c r="I196" s="384" t="n"/>
      <c r="J196" s="384" t="n"/>
      <c r="K196" s="384" t="n"/>
      <c r="L196" s="384" t="n"/>
      <c r="M196" s="32" t="n"/>
      <c r="N196" s="384" t="n"/>
      <c r="O196" s="384" t="n"/>
      <c r="P196" s="384" t="n"/>
      <c r="Q196" s="384" t="n"/>
      <c r="R196" s="384" t="n"/>
      <c r="S196" s="384" t="n"/>
      <c r="T196" s="384" t="n"/>
      <c r="U196" s="384" t="n"/>
      <c r="V196" s="384" t="n"/>
      <c r="W196" s="384" t="n"/>
      <c r="X196" s="384" t="n"/>
      <c r="Y196" s="384" t="n"/>
      <c r="Z196" s="384" t="n"/>
      <c r="AA196" s="384" t="n"/>
      <c r="AB196" s="384" t="n"/>
      <c r="AC196" s="384" t="n"/>
      <c r="AD196" s="384" t="n"/>
      <c r="AE196" s="384" t="n"/>
      <c r="AF196" s="384" t="n"/>
      <c r="AG196" s="384" t="n"/>
      <c r="AH196" s="384" t="n"/>
      <c r="AI196" s="384" t="n"/>
      <c r="AJ196" s="384" t="n"/>
      <c r="AK196" s="384" t="n"/>
      <c r="AL196" s="384" t="n"/>
    </row>
    <row r="197" ht="15" customHeight="1" s="1181">
      <c r="A197" s="384" t="n"/>
      <c r="B197" s="384" t="n"/>
      <c r="C197" s="842" t="inlineStr">
        <is>
          <t>EM100095G</t>
        </is>
      </c>
      <c r="D197" s="130">
        <f>IF(_epmOfflineCondition_,"#无数据",EPMMemberDesc(C197))</f>
        <v/>
      </c>
      <c r="E197" s="384" t="n"/>
      <c r="F197" s="384" t="n"/>
      <c r="G197" s="384" t="n"/>
      <c r="H197" s="384" t="n"/>
      <c r="I197" s="384" t="n"/>
      <c r="J197" s="384" t="n"/>
      <c r="K197" s="384" t="n"/>
      <c r="L197" s="384" t="n"/>
      <c r="M197" s="32" t="n"/>
      <c r="N197" s="384" t="n"/>
      <c r="O197" s="384" t="n"/>
      <c r="P197" s="384" t="n"/>
      <c r="Q197" s="384" t="n"/>
      <c r="R197" s="384" t="n"/>
      <c r="S197" s="384" t="n"/>
      <c r="T197" s="384" t="n"/>
      <c r="U197" s="384" t="n"/>
      <c r="V197" s="384" t="n"/>
      <c r="W197" s="384" t="n"/>
      <c r="X197" s="384" t="n"/>
      <c r="Y197" s="384" t="n"/>
      <c r="Z197" s="384" t="n"/>
      <c r="AA197" s="384" t="n"/>
      <c r="AB197" s="384" t="n"/>
      <c r="AC197" s="384" t="n"/>
      <c r="AD197" s="384" t="n"/>
      <c r="AE197" s="384" t="n"/>
      <c r="AF197" s="384" t="n"/>
      <c r="AG197" s="384" t="n"/>
      <c r="AH197" s="384" t="n"/>
      <c r="AI197" s="384" t="n"/>
      <c r="AJ197" s="384" t="n"/>
      <c r="AK197" s="384" t="n"/>
      <c r="AL197" s="384" t="n"/>
    </row>
    <row r="198" ht="17" customHeight="1" s="1181">
      <c r="A198" s="384" t="n"/>
      <c r="B198" s="384" t="n"/>
      <c r="C198" s="842" t="inlineStr">
        <is>
          <t>ES101255G</t>
        </is>
      </c>
      <c r="D198" s="130">
        <f>IF(_epmOfflineCondition_,"#无数据",EPMMemberDesc(C198))</f>
        <v/>
      </c>
      <c r="E198" s="384" t="n"/>
      <c r="F198" s="384" t="n"/>
      <c r="G198" s="384" t="n"/>
      <c r="H198" s="384" t="n"/>
      <c r="I198" s="384" t="n"/>
      <c r="J198" s="384" t="n"/>
      <c r="K198" s="384" t="n"/>
      <c r="L198" s="384" t="n"/>
      <c r="M198" s="32" t="n"/>
      <c r="N198" s="384" t="n"/>
      <c r="O198" s="384" t="n"/>
      <c r="P198" s="384" t="n"/>
      <c r="Q198" s="384" t="n"/>
      <c r="R198" s="384" t="n"/>
      <c r="S198" s="384" t="n"/>
      <c r="T198" s="384" t="n"/>
      <c r="U198" s="384" t="n"/>
      <c r="V198" s="384" t="n"/>
      <c r="W198" s="384" t="n"/>
      <c r="X198" s="384" t="n"/>
      <c r="Y198" s="384" t="n"/>
      <c r="Z198" s="384" t="n"/>
      <c r="AA198" s="384" t="n"/>
      <c r="AB198" s="384" t="n"/>
      <c r="AC198" s="384" t="n"/>
      <c r="AD198" s="384" t="n"/>
      <c r="AE198" s="384" t="n"/>
      <c r="AF198" s="384" t="n"/>
      <c r="AG198" s="384" t="n"/>
      <c r="AH198" s="384" t="n"/>
      <c r="AI198" s="384" t="n"/>
      <c r="AJ198" s="384" t="n"/>
      <c r="AK198" s="384" t="n"/>
      <c r="AL198" s="384" t="n"/>
    </row>
    <row r="199">
      <c r="A199" s="384" t="n"/>
      <c r="B199" s="384" t="n"/>
      <c r="C199" s="384" t="n"/>
      <c r="D199" s="384" t="n"/>
      <c r="E199" s="384" t="n"/>
      <c r="F199" s="384" t="n"/>
      <c r="G199" s="384" t="n"/>
      <c r="H199" s="384" t="n"/>
      <c r="I199" s="384" t="n"/>
      <c r="J199" s="384" t="n"/>
      <c r="K199" s="384" t="n"/>
      <c r="L199" s="384" t="n"/>
      <c r="M199" s="32" t="n"/>
      <c r="N199" s="384" t="n"/>
      <c r="O199" s="384" t="n"/>
      <c r="P199" s="384" t="n"/>
      <c r="Q199" s="384" t="n"/>
      <c r="R199" s="384" t="n"/>
      <c r="S199" s="384" t="n"/>
      <c r="T199" s="384" t="n"/>
      <c r="U199" s="384" t="n"/>
      <c r="V199" s="384" t="n"/>
      <c r="W199" s="384" t="n"/>
      <c r="X199" s="384" t="n"/>
      <c r="Y199" s="384" t="n"/>
      <c r="Z199" s="384" t="n"/>
      <c r="AA199" s="384" t="n"/>
      <c r="AB199" s="384" t="n"/>
      <c r="AC199" s="384" t="n"/>
      <c r="AD199" s="384" t="n"/>
      <c r="AE199" s="384" t="n"/>
      <c r="AF199" s="384" t="n"/>
      <c r="AG199" s="384" t="n"/>
      <c r="AH199" s="384" t="n"/>
      <c r="AI199" s="384" t="n"/>
      <c r="AJ199" s="384" t="n"/>
      <c r="AK199" s="384" t="n"/>
      <c r="AL199" s="384" t="n"/>
    </row>
    <row r="200">
      <c r="A200" s="384" t="n"/>
      <c r="B200" s="384" t="n"/>
      <c r="C200" s="384" t="n"/>
      <c r="D200" s="384" t="n"/>
      <c r="E200" s="384" t="n"/>
      <c r="F200" s="384" t="n"/>
      <c r="G200" s="384" t="n"/>
      <c r="H200" s="384" t="n"/>
      <c r="I200" s="384" t="n"/>
      <c r="J200" s="384" t="n"/>
      <c r="K200" s="384" t="n"/>
      <c r="L200" s="384" t="n"/>
      <c r="M200" s="32" t="n"/>
      <c r="N200" s="384" t="n"/>
      <c r="O200" s="384" t="n"/>
      <c r="P200" s="384" t="n"/>
      <c r="Q200" s="384" t="n"/>
      <c r="R200" s="384" t="n"/>
      <c r="S200" s="384" t="n"/>
      <c r="T200" s="384" t="n"/>
      <c r="U200" s="384" t="n"/>
      <c r="V200" s="384" t="n"/>
      <c r="W200" s="384" t="n"/>
      <c r="X200" s="384" t="n"/>
      <c r="Y200" s="384" t="n"/>
      <c r="Z200" s="384" t="n"/>
      <c r="AA200" s="384" t="n"/>
      <c r="AB200" s="384" t="n"/>
      <c r="AC200" s="384" t="n"/>
      <c r="AD200" s="384" t="n"/>
      <c r="AE200" s="384" t="n"/>
      <c r="AF200" s="384" t="n"/>
      <c r="AG200" s="384" t="n"/>
      <c r="AH200" s="384" t="n"/>
      <c r="AI200" s="384" t="n"/>
      <c r="AJ200" s="384" t="n"/>
      <c r="AK200" s="384" t="n"/>
      <c r="AL200" s="384" t="n"/>
    </row>
    <row r="201">
      <c r="A201" s="384" t="n"/>
      <c r="B201" s="384" t="n"/>
      <c r="C201" s="384" t="n"/>
      <c r="D201" s="128" t="n"/>
      <c r="E201" s="384" t="n"/>
      <c r="F201" s="384" t="n"/>
      <c r="G201" s="384" t="n"/>
      <c r="H201" s="384" t="n"/>
      <c r="I201" s="384" t="n"/>
      <c r="J201" s="384" t="n"/>
      <c r="K201" s="384" t="n"/>
      <c r="L201" s="384" t="n"/>
      <c r="M201" s="32" t="n"/>
      <c r="N201" s="384" t="n"/>
      <c r="O201" s="384" t="n"/>
      <c r="P201" s="384" t="n"/>
      <c r="Q201" s="384" t="n"/>
      <c r="R201" s="384" t="n"/>
      <c r="S201" s="384" t="n"/>
      <c r="T201" s="384" t="n"/>
      <c r="U201" s="384" t="n"/>
      <c r="V201" s="384" t="n"/>
      <c r="W201" s="384" t="n"/>
      <c r="X201" s="384" t="n"/>
      <c r="Y201" s="384" t="n"/>
      <c r="Z201" s="384" t="n"/>
      <c r="AA201" s="384" t="n"/>
      <c r="AB201" s="384" t="n"/>
      <c r="AC201" s="384" t="n"/>
      <c r="AD201" s="384" t="n"/>
      <c r="AE201" s="384" t="n"/>
      <c r="AF201" s="384" t="n"/>
      <c r="AG201" s="384" t="n"/>
      <c r="AH201" s="384" t="n"/>
      <c r="AI201" s="384" t="n"/>
      <c r="AJ201" s="384" t="n"/>
      <c r="AK201" s="384" t="n"/>
      <c r="AL201" s="384" t="n"/>
    </row>
    <row r="202">
      <c r="A202" s="384" t="n"/>
      <c r="B202" s="384" t="n"/>
      <c r="C202" s="384" t="n"/>
      <c r="D202" s="128" t="n"/>
      <c r="E202" s="384" t="n"/>
      <c r="F202" s="384" t="n"/>
      <c r="G202" s="384" t="n"/>
      <c r="H202" s="384" t="n"/>
      <c r="I202" s="384" t="n"/>
      <c r="J202" s="384" t="n"/>
      <c r="K202" s="384" t="n"/>
      <c r="L202" s="384" t="n"/>
      <c r="M202" s="32" t="n"/>
      <c r="N202" s="384" t="n"/>
      <c r="O202" s="384" t="n"/>
      <c r="P202" s="384" t="n"/>
      <c r="Q202" s="384" t="n"/>
      <c r="R202" s="384" t="n"/>
      <c r="S202" s="384" t="n"/>
      <c r="T202" s="384" t="n"/>
      <c r="U202" s="384" t="n"/>
      <c r="V202" s="384" t="n"/>
      <c r="W202" s="384" t="n"/>
      <c r="X202" s="384" t="n"/>
      <c r="Y202" s="384" t="n"/>
      <c r="Z202" s="384" t="n"/>
      <c r="AA202" s="384" t="n"/>
      <c r="AB202" s="384" t="n"/>
      <c r="AC202" s="384" t="n"/>
      <c r="AD202" s="384" t="n"/>
      <c r="AE202" s="384" t="n"/>
      <c r="AF202" s="384" t="n"/>
      <c r="AG202" s="384" t="n"/>
      <c r="AH202" s="384" t="n"/>
      <c r="AI202" s="384" t="n"/>
      <c r="AJ202" s="384" t="n"/>
      <c r="AK202" s="384" t="n"/>
      <c r="AL202" s="384" t="n"/>
    </row>
    <row r="203">
      <c r="A203" s="384" t="n"/>
      <c r="B203" s="384" t="n"/>
      <c r="C203" s="384" t="n"/>
      <c r="D203" s="128" t="n"/>
      <c r="E203" s="384" t="n"/>
      <c r="F203" s="384" t="n"/>
      <c r="G203" s="384" t="n"/>
      <c r="H203" s="384" t="n"/>
      <c r="I203" s="384" t="n"/>
      <c r="J203" s="384" t="n"/>
      <c r="K203" s="384" t="n"/>
      <c r="L203" s="384" t="n"/>
      <c r="M203" s="32" t="n"/>
      <c r="N203" s="384" t="n"/>
      <c r="O203" s="384" t="n"/>
      <c r="P203" s="384" t="n"/>
      <c r="Q203" s="384" t="n"/>
      <c r="R203" s="384" t="n"/>
      <c r="S203" s="384" t="n"/>
      <c r="T203" s="384" t="n"/>
      <c r="U203" s="384" t="n"/>
      <c r="V203" s="384" t="n"/>
      <c r="W203" s="384" t="n"/>
      <c r="X203" s="384" t="n"/>
      <c r="Y203" s="384" t="n"/>
      <c r="Z203" s="384" t="n"/>
      <c r="AA203" s="384" t="n"/>
      <c r="AB203" s="384" t="n"/>
      <c r="AC203" s="384" t="n"/>
      <c r="AD203" s="384" t="n"/>
      <c r="AE203" s="384" t="n"/>
      <c r="AF203" s="384" t="n"/>
      <c r="AG203" s="384" t="n"/>
      <c r="AH203" s="384" t="n"/>
      <c r="AI203" s="384" t="n"/>
      <c r="AJ203" s="384" t="n"/>
      <c r="AK203" s="384" t="n"/>
      <c r="AL203" s="384" t="n"/>
    </row>
    <row r="204">
      <c r="A204" s="384" t="n"/>
      <c r="B204" s="384" t="n"/>
      <c r="C204" s="384" t="n"/>
      <c r="D204" s="128" t="n"/>
      <c r="E204" s="384" t="n"/>
      <c r="F204" s="384" t="n"/>
      <c r="G204" s="384" t="n"/>
      <c r="H204" s="384" t="n"/>
      <c r="I204" s="384" t="n"/>
      <c r="J204" s="384" t="n"/>
      <c r="K204" s="384" t="n"/>
      <c r="L204" s="384" t="n"/>
      <c r="M204" s="32" t="n"/>
      <c r="N204" s="384" t="n"/>
      <c r="O204" s="384" t="n"/>
      <c r="P204" s="384" t="n"/>
      <c r="Q204" s="384" t="n"/>
      <c r="R204" s="384" t="n"/>
      <c r="S204" s="384" t="n"/>
      <c r="T204" s="384" t="n"/>
      <c r="U204" s="384" t="n"/>
      <c r="V204" s="384" t="n"/>
      <c r="W204" s="384" t="n"/>
      <c r="X204" s="384" t="n"/>
      <c r="Y204" s="384" t="n"/>
      <c r="Z204" s="384" t="n"/>
      <c r="AA204" s="384" t="n"/>
      <c r="AB204" s="384" t="n"/>
      <c r="AC204" s="384" t="n"/>
      <c r="AD204" s="384" t="n"/>
      <c r="AE204" s="384" t="n"/>
      <c r="AF204" s="384" t="n"/>
      <c r="AG204" s="384" t="n"/>
      <c r="AH204" s="384" t="n"/>
      <c r="AI204" s="384" t="n"/>
      <c r="AJ204" s="384" t="n"/>
      <c r="AK204" s="384" t="n"/>
      <c r="AL204" s="384" t="n"/>
    </row>
    <row r="205">
      <c r="A205" s="384" t="n"/>
      <c r="B205" s="384" t="n"/>
      <c r="C205" s="384" t="n"/>
      <c r="D205" s="128" t="n"/>
      <c r="E205" s="384" t="n"/>
      <c r="F205" s="384" t="n"/>
      <c r="G205" s="384" t="n"/>
      <c r="H205" s="384" t="n"/>
      <c r="I205" s="384" t="n"/>
      <c r="J205" s="384" t="n"/>
      <c r="K205" s="384" t="n"/>
      <c r="L205" s="384" t="n"/>
      <c r="M205" s="32" t="n"/>
      <c r="N205" s="384" t="n"/>
      <c r="O205" s="384" t="n"/>
      <c r="P205" s="384" t="n"/>
      <c r="Q205" s="384" t="n"/>
      <c r="R205" s="384" t="n"/>
      <c r="S205" s="384" t="n"/>
      <c r="T205" s="384" t="n"/>
      <c r="U205" s="384" t="n"/>
      <c r="V205" s="384" t="n"/>
      <c r="W205" s="384" t="n"/>
      <c r="X205" s="384" t="n"/>
      <c r="Y205" s="384" t="n"/>
      <c r="Z205" s="384" t="n"/>
      <c r="AA205" s="384" t="n"/>
      <c r="AB205" s="384" t="n"/>
      <c r="AC205" s="384" t="n"/>
      <c r="AD205" s="384" t="n"/>
      <c r="AE205" s="384" t="n"/>
      <c r="AF205" s="384" t="n"/>
      <c r="AG205" s="384" t="n"/>
      <c r="AH205" s="384" t="n"/>
      <c r="AI205" s="384" t="n"/>
      <c r="AJ205" s="384" t="n"/>
      <c r="AK205" s="384" t="n"/>
      <c r="AL205" s="384" t="n"/>
    </row>
    <row r="206">
      <c r="A206" s="384" t="n"/>
      <c r="B206" s="384" t="n"/>
      <c r="C206" s="384" t="n"/>
      <c r="D206" s="128" t="n"/>
      <c r="E206" s="384" t="n"/>
      <c r="F206" s="384" t="n"/>
      <c r="G206" s="384" t="n"/>
      <c r="H206" s="384" t="n"/>
      <c r="I206" s="384" t="n"/>
      <c r="J206" s="384" t="n"/>
      <c r="K206" s="384" t="n"/>
      <c r="L206" s="384" t="n"/>
      <c r="M206" s="32" t="n"/>
      <c r="N206" s="384" t="n"/>
      <c r="O206" s="384" t="n"/>
      <c r="P206" s="384" t="n"/>
      <c r="Q206" s="384" t="n"/>
      <c r="R206" s="384" t="n"/>
      <c r="S206" s="384" t="n"/>
      <c r="T206" s="384" t="n"/>
      <c r="U206" s="384" t="n"/>
      <c r="V206" s="384" t="n"/>
      <c r="W206" s="384" t="n"/>
      <c r="X206" s="384" t="n"/>
      <c r="Y206" s="384" t="n"/>
      <c r="Z206" s="384" t="n"/>
      <c r="AA206" s="384" t="n"/>
      <c r="AB206" s="384" t="n"/>
      <c r="AC206" s="384" t="n"/>
      <c r="AD206" s="384" t="n"/>
      <c r="AE206" s="384" t="n"/>
      <c r="AF206" s="384" t="n"/>
      <c r="AG206" s="384" t="n"/>
      <c r="AH206" s="384" t="n"/>
      <c r="AI206" s="384" t="n"/>
      <c r="AJ206" s="384" t="n"/>
      <c r="AK206" s="384" t="n"/>
      <c r="AL206" s="384" t="n"/>
    </row>
    <row r="207">
      <c r="A207" s="384" t="n"/>
      <c r="B207" s="384" t="n"/>
      <c r="C207" s="384" t="n"/>
      <c r="D207" s="128" t="n"/>
      <c r="E207" s="384" t="n"/>
      <c r="F207" s="384" t="n"/>
      <c r="G207" s="384" t="n"/>
      <c r="H207" s="384" t="n"/>
      <c r="I207" s="384" t="n"/>
      <c r="J207" s="384" t="n"/>
      <c r="K207" s="384" t="n"/>
      <c r="L207" s="384" t="n"/>
      <c r="M207" s="32" t="n"/>
      <c r="N207" s="384" t="n"/>
      <c r="O207" s="384" t="n"/>
      <c r="P207" s="384" t="n"/>
      <c r="Q207" s="384" t="n"/>
      <c r="R207" s="384" t="n"/>
      <c r="S207" s="384" t="n"/>
      <c r="T207" s="384" t="n"/>
      <c r="U207" s="384" t="n"/>
      <c r="V207" s="384" t="n"/>
      <c r="W207" s="384" t="n"/>
      <c r="X207" s="384" t="n"/>
      <c r="Y207" s="384" t="n"/>
      <c r="Z207" s="384" t="n"/>
      <c r="AA207" s="384" t="n"/>
      <c r="AB207" s="384" t="n"/>
      <c r="AC207" s="384" t="n"/>
      <c r="AD207" s="384" t="n"/>
      <c r="AE207" s="384" t="n"/>
      <c r="AF207" s="384" t="n"/>
      <c r="AG207" s="384" t="n"/>
      <c r="AH207" s="384" t="n"/>
      <c r="AI207" s="384" t="n"/>
      <c r="AJ207" s="384" t="n"/>
      <c r="AK207" s="384" t="n"/>
      <c r="AL207" s="384" t="n"/>
    </row>
    <row r="208">
      <c r="A208" s="384" t="n"/>
      <c r="B208" s="384" t="n"/>
      <c r="C208" s="384" t="n"/>
      <c r="D208" s="128" t="n"/>
      <c r="E208" s="384" t="n"/>
      <c r="F208" s="384" t="n"/>
      <c r="G208" s="384" t="n"/>
      <c r="H208" s="384" t="n"/>
      <c r="I208" s="384" t="n"/>
      <c r="J208" s="384" t="n"/>
      <c r="K208" s="384" t="n"/>
      <c r="L208" s="384" t="n"/>
      <c r="M208" s="32" t="n"/>
      <c r="N208" s="384" t="n"/>
      <c r="O208" s="384" t="n"/>
      <c r="P208" s="384" t="n"/>
      <c r="Q208" s="384" t="n"/>
      <c r="R208" s="384" t="n"/>
      <c r="S208" s="384" t="n"/>
      <c r="T208" s="384" t="n"/>
      <c r="U208" s="384" t="n"/>
      <c r="V208" s="384" t="n"/>
      <c r="W208" s="384" t="n"/>
      <c r="X208" s="384" t="n"/>
      <c r="Y208" s="384" t="n"/>
      <c r="Z208" s="384" t="n"/>
      <c r="AA208" s="384" t="n"/>
      <c r="AB208" s="384" t="n"/>
      <c r="AC208" s="384" t="n"/>
      <c r="AD208" s="384" t="n"/>
      <c r="AE208" s="384" t="n"/>
      <c r="AF208" s="384" t="n"/>
      <c r="AG208" s="384" t="n"/>
      <c r="AH208" s="384" t="n"/>
      <c r="AI208" s="384" t="n"/>
      <c r="AJ208" s="384" t="n"/>
      <c r="AK208" s="384" t="n"/>
      <c r="AL208" s="384" t="n"/>
    </row>
    <row r="209">
      <c r="A209" s="384" t="n"/>
      <c r="B209" s="384" t="n"/>
      <c r="C209" s="384" t="n"/>
      <c r="D209" s="128" t="n"/>
      <c r="E209" s="384" t="n"/>
      <c r="F209" s="384" t="n"/>
      <c r="G209" s="384" t="n"/>
      <c r="H209" s="384" t="n"/>
      <c r="I209" s="384" t="n"/>
      <c r="J209" s="384" t="n"/>
      <c r="K209" s="384" t="n"/>
      <c r="L209" s="384" t="n"/>
      <c r="M209" s="32" t="n"/>
      <c r="N209" s="384" t="n"/>
      <c r="O209" s="384" t="n"/>
      <c r="P209" s="384" t="n"/>
      <c r="Q209" s="384" t="n"/>
      <c r="R209" s="384" t="n"/>
      <c r="S209" s="384" t="n"/>
      <c r="T209" s="384" t="n"/>
      <c r="U209" s="384" t="n"/>
      <c r="V209" s="384" t="n"/>
      <c r="W209" s="384" t="n"/>
      <c r="X209" s="384" t="n"/>
      <c r="Y209" s="384" t="n"/>
      <c r="Z209" s="384" t="n"/>
      <c r="AA209" s="384" t="n"/>
      <c r="AB209" s="384" t="n"/>
      <c r="AC209" s="384" t="n"/>
      <c r="AD209" s="384" t="n"/>
      <c r="AE209" s="384" t="n"/>
      <c r="AF209" s="384" t="n"/>
      <c r="AG209" s="384" t="n"/>
      <c r="AH209" s="384" t="n"/>
      <c r="AI209" s="384" t="n"/>
      <c r="AJ209" s="384" t="n"/>
      <c r="AK209" s="384" t="n"/>
      <c r="AL209" s="384" t="n"/>
    </row>
    <row r="210">
      <c r="A210" s="384" t="n"/>
      <c r="B210" s="384" t="n"/>
      <c r="C210" s="384" t="n"/>
      <c r="D210" s="128" t="n"/>
      <c r="E210" s="384" t="n"/>
      <c r="F210" s="384" t="n"/>
      <c r="G210" s="384" t="n"/>
      <c r="H210" s="384" t="n"/>
      <c r="I210" s="384" t="n"/>
      <c r="J210" s="384" t="n"/>
      <c r="K210" s="384" t="n"/>
      <c r="L210" s="384" t="n"/>
      <c r="M210" s="32" t="n"/>
      <c r="N210" s="384" t="n"/>
      <c r="O210" s="384" t="n"/>
      <c r="P210" s="384" t="n"/>
      <c r="Q210" s="384" t="n"/>
      <c r="R210" s="384" t="n"/>
      <c r="S210" s="384" t="n"/>
      <c r="T210" s="384" t="n"/>
      <c r="U210" s="384" t="n"/>
      <c r="V210" s="384" t="n"/>
      <c r="W210" s="384" t="n"/>
      <c r="X210" s="384" t="n"/>
      <c r="Y210" s="384" t="n"/>
      <c r="Z210" s="384" t="n"/>
      <c r="AA210" s="384" t="n"/>
      <c r="AB210" s="384" t="n"/>
      <c r="AC210" s="384" t="n"/>
      <c r="AD210" s="384" t="n"/>
      <c r="AE210" s="384" t="n"/>
      <c r="AF210" s="384" t="n"/>
      <c r="AG210" s="384" t="n"/>
      <c r="AH210" s="384" t="n"/>
      <c r="AI210" s="384" t="n"/>
      <c r="AJ210" s="384" t="n"/>
      <c r="AK210" s="384" t="n"/>
      <c r="AL210" s="384" t="n"/>
    </row>
    <row r="211">
      <c r="A211" s="384" t="n"/>
      <c r="B211" s="384" t="n"/>
      <c r="C211" s="384" t="n"/>
      <c r="D211" s="128" t="n"/>
      <c r="E211" s="384" t="n"/>
      <c r="F211" s="384" t="n"/>
      <c r="G211" s="384" t="n"/>
      <c r="H211" s="384" t="n"/>
      <c r="I211" s="384" t="n"/>
      <c r="J211" s="384" t="n"/>
      <c r="K211" s="384" t="n"/>
      <c r="L211" s="384" t="n"/>
      <c r="M211" s="32" t="n"/>
      <c r="N211" s="384" t="n"/>
      <c r="O211" s="384" t="n"/>
      <c r="P211" s="384" t="n"/>
      <c r="Q211" s="384" t="n"/>
      <c r="R211" s="384" t="n"/>
      <c r="S211" s="384" t="n"/>
      <c r="T211" s="384" t="n"/>
      <c r="U211" s="384" t="n"/>
      <c r="V211" s="384" t="n"/>
      <c r="W211" s="384" t="n"/>
      <c r="X211" s="384" t="n"/>
      <c r="Y211" s="384" t="n"/>
      <c r="Z211" s="384" t="n"/>
      <c r="AA211" s="384" t="n"/>
      <c r="AB211" s="384" t="n"/>
      <c r="AC211" s="384" t="n"/>
      <c r="AD211" s="384" t="n"/>
      <c r="AE211" s="384" t="n"/>
      <c r="AF211" s="384" t="n"/>
      <c r="AG211" s="384" t="n"/>
      <c r="AH211" s="384" t="n"/>
      <c r="AI211" s="384" t="n"/>
      <c r="AJ211" s="384" t="n"/>
      <c r="AK211" s="384" t="n"/>
      <c r="AL211" s="384" t="n"/>
    </row>
    <row r="212">
      <c r="A212" s="384" t="n"/>
      <c r="B212" s="384" t="n"/>
      <c r="C212" s="384" t="n"/>
      <c r="D212" s="128" t="n"/>
      <c r="E212" s="384" t="n"/>
      <c r="F212" s="384" t="n"/>
      <c r="G212" s="384" t="n"/>
      <c r="H212" s="384" t="n"/>
      <c r="I212" s="384" t="n"/>
      <c r="J212" s="384" t="n"/>
      <c r="K212" s="384" t="n"/>
      <c r="L212" s="384" t="n"/>
      <c r="M212" s="32" t="n"/>
      <c r="N212" s="384" t="n"/>
      <c r="O212" s="384" t="n"/>
      <c r="P212" s="384" t="n"/>
      <c r="Q212" s="384" t="n"/>
      <c r="R212" s="384" t="n"/>
      <c r="S212" s="384" t="n"/>
      <c r="T212" s="384" t="n"/>
      <c r="U212" s="384" t="n"/>
      <c r="V212" s="384" t="n"/>
      <c r="W212" s="384" t="n"/>
      <c r="X212" s="384" t="n"/>
      <c r="Y212" s="384" t="n"/>
      <c r="Z212" s="384" t="n"/>
      <c r="AA212" s="384" t="n"/>
      <c r="AB212" s="384" t="n"/>
      <c r="AC212" s="384" t="n"/>
      <c r="AD212" s="384" t="n"/>
      <c r="AE212" s="384" t="n"/>
      <c r="AF212" s="384" t="n"/>
      <c r="AG212" s="384" t="n"/>
      <c r="AH212" s="384" t="n"/>
      <c r="AI212" s="384" t="n"/>
      <c r="AJ212" s="384" t="n"/>
      <c r="AK212" s="384" t="n"/>
      <c r="AL212" s="384" t="n"/>
    </row>
    <row r="213">
      <c r="A213" s="384" t="n"/>
      <c r="B213" s="384" t="n"/>
      <c r="C213" s="384" t="n"/>
      <c r="D213" s="384" t="n"/>
      <c r="E213" s="384" t="n"/>
      <c r="F213" s="384" t="n"/>
      <c r="G213" s="384" t="n"/>
      <c r="H213" s="384" t="n"/>
      <c r="I213" s="384" t="n"/>
      <c r="J213" s="384" t="n"/>
      <c r="K213" s="384" t="n"/>
      <c r="L213" s="384" t="n"/>
      <c r="M213" s="32" t="n"/>
      <c r="N213" s="384" t="n"/>
      <c r="O213" s="384" t="n"/>
      <c r="P213" s="384" t="n"/>
      <c r="Q213" s="384" t="n"/>
      <c r="R213" s="384" t="n"/>
      <c r="S213" s="384" t="n"/>
      <c r="T213" s="384" t="n"/>
      <c r="U213" s="384" t="n"/>
      <c r="V213" s="384" t="n"/>
      <c r="W213" s="384" t="n"/>
      <c r="X213" s="384" t="n"/>
      <c r="Y213" s="384" t="n"/>
      <c r="Z213" s="384" t="n"/>
      <c r="AA213" s="384" t="n"/>
      <c r="AB213" s="384" t="n"/>
      <c r="AC213" s="384" t="n"/>
      <c r="AD213" s="384" t="n"/>
      <c r="AE213" s="384" t="n"/>
      <c r="AF213" s="384" t="n"/>
      <c r="AG213" s="384" t="n"/>
      <c r="AH213" s="384" t="n"/>
      <c r="AI213" s="384" t="n"/>
      <c r="AJ213" s="384" t="n"/>
      <c r="AK213" s="384" t="n"/>
      <c r="AL213" s="384" t="n"/>
    </row>
    <row r="214">
      <c r="A214" s="384" t="n"/>
      <c r="B214" s="384" t="n"/>
      <c r="C214" s="384" t="n"/>
      <c r="D214" s="384" t="n"/>
      <c r="E214" s="384" t="n"/>
      <c r="F214" s="384" t="n"/>
      <c r="G214" s="384" t="n"/>
      <c r="H214" s="384" t="n"/>
      <c r="I214" s="384" t="n"/>
      <c r="J214" s="384" t="n"/>
      <c r="K214" s="384" t="n"/>
      <c r="L214" s="384" t="n"/>
      <c r="M214" s="32" t="n"/>
      <c r="N214" s="384" t="n"/>
      <c r="O214" s="384" t="n"/>
      <c r="P214" s="384" t="n"/>
      <c r="Q214" s="384" t="n"/>
      <c r="R214" s="384" t="n"/>
      <c r="S214" s="384" t="n"/>
      <c r="T214" s="384" t="n"/>
      <c r="U214" s="384" t="n"/>
      <c r="V214" s="384" t="n"/>
      <c r="W214" s="384" t="n"/>
      <c r="X214" s="384" t="n"/>
      <c r="Y214" s="384" t="n"/>
      <c r="Z214" s="384" t="n"/>
      <c r="AA214" s="384" t="n"/>
      <c r="AB214" s="384" t="n"/>
      <c r="AC214" s="384" t="n"/>
      <c r="AD214" s="384" t="n"/>
      <c r="AE214" s="384" t="n"/>
      <c r="AF214" s="384" t="n"/>
      <c r="AG214" s="384" t="n"/>
      <c r="AH214" s="384" t="n"/>
      <c r="AI214" s="384" t="n"/>
      <c r="AJ214" s="384" t="n"/>
      <c r="AK214" s="384" t="n"/>
      <c r="AL214" s="384" t="n"/>
    </row>
    <row r="215">
      <c r="A215" s="384" t="n"/>
      <c r="B215" s="384" t="n"/>
      <c r="C215" s="384" t="inlineStr">
        <is>
          <t>直接取利润表数到”其他“，不取经营表单数据的单位</t>
        </is>
      </c>
      <c r="D215" s="384" t="n"/>
      <c r="E215" s="384" t="n"/>
      <c r="F215" s="384" t="n"/>
      <c r="G215" s="384" t="n"/>
      <c r="H215" s="384" t="n"/>
      <c r="I215" s="384" t="n"/>
      <c r="J215" s="384" t="n"/>
      <c r="K215" s="384" t="n"/>
      <c r="L215" s="384" t="n"/>
      <c r="M215" s="32" t="n"/>
      <c r="N215" s="384" t="n"/>
      <c r="O215" s="384" t="n"/>
      <c r="P215" s="384" t="n"/>
      <c r="Q215" s="384" t="n"/>
      <c r="R215" s="384" t="n"/>
      <c r="S215" s="384" t="n"/>
      <c r="T215" s="384" t="n"/>
      <c r="U215" s="384" t="n"/>
      <c r="V215" s="384" t="n"/>
      <c r="W215" s="384" t="n"/>
      <c r="X215" s="384" t="n"/>
      <c r="Y215" s="384" t="n"/>
      <c r="Z215" s="384" t="n"/>
      <c r="AA215" s="384" t="n"/>
      <c r="AB215" s="384" t="n"/>
      <c r="AC215" s="384" t="n"/>
      <c r="AD215" s="384" t="n"/>
      <c r="AE215" s="384" t="n"/>
      <c r="AF215" s="384" t="n"/>
      <c r="AG215" s="384" t="n"/>
      <c r="AH215" s="384" t="n"/>
      <c r="AI215" s="384" t="n"/>
      <c r="AJ215" s="384" t="n"/>
      <c r="AK215" s="384" t="n"/>
      <c r="AL215" s="384" t="n"/>
    </row>
    <row r="216">
      <c r="A216" s="384" t="n"/>
      <c r="B216" s="384" t="n"/>
      <c r="C216" s="384" t="inlineStr">
        <is>
          <t>E100007</t>
        </is>
      </c>
      <c r="D216" s="384" t="n"/>
      <c r="E216" s="384" t="n"/>
      <c r="F216" s="384" t="n"/>
      <c r="G216" s="384" t="n"/>
      <c r="H216" s="384" t="n"/>
      <c r="I216" s="384" t="n"/>
      <c r="J216" s="384" t="n"/>
      <c r="K216" s="384" t="n"/>
      <c r="L216" s="384" t="n"/>
      <c r="M216" s="32" t="n"/>
      <c r="N216" s="384" t="n"/>
      <c r="O216" s="384" t="n"/>
      <c r="P216" s="384" t="n"/>
      <c r="Q216" s="384" t="n"/>
      <c r="R216" s="384" t="n"/>
      <c r="S216" s="384" t="n"/>
      <c r="T216" s="384" t="n"/>
      <c r="U216" s="384" t="n"/>
      <c r="V216" s="384" t="n"/>
      <c r="W216" s="384" t="n"/>
      <c r="X216" s="384" t="n"/>
      <c r="Y216" s="384" t="n"/>
      <c r="Z216" s="384" t="n"/>
      <c r="AA216" s="384" t="n"/>
      <c r="AB216" s="384" t="n"/>
      <c r="AC216" s="384" t="n"/>
      <c r="AD216" s="384" t="n"/>
      <c r="AE216" s="384" t="n"/>
      <c r="AF216" s="384" t="n"/>
      <c r="AG216" s="384" t="n"/>
      <c r="AH216" s="384" t="n"/>
      <c r="AI216" s="384" t="n"/>
      <c r="AJ216" s="384" t="n"/>
      <c r="AK216" s="384" t="n"/>
      <c r="AL216" s="384" t="n"/>
    </row>
  </sheetData>
  <sheetProtection selectLockedCells="0" selectUnlockedCells="0" algorithmName="SHA-512" sheet="1" objects="0" insertRows="1" insertHyperlinks="1" autoFilter="1" scenarios="1" formatColumns="1" deleteColumns="1" insertColumns="1" pivotTables="1" deleteRows="1" formatCells="1" saltValue="WUXra7754J/1FGoE84v7hQ==" formatRows="1" sort="1" spinCount="100000" hashValue="ebFCkid0+jdXu3sgtu4bL2DPVmaN/OKOpdsckuiAxUuWB5cjh0b7EhF2g9OulE217E5hVthrsSxmZM0vQji4qA=="/>
  <mergeCells count="6">
    <mergeCell ref="H2:J2"/>
    <mergeCell ref="D16:E16"/>
    <mergeCell ref="S39:AA39"/>
    <mergeCell ref="AB39:AJ39"/>
    <mergeCell ref="R101:R104"/>
    <mergeCell ref="X35:Y36"/>
  </mergeCells>
  <conditionalFormatting sqref="S101:AA102">
    <cfRule type="cellIs" priority="2" operator="equal" dxfId="1">
      <formula>0</formula>
    </cfRule>
  </conditionalFormatting>
  <conditionalFormatting sqref="S103:AA104">
    <cfRule type="containsText" priority="1" operator="between" dxfId="2" text="校验通过">
      <formula>NOT(ISERROR(SEARCH("校验通过",S103)))</formula>
    </cfRule>
  </conditionalFormatting>
  <dataValidations count="1">
    <dataValidation sqref="T37" showErrorMessage="1" showInputMessage="1" allowBlank="1" type="list">
      <formula1>$I$19:$I$21</formula1>
    </dataValidation>
  </dataValidations>
  <pageMargins left="0.7" right="0.7" top="0.75" bottom="0.75" header="0.3" footer="0.3"/>
  <pageSetup orientation="portrait" paperSize="9"/>
  <drawing xmlns:r="http://schemas.openxmlformats.org/officeDocument/2006/relationships" r:id="rId1"/>
  <legacyDrawing xmlns:r="http://schemas.openxmlformats.org/officeDocument/2006/relationships" r:id="anysvml"/>
</worksheet>
</file>

<file path=xl/worksheets/sheet43.xml><?xml version="1.0" encoding="utf-8"?>
<worksheet xmlns="http://schemas.openxmlformats.org/spreadsheetml/2006/main">
  <sheetPr codeName="Sheet51">
    <outlinePr summaryBelow="1" summaryRight="1"/>
    <pageSetUpPr/>
  </sheetPr>
  <dimension ref="A1:AM59"/>
  <sheetViews>
    <sheetView topLeftCell="W34" zoomScale="90" zoomScaleNormal="90" workbookViewId="0">
      <pane xSplit="3" ySplit="12" topLeftCell="Z46" activePane="bottomRight" state="frozen"/>
      <selection activeCell="A1" sqref="A1"/>
      <selection pane="topRight" activeCell="A1" sqref="A1"/>
      <selection pane="bottomLeft" activeCell="A1" sqref="A1"/>
      <selection pane="bottomRight" activeCell="AA58" sqref="AA58"/>
    </sheetView>
  </sheetViews>
  <sheetFormatPr baseColWidth="8" defaultColWidth="8.5" defaultRowHeight="16.8"/>
  <cols>
    <col hidden="1" width="8" customWidth="1" style="1181" min="1" max="1"/>
    <col hidden="1" width="15.375" customWidth="1" style="1181" min="2" max="2"/>
    <col hidden="1" width="11.375" customWidth="1" style="1181" min="3" max="3"/>
    <col hidden="1" width="12.25" customWidth="1" style="1181" min="4" max="4"/>
    <col hidden="1" width="14.5" customWidth="1" style="1181" min="5" max="5"/>
    <col hidden="1" width="7.75" customWidth="1" style="1181" min="6" max="7"/>
    <col hidden="1" width="8.375" customWidth="1" style="1181" min="8" max="8"/>
    <col hidden="1" width="9.25" customWidth="1" style="1181" min="9" max="9"/>
    <col hidden="1" width="21" customWidth="1" style="1181" min="10" max="10"/>
    <col hidden="1" width="7.75" customWidth="1" style="1181" min="11" max="17"/>
    <col hidden="1" width="24.375" customWidth="1" style="1181" min="18" max="18"/>
    <col hidden="1" width="16.5" customWidth="1" style="32" min="19" max="19"/>
    <col hidden="1" width="2.375" customWidth="1" style="1181" min="20" max="20"/>
    <col hidden="1" width="13.75" customWidth="1" style="1181" min="21" max="21"/>
    <col hidden="1" width="13.75" customWidth="1" style="37" min="22" max="22"/>
    <col width="1.5" customWidth="1" style="1181" min="23" max="23"/>
    <col width="33.125" customWidth="1" style="38" min="24" max="24"/>
    <col width="10.25" customWidth="1" style="1181" min="25" max="25"/>
    <col width="19.625" customWidth="1" style="1181" min="26" max="31"/>
    <col hidden="1" width="19.625" customWidth="1" style="1181" min="32" max="33"/>
    <col width="23.625" customWidth="1" style="1181" min="34" max="34"/>
    <col width="19.625" customWidth="1" style="1181" min="35" max="37"/>
    <col hidden="1" width="17.875" customWidth="1" style="1181" min="38" max="38"/>
    <col hidden="1" width="17.625" customWidth="1" style="1181" min="39" max="39"/>
  </cols>
  <sheetData>
    <row r="1" hidden="1" customFormat="1" s="13">
      <c r="A1" s="172" t="inlineStr">
        <is>
          <t>维度清单</t>
        </is>
      </c>
      <c r="B1" s="462" t="n"/>
      <c r="C1" s="173" t="n"/>
      <c r="D1" s="173" t="n"/>
      <c r="E1" s="716" t="n"/>
      <c r="F1" s="13" t="n"/>
      <c r="G1" s="13" t="n"/>
      <c r="H1" s="13" t="n"/>
      <c r="I1" s="13" t="n"/>
      <c r="J1" s="13" t="n"/>
      <c r="K1" s="13" t="n"/>
      <c r="L1" s="13" t="n"/>
      <c r="M1" s="13" t="n"/>
      <c r="N1" s="13" t="n"/>
      <c r="O1" s="13" t="n"/>
      <c r="P1" s="13" t="n"/>
      <c r="Q1" s="13" t="n"/>
      <c r="R1" s="13" t="n"/>
      <c r="S1" s="1103" t="n"/>
      <c r="T1" s="13" t="n"/>
      <c r="U1" s="13" t="n"/>
      <c r="V1" s="33" t="n"/>
      <c r="W1" s="13" t="n"/>
      <c r="X1" s="171" t="n"/>
      <c r="Y1" s="13" t="n"/>
      <c r="Z1" s="13" t="n"/>
      <c r="AA1" s="13" t="n"/>
      <c r="AB1" s="13" t="n"/>
      <c r="AC1" s="220" t="n"/>
      <c r="AD1" s="13" t="n"/>
      <c r="AE1" s="13" t="n"/>
      <c r="AF1" s="13" t="n"/>
      <c r="AG1" s="13" t="n"/>
      <c r="AH1" s="13" t="n"/>
      <c r="AI1" s="13" t="n"/>
      <c r="AJ1" s="13" t="n"/>
      <c r="AK1" s="13" t="n"/>
      <c r="AL1" s="13" t="n"/>
      <c r="AM1" s="13" t="n"/>
    </row>
    <row r="2" hidden="1" customFormat="1" s="13">
      <c r="A2" s="174" t="inlineStr">
        <is>
          <t>维度类型</t>
        </is>
      </c>
      <c r="B2" s="174" t="inlineStr">
        <is>
          <t>维度</t>
        </is>
      </c>
      <c r="C2" s="174" t="inlineStr">
        <is>
          <t>维度CV值</t>
        </is>
      </c>
      <c r="D2" s="174" t="inlineStr">
        <is>
          <t>描述</t>
        </is>
      </c>
      <c r="E2" s="174" t="inlineStr">
        <is>
          <t>备注</t>
        </is>
      </c>
      <c r="F2" s="13" t="n"/>
      <c r="G2" s="13" t="n"/>
      <c r="H2" s="183" t="inlineStr">
        <is>
          <t>TIME</t>
        </is>
      </c>
      <c r="I2" s="1182" t="n"/>
      <c r="J2" s="1183" t="n"/>
      <c r="K2" s="13" t="n"/>
      <c r="L2" s="13" t="n"/>
      <c r="M2" s="13" t="n"/>
      <c r="N2" s="13" t="n"/>
      <c r="O2" s="13" t="n"/>
      <c r="P2" s="13" t="n"/>
      <c r="Q2" s="13" t="n"/>
      <c r="R2" s="13" t="n"/>
      <c r="S2" s="1103" t="n"/>
      <c r="T2" s="13" t="n"/>
      <c r="U2" s="13" t="n"/>
      <c r="V2" s="33" t="n"/>
      <c r="W2" s="13" t="n"/>
      <c r="X2" s="171" t="n"/>
      <c r="Y2" s="13" t="n"/>
      <c r="Z2" s="13" t="n"/>
      <c r="AA2" s="13" t="n"/>
      <c r="AB2" s="13" t="n"/>
      <c r="AC2" s="220" t="n"/>
      <c r="AD2" s="13" t="n"/>
      <c r="AE2" s="13" t="n"/>
      <c r="AF2" s="13" t="n"/>
      <c r="AG2" s="13" t="n"/>
      <c r="AH2" s="13" t="n"/>
      <c r="AI2" s="13" t="n"/>
      <c r="AJ2" s="13" t="n"/>
      <c r="AK2" s="13" t="n"/>
      <c r="AL2" s="13" t="n"/>
      <c r="AM2" s="13" t="n"/>
    </row>
    <row r="3" hidden="1" customFormat="1" s="13">
      <c r="A3" s="175" t="inlineStr">
        <is>
          <t>A</t>
        </is>
      </c>
      <c r="B3" s="176">
        <f>IF(_epmOfflineCondition_,"C_ACCOUNT",EPMDimensionType(,A3))</f>
        <v/>
      </c>
      <c r="C3" s="176">
        <f>IF(_epmOfflineCondition_,"A_ALL",IF(B3="","",EPMContextMember(,B3)))</f>
        <v/>
      </c>
      <c r="D3" s="176">
        <f>IF(_epmOfflineCondition_,"所有科目",EPMMemberDesc(C3))</f>
        <v/>
      </c>
      <c r="E3" s="176" t="n"/>
      <c r="F3" s="13" t="n"/>
      <c r="G3" s="13" t="n"/>
      <c r="H3" s="184" t="inlineStr">
        <is>
          <t>年变量</t>
        </is>
      </c>
      <c r="I3" s="184">
        <f>IF(_epmOfflineCondition_,"2025",EPMMemberProperty(,EPMContextMember(,"C_TIME"),"YEAR"))</f>
        <v/>
      </c>
      <c r="J3" s="184" t="n"/>
      <c r="K3" s="13" t="n"/>
      <c r="L3" s="13" t="n"/>
      <c r="M3" s="13" t="n"/>
      <c r="N3" s="13" t="n"/>
      <c r="O3" s="13" t="n"/>
      <c r="P3" s="13" t="n"/>
      <c r="Q3" s="13" t="n"/>
      <c r="R3" s="13" t="n"/>
      <c r="S3" s="1103" t="n"/>
      <c r="T3" s="13" t="n"/>
      <c r="U3" s="13" t="n"/>
      <c r="V3" s="33" t="n"/>
      <c r="W3" s="13" t="n"/>
      <c r="X3" s="171" t="n"/>
      <c r="Y3" s="13" t="n"/>
      <c r="Z3" s="13" t="n"/>
      <c r="AA3" s="13" t="n"/>
      <c r="AB3" s="13" t="n"/>
      <c r="AC3" s="220" t="n"/>
      <c r="AD3" s="13" t="n"/>
      <c r="AE3" s="13" t="n"/>
      <c r="AF3" s="13" t="n"/>
      <c r="AG3" s="13" t="n"/>
      <c r="AH3" s="13" t="n"/>
      <c r="AI3" s="13" t="n"/>
      <c r="AJ3" s="13" t="n"/>
      <c r="AK3" s="13" t="n"/>
      <c r="AL3" s="13" t="n"/>
      <c r="AM3" s="13" t="n"/>
    </row>
    <row r="4" hidden="1" customFormat="1" s="13">
      <c r="A4" s="175" t="inlineStr">
        <is>
          <t>C</t>
        </is>
      </c>
      <c r="B4" s="176">
        <f>IF(_epmOfflineCondition_,"C_CATEGORY",EPMDimensionType(,A4))</f>
        <v/>
      </c>
      <c r="C4" s="176">
        <f>IF(_epmOfflineCondition_,"C1001",IF(B4="","",EPMContextMember(,B4)))</f>
        <v/>
      </c>
      <c r="D4" s="176">
        <f>IF(_epmOfflineCondition_,"实际数/决算数",EPMMemberDesc(C4))</f>
        <v/>
      </c>
      <c r="E4" s="176" t="n"/>
      <c r="F4" s="13" t="n"/>
      <c r="G4" s="13" t="n"/>
      <c r="H4" s="184" t="inlineStr">
        <is>
          <t>预算年</t>
        </is>
      </c>
      <c r="I4" s="184">
        <f>"V_"&amp;$I$3</f>
        <v/>
      </c>
      <c r="J4" s="184">
        <f>$I$3&amp;".TOTAL"</f>
        <v/>
      </c>
      <c r="K4" s="13" t="n"/>
      <c r="L4" s="13" t="n"/>
      <c r="M4" s="13" t="n"/>
      <c r="N4" s="13" t="n"/>
      <c r="O4" s="13" t="n"/>
      <c r="P4" s="13" t="n"/>
      <c r="Q4" s="13" t="n"/>
      <c r="R4" s="13" t="n"/>
      <c r="S4" s="1103" t="n"/>
      <c r="T4" s="13" t="n"/>
      <c r="U4" s="13" t="n"/>
      <c r="V4" s="33" t="n"/>
      <c r="W4" s="13" t="n"/>
      <c r="X4" s="171" t="n"/>
      <c r="Y4" s="13" t="n"/>
      <c r="Z4" s="13" t="n"/>
      <c r="AA4" s="13" t="n"/>
      <c r="AB4" s="13" t="n"/>
      <c r="AC4" s="220" t="n"/>
      <c r="AD4" s="13" t="n"/>
      <c r="AE4" s="13" t="n"/>
      <c r="AF4" s="13" t="n"/>
      <c r="AG4" s="13" t="n"/>
      <c r="AH4" s="13" t="n"/>
      <c r="AI4" s="13" t="n"/>
      <c r="AJ4" s="13" t="n"/>
      <c r="AK4" s="13" t="n"/>
      <c r="AL4" s="13" t="n"/>
      <c r="AM4" s="13" t="n"/>
    </row>
    <row r="5" hidden="1" customFormat="1" s="13">
      <c r="A5" s="175" t="inlineStr">
        <is>
          <t>T</t>
        </is>
      </c>
      <c r="B5" s="176">
        <f>IF(_epmOfflineCondition_,"C_TIME",EPMDimensionType(,A5))</f>
        <v/>
      </c>
      <c r="C5" s="176">
        <f>IF(_epmOfflineCondition_,"2025.03",IF(B5="","",EPMContextMember(,B5)))</f>
        <v/>
      </c>
      <c r="D5" s="176">
        <f>IF(_epmOfflineCondition_,"2025.03",EPMMemberDesc(C5))</f>
        <v/>
      </c>
      <c r="E5" s="176" t="n"/>
      <c r="F5" s="13" t="n"/>
      <c r="G5" s="13" t="n"/>
      <c r="H5" s="184" t="inlineStr">
        <is>
          <t>前一年</t>
        </is>
      </c>
      <c r="I5" s="184">
        <f>"V_"&amp;$I$3-1</f>
        <v/>
      </c>
      <c r="J5" s="184">
        <f>$I$3-1&amp;".TOTAL"</f>
        <v/>
      </c>
      <c r="K5" s="13" t="n"/>
      <c r="L5" s="13" t="n"/>
      <c r="M5" s="13" t="n"/>
      <c r="N5" s="13" t="n"/>
      <c r="O5" s="13" t="n"/>
      <c r="P5" s="13" t="n"/>
      <c r="Q5" s="13" t="n"/>
      <c r="R5" s="13" t="n"/>
      <c r="S5" s="1103" t="n"/>
      <c r="T5" s="13" t="n"/>
      <c r="U5" s="13" t="n"/>
      <c r="V5" s="33" t="n"/>
      <c r="W5" s="13" t="n"/>
      <c r="X5" s="171" t="n"/>
      <c r="Y5" s="13" t="n"/>
      <c r="Z5" s="13" t="n"/>
      <c r="AA5" s="13" t="n"/>
      <c r="AB5" s="13" t="n"/>
      <c r="AC5" s="220" t="n"/>
      <c r="AD5" s="13" t="n"/>
      <c r="AE5" s="13" t="n"/>
      <c r="AF5" s="13" t="n"/>
      <c r="AG5" s="13" t="n"/>
      <c r="AH5" s="13" t="n"/>
      <c r="AI5" s="13" t="n"/>
      <c r="AJ5" s="13" t="n"/>
      <c r="AK5" s="13" t="n"/>
      <c r="AL5" s="13" t="n"/>
      <c r="AM5" s="13" t="n"/>
    </row>
    <row r="6" hidden="1" customFormat="1" s="13">
      <c r="A6" s="175" t="inlineStr">
        <is>
          <t>E</t>
        </is>
      </c>
      <c r="B6" s="176">
        <f>IF(_epmOfflineCondition_,"C_ENTITY",EPMDimensionType(,A6))</f>
        <v/>
      </c>
      <c r="C6" s="176">
        <f>IF(_epmOfflineCondition_,"E100787",IF(B6="","",EPMContextMember(,B6)))</f>
        <v/>
      </c>
      <c r="D6" s="176">
        <f>IF(_epmOfflineCondition_,"内蒙古京能苏尼特风力发电有限公司（内蒙古分公司）",EPMMemberDesc(C6))</f>
        <v/>
      </c>
      <c r="E6" s="176" t="n"/>
      <c r="F6" s="13" t="n"/>
      <c r="G6" s="13" t="n"/>
      <c r="H6" s="184" t="inlineStr">
        <is>
          <t>前两年</t>
        </is>
      </c>
      <c r="I6" s="184">
        <f>"V_"&amp;$I$3-2</f>
        <v/>
      </c>
      <c r="J6" s="184">
        <f>$I$3-2&amp;".TOTAL"</f>
        <v/>
      </c>
      <c r="K6" s="13" t="n"/>
      <c r="L6" s="13" t="n"/>
      <c r="M6" s="13" t="n"/>
      <c r="N6" s="13" t="n"/>
      <c r="O6" s="13" t="n"/>
      <c r="P6" s="13" t="n"/>
      <c r="Q6" s="13" t="n"/>
      <c r="R6" s="13" t="n"/>
      <c r="S6" s="1103" t="n"/>
      <c r="T6" s="13" t="n"/>
      <c r="U6" s="13" t="n"/>
      <c r="V6" s="33" t="n"/>
      <c r="W6" s="13" t="n"/>
      <c r="X6" s="171" t="n"/>
      <c r="Y6" s="13" t="n"/>
      <c r="Z6" s="13" t="n"/>
      <c r="AA6" s="13" t="n"/>
      <c r="AB6" s="13" t="n"/>
      <c r="AC6" s="220" t="n"/>
      <c r="AD6" s="13" t="n"/>
      <c r="AE6" s="13" t="n"/>
      <c r="AF6" s="13" t="n"/>
      <c r="AG6" s="13" t="n"/>
      <c r="AH6" s="13" t="n"/>
      <c r="AI6" s="13" t="n"/>
      <c r="AJ6" s="13" t="n"/>
      <c r="AK6" s="13" t="n"/>
      <c r="AL6" s="13" t="n"/>
      <c r="AM6" s="13" t="n"/>
    </row>
    <row r="7" hidden="1" customFormat="1" s="13">
      <c r="A7" s="175" t="inlineStr">
        <is>
          <t>R</t>
        </is>
      </c>
      <c r="B7" s="176">
        <f>IF(_epmOfflineCondition_,"C_RPTCURRENCY",EPMDimensionType(,A7))</f>
        <v/>
      </c>
      <c r="C7" s="176">
        <f>IF(_epmOfflineCondition_,"LC",IF(B7="","",EPMContextMember(,B7)))</f>
        <v/>
      </c>
      <c r="D7" s="176">
        <f>IF(_epmOfflineCondition_,"本位币",EPMMemberDesc(C7))</f>
        <v/>
      </c>
      <c r="E7" s="176" t="n"/>
      <c r="F7" s="13" t="n"/>
      <c r="G7" s="13" t="n"/>
      <c r="H7" s="13" t="n"/>
      <c r="I7" s="13" t="n"/>
      <c r="J7" s="13" t="n"/>
      <c r="K7" s="13" t="n"/>
      <c r="L7" s="13" t="n"/>
      <c r="M7" s="13" t="n"/>
      <c r="N7" s="13" t="n"/>
      <c r="O7" s="13" t="n"/>
      <c r="P7" s="13" t="n"/>
      <c r="Q7" s="13" t="n"/>
      <c r="R7" s="13" t="n"/>
      <c r="S7" s="1103" t="n"/>
      <c r="T7" s="13" t="n"/>
      <c r="U7" s="13" t="n"/>
      <c r="V7" s="33" t="n"/>
      <c r="W7" s="13" t="n"/>
      <c r="X7" s="171" t="n"/>
      <c r="Y7" s="13" t="n"/>
      <c r="Z7" s="13" t="n"/>
      <c r="AA7" s="13" t="n"/>
      <c r="AB7" s="13" t="n"/>
      <c r="AC7" s="220" t="n"/>
      <c r="AD7" s="13" t="n"/>
      <c r="AE7" s="13" t="n"/>
      <c r="AF7" s="13" t="n"/>
      <c r="AG7" s="13" t="n"/>
      <c r="AH7" s="13" t="n"/>
      <c r="AI7" s="13" t="n"/>
      <c r="AJ7" s="13" t="n"/>
      <c r="AK7" s="13" t="n"/>
      <c r="AL7" s="13" t="n"/>
      <c r="AM7" s="13" t="n"/>
    </row>
    <row r="8" hidden="1" customFormat="1" s="13">
      <c r="A8" s="175" t="inlineStr">
        <is>
          <t>D</t>
        </is>
      </c>
      <c r="B8" s="176">
        <f>IF(_epmOfflineCondition_,"C_AUDITTRAIL",EPMDimensionType(,A8))</f>
        <v/>
      </c>
      <c r="C8" s="176">
        <f>IF(_epmOfflineCondition_,"DTOTAL",IF(B8="","",EPMContextMember(,B8)))</f>
        <v/>
      </c>
      <c r="D8" s="176">
        <f>IF(_epmOfflineCondition_,"全部审计线索",EPMMemberDesc(C8))</f>
        <v/>
      </c>
      <c r="E8" s="176" t="n"/>
      <c r="F8" s="13" t="n"/>
      <c r="G8" s="13" t="n"/>
      <c r="H8" s="184" t="inlineStr">
        <is>
          <t>本月</t>
        </is>
      </c>
      <c r="I8" s="184">
        <f>IF(_epmOfflineCondition_,"03",RIGHT("0"&amp;EPMMemberProperty(,EPMContextMember(,"C_TIME"),"MONTHNUM"),2))</f>
        <v/>
      </c>
      <c r="J8" s="13" t="n"/>
      <c r="K8" s="13" t="n"/>
      <c r="L8" s="13" t="n"/>
      <c r="M8" s="13" t="n"/>
      <c r="N8" s="13" t="n"/>
      <c r="O8" s="13" t="n"/>
      <c r="P8" s="13" t="n"/>
      <c r="Q8" s="13" t="n"/>
      <c r="R8" s="13" t="n"/>
      <c r="S8" s="1103" t="n"/>
      <c r="T8" s="13" t="n"/>
      <c r="U8" s="13" t="n"/>
      <c r="V8" s="33" t="n"/>
      <c r="W8" s="13" t="n"/>
      <c r="X8" s="171" t="n"/>
      <c r="Y8" s="13" t="n"/>
      <c r="Z8" s="13" t="n"/>
      <c r="AA8" s="13" t="n"/>
      <c r="AB8" s="13" t="n"/>
      <c r="AC8" s="220" t="n"/>
      <c r="AD8" s="13" t="n"/>
      <c r="AE8" s="13" t="n"/>
      <c r="AF8" s="13" t="n"/>
      <c r="AG8" s="13" t="n"/>
      <c r="AH8" s="13" t="n"/>
      <c r="AI8" s="13" t="n"/>
      <c r="AJ8" s="13" t="n"/>
      <c r="AK8" s="13" t="n"/>
      <c r="AL8" s="13" t="n"/>
      <c r="AM8" s="13" t="n"/>
    </row>
    <row r="9" hidden="1" customFormat="1" s="13">
      <c r="A9" s="175" t="inlineStr">
        <is>
          <t>S</t>
        </is>
      </c>
      <c r="B9" s="176">
        <f>IF(_epmOfflineCondition_,"C_FLOW",EPMDimensionType(,A9))</f>
        <v/>
      </c>
      <c r="C9" s="176">
        <f>IF(_epmOfflineCondition_,"FTOTAL",IF(B9="","",EPMContextMember(,B9)))</f>
        <v/>
      </c>
      <c r="D9" s="176">
        <f>IF(_epmOfflineCondition_,"全部变动",EPMMemberDesc(C9))</f>
        <v/>
      </c>
      <c r="E9" s="176" t="n"/>
      <c r="F9" s="13" t="n"/>
      <c r="G9" s="13" t="n"/>
      <c r="H9" s="184" t="inlineStr">
        <is>
          <t>上月</t>
        </is>
      </c>
      <c r="I9" s="188">
        <f>RIGHT("0"&amp;IF(I8="01",12,I8-1),2)</f>
        <v/>
      </c>
      <c r="J9" s="13" t="n"/>
      <c r="K9" s="13" t="n"/>
      <c r="L9" s="13" t="n"/>
      <c r="M9" s="13" t="n"/>
      <c r="N9" s="13" t="n"/>
      <c r="O9" s="13" t="n"/>
      <c r="P9" s="13" t="n"/>
      <c r="Q9" s="13" t="n"/>
      <c r="R9" s="13" t="n"/>
      <c r="S9" s="1103" t="n"/>
      <c r="T9" s="13" t="n"/>
      <c r="U9" s="13" t="n"/>
      <c r="V9" s="33" t="n"/>
      <c r="W9" s="13" t="n"/>
      <c r="X9" s="171" t="n"/>
      <c r="Y9" s="13" t="n"/>
      <c r="Z9" s="13" t="n"/>
      <c r="AA9" s="13" t="n"/>
      <c r="AB9" s="13" t="n"/>
      <c r="AC9" s="220" t="n"/>
      <c r="AD9" s="13" t="n"/>
      <c r="AE9" s="13" t="n"/>
      <c r="AF9" s="13" t="n"/>
      <c r="AG9" s="13" t="n"/>
      <c r="AH9" s="13" t="n"/>
      <c r="AI9" s="13" t="n"/>
      <c r="AJ9" s="13" t="n"/>
      <c r="AK9" s="13" t="n"/>
      <c r="AL9" s="13" t="n"/>
      <c r="AM9" s="13" t="n"/>
    </row>
    <row r="10" hidden="1" customFormat="1" s="13">
      <c r="A10" s="175" t="inlineStr">
        <is>
          <t>I</t>
        </is>
      </c>
      <c r="B10" s="176">
        <f>IF(_epmOfflineCondition_,"C_INTERCO",EPMDimensionType(,A10))</f>
        <v/>
      </c>
      <c r="C10" s="176">
        <f>IF(_epmOfflineCondition_,"I_ALL",IF(B10="","",EPMContextMember(,B10)))</f>
        <v/>
      </c>
      <c r="D10" s="176">
        <f>IF(_epmOfflineCondition_,"全部贸易伙伴",EPMMemberDesc(C10))</f>
        <v/>
      </c>
      <c r="E10" s="176" t="n"/>
      <c r="F10" s="13" t="n"/>
      <c r="G10" s="13" t="n"/>
      <c r="H10" s="184" t="inlineStr">
        <is>
          <t>上年</t>
        </is>
      </c>
      <c r="I10" s="188">
        <f>$I$3-1</f>
        <v/>
      </c>
      <c r="J10" s="13" t="n"/>
      <c r="K10" s="13" t="n"/>
      <c r="L10" s="13" t="n"/>
      <c r="M10" s="13" t="n"/>
      <c r="N10" s="13" t="n"/>
      <c r="O10" s="13" t="n"/>
      <c r="P10" s="13" t="n"/>
      <c r="Q10" s="13" t="n"/>
      <c r="R10" s="13" t="n"/>
      <c r="S10" s="1103" t="n"/>
      <c r="T10" s="13" t="n"/>
      <c r="U10" s="13" t="n"/>
      <c r="V10" s="33" t="n"/>
      <c r="W10" s="13" t="n"/>
      <c r="X10" s="171" t="n"/>
      <c r="Y10" s="13" t="n"/>
      <c r="Z10" s="13" t="n"/>
      <c r="AA10" s="13" t="n"/>
      <c r="AB10" s="13" t="n"/>
      <c r="AC10" s="220" t="n"/>
      <c r="AD10" s="13" t="n"/>
      <c r="AE10" s="13" t="n"/>
      <c r="AF10" s="13" t="n"/>
      <c r="AG10" s="13" t="n"/>
      <c r="AH10" s="13" t="n"/>
      <c r="AI10" s="13" t="n"/>
      <c r="AJ10" s="13" t="n"/>
      <c r="AK10" s="13" t="n"/>
      <c r="AL10" s="13" t="n"/>
      <c r="AM10" s="13" t="n"/>
    </row>
    <row r="11" hidden="1" customFormat="1" s="13">
      <c r="A11" s="175" t="inlineStr">
        <is>
          <t>G</t>
        </is>
      </c>
      <c r="B11" s="176">
        <f>IF(_epmOfflineCondition_,"C_SCOPE",EPMDimensionType(,A11))</f>
        <v/>
      </c>
      <c r="C11" s="176">
        <f>IF(_epmOfflineCondition_,"G_DUMMY",IF(B11="","",EPMContextMember(,B11)))</f>
        <v/>
      </c>
      <c r="D11" s="176">
        <f>IF(_epmOfflineCondition_,"合并范围无关",EPMMemberDesc(C11))</f>
        <v/>
      </c>
      <c r="E11" s="27">
        <f>IF(OR(RIGHT(C11,1)="P",RIGHT(C11,1)="S"),LEFT(C11,LEN(C11)-1),C11)</f>
        <v/>
      </c>
      <c r="F11" s="185" t="inlineStr">
        <is>
          <t>判断属性</t>
        </is>
      </c>
      <c r="G11" s="13" t="n"/>
      <c r="H11" s="184" t="inlineStr">
        <is>
          <t xml:space="preserve">本年月 </t>
        </is>
      </c>
      <c r="I11" s="184">
        <f>I3&amp;"."&amp;I8</f>
        <v/>
      </c>
      <c r="J11" s="13" t="n"/>
      <c r="K11" s="13" t="n"/>
      <c r="L11" s="13" t="n"/>
      <c r="M11" s="13" t="n"/>
      <c r="N11" s="13" t="n"/>
      <c r="O11" s="13" t="n"/>
      <c r="P11" s="13" t="n"/>
      <c r="Q11" s="13" t="n"/>
      <c r="R11" s="13" t="n"/>
      <c r="S11" s="1103" t="n"/>
      <c r="T11" s="13" t="n"/>
      <c r="U11" s="13" t="n"/>
      <c r="V11" s="33" t="n"/>
      <c r="W11" s="13" t="n"/>
      <c r="X11" s="171" t="n"/>
      <c r="Y11" s="13" t="n"/>
      <c r="Z11" s="13" t="n"/>
      <c r="AA11" s="13" t="n"/>
      <c r="AB11" s="13" t="n"/>
      <c r="AC11" s="220" t="n"/>
      <c r="AD11" s="13" t="n"/>
      <c r="AE11" s="13" t="n"/>
      <c r="AF11" s="13" t="n"/>
      <c r="AG11" s="13" t="n"/>
      <c r="AH11" s="13" t="n"/>
      <c r="AI11" s="13" t="n"/>
      <c r="AJ11" s="13" t="n"/>
      <c r="AK11" s="13" t="n"/>
      <c r="AL11" s="13" t="n"/>
      <c r="AM11" s="13" t="n"/>
    </row>
    <row r="12" hidden="1" customFormat="1" s="13">
      <c r="A12" s="175" t="inlineStr">
        <is>
          <t>U8</t>
        </is>
      </c>
      <c r="B12" s="176">
        <f>IF(_epmOfflineCondition_,"C_PROJECT",EPMDimensionType(,A12))</f>
        <v/>
      </c>
      <c r="C12" s="176">
        <f>IF(_epmOfflineCondition_,"ZP_ALL",IF(B12="","",EPMContextMember(,B12)))</f>
        <v/>
      </c>
      <c r="D12" s="176">
        <f>IF(_epmOfflineCondition_,"项目合计",EPMMemberDesc(C12))</f>
        <v/>
      </c>
      <c r="E12" s="176" t="n"/>
      <c r="F12" s="185">
        <f>E11</f>
        <v/>
      </c>
      <c r="G12" s="13" t="n"/>
      <c r="H12" s="184" t="inlineStr">
        <is>
          <t>上年月</t>
        </is>
      </c>
      <c r="I12" s="184">
        <f>IF(I8="01",I10&amp;"."&amp;I9,I3&amp;"."&amp;I9)</f>
        <v/>
      </c>
      <c r="J12" s="13" t="n"/>
      <c r="K12" s="13" t="n"/>
      <c r="L12" s="13" t="n"/>
      <c r="M12" s="13" t="n"/>
      <c r="N12" s="13" t="n"/>
      <c r="O12" s="13" t="n"/>
      <c r="P12" s="13" t="n"/>
      <c r="Q12" s="13" t="n"/>
      <c r="R12" s="13" t="n"/>
      <c r="S12" s="1103" t="n"/>
      <c r="T12" s="13" t="n"/>
      <c r="U12" s="13" t="n"/>
      <c r="V12" s="33" t="n"/>
      <c r="W12" s="13" t="n"/>
      <c r="X12" s="171" t="n"/>
      <c r="Y12" s="13" t="n"/>
      <c r="Z12" s="13" t="n"/>
      <c r="AA12" s="13" t="n"/>
      <c r="AB12" s="13" t="n"/>
      <c r="AC12" s="220" t="n"/>
      <c r="AD12" s="13" t="n"/>
      <c r="AE12" s="13" t="n"/>
      <c r="AF12" s="13" t="n"/>
      <c r="AG12" s="13" t="n"/>
      <c r="AH12" s="13" t="n"/>
      <c r="AI12" s="13" t="n"/>
      <c r="AJ12" s="13" t="n"/>
      <c r="AK12" s="13" t="n"/>
      <c r="AL12" s="13" t="n"/>
      <c r="AM12" s="13" t="n"/>
    </row>
    <row r="13" hidden="1" customFormat="1" s="13">
      <c r="A13" s="175" t="inlineStr">
        <is>
          <t>U9</t>
        </is>
      </c>
      <c r="B13" s="176">
        <f>IF(_epmOfflineCondition_,"C_ITEM",EPMDimensionType(,A13))</f>
        <v/>
      </c>
      <c r="C13" s="176">
        <f>IF(_epmOfflineCondition_,"ZI_ALL",IF(B13="","",EPMContextMember(,B13)))</f>
        <v/>
      </c>
      <c r="D13" s="176">
        <f>IF(_epmOfflineCondition_,"全部ITEM",EPMMemberDesc(C13))</f>
        <v/>
      </c>
      <c r="E13" s="186" t="n"/>
      <c r="F13" s="185">
        <f>IF(_epmOfflineCondition_,"E_DUMMY",EPMMemberProperty(,F12,"GENTITY"))</f>
        <v/>
      </c>
      <c r="G13" s="13" t="n"/>
      <c r="H13" s="184" t="inlineStr">
        <is>
          <t xml:space="preserve">上年同期 </t>
        </is>
      </c>
      <c r="I13" s="184">
        <f>I10&amp;"."&amp;I8</f>
        <v/>
      </c>
      <c r="J13" s="13" t="n"/>
      <c r="K13" s="13" t="n"/>
      <c r="L13" s="13" t="n"/>
      <c r="M13" s="13" t="n"/>
      <c r="N13" s="13" t="n"/>
      <c r="O13" s="13" t="n"/>
      <c r="P13" s="13" t="n"/>
      <c r="Q13" s="13" t="n"/>
      <c r="R13" s="13" t="n"/>
      <c r="S13" s="1103" t="n"/>
      <c r="T13" s="13" t="n"/>
      <c r="U13" s="13" t="n"/>
      <c r="V13" s="33" t="n"/>
      <c r="W13" s="13" t="n"/>
      <c r="X13" s="171" t="n"/>
      <c r="Y13" s="13" t="n"/>
      <c r="Z13" s="13" t="n"/>
      <c r="AA13" s="13" t="n"/>
      <c r="AB13" s="13" t="n"/>
      <c r="AC13" s="220" t="n"/>
      <c r="AD13" s="13" t="n"/>
      <c r="AE13" s="13" t="n"/>
      <c r="AF13" s="13" t="n"/>
      <c r="AG13" s="13" t="n"/>
      <c r="AH13" s="13" t="n"/>
      <c r="AI13" s="13" t="n"/>
      <c r="AJ13" s="13" t="n"/>
      <c r="AK13" s="13" t="n"/>
      <c r="AL13" s="13" t="n"/>
      <c r="AM13" s="13" t="n"/>
    </row>
    <row r="14" hidden="1" customFormat="1" s="13">
      <c r="A14" s="175" t="inlineStr">
        <is>
          <t>U10</t>
        </is>
      </c>
      <c r="B14" s="176">
        <f>IF(_epmOfflineCondition_,"C_MISK",EPMDimensionType(,A14))</f>
        <v/>
      </c>
      <c r="C14" s="176">
        <f>IF(_epmOfflineCondition_,"ZM_ALL",IF(B14="","",EPMContextMember(,B14)))</f>
        <v/>
      </c>
      <c r="D14" s="176">
        <f>IF(_epmOfflineCondition_,"ALL",EPMMemberDesc(C14))</f>
        <v/>
      </c>
      <c r="E14" s="186" t="n"/>
      <c r="F14" s="185">
        <f>IF(F12="G_DUMMY",C6,F13)</f>
        <v/>
      </c>
      <c r="G14" s="13" t="n"/>
      <c r="H14" s="13" t="n"/>
      <c r="I14" s="13" t="n"/>
      <c r="J14" s="13" t="n"/>
      <c r="K14" s="13" t="n"/>
      <c r="L14" s="13" t="n"/>
      <c r="M14" s="13" t="n"/>
      <c r="N14" s="13" t="n"/>
      <c r="O14" s="13" t="n"/>
      <c r="P14" s="13" t="n"/>
      <c r="Q14" s="13" t="n"/>
      <c r="R14" s="13" t="n"/>
      <c r="S14" s="1103" t="n"/>
      <c r="T14" s="13" t="n"/>
      <c r="U14" s="13" t="n"/>
      <c r="V14" s="33" t="n"/>
      <c r="W14" s="13" t="n"/>
      <c r="X14" s="171" t="n"/>
      <c r="Y14" s="13" t="n"/>
      <c r="Z14" s="13" t="n"/>
      <c r="AA14" s="13" t="n"/>
      <c r="AB14" s="13" t="n"/>
      <c r="AC14" s="220" t="n"/>
      <c r="AD14" s="13" t="n"/>
      <c r="AE14" s="13" t="n"/>
      <c r="AF14" s="13" t="n"/>
      <c r="AG14" s="13" t="n"/>
      <c r="AH14" s="13" t="n"/>
      <c r="AI14" s="13" t="n"/>
      <c r="AJ14" s="13" t="n"/>
      <c r="AK14" s="13" t="n"/>
      <c r="AL14" s="13" t="n"/>
      <c r="AM14" s="13" t="n"/>
    </row>
    <row r="15" hidden="1" customFormat="1" s="13">
      <c r="A15" s="13" t="n"/>
      <c r="B15" s="1103" t="n"/>
      <c r="C15" s="1103" t="n"/>
      <c r="D15" s="1103" t="n"/>
      <c r="E15" s="13" t="n"/>
      <c r="F15" s="13" t="n"/>
      <c r="G15" s="13" t="n"/>
      <c r="H15" s="13" t="n"/>
      <c r="I15" s="13" t="n"/>
      <c r="J15" s="13" t="n"/>
      <c r="K15" s="13" t="n"/>
      <c r="L15" s="13" t="n"/>
      <c r="M15" s="13" t="n"/>
      <c r="N15" s="13" t="n"/>
      <c r="O15" s="13" t="n"/>
      <c r="P15" s="13" t="n"/>
      <c r="Q15" s="13" t="n"/>
      <c r="R15" s="13" t="n"/>
      <c r="S15" s="1103" t="n"/>
      <c r="T15" s="13" t="n"/>
      <c r="U15" s="13" t="n"/>
      <c r="V15" s="33" t="n"/>
      <c r="W15" s="13" t="n"/>
      <c r="X15" s="171" t="n"/>
      <c r="Y15" s="13" t="n"/>
      <c r="Z15" s="13" t="n"/>
      <c r="AA15" s="13" t="n"/>
      <c r="AB15" s="13" t="n"/>
      <c r="AC15" s="220" t="n"/>
      <c r="AD15" s="13" t="n"/>
      <c r="AE15" s="13" t="n"/>
      <c r="AF15" s="13" t="n"/>
      <c r="AG15" s="13" t="n"/>
      <c r="AH15" s="13" t="n"/>
      <c r="AI15" s="13" t="n"/>
      <c r="AJ15" s="13" t="n"/>
      <c r="AK15" s="13" t="n"/>
      <c r="AL15" s="13" t="n"/>
      <c r="AM15" s="13" t="n"/>
    </row>
    <row r="16" hidden="1" customFormat="1" s="13">
      <c r="A16" s="13" t="n"/>
      <c r="B16" s="13" t="n"/>
      <c r="C16" s="13" t="n"/>
      <c r="D16" s="174" t="inlineStr">
        <is>
          <t>页轴</t>
        </is>
      </c>
      <c r="E16" s="1183" t="n"/>
      <c r="F16" s="13" t="n"/>
      <c r="G16" s="13" t="n"/>
      <c r="H16" s="13" t="n"/>
      <c r="I16" s="13" t="n"/>
      <c r="J16" s="13" t="n"/>
      <c r="K16" s="13" t="n"/>
      <c r="L16" s="13" t="n"/>
      <c r="M16" s="13" t="n"/>
      <c r="N16" s="13" t="n"/>
      <c r="O16" s="13" t="n"/>
      <c r="P16" s="13" t="n"/>
      <c r="Q16" s="13" t="n"/>
      <c r="R16" s="13" t="n"/>
      <c r="S16" s="1103" t="n"/>
      <c r="T16" s="13" t="n"/>
      <c r="U16" s="13" t="n"/>
      <c r="V16" s="33" t="n"/>
      <c r="W16" s="13" t="n"/>
      <c r="X16" s="171" t="n"/>
      <c r="Y16" s="13" t="n"/>
      <c r="Z16" s="13" t="n"/>
      <c r="AA16" s="13" t="n"/>
      <c r="AB16" s="13" t="n"/>
      <c r="AC16" s="220" t="n"/>
      <c r="AD16" s="13" t="n"/>
      <c r="AE16" s="13" t="n"/>
      <c r="AF16" s="13" t="n"/>
      <c r="AG16" s="13" t="n"/>
      <c r="AH16" s="13" t="n"/>
      <c r="AI16" s="13" t="n"/>
      <c r="AJ16" s="13" t="n"/>
      <c r="AK16" s="13" t="n"/>
      <c r="AL16" s="13" t="n"/>
      <c r="AM16" s="13" t="n"/>
    </row>
    <row r="17" hidden="1" customFormat="1" s="13">
      <c r="A17" s="174" t="inlineStr">
        <is>
          <t>维度类型</t>
        </is>
      </c>
      <c r="B17" s="174" t="inlineStr">
        <is>
          <t>维度</t>
        </is>
      </c>
      <c r="C17" s="178" t="inlineStr">
        <is>
          <t>页轴替换</t>
        </is>
      </c>
      <c r="D17" s="174" t="inlineStr">
        <is>
          <t>报表001</t>
        </is>
      </c>
      <c r="E17" s="174" t="inlineStr">
        <is>
          <t>报表002</t>
        </is>
      </c>
      <c r="F17" s="13" t="n"/>
      <c r="G17" s="13" t="n"/>
      <c r="H17" s="13" t="n"/>
      <c r="I17" s="13" t="n"/>
      <c r="J17" s="13" t="n"/>
      <c r="K17" s="13" t="n"/>
      <c r="L17" s="13" t="n"/>
      <c r="M17" s="13" t="n"/>
      <c r="N17" s="13" t="n"/>
      <c r="O17" s="13" t="n"/>
      <c r="P17" s="13" t="n"/>
      <c r="Q17" s="13" t="n"/>
      <c r="R17" s="13" t="n"/>
      <c r="S17" s="1103" t="n"/>
      <c r="T17" s="13" t="n"/>
      <c r="U17" s="13" t="n"/>
      <c r="V17" s="33" t="n"/>
      <c r="W17" s="13" t="n"/>
      <c r="X17" s="171" t="n"/>
      <c r="Y17" s="13" t="n"/>
      <c r="Z17" s="13" t="n"/>
      <c r="AA17" s="13" t="n"/>
      <c r="AB17" s="13" t="n"/>
      <c r="AC17" s="220" t="n"/>
      <c r="AD17" s="13" t="n"/>
      <c r="AE17" s="13" t="n"/>
      <c r="AF17" s="13" t="n"/>
      <c r="AG17" s="13" t="n"/>
      <c r="AH17" s="13" t="n"/>
      <c r="AI17" s="13" t="n"/>
      <c r="AJ17" s="13" t="n"/>
      <c r="AK17" s="13" t="n"/>
      <c r="AL17" s="13" t="n"/>
      <c r="AM17" s="13" t="n"/>
    </row>
    <row r="18" hidden="1" customFormat="1" s="13">
      <c r="A18" s="175" t="inlineStr">
        <is>
          <t>A</t>
        </is>
      </c>
      <c r="B18" s="176">
        <f>IF(_epmOfflineCondition_,"C_ACCOUNT",EPMDimensionType(,A18))</f>
        <v/>
      </c>
      <c r="C18" s="182" t="inlineStr">
        <is>
          <t>A_NOUSED</t>
        </is>
      </c>
      <c r="D18" s="180" t="n"/>
      <c r="E18" s="180" t="n"/>
      <c r="F18" s="13" t="n"/>
      <c r="G18" s="13" t="n"/>
      <c r="H18" s="13" t="n"/>
      <c r="I18" s="180" t="inlineStr">
        <is>
          <t>选择的值</t>
        </is>
      </c>
      <c r="J18" s="180">
        <f>VLOOKUP(Z37,I19:J21,2,FALSE)</f>
        <v/>
      </c>
      <c r="K18" s="13" t="n"/>
      <c r="L18" s="13" t="n"/>
      <c r="M18" s="13" t="n"/>
      <c r="N18" s="13" t="n"/>
      <c r="O18" s="13" t="n"/>
      <c r="P18" s="13" t="n"/>
      <c r="Q18" s="13" t="n"/>
      <c r="R18" s="13" t="n"/>
      <c r="S18" s="1103" t="n"/>
      <c r="T18" s="13" t="n"/>
      <c r="U18" s="13" t="n"/>
      <c r="V18" s="33" t="n"/>
      <c r="W18" s="13" t="n"/>
      <c r="X18" s="171" t="n"/>
      <c r="Y18" s="13" t="n"/>
      <c r="Z18" s="13" t="n"/>
      <c r="AA18" s="13" t="n"/>
      <c r="AB18" s="13" t="n"/>
      <c r="AC18" s="220" t="n"/>
      <c r="AD18" s="13" t="n"/>
      <c r="AE18" s="13" t="n"/>
      <c r="AF18" s="13" t="n"/>
      <c r="AG18" s="13" t="n"/>
      <c r="AH18" s="13" t="n"/>
      <c r="AI18" s="13" t="n"/>
      <c r="AJ18" s="13" t="n"/>
      <c r="AK18" s="13" t="n"/>
      <c r="AL18" s="13" t="n"/>
      <c r="AM18" s="13" t="n"/>
    </row>
    <row r="19" hidden="1" customFormat="1" s="13">
      <c r="A19" s="175" t="inlineStr">
        <is>
          <t>C</t>
        </is>
      </c>
      <c r="B19" s="176">
        <f>IF(_epmOfflineCondition_,"C_CATEGORY",EPMDimensionType(,A19))</f>
        <v/>
      </c>
      <c r="C19" s="182" t="inlineStr">
        <is>
          <t>C_DUMMY</t>
        </is>
      </c>
      <c r="D19" s="180" t="n"/>
      <c r="E19" s="180" t="n"/>
      <c r="F19" s="13" t="n"/>
      <c r="G19" s="13" t="n"/>
      <c r="H19" s="13" t="n"/>
      <c r="I19" s="180" t="inlineStr">
        <is>
          <t>单体录入</t>
        </is>
      </c>
      <c r="J19" s="180" t="inlineStr">
        <is>
          <t>D1110</t>
        </is>
      </c>
      <c r="K19" s="13" t="n"/>
      <c r="L19" s="13" t="n"/>
      <c r="M19" s="13" t="n"/>
      <c r="N19" s="13" t="n"/>
      <c r="O19" s="13" t="n"/>
      <c r="P19" s="13" t="n"/>
      <c r="Q19" s="13" t="n"/>
      <c r="R19" s="13" t="n"/>
      <c r="S19" s="1103" t="n"/>
      <c r="T19" s="13" t="n"/>
      <c r="U19" s="13" t="n"/>
      <c r="V19" s="33" t="n"/>
      <c r="W19" s="13" t="n"/>
      <c r="X19" s="171" t="n"/>
      <c r="Y19" s="13" t="n"/>
      <c r="Z19" s="13" t="n"/>
      <c r="AA19" s="13" t="n"/>
      <c r="AB19" s="13" t="n"/>
      <c r="AC19" s="220" t="n"/>
      <c r="AD19" s="13" t="n"/>
      <c r="AE19" s="13" t="n"/>
      <c r="AF19" s="13" t="n"/>
      <c r="AG19" s="13" t="n"/>
      <c r="AH19" s="13" t="n"/>
      <c r="AI19" s="13" t="n"/>
      <c r="AJ19" s="13" t="n"/>
      <c r="AK19" s="13" t="n"/>
      <c r="AL19" s="13" t="n"/>
      <c r="AM19" s="13" t="n"/>
    </row>
    <row r="20" hidden="1" customFormat="1" s="13">
      <c r="A20" s="175" t="inlineStr">
        <is>
          <t>T</t>
        </is>
      </c>
      <c r="B20" s="176">
        <f>IF(_epmOfflineCondition_,"C_TIME",EPMDimensionType(,A20))</f>
        <v/>
      </c>
      <c r="C20" s="672" t="inlineStr">
        <is>
          <t>T_DUMMY</t>
        </is>
      </c>
      <c r="D20" s="180" t="n"/>
      <c r="E20" s="180" t="n"/>
      <c r="F20" s="384" t="n"/>
      <c r="G20" s="384" t="n"/>
      <c r="H20" s="13" t="n"/>
      <c r="I20" s="180" t="inlineStr">
        <is>
          <t>合并调整</t>
        </is>
      </c>
      <c r="J20" s="180" t="inlineStr">
        <is>
          <t>DELIM_IPT_IC_BP_99</t>
        </is>
      </c>
      <c r="K20" s="13" t="n"/>
      <c r="L20" s="13" t="n"/>
      <c r="M20" s="13" t="n"/>
      <c r="N20" s="13" t="n"/>
      <c r="O20" s="13" t="n"/>
      <c r="P20" s="13" t="n"/>
      <c r="Q20" s="13" t="n"/>
      <c r="R20" s="13" t="n"/>
      <c r="S20" s="1103" t="n"/>
      <c r="T20" s="13" t="n"/>
      <c r="U20" s="13" t="n"/>
      <c r="V20" s="33" t="n"/>
      <c r="W20" s="13" t="n"/>
      <c r="X20" s="171" t="n"/>
      <c r="Y20" s="384" t="n"/>
      <c r="Z20" s="13" t="n"/>
      <c r="AA20" s="13" t="n"/>
      <c r="AB20" s="13" t="n"/>
      <c r="AC20" s="220" t="n"/>
      <c r="AD20" s="13" t="n"/>
      <c r="AE20" s="13" t="n"/>
      <c r="AF20" s="13" t="n"/>
      <c r="AG20" s="13" t="n"/>
      <c r="AH20" s="13" t="n"/>
      <c r="AI20" s="13" t="n"/>
      <c r="AJ20" s="13" t="n"/>
      <c r="AK20" s="13" t="n"/>
      <c r="AL20" s="13" t="n"/>
      <c r="AM20" s="13" t="n"/>
    </row>
    <row r="21" hidden="1" customFormat="1" s="13">
      <c r="A21" s="175" t="inlineStr">
        <is>
          <t>E</t>
        </is>
      </c>
      <c r="B21" s="176">
        <f>IF(_epmOfflineCondition_,"C_ENTITY",EPMDimensionType(,A21))</f>
        <v/>
      </c>
      <c r="C21" s="672">
        <f>IF(_epmOfflineCondition_,"E100787",IF(B21="","",EPMContextMember(,B21)))</f>
        <v/>
      </c>
      <c r="D21" s="182" t="n"/>
      <c r="E21" s="180" t="n"/>
      <c r="F21" s="384" t="n"/>
      <c r="G21" s="384" t="n"/>
      <c r="H21" s="13" t="n"/>
      <c r="I21" s="180" t="inlineStr">
        <is>
          <t>合并查询</t>
        </is>
      </c>
      <c r="J21" s="180" t="inlineStr">
        <is>
          <t>DTOTAL</t>
        </is>
      </c>
      <c r="K21" s="13" t="n"/>
      <c r="L21" s="13" t="n"/>
      <c r="M21" s="13" t="n"/>
      <c r="N21" s="13" t="n"/>
      <c r="O21" s="13" t="n"/>
      <c r="P21" s="13" t="n"/>
      <c r="Q21" s="13" t="n"/>
      <c r="R21" s="13" t="n"/>
      <c r="S21" s="1103" t="n"/>
      <c r="T21" s="13" t="n"/>
      <c r="U21" s="13" t="n"/>
      <c r="V21" s="33" t="n"/>
      <c r="W21" s="13" t="n"/>
      <c r="X21" s="171" t="n"/>
      <c r="Y21" s="384" t="n"/>
      <c r="Z21" s="13" t="n"/>
      <c r="AA21" s="13" t="n"/>
      <c r="AB21" s="13" t="n"/>
      <c r="AC21" s="220" t="n"/>
      <c r="AD21" s="13" t="n"/>
      <c r="AE21" s="13" t="n"/>
      <c r="AF21" s="13" t="n"/>
      <c r="AG21" s="13" t="n"/>
      <c r="AH21" s="13" t="n"/>
      <c r="AI21" s="13" t="n"/>
      <c r="AJ21" s="13" t="n"/>
      <c r="AK21" s="13" t="n"/>
      <c r="AL21" s="13" t="n"/>
      <c r="AM21" s="13" t="n"/>
    </row>
    <row r="22" hidden="1" customFormat="1" s="13">
      <c r="A22" s="175" t="inlineStr">
        <is>
          <t>R</t>
        </is>
      </c>
      <c r="B22" s="176">
        <f>IF(_epmOfflineCondition_,"C_RPTCURRENCY",EPMDimensionType(,A22))</f>
        <v/>
      </c>
      <c r="C22" s="672">
        <f>IF(E11="G_DUMMY","LC","CNY")</f>
        <v/>
      </c>
      <c r="D22" s="182">
        <f>IF(_epmOfflineCondition_,"LC",EPMOlapMemberO(C22,"[C_RPTCURRENCY].[].[LC]","LC - 本位币","","000"))</f>
        <v/>
      </c>
      <c r="E22" s="180" t="n"/>
      <c r="F22" s="384" t="n"/>
      <c r="G22" s="384" t="n"/>
      <c r="H22" s="13" t="n"/>
      <c r="I22" s="13" t="n"/>
      <c r="J22" s="13" t="n"/>
      <c r="K22" s="13" t="n"/>
      <c r="L22" s="13" t="n"/>
      <c r="M22" s="13" t="n"/>
      <c r="N22" s="13" t="n"/>
      <c r="O22" s="13" t="n"/>
      <c r="P22" s="13" t="n"/>
      <c r="Q22" s="13" t="n"/>
      <c r="R22" s="13" t="n"/>
      <c r="S22" s="1103" t="n"/>
      <c r="T22" s="13" t="n"/>
      <c r="U22" s="13" t="n"/>
      <c r="V22" s="33" t="n"/>
      <c r="W22" s="13" t="n"/>
      <c r="X22" s="171" t="n"/>
      <c r="Y22" s="384" t="n"/>
      <c r="Z22" s="13" t="n"/>
      <c r="AA22" s="13" t="n"/>
      <c r="AB22" s="13" t="n"/>
      <c r="AC22" s="220" t="n"/>
      <c r="AD22" s="13" t="n"/>
      <c r="AE22" s="13" t="n"/>
      <c r="AF22" s="13" t="n"/>
      <c r="AG22" s="13" t="n"/>
      <c r="AH22" s="13" t="n"/>
      <c r="AI22" s="13" t="n"/>
      <c r="AJ22" s="13" t="n"/>
      <c r="AK22" s="13" t="n"/>
      <c r="AL22" s="13" t="n"/>
      <c r="AM22" s="13" t="n"/>
    </row>
    <row r="23" hidden="1" customFormat="1" s="13">
      <c r="A23" s="175" t="inlineStr">
        <is>
          <t>D</t>
        </is>
      </c>
      <c r="B23" s="176">
        <f>IF(_epmOfflineCondition_,"C_AUDITTRAIL",EPMDimensionType(,A23))</f>
        <v/>
      </c>
      <c r="C23" s="672">
        <f>J18</f>
        <v/>
      </c>
      <c r="D23" s="182">
        <f>IF(_epmOfflineCondition_,"D1110",EPMOlapMemberO(C23,"[C_AUDITTRAIL].[PARENTH1].[D1110]","D1110 - 平台表单手工输入","","000"))</f>
        <v/>
      </c>
      <c r="E23" s="180" t="n"/>
      <c r="F23" s="384" t="n"/>
      <c r="G23" s="384" t="n"/>
      <c r="H23" s="13" t="n"/>
      <c r="I23" s="13" t="n"/>
      <c r="J23" s="13" t="n"/>
      <c r="K23" s="13" t="n"/>
      <c r="L23" s="13" t="n"/>
      <c r="M23" s="13" t="n"/>
      <c r="N23" s="13" t="n"/>
      <c r="O23" s="13" t="n"/>
      <c r="P23" s="13" t="n"/>
      <c r="Q23" s="13" t="n"/>
      <c r="R23" s="13" t="n"/>
      <c r="S23" s="1103" t="n"/>
      <c r="T23" s="13" t="n"/>
      <c r="U23" s="35" t="n"/>
      <c r="V23" s="36" t="n"/>
      <c r="W23" s="13" t="n"/>
      <c r="X23" s="171" t="n"/>
      <c r="Y23" s="384" t="n"/>
      <c r="Z23" s="13" t="n"/>
      <c r="AA23" s="13" t="n"/>
      <c r="AB23" s="13" t="n"/>
      <c r="AC23" s="220" t="n"/>
      <c r="AD23" s="13" t="n"/>
      <c r="AE23" s="13" t="n"/>
      <c r="AF23" s="13" t="n"/>
      <c r="AG23" s="13" t="n"/>
      <c r="AH23" s="13" t="n"/>
      <c r="AI23" s="13" t="n"/>
      <c r="AJ23" s="13" t="n"/>
      <c r="AK23" s="13" t="n"/>
      <c r="AL23" s="13" t="n"/>
      <c r="AM23" s="13" t="n"/>
    </row>
    <row r="24" hidden="1" customFormat="1" s="13">
      <c r="A24" s="175" t="inlineStr">
        <is>
          <t>S</t>
        </is>
      </c>
      <c r="B24" s="176">
        <f>IF(_epmOfflineCondition_,"C_FLOW",EPMDimensionType(,A24))</f>
        <v/>
      </c>
      <c r="C24" s="672">
        <f>IF(_epmOfflineCondition_,"FTOTAL",IF(B24="","",EPMContextMember(,B24)))</f>
        <v/>
      </c>
      <c r="D24" s="180" t="n"/>
      <c r="E24" s="180" t="n"/>
      <c r="F24" s="384" t="n"/>
      <c r="G24" s="384" t="n"/>
      <c r="H24" s="13" t="n"/>
      <c r="I24" s="13" t="n"/>
      <c r="J24" s="13" t="n"/>
      <c r="K24" s="13" t="n"/>
      <c r="L24" s="13" t="n"/>
      <c r="M24" s="13" t="n"/>
      <c r="N24" s="13" t="n"/>
      <c r="O24" s="13" t="n"/>
      <c r="P24" s="13" t="n"/>
      <c r="Q24" s="13" t="n"/>
      <c r="R24" s="13" t="n"/>
      <c r="S24" s="1103" t="n"/>
      <c r="T24" s="13" t="n"/>
      <c r="U24" s="35" t="n"/>
      <c r="V24" s="36" t="n"/>
      <c r="W24" s="13" t="n"/>
      <c r="X24" s="171" t="n"/>
      <c r="Y24" s="384" t="n"/>
      <c r="Z24" s="13" t="n"/>
      <c r="AA24" s="13" t="n"/>
      <c r="AB24" s="13" t="n"/>
      <c r="AC24" s="220" t="n"/>
      <c r="AD24" s="13" t="n"/>
      <c r="AE24" s="13" t="n"/>
      <c r="AF24" s="13" t="n"/>
      <c r="AG24" s="13" t="n"/>
      <c r="AH24" s="13" t="n"/>
      <c r="AI24" s="13" t="n"/>
      <c r="AJ24" s="13" t="n"/>
      <c r="AK24" s="13" t="n"/>
      <c r="AL24" s="13" t="n"/>
      <c r="AM24" s="13" t="n"/>
    </row>
    <row r="25" hidden="1" ht="15.75" customFormat="1" customHeight="1" s="13">
      <c r="A25" s="175" t="inlineStr">
        <is>
          <t>I</t>
        </is>
      </c>
      <c r="B25" s="176">
        <f>IF(_epmOfflineCondition_,"C_INTERCO",EPMDimensionType(,A25))</f>
        <v/>
      </c>
      <c r="C25" s="672" t="inlineStr">
        <is>
          <t>I_DUMMY</t>
        </is>
      </c>
      <c r="D25" s="182">
        <f>IF(_epmOfflineCondition_,"I_DUMMY",EPMOlapMemberO(C25,"[C_INTERCO].[PARENTH1].[I_DUMMY]","I_DUMMY - 贸易伙伴无关","","000"))</f>
        <v/>
      </c>
      <c r="E25" s="180" t="n"/>
      <c r="F25" s="384" t="n"/>
      <c r="G25" s="384" t="n"/>
      <c r="H25" s="13" t="n"/>
      <c r="I25" s="13" t="n"/>
      <c r="J25" s="13" t="n"/>
      <c r="K25" s="13" t="n"/>
      <c r="L25" s="13" t="n"/>
      <c r="M25" s="13" t="n"/>
      <c r="N25" s="13" t="n"/>
      <c r="O25" s="13" t="n"/>
      <c r="P25" s="13" t="n"/>
      <c r="Q25" s="13" t="n"/>
      <c r="R25" s="13" t="n"/>
      <c r="S25" s="1103" t="n"/>
      <c r="T25" s="13" t="n"/>
      <c r="U25" s="35" t="n"/>
      <c r="V25" s="36" t="n"/>
      <c r="W25" s="13" t="n"/>
      <c r="X25" s="171" t="n"/>
      <c r="Y25" s="13" t="n"/>
      <c r="Z25" s="178" t="inlineStr">
        <is>
          <t>C1001</t>
        </is>
      </c>
      <c r="AA25" s="178" t="inlineStr">
        <is>
          <t>C1001</t>
        </is>
      </c>
      <c r="AB25" s="178" t="inlineStr">
        <is>
          <t>C1001</t>
        </is>
      </c>
      <c r="AC25" s="178" t="inlineStr">
        <is>
          <t>C1001</t>
        </is>
      </c>
      <c r="AD25" s="178" t="n"/>
      <c r="AE25" s="178" t="n"/>
      <c r="AF25" s="178" t="inlineStr">
        <is>
          <t>C1001</t>
        </is>
      </c>
      <c r="AG25" s="178" t="inlineStr">
        <is>
          <t>C1001</t>
        </is>
      </c>
      <c r="AH25" s="178" t="n"/>
      <c r="AI25" s="178" t="inlineStr">
        <is>
          <t>C1001</t>
        </is>
      </c>
      <c r="AJ25" s="178" t="n"/>
      <c r="AK25" s="178" t="inlineStr">
        <is>
          <t>C1001</t>
        </is>
      </c>
      <c r="AL25" s="178" t="inlineStr">
        <is>
          <t>C1001</t>
        </is>
      </c>
      <c r="AM25" s="13" t="n"/>
    </row>
    <row r="26" hidden="1" customFormat="1" s="13">
      <c r="A26" s="175" t="inlineStr">
        <is>
          <t>G</t>
        </is>
      </c>
      <c r="B26" s="176">
        <f>IF(_epmOfflineCondition_,"C_SCOPE",EPMDimensionType(,A26))</f>
        <v/>
      </c>
      <c r="C26" s="182">
        <f>E11</f>
        <v/>
      </c>
      <c r="D26" s="182">
        <f>IF(_epmOfflineCondition_,"G_DUMMY",EPMOlapMemberO(C26,"[C_SCOPE].[PARENTH1].[G_DUMMY]","G_DUMMY - 合并范围无关","","000"))</f>
        <v/>
      </c>
      <c r="E26" s="180" t="n"/>
      <c r="F26" s="384" t="n"/>
      <c r="G26" s="384" t="n"/>
      <c r="H26" s="13" t="n"/>
      <c r="I26" s="13" t="n"/>
      <c r="J26" s="13" t="n"/>
      <c r="K26" s="13" t="n"/>
      <c r="L26" s="13" t="n"/>
      <c r="M26" s="13" t="n"/>
      <c r="N26" s="13" t="n"/>
      <c r="O26" s="13" t="n"/>
      <c r="P26" s="13" t="n"/>
      <c r="Q26" s="13" t="n"/>
      <c r="R26" s="13" t="n"/>
      <c r="S26" s="1103" t="n"/>
      <c r="T26" s="13" t="n"/>
      <c r="U26" s="35" t="n"/>
      <c r="V26" s="36" t="n"/>
      <c r="W26" s="13" t="n"/>
      <c r="X26" s="171" t="n"/>
      <c r="Y26" s="13" t="n"/>
      <c r="Z26" s="178">
        <f>$I$11</f>
        <v/>
      </c>
      <c r="AA26" s="178">
        <f>$I$11</f>
        <v/>
      </c>
      <c r="AB26" s="178">
        <f>$I$11</f>
        <v/>
      </c>
      <c r="AC26" s="178">
        <f>$I$13</f>
        <v/>
      </c>
      <c r="AD26" s="178" t="n"/>
      <c r="AE26" s="178" t="n"/>
      <c r="AF26" s="178">
        <f>$I$11</f>
        <v/>
      </c>
      <c r="AG26" s="178">
        <f>$I$11</f>
        <v/>
      </c>
      <c r="AH26" s="178" t="n"/>
      <c r="AI26" s="178">
        <f>$I$13</f>
        <v/>
      </c>
      <c r="AJ26" s="178" t="n"/>
      <c r="AK26" s="178">
        <f>$I$11</f>
        <v/>
      </c>
      <c r="AL26" s="178">
        <f>$I$11</f>
        <v/>
      </c>
      <c r="AM26" s="13" t="n"/>
    </row>
    <row r="27" hidden="1" customFormat="1" s="13">
      <c r="A27" s="175" t="inlineStr">
        <is>
          <t>U8</t>
        </is>
      </c>
      <c r="B27" s="176">
        <f>IF(_epmOfflineCondition_,"C_PROJECT",EPMDimensionType(,A27))</f>
        <v/>
      </c>
      <c r="C27" s="180" t="inlineStr">
        <is>
          <t>ZP_DUMMY</t>
        </is>
      </c>
      <c r="D27" s="182">
        <f>IF(_epmOfflineCondition_,"ZP_DUMMY",EPMOlapMemberO(C27,"[C_PROJECT].[PARENTH1].[ZP_DUMMY]","ZP_DUMMY - 项目无关","","000"))</f>
        <v/>
      </c>
      <c r="E27" s="180" t="n"/>
      <c r="F27" s="384" t="n"/>
      <c r="G27" s="384" t="n"/>
      <c r="H27" s="13" t="n"/>
      <c r="I27" s="13" t="n"/>
      <c r="J27" s="13" t="n"/>
      <c r="K27" s="13" t="n"/>
      <c r="L27" s="13" t="n"/>
      <c r="M27" s="13" t="n"/>
      <c r="N27" s="13" t="n"/>
      <c r="O27" s="13" t="n"/>
      <c r="P27" s="13" t="n"/>
      <c r="Q27" s="13" t="n"/>
      <c r="R27" s="13" t="n"/>
      <c r="S27" s="1103" t="n"/>
      <c r="T27" s="13" t="n"/>
      <c r="U27" s="35" t="n"/>
      <c r="V27" s="36" t="n"/>
      <c r="W27" s="13" t="n"/>
      <c r="X27" s="13" t="n"/>
      <c r="Y27" s="13" t="n"/>
      <c r="Z27" s="200" t="inlineStr">
        <is>
          <t>YTD</t>
        </is>
      </c>
      <c r="AA27" s="200" t="inlineStr">
        <is>
          <t>Periodic</t>
        </is>
      </c>
      <c r="AB27" s="200" t="inlineStr">
        <is>
          <t>YTD</t>
        </is>
      </c>
      <c r="AC27" s="200" t="inlineStr">
        <is>
          <t>YTD</t>
        </is>
      </c>
      <c r="AD27" s="200" t="n"/>
      <c r="AE27" s="200" t="n"/>
      <c r="AF27" s="200" t="inlineStr">
        <is>
          <t>Periodic</t>
        </is>
      </c>
      <c r="AG27" s="200" t="inlineStr">
        <is>
          <t>YTD</t>
        </is>
      </c>
      <c r="AH27" s="200" t="n"/>
      <c r="AI27" s="200" t="inlineStr">
        <is>
          <t>YTD</t>
        </is>
      </c>
      <c r="AJ27" s="200" t="n"/>
      <c r="AK27" s="200" t="inlineStr">
        <is>
          <t>YTD</t>
        </is>
      </c>
      <c r="AL27" s="200" t="inlineStr">
        <is>
          <t>YTD</t>
        </is>
      </c>
      <c r="AM27" s="13" t="n"/>
    </row>
    <row r="28" hidden="1" customFormat="1" s="13">
      <c r="A28" s="175" t="inlineStr">
        <is>
          <t>U9</t>
        </is>
      </c>
      <c r="B28" s="176">
        <f>IF(_epmOfflineCondition_,"C_ITEM",EPMDimensionType(,A28))</f>
        <v/>
      </c>
      <c r="C28" s="180" t="inlineStr">
        <is>
          <t>ZI_DUMMY</t>
        </is>
      </c>
      <c r="D28" s="182">
        <f>IF(_epmOfflineCondition_,"ZI_DUMMY",EPMOlapMemberO(C28,"[C_ITEM].[PARENTH1].[ZI_DUMMY]","ZI_DUMMY - 与子项无关","","000"))</f>
        <v/>
      </c>
      <c r="E28" s="180" t="n"/>
      <c r="F28" s="384" t="n"/>
      <c r="G28" s="384" t="n"/>
      <c r="H28" s="13" t="n"/>
      <c r="I28" s="13" t="n"/>
      <c r="J28" s="13" t="n"/>
      <c r="K28" s="13" t="n"/>
      <c r="L28" s="13" t="n"/>
      <c r="M28" s="13" t="n"/>
      <c r="N28" s="13" t="n"/>
      <c r="O28" s="13" t="n"/>
      <c r="P28" s="13" t="n"/>
      <c r="Q28" s="13" t="n"/>
      <c r="R28" s="13" t="n"/>
      <c r="S28" s="13" t="n"/>
      <c r="T28" s="13" t="n"/>
      <c r="U28" s="35" t="n"/>
      <c r="V28" s="36" t="n"/>
      <c r="W28" s="13" t="n"/>
      <c r="X28" s="171" t="n"/>
      <c r="Y28" s="13" t="n"/>
      <c r="Z28" s="200" t="inlineStr">
        <is>
          <t>F01</t>
        </is>
      </c>
      <c r="AA28" s="200" t="inlineStr">
        <is>
          <t>F20</t>
        </is>
      </c>
      <c r="AB28" s="200" t="inlineStr">
        <is>
          <t>F20</t>
        </is>
      </c>
      <c r="AC28" s="200" t="inlineStr">
        <is>
          <t>F20</t>
        </is>
      </c>
      <c r="AD28" s="200" t="n"/>
      <c r="AE28" s="200" t="n"/>
      <c r="AF28" s="200" t="inlineStr">
        <is>
          <t>F30</t>
        </is>
      </c>
      <c r="AG28" s="200" t="inlineStr">
        <is>
          <t>F30</t>
        </is>
      </c>
      <c r="AH28" s="200" t="n"/>
      <c r="AI28" s="200" t="inlineStr">
        <is>
          <t>F30</t>
        </is>
      </c>
      <c r="AJ28" s="200" t="n"/>
      <c r="AK28" s="200" t="inlineStr">
        <is>
          <t>FEND</t>
        </is>
      </c>
      <c r="AL28" s="200" t="inlineStr">
        <is>
          <t>FEND</t>
        </is>
      </c>
      <c r="AM28" s="13" t="n"/>
    </row>
    <row r="29" hidden="1" customFormat="1" s="13">
      <c r="A29" s="175" t="inlineStr">
        <is>
          <t>U10</t>
        </is>
      </c>
      <c r="B29" s="176">
        <f>IF(_epmOfflineCondition_,"C_MISK",EPMDimensionType(,A29))</f>
        <v/>
      </c>
      <c r="C29" s="672" t="inlineStr">
        <is>
          <t>ZM_DUMMY</t>
        </is>
      </c>
      <c r="D29" s="182" t="n"/>
      <c r="E29" s="180" t="n"/>
      <c r="F29" s="384" t="n"/>
      <c r="G29" s="384" t="n"/>
      <c r="H29" s="13" t="n"/>
      <c r="I29" s="13" t="n"/>
      <c r="J29" s="13" t="n"/>
      <c r="K29" s="13" t="n"/>
      <c r="L29" s="13" t="n"/>
      <c r="M29" s="13" t="n"/>
      <c r="N29" s="13" t="n"/>
      <c r="O29" s="13" t="n"/>
      <c r="P29" s="13" t="n"/>
      <c r="Q29" s="13" t="n"/>
      <c r="R29" s="13" t="n"/>
      <c r="S29" s="1103" t="n"/>
      <c r="T29" s="13" t="n"/>
      <c r="U29" s="35" t="n"/>
      <c r="V29" s="36" t="n"/>
      <c r="W29" s="13" t="n"/>
      <c r="X29" s="171" t="n"/>
      <c r="Y29" s="13" t="n"/>
      <c r="Z29" s="178" t="inlineStr">
        <is>
          <t>ZM_DUMMY</t>
        </is>
      </c>
      <c r="AA29" s="178" t="inlineStr">
        <is>
          <t>ZM_DUMMY</t>
        </is>
      </c>
      <c r="AB29" s="178" t="inlineStr">
        <is>
          <t>ZM_DUMMY</t>
        </is>
      </c>
      <c r="AC29" s="178" t="inlineStr">
        <is>
          <t>ZM_DUMMY</t>
        </is>
      </c>
      <c r="AD29" s="178" t="n"/>
      <c r="AE29" s="178" t="n"/>
      <c r="AF29" s="178" t="inlineStr">
        <is>
          <t>ZM_DUMMY</t>
        </is>
      </c>
      <c r="AG29" s="178" t="inlineStr">
        <is>
          <t>ZM_DUMMY</t>
        </is>
      </c>
      <c r="AH29" s="178" t="n"/>
      <c r="AI29" s="178" t="inlineStr">
        <is>
          <t>ZM_DUMMY</t>
        </is>
      </c>
      <c r="AJ29" s="178" t="n"/>
      <c r="AK29" s="178" t="inlineStr">
        <is>
          <t>ZM_DUMMY</t>
        </is>
      </c>
      <c r="AL29" s="178" t="inlineStr">
        <is>
          <t>ZM_DUMMY</t>
        </is>
      </c>
      <c r="AM29" s="13" t="n"/>
    </row>
    <row r="30" hidden="1" customFormat="1" s="13">
      <c r="A30" s="175" t="n"/>
      <c r="B30" s="175">
        <f>IF(_epmOfflineCondition_,"",EPMDimensionType(,A30))</f>
        <v/>
      </c>
      <c r="C30" s="182" t="inlineStr">
        <is>
          <t>PERIODIC</t>
        </is>
      </c>
      <c r="D30" s="390" t="n"/>
      <c r="E30" s="180" t="n"/>
      <c r="F30" s="384" t="n"/>
      <c r="G30" s="384" t="n"/>
      <c r="H30" s="13" t="n"/>
      <c r="I30" s="13" t="n"/>
      <c r="J30" s="13" t="n"/>
      <c r="K30" s="13" t="n"/>
      <c r="L30" s="13" t="n"/>
      <c r="M30" s="13" t="n"/>
      <c r="N30" s="13" t="n"/>
      <c r="O30" s="13" t="n"/>
      <c r="P30" s="13" t="n"/>
      <c r="Q30" s="13" t="n"/>
      <c r="R30" s="13" t="n"/>
      <c r="S30" s="13" t="n"/>
      <c r="T30" s="13" t="n"/>
      <c r="U30" s="35" t="n"/>
      <c r="V30" s="36" t="n"/>
      <c r="W30" s="13" t="n"/>
      <c r="X30" s="171" t="n"/>
      <c r="Y30" s="13" t="n"/>
      <c r="Z30" s="13" t="n"/>
      <c r="AA30" s="13" t="n"/>
      <c r="AB30" s="13" t="n"/>
      <c r="AC30" s="220" t="n"/>
      <c r="AD30" s="13" t="n"/>
      <c r="AE30" s="13" t="n"/>
      <c r="AF30" s="13" t="n"/>
      <c r="AG30" s="13" t="n"/>
      <c r="AH30" s="13" t="n"/>
      <c r="AI30" s="13" t="n"/>
      <c r="AJ30" s="13" t="n"/>
      <c r="AK30" s="13" t="n"/>
      <c r="AL30" s="13" t="n"/>
      <c r="AM30" s="13" t="n"/>
    </row>
    <row r="31" hidden="1" customFormat="1" s="13">
      <c r="A31" s="13" t="n"/>
      <c r="B31" s="1103" t="n"/>
      <c r="C31" s="1103" t="n"/>
      <c r="D31" s="1103" t="n"/>
      <c r="E31" s="13" t="n"/>
      <c r="F31" s="13" t="n"/>
      <c r="G31" s="13" t="n"/>
      <c r="H31" s="13" t="n"/>
      <c r="I31" s="13" t="n"/>
      <c r="J31" s="13" t="n"/>
      <c r="K31" s="13" t="n"/>
      <c r="L31" s="13" t="n"/>
      <c r="M31" s="13" t="n"/>
      <c r="N31" s="13" t="n"/>
      <c r="O31" s="13" t="n"/>
      <c r="P31" s="13" t="n"/>
      <c r="Q31" s="13" t="n"/>
      <c r="R31" s="13" t="n"/>
      <c r="S31" s="13" t="n"/>
      <c r="T31" s="13" t="n"/>
      <c r="U31" s="35" t="n"/>
      <c r="V31" s="36" t="n"/>
      <c r="W31" s="13" t="n"/>
      <c r="X31" s="171" t="n"/>
      <c r="Y31" s="384" t="n"/>
      <c r="Z31" s="13" t="n"/>
      <c r="AA31" s="13" t="n"/>
      <c r="AB31" s="13" t="n"/>
      <c r="AC31" s="220" t="n"/>
      <c r="AD31" s="13" t="n"/>
      <c r="AE31" s="13" t="n"/>
      <c r="AF31" s="13" t="n"/>
      <c r="AG31" s="13" t="n"/>
      <c r="AH31" s="13" t="n"/>
      <c r="AI31" s="13" t="n"/>
      <c r="AJ31" s="13" t="n"/>
      <c r="AK31" s="13" t="n"/>
      <c r="AL31" s="13" t="n"/>
      <c r="AM31" s="13" t="n"/>
    </row>
    <row r="32" hidden="1" customFormat="1" s="13">
      <c r="A32" s="13" t="n"/>
      <c r="B32" s="1103" t="n"/>
      <c r="C32" s="1103" t="n"/>
      <c r="D32" s="1103" t="n"/>
      <c r="E32" s="13" t="n"/>
      <c r="F32" s="13" t="n"/>
      <c r="G32" s="13" t="n"/>
      <c r="H32" s="13" t="n"/>
      <c r="I32" s="13" t="n"/>
      <c r="J32" s="13" t="n"/>
      <c r="K32" s="13" t="n"/>
      <c r="L32" s="13" t="n"/>
      <c r="M32" s="13" t="n"/>
      <c r="N32" s="13" t="n"/>
      <c r="O32" s="13" t="n"/>
      <c r="P32" s="13" t="n"/>
      <c r="Q32" s="13" t="n"/>
      <c r="R32" s="13" t="n"/>
      <c r="S32" s="13" t="n"/>
      <c r="T32" s="13" t="n"/>
      <c r="U32" s="13" t="n"/>
      <c r="V32" s="33" t="n"/>
      <c r="W32" s="13" t="n"/>
      <c r="X32" s="171" t="n"/>
      <c r="Y32" s="13" t="n"/>
      <c r="Z32" s="13" t="n"/>
      <c r="AA32" s="13" t="n"/>
      <c r="AB32" s="13" t="n"/>
      <c r="AC32" s="220" t="n"/>
      <c r="AD32" s="13" t="n"/>
      <c r="AE32" s="13" t="n"/>
      <c r="AF32" s="13" t="n"/>
      <c r="AG32" s="13" t="n"/>
      <c r="AH32" s="13" t="n"/>
      <c r="AI32" s="13" t="n"/>
      <c r="AJ32" s="13" t="n"/>
      <c r="AK32" s="13" t="n"/>
      <c r="AL32" s="13" t="n"/>
      <c r="AM32" s="13" t="n"/>
    </row>
    <row r="33" hidden="1" customFormat="1" s="13">
      <c r="A33" s="13" t="n"/>
      <c r="B33" s="1103" t="n"/>
      <c r="C33" s="1103" t="n"/>
      <c r="D33" s="1103" t="n"/>
      <c r="E33" s="13" t="n"/>
      <c r="F33" s="13" t="n"/>
      <c r="G33" s="13" t="n"/>
      <c r="H33" s="13" t="n"/>
      <c r="I33" s="13" t="n"/>
      <c r="J33" s="13" t="n"/>
      <c r="K33" s="13" t="n"/>
      <c r="L33" s="13" t="n"/>
      <c r="M33" s="13" t="n"/>
      <c r="N33" s="13" t="n"/>
      <c r="O33" s="13" t="n"/>
      <c r="P33" s="13" t="n"/>
      <c r="Q33" s="13" t="n"/>
      <c r="R33" s="13" t="n"/>
      <c r="S33" s="13" t="n"/>
      <c r="T33" s="13" t="n"/>
      <c r="U33" s="13" t="n"/>
      <c r="V33" s="33" t="n"/>
      <c r="W33" s="13" t="n"/>
      <c r="X33" s="171" t="n"/>
      <c r="Y33" s="13" t="n"/>
      <c r="Z33" s="13" t="n"/>
      <c r="AA33" s="13" t="n"/>
      <c r="AB33" s="13" t="n"/>
      <c r="AC33" s="220" t="n"/>
      <c r="AD33" s="13" t="n"/>
      <c r="AE33" s="13" t="n"/>
      <c r="AF33" s="13" t="n"/>
      <c r="AG33" s="13" t="n"/>
      <c r="AH33" s="13" t="n"/>
      <c r="AI33" s="13" t="n"/>
      <c r="AJ33" s="13" t="n"/>
      <c r="AK33" s="13" t="n"/>
      <c r="AL33" s="13" t="n"/>
      <c r="AM33" s="13" t="n"/>
    </row>
    <row r="34" ht="10.5" customFormat="1" customHeight="1" s="13">
      <c r="A34" s="13" t="n"/>
      <c r="B34" s="1103" t="n"/>
      <c r="C34" s="1103" t="n"/>
      <c r="D34" s="1103" t="n"/>
      <c r="E34" s="13" t="n"/>
      <c r="F34" s="13" t="n"/>
      <c r="G34" s="13" t="n"/>
      <c r="H34" s="13" t="n"/>
      <c r="I34" s="13" t="n"/>
      <c r="J34" s="13" t="n"/>
      <c r="K34" s="13" t="n"/>
      <c r="L34" s="13" t="n"/>
      <c r="M34" s="13" t="n"/>
      <c r="N34" s="13" t="n"/>
      <c r="O34" s="13" t="n"/>
      <c r="P34" s="13" t="n"/>
      <c r="Q34" s="13" t="n"/>
      <c r="R34" s="13" t="n"/>
      <c r="S34" s="13" t="n"/>
      <c r="T34" s="13" t="n"/>
      <c r="U34" s="13" t="n"/>
      <c r="V34" s="33" t="n"/>
      <c r="W34" s="13" t="n"/>
      <c r="X34" s="171" t="n"/>
      <c r="Y34" s="13" t="n"/>
      <c r="Z34" s="13" t="n"/>
      <c r="AA34" s="13" t="n"/>
      <c r="AB34" s="13" t="n"/>
      <c r="AC34" s="220" t="n"/>
      <c r="AD34" s="13" t="n"/>
      <c r="AE34" s="13" t="n"/>
      <c r="AF34" s="13" t="n"/>
      <c r="AG34" s="13" t="n"/>
      <c r="AH34" s="13" t="n"/>
      <c r="AI34" s="13" t="n"/>
      <c r="AJ34" s="13" t="n"/>
      <c r="AK34" s="13" t="n"/>
      <c r="AL34" s="13" t="n"/>
      <c r="AM34" s="13" t="n"/>
    </row>
    <row r="35" ht="32.25" customHeight="1" s="1181">
      <c r="A35" s="384" t="n"/>
      <c r="B35" s="384" t="n"/>
      <c r="C35" s="384" t="n"/>
      <c r="D35" s="384" t="n"/>
      <c r="E35" s="384" t="n"/>
      <c r="F35" s="384" t="n"/>
      <c r="G35" s="384" t="n"/>
      <c r="H35" s="384" t="n"/>
      <c r="I35" s="384" t="n"/>
      <c r="J35" s="384" t="n"/>
      <c r="K35" s="384" t="n"/>
      <c r="L35" s="384" t="n"/>
      <c r="M35" s="384" t="n"/>
      <c r="N35" s="384" t="n"/>
      <c r="O35" s="384" t="n"/>
      <c r="P35" s="384" t="n"/>
      <c r="Q35" s="384" t="n"/>
      <c r="R35" s="384" t="n"/>
      <c r="S35" s="32" t="n"/>
      <c r="T35" s="384" t="n"/>
      <c r="U35" s="384" t="n"/>
      <c r="V35" s="37" t="n"/>
      <c r="W35" s="384" t="n"/>
      <c r="X35" s="38" t="n"/>
      <c r="Y35" s="202" t="inlineStr">
        <is>
          <t>🔺外币单位请直接填写折算后的人民币数。</t>
        </is>
      </c>
      <c r="Z35" s="384" t="n"/>
      <c r="AA35" s="384" t="n"/>
      <c r="AB35" s="384" t="n"/>
      <c r="AC35" s="201" t="inlineStr">
        <is>
          <t>发电企业应收账款及政府补贴情况表</t>
        </is>
      </c>
      <c r="AD35" s="384" t="n"/>
      <c r="AE35" s="384" t="n"/>
      <c r="AF35" s="384" t="n"/>
      <c r="AG35" s="384" t="n"/>
      <c r="AH35" s="384" t="n"/>
      <c r="AI35" s="384" t="n"/>
      <c r="AJ35" s="384" t="n"/>
      <c r="AK35" s="384" t="n"/>
      <c r="AL35" s="384" t="n"/>
      <c r="AM35" s="384" t="n"/>
    </row>
    <row r="36" ht="16.5" customFormat="1" customHeight="1" s="716">
      <c r="A36" s="716" t="n"/>
      <c r="B36" s="716" t="n"/>
      <c r="C36" s="716" t="n"/>
      <c r="D36" s="716" t="n"/>
      <c r="E36" s="716" t="n"/>
      <c r="F36" s="716" t="n"/>
      <c r="G36" s="716" t="n"/>
      <c r="H36" s="716" t="n"/>
      <c r="I36" s="716" t="n"/>
      <c r="J36" s="716" t="n"/>
      <c r="K36" s="716" t="n"/>
      <c r="L36" s="716" t="n"/>
      <c r="M36" s="716" t="n"/>
      <c r="N36" s="716" t="n"/>
      <c r="O36" s="716" t="n"/>
      <c r="P36" s="716" t="n"/>
      <c r="Q36" s="716" t="n"/>
      <c r="R36" s="716" t="n"/>
      <c r="S36" s="462" t="n"/>
      <c r="T36" s="716" t="n"/>
      <c r="U36" s="716" t="n"/>
      <c r="V36" s="216" t="n"/>
      <c r="W36" s="716" t="n"/>
      <c r="X36" s="190">
        <f>IF(_epmOfflineCondition_,"编制单位：内蒙古京能苏尼特风力发电有限公司（内蒙古分公司）","编制单位："&amp;EPMMemberDesc($D$6))</f>
        <v/>
      </c>
      <c r="Y36" s="716" t="n"/>
      <c r="Z36" s="716" t="n"/>
      <c r="AA36" s="216" t="inlineStr">
        <is>
          <t>上下文选择说明：</t>
        </is>
      </c>
      <c r="AB36" s="1535" t="inlineStr">
        <is>
          <t>单体录入：C_SCOPE选择G_DUMMY，C_ENTITY选择单体ID</t>
        </is>
      </c>
      <c r="AG36" s="1535" t="n"/>
      <c r="AH36" s="716" t="n"/>
      <c r="AI36" s="1536" t="n"/>
      <c r="AJ36" s="716" t="n"/>
      <c r="AK36" s="716" t="n"/>
      <c r="AL36" s="716" t="n"/>
      <c r="AM36" s="716" t="n"/>
    </row>
    <row r="37" ht="16.5" customFormat="1" customHeight="1" s="716">
      <c r="A37" s="716" t="n"/>
      <c r="B37" s="716" t="n"/>
      <c r="C37" s="716" t="n"/>
      <c r="D37" s="716" t="n"/>
      <c r="E37" s="716" t="n"/>
      <c r="F37" s="716" t="n"/>
      <c r="G37" s="716" t="n"/>
      <c r="H37" s="716" t="n"/>
      <c r="I37" s="716" t="n"/>
      <c r="J37" s="716" t="n"/>
      <c r="K37" s="716" t="n"/>
      <c r="L37" s="716" t="n"/>
      <c r="M37" s="716" t="n"/>
      <c r="N37" s="716" t="n"/>
      <c r="O37" s="716" t="n"/>
      <c r="P37" s="716" t="n"/>
      <c r="Q37" s="716" t="n"/>
      <c r="R37" s="716" t="n"/>
      <c r="S37" s="462" t="n"/>
      <c r="T37" s="716" t="n"/>
      <c r="U37" s="716" t="n"/>
      <c r="V37" s="216" t="n"/>
      <c r="W37" s="716" t="n"/>
      <c r="X37" s="190">
        <f>"编制月份："&amp;$I$3&amp;"年"&amp;$I$8&amp;"月"</f>
        <v/>
      </c>
      <c r="Y37" s="204" t="inlineStr">
        <is>
          <t>审计线索：</t>
        </is>
      </c>
      <c r="Z37" s="182" t="inlineStr">
        <is>
          <t>单体录入</t>
        </is>
      </c>
      <c r="AA37" s="716" t="n"/>
      <c r="AB37" s="1535" t="inlineStr">
        <is>
          <t>合并层调整：C_SCOPE选择合并层，C_ENTITY选择单体ID</t>
        </is>
      </c>
      <c r="AG37" s="223" t="n"/>
      <c r="AH37" s="223" t="inlineStr">
        <is>
          <t>金额单位：元</t>
        </is>
      </c>
      <c r="AI37" s="716" t="n"/>
      <c r="AJ37" s="1536" t="n"/>
      <c r="AK37" s="716" t="n"/>
      <c r="AL37" s="716" t="n"/>
      <c r="AM37" s="716" t="n"/>
    </row>
    <row r="38" ht="17.25" customFormat="1" customHeight="1" s="716">
      <c r="A38" s="716" t="n"/>
      <c r="B38" s="716" t="n"/>
      <c r="C38" s="716" t="n"/>
      <c r="D38" s="716" t="n"/>
      <c r="E38" s="716" t="n"/>
      <c r="F38" s="716" t="n"/>
      <c r="G38" s="716" t="n"/>
      <c r="H38" s="716" t="n"/>
      <c r="I38" s="716" t="n"/>
      <c r="J38" s="716" t="n"/>
      <c r="K38" s="716" t="n"/>
      <c r="L38" s="716" t="n"/>
      <c r="M38" s="716" t="n"/>
      <c r="N38" s="716" t="n"/>
      <c r="O38" s="716" t="n"/>
      <c r="P38" s="716" t="n"/>
      <c r="Q38" s="716" t="n"/>
      <c r="R38" s="716" t="n"/>
      <c r="S38" s="462" t="n"/>
      <c r="T38" s="716" t="n"/>
      <c r="U38" s="716" t="n"/>
      <c r="V38" s="216" t="n"/>
      <c r="W38" s="716" t="n"/>
      <c r="X38" s="190" t="n"/>
      <c r="Y38" s="716" t="n"/>
      <c r="Z38" s="203" t="n"/>
      <c r="AA38" s="716" t="n"/>
      <c r="AB38" s="1537" t="inlineStr">
        <is>
          <t>查看此表的标准报表格式的数据需到查询表中查看。</t>
        </is>
      </c>
      <c r="AC38" s="1538" t="n"/>
      <c r="AD38" s="1538" t="n"/>
      <c r="AE38" s="1538" t="n"/>
      <c r="AF38" s="1538" t="n"/>
      <c r="AG38" s="1535" t="n"/>
      <c r="AH38" s="716" t="n"/>
      <c r="AI38" s="716" t="n"/>
      <c r="AJ38" s="716" t="n"/>
      <c r="AK38" s="716" t="n"/>
      <c r="AL38" s="716" t="n"/>
      <c r="AM38" s="716" t="n"/>
    </row>
    <row r="39" ht="22.5" customFormat="1" customHeight="1" s="716">
      <c r="A39" s="716" t="n"/>
      <c r="B39" s="716" t="n"/>
      <c r="C39" s="716" t="n"/>
      <c r="D39" s="716" t="n"/>
      <c r="E39" s="716" t="n"/>
      <c r="F39" s="716" t="n"/>
      <c r="G39" s="716" t="n"/>
      <c r="H39" s="716" t="n"/>
      <c r="I39" s="716" t="n"/>
      <c r="J39" s="716" t="n"/>
      <c r="K39" s="716" t="n"/>
      <c r="L39" s="716" t="n"/>
      <c r="M39" s="716" t="n"/>
      <c r="N39" s="384" t="n"/>
      <c r="O39" s="384" t="n"/>
      <c r="P39" s="384" t="n"/>
      <c r="Q39" s="384" t="n"/>
      <c r="R39" s="32" t="n"/>
      <c r="S39" s="384" t="n"/>
      <c r="T39" s="384" t="n"/>
      <c r="U39" s="384" t="n"/>
      <c r="V39" s="37" t="n"/>
      <c r="W39" s="716" t="n"/>
      <c r="X39" s="41" t="inlineStr">
        <is>
          <t>项        目</t>
        </is>
      </c>
      <c r="Y39" s="57" t="inlineStr">
        <is>
          <t>行次</t>
        </is>
      </c>
      <c r="Z39" s="1539" t="inlineStr">
        <is>
          <t>期初未收数</t>
        </is>
      </c>
      <c r="AA39" s="1539" t="inlineStr">
        <is>
          <t>应收数</t>
        </is>
      </c>
      <c r="AB39" s="1401" t="n"/>
      <c r="AC39" s="1401" t="n"/>
      <c r="AD39" s="1402" t="n"/>
      <c r="AE39" s="1539" t="n"/>
      <c r="AF39" s="1539" t="inlineStr">
        <is>
          <t>已收数</t>
        </is>
      </c>
      <c r="AG39" s="1401" t="n"/>
      <c r="AH39" s="1401" t="n"/>
      <c r="AI39" s="1401" t="n"/>
      <c r="AJ39" s="1402" t="n"/>
      <c r="AK39" s="1540" t="inlineStr">
        <is>
          <t>期末未收数</t>
        </is>
      </c>
      <c r="AL39" s="1541" t="inlineStr">
        <is>
          <t>期末未收数(FEND)</t>
        </is>
      </c>
      <c r="AM39" s="1542" t="inlineStr">
        <is>
          <t>校验
（AL列=AM列）</t>
        </is>
      </c>
    </row>
    <row r="40" ht="16.5" customFormat="1" customHeight="1" s="716">
      <c r="A40" s="716" t="n"/>
      <c r="B40" s="716" t="n"/>
      <c r="C40" s="716" t="n"/>
      <c r="D40" s="716" t="n"/>
      <c r="E40" s="716" t="n"/>
      <c r="F40" s="716" t="n"/>
      <c r="G40" s="716" t="n"/>
      <c r="H40" s="716" t="n"/>
      <c r="I40" s="716" t="n"/>
      <c r="J40" s="716" t="n"/>
      <c r="K40" s="716" t="n"/>
      <c r="L40" s="716" t="n"/>
      <c r="M40" s="716" t="n"/>
      <c r="N40" s="384" t="n"/>
      <c r="O40" s="384" t="n"/>
      <c r="P40" s="384" t="n"/>
      <c r="Q40" s="384" t="n"/>
      <c r="R40" s="32" t="n"/>
      <c r="S40" s="384" t="n"/>
      <c r="T40" s="384" t="n"/>
      <c r="U40" s="384" t="n"/>
      <c r="V40" s="37" t="n"/>
      <c r="W40" s="716" t="n"/>
      <c r="X40" s="1276" t="n"/>
      <c r="Y40" s="1184" t="n"/>
      <c r="Z40" s="1184" t="n"/>
      <c r="AA40" s="1543" t="inlineStr">
        <is>
          <t>本月</t>
        </is>
      </c>
      <c r="AB40" s="1543" t="inlineStr">
        <is>
          <t>本年累计</t>
        </is>
      </c>
      <c r="AC40" s="1543" t="inlineStr">
        <is>
          <t>上年同期</t>
        </is>
      </c>
      <c r="AD40" s="1543" t="inlineStr">
        <is>
          <t>同比增减额</t>
        </is>
      </c>
      <c r="AE40" s="1543" t="inlineStr">
        <is>
          <t>本月</t>
        </is>
      </c>
      <c r="AF40" s="1544" t="inlineStr">
        <is>
          <t>本月（取数-隐藏）</t>
        </is>
      </c>
      <c r="AG40" s="1544" t="inlineStr">
        <is>
          <t>本年累计（取数-隐藏）</t>
        </is>
      </c>
      <c r="AH40" s="1543" t="inlineStr">
        <is>
          <t>本年累计</t>
        </is>
      </c>
      <c r="AI40" s="1543" t="inlineStr">
        <is>
          <t>上年同期</t>
        </is>
      </c>
      <c r="AJ40" s="1543" t="inlineStr">
        <is>
          <t>同比增减额</t>
        </is>
      </c>
      <c r="AK40" s="1277" t="n"/>
      <c r="AL40" s="1271" t="n"/>
      <c r="AM40" s="1184" t="n"/>
    </row>
    <row r="41" hidden="1" customFormat="1" s="716">
      <c r="A41" s="716" t="n"/>
      <c r="B41" s="716" t="n"/>
      <c r="C41" s="716" t="n"/>
      <c r="D41" s="716" t="n"/>
      <c r="E41" s="716" t="n"/>
      <c r="F41" s="716" t="n"/>
      <c r="G41" s="716" t="n"/>
      <c r="H41" s="716" t="n"/>
      <c r="I41" s="716" t="n"/>
      <c r="J41" s="716" t="n"/>
      <c r="K41" s="716" t="n"/>
      <c r="L41" s="716" t="n"/>
      <c r="M41" s="716" t="n"/>
      <c r="N41" s="384" t="n"/>
      <c r="O41" s="384" t="n"/>
      <c r="P41" s="384" t="n"/>
      <c r="Q41" s="384" t="n"/>
      <c r="R41" s="32" t="n"/>
      <c r="S41" s="384" t="n"/>
      <c r="T41" s="384" t="n"/>
      <c r="U41" s="384" t="n"/>
      <c r="V41" s="37" t="n"/>
      <c r="W41" s="716" t="n"/>
      <c r="X41" s="43" t="inlineStr">
        <is>
          <t>measures</t>
        </is>
      </c>
      <c r="Y41" s="62" t="n"/>
      <c r="Z41" s="62">
        <f>IF(_epmOfflineCondition_,"YTD",EPMOlapMemberO(Z$27,"[MEASURES].[].[YTD]","YTD - Year To Date","","000"))</f>
        <v/>
      </c>
      <c r="AA41" s="62">
        <f>IF(_epmOfflineCondition_,"Periodic",EPMOlapMemberO(AA$27,"[MEASURES].[].[PERIODIC]","PERIODIC - Periodic","","000"))</f>
        <v/>
      </c>
      <c r="AB41" s="62">
        <f>IF(_epmOfflineCondition_,"YTD",EPMOlapMemberO(AB$27,"[MEASURES].[].[YTD]","YTD - Year To Date","","000"))</f>
        <v/>
      </c>
      <c r="AC41" s="62">
        <f>IF(_epmOfflineCondition_,"YTD",EPMOlapMemberO(AC$27,"[MEASURES].[].[YTD]","YTD - Year To Date","","000"))</f>
        <v/>
      </c>
      <c r="AD41" s="62" t="n"/>
      <c r="AE41" s="62" t="n"/>
      <c r="AF41" s="62">
        <f>IF(_epmOfflineCondition_,"Periodic",EPMOlapMemberO(AF$27,"[MEASURES].[].[PERIODIC]","PERIODIC - Periodic","","000"))</f>
        <v/>
      </c>
      <c r="AG41" s="62">
        <f>IF(_epmOfflineCondition_,"YTD",EPMOlapMemberO(AG$27,"[MEASURES].[].[YTD]","YTD - Year To Date","","000"))</f>
        <v/>
      </c>
      <c r="AH41" s="62" t="n"/>
      <c r="AI41" s="62">
        <f>IF(_epmOfflineCondition_,"YTD",EPMOlapMemberO(AI$27,"[MEASURES].[].[YTD]","YTD - Year To Date","","000"))</f>
        <v/>
      </c>
      <c r="AJ41" s="62" t="n"/>
      <c r="AK41" s="78">
        <f>IF(_epmOfflineCondition_,"YTD",EPMOlapMemberO(AK$27,"[MEASURES].[].[YTD]","YTD - Year To Date","","000"))</f>
        <v/>
      </c>
      <c r="AL41" s="79">
        <f>IF(_epmOfflineCondition_,"YTD",EPMOlapMemberO(AL$27,"[MEASURES].[].[YTD]","YTD - Year To Date","","000"))</f>
        <v/>
      </c>
      <c r="AM41" s="221" t="n"/>
    </row>
    <row r="42" hidden="1" ht="14.25" customFormat="1" customHeight="1" s="24">
      <c r="A42" s="24" t="n"/>
      <c r="B42" s="24" t="n"/>
      <c r="C42" s="24" t="n"/>
      <c r="D42" s="24" t="n"/>
      <c r="E42" s="24" t="n"/>
      <c r="F42" s="24" t="n"/>
      <c r="G42" s="24" t="n"/>
      <c r="H42" s="24" t="n"/>
      <c r="I42" s="24" t="n"/>
      <c r="J42" s="24" t="n"/>
      <c r="K42" s="24" t="n"/>
      <c r="L42" s="24" t="n"/>
      <c r="M42" s="24" t="n"/>
      <c r="N42" s="384" t="n"/>
      <c r="O42" s="384" t="n"/>
      <c r="P42" s="384" t="n"/>
      <c r="Q42" s="384" t="n"/>
      <c r="R42" s="32" t="n"/>
      <c r="S42" s="384" t="n"/>
      <c r="T42" s="384" t="n"/>
      <c r="U42" s="384" t="n"/>
      <c r="V42" s="37" t="n"/>
      <c r="W42" s="24" t="n"/>
      <c r="X42" s="43" t="inlineStr">
        <is>
          <t>time</t>
        </is>
      </c>
      <c r="Y42" s="63" t="n"/>
      <c r="Z42" s="63">
        <f>IF(_epmOfflineCondition_,"2025.03",EPMOlapMemberO(Z$26,"[C_TIME].[PARENTH1].[2025.03]","2025.03 - 2025.03","","000"))</f>
        <v/>
      </c>
      <c r="AA42" s="63">
        <f>IF(_epmOfflineCondition_,"2025.03",EPMOlapMemberO(AA$26,"[C_TIME].[PARENTH1].[2025.03]","2025.03 - 2025.03","","000"))</f>
        <v/>
      </c>
      <c r="AB42" s="63">
        <f>IF(_epmOfflineCondition_,"2025.03",EPMOlapMemberO(AB$26,"[C_TIME].[PARENTH1].[2025.03]","2025.03 - 2025.03","","000"))</f>
        <v/>
      </c>
      <c r="AC42" s="63">
        <f>IF(_epmOfflineCondition_,"2024.03",EPMOlapMemberO(AC$26,"[C_TIME].[PARENTH1].[2024.03]","2024.03 - 2024.03","","000"))</f>
        <v/>
      </c>
      <c r="AD42" s="63" t="n"/>
      <c r="AE42" s="63" t="n"/>
      <c r="AF42" s="63">
        <f>IF(_epmOfflineCondition_,"2025.03",EPMOlapMemberO(AF$26,"[C_TIME].[PARENTH1].[2025.03]","2025.03 - 2025.03","","000"))</f>
        <v/>
      </c>
      <c r="AG42" s="63">
        <f>IF(_epmOfflineCondition_,"2025.03",EPMOlapMemberO(AG$26,"[C_TIME].[PARENTH1].[2025.03]","2025.03 - 2025.03","","000"))</f>
        <v/>
      </c>
      <c r="AH42" s="63" t="n"/>
      <c r="AI42" s="63">
        <f>IF(_epmOfflineCondition_,"2024.03",EPMOlapMemberO(AI$26,"[C_TIME].[PARENTH1].[2024.03]","2024.03 - 2024.03","","000"))</f>
        <v/>
      </c>
      <c r="AJ42" s="63" t="n"/>
      <c r="AK42" s="81">
        <f>IF(_epmOfflineCondition_,"2025.03",EPMOlapMemberO(AK$26,"[C_TIME].[PARENTH1].[2025.03]","2025.03 - 2025.03","","000"))</f>
        <v/>
      </c>
      <c r="AL42" s="82">
        <f>IF(_epmOfflineCondition_,"2025.03",EPMOlapMemberO(AL$26,"[C_TIME].[PARENTH1].[2025.03]","2025.03 - 2025.03","","000"))</f>
        <v/>
      </c>
      <c r="AM42" s="83" t="n"/>
    </row>
    <row r="43" hidden="1" ht="14.25" customFormat="1" customHeight="1" s="716">
      <c r="A43" s="716" t="n"/>
      <c r="B43" s="716" t="n"/>
      <c r="C43" s="716" t="n"/>
      <c r="D43" s="716" t="n"/>
      <c r="E43" s="716" t="n"/>
      <c r="F43" s="716" t="n"/>
      <c r="G43" s="716" t="n"/>
      <c r="H43" s="716" t="n"/>
      <c r="I43" s="716" t="n"/>
      <c r="J43" s="716" t="n"/>
      <c r="K43" s="716" t="n"/>
      <c r="L43" s="716" t="n"/>
      <c r="M43" s="716" t="n"/>
      <c r="N43" s="384" t="n"/>
      <c r="O43" s="384" t="n"/>
      <c r="P43" s="384" t="n"/>
      <c r="Q43" s="384" t="n"/>
      <c r="R43" s="32" t="n"/>
      <c r="S43" s="384" t="n"/>
      <c r="T43" s="384" t="n"/>
      <c r="U43" s="384" t="n"/>
      <c r="V43" s="37" t="n"/>
      <c r="W43" s="716" t="n"/>
      <c r="X43" s="43" t="inlineStr">
        <is>
          <t>category</t>
        </is>
      </c>
      <c r="Y43" s="62" t="n"/>
      <c r="Z43" s="62">
        <f>IF(_epmOfflineCondition_,"C1001",EPMOlapMemberO(Z$25,"[C_CATEGORY].[PARENTH1].[C1001]","C1001 - 实际数/决算数","","000"))</f>
        <v/>
      </c>
      <c r="AA43" s="62">
        <f>IF(_epmOfflineCondition_,"C1001",EPMOlapMemberO(AA$25,"[C_CATEGORY].[PARENTH1].[C1001]","C1001 - 实际数/决算数","","000"))</f>
        <v/>
      </c>
      <c r="AB43" s="62">
        <f>IF(_epmOfflineCondition_,"C1001",EPMOlapMemberO(AB$25,"[C_CATEGORY].[PARENTH1].[C1001]","C1001 - 实际数/决算数","","000"))</f>
        <v/>
      </c>
      <c r="AC43" s="62">
        <f>IF(_epmOfflineCondition_,"C1001",EPMOlapMemberO(AC$25,"[C_CATEGORY].[PARENTH1].[C1001]","C1001 - 实际数/决算数","","000"))</f>
        <v/>
      </c>
      <c r="AD43" s="62" t="n"/>
      <c r="AE43" s="62" t="n"/>
      <c r="AF43" s="62">
        <f>IF(_epmOfflineCondition_,"C1001",EPMOlapMemberO(AF$25,"[C_CATEGORY].[PARENTH1].[C1001]","C1001 - 实际数/决算数","","000"))</f>
        <v/>
      </c>
      <c r="AG43" s="62">
        <f>IF(_epmOfflineCondition_,"C1001",EPMOlapMemberO(AG$25,"[C_CATEGORY].[PARENTH1].[C1001]","C1001 - 实际数/决算数","","000"))</f>
        <v/>
      </c>
      <c r="AH43" s="62" t="n"/>
      <c r="AI43" s="62">
        <f>IF(_epmOfflineCondition_,"C1001",EPMOlapMemberO(AI$25,"[C_CATEGORY].[PARENTH1].[C1001]","C1001 - 实际数/决算数","","000"))</f>
        <v/>
      </c>
      <c r="AJ43" s="62" t="n"/>
      <c r="AK43" s="78">
        <f>IF(_epmOfflineCondition_,"C1001",EPMOlapMemberO(AK$25,"[C_CATEGORY].[PARENTH1].[C1001]","C1001 - 实际数/决算数","","000"))</f>
        <v/>
      </c>
      <c r="AL43" s="79">
        <f>IF(_epmOfflineCondition_,"C1001",EPMOlapMemberO(AL$25,"[C_CATEGORY].[PARENTH1].[C1001]","C1001 - 实际数/决算数","","000"))</f>
        <v/>
      </c>
      <c r="AM43" s="221" t="n"/>
    </row>
    <row r="44" hidden="1" ht="13.5" customFormat="1" customHeight="1" s="716">
      <c r="A44" s="716" t="n"/>
      <c r="B44" s="716" t="n"/>
      <c r="C44" s="716" t="n"/>
      <c r="D44" s="716" t="n"/>
      <c r="E44" s="716" t="n"/>
      <c r="F44" s="716" t="n"/>
      <c r="G44" s="716" t="n"/>
      <c r="H44" s="716" t="n"/>
      <c r="I44" s="716" t="n"/>
      <c r="J44" s="716" t="n"/>
      <c r="K44" s="716" t="n"/>
      <c r="L44" s="716" t="n"/>
      <c r="M44" s="716" t="n"/>
      <c r="N44" s="384" t="n"/>
      <c r="O44" s="384" t="n"/>
      <c r="P44" s="384" t="n"/>
      <c r="Q44" s="384" t="n"/>
      <c r="R44" s="32" t="n"/>
      <c r="S44" s="384" t="n"/>
      <c r="T44" s="384" t="n"/>
      <c r="U44" s="384" t="n"/>
      <c r="V44" s="37" t="n"/>
      <c r="W44" s="716" t="n"/>
      <c r="X44" s="43" t="inlineStr">
        <is>
          <t>FLow</t>
        </is>
      </c>
      <c r="Y44" s="62" t="n"/>
      <c r="Z44" s="62">
        <f>IF(_epmOfflineCondition_,"F01",EPMOlapMemberO(Z$28,"[C_FLOW].[PARENTH1].[F01]","F01 - 期初金额调整","","000"))</f>
        <v/>
      </c>
      <c r="AA44" s="62">
        <f>IF(_epmOfflineCondition_,"F20",EPMOlapMemberO(AA$28,"[C_FLOW].[PARENTH1].[F20]","F20 - 本期增加","","000"))</f>
        <v/>
      </c>
      <c r="AB44" s="62">
        <f>IF(_epmOfflineCondition_,"F20",EPMOlapMemberO(AB$28,"[C_FLOW].[PARENTH1].[F20]","F20 - 本期增加","","000"))</f>
        <v/>
      </c>
      <c r="AC44" s="62">
        <f>IF(_epmOfflineCondition_,"F20",EPMOlapMemberO(AC$28,"[C_FLOW].[PARENTH1].[F20]","F20 - 本期增加","","000"))</f>
        <v/>
      </c>
      <c r="AD44" s="62" t="n"/>
      <c r="AE44" s="62" t="n"/>
      <c r="AF44" s="62">
        <f>IF(_epmOfflineCondition_,"F30",EPMOlapMemberO(AF$28,"[C_FLOW].[PARENTH1].[F30]","F30 - 本期减少","","000"))</f>
        <v/>
      </c>
      <c r="AG44" s="62">
        <f>IF(_epmOfflineCondition_,"F30",EPMOlapMemberO(AG$28,"[C_FLOW].[PARENTH1].[F30]","F30 - 本期减少","","000"))</f>
        <v/>
      </c>
      <c r="AH44" s="62" t="n"/>
      <c r="AI44" s="62">
        <f>IF(_epmOfflineCondition_,"F30",EPMOlapMemberO(AI$28,"[C_FLOW].[PARENTH1].[F30]","F30 - 本期减少","","000"))</f>
        <v/>
      </c>
      <c r="AJ44" s="62" t="n"/>
      <c r="AK44" s="78">
        <f>IF(_epmOfflineCondition_,"FEND",EPMOlapMemberO(AK$28,"[C_FLOW].[PARENTH1].[FEND]","FEND - 期末金额","","000"))</f>
        <v/>
      </c>
      <c r="AL44" s="79">
        <f>IF(_epmOfflineCondition_,"FEND",EPMOlapMemberO(AL$28,"[C_FLOW].[PARENTH1].[FEND]","FEND - 期末金额","","000"))</f>
        <v/>
      </c>
      <c r="AM44" s="221" t="n"/>
    </row>
    <row r="45" hidden="1" ht="13.5" customFormat="1" customHeight="1" s="716">
      <c r="A45" s="716" t="n"/>
      <c r="B45" s="716" t="n"/>
      <c r="C45" s="716" t="n"/>
      <c r="D45" s="716" t="n"/>
      <c r="E45" s="716" t="n"/>
      <c r="F45" s="716" t="n"/>
      <c r="G45" s="716" t="n"/>
      <c r="H45" s="716" t="n"/>
      <c r="I45" s="716" t="n"/>
      <c r="J45" s="716" t="n"/>
      <c r="K45" s="716" t="n"/>
      <c r="L45" s="716" t="n"/>
      <c r="M45" s="716" t="n"/>
      <c r="N45" s="716" t="n"/>
      <c r="O45" s="716" t="n"/>
      <c r="P45" s="716" t="n"/>
      <c r="Q45" s="716" t="n"/>
      <c r="R45" s="716" t="n"/>
      <c r="S45" s="462" t="n"/>
      <c r="T45" s="716" t="n"/>
      <c r="U45" s="716" t="n"/>
      <c r="V45" s="216" t="n"/>
      <c r="W45" s="716" t="n"/>
      <c r="X45" s="43" t="inlineStr">
        <is>
          <t>misk</t>
        </is>
      </c>
      <c r="Y45" s="62" t="n"/>
      <c r="Z45" s="62">
        <f>IF(_epmOfflineCondition_,"ZM_DUMMY",EPMOlapMemberO(Z$29,"[C_MISK].[PARENTH1].[ZM_DUMMY]","ZM_DUMMY - 综合无关","","000"))</f>
        <v/>
      </c>
      <c r="AA45" s="62">
        <f>IF(_epmOfflineCondition_,"ZM_DUMMY",EPMOlapMemberO(AA$29,"[C_MISK].[PARENTH1].[ZM_DUMMY]","ZM_DUMMY - 综合无关","","000"))</f>
        <v/>
      </c>
      <c r="AB45" s="62">
        <f>IF(_epmOfflineCondition_,"ZM_DUMMY",EPMOlapMemberO(AB$29,"[C_MISK].[PARENTH1].[ZM_DUMMY]","ZM_DUMMY - 综合无关","","000"))</f>
        <v/>
      </c>
      <c r="AC45" s="62">
        <f>IF(_epmOfflineCondition_,"ZM_DUMMY",EPMOlapMemberO(AC$29,"[C_MISK].[PARENTH1].[ZM_DUMMY]","ZM_DUMMY - 综合无关","","000"))</f>
        <v/>
      </c>
      <c r="AD45" s="62" t="n"/>
      <c r="AE45" s="62" t="n"/>
      <c r="AF45" s="62">
        <f>IF(_epmOfflineCondition_,"ZM_DUMMY",EPMOlapMemberO(AF$29,"[C_MISK].[PARENTH1].[ZM_DUMMY]","ZM_DUMMY - 综合无关","","000"))</f>
        <v/>
      </c>
      <c r="AG45" s="62">
        <f>IF(_epmOfflineCondition_,"ZM_DUMMY",EPMOlapMemberO(AG$29,"[C_MISK].[PARENTH1].[ZM_DUMMY]","ZM_DUMMY - 综合无关","","000"))</f>
        <v/>
      </c>
      <c r="AH45" s="62" t="n"/>
      <c r="AI45" s="62">
        <f>IF(_epmOfflineCondition_,"ZM_DUMMY",EPMOlapMemberO(AI$29,"[C_MISK].[PARENTH1].[ZM_DUMMY]","ZM_DUMMY - 综合无关","","000"))</f>
        <v/>
      </c>
      <c r="AJ45" s="62" t="n"/>
      <c r="AK45" s="78">
        <f>IF(_epmOfflineCondition_,"ZM_DUMMY",EPMOlapMemberO(AK$29,"[C_MISK].[PARENTH1].[ZM_DUMMY]","ZM_DUMMY - 综合无关","","000"))</f>
        <v/>
      </c>
      <c r="AL45" s="79">
        <f>IF(_epmOfflineCondition_,"ZM_DUMMY",EPMOlapMemberO(AL$29,"[C_MISK].[PARENTH1].[ZM_DUMMY]","ZM_DUMMY - 综合无关","","000"))</f>
        <v/>
      </c>
      <c r="AM45" s="221" t="n"/>
    </row>
    <row r="46" ht="13.5" customFormat="1" customHeight="1" s="716">
      <c r="A46" s="716" t="n"/>
      <c r="B46" s="716" t="n"/>
      <c r="C46" s="716" t="n"/>
      <c r="D46" s="716" t="n"/>
      <c r="E46" s="716" t="n"/>
      <c r="F46" s="716" t="n"/>
      <c r="G46" s="716" t="n"/>
      <c r="H46" s="716" t="n"/>
      <c r="I46" s="716" t="n"/>
      <c r="J46" s="716" t="n"/>
      <c r="K46" s="716" t="n"/>
      <c r="L46" s="716" t="n"/>
      <c r="M46" s="716" t="n"/>
      <c r="N46" s="716" t="n"/>
      <c r="O46" s="716" t="n"/>
      <c r="P46" s="716" t="n"/>
      <c r="Q46" s="716" t="n"/>
      <c r="R46" s="716" t="n"/>
      <c r="S46" s="462">
        <f>IF(_epmOfflineCondition_,"发电企业应收账款及政府补贴情况表-合计",EPMMemberDesc(U46))</f>
        <v/>
      </c>
      <c r="T46" s="716" t="n"/>
      <c r="U46" s="1545" t="inlineStr">
        <is>
          <t>A095</t>
        </is>
      </c>
      <c r="V46" s="45">
        <f>IF(_epmOfflineCondition_,"A095",EPMOlapMemberO(U46,"[C_ACCOUNT].[PARENTH1].[A095]","A095 - 发电企业应收账款及政府补贴情况表-合计","","000"))</f>
        <v/>
      </c>
      <c r="W46" s="716" t="n"/>
      <c r="X46" s="1546" t="inlineStr">
        <is>
          <t>合计</t>
        </is>
      </c>
      <c r="Y46" s="1403" t="inlineStr"/>
      <c r="Z46" s="1547">
        <f>Z47+Z51+Z56+Z57</f>
        <v/>
      </c>
      <c r="AA46" s="1547">
        <f>AA47+AA51+AA56+AA57</f>
        <v/>
      </c>
      <c r="AB46" s="1547">
        <f>AB47+AB51+AB56+AB57</f>
        <v/>
      </c>
      <c r="AC46" s="1547">
        <f>AC47+AC51+AC56+AC57</f>
        <v/>
      </c>
      <c r="AD46" s="1547">
        <f>AD47+AD51+AD56+AD57</f>
        <v/>
      </c>
      <c r="AE46" s="1547">
        <f>AF46*-1</f>
        <v/>
      </c>
      <c r="AF46" s="1547">
        <f>AF47+AF51+AF56+AF57</f>
        <v/>
      </c>
      <c r="AG46" s="1547">
        <f>AG47+AG51+AG56+AG57</f>
        <v/>
      </c>
      <c r="AH46" s="1547">
        <f>AH47+AH51+AH56+AH57</f>
        <v/>
      </c>
      <c r="AI46" s="1547">
        <f>AI47+AI51+AI56+AI57</f>
        <v/>
      </c>
      <c r="AJ46" s="1547">
        <f>AJ47+AJ51+AJ56+AJ57</f>
        <v/>
      </c>
      <c r="AK46" s="1548">
        <f>AK47+AK51+AK56+AK57</f>
        <v/>
      </c>
      <c r="AL46" s="1549">
        <f>AL47+AL51+AL56+AL57</f>
        <v/>
      </c>
      <c r="AM46" s="1550">
        <f>AL46-AK46</f>
        <v/>
      </c>
    </row>
    <row r="47" ht="16.5" customFormat="1" customHeight="1" s="716">
      <c r="A47" s="716" t="n"/>
      <c r="B47" s="716" t="n"/>
      <c r="C47" s="716" t="n"/>
      <c r="D47" s="716" t="n"/>
      <c r="E47" s="716" t="n"/>
      <c r="F47" s="716" t="n"/>
      <c r="G47" s="716" t="n"/>
      <c r="H47" s="716" t="n"/>
      <c r="I47" s="716" t="n"/>
      <c r="J47" s="716" t="n"/>
      <c r="K47" s="716" t="n"/>
      <c r="L47" s="716" t="n"/>
      <c r="M47" s="716" t="n"/>
      <c r="N47" s="716" t="n"/>
      <c r="O47" s="716" t="n"/>
      <c r="P47" s="716" t="n"/>
      <c r="Q47" s="716" t="n"/>
      <c r="R47" s="716" t="n"/>
      <c r="S47" s="462">
        <f>IF(_epmOfflineCondition_,"一、应收账款合计",EPMMemberDesc(U47))</f>
        <v/>
      </c>
      <c r="T47" s="716" t="n"/>
      <c r="U47" s="1545" t="inlineStr">
        <is>
          <t>A09501</t>
        </is>
      </c>
      <c r="V47" s="47">
        <f>IF(_epmOfflineCondition_,"A09501",EPMOlapMemberO(U47,"[C_ACCOUNT].[PARENTH1].[A09501]","A09501 - 一、应收账款合计","","000"))</f>
        <v/>
      </c>
      <c r="W47" s="462" t="n"/>
      <c r="X47" s="1546" t="inlineStr">
        <is>
          <t>一、应收账款合计</t>
        </is>
      </c>
      <c r="Y47" s="1403" t="inlineStr"/>
      <c r="Z47" s="1547">
        <f>SUM(Z48:Z50)</f>
        <v/>
      </c>
      <c r="AA47" s="1547">
        <f>SUM(AA48:AA50)</f>
        <v/>
      </c>
      <c r="AB47" s="1547">
        <f>SUM(AB48:AB50)</f>
        <v/>
      </c>
      <c r="AC47" s="1547">
        <f>SUM(AC48:AC50)</f>
        <v/>
      </c>
      <c r="AD47" s="1547">
        <f>SUM(AD48:AD50)</f>
        <v/>
      </c>
      <c r="AE47" s="1547">
        <f>AF47*-1</f>
        <v/>
      </c>
      <c r="AF47" s="1547">
        <f>SUM(AF48:AF50)</f>
        <v/>
      </c>
      <c r="AG47" s="1547">
        <f>SUM(AG48:AG50)</f>
        <v/>
      </c>
      <c r="AH47" s="1547">
        <f>SUM(AH48:AH50)</f>
        <v/>
      </c>
      <c r="AI47" s="1547">
        <f>SUM(AI48:AI50)</f>
        <v/>
      </c>
      <c r="AJ47" s="1547">
        <f>SUM(AJ48:AJ50)</f>
        <v/>
      </c>
      <c r="AK47" s="1548">
        <f>SUM(AK48:AK50)</f>
        <v/>
      </c>
      <c r="AL47" s="1549">
        <f>SUM(AL48:AL50)</f>
        <v/>
      </c>
      <c r="AM47" s="1550">
        <f>AL47-AK47</f>
        <v/>
      </c>
    </row>
    <row r="48" ht="16.5" customFormat="1" customHeight="1" s="716">
      <c r="A48" s="716" t="n"/>
      <c r="B48" s="716" t="n"/>
      <c r="C48" s="716" t="n"/>
      <c r="D48" s="716" t="n"/>
      <c r="E48" s="716" t="n"/>
      <c r="F48" s="716" t="n"/>
      <c r="G48" s="716" t="n"/>
      <c r="H48" s="716" t="n"/>
      <c r="I48" s="716" t="n"/>
      <c r="J48" s="716" t="n"/>
      <c r="K48" s="716" t="n"/>
      <c r="L48" s="716" t="n"/>
      <c r="M48" s="716" t="n"/>
      <c r="N48" s="716" t="n"/>
      <c r="O48" s="716" t="n"/>
      <c r="P48" s="716" t="n"/>
      <c r="Q48" s="716" t="n"/>
      <c r="R48" s="716" t="n"/>
      <c r="S48" s="462">
        <f>IF(_epmOfflineCondition_,"1、电力销售收入",EPMMemberDesc(U48))</f>
        <v/>
      </c>
      <c r="T48" s="716" t="n"/>
      <c r="U48" s="1545" t="inlineStr">
        <is>
          <t>A0950101</t>
        </is>
      </c>
      <c r="V48" s="48">
        <f>IF(_epmOfflineCondition_,"A0950101",EPMOlapMemberO(U48,"[C_ACCOUNT].[PARENTH1].[A0950101]","A0950101 - 1、电力销售收入","","000"))</f>
        <v/>
      </c>
      <c r="W48" s="462" t="n"/>
      <c r="X48" s="1551" t="inlineStr">
        <is>
          <t>1、电力销售收入</t>
        </is>
      </c>
      <c r="Y48" s="1403" t="inlineStr"/>
      <c r="Z48" s="1547" t="inlineStr"/>
      <c r="AA48" s="1547" t="inlineStr"/>
      <c r="AB48" s="1547" t="inlineStr"/>
      <c r="AC48" s="1547" t="inlineStr"/>
      <c r="AD48" s="1547">
        <f>AB48-AC48</f>
        <v/>
      </c>
      <c r="AE48" s="1547">
        <f>AF48*-1</f>
        <v/>
      </c>
      <c r="AF48" s="1547" t="inlineStr"/>
      <c r="AG48" s="1547" t="inlineStr"/>
      <c r="AH48" s="1547">
        <f>-AG48</f>
        <v/>
      </c>
      <c r="AI48" s="1547" t="inlineStr"/>
      <c r="AJ48" s="1547">
        <f>AH48-AI48</f>
        <v/>
      </c>
      <c r="AK48" s="1548">
        <f>Z48+AB48-AH48</f>
        <v/>
      </c>
      <c r="AL48" s="1549" t="inlineStr"/>
      <c r="AM48" s="1550">
        <f>AL48-AK48</f>
        <v/>
      </c>
    </row>
    <row r="49" ht="16.5" customFormat="1" customHeight="1" s="716">
      <c r="A49" s="716" t="n"/>
      <c r="B49" s="716" t="n"/>
      <c r="C49" s="716" t="n"/>
      <c r="D49" s="716" t="n"/>
      <c r="E49" s="716" t="n"/>
      <c r="F49" s="716" t="n"/>
      <c r="G49" s="716" t="n"/>
      <c r="H49" s="716" t="n"/>
      <c r="I49" s="716" t="n"/>
      <c r="J49" s="716" t="n"/>
      <c r="K49" s="716" t="n"/>
      <c r="L49" s="716" t="n"/>
      <c r="M49" s="716" t="n"/>
      <c r="N49" s="716" t="n"/>
      <c r="O49" s="716" t="n"/>
      <c r="P49" s="716" t="n"/>
      <c r="Q49" s="716" t="n"/>
      <c r="R49" s="716" t="n"/>
      <c r="S49" s="462">
        <f>IF(_epmOfflineCondition_,"2、热力销售收入",EPMMemberDesc(U49))</f>
        <v/>
      </c>
      <c r="T49" s="716" t="n"/>
      <c r="U49" s="1545" t="inlineStr">
        <is>
          <t>A0950102</t>
        </is>
      </c>
      <c r="V49" s="48">
        <f>IF(_epmOfflineCondition_,"A0950102",EPMOlapMemberO(U49,"[C_ACCOUNT].[PARENTH1].[A0950102]","A0950102 - 2、热力销售收入","","000"))</f>
        <v/>
      </c>
      <c r="W49" s="462" t="n"/>
      <c r="X49" s="1551" t="inlineStr">
        <is>
          <t>2、热力销售收入</t>
        </is>
      </c>
      <c r="Y49" s="1403" t="inlineStr"/>
      <c r="Z49" s="1547" t="n"/>
      <c r="AA49" s="1547" t="n"/>
      <c r="AB49" s="1547" t="n"/>
      <c r="AC49" s="1547" t="n"/>
      <c r="AD49" s="1547">
        <f>AB49-AC49</f>
        <v/>
      </c>
      <c r="AE49" s="1547">
        <f>AF49*-1</f>
        <v/>
      </c>
      <c r="AF49" s="1547" t="n"/>
      <c r="AG49" s="1547" t="n"/>
      <c r="AH49" s="1547">
        <f>-AG49</f>
        <v/>
      </c>
      <c r="AI49" s="1547" t="n"/>
      <c r="AJ49" s="1547">
        <f>AH49-AI49</f>
        <v/>
      </c>
      <c r="AK49" s="1548">
        <f>Z49+AB49-AH49</f>
        <v/>
      </c>
      <c r="AL49" s="1549" t="n"/>
      <c r="AM49" s="1550">
        <f>AL49-AK49</f>
        <v/>
      </c>
    </row>
    <row r="50" ht="16.5" customFormat="1" customHeight="1" s="716">
      <c r="A50" s="716" t="n"/>
      <c r="B50" s="716" t="n"/>
      <c r="C50" s="716" t="n"/>
      <c r="D50" s="716" t="n"/>
      <c r="E50" s="716" t="n"/>
      <c r="F50" s="716" t="n"/>
      <c r="G50" s="716" t="n"/>
      <c r="H50" s="716" t="n"/>
      <c r="I50" s="716" t="n"/>
      <c r="J50" s="716" t="n"/>
      <c r="K50" s="716" t="n"/>
      <c r="L50" s="716" t="n"/>
      <c r="M50" s="716" t="n"/>
      <c r="N50" s="716" t="n"/>
      <c r="O50" s="716" t="n"/>
      <c r="P50" s="716" t="n"/>
      <c r="Q50" s="716" t="n"/>
      <c r="R50" s="716" t="n"/>
      <c r="S50" s="462">
        <f>IF(_epmOfflineCondition_,"3、其他收入",EPMMemberDesc(U50))</f>
        <v/>
      </c>
      <c r="T50" s="716" t="n"/>
      <c r="U50" s="1545" t="inlineStr">
        <is>
          <t>A0950103</t>
        </is>
      </c>
      <c r="V50" s="48">
        <f>IF(_epmOfflineCondition_,"A0950103",EPMOlapMemberO(U50,"[C_ACCOUNT].[PARENTH1].[A0950103]","A0950103 - 3、其他收入","","000"))</f>
        <v/>
      </c>
      <c r="W50" s="462" t="n"/>
      <c r="X50" s="1551" t="inlineStr">
        <is>
          <t>3、其他收入</t>
        </is>
      </c>
      <c r="Y50" s="1403" t="inlineStr"/>
      <c r="Z50" s="1547" t="n"/>
      <c r="AA50" s="1547" t="n"/>
      <c r="AB50" s="1547" t="n"/>
      <c r="AC50" s="1547" t="n"/>
      <c r="AD50" s="1547">
        <f>AB50-AC50</f>
        <v/>
      </c>
      <c r="AE50" s="1547">
        <f>AF50*-1</f>
        <v/>
      </c>
      <c r="AF50" s="1547" t="n"/>
      <c r="AG50" s="1547" t="n"/>
      <c r="AH50" s="1547">
        <f>-AG50</f>
        <v/>
      </c>
      <c r="AI50" s="1547" t="n"/>
      <c r="AJ50" s="1547">
        <f>AH50-AI50</f>
        <v/>
      </c>
      <c r="AK50" s="1548">
        <f>Z50+AB50-AH50</f>
        <v/>
      </c>
      <c r="AL50" s="1549" t="n"/>
      <c r="AM50" s="1550">
        <f>AL50-AK50</f>
        <v/>
      </c>
    </row>
    <row r="51" ht="16.5" customFormat="1" customHeight="1" s="716">
      <c r="A51" s="716" t="n"/>
      <c r="B51" s="716" t="n"/>
      <c r="C51" s="716" t="n"/>
      <c r="D51" s="716" t="n"/>
      <c r="E51" s="716" t="n"/>
      <c r="F51" s="716" t="n"/>
      <c r="G51" s="716" t="n"/>
      <c r="H51" s="716" t="n"/>
      <c r="I51" s="716" t="n"/>
      <c r="J51" s="716" t="n"/>
      <c r="K51" s="716" t="n"/>
      <c r="L51" s="716" t="n"/>
      <c r="M51" s="716" t="n"/>
      <c r="N51" s="716" t="n"/>
      <c r="O51" s="716" t="n"/>
      <c r="P51" s="716" t="n"/>
      <c r="Q51" s="716" t="n"/>
      <c r="R51" s="716" t="n"/>
      <c r="S51" s="462">
        <f>IF(_epmOfflineCondition_,"二、政府补贴合计",EPMMemberDesc(U51))</f>
        <v/>
      </c>
      <c r="T51" s="716" t="n"/>
      <c r="U51" s="1545" t="inlineStr">
        <is>
          <t>A09502</t>
        </is>
      </c>
      <c r="V51" s="47">
        <f>IF(_epmOfflineCondition_,"A09502",EPMOlapMemberO(U51,"[C_ACCOUNT].[PARENTH1].[A09502]","A09502 - 二、政府补贴合计","","000"))</f>
        <v/>
      </c>
      <c r="W51" s="462" t="n"/>
      <c r="X51" s="1546" t="inlineStr">
        <is>
          <t>二、政府补贴合计</t>
        </is>
      </c>
      <c r="Y51" s="1403" t="inlineStr"/>
      <c r="Z51" s="1547">
        <f>SUM(Z52:Z55)</f>
        <v/>
      </c>
      <c r="AA51" s="1547">
        <f>SUM(AA52:AA55)</f>
        <v/>
      </c>
      <c r="AB51" s="1547">
        <f>SUM(AB52:AB55)</f>
        <v/>
      </c>
      <c r="AC51" s="1547">
        <f>SUM(AC52:AC55)</f>
        <v/>
      </c>
      <c r="AD51" s="1547">
        <f>AB51-AC51</f>
        <v/>
      </c>
      <c r="AE51" s="1547">
        <f>AF51*-1</f>
        <v/>
      </c>
      <c r="AF51" s="1547">
        <f>SUM(AF52:AF55)</f>
        <v/>
      </c>
      <c r="AG51" s="1547">
        <f>SUM(AG52:AG55)</f>
        <v/>
      </c>
      <c r="AH51" s="1547">
        <f>SUM(AH52:AH55)</f>
        <v/>
      </c>
      <c r="AI51" s="1547">
        <f>SUM(AI52:AI55)</f>
        <v/>
      </c>
      <c r="AJ51" s="1547">
        <f>AH51-AI51</f>
        <v/>
      </c>
      <c r="AK51" s="1548">
        <f>SUM(AK52:AK55)</f>
        <v/>
      </c>
      <c r="AL51" s="1549">
        <f>SUM(AL52:AL55)</f>
        <v/>
      </c>
      <c r="AM51" s="1550">
        <f>AL51-AK51</f>
        <v/>
      </c>
    </row>
    <row r="52" ht="16.5" customFormat="1" customHeight="1" s="716">
      <c r="A52" s="716" t="n"/>
      <c r="B52" s="716" t="n"/>
      <c r="C52" s="716" t="n"/>
      <c r="D52" s="716" t="n"/>
      <c r="E52" s="716" t="n"/>
      <c r="F52" s="716" t="n"/>
      <c r="G52" s="716" t="n"/>
      <c r="H52" s="716" t="n"/>
      <c r="I52" s="716" t="n"/>
      <c r="J52" s="716" t="n"/>
      <c r="K52" s="716" t="n"/>
      <c r="L52" s="716" t="n"/>
      <c r="M52" s="716" t="n"/>
      <c r="N52" s="716" t="n"/>
      <c r="O52" s="716" t="n"/>
      <c r="P52" s="716" t="n"/>
      <c r="Q52" s="716" t="n"/>
      <c r="R52" s="716" t="n"/>
      <c r="S52" s="462">
        <f>IF(_epmOfflineCondition_,"1、电价补贴",EPMMemberDesc(U52))</f>
        <v/>
      </c>
      <c r="T52" s="716" t="n"/>
      <c r="U52" s="1545" t="inlineStr">
        <is>
          <t>A0950201</t>
        </is>
      </c>
      <c r="V52" s="48">
        <f>IF(_epmOfflineCondition_,"A0950201",EPMOlapMemberO(U52,"[C_ACCOUNT].[PARENTH1].[A0950201]","A0950201 - 1、电价补贴","","000"))</f>
        <v/>
      </c>
      <c r="W52" s="462" t="n"/>
      <c r="X52" s="1551" t="inlineStr">
        <is>
          <t>1、电价补贴</t>
        </is>
      </c>
      <c r="Y52" s="1403" t="inlineStr"/>
      <c r="Z52" s="1547" t="n"/>
      <c r="AA52" s="1547" t="n"/>
      <c r="AB52" s="1547" t="n"/>
      <c r="AC52" s="1547" t="n"/>
      <c r="AD52" s="1547">
        <f>AB52-AC52</f>
        <v/>
      </c>
      <c r="AE52" s="1547">
        <f>AF52*-1</f>
        <v/>
      </c>
      <c r="AF52" s="1547" t="n"/>
      <c r="AG52" s="1547" t="n"/>
      <c r="AH52" s="1547">
        <f>-AG52</f>
        <v/>
      </c>
      <c r="AI52" s="1547" t="n"/>
      <c r="AJ52" s="1547">
        <f>AH52-AI52</f>
        <v/>
      </c>
      <c r="AK52" s="1548">
        <f>Z52+AB52-AH52</f>
        <v/>
      </c>
      <c r="AL52" s="1549" t="n"/>
      <c r="AM52" s="1550">
        <f>AL52-AK52</f>
        <v/>
      </c>
    </row>
    <row r="53" ht="16.5" customFormat="1" customHeight="1" s="716">
      <c r="A53" s="716" t="n"/>
      <c r="B53" s="716" t="n"/>
      <c r="C53" s="716" t="n"/>
      <c r="D53" s="716" t="n"/>
      <c r="E53" s="716" t="n"/>
      <c r="F53" s="716" t="n"/>
      <c r="G53" s="716" t="n"/>
      <c r="H53" s="716" t="n"/>
      <c r="I53" s="716" t="n"/>
      <c r="J53" s="716" t="n"/>
      <c r="K53" s="716" t="n"/>
      <c r="L53" s="716" t="n"/>
      <c r="M53" s="716" t="n"/>
      <c r="N53" s="716" t="n"/>
      <c r="O53" s="716" t="n"/>
      <c r="P53" s="716" t="n"/>
      <c r="Q53" s="716" t="n"/>
      <c r="R53" s="716" t="n"/>
      <c r="S53" s="462">
        <f>IF(_epmOfflineCondition_,"2、气价补贴",EPMMemberDesc(U53))</f>
        <v/>
      </c>
      <c r="T53" s="716" t="n"/>
      <c r="U53" s="1545" t="inlineStr">
        <is>
          <t>A0950202</t>
        </is>
      </c>
      <c r="V53" s="48">
        <f>IF(_epmOfflineCondition_,"A0950202",EPMOlapMemberO(U53,"[C_ACCOUNT].[PARENTH1].[A0950202]","A0950202 - 2、气价补贴","","000"))</f>
        <v/>
      </c>
      <c r="W53" s="462" t="n"/>
      <c r="X53" s="1551" t="inlineStr">
        <is>
          <t>2、气价补贴</t>
        </is>
      </c>
      <c r="Y53" s="1403" t="inlineStr"/>
      <c r="Z53" s="1547" t="n"/>
      <c r="AA53" s="1547" t="n"/>
      <c r="AB53" s="1547" t="n"/>
      <c r="AC53" s="1547" t="n"/>
      <c r="AD53" s="1547">
        <f>AB53-AC53</f>
        <v/>
      </c>
      <c r="AE53" s="1547">
        <f>AF53*-1</f>
        <v/>
      </c>
      <c r="AF53" s="1547" t="n"/>
      <c r="AG53" s="1547" t="n"/>
      <c r="AH53" s="1547">
        <f>-AG53</f>
        <v/>
      </c>
      <c r="AI53" s="1547" t="n"/>
      <c r="AJ53" s="1547">
        <f>AH53-AI53</f>
        <v/>
      </c>
      <c r="AK53" s="1548">
        <f>Z53+AB53-AH53</f>
        <v/>
      </c>
      <c r="AL53" s="1549" t="n"/>
      <c r="AM53" s="1550">
        <f>AL53-AK53</f>
        <v/>
      </c>
    </row>
    <row r="54" ht="16.5" customFormat="1" customHeight="1" s="716">
      <c r="A54" s="716" t="n"/>
      <c r="B54" s="716" t="n"/>
      <c r="C54" s="716" t="n"/>
      <c r="D54" s="716" t="n"/>
      <c r="E54" s="716" t="n"/>
      <c r="F54" s="716" t="n"/>
      <c r="G54" s="716" t="n"/>
      <c r="H54" s="716" t="n"/>
      <c r="I54" s="716" t="n"/>
      <c r="J54" s="716" t="n"/>
      <c r="K54" s="716" t="n"/>
      <c r="L54" s="716" t="n"/>
      <c r="M54" s="716" t="n"/>
      <c r="N54" s="716" t="n"/>
      <c r="O54" s="716" t="n"/>
      <c r="P54" s="716" t="n"/>
      <c r="Q54" s="716" t="n"/>
      <c r="R54" s="716" t="n"/>
      <c r="S54" s="462">
        <f>IF(_epmOfflineCondition_,"3、热价补贴",EPMMemberDesc(U54))</f>
        <v/>
      </c>
      <c r="T54" s="716" t="n"/>
      <c r="U54" s="1545" t="inlineStr">
        <is>
          <t>A0950203</t>
        </is>
      </c>
      <c r="V54" s="48">
        <f>IF(_epmOfflineCondition_,"A0950203",EPMOlapMemberO(U54,"[C_ACCOUNT].[PARENTH1].[A0950203]","A0950203 - 3、热价补贴","","000"))</f>
        <v/>
      </c>
      <c r="W54" s="462" t="n"/>
      <c r="X54" s="1551" t="inlineStr">
        <is>
          <t>3、热价补贴</t>
        </is>
      </c>
      <c r="Y54" s="1403" t="inlineStr"/>
      <c r="Z54" s="1547" t="n"/>
      <c r="AA54" s="1547" t="n"/>
      <c r="AB54" s="1547" t="n"/>
      <c r="AC54" s="1547" t="n"/>
      <c r="AD54" s="1547">
        <f>AB54-AC54</f>
        <v/>
      </c>
      <c r="AE54" s="1547">
        <f>AF54*-1</f>
        <v/>
      </c>
      <c r="AF54" s="1547" t="n"/>
      <c r="AG54" s="1547" t="n"/>
      <c r="AH54" s="1547">
        <f>-AG54</f>
        <v/>
      </c>
      <c r="AI54" s="1547" t="n"/>
      <c r="AJ54" s="1547">
        <f>AH54-AI54</f>
        <v/>
      </c>
      <c r="AK54" s="1548">
        <f>Z54+AB54-AH54</f>
        <v/>
      </c>
      <c r="AL54" s="1549" t="n"/>
      <c r="AM54" s="1550">
        <f>AL54-AK54</f>
        <v/>
      </c>
    </row>
    <row r="55" ht="16.5" customFormat="1" customHeight="1" s="716">
      <c r="A55" s="716" t="n"/>
      <c r="B55" s="716" t="n"/>
      <c r="C55" s="716" t="n"/>
      <c r="D55" s="716" t="n"/>
      <c r="E55" s="716" t="n"/>
      <c r="F55" s="716" t="n"/>
      <c r="G55" s="716" t="n"/>
      <c r="H55" s="716" t="n"/>
      <c r="I55" s="716" t="n"/>
      <c r="J55" s="716" t="n"/>
      <c r="K55" s="716" t="n"/>
      <c r="L55" s="716" t="n"/>
      <c r="M55" s="716" t="n"/>
      <c r="N55" s="716" t="n"/>
      <c r="O55" s="716" t="n"/>
      <c r="P55" s="716" t="n"/>
      <c r="Q55" s="716" t="n"/>
      <c r="R55" s="716" t="n"/>
      <c r="S55" s="462">
        <f>IF(_epmOfflineCondition_,"4、其他政府补贴",EPMMemberDesc(U55))</f>
        <v/>
      </c>
      <c r="T55" s="716" t="n"/>
      <c r="U55" s="1545" t="inlineStr">
        <is>
          <t>A0950204</t>
        </is>
      </c>
      <c r="V55" s="48">
        <f>IF(_epmOfflineCondition_,"A0950204",EPMOlapMemberO(U55,"[C_ACCOUNT].[PARENTH1].[A0950204]","A0950204 - 4、其他政府补贴","","000"))</f>
        <v/>
      </c>
      <c r="W55" s="462" t="n"/>
      <c r="X55" s="1551" t="inlineStr">
        <is>
          <t>4、其他政府补贴</t>
        </is>
      </c>
      <c r="Y55" s="1403" t="inlineStr"/>
      <c r="Z55" s="1547" t="n"/>
      <c r="AA55" s="1547" t="n"/>
      <c r="AB55" s="1547" t="n"/>
      <c r="AC55" s="1547" t="n"/>
      <c r="AD55" s="1547">
        <f>AB55-AC55</f>
        <v/>
      </c>
      <c r="AE55" s="1547">
        <f>AF55*-1</f>
        <v/>
      </c>
      <c r="AF55" s="1547" t="n"/>
      <c r="AG55" s="1547" t="n"/>
      <c r="AH55" s="1547">
        <f>-AG55</f>
        <v/>
      </c>
      <c r="AI55" s="1547" t="n"/>
      <c r="AJ55" s="1547">
        <f>AH55-AI55</f>
        <v/>
      </c>
      <c r="AK55" s="1548">
        <f>Z55+AB55-AH55</f>
        <v/>
      </c>
      <c r="AL55" s="1549" t="n"/>
      <c r="AM55" s="1550">
        <f>AL55-AK55</f>
        <v/>
      </c>
    </row>
    <row r="56" ht="16.5" customFormat="1" customHeight="1" s="716">
      <c r="A56" s="716" t="n"/>
      <c r="B56" s="716" t="n"/>
      <c r="C56" s="716" t="n"/>
      <c r="D56" s="716" t="n"/>
      <c r="E56" s="716" t="n"/>
      <c r="F56" s="716" t="n"/>
      <c r="G56" s="716" t="n"/>
      <c r="H56" s="716" t="n"/>
      <c r="I56" s="716" t="n"/>
      <c r="J56" s="716" t="n"/>
      <c r="K56" s="716" t="n"/>
      <c r="L56" s="716" t="n"/>
      <c r="M56" s="716" t="n"/>
      <c r="N56" s="716" t="n"/>
      <c r="O56" s="716" t="n"/>
      <c r="P56" s="716" t="n"/>
      <c r="Q56" s="716" t="n"/>
      <c r="R56" s="716" t="n"/>
      <c r="S56" s="462">
        <f>IF(_epmOfflineCondition_,"三、CDM清洁能源收入",EPMMemberDesc(U56))</f>
        <v/>
      </c>
      <c r="T56" s="716" t="n"/>
      <c r="U56" s="1545" t="inlineStr">
        <is>
          <t>A09503</t>
        </is>
      </c>
      <c r="V56" s="47">
        <f>IF(_epmOfflineCondition_,"A09503",EPMOlapMemberO(U56,"[C_ACCOUNT].[PARENTH1].[A09503]","A09503 - 三、CDM清洁能源收入","","000"))</f>
        <v/>
      </c>
      <c r="W56" s="462" t="n"/>
      <c r="X56" s="1546" t="inlineStr">
        <is>
          <t>三、CDM清洁能源收入</t>
        </is>
      </c>
      <c r="Y56" s="1403" t="inlineStr"/>
      <c r="Z56" s="1547" t="n"/>
      <c r="AA56" s="1547" t="n"/>
      <c r="AB56" s="1547" t="n"/>
      <c r="AC56" s="1547" t="n"/>
      <c r="AD56" s="1547">
        <f>AB56-AC56</f>
        <v/>
      </c>
      <c r="AE56" s="1547">
        <f>AF56*-1</f>
        <v/>
      </c>
      <c r="AF56" s="1547" t="n"/>
      <c r="AG56" s="1547" t="n"/>
      <c r="AH56" s="1547">
        <f>-AG56</f>
        <v/>
      </c>
      <c r="AI56" s="1547" t="n"/>
      <c r="AJ56" s="1547">
        <f>AH56-AI56</f>
        <v/>
      </c>
      <c r="AK56" s="1548">
        <f>Z56+AB56-AH56</f>
        <v/>
      </c>
      <c r="AL56" s="1549" t="n"/>
      <c r="AM56" s="1550">
        <f>AL56-AK56</f>
        <v/>
      </c>
    </row>
    <row r="57">
      <c r="A57" s="384" t="n"/>
      <c r="B57" s="384" t="n"/>
      <c r="C57" s="384" t="n"/>
      <c r="D57" s="384" t="n"/>
      <c r="E57" s="384" t="n"/>
      <c r="F57" s="384" t="n"/>
      <c r="G57" s="384" t="n"/>
      <c r="H57" s="384" t="n"/>
      <c r="I57" s="384" t="n"/>
      <c r="J57" s="384" t="n"/>
      <c r="K57" s="384" t="n"/>
      <c r="L57" s="384" t="n"/>
      <c r="M57" s="384" t="n"/>
      <c r="N57" s="384" t="n"/>
      <c r="O57" s="384" t="n"/>
      <c r="P57" s="384" t="n"/>
      <c r="Q57" s="384" t="n"/>
      <c r="R57" s="384" t="n"/>
      <c r="S57" s="462">
        <f>IF(_epmOfflineCondition_,"四、税收减免（返还）合计",EPMMemberDesc(U57))</f>
        <v/>
      </c>
      <c r="T57" s="384" t="n"/>
      <c r="U57" s="1545" t="inlineStr">
        <is>
          <t>A09504</t>
        </is>
      </c>
      <c r="V57" s="47">
        <f>IF(_epmOfflineCondition_,"A09504",EPMOlapMemberO(U57,"[C_ACCOUNT].[PARENTH1].[A09504]","A09504 - 四、税收减免（返还）合计","","000"))</f>
        <v/>
      </c>
      <c r="W57" s="384" t="n"/>
      <c r="X57" s="1546" t="inlineStr">
        <is>
          <t>四、税收减免（返还）合计</t>
        </is>
      </c>
      <c r="Y57" s="1403" t="inlineStr"/>
      <c r="Z57" s="1547">
        <f>SUM(Z58:Z59)</f>
        <v/>
      </c>
      <c r="AA57" s="1547">
        <f>SUM(AA58:AA59)</f>
        <v/>
      </c>
      <c r="AB57" s="1547">
        <f>SUM(AB58:AB59)</f>
        <v/>
      </c>
      <c r="AC57" s="1547">
        <f>SUM(AC58:AC59)</f>
        <v/>
      </c>
      <c r="AD57" s="1547">
        <f>AB57-AC57</f>
        <v/>
      </c>
      <c r="AE57" s="1547">
        <f>AF57*-1</f>
        <v/>
      </c>
      <c r="AF57" s="1547">
        <f>SUM(AF58:AF59)</f>
        <v/>
      </c>
      <c r="AG57" s="1547">
        <f>SUM(AG58:AG59)</f>
        <v/>
      </c>
      <c r="AH57" s="1547">
        <f>SUM(AH58:AH59)</f>
        <v/>
      </c>
      <c r="AI57" s="1547">
        <f>SUM(AI58:AI59)</f>
        <v/>
      </c>
      <c r="AJ57" s="1547">
        <f>AH57-AI57</f>
        <v/>
      </c>
      <c r="AK57" s="1548">
        <f>SUM(AK58:AK59)</f>
        <v/>
      </c>
      <c r="AL57" s="1549">
        <f>SUM(AL58:AL59)</f>
        <v/>
      </c>
      <c r="AM57" s="1550">
        <f>AL57-AK57</f>
        <v/>
      </c>
    </row>
    <row r="58">
      <c r="A58" s="384" t="n"/>
      <c r="B58" s="384" t="n"/>
      <c r="C58" s="384" t="n"/>
      <c r="D58" s="384" t="n"/>
      <c r="E58" s="384" t="n"/>
      <c r="F58" s="384" t="n"/>
      <c r="G58" s="384" t="n"/>
      <c r="H58" s="384" t="n"/>
      <c r="I58" s="384" t="n"/>
      <c r="J58" s="384" t="n"/>
      <c r="K58" s="384" t="n"/>
      <c r="L58" s="384" t="n"/>
      <c r="M58" s="384" t="n"/>
      <c r="N58" s="384" t="n"/>
      <c r="O58" s="384" t="n"/>
      <c r="P58" s="384" t="n"/>
      <c r="Q58" s="384" t="n"/>
      <c r="R58" s="384" t="n"/>
      <c r="S58" s="462">
        <f>IF(_epmOfflineCondition_,"1、增值税",EPMMemberDesc(U58))</f>
        <v/>
      </c>
      <c r="T58" s="384" t="n"/>
      <c r="U58" s="1545" t="inlineStr">
        <is>
          <t>A0950401</t>
        </is>
      </c>
      <c r="V58" s="48">
        <f>IF(_epmOfflineCondition_,"A0950401",EPMOlapMemberO(U58,"[C_ACCOUNT].[PARENTH1].[A0950401]","A0950401 - 1、增值税","","000"))</f>
        <v/>
      </c>
      <c r="W58" s="384" t="n"/>
      <c r="X58" s="1551" t="inlineStr">
        <is>
          <t>1、增值税</t>
        </is>
      </c>
      <c r="Y58" s="1403" t="inlineStr"/>
      <c r="Z58" s="1547" t="n"/>
      <c r="AA58" s="1547" t="n"/>
      <c r="AB58" s="1547" t="n"/>
      <c r="AC58" s="1547" t="n"/>
      <c r="AD58" s="1547">
        <f>AB58-AC58</f>
        <v/>
      </c>
      <c r="AE58" s="1547">
        <f>AF58*-1</f>
        <v/>
      </c>
      <c r="AF58" s="1547" t="n"/>
      <c r="AG58" s="1547" t="n"/>
      <c r="AH58" s="1547">
        <f>-AG58</f>
        <v/>
      </c>
      <c r="AI58" s="1547" t="n"/>
      <c r="AJ58" s="1547">
        <f>AH58-AI58</f>
        <v/>
      </c>
      <c r="AK58" s="1548">
        <f>Z58+AB58-AH58</f>
        <v/>
      </c>
      <c r="AL58" s="1549" t="n"/>
      <c r="AM58" s="1550">
        <f>AL58-AK58</f>
        <v/>
      </c>
    </row>
    <row r="59" ht="17.55" customHeight="1" s="1181">
      <c r="A59" s="384" t="n"/>
      <c r="B59" s="384" t="n"/>
      <c r="C59" s="384" t="n"/>
      <c r="D59" s="384" t="n"/>
      <c r="E59" s="384" t="n"/>
      <c r="F59" s="384" t="n"/>
      <c r="G59" s="384" t="n"/>
      <c r="H59" s="384" t="n"/>
      <c r="I59" s="384" t="n"/>
      <c r="J59" s="384" t="n"/>
      <c r="K59" s="384" t="n"/>
      <c r="L59" s="384" t="n"/>
      <c r="M59" s="384" t="n"/>
      <c r="N59" s="384" t="n"/>
      <c r="O59" s="384" t="n"/>
      <c r="P59" s="384" t="n"/>
      <c r="Q59" s="384" t="n"/>
      <c r="R59" s="384" t="n"/>
      <c r="S59" s="462">
        <f>IF(_epmOfflineCondition_,"2、其他税费",EPMMemberDesc(U59))</f>
        <v/>
      </c>
      <c r="T59" s="384" t="n"/>
      <c r="U59" s="1545" t="inlineStr">
        <is>
          <t>A0950402</t>
        </is>
      </c>
      <c r="V59" s="48">
        <f>IF(_epmOfflineCondition_,"A0950402",EPMOlapMemberO(U59,"[C_ACCOUNT].[PARENTH1].[A0950402]","A0950402 - 2、其他税费","","000"))</f>
        <v/>
      </c>
      <c r="W59" s="384" t="n"/>
      <c r="X59" s="1552" t="inlineStr">
        <is>
          <t>2、其他税费</t>
        </is>
      </c>
      <c r="Y59" s="1408" t="inlineStr"/>
      <c r="Z59" s="1553" t="n"/>
      <c r="AA59" s="1553" t="n"/>
      <c r="AB59" s="1553" t="n"/>
      <c r="AC59" s="1553" t="n"/>
      <c r="AD59" s="1553">
        <f>AB59-AC59</f>
        <v/>
      </c>
      <c r="AE59" s="1553">
        <f>AF59*-1</f>
        <v/>
      </c>
      <c r="AF59" s="1553" t="n"/>
      <c r="AG59" s="1553" t="n"/>
      <c r="AH59" s="1553">
        <f>-AG59</f>
        <v/>
      </c>
      <c r="AI59" s="1553" t="n"/>
      <c r="AJ59" s="1553">
        <f>AH59-AI59</f>
        <v/>
      </c>
      <c r="AK59" s="1554">
        <f>Z59+AB59-AH59</f>
        <v/>
      </c>
      <c r="AL59" s="1549" t="n"/>
      <c r="AM59" s="1550">
        <f>AL59-AK59</f>
        <v/>
      </c>
    </row>
  </sheetData>
  <sheetProtection selectLockedCells="0" selectUnlockedCells="0" algorithmName="SHA-512" sheet="1" objects="0" insertRows="1" insertHyperlinks="1" autoFilter="1" scenarios="1" formatColumns="1" deleteColumns="1" insertColumns="1" pivotTables="1" deleteRows="1" formatCells="1" saltValue="HETNZ+Hg+3376VixcY5mOw==" formatRows="1" sort="1" spinCount="100000" hashValue="kbuljR4QhZcW4V6jGwJ+RnuLaC2ofgUeTh9bV90I8rJ047Z//PV8z/G0WYOrED1HXUbpxJXfna1sQHpigc8igQ=="/>
  <mergeCells count="13">
    <mergeCell ref="H2:J2"/>
    <mergeCell ref="D16:E16"/>
    <mergeCell ref="AB36:AF36"/>
    <mergeCell ref="AB37:AF37"/>
    <mergeCell ref="AB38:AF38"/>
    <mergeCell ref="AA39:AD39"/>
    <mergeCell ref="AF39:AJ39"/>
    <mergeCell ref="X39:X40"/>
    <mergeCell ref="Y39:Y40"/>
    <mergeCell ref="Z39:Z40"/>
    <mergeCell ref="AK39:AK40"/>
    <mergeCell ref="AL39:AL40"/>
    <mergeCell ref="AM39:AM40"/>
  </mergeCells>
  <dataValidations count="1">
    <dataValidation sqref="Z37" showErrorMessage="1" showInputMessage="1" allowBlank="1" type="list">
      <formula1>$I$19:$I$21</formula1>
    </dataValidation>
  </dataValidations>
  <pageMargins left="0.7" right="0.7" top="0.75" bottom="0.75" header="0.3" footer="0.3"/>
  <pageSetup orientation="portrait" paperSize="9"/>
  <drawing xmlns:r="http://schemas.openxmlformats.org/officeDocument/2006/relationships" r:id="rId1"/>
  <legacyDrawing xmlns:r="http://schemas.openxmlformats.org/officeDocument/2006/relationships" r:id="anysvml"/>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Windows 用户</dc:creator>
  <dcterms:created xmlns:dcterms="http://purl.org/dc/terms/" xmlns:xsi="http://www.w3.org/2001/XMLSchema-instance" xsi:type="dcterms:W3CDTF">2022-10-17T18:59:00Z</dcterms:created>
  <dcterms:modified xmlns:dcterms="http://purl.org/dc/terms/" xmlns:xsi="http://www.w3.org/2001/XMLSchema-instance" xsi:type="dcterms:W3CDTF">2025-04-09T10:28:17Z</dcterms:modified>
  <cp:lastModifiedBy>狗剩菌</cp:lastModifiedBy>
  <cp:lastPrinted>2024-05-23T15:44:00Z</cp:lastPrinted>
</cp:coreProperties>
</file>